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hidePivotFieldList="1" defaultThemeVersion="124226"/>
  <bookViews>
    <workbookView xWindow="465" yWindow="120" windowWidth="12345" windowHeight="9180" tabRatio="901" activeTab="6"/>
  </bookViews>
  <sheets>
    <sheet name="FS-HF" sheetId="69" r:id="rId1"/>
    <sheet name="FS-HF2" sheetId="9" state="hidden" r:id="rId2"/>
    <sheet name="HF-HP" sheetId="70" r:id="rId3"/>
    <sheet name="HF-HP2" sheetId="10" state="hidden" r:id="rId4"/>
    <sheet name="HF-HC" sheetId="71" r:id="rId5"/>
    <sheet name="HF-HC " sheetId="13" state="hidden" r:id="rId6"/>
    <sheet name="HC-HP" sheetId="73" r:id="rId7"/>
    <sheet name="HP-HC2" sheetId="11" state="hidden" r:id="rId8"/>
    <sheet name="Соцфин 9.1" sheetId="66" state="hidden" r:id="rId9"/>
    <sheet name="Соцфин 3.1" sheetId="68" state="hidden" r:id="rId10"/>
    <sheet name="Отчет" sheetId="14" state="hidden" r:id="rId11"/>
    <sheet name="Дэф" sheetId="53" state="hidden" r:id="rId12"/>
    <sheet name="Pivot_Donor" sheetId="65" state="hidden" r:id="rId13"/>
    <sheet name="036 гобм" sheetId="24" state="hidden" r:id="rId14"/>
    <sheet name="Соцфин 2.5" sheetId="32" state="hidden" r:id="rId15"/>
    <sheet name="ДХ_расходы" sheetId="37" state="hidden" r:id="rId16"/>
    <sheet name="ДХ_здрав_структ" sheetId="38" state="hidden" r:id="rId17"/>
    <sheet name="ДХ_расх" sheetId="40" state="hidden" r:id="rId18"/>
    <sheet name="HP" sheetId="8" state="hidden" r:id="rId19"/>
    <sheet name="FS-HF " sheetId="16" state="hidden" r:id="rId20"/>
    <sheet name="ввп" sheetId="44" state="hidden" r:id="rId21"/>
    <sheet name="Лист1" sheetId="50" state="hidden" r:id="rId22"/>
    <sheet name="Лист2" sheetId="52" state="hidden" r:id="rId23"/>
    <sheet name="009" sheetId="25" state="hidden" r:id="rId24"/>
    <sheet name="HP-HC2 (3)" sheetId="41" state="hidden" r:id="rId25"/>
    <sheet name="Соцфин 3.5" sheetId="35" state="hidden" r:id="rId26"/>
    <sheet name="Соцфин 3.4" sheetId="34" state="hidden" r:id="rId27"/>
    <sheet name="Соцфин 2.4" sheetId="31" state="hidden" r:id="rId28"/>
    <sheet name="АФН страх" sheetId="18" state="hidden" r:id="rId29"/>
    <sheet name="Афн премии" sheetId="51" state="hidden" r:id="rId30"/>
    <sheet name="HP-HC2 (2)" sheetId="19" state="hidden" r:id="rId31"/>
    <sheet name="Лист4" sheetId="21" state="hidden" r:id="rId32"/>
    <sheet name="СВОД" sheetId="20" state="hidden" r:id="rId33"/>
    <sheet name="ОУ2012" sheetId="74" state="hidden" r:id="rId34"/>
    <sheet name="Домохоз" sheetId="39" state="hidden" r:id="rId35"/>
    <sheet name="Розница ЛС" sheetId="75" state="hidden" r:id="rId36"/>
    <sheet name="Соцфин 2.1" sheetId="67" state="hidden" r:id="rId37"/>
    <sheet name="ОДХ" sheetId="76" state="hidden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HEADER_" localSheetId="28">'АФН страх'!$A$4</definedName>
    <definedName name="_xlnm._FilterDatabase" localSheetId="13" hidden="1">'036 гобм'!$A$18:$WZJ$18</definedName>
    <definedName name="_xlnm._FilterDatabase" localSheetId="10" hidden="1">Отчет!$A$11:$E$285</definedName>
    <definedName name="BuiltIn_Print_Titles">#N/A</definedName>
    <definedName name="BuiltIn_Print_Titles___0">#N/A</definedName>
    <definedName name="CountryList">[1]General!#REF!</definedName>
    <definedName name="CP">#REF!</definedName>
    <definedName name="FA">#REF!</definedName>
    <definedName name="FandP">#REF!</definedName>
    <definedName name="FS">#REF!</definedName>
    <definedName name="HTML_CodePage" hidden="1">9</definedName>
    <definedName name="HTML_Control" localSheetId="6" hidden="1">{"'02 (2)'!$A$1:$Y$27"}</definedName>
    <definedName name="HTML_Control" localSheetId="4" hidden="1">{"'02 (2)'!$A$1:$Y$27"}</definedName>
    <definedName name="HTML_Control" localSheetId="2" hidden="1">{"'02 (2)'!$A$1:$Y$27"}</definedName>
    <definedName name="HTML_Control" hidden="1">{"'02 (2)'!$A$1:$Y$27"}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документы\CHL2002\2002\MyHTML.htm"</definedName>
    <definedName name="HTML_Title" hidden="1">""</definedName>
    <definedName name="macro">#REF!</definedName>
    <definedName name="NA">#REF!</definedName>
    <definedName name="ratios">#REF!</definedName>
    <definedName name="TABLE" localSheetId="8">'Соцфин 9.1'!#REF!</definedName>
    <definedName name="TABLE_2" localSheetId="8">'Соцфин 9.1'!$A$6:$F$7</definedName>
    <definedName name="tot">'[2]Analysis 1'!$B$77</definedName>
    <definedName name="Z_29B711C0_9BBB_4199_B27B_1C7C8C2DFB6F_.wvu.PrintTitles" localSheetId="13" hidden="1">'036 гобм'!$A:$B,'036 гобм'!$3:$12</definedName>
    <definedName name="Z_6387A7C0_02D1_4D2C_BA75_0C9D64F8B341_.wvu.PrintTitles" localSheetId="13" hidden="1">'036 гобм'!$A:$B,'036 гобм'!$3:$12</definedName>
    <definedName name="Z_7255D2CF_B44F_415F_B1B7_FDABCB2C9A8A_.wvu.PrintTitles" localSheetId="13" hidden="1">'036 гобм'!$A:$B,'036 гобм'!$3:$12</definedName>
    <definedName name="Z_781BABAB_FE3F_4E16_A966_8E131D2DC6F8_.wvu.PrintTitles" localSheetId="13" hidden="1">'036 гобм'!$A:$B,'036 гобм'!$3:$12</definedName>
    <definedName name="_xlnm.Print_Titles" localSheetId="13">'036 гобм'!$A:$C,'036 гобм'!$3:$12</definedName>
    <definedName name="_xlnm.Print_Titles" localSheetId="10">Отчет!$7:$9</definedName>
    <definedName name="_xlnm.Print_Titles" localSheetId="32">СВОД!$B:$B,СВОД!$4:$6</definedName>
    <definedName name="_xlnm.Print_Titles" localSheetId="8">'Соцфин 9.1'!$A$6:$IV$9</definedName>
    <definedName name="_xlnm.Print_Area" localSheetId="13">'036 гобм'!$A$1:$DH$8733</definedName>
    <definedName name="_xlnm.Print_Area" localSheetId="0">'FS-HF'!$A$1:$T$18</definedName>
    <definedName name="_xlnm.Print_Area" localSheetId="19">'FS-HF '!$A$1:$R$37</definedName>
    <definedName name="_xlnm.Print_Area" localSheetId="1">'FS-HF2'!$A$1:$W$43</definedName>
    <definedName name="_xlnm.Print_Area" localSheetId="6">'HC-HP'!$A$1:$AK$48</definedName>
    <definedName name="_xlnm.Print_Area" localSheetId="4">'HF-HC'!$A$1:$Q$49</definedName>
    <definedName name="_xlnm.Print_Area" localSheetId="5">'HF-HC '!$A$1:$AM$100</definedName>
    <definedName name="_xlnm.Print_Area" localSheetId="2">'HF-HP'!$A$1:$Q$38</definedName>
    <definedName name="_xlnm.Print_Area" localSheetId="3">'HF-HP2'!$A$1:$AH$76</definedName>
    <definedName name="_xlnm.Print_Area" localSheetId="7">'HP-HC2'!$A$1:$CA$106</definedName>
    <definedName name="_xlnm.Print_Area" localSheetId="30">'HP-HC2 (2)'!$A$1:$CA$101</definedName>
    <definedName name="_xlnm.Print_Area" localSheetId="24">'HP-HC2 (3)'!$A$1:$CA$101</definedName>
    <definedName name="_xlnm.Print_Area" localSheetId="28">'АФН страх'!$A$1:$T$48</definedName>
    <definedName name="_xlnm.Print_Area" localSheetId="32">СВОД!$A$1:$EX$99</definedName>
    <definedName name="С071">#REF!</definedName>
    <definedName name="стоимостьпол">[3]рстр_янв!$K$12,[3]рстр_янв!$S$12,[3]рстр_янв!$AA$12,[3]рстр_янв!$AI$12</definedName>
  </definedNames>
  <calcPr calcId="145621"/>
  <pivotCaches>
    <pivotCache cacheId="0" r:id="rId46"/>
    <pivotCache cacheId="1" r:id="rId47"/>
  </pivotCaches>
</workbook>
</file>

<file path=xl/calcChain.xml><?xml version="1.0" encoding="utf-8"?>
<calcChain xmlns="http://schemas.openxmlformats.org/spreadsheetml/2006/main">
  <c r="C73" i="10" l="1"/>
  <c r="L9" i="74" l="1"/>
  <c r="AI45" i="73" l="1"/>
  <c r="K14" i="70"/>
  <c r="AJ47" i="73"/>
  <c r="AI47" i="73"/>
  <c r="AJ45" i="73"/>
  <c r="AJ44" i="73" s="1"/>
  <c r="AJ48" i="73" s="1"/>
  <c r="Y42" i="73"/>
  <c r="AK42" i="73" s="1"/>
  <c r="Y39" i="73"/>
  <c r="AK39" i="73" s="1"/>
  <c r="I37" i="73"/>
  <c r="H37" i="73"/>
  <c r="AE36" i="73"/>
  <c r="W36" i="73"/>
  <c r="U36" i="73" s="1"/>
  <c r="O36" i="73"/>
  <c r="K36" i="73" s="1"/>
  <c r="L36" i="73"/>
  <c r="F36" i="73"/>
  <c r="F31" i="73" s="1"/>
  <c r="AG31" i="73"/>
  <c r="AE31" i="73" s="1"/>
  <c r="X31" i="73"/>
  <c r="X48" i="73" s="1"/>
  <c r="V31" i="73"/>
  <c r="V48" i="73" s="1"/>
  <c r="L31" i="73"/>
  <c r="D31" i="73"/>
  <c r="K29" i="73"/>
  <c r="F29" i="73"/>
  <c r="C29" i="73"/>
  <c r="AK29" i="73" s="1"/>
  <c r="P27" i="73"/>
  <c r="O27" i="73"/>
  <c r="M27" i="73"/>
  <c r="L27" i="73"/>
  <c r="F27" i="73"/>
  <c r="D27" i="73"/>
  <c r="L23" i="73"/>
  <c r="L22" i="73" s="1"/>
  <c r="H22" i="73"/>
  <c r="D22" i="73"/>
  <c r="O16" i="73"/>
  <c r="O13" i="73" s="1"/>
  <c r="N16" i="73"/>
  <c r="M16" i="73"/>
  <c r="L16" i="73"/>
  <c r="D16" i="73"/>
  <c r="O15" i="73"/>
  <c r="L15" i="73"/>
  <c r="D15" i="73"/>
  <c r="O14" i="73"/>
  <c r="M14" i="73"/>
  <c r="D14" i="73"/>
  <c r="D13" i="73" s="1"/>
  <c r="D12" i="73" s="1"/>
  <c r="D10" i="73"/>
  <c r="L8" i="73"/>
  <c r="D8" i="73"/>
  <c r="C8" i="73" s="1"/>
  <c r="AK8" i="73" s="1"/>
  <c r="M7" i="73"/>
  <c r="M6" i="73" s="1"/>
  <c r="L7" i="73"/>
  <c r="C5" i="73"/>
  <c r="AK5" i="73" s="1"/>
  <c r="O37" i="70"/>
  <c r="M37" i="70" s="1"/>
  <c r="D36" i="70"/>
  <c r="C36" i="70" s="1"/>
  <c r="Q36" i="70" s="1"/>
  <c r="C35" i="70"/>
  <c r="Q35" i="70" s="1"/>
  <c r="C34" i="70"/>
  <c r="Q34" i="70" s="1"/>
  <c r="D32" i="70"/>
  <c r="C32" i="70" s="1"/>
  <c r="Q32" i="70" s="1"/>
  <c r="G30" i="70"/>
  <c r="F30" i="70"/>
  <c r="Q30" i="70" s="1"/>
  <c r="D28" i="70"/>
  <c r="C28" i="70" s="1"/>
  <c r="Q28" i="70" s="1"/>
  <c r="I27" i="70"/>
  <c r="G27" i="70"/>
  <c r="D26" i="70"/>
  <c r="C26" i="70" s="1"/>
  <c r="Q26" i="70" s="1"/>
  <c r="Q25" i="70"/>
  <c r="Q24" i="70"/>
  <c r="K24" i="70"/>
  <c r="K23" i="70"/>
  <c r="D23" i="70"/>
  <c r="C23" i="70" s="1"/>
  <c r="Q23" i="70" s="1"/>
  <c r="D21" i="70"/>
  <c r="D19" i="70"/>
  <c r="C19" i="70" s="1"/>
  <c r="Q19" i="70" s="1"/>
  <c r="K16" i="70"/>
  <c r="J16" i="70"/>
  <c r="C16" i="70"/>
  <c r="I15" i="70"/>
  <c r="F15" i="70" s="1"/>
  <c r="C15" i="70"/>
  <c r="J14" i="70"/>
  <c r="I14" i="70"/>
  <c r="F14" i="70" s="1"/>
  <c r="K13" i="70"/>
  <c r="J13" i="70"/>
  <c r="D13" i="70"/>
  <c r="C13" i="70" s="1"/>
  <c r="G12" i="70"/>
  <c r="D11" i="70"/>
  <c r="C11" i="70" s="1"/>
  <c r="Q11" i="70" s="1"/>
  <c r="C9" i="70"/>
  <c r="Q9" i="70" s="1"/>
  <c r="D7" i="70"/>
  <c r="C7" i="70" s="1"/>
  <c r="Q7" i="70" s="1"/>
  <c r="D6" i="70"/>
  <c r="C6" i="70" s="1"/>
  <c r="Q6" i="70" s="1"/>
  <c r="O5" i="70"/>
  <c r="M5" i="70" s="1"/>
  <c r="I5" i="70"/>
  <c r="F5" i="70" s="1"/>
  <c r="F4" i="70" s="1"/>
  <c r="D5" i="70"/>
  <c r="O4" i="70"/>
  <c r="M4" i="70" s="1"/>
  <c r="D46" i="71"/>
  <c r="C46" i="71"/>
  <c r="Q46" i="71" s="1"/>
  <c r="D45" i="71"/>
  <c r="C45" i="71" s="1"/>
  <c r="C43" i="71"/>
  <c r="Q43" i="71" s="1"/>
  <c r="Q42" i="71"/>
  <c r="C42" i="71"/>
  <c r="C41" i="71"/>
  <c r="Q41" i="71" s="1"/>
  <c r="D40" i="71"/>
  <c r="C40" i="71" s="1"/>
  <c r="Q40" i="71" s="1"/>
  <c r="D39" i="71"/>
  <c r="C39" i="71" s="1"/>
  <c r="Q39" i="71" s="1"/>
  <c r="M38" i="71"/>
  <c r="D38" i="71"/>
  <c r="C38" i="71" s="1"/>
  <c r="Q38" i="71" s="1"/>
  <c r="J37" i="71"/>
  <c r="C37" i="71"/>
  <c r="Q37" i="71" s="1"/>
  <c r="J33" i="71"/>
  <c r="J32" i="71" s="1"/>
  <c r="D33" i="71"/>
  <c r="C33" i="71" s="1"/>
  <c r="Q33" i="71" s="1"/>
  <c r="D31" i="71"/>
  <c r="D30" i="71"/>
  <c r="C30" i="71"/>
  <c r="Q30" i="71" s="1"/>
  <c r="D29" i="71"/>
  <c r="J24" i="71"/>
  <c r="J23" i="71" s="1"/>
  <c r="Q23" i="71" s="1"/>
  <c r="C23" i="71"/>
  <c r="F18" i="71"/>
  <c r="J17" i="71"/>
  <c r="I17" i="71"/>
  <c r="F17" i="71" s="1"/>
  <c r="C17" i="71"/>
  <c r="Q17" i="71" s="1"/>
  <c r="J16" i="71"/>
  <c r="J15" i="71"/>
  <c r="I15" i="71"/>
  <c r="D15" i="71"/>
  <c r="G14" i="71"/>
  <c r="G13" i="71" s="1"/>
  <c r="D11" i="71"/>
  <c r="C11" i="71"/>
  <c r="C10" i="71" s="1"/>
  <c r="D10" i="71"/>
  <c r="I9" i="71"/>
  <c r="D9" i="71"/>
  <c r="C9" i="71" s="1"/>
  <c r="D8" i="71"/>
  <c r="J6" i="71"/>
  <c r="D6" i="71"/>
  <c r="C6" i="71" s="1"/>
  <c r="G5" i="71"/>
  <c r="G4" i="71" s="1"/>
  <c r="T16" i="69"/>
  <c r="S16" i="69"/>
  <c r="S14" i="69" s="1"/>
  <c r="R16" i="69"/>
  <c r="R14" i="69" s="1"/>
  <c r="P12" i="69"/>
  <c r="P11" i="69" s="1"/>
  <c r="T11" i="69" s="1"/>
  <c r="P10" i="69"/>
  <c r="T10" i="69" s="1"/>
  <c r="O8" i="69"/>
  <c r="T8" i="69" s="1"/>
  <c r="P7" i="69"/>
  <c r="P18" i="69" s="1"/>
  <c r="D5" i="69"/>
  <c r="D4" i="69" s="1"/>
  <c r="D18" i="69" s="1"/>
  <c r="C5" i="69"/>
  <c r="C4" i="69" s="1"/>
  <c r="F15" i="71" l="1"/>
  <c r="D32" i="71"/>
  <c r="C32" i="71" s="1"/>
  <c r="Q32" i="71" s="1"/>
  <c r="H48" i="73"/>
  <c r="G22" i="73"/>
  <c r="K27" i="73"/>
  <c r="C8" i="71"/>
  <c r="C7" i="71" s="1"/>
  <c r="D7" i="71"/>
  <c r="I6" i="71"/>
  <c r="F6" i="71" s="1"/>
  <c r="F9" i="71"/>
  <c r="Q9" i="71" s="1"/>
  <c r="Q11" i="71"/>
  <c r="Q10" i="71" s="1"/>
  <c r="C15" i="71"/>
  <c r="Q15" i="71" s="1"/>
  <c r="D14" i="71"/>
  <c r="D13" i="71" s="1"/>
  <c r="D28" i="71"/>
  <c r="C28" i="71" s="1"/>
  <c r="Q28" i="71" s="1"/>
  <c r="C31" i="71"/>
  <c r="Q31" i="71" s="1"/>
  <c r="AK22" i="73"/>
  <c r="C31" i="73"/>
  <c r="D4" i="70"/>
  <c r="C4" i="70" s="1"/>
  <c r="K22" i="70"/>
  <c r="J22" i="70" s="1"/>
  <c r="L6" i="73"/>
  <c r="C27" i="73"/>
  <c r="C36" i="73"/>
  <c r="AK47" i="73"/>
  <c r="D12" i="70"/>
  <c r="C12" i="70" s="1"/>
  <c r="F27" i="70"/>
  <c r="I4" i="70"/>
  <c r="C5" i="70"/>
  <c r="D8" i="70"/>
  <c r="C8" i="70" s="1"/>
  <c r="Q8" i="70" s="1"/>
  <c r="G38" i="70"/>
  <c r="Q16" i="70"/>
  <c r="M38" i="70"/>
  <c r="Q14" i="70"/>
  <c r="K12" i="70"/>
  <c r="J12" i="70" s="1"/>
  <c r="K16" i="73"/>
  <c r="AK16" i="73" s="1"/>
  <c r="AK36" i="73"/>
  <c r="O31" i="73"/>
  <c r="D9" i="73"/>
  <c r="O12" i="73"/>
  <c r="O38" i="70"/>
  <c r="D27" i="70"/>
  <c r="C27" i="70" s="1"/>
  <c r="Q27" i="70" s="1"/>
  <c r="D18" i="70"/>
  <c r="C18" i="70" s="1"/>
  <c r="D22" i="70"/>
  <c r="C22" i="70" s="1"/>
  <c r="Q22" i="70" s="1"/>
  <c r="Q6" i="71"/>
  <c r="R18" i="69"/>
  <c r="Q14" i="69"/>
  <c r="C18" i="69"/>
  <c r="T4" i="69"/>
  <c r="T5" i="69"/>
  <c r="O7" i="69"/>
  <c r="K31" i="73" l="1"/>
  <c r="C14" i="71"/>
  <c r="D5" i="71"/>
  <c r="O18" i="69"/>
  <c r="T7" i="69"/>
  <c r="Q18" i="69"/>
  <c r="T14" i="69"/>
  <c r="H4" i="10"/>
  <c r="J4" i="10"/>
  <c r="K4" i="10"/>
  <c r="K76" i="10" s="1"/>
  <c r="L4" i="10"/>
  <c r="M4" i="10"/>
  <c r="N4" i="10"/>
  <c r="O4" i="10"/>
  <c r="F5" i="10"/>
  <c r="E5" i="10" s="1"/>
  <c r="G5" i="10"/>
  <c r="G4" i="10" s="1"/>
  <c r="I5" i="10"/>
  <c r="I4" i="10" s="1"/>
  <c r="AA5" i="10"/>
  <c r="Z5" i="10" s="1"/>
  <c r="Z4" i="10" s="1"/>
  <c r="AD5" i="10"/>
  <c r="AD4" i="10" s="1"/>
  <c r="F6" i="10"/>
  <c r="P6" i="10"/>
  <c r="F7" i="10"/>
  <c r="E7" i="10" s="1"/>
  <c r="D7" i="10" s="1"/>
  <c r="AH7" i="10" s="1"/>
  <c r="P7" i="10"/>
  <c r="F8" i="10"/>
  <c r="E8" i="10" s="1"/>
  <c r="E9" i="10"/>
  <c r="D9" i="10" s="1"/>
  <c r="AH9" i="10" s="1"/>
  <c r="P9" i="10"/>
  <c r="E10" i="10"/>
  <c r="P10" i="10"/>
  <c r="F11" i="10"/>
  <c r="E12" i="10"/>
  <c r="E13" i="10"/>
  <c r="P13" i="10"/>
  <c r="D13" i="10" s="1"/>
  <c r="AH13" i="10" s="1"/>
  <c r="E14" i="10"/>
  <c r="F14" i="10"/>
  <c r="E15" i="10"/>
  <c r="P15" i="10"/>
  <c r="F16" i="10"/>
  <c r="E16" i="10" s="1"/>
  <c r="P16" i="10"/>
  <c r="E17" i="10"/>
  <c r="P17" i="10"/>
  <c r="F18" i="10"/>
  <c r="E18" i="10" s="1"/>
  <c r="D18" i="10" s="1"/>
  <c r="AH18" i="10" s="1"/>
  <c r="P18" i="10"/>
  <c r="E19" i="10"/>
  <c r="F20" i="10"/>
  <c r="E20" i="10" s="1"/>
  <c r="P20" i="10"/>
  <c r="E21" i="10"/>
  <c r="P21" i="10"/>
  <c r="F22" i="10"/>
  <c r="E22" i="10" s="1"/>
  <c r="F23" i="10"/>
  <c r="E23" i="10" s="1"/>
  <c r="D23" i="10" s="1"/>
  <c r="AH23" i="10" s="1"/>
  <c r="P23" i="10"/>
  <c r="E25" i="10"/>
  <c r="D25" i="10" s="1"/>
  <c r="P25" i="10"/>
  <c r="E26" i="10"/>
  <c r="P26" i="10"/>
  <c r="D26" i="10" s="1"/>
  <c r="AH26" i="10" s="1"/>
  <c r="E27" i="10"/>
  <c r="D27" i="10" s="1"/>
  <c r="AH27" i="10" s="1"/>
  <c r="P27" i="10"/>
  <c r="E28" i="10"/>
  <c r="P28" i="10"/>
  <c r="E29" i="10"/>
  <c r="Q29" i="10"/>
  <c r="P29" i="10" s="1"/>
  <c r="D29" i="10" s="1"/>
  <c r="AH29" i="10" s="1"/>
  <c r="AE29" i="10"/>
  <c r="F30" i="10"/>
  <c r="E30" i="10" s="1"/>
  <c r="Q30" i="10"/>
  <c r="P30" i="10" s="1"/>
  <c r="E31" i="10"/>
  <c r="D31" i="10" s="1"/>
  <c r="AH31" i="10" s="1"/>
  <c r="P31" i="10"/>
  <c r="E32" i="10"/>
  <c r="D32" i="10" s="1"/>
  <c r="AH32" i="10" s="1"/>
  <c r="P32" i="10"/>
  <c r="E33" i="10"/>
  <c r="D33" i="10" s="1"/>
  <c r="AH33" i="10" s="1"/>
  <c r="P33" i="10"/>
  <c r="E34" i="10"/>
  <c r="P34" i="10"/>
  <c r="D34" i="10" s="1"/>
  <c r="AH34" i="10" s="1"/>
  <c r="E35" i="10"/>
  <c r="D35" i="10" s="1"/>
  <c r="AH35" i="10" s="1"/>
  <c r="P35" i="10"/>
  <c r="AA35" i="10"/>
  <c r="E36" i="10"/>
  <c r="P36" i="10"/>
  <c r="D36" i="10" s="1"/>
  <c r="AA36" i="10"/>
  <c r="E37" i="10"/>
  <c r="P37" i="10"/>
  <c r="E38" i="10"/>
  <c r="P38" i="10"/>
  <c r="E39" i="10"/>
  <c r="P39" i="10"/>
  <c r="D39" i="10" s="1"/>
  <c r="AH39" i="10" s="1"/>
  <c r="E40" i="10"/>
  <c r="P40" i="10"/>
  <c r="D40" i="10" s="1"/>
  <c r="AH40" i="10" s="1"/>
  <c r="F41" i="10"/>
  <c r="E41" i="10" s="1"/>
  <c r="P41" i="10"/>
  <c r="E42" i="10"/>
  <c r="P42" i="10"/>
  <c r="E43" i="10"/>
  <c r="P43" i="10"/>
  <c r="E44" i="10"/>
  <c r="P44" i="10"/>
  <c r="F45" i="10"/>
  <c r="E45" i="10" s="1"/>
  <c r="P45" i="10"/>
  <c r="E46" i="10"/>
  <c r="D46" i="10" s="1"/>
  <c r="AH46" i="10" s="1"/>
  <c r="P46" i="10"/>
  <c r="E48" i="10"/>
  <c r="F48" i="10"/>
  <c r="Q48" i="10"/>
  <c r="P48" i="10" s="1"/>
  <c r="E49" i="10"/>
  <c r="P49" i="10"/>
  <c r="F50" i="10"/>
  <c r="J50" i="10"/>
  <c r="Q50" i="10"/>
  <c r="P50" i="10" s="1"/>
  <c r="Q51" i="10"/>
  <c r="P51" i="10" s="1"/>
  <c r="E52" i="10"/>
  <c r="P52" i="10"/>
  <c r="Q52" i="10"/>
  <c r="E53" i="10"/>
  <c r="P53" i="10"/>
  <c r="D53" i="10" s="1"/>
  <c r="AH53" i="10" s="1"/>
  <c r="E54" i="10"/>
  <c r="P54" i="10"/>
  <c r="E55" i="10"/>
  <c r="P55" i="10"/>
  <c r="E56" i="10"/>
  <c r="E51" i="10" s="1"/>
  <c r="P56" i="10"/>
  <c r="F57" i="10"/>
  <c r="E57" i="10" s="1"/>
  <c r="D57" i="10" s="1"/>
  <c r="Q57" i="10"/>
  <c r="P57" i="10" s="1"/>
  <c r="AE57" i="10"/>
  <c r="AD57" i="10" s="1"/>
  <c r="AE58" i="10"/>
  <c r="AD58" i="10" s="1"/>
  <c r="P60" i="10"/>
  <c r="E61" i="10"/>
  <c r="Q61" i="10"/>
  <c r="P61" i="10" s="1"/>
  <c r="P59" i="10" s="1"/>
  <c r="E62" i="10"/>
  <c r="P62" i="10"/>
  <c r="D62" i="10" s="1"/>
  <c r="AH62" i="10" s="1"/>
  <c r="E63" i="10"/>
  <c r="P63" i="10"/>
  <c r="D63" i="10" s="1"/>
  <c r="Y63" i="10"/>
  <c r="X63" i="10" s="1"/>
  <c r="X58" i="10" s="1"/>
  <c r="Z63" i="10"/>
  <c r="E64" i="10"/>
  <c r="P64" i="10"/>
  <c r="D64" i="10" s="1"/>
  <c r="AH64" i="10" s="1"/>
  <c r="E65" i="10"/>
  <c r="D65" i="10" s="1"/>
  <c r="AH65" i="10" s="1"/>
  <c r="P65" i="10"/>
  <c r="E66" i="10"/>
  <c r="P66" i="10"/>
  <c r="D66" i="10" s="1"/>
  <c r="AH66" i="10" s="1"/>
  <c r="E68" i="10"/>
  <c r="P68" i="10"/>
  <c r="E69" i="10"/>
  <c r="D69" i="10" s="1"/>
  <c r="AH69" i="10" s="1"/>
  <c r="P69" i="10"/>
  <c r="E71" i="10"/>
  <c r="D71" i="10" s="1"/>
  <c r="AH71" i="10" s="1"/>
  <c r="P71" i="10"/>
  <c r="F72" i="10"/>
  <c r="E72" i="10" s="1"/>
  <c r="P72" i="10"/>
  <c r="F73" i="10"/>
  <c r="G73" i="10"/>
  <c r="J73" i="10"/>
  <c r="N73" i="10"/>
  <c r="O73" i="10"/>
  <c r="Q73" i="10"/>
  <c r="P73" i="10" s="1"/>
  <c r="S73" i="10"/>
  <c r="W73" i="10"/>
  <c r="W76" i="10" s="1"/>
  <c r="Z73" i="10"/>
  <c r="X73" i="10" s="1"/>
  <c r="AA73" i="10"/>
  <c r="I37" i="70" s="1"/>
  <c r="F37" i="70" s="1"/>
  <c r="AC73" i="10"/>
  <c r="AH74" i="10"/>
  <c r="E75" i="10"/>
  <c r="F75" i="10"/>
  <c r="Q75" i="10"/>
  <c r="P75" i="10" s="1"/>
  <c r="H76" i="10"/>
  <c r="I76" i="10"/>
  <c r="J76" i="10"/>
  <c r="L76" i="10"/>
  <c r="M76" i="10"/>
  <c r="N76" i="10"/>
  <c r="R76" i="10"/>
  <c r="S76" i="10"/>
  <c r="T76" i="10"/>
  <c r="U76" i="10"/>
  <c r="V76" i="10"/>
  <c r="AB76" i="10"/>
  <c r="AE76" i="10"/>
  <c r="AF76" i="10"/>
  <c r="AG76" i="10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L39" i="9"/>
  <c r="K39" i="9"/>
  <c r="J39" i="9"/>
  <c r="I39" i="9"/>
  <c r="AC38" i="9"/>
  <c r="AC37" i="9"/>
  <c r="AC36" i="9"/>
  <c r="AC35" i="9"/>
  <c r="Z34" i="9"/>
  <c r="AC34" i="9" s="1"/>
  <c r="AC33" i="9"/>
  <c r="AC32" i="9"/>
  <c r="AC31" i="9"/>
  <c r="AC30" i="9"/>
  <c r="AC29" i="9"/>
  <c r="AC28" i="9"/>
  <c r="AC27" i="9"/>
  <c r="R27" i="9"/>
  <c r="AC26" i="9"/>
  <c r="S25" i="9"/>
  <c r="AC25" i="9" s="1"/>
  <c r="O24" i="9"/>
  <c r="O39" i="9" s="1"/>
  <c r="O23" i="9"/>
  <c r="AC22" i="9"/>
  <c r="AC21" i="9"/>
  <c r="K20" i="9"/>
  <c r="J20" i="9"/>
  <c r="AC20" i="9" s="1"/>
  <c r="AC19" i="9"/>
  <c r="AC18" i="9"/>
  <c r="AC17" i="9"/>
  <c r="J16" i="9"/>
  <c r="AC16" i="9" s="1"/>
  <c r="AC15" i="9"/>
  <c r="K14" i="9"/>
  <c r="AC14" i="9" s="1"/>
  <c r="J14" i="9"/>
  <c r="AC13" i="9"/>
  <c r="J12" i="9"/>
  <c r="AC12" i="9" s="1"/>
  <c r="AC11" i="9"/>
  <c r="J11" i="9"/>
  <c r="AC10" i="9"/>
  <c r="AC9" i="9"/>
  <c r="AC8" i="9"/>
  <c r="J7" i="9"/>
  <c r="AC7" i="9" s="1"/>
  <c r="AC6" i="9"/>
  <c r="J6" i="9"/>
  <c r="J5" i="9"/>
  <c r="AC5" i="9" s="1"/>
  <c r="J4" i="9"/>
  <c r="AC4" i="9" s="1"/>
  <c r="K4" i="13"/>
  <c r="K100" i="13" s="1"/>
  <c r="L4" i="13"/>
  <c r="M4" i="13"/>
  <c r="N4" i="13"/>
  <c r="O4" i="13"/>
  <c r="O100" i="13" s="1"/>
  <c r="X4" i="13"/>
  <c r="AJ4" i="13"/>
  <c r="G5" i="13"/>
  <c r="G4" i="13" s="1"/>
  <c r="G100" i="13" s="1"/>
  <c r="H5" i="13"/>
  <c r="H4" i="13" s="1"/>
  <c r="J5" i="13"/>
  <c r="G6" i="13"/>
  <c r="I6" i="13"/>
  <c r="I5" i="13" s="1"/>
  <c r="I4" i="13" s="1"/>
  <c r="I100" i="13" s="1"/>
  <c r="AA6" i="13"/>
  <c r="AG6" i="13"/>
  <c r="AG5" i="13" s="1"/>
  <c r="AH6" i="13"/>
  <c r="O8" i="71" s="1"/>
  <c r="E9" i="13"/>
  <c r="AM9" i="13" s="1"/>
  <c r="E10" i="13"/>
  <c r="AM10" i="13" s="1"/>
  <c r="E11" i="13"/>
  <c r="F11" i="13"/>
  <c r="Q12" i="13"/>
  <c r="Q11" i="13" s="1"/>
  <c r="AA13" i="13"/>
  <c r="I16" i="71" s="1"/>
  <c r="AM14" i="13"/>
  <c r="AM16" i="13"/>
  <c r="E18" i="13"/>
  <c r="P18" i="13"/>
  <c r="E19" i="13"/>
  <c r="D19" i="13" s="1"/>
  <c r="AM19" i="13" s="1"/>
  <c r="P19" i="13"/>
  <c r="E20" i="13"/>
  <c r="D20" i="13" s="1"/>
  <c r="AM20" i="13" s="1"/>
  <c r="P20" i="13"/>
  <c r="E21" i="13"/>
  <c r="D21" i="13" s="1"/>
  <c r="AM21" i="13" s="1"/>
  <c r="P21" i="13"/>
  <c r="E22" i="13"/>
  <c r="Q22" i="13"/>
  <c r="P22" i="13" s="1"/>
  <c r="E23" i="13"/>
  <c r="P23" i="13"/>
  <c r="AM24" i="13"/>
  <c r="AM25" i="13"/>
  <c r="AM26" i="13"/>
  <c r="AM27" i="13"/>
  <c r="E29" i="13"/>
  <c r="P29" i="13"/>
  <c r="E30" i="13"/>
  <c r="P30" i="13"/>
  <c r="Q31" i="13"/>
  <c r="P31" i="13" s="1"/>
  <c r="E32" i="13"/>
  <c r="P32" i="13"/>
  <c r="D32" i="13" s="1"/>
  <c r="AM32" i="13" s="1"/>
  <c r="F33" i="13"/>
  <c r="E33" i="13" s="1"/>
  <c r="Q33" i="13"/>
  <c r="P33" i="13" s="1"/>
  <c r="E34" i="13"/>
  <c r="P34" i="13"/>
  <c r="E36" i="13"/>
  <c r="P36" i="13"/>
  <c r="P35" i="13" s="1"/>
  <c r="Q36" i="13"/>
  <c r="E37" i="13"/>
  <c r="P37" i="13"/>
  <c r="D37" i="13" s="1"/>
  <c r="AM37" i="13" s="1"/>
  <c r="E38" i="13"/>
  <c r="D38" i="13" s="1"/>
  <c r="AM38" i="13" s="1"/>
  <c r="P38" i="13"/>
  <c r="E39" i="13"/>
  <c r="P39" i="13"/>
  <c r="D39" i="13" s="1"/>
  <c r="AM39" i="13" s="1"/>
  <c r="E40" i="13"/>
  <c r="D40" i="13" s="1"/>
  <c r="AM40" i="13" s="1"/>
  <c r="P40" i="13"/>
  <c r="E41" i="13"/>
  <c r="P41" i="13"/>
  <c r="D41" i="13" s="1"/>
  <c r="AM41" i="13" s="1"/>
  <c r="E42" i="13"/>
  <c r="D42" i="13" s="1"/>
  <c r="AM42" i="13" s="1"/>
  <c r="P42" i="13"/>
  <c r="E43" i="13"/>
  <c r="P43" i="13"/>
  <c r="D43" i="13" s="1"/>
  <c r="AM43" i="13" s="1"/>
  <c r="E44" i="13"/>
  <c r="D44" i="13" s="1"/>
  <c r="AM44" i="13" s="1"/>
  <c r="P44" i="13"/>
  <c r="E45" i="13"/>
  <c r="P45" i="13"/>
  <c r="D45" i="13" s="1"/>
  <c r="AM45" i="13" s="1"/>
  <c r="AJ46" i="13"/>
  <c r="AH46" i="13" s="1"/>
  <c r="AK46" i="13"/>
  <c r="E47" i="13"/>
  <c r="Q47" i="13"/>
  <c r="P47" i="13" s="1"/>
  <c r="E48" i="13"/>
  <c r="Q48" i="13"/>
  <c r="P48" i="13" s="1"/>
  <c r="AG48" i="13"/>
  <c r="E49" i="13"/>
  <c r="P49" i="13"/>
  <c r="E50" i="13"/>
  <c r="P50" i="13"/>
  <c r="E51" i="13"/>
  <c r="P51" i="13"/>
  <c r="E52" i="13"/>
  <c r="P52" i="13"/>
  <c r="E53" i="13"/>
  <c r="P53" i="13"/>
  <c r="E54" i="13"/>
  <c r="P54" i="13"/>
  <c r="AM54" i="13" s="1"/>
  <c r="F55" i="13"/>
  <c r="P55" i="13"/>
  <c r="Q55" i="13"/>
  <c r="AG55" i="13"/>
  <c r="M45" i="71" s="1"/>
  <c r="AH55" i="13"/>
  <c r="D57" i="13"/>
  <c r="AM57" i="13" s="1"/>
  <c r="E57" i="13"/>
  <c r="E58" i="13"/>
  <c r="D58" i="13" s="1"/>
  <c r="AM58" i="13" s="1"/>
  <c r="E59" i="13"/>
  <c r="D59" i="13" s="1"/>
  <c r="AM59" i="13" s="1"/>
  <c r="F60" i="13"/>
  <c r="E60" i="13" s="1"/>
  <c r="D60" i="13" s="1"/>
  <c r="AM60" i="13" s="1"/>
  <c r="D61" i="13"/>
  <c r="E61" i="13"/>
  <c r="Y61" i="13"/>
  <c r="AH62" i="13"/>
  <c r="AG62" i="13" s="1"/>
  <c r="AM62" i="13" s="1"/>
  <c r="AM63" i="13"/>
  <c r="AM64" i="13"/>
  <c r="AM65" i="13"/>
  <c r="AM66" i="13"/>
  <c r="AM67" i="13"/>
  <c r="E69" i="13"/>
  <c r="Q69" i="13"/>
  <c r="P69" i="13" s="1"/>
  <c r="AH69" i="13"/>
  <c r="E70" i="13"/>
  <c r="P70" i="13"/>
  <c r="F71" i="13"/>
  <c r="E71" i="13" s="1"/>
  <c r="D71" i="13" s="1"/>
  <c r="AM71" i="13" s="1"/>
  <c r="Q71" i="13"/>
  <c r="P71" i="13" s="1"/>
  <c r="AH71" i="13"/>
  <c r="E72" i="13"/>
  <c r="P72" i="13"/>
  <c r="AH72" i="13"/>
  <c r="E73" i="13"/>
  <c r="P73" i="13"/>
  <c r="F74" i="13"/>
  <c r="E74" i="13" s="1"/>
  <c r="D74" i="13" s="1"/>
  <c r="AM74" i="13" s="1"/>
  <c r="P74" i="13"/>
  <c r="F82" i="13"/>
  <c r="E82" i="13" s="1"/>
  <c r="D82" i="13" s="1"/>
  <c r="AM82" i="13" s="1"/>
  <c r="AG82" i="13"/>
  <c r="F83" i="13"/>
  <c r="J83" i="13"/>
  <c r="AM84" i="13"/>
  <c r="AM85" i="13"/>
  <c r="AM86" i="13"/>
  <c r="AM87" i="13"/>
  <c r="AH88" i="13"/>
  <c r="AM88" i="13" s="1"/>
  <c r="AM89" i="13"/>
  <c r="AM90" i="13"/>
  <c r="F92" i="13"/>
  <c r="E92" i="13" s="1"/>
  <c r="P92" i="13"/>
  <c r="F93" i="13"/>
  <c r="E93" i="13" s="1"/>
  <c r="P93" i="13"/>
  <c r="F94" i="13"/>
  <c r="J94" i="13"/>
  <c r="Q94" i="13"/>
  <c r="P94" i="13" s="1"/>
  <c r="F95" i="13"/>
  <c r="E95" i="13" s="1"/>
  <c r="AM95" i="13" s="1"/>
  <c r="N95" i="13"/>
  <c r="P95" i="13"/>
  <c r="F96" i="13"/>
  <c r="E96" i="13" s="1"/>
  <c r="Q96" i="13"/>
  <c r="P96" i="13" s="1"/>
  <c r="F97" i="13"/>
  <c r="E97" i="13" s="1"/>
  <c r="Q97" i="13"/>
  <c r="P97" i="13" s="1"/>
  <c r="Q98" i="13"/>
  <c r="P98" i="13" s="1"/>
  <c r="AA98" i="13"/>
  <c r="X98" i="13" s="1"/>
  <c r="AH98" i="13"/>
  <c r="AG98" i="13" s="1"/>
  <c r="AM99" i="13"/>
  <c r="C100" i="13"/>
  <c r="H100" i="13"/>
  <c r="L100" i="13"/>
  <c r="M100" i="13"/>
  <c r="N100" i="13"/>
  <c r="R100" i="13"/>
  <c r="T100" i="13"/>
  <c r="V100" i="13"/>
  <c r="W100" i="13"/>
  <c r="AB100" i="13"/>
  <c r="AC100" i="13"/>
  <c r="AD100" i="13"/>
  <c r="AE100" i="13"/>
  <c r="AF100" i="13"/>
  <c r="AK100" i="13"/>
  <c r="AL100" i="13"/>
  <c r="D97" i="13" l="1"/>
  <c r="AM97" i="13" s="1"/>
  <c r="AH68" i="13"/>
  <c r="M48" i="71" s="1"/>
  <c r="E46" i="13"/>
  <c r="AG46" i="13"/>
  <c r="AC57" i="10"/>
  <c r="AC76" i="10" s="1"/>
  <c r="AD76" i="10"/>
  <c r="AH57" i="10"/>
  <c r="E94" i="13"/>
  <c r="AM94" i="13" s="1"/>
  <c r="AM93" i="13"/>
  <c r="E83" i="13"/>
  <c r="D83" i="13" s="1"/>
  <c r="AM83" i="13" s="1"/>
  <c r="D73" i="13"/>
  <c r="AM73" i="13" s="1"/>
  <c r="D72" i="13"/>
  <c r="AM72" i="13" s="1"/>
  <c r="E68" i="13"/>
  <c r="E56" i="13"/>
  <c r="D56" i="13" s="1"/>
  <c r="D53" i="13"/>
  <c r="AM53" i="13" s="1"/>
  <c r="D52" i="13"/>
  <c r="AM52" i="13" s="1"/>
  <c r="D51" i="13"/>
  <c r="AM51" i="13" s="1"/>
  <c r="D50" i="13"/>
  <c r="AM50" i="13" s="1"/>
  <c r="D33" i="13"/>
  <c r="AM33" i="13" s="1"/>
  <c r="P28" i="13"/>
  <c r="D22" i="13"/>
  <c r="E17" i="13"/>
  <c r="J100" i="13"/>
  <c r="AJ100" i="13"/>
  <c r="AC24" i="9"/>
  <c r="D75" i="10"/>
  <c r="E67" i="10"/>
  <c r="D56" i="10"/>
  <c r="AH56" i="10" s="1"/>
  <c r="D55" i="10"/>
  <c r="AH55" i="10" s="1"/>
  <c r="D54" i="10"/>
  <c r="AH54" i="10" s="1"/>
  <c r="D52" i="10"/>
  <c r="AH52" i="10" s="1"/>
  <c r="E50" i="10"/>
  <c r="D50" i="10" s="1"/>
  <c r="AH50" i="10" s="1"/>
  <c r="D49" i="10"/>
  <c r="AH49" i="10" s="1"/>
  <c r="D45" i="10"/>
  <c r="AH45" i="10" s="1"/>
  <c r="D44" i="10"/>
  <c r="AH44" i="10" s="1"/>
  <c r="D42" i="10"/>
  <c r="AH42" i="10" s="1"/>
  <c r="D38" i="10"/>
  <c r="AH38" i="10" s="1"/>
  <c r="AA30" i="10"/>
  <c r="D20" i="10"/>
  <c r="AH20" i="10" s="1"/>
  <c r="D17" i="10"/>
  <c r="AH17" i="10" s="1"/>
  <c r="D16" i="10"/>
  <c r="AH16" i="10" s="1"/>
  <c r="T18" i="69"/>
  <c r="D49" i="13"/>
  <c r="AM49" i="13" s="1"/>
  <c r="D48" i="13"/>
  <c r="AM48" i="13" s="1"/>
  <c r="E35" i="13"/>
  <c r="D34" i="13"/>
  <c r="AM34" i="13" s="1"/>
  <c r="D30" i="13"/>
  <c r="AM30" i="13" s="1"/>
  <c r="D23" i="13"/>
  <c r="AM23" i="13" s="1"/>
  <c r="D18" i="13"/>
  <c r="AM18" i="13" s="1"/>
  <c r="F16" i="71"/>
  <c r="Q16" i="71" s="1"/>
  <c r="I14" i="71"/>
  <c r="P12" i="13"/>
  <c r="P11" i="13" s="1"/>
  <c r="D11" i="13"/>
  <c r="O5" i="71"/>
  <c r="M8" i="71"/>
  <c r="M7" i="71" s="1"/>
  <c r="O7" i="71"/>
  <c r="D72" i="10"/>
  <c r="AH72" i="10" s="1"/>
  <c r="P67" i="10"/>
  <c r="D67" i="10" s="1"/>
  <c r="AH67" i="10" s="1"/>
  <c r="D68" i="10"/>
  <c r="AH68" i="10" s="1"/>
  <c r="F60" i="10"/>
  <c r="E60" i="10" s="1"/>
  <c r="C13" i="71"/>
  <c r="C5" i="71"/>
  <c r="D4" i="71"/>
  <c r="X4" i="10"/>
  <c r="P47" i="10"/>
  <c r="D48" i="10"/>
  <c r="AH48" i="10" s="1"/>
  <c r="E11" i="10"/>
  <c r="AA5" i="13"/>
  <c r="I8" i="71" s="1"/>
  <c r="Z6" i="13"/>
  <c r="Z5" i="13" s="1"/>
  <c r="E73" i="10"/>
  <c r="AH73" i="10" s="1"/>
  <c r="AH63" i="10"/>
  <c r="D61" i="10"/>
  <c r="AH61" i="10" s="1"/>
  <c r="Z30" i="10"/>
  <c r="X30" i="10" s="1"/>
  <c r="D15" i="10"/>
  <c r="AH15" i="10" s="1"/>
  <c r="F4" i="10"/>
  <c r="F76" i="10" s="1"/>
  <c r="E6" i="10"/>
  <c r="D51" i="10"/>
  <c r="AH51" i="10" s="1"/>
  <c r="D43" i="10"/>
  <c r="AH43" i="10" s="1"/>
  <c r="D41" i="10"/>
  <c r="AH41" i="10" s="1"/>
  <c r="D21" i="10"/>
  <c r="AH21" i="10" s="1"/>
  <c r="D10" i="10"/>
  <c r="AH10" i="10" s="1"/>
  <c r="G76" i="10"/>
  <c r="E47" i="10"/>
  <c r="AH25" i="10"/>
  <c r="P58" i="10"/>
  <c r="AH36" i="10"/>
  <c r="D28" i="10"/>
  <c r="AH28" i="10" s="1"/>
  <c r="O76" i="10"/>
  <c r="AA15" i="13"/>
  <c r="AM15" i="13" s="1"/>
  <c r="AM92" i="13"/>
  <c r="E91" i="13"/>
  <c r="D35" i="13"/>
  <c r="AM35" i="13" s="1"/>
  <c r="D17" i="13"/>
  <c r="AM22" i="13"/>
  <c r="AM96" i="13"/>
  <c r="P91" i="13"/>
  <c r="D69" i="13"/>
  <c r="AM69" i="13" s="1"/>
  <c r="P68" i="13"/>
  <c r="D68" i="13" s="1"/>
  <c r="AM68" i="13" s="1"/>
  <c r="E55" i="13"/>
  <c r="D55" i="13" s="1"/>
  <c r="P46" i="13"/>
  <c r="D46" i="13" s="1"/>
  <c r="AM46" i="13" s="1"/>
  <c r="D47" i="13"/>
  <c r="AM47" i="13" s="1"/>
  <c r="P17" i="13"/>
  <c r="D70" i="13"/>
  <c r="AM70" i="13" s="1"/>
  <c r="D36" i="13"/>
  <c r="AM36" i="13" s="1"/>
  <c r="D29" i="13"/>
  <c r="AM29" i="13" s="1"/>
  <c r="D12" i="13"/>
  <c r="AI4" i="13"/>
  <c r="J4" i="13"/>
  <c r="AM13" i="13"/>
  <c r="AO63" i="13"/>
  <c r="AM17" i="13" l="1"/>
  <c r="I5" i="71"/>
  <c r="F8" i="71"/>
  <c r="I7" i="71"/>
  <c r="D60" i="10"/>
  <c r="AH60" i="10" s="1"/>
  <c r="E59" i="10"/>
  <c r="O4" i="71"/>
  <c r="M5" i="71"/>
  <c r="M4" i="71" s="1"/>
  <c r="M49" i="71"/>
  <c r="F14" i="71"/>
  <c r="I13" i="71"/>
  <c r="AA76" i="10"/>
  <c r="I13" i="70"/>
  <c r="C75" i="10"/>
  <c r="D78" i="10"/>
  <c r="E78" i="10" s="1"/>
  <c r="C4" i="71"/>
  <c r="D24" i="10"/>
  <c r="C24" i="10" s="1"/>
  <c r="AH24" i="10" s="1"/>
  <c r="E4" i="10"/>
  <c r="D6" i="10"/>
  <c r="AH6" i="10" s="1"/>
  <c r="D47" i="10"/>
  <c r="C47" i="10" s="1"/>
  <c r="AH47" i="10" s="1"/>
  <c r="Z76" i="10"/>
  <c r="D37" i="10"/>
  <c r="X76" i="10"/>
  <c r="AA12" i="13"/>
  <c r="AA11" i="13" s="1"/>
  <c r="AH4" i="13"/>
  <c r="AM91" i="13"/>
  <c r="F13" i="70" l="1"/>
  <c r="Q13" i="70" s="1"/>
  <c r="I12" i="70"/>
  <c r="F7" i="71"/>
  <c r="AH75" i="10"/>
  <c r="D37" i="70"/>
  <c r="F13" i="71"/>
  <c r="E58" i="10"/>
  <c r="D58" i="10" s="1"/>
  <c r="AH58" i="10" s="1"/>
  <c r="D59" i="10"/>
  <c r="AH59" i="10" s="1"/>
  <c r="I49" i="71"/>
  <c r="F5" i="71"/>
  <c r="I4" i="71"/>
  <c r="AH37" i="10"/>
  <c r="D30" i="10"/>
  <c r="AH30" i="10" s="1"/>
  <c r="E3" i="10"/>
  <c r="E76" i="10" s="1"/>
  <c r="AM12" i="13"/>
  <c r="Z11" i="13"/>
  <c r="AA4" i="13"/>
  <c r="AA100" i="13" s="1"/>
  <c r="AG4" i="13"/>
  <c r="AG100" i="13" s="1"/>
  <c r="AH100" i="13"/>
  <c r="F4" i="71" l="1"/>
  <c r="C37" i="70"/>
  <c r="D38" i="70"/>
  <c r="F12" i="70"/>
  <c r="I38" i="70"/>
  <c r="AM11" i="13"/>
  <c r="Q12" i="70" l="1"/>
  <c r="F38" i="70"/>
  <c r="C38" i="70"/>
  <c r="Q37" i="70"/>
  <c r="AE70" i="11" l="1"/>
  <c r="AZ84" i="11" l="1"/>
  <c r="AZ4" i="11"/>
  <c r="BG75" i="11"/>
  <c r="BU83" i="11"/>
  <c r="F7" i="11" l="1"/>
  <c r="U29" i="51" l="1"/>
  <c r="G47" i="71" l="1"/>
  <c r="AC46" i="73"/>
  <c r="AF11" i="11"/>
  <c r="L14" i="73" s="1"/>
  <c r="BK56" i="11"/>
  <c r="BJ84" i="11"/>
  <c r="AF7" i="11"/>
  <c r="L10" i="73" s="1"/>
  <c r="AU4" i="11"/>
  <c r="AD70" i="11"/>
  <c r="X70" i="11" s="1"/>
  <c r="J41" i="73" s="1"/>
  <c r="D8" i="11"/>
  <c r="R7" i="11"/>
  <c r="J4" i="11"/>
  <c r="J7" i="11"/>
  <c r="J10" i="11"/>
  <c r="J3" i="11" s="1"/>
  <c r="I10" i="11"/>
  <c r="I7" i="11"/>
  <c r="I4" i="11"/>
  <c r="G10" i="11"/>
  <c r="F10" i="11"/>
  <c r="E10" i="11"/>
  <c r="E18" i="9"/>
  <c r="V7" i="14"/>
  <c r="Z7" i="14"/>
  <c r="Z4" i="14"/>
  <c r="I3" i="11" l="1"/>
  <c r="G41" i="73"/>
  <c r="AK41" i="73" s="1"/>
  <c r="J37" i="73"/>
  <c r="L9" i="73"/>
  <c r="Z46" i="73"/>
  <c r="AK46" i="73" s="1"/>
  <c r="AC44" i="73"/>
  <c r="AC48" i="73" s="1"/>
  <c r="L13" i="73"/>
  <c r="K14" i="73"/>
  <c r="AK14" i="73" s="1"/>
  <c r="G45" i="71"/>
  <c r="F47" i="71"/>
  <c r="Q47" i="71" s="1"/>
  <c r="C11" i="76"/>
  <c r="C10" i="76"/>
  <c r="C9" i="76"/>
  <c r="C8" i="76"/>
  <c r="C7" i="76"/>
  <c r="C6" i="76"/>
  <c r="C5" i="76"/>
  <c r="C4" i="76"/>
  <c r="C3" i="76"/>
  <c r="C2" i="76"/>
  <c r="D11" i="76"/>
  <c r="D10" i="76"/>
  <c r="D9" i="76"/>
  <c r="D8" i="76"/>
  <c r="D7" i="76"/>
  <c r="D6" i="76"/>
  <c r="D5" i="76"/>
  <c r="D4" i="76"/>
  <c r="D3" i="76"/>
  <c r="D2" i="76"/>
  <c r="T17" i="73" l="1"/>
  <c r="K15" i="70"/>
  <c r="K21" i="70"/>
  <c r="K18" i="70" s="1"/>
  <c r="J18" i="70" s="1"/>
  <c r="J15" i="70"/>
  <c r="Q15" i="70" s="1"/>
  <c r="J21" i="70"/>
  <c r="J18" i="71"/>
  <c r="G37" i="73"/>
  <c r="J48" i="73"/>
  <c r="J5" i="70"/>
  <c r="J8" i="71"/>
  <c r="K5" i="70"/>
  <c r="K4" i="70" s="1"/>
  <c r="F45" i="71"/>
  <c r="G49" i="71"/>
  <c r="L4" i="73"/>
  <c r="L12" i="73"/>
  <c r="L4" i="75"/>
  <c r="H4" i="75"/>
  <c r="Q45" i="71" l="1"/>
  <c r="F49" i="71"/>
  <c r="J7" i="71"/>
  <c r="Q8" i="71"/>
  <c r="Q7" i="71" s="1"/>
  <c r="Q18" i="71"/>
  <c r="J14" i="71"/>
  <c r="J5" i="71" s="1"/>
  <c r="L48" i="73"/>
  <c r="L3" i="73"/>
  <c r="J4" i="70"/>
  <c r="Q4" i="70" s="1"/>
  <c r="Q5" i="70"/>
  <c r="G48" i="73"/>
  <c r="Q18" i="70"/>
  <c r="Q38" i="70" s="1"/>
  <c r="J38" i="70"/>
  <c r="T13" i="73"/>
  <c r="Q17" i="73"/>
  <c r="BX96" i="11"/>
  <c r="D11" i="9"/>
  <c r="BJ56" i="11"/>
  <c r="BI56" i="11" s="1"/>
  <c r="AA45" i="73" s="1"/>
  <c r="J4" i="71" l="1"/>
  <c r="J49" i="71"/>
  <c r="Q5" i="71"/>
  <c r="Q4" i="71" s="1"/>
  <c r="AA44" i="73"/>
  <c r="AA48" i="73" s="1"/>
  <c r="Z45" i="73"/>
  <c r="T4" i="73"/>
  <c r="T12" i="73"/>
  <c r="Q13" i="73"/>
  <c r="Q12" i="73" s="1"/>
  <c r="J13" i="71"/>
  <c r="Q14" i="71"/>
  <c r="Q13" i="71" s="1"/>
  <c r="AK14" i="11"/>
  <c r="M15" i="73" s="1"/>
  <c r="T48" i="73" l="1"/>
  <c r="Q4" i="73"/>
  <c r="T3" i="73"/>
  <c r="M13" i="73"/>
  <c r="K15" i="73"/>
  <c r="AK15" i="73" s="1"/>
  <c r="AK45" i="73"/>
  <c r="AK44" i="73" s="1"/>
  <c r="Z44" i="73"/>
  <c r="Z48" i="73" s="1"/>
  <c r="BX5" i="11"/>
  <c r="AI7" i="73" s="1"/>
  <c r="AI4" i="73" l="1"/>
  <c r="AI6" i="73"/>
  <c r="M12" i="73"/>
  <c r="M4" i="73"/>
  <c r="Q3" i="73"/>
  <c r="CA83" i="11"/>
  <c r="BG72" i="11"/>
  <c r="CA72" i="11" s="1"/>
  <c r="CA70" i="11"/>
  <c r="CA8" i="11"/>
  <c r="CA9" i="11"/>
  <c r="CA17" i="11"/>
  <c r="CA19" i="11"/>
  <c r="CA20" i="11"/>
  <c r="CA21" i="11"/>
  <c r="CA22" i="11"/>
  <c r="CA24" i="11"/>
  <c r="CA25" i="11"/>
  <c r="CA26" i="11"/>
  <c r="CA27" i="11"/>
  <c r="CA28" i="11"/>
  <c r="CA29" i="11"/>
  <c r="CA30" i="11"/>
  <c r="CA31" i="11"/>
  <c r="CA35" i="11"/>
  <c r="CA38" i="11"/>
  <c r="CA39" i="11"/>
  <c r="CA40" i="11"/>
  <c r="CA42" i="11"/>
  <c r="CA43" i="11"/>
  <c r="CA44" i="11"/>
  <c r="CA45" i="11"/>
  <c r="CA47" i="11"/>
  <c r="CA50" i="11"/>
  <c r="CA51" i="11"/>
  <c r="CA52" i="11"/>
  <c r="CA53" i="11"/>
  <c r="CA54" i="11"/>
  <c r="CA55" i="11"/>
  <c r="CA58" i="11"/>
  <c r="CA59" i="11"/>
  <c r="CA60" i="11"/>
  <c r="CA63" i="11"/>
  <c r="CA64" i="11"/>
  <c r="CA65" i="11"/>
  <c r="CA66" i="11"/>
  <c r="CA67" i="11"/>
  <c r="CA68" i="11"/>
  <c r="CA69" i="11"/>
  <c r="CA71" i="11"/>
  <c r="CA73" i="11"/>
  <c r="CA74" i="11"/>
  <c r="CA76" i="11"/>
  <c r="CA79" i="11"/>
  <c r="CA81" i="11"/>
  <c r="CA85" i="11"/>
  <c r="CA86" i="11"/>
  <c r="CA87" i="11"/>
  <c r="CA88" i="11"/>
  <c r="CA89" i="11"/>
  <c r="CA90" i="11"/>
  <c r="CA91" i="11"/>
  <c r="CA101" i="11"/>
  <c r="CA102" i="11"/>
  <c r="CA103" i="11"/>
  <c r="CA104" i="11"/>
  <c r="CA105" i="11"/>
  <c r="M48" i="73" l="1"/>
  <c r="M3" i="73"/>
  <c r="AI48" i="73"/>
  <c r="AI3" i="73"/>
  <c r="W40" i="9"/>
  <c r="W41" i="9"/>
  <c r="W42" i="9"/>
  <c r="P43" i="9"/>
  <c r="Q43" i="9"/>
  <c r="F43" i="9"/>
  <c r="O43" i="9" l="1"/>
  <c r="D7" i="9"/>
  <c r="C11" i="53"/>
  <c r="I43" i="9" l="1"/>
  <c r="BM57" i="11"/>
  <c r="Z56" i="13" s="1"/>
  <c r="AM56" i="13" l="1"/>
  <c r="X55" i="13"/>
  <c r="Z100" i="13"/>
  <c r="CA57" i="11"/>
  <c r="X100" i="13" l="1"/>
  <c r="AZ34" i="11"/>
  <c r="CA34" i="11" s="1"/>
  <c r="CA11" i="11" l="1"/>
  <c r="E7" i="11"/>
  <c r="G7" i="11"/>
  <c r="W7" i="11"/>
  <c r="AQ7" i="11"/>
  <c r="AM7" i="11" s="1"/>
  <c r="O10" i="73" s="1"/>
  <c r="AU7" i="11"/>
  <c r="BU7" i="11"/>
  <c r="AG10" i="73" s="1"/>
  <c r="T7" i="11"/>
  <c r="K7" i="11" s="1"/>
  <c r="F10" i="73" s="1"/>
  <c r="F9" i="73" s="1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Y108" i="14"/>
  <c r="Y109" i="14"/>
  <c r="Y110" i="14"/>
  <c r="Y111" i="14"/>
  <c r="Y112" i="14"/>
  <c r="Y113" i="14"/>
  <c r="Y114" i="14"/>
  <c r="Y115" i="14"/>
  <c r="Y116" i="14"/>
  <c r="Y117" i="14"/>
  <c r="Y118" i="14"/>
  <c r="Y119" i="14"/>
  <c r="Y120" i="14"/>
  <c r="Y121" i="14"/>
  <c r="Y122" i="14"/>
  <c r="Y123" i="14"/>
  <c r="Y124" i="14"/>
  <c r="Y125" i="14"/>
  <c r="Y126" i="14"/>
  <c r="Y127" i="14"/>
  <c r="Y128" i="14"/>
  <c r="Y129" i="14"/>
  <c r="Y130" i="14"/>
  <c r="Y131" i="14"/>
  <c r="Y132" i="14"/>
  <c r="Y133" i="14"/>
  <c r="Y134" i="14"/>
  <c r="Y135" i="14"/>
  <c r="Y136" i="14"/>
  <c r="Y137" i="14"/>
  <c r="Y138" i="14"/>
  <c r="Y139" i="14"/>
  <c r="Y140" i="14"/>
  <c r="Y141" i="14"/>
  <c r="Y142" i="14"/>
  <c r="Y143" i="14"/>
  <c r="Y144" i="14"/>
  <c r="Y145" i="14"/>
  <c r="Y146" i="14"/>
  <c r="Y147" i="14"/>
  <c r="Y148" i="14"/>
  <c r="Y149" i="14"/>
  <c r="Y150" i="14"/>
  <c r="Y151" i="14"/>
  <c r="Y152" i="14"/>
  <c r="Y153" i="14"/>
  <c r="Y154" i="14"/>
  <c r="Y155" i="14"/>
  <c r="Y156" i="14"/>
  <c r="Y157" i="14"/>
  <c r="Y158" i="14"/>
  <c r="Y159" i="14"/>
  <c r="Y160" i="14"/>
  <c r="Y161" i="14"/>
  <c r="Y162" i="14"/>
  <c r="Y163" i="14"/>
  <c r="Y164" i="14"/>
  <c r="Y165" i="14"/>
  <c r="Y166" i="14"/>
  <c r="Y167" i="14"/>
  <c r="Y168" i="14"/>
  <c r="Y169" i="14"/>
  <c r="Y170" i="14"/>
  <c r="Y171" i="14"/>
  <c r="Y172" i="14"/>
  <c r="Y173" i="14"/>
  <c r="Y174" i="14"/>
  <c r="Y175" i="14"/>
  <c r="Y176" i="14"/>
  <c r="Y177" i="14"/>
  <c r="Y178" i="14"/>
  <c r="Y179" i="14"/>
  <c r="Y180" i="14"/>
  <c r="Y181" i="14"/>
  <c r="Y182" i="14"/>
  <c r="Y183" i="14"/>
  <c r="Y184" i="14"/>
  <c r="Y185" i="14"/>
  <c r="Y186" i="14"/>
  <c r="Y187" i="14"/>
  <c r="Y188" i="14"/>
  <c r="Y189" i="14"/>
  <c r="Y190" i="14"/>
  <c r="Y191" i="14"/>
  <c r="Y192" i="14"/>
  <c r="Y193" i="14"/>
  <c r="Y194" i="14"/>
  <c r="Y195" i="14"/>
  <c r="Y196" i="14"/>
  <c r="Y197" i="14"/>
  <c r="Y198" i="14"/>
  <c r="Y199" i="14"/>
  <c r="Y200" i="14"/>
  <c r="Y201" i="14"/>
  <c r="Y202" i="14"/>
  <c r="Y203" i="14"/>
  <c r="Y204" i="14"/>
  <c r="Y205" i="14"/>
  <c r="Y206" i="14"/>
  <c r="Y207" i="14"/>
  <c r="Y208" i="14"/>
  <c r="Y209" i="14"/>
  <c r="Y210" i="14"/>
  <c r="Y211" i="14"/>
  <c r="Y212" i="14"/>
  <c r="Y213" i="14"/>
  <c r="Y214" i="14"/>
  <c r="Y215" i="14"/>
  <c r="Y216" i="14"/>
  <c r="Y217" i="14"/>
  <c r="Y218" i="14"/>
  <c r="Y219" i="14"/>
  <c r="Y220" i="14"/>
  <c r="Y221" i="14"/>
  <c r="Y222" i="14"/>
  <c r="Y223" i="14"/>
  <c r="Y224" i="14"/>
  <c r="Y225" i="14"/>
  <c r="Y226" i="14"/>
  <c r="Y227" i="14"/>
  <c r="Y228" i="14"/>
  <c r="Y229" i="14"/>
  <c r="Y230" i="14"/>
  <c r="Y231" i="14"/>
  <c r="Y232" i="14"/>
  <c r="Y233" i="14"/>
  <c r="Y234" i="14"/>
  <c r="Y235" i="14"/>
  <c r="Y236" i="14"/>
  <c r="Y237" i="14"/>
  <c r="Y238" i="14"/>
  <c r="Y239" i="14"/>
  <c r="Y240" i="14"/>
  <c r="Y241" i="14"/>
  <c r="Y242" i="14"/>
  <c r="Y243" i="14"/>
  <c r="Y244" i="14"/>
  <c r="Y245" i="14"/>
  <c r="Y246" i="14"/>
  <c r="Y247" i="14"/>
  <c r="Y248" i="14"/>
  <c r="Y249" i="14"/>
  <c r="Y250" i="14"/>
  <c r="Y251" i="14"/>
  <c r="Y252" i="14"/>
  <c r="Y253" i="14"/>
  <c r="Y254" i="14"/>
  <c r="Y255" i="14"/>
  <c r="Y256" i="14"/>
  <c r="Y257" i="14"/>
  <c r="Y258" i="14"/>
  <c r="Y259" i="14"/>
  <c r="Y260" i="14"/>
  <c r="Y261" i="14"/>
  <c r="Y262" i="14"/>
  <c r="Y263" i="14"/>
  <c r="Y264" i="14"/>
  <c r="Y265" i="14"/>
  <c r="Y266" i="14"/>
  <c r="Y267" i="14"/>
  <c r="Y268" i="14"/>
  <c r="Y269" i="14"/>
  <c r="Y270" i="14"/>
  <c r="Y271" i="14"/>
  <c r="Y272" i="14"/>
  <c r="Y273" i="14"/>
  <c r="Y274" i="14"/>
  <c r="Y275" i="14"/>
  <c r="Y276" i="14"/>
  <c r="Y277" i="14"/>
  <c r="Y278" i="14"/>
  <c r="Y279" i="14"/>
  <c r="Y280" i="14"/>
  <c r="Y281" i="14"/>
  <c r="Y282" i="14"/>
  <c r="Y283" i="14"/>
  <c r="Y284" i="14"/>
  <c r="Y285" i="14"/>
  <c r="Y12" i="14"/>
  <c r="X13" i="14"/>
  <c r="X14" i="14"/>
  <c r="X15" i="14"/>
  <c r="X16" i="14"/>
  <c r="X17" i="14"/>
  <c r="X18" i="14"/>
  <c r="X19" i="14"/>
  <c r="X20" i="14"/>
  <c r="X21" i="14"/>
  <c r="X22" i="14"/>
  <c r="X23" i="14"/>
  <c r="X24" i="14"/>
  <c r="X25" i="14"/>
  <c r="X26" i="14"/>
  <c r="X27" i="14"/>
  <c r="X28" i="14"/>
  <c r="X29" i="14"/>
  <c r="X30" i="14"/>
  <c r="X31" i="14"/>
  <c r="X32" i="14"/>
  <c r="X33" i="14"/>
  <c r="X34" i="14"/>
  <c r="X35" i="14"/>
  <c r="X36" i="14"/>
  <c r="X37" i="14"/>
  <c r="X38" i="14"/>
  <c r="X39" i="14"/>
  <c r="X40" i="14"/>
  <c r="X41" i="14"/>
  <c r="X42" i="14"/>
  <c r="X43" i="14"/>
  <c r="X44" i="14"/>
  <c r="X45" i="14"/>
  <c r="X46" i="14"/>
  <c r="X47" i="14"/>
  <c r="X48" i="14"/>
  <c r="X49" i="14"/>
  <c r="X50" i="14"/>
  <c r="X51" i="14"/>
  <c r="X52" i="14"/>
  <c r="X53" i="14"/>
  <c r="X54" i="14"/>
  <c r="X55" i="14"/>
  <c r="X56" i="14"/>
  <c r="X57" i="14"/>
  <c r="X58" i="14"/>
  <c r="X59" i="14"/>
  <c r="X60" i="14"/>
  <c r="X61" i="14"/>
  <c r="X62" i="14"/>
  <c r="X63" i="14"/>
  <c r="X64" i="14"/>
  <c r="X65" i="14"/>
  <c r="X66" i="14"/>
  <c r="X67" i="14"/>
  <c r="X68" i="14"/>
  <c r="X69" i="14"/>
  <c r="X70" i="14"/>
  <c r="X71" i="14"/>
  <c r="X72" i="14"/>
  <c r="X73" i="14"/>
  <c r="X74" i="14"/>
  <c r="X75" i="14"/>
  <c r="X76" i="14"/>
  <c r="X77" i="14"/>
  <c r="X78" i="14"/>
  <c r="X79" i="14"/>
  <c r="X80" i="14"/>
  <c r="X81" i="14"/>
  <c r="X82" i="14"/>
  <c r="X83" i="14"/>
  <c r="X84" i="14"/>
  <c r="X85" i="14"/>
  <c r="X86" i="14"/>
  <c r="X87" i="14"/>
  <c r="X88" i="14"/>
  <c r="X89" i="14"/>
  <c r="X90" i="14"/>
  <c r="X91" i="14"/>
  <c r="X92" i="14"/>
  <c r="X93" i="14"/>
  <c r="X94" i="14"/>
  <c r="X95" i="14"/>
  <c r="X96" i="14"/>
  <c r="X97" i="14"/>
  <c r="X98" i="14"/>
  <c r="X99" i="14"/>
  <c r="X100" i="14"/>
  <c r="X101" i="14"/>
  <c r="X102" i="14"/>
  <c r="X103" i="14"/>
  <c r="X104" i="14"/>
  <c r="X105" i="14"/>
  <c r="X106" i="14"/>
  <c r="X107" i="14"/>
  <c r="X108" i="14"/>
  <c r="X109" i="14"/>
  <c r="X110" i="14"/>
  <c r="X111" i="14"/>
  <c r="X112" i="14"/>
  <c r="X113" i="14"/>
  <c r="X114" i="14"/>
  <c r="X115" i="14"/>
  <c r="X116" i="14"/>
  <c r="X117" i="14"/>
  <c r="X118" i="14"/>
  <c r="X119" i="14"/>
  <c r="X120" i="14"/>
  <c r="X121" i="14"/>
  <c r="X122" i="14"/>
  <c r="X123" i="14"/>
  <c r="X124" i="14"/>
  <c r="X125" i="14"/>
  <c r="X126" i="14"/>
  <c r="X127" i="14"/>
  <c r="X128" i="14"/>
  <c r="X129" i="14"/>
  <c r="X130" i="14"/>
  <c r="X131" i="14"/>
  <c r="X132" i="14"/>
  <c r="X133" i="14"/>
  <c r="X134" i="14"/>
  <c r="X135" i="14"/>
  <c r="X136" i="14"/>
  <c r="X137" i="14"/>
  <c r="X138" i="14"/>
  <c r="X139" i="14"/>
  <c r="X140" i="14"/>
  <c r="X141" i="14"/>
  <c r="X142" i="14"/>
  <c r="X143" i="14"/>
  <c r="X144" i="14"/>
  <c r="X145" i="14"/>
  <c r="X146" i="14"/>
  <c r="X147" i="14"/>
  <c r="X148" i="14"/>
  <c r="X149" i="14"/>
  <c r="X150" i="14"/>
  <c r="X151" i="14"/>
  <c r="X152" i="14"/>
  <c r="X153" i="14"/>
  <c r="X154" i="14"/>
  <c r="X155" i="14"/>
  <c r="X156" i="14"/>
  <c r="X157" i="14"/>
  <c r="X158" i="14"/>
  <c r="X159" i="14"/>
  <c r="X160" i="14"/>
  <c r="X161" i="14"/>
  <c r="X162" i="14"/>
  <c r="X163" i="14"/>
  <c r="X164" i="14"/>
  <c r="X165" i="14"/>
  <c r="X166" i="14"/>
  <c r="X167" i="14"/>
  <c r="X168" i="14"/>
  <c r="X169" i="14"/>
  <c r="X170" i="14"/>
  <c r="X171" i="14"/>
  <c r="X172" i="14"/>
  <c r="X173" i="14"/>
  <c r="X174" i="14"/>
  <c r="X175" i="14"/>
  <c r="X176" i="14"/>
  <c r="X177" i="14"/>
  <c r="X178" i="14"/>
  <c r="X179" i="14"/>
  <c r="X180" i="14"/>
  <c r="X181" i="14"/>
  <c r="X182" i="14"/>
  <c r="X183" i="14"/>
  <c r="X184" i="14"/>
  <c r="X185" i="14"/>
  <c r="X186" i="14"/>
  <c r="X187" i="14"/>
  <c r="X188" i="14"/>
  <c r="X189" i="14"/>
  <c r="X190" i="14"/>
  <c r="X191" i="14"/>
  <c r="X192" i="14"/>
  <c r="X193" i="14"/>
  <c r="X194" i="14"/>
  <c r="X195" i="14"/>
  <c r="X196" i="14"/>
  <c r="X197" i="14"/>
  <c r="X198" i="14"/>
  <c r="X199" i="14"/>
  <c r="X200" i="14"/>
  <c r="X201" i="14"/>
  <c r="X202" i="14"/>
  <c r="X203" i="14"/>
  <c r="X204" i="14"/>
  <c r="X205" i="14"/>
  <c r="X206" i="14"/>
  <c r="X207" i="14"/>
  <c r="X208" i="14"/>
  <c r="X209" i="14"/>
  <c r="X210" i="14"/>
  <c r="X211" i="14"/>
  <c r="X212" i="14"/>
  <c r="X213" i="14"/>
  <c r="X214" i="14"/>
  <c r="X215" i="14"/>
  <c r="X216" i="14"/>
  <c r="X217" i="14"/>
  <c r="X218" i="14"/>
  <c r="X219" i="14"/>
  <c r="X220" i="14"/>
  <c r="X221" i="14"/>
  <c r="X222" i="14"/>
  <c r="X223" i="14"/>
  <c r="X224" i="14"/>
  <c r="X225" i="14"/>
  <c r="X226" i="14"/>
  <c r="X227" i="14"/>
  <c r="X228" i="14"/>
  <c r="X229" i="14"/>
  <c r="X230" i="14"/>
  <c r="X231" i="14"/>
  <c r="X232" i="14"/>
  <c r="X233" i="14"/>
  <c r="X234" i="14"/>
  <c r="X235" i="14"/>
  <c r="X236" i="14"/>
  <c r="X237" i="14"/>
  <c r="X238" i="14"/>
  <c r="X239" i="14"/>
  <c r="X240" i="14"/>
  <c r="X241" i="14"/>
  <c r="X242" i="14"/>
  <c r="X243" i="14"/>
  <c r="X244" i="14"/>
  <c r="X245" i="14"/>
  <c r="X246" i="14"/>
  <c r="X247" i="14"/>
  <c r="X248" i="14"/>
  <c r="X249" i="14"/>
  <c r="X250" i="14"/>
  <c r="X251" i="14"/>
  <c r="X252" i="14"/>
  <c r="X253" i="14"/>
  <c r="X254" i="14"/>
  <c r="X255" i="14"/>
  <c r="X256" i="14"/>
  <c r="X257" i="14"/>
  <c r="X258" i="14"/>
  <c r="X259" i="14"/>
  <c r="X260" i="14"/>
  <c r="X261" i="14"/>
  <c r="X262" i="14"/>
  <c r="X263" i="14"/>
  <c r="X264" i="14"/>
  <c r="X265" i="14"/>
  <c r="X266" i="14"/>
  <c r="X267" i="14"/>
  <c r="X268" i="14"/>
  <c r="X269" i="14"/>
  <c r="X270" i="14"/>
  <c r="X271" i="14"/>
  <c r="X272" i="14"/>
  <c r="X273" i="14"/>
  <c r="X274" i="14"/>
  <c r="X275" i="14"/>
  <c r="X276" i="14"/>
  <c r="X277" i="14"/>
  <c r="X278" i="14"/>
  <c r="X279" i="14"/>
  <c r="X280" i="14"/>
  <c r="X281" i="14"/>
  <c r="X282" i="14"/>
  <c r="X283" i="14"/>
  <c r="X284" i="14"/>
  <c r="X285" i="14"/>
  <c r="X12" i="14"/>
  <c r="W13" i="14"/>
  <c r="W14" i="14"/>
  <c r="W15" i="14"/>
  <c r="W16" i="14"/>
  <c r="W17" i="14"/>
  <c r="W18" i="14"/>
  <c r="W19" i="14"/>
  <c r="W20" i="14"/>
  <c r="W21" i="14"/>
  <c r="W22" i="14"/>
  <c r="W23" i="14"/>
  <c r="W24" i="14"/>
  <c r="W25" i="14"/>
  <c r="W26" i="14"/>
  <c r="W27" i="14"/>
  <c r="W28" i="14"/>
  <c r="W29" i="14"/>
  <c r="W30" i="14"/>
  <c r="W31" i="14"/>
  <c r="W32" i="14"/>
  <c r="W33" i="14"/>
  <c r="W34" i="14"/>
  <c r="W35" i="14"/>
  <c r="W36" i="14"/>
  <c r="W37" i="14"/>
  <c r="W38" i="14"/>
  <c r="W39" i="14"/>
  <c r="W40" i="14"/>
  <c r="W41" i="14"/>
  <c r="W42" i="14"/>
  <c r="W43" i="14"/>
  <c r="W44" i="14"/>
  <c r="W45" i="14"/>
  <c r="W46" i="14"/>
  <c r="W47" i="14"/>
  <c r="W48" i="14"/>
  <c r="W49" i="14"/>
  <c r="W50" i="14"/>
  <c r="W51" i="14"/>
  <c r="W52" i="14"/>
  <c r="W53" i="14"/>
  <c r="W54" i="14"/>
  <c r="W55" i="14"/>
  <c r="W56" i="14"/>
  <c r="W57" i="14"/>
  <c r="W58" i="14"/>
  <c r="W59" i="14"/>
  <c r="W60" i="14"/>
  <c r="W61" i="14"/>
  <c r="W62" i="14"/>
  <c r="W63" i="14"/>
  <c r="W64" i="14"/>
  <c r="W65" i="14"/>
  <c r="W66" i="14"/>
  <c r="W67" i="14"/>
  <c r="W68" i="14"/>
  <c r="W69" i="14"/>
  <c r="W70" i="14"/>
  <c r="W71" i="14"/>
  <c r="W72" i="14"/>
  <c r="W73" i="14"/>
  <c r="W74" i="14"/>
  <c r="W75" i="14"/>
  <c r="W76" i="14"/>
  <c r="W77" i="14"/>
  <c r="W78" i="14"/>
  <c r="W79" i="14"/>
  <c r="W80" i="14"/>
  <c r="W81" i="14"/>
  <c r="W82" i="14"/>
  <c r="W83" i="14"/>
  <c r="W84" i="14"/>
  <c r="W85" i="14"/>
  <c r="W86" i="14"/>
  <c r="W87" i="14"/>
  <c r="W88" i="14"/>
  <c r="W89" i="14"/>
  <c r="W90" i="14"/>
  <c r="W91" i="14"/>
  <c r="W92" i="14"/>
  <c r="W93" i="14"/>
  <c r="W94" i="14"/>
  <c r="W95" i="14"/>
  <c r="W96" i="14"/>
  <c r="W97" i="14"/>
  <c r="W98" i="14"/>
  <c r="W99" i="14"/>
  <c r="W100" i="14"/>
  <c r="W101" i="14"/>
  <c r="W102" i="14"/>
  <c r="W103" i="14"/>
  <c r="W104" i="14"/>
  <c r="W105" i="14"/>
  <c r="W106" i="14"/>
  <c r="W107" i="14"/>
  <c r="W108" i="14"/>
  <c r="W109" i="14"/>
  <c r="W110" i="14"/>
  <c r="W111" i="14"/>
  <c r="W112" i="14"/>
  <c r="W113" i="14"/>
  <c r="W114" i="14"/>
  <c r="W115" i="14"/>
  <c r="W116" i="14"/>
  <c r="W117" i="14"/>
  <c r="W118" i="14"/>
  <c r="W119" i="14"/>
  <c r="W120" i="14"/>
  <c r="W121" i="14"/>
  <c r="W122" i="14"/>
  <c r="W123" i="14"/>
  <c r="W124" i="14"/>
  <c r="W125" i="14"/>
  <c r="W126" i="14"/>
  <c r="W127" i="14"/>
  <c r="W128" i="14"/>
  <c r="W129" i="14"/>
  <c r="W130" i="14"/>
  <c r="W131" i="14"/>
  <c r="W132" i="14"/>
  <c r="W133" i="14"/>
  <c r="W134" i="14"/>
  <c r="W135" i="14"/>
  <c r="W136" i="14"/>
  <c r="W137" i="14"/>
  <c r="W138" i="14"/>
  <c r="W139" i="14"/>
  <c r="W140" i="14"/>
  <c r="W141" i="14"/>
  <c r="W142" i="14"/>
  <c r="W143" i="14"/>
  <c r="W144" i="14"/>
  <c r="W145" i="14"/>
  <c r="W146" i="14"/>
  <c r="W147" i="14"/>
  <c r="W148" i="14"/>
  <c r="W149" i="14"/>
  <c r="W150" i="14"/>
  <c r="W151" i="14"/>
  <c r="W152" i="14"/>
  <c r="W153" i="14"/>
  <c r="W154" i="14"/>
  <c r="W155" i="14"/>
  <c r="W156" i="14"/>
  <c r="W157" i="14"/>
  <c r="W158" i="14"/>
  <c r="W159" i="14"/>
  <c r="W160" i="14"/>
  <c r="W161" i="14"/>
  <c r="W162" i="14"/>
  <c r="W163" i="14"/>
  <c r="W164" i="14"/>
  <c r="W165" i="14"/>
  <c r="W166" i="14"/>
  <c r="W167" i="14"/>
  <c r="W168" i="14"/>
  <c r="W169" i="14"/>
  <c r="W170" i="14"/>
  <c r="W171" i="14"/>
  <c r="W172" i="14"/>
  <c r="W173" i="14"/>
  <c r="W174" i="14"/>
  <c r="W175" i="14"/>
  <c r="W176" i="14"/>
  <c r="W177" i="14"/>
  <c r="W178" i="14"/>
  <c r="W179" i="14"/>
  <c r="W180" i="14"/>
  <c r="W181" i="14"/>
  <c r="W182" i="14"/>
  <c r="W183" i="14"/>
  <c r="W184" i="14"/>
  <c r="W185" i="14"/>
  <c r="W186" i="14"/>
  <c r="W187" i="14"/>
  <c r="W188" i="14"/>
  <c r="W189" i="14"/>
  <c r="W190" i="14"/>
  <c r="W191" i="14"/>
  <c r="W192" i="14"/>
  <c r="W193" i="14"/>
  <c r="W194" i="14"/>
  <c r="W195" i="14"/>
  <c r="W196" i="14"/>
  <c r="W197" i="14"/>
  <c r="W198" i="14"/>
  <c r="W199" i="14"/>
  <c r="W200" i="14"/>
  <c r="W201" i="14"/>
  <c r="W202" i="14"/>
  <c r="W203" i="14"/>
  <c r="W204" i="14"/>
  <c r="W205" i="14"/>
  <c r="W206" i="14"/>
  <c r="W207" i="14"/>
  <c r="W208" i="14"/>
  <c r="W209" i="14"/>
  <c r="W210" i="14"/>
  <c r="W211" i="14"/>
  <c r="W212" i="14"/>
  <c r="W213" i="14"/>
  <c r="W214" i="14"/>
  <c r="W215" i="14"/>
  <c r="W216" i="14"/>
  <c r="W217" i="14"/>
  <c r="W218" i="14"/>
  <c r="W219" i="14"/>
  <c r="W220" i="14"/>
  <c r="W221" i="14"/>
  <c r="W222" i="14"/>
  <c r="W223" i="14"/>
  <c r="W224" i="14"/>
  <c r="W225" i="14"/>
  <c r="W226" i="14"/>
  <c r="W227" i="14"/>
  <c r="W228" i="14"/>
  <c r="W229" i="14"/>
  <c r="W230" i="14"/>
  <c r="W231" i="14"/>
  <c r="W232" i="14"/>
  <c r="W233" i="14"/>
  <c r="W234" i="14"/>
  <c r="W235" i="14"/>
  <c r="W236" i="14"/>
  <c r="W237" i="14"/>
  <c r="W238" i="14"/>
  <c r="W239" i="14"/>
  <c r="W240" i="14"/>
  <c r="W241" i="14"/>
  <c r="W242" i="14"/>
  <c r="W243" i="14"/>
  <c r="W244" i="14"/>
  <c r="W245" i="14"/>
  <c r="W246" i="14"/>
  <c r="W247" i="14"/>
  <c r="W248" i="14"/>
  <c r="W249" i="14"/>
  <c r="W250" i="14"/>
  <c r="W251" i="14"/>
  <c r="W252" i="14"/>
  <c r="W253" i="14"/>
  <c r="W254" i="14"/>
  <c r="W255" i="14"/>
  <c r="W256" i="14"/>
  <c r="W257" i="14"/>
  <c r="W258" i="14"/>
  <c r="W259" i="14"/>
  <c r="W260" i="14"/>
  <c r="W261" i="14"/>
  <c r="W262" i="14"/>
  <c r="W263" i="14"/>
  <c r="W264" i="14"/>
  <c r="W265" i="14"/>
  <c r="W266" i="14"/>
  <c r="W267" i="14"/>
  <c r="W268" i="14"/>
  <c r="W269" i="14"/>
  <c r="W270" i="14"/>
  <c r="W271" i="14"/>
  <c r="W272" i="14"/>
  <c r="W273" i="14"/>
  <c r="W274" i="14"/>
  <c r="W275" i="14"/>
  <c r="W276" i="14"/>
  <c r="W277" i="14"/>
  <c r="W278" i="14"/>
  <c r="W279" i="14"/>
  <c r="W280" i="14"/>
  <c r="W281" i="14"/>
  <c r="W282" i="14"/>
  <c r="W283" i="14"/>
  <c r="W284" i="14"/>
  <c r="W285" i="14"/>
  <c r="W12" i="14"/>
  <c r="BX97" i="11"/>
  <c r="CA97" i="11" s="1"/>
  <c r="BX61" i="11"/>
  <c r="CA61" i="11" s="1"/>
  <c r="BZ98" i="11"/>
  <c r="V13" i="14"/>
  <c r="V14" i="14"/>
  <c r="V15" i="14"/>
  <c r="V16" i="14"/>
  <c r="V17" i="14"/>
  <c r="V18" i="14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8" i="14"/>
  <c r="V49" i="14"/>
  <c r="V50" i="14"/>
  <c r="V51" i="14"/>
  <c r="V52" i="14"/>
  <c r="V53" i="14"/>
  <c r="V54" i="14"/>
  <c r="V55" i="14"/>
  <c r="V56" i="14"/>
  <c r="V57" i="14"/>
  <c r="V58" i="14"/>
  <c r="V59" i="14"/>
  <c r="V60" i="14"/>
  <c r="V61" i="14"/>
  <c r="V62" i="14"/>
  <c r="V63" i="14"/>
  <c r="V64" i="14"/>
  <c r="V65" i="14"/>
  <c r="V66" i="14"/>
  <c r="V67" i="14"/>
  <c r="V68" i="14"/>
  <c r="V69" i="14"/>
  <c r="V70" i="14"/>
  <c r="V71" i="14"/>
  <c r="V72" i="14"/>
  <c r="V73" i="14"/>
  <c r="V74" i="14"/>
  <c r="V75" i="14"/>
  <c r="V76" i="14"/>
  <c r="V77" i="14"/>
  <c r="V78" i="14"/>
  <c r="V79" i="14"/>
  <c r="V80" i="14"/>
  <c r="V81" i="14"/>
  <c r="V82" i="14"/>
  <c r="V83" i="14"/>
  <c r="V84" i="14"/>
  <c r="V85" i="14"/>
  <c r="V86" i="14"/>
  <c r="V87" i="14"/>
  <c r="V88" i="14"/>
  <c r="V89" i="14"/>
  <c r="V90" i="14"/>
  <c r="V91" i="14"/>
  <c r="V92" i="14"/>
  <c r="V93" i="14"/>
  <c r="V94" i="14"/>
  <c r="V95" i="14"/>
  <c r="V96" i="14"/>
  <c r="V97" i="14"/>
  <c r="V98" i="14"/>
  <c r="V99" i="14"/>
  <c r="V100" i="14"/>
  <c r="V101" i="14"/>
  <c r="V102" i="14"/>
  <c r="V103" i="14"/>
  <c r="V104" i="14"/>
  <c r="V105" i="14"/>
  <c r="V106" i="14"/>
  <c r="V107" i="14"/>
  <c r="V108" i="14"/>
  <c r="V109" i="14"/>
  <c r="V110" i="14"/>
  <c r="V111" i="14"/>
  <c r="V112" i="14"/>
  <c r="V113" i="14"/>
  <c r="V114" i="14"/>
  <c r="V115" i="14"/>
  <c r="V116" i="14"/>
  <c r="V117" i="14"/>
  <c r="V118" i="14"/>
  <c r="V119" i="14"/>
  <c r="V120" i="14"/>
  <c r="V121" i="14"/>
  <c r="V122" i="14"/>
  <c r="V123" i="14"/>
  <c r="V124" i="14"/>
  <c r="V125" i="14"/>
  <c r="V126" i="14"/>
  <c r="V127" i="14"/>
  <c r="V128" i="14"/>
  <c r="V129" i="14"/>
  <c r="V130" i="14"/>
  <c r="V131" i="14"/>
  <c r="V132" i="14"/>
  <c r="V133" i="14"/>
  <c r="V134" i="14"/>
  <c r="V135" i="14"/>
  <c r="V136" i="14"/>
  <c r="V137" i="14"/>
  <c r="V138" i="14"/>
  <c r="V139" i="14"/>
  <c r="V140" i="14"/>
  <c r="V141" i="14"/>
  <c r="V142" i="14"/>
  <c r="V143" i="14"/>
  <c r="V144" i="14"/>
  <c r="V145" i="14"/>
  <c r="V146" i="14"/>
  <c r="V147" i="14"/>
  <c r="V148" i="14"/>
  <c r="V149" i="14"/>
  <c r="V150" i="14"/>
  <c r="V151" i="14"/>
  <c r="V152" i="14"/>
  <c r="V153" i="14"/>
  <c r="V154" i="14"/>
  <c r="V155" i="14"/>
  <c r="V156" i="14"/>
  <c r="V157" i="14"/>
  <c r="V158" i="14"/>
  <c r="V159" i="14"/>
  <c r="V160" i="14"/>
  <c r="V161" i="14"/>
  <c r="V162" i="14"/>
  <c r="V163" i="14"/>
  <c r="V164" i="14"/>
  <c r="V165" i="14"/>
  <c r="V166" i="14"/>
  <c r="V167" i="14"/>
  <c r="V168" i="14"/>
  <c r="V169" i="14"/>
  <c r="V170" i="14"/>
  <c r="V171" i="14"/>
  <c r="V172" i="14"/>
  <c r="V173" i="14"/>
  <c r="V174" i="14"/>
  <c r="V175" i="14"/>
  <c r="V176" i="14"/>
  <c r="V177" i="14"/>
  <c r="V178" i="14"/>
  <c r="V179" i="14"/>
  <c r="V180" i="14"/>
  <c r="V181" i="14"/>
  <c r="V182" i="14"/>
  <c r="V183" i="14"/>
  <c r="V184" i="14"/>
  <c r="V185" i="14"/>
  <c r="V186" i="14"/>
  <c r="V187" i="14"/>
  <c r="V188" i="14"/>
  <c r="V189" i="14"/>
  <c r="V190" i="14"/>
  <c r="V191" i="14"/>
  <c r="V192" i="14"/>
  <c r="V193" i="14"/>
  <c r="V194" i="14"/>
  <c r="V195" i="14"/>
  <c r="V196" i="14"/>
  <c r="V197" i="14"/>
  <c r="V198" i="14"/>
  <c r="V199" i="14"/>
  <c r="V200" i="14"/>
  <c r="V201" i="14"/>
  <c r="V202" i="14"/>
  <c r="V203" i="14"/>
  <c r="V204" i="14"/>
  <c r="V205" i="14"/>
  <c r="V206" i="14"/>
  <c r="V207" i="14"/>
  <c r="V208" i="14"/>
  <c r="V209" i="14"/>
  <c r="V210" i="14"/>
  <c r="V211" i="14"/>
  <c r="V212" i="14"/>
  <c r="V213" i="14"/>
  <c r="V214" i="14"/>
  <c r="V215" i="14"/>
  <c r="V216" i="14"/>
  <c r="V217" i="14"/>
  <c r="V218" i="14"/>
  <c r="V219" i="14"/>
  <c r="V220" i="14"/>
  <c r="V221" i="14"/>
  <c r="V222" i="14"/>
  <c r="V223" i="14"/>
  <c r="V224" i="14"/>
  <c r="V225" i="14"/>
  <c r="V226" i="14"/>
  <c r="V227" i="14"/>
  <c r="V228" i="14"/>
  <c r="V229" i="14"/>
  <c r="V230" i="14"/>
  <c r="V231" i="14"/>
  <c r="V232" i="14"/>
  <c r="V233" i="14"/>
  <c r="V234" i="14"/>
  <c r="V235" i="14"/>
  <c r="V236" i="14"/>
  <c r="V237" i="14"/>
  <c r="V238" i="14"/>
  <c r="V239" i="14"/>
  <c r="V240" i="14"/>
  <c r="V241" i="14"/>
  <c r="V242" i="14"/>
  <c r="V243" i="14"/>
  <c r="V244" i="14"/>
  <c r="V245" i="14"/>
  <c r="V246" i="14"/>
  <c r="V247" i="14"/>
  <c r="V248" i="14"/>
  <c r="V249" i="14"/>
  <c r="V250" i="14"/>
  <c r="V251" i="14"/>
  <c r="V252" i="14"/>
  <c r="V253" i="14"/>
  <c r="V254" i="14"/>
  <c r="V255" i="14"/>
  <c r="V256" i="14"/>
  <c r="V257" i="14"/>
  <c r="V258" i="14"/>
  <c r="V259" i="14"/>
  <c r="V260" i="14"/>
  <c r="V261" i="14"/>
  <c r="V262" i="14"/>
  <c r="V263" i="14"/>
  <c r="V264" i="14"/>
  <c r="V265" i="14"/>
  <c r="V266" i="14"/>
  <c r="V267" i="14"/>
  <c r="V268" i="14"/>
  <c r="V269" i="14"/>
  <c r="V270" i="14"/>
  <c r="V271" i="14"/>
  <c r="V272" i="14"/>
  <c r="V273" i="14"/>
  <c r="V274" i="14"/>
  <c r="V275" i="14"/>
  <c r="V276" i="14"/>
  <c r="V277" i="14"/>
  <c r="V278" i="14"/>
  <c r="V279" i="14"/>
  <c r="V280" i="14"/>
  <c r="V281" i="14"/>
  <c r="V282" i="14"/>
  <c r="V283" i="14"/>
  <c r="V284" i="14"/>
  <c r="V285" i="14"/>
  <c r="V12" i="14"/>
  <c r="CA80" i="11"/>
  <c r="M106" i="11"/>
  <c r="O106" i="11"/>
  <c r="P106" i="11"/>
  <c r="Q106" i="11"/>
  <c r="U106" i="11"/>
  <c r="X106" i="11"/>
  <c r="Y106" i="11"/>
  <c r="Z106" i="11"/>
  <c r="AA106" i="11"/>
  <c r="AB106" i="11"/>
  <c r="AC106" i="11"/>
  <c r="AD106" i="11"/>
  <c r="AH106" i="11"/>
  <c r="AI106" i="11"/>
  <c r="AJ106" i="11"/>
  <c r="AN106" i="11"/>
  <c r="AO106" i="11"/>
  <c r="AP106" i="11"/>
  <c r="AR106" i="11"/>
  <c r="AS106" i="11"/>
  <c r="AT106" i="11"/>
  <c r="AV106" i="11"/>
  <c r="AW106" i="11"/>
  <c r="AY106" i="11"/>
  <c r="BC106" i="11"/>
  <c r="BD106" i="11"/>
  <c r="BH106" i="11"/>
  <c r="BI106" i="11"/>
  <c r="BL106" i="11"/>
  <c r="BN106" i="11"/>
  <c r="BO106" i="11"/>
  <c r="BP106" i="11"/>
  <c r="BQ106" i="11"/>
  <c r="BR106" i="11"/>
  <c r="BS106" i="11"/>
  <c r="BT106" i="11"/>
  <c r="BY106" i="11"/>
  <c r="AG9" i="73" l="1"/>
  <c r="AE10" i="73"/>
  <c r="AE9" i="73" s="1"/>
  <c r="O9" i="73"/>
  <c r="K10" i="73"/>
  <c r="K9" i="73" s="1"/>
  <c r="BX98" i="11"/>
  <c r="CA98" i="11" s="1"/>
  <c r="W4" i="14"/>
  <c r="W2" i="14"/>
  <c r="D7" i="11"/>
  <c r="CA7" i="11"/>
  <c r="BW106" i="11"/>
  <c r="BX95" i="11" l="1"/>
  <c r="CA95" i="11" s="1"/>
  <c r="BX94" i="11"/>
  <c r="CA94" i="11" l="1"/>
  <c r="BX92" i="11"/>
  <c r="M3" i="39"/>
  <c r="BM56" i="11"/>
  <c r="AI55" i="13" s="1"/>
  <c r="AI100" i="13" l="1"/>
  <c r="AM55" i="13"/>
  <c r="S37" i="11"/>
  <c r="N37" i="11"/>
  <c r="K37" i="11" l="1"/>
  <c r="K36" i="11" s="1"/>
  <c r="C36" i="11" s="1"/>
  <c r="CA36" i="11" s="1"/>
  <c r="CA96" i="11"/>
  <c r="BK106" i="11"/>
  <c r="BZ106" i="11"/>
  <c r="CA75" i="11"/>
  <c r="AF5" i="11"/>
  <c r="AF49" i="11"/>
  <c r="CA49" i="11" s="1"/>
  <c r="BM1509" i="24"/>
  <c r="F12" i="25"/>
  <c r="D9" i="25"/>
  <c r="CA56" i="11" l="1"/>
  <c r="CA84" i="11"/>
  <c r="BJ106" i="11"/>
  <c r="DB305" i="24"/>
  <c r="J133" i="52"/>
  <c r="J39" i="52"/>
  <c r="J36" i="52" s="1"/>
  <c r="AJ2248" i="24" l="1"/>
  <c r="B5" i="39" l="1"/>
  <c r="B4" i="39"/>
  <c r="R43" i="9" l="1"/>
  <c r="S43" i="9"/>
  <c r="U43" i="9"/>
  <c r="V43" i="9" l="1"/>
  <c r="AF15" i="11" l="1"/>
  <c r="CA15" i="11" s="1"/>
  <c r="AF106" i="11" l="1"/>
  <c r="AG106" i="11"/>
  <c r="C22" i="35" l="1"/>
  <c r="M22" i="35" l="1"/>
  <c r="D15" i="9" l="1"/>
  <c r="D24" i="9"/>
  <c r="CA78" i="11"/>
  <c r="CA77" i="11"/>
  <c r="E11" i="44"/>
  <c r="B11" i="44" s="1"/>
  <c r="C11" i="44" s="1"/>
  <c r="E9" i="44"/>
  <c r="B9" i="44" s="1"/>
  <c r="C9" i="44" s="1"/>
  <c r="E8" i="44"/>
  <c r="B8" i="44" s="1"/>
  <c r="C8" i="44" s="1"/>
  <c r="E7" i="44"/>
  <c r="B7" i="44" s="1"/>
  <c r="C7" i="44" s="1"/>
  <c r="E5" i="44"/>
  <c r="B5" i="44" s="1"/>
  <c r="C5" i="44" s="1"/>
  <c r="CA14" i="11"/>
  <c r="T43" i="9" l="1"/>
  <c r="CA92" i="11"/>
  <c r="AL16" i="11"/>
  <c r="AK16" i="11" l="1"/>
  <c r="AK10" i="11" s="1"/>
  <c r="AL106" i="11"/>
  <c r="J43" i="9"/>
  <c r="K43" i="9"/>
  <c r="M43" i="9"/>
  <c r="N43" i="9"/>
  <c r="C43" i="9"/>
  <c r="CA10" i="11" l="1"/>
  <c r="AK106" i="11"/>
  <c r="CA16" i="11"/>
  <c r="AZ93" i="11" l="1"/>
  <c r="CA93" i="11" s="1"/>
  <c r="AA77" i="10" l="1"/>
  <c r="CA100" i="11"/>
  <c r="BV106" i="11"/>
  <c r="CA33" i="11"/>
  <c r="BV81" i="41"/>
  <c r="E4" i="41" l="1"/>
  <c r="E102" i="41" s="1"/>
  <c r="CA102" i="41"/>
  <c r="BZ102" i="41"/>
  <c r="BY102" i="41"/>
  <c r="BW102" i="41"/>
  <c r="BT102" i="41"/>
  <c r="BS102" i="41"/>
  <c r="BR102" i="41"/>
  <c r="BQ102" i="41"/>
  <c r="BP102" i="41"/>
  <c r="BO102" i="41"/>
  <c r="BM102" i="41"/>
  <c r="BL102" i="41"/>
  <c r="BI102" i="41"/>
  <c r="BH102" i="41"/>
  <c r="BG102" i="41"/>
  <c r="BD102" i="41"/>
  <c r="BC102" i="41"/>
  <c r="BA102" i="41"/>
  <c r="AZ102" i="41"/>
  <c r="AY102" i="41"/>
  <c r="AW102" i="41"/>
  <c r="AV102" i="41"/>
  <c r="AU102" i="41"/>
  <c r="AT102" i="41"/>
  <c r="AS102" i="41"/>
  <c r="AR102" i="41"/>
  <c r="AP102" i="41"/>
  <c r="AO102" i="41"/>
  <c r="AN102" i="41"/>
  <c r="AL102" i="41"/>
  <c r="AK102" i="41"/>
  <c r="AJ102" i="41"/>
  <c r="AI102" i="41"/>
  <c r="AH102" i="41"/>
  <c r="AG102" i="41"/>
  <c r="AF102" i="41"/>
  <c r="AD102" i="41"/>
  <c r="AC102" i="41"/>
  <c r="AB102" i="41"/>
  <c r="AA102" i="41"/>
  <c r="Z102" i="41"/>
  <c r="Y102" i="41"/>
  <c r="X102" i="41"/>
  <c r="S102" i="41"/>
  <c r="R102" i="41"/>
  <c r="Q102" i="41"/>
  <c r="P102" i="41"/>
  <c r="J102" i="41"/>
  <c r="I102" i="41"/>
  <c r="H102" i="41"/>
  <c r="D102" i="41"/>
  <c r="BX102" i="41"/>
  <c r="AE102" i="41"/>
  <c r="BK102" i="41"/>
  <c r="BJ102" i="41"/>
  <c r="BV102" i="41"/>
  <c r="BF102" i="41"/>
  <c r="BE102" i="41"/>
  <c r="BB102" i="41"/>
  <c r="BN102" i="41"/>
  <c r="AX102" i="41"/>
  <c r="G102" i="41"/>
  <c r="BU102" i="41"/>
  <c r="O102" i="41"/>
  <c r="N102" i="41"/>
  <c r="AQ102" i="41"/>
  <c r="AM102" i="41"/>
  <c r="W102" i="41"/>
  <c r="V102" i="41"/>
  <c r="U102" i="41"/>
  <c r="T102" i="41"/>
  <c r="M102" i="41"/>
  <c r="L102" i="41"/>
  <c r="K102" i="41"/>
  <c r="F102" i="41"/>
  <c r="J144" i="14"/>
  <c r="BM62" i="11"/>
  <c r="BA37" i="11" l="1"/>
  <c r="W32" i="73" s="1"/>
  <c r="BB37" i="11"/>
  <c r="CA37" i="11" s="1"/>
  <c r="BM106" i="11"/>
  <c r="U32" i="73" l="1"/>
  <c r="AK32" i="73" s="1"/>
  <c r="W31" i="73"/>
  <c r="BA106" i="11"/>
  <c r="CA46" i="11"/>
  <c r="CA41" i="11"/>
  <c r="U31" i="73" l="1"/>
  <c r="W48" i="73"/>
  <c r="BE106" i="11"/>
  <c r="BF106" i="11"/>
  <c r="BB106" i="11"/>
  <c r="H10" i="39"/>
  <c r="L10" i="39" s="1"/>
  <c r="H12" i="39"/>
  <c r="L12" i="39" s="1"/>
  <c r="H11" i="39"/>
  <c r="L11" i="39" s="1"/>
  <c r="H9" i="39"/>
  <c r="L9" i="39" s="1"/>
  <c r="H8" i="39"/>
  <c r="L8" i="39" s="1"/>
  <c r="M8" i="39" s="1"/>
  <c r="H7" i="39"/>
  <c r="L7" i="39" s="1"/>
  <c r="M7" i="39" s="1"/>
  <c r="H6" i="39"/>
  <c r="L6" i="39" s="1"/>
  <c r="H5" i="39"/>
  <c r="L5" i="39" s="1"/>
  <c r="H4" i="39"/>
  <c r="U48" i="73" l="1"/>
  <c r="AK31" i="73"/>
  <c r="L4" i="39"/>
  <c r="M10" i="39"/>
  <c r="M6" i="39"/>
  <c r="B13" i="39" l="1"/>
  <c r="B14" i="39" s="1"/>
  <c r="B11" i="39" l="1"/>
  <c r="G3" i="39" s="1"/>
  <c r="I4" i="39" s="1"/>
  <c r="E6" i="44" l="1"/>
  <c r="B6" i="44" s="1"/>
  <c r="C6" i="44" s="1"/>
  <c r="I9" i="39"/>
  <c r="I11" i="39"/>
  <c r="I12" i="39"/>
  <c r="I6" i="39"/>
  <c r="I8" i="39"/>
  <c r="I10" i="39"/>
  <c r="I7" i="39"/>
  <c r="I5" i="39"/>
  <c r="L43" i="9" l="1"/>
  <c r="P9" i="24" l="1"/>
  <c r="F98" i="13" s="1"/>
  <c r="E98" i="13" s="1"/>
  <c r="D98" i="13" s="1"/>
  <c r="P10" i="24"/>
  <c r="F31" i="13" s="1"/>
  <c r="E31" i="13" s="1"/>
  <c r="D31" i="13" l="1"/>
  <c r="AM31" i="13" s="1"/>
  <c r="E28" i="13"/>
  <c r="D28" i="13" s="1"/>
  <c r="AM28" i="13" s="1"/>
  <c r="D48" i="71"/>
  <c r="D101" i="13"/>
  <c r="D103" i="13"/>
  <c r="E104" i="13" s="1"/>
  <c r="AM98" i="13"/>
  <c r="BX99" i="11"/>
  <c r="CA99" i="11" s="1"/>
  <c r="AX32" i="11"/>
  <c r="R30" i="73" s="1"/>
  <c r="AX106" i="11" l="1"/>
  <c r="CA32" i="11"/>
  <c r="R27" i="73"/>
  <c r="Q30" i="73"/>
  <c r="AK30" i="73" s="1"/>
  <c r="N17" i="73"/>
  <c r="C48" i="71"/>
  <c r="Q48" i="71" s="1"/>
  <c r="D49" i="71"/>
  <c r="C49" i="71" s="1"/>
  <c r="Q49" i="71" s="1"/>
  <c r="BX106" i="11"/>
  <c r="E24" i="9"/>
  <c r="K17" i="73" l="1"/>
  <c r="AK17" i="73" s="1"/>
  <c r="N13" i="73"/>
  <c r="Q27" i="73"/>
  <c r="R48" i="73"/>
  <c r="E43" i="9"/>
  <c r="D18" i="9"/>
  <c r="N4" i="73" l="1"/>
  <c r="N12" i="73"/>
  <c r="K13" i="73"/>
  <c r="AK27" i="73"/>
  <c r="Q48" i="73"/>
  <c r="D8" i="9"/>
  <c r="K12" i="73" l="1"/>
  <c r="AK13" i="73"/>
  <c r="AK12" i="73" s="1"/>
  <c r="N3" i="73"/>
  <c r="N48" i="73"/>
  <c r="D5" i="25"/>
  <c r="D6" i="25"/>
  <c r="D7" i="25"/>
  <c r="D8" i="25"/>
  <c r="D10" i="25"/>
  <c r="D11" i="25"/>
  <c r="D4" i="25"/>
  <c r="E4" i="25" l="1"/>
  <c r="F4" i="25" s="1"/>
  <c r="Q12" i="10" s="1"/>
  <c r="P12" i="10" s="1"/>
  <c r="E10" i="25"/>
  <c r="F10" i="25" s="1"/>
  <c r="E11" i="25"/>
  <c r="E3" i="25"/>
  <c r="F3" i="25" s="1"/>
  <c r="Q22" i="10" s="1"/>
  <c r="P22" i="10" s="1"/>
  <c r="D22" i="10" s="1"/>
  <c r="AH22" i="10" s="1"/>
  <c r="L5" i="11"/>
  <c r="E8" i="25"/>
  <c r="F8" i="25" s="1"/>
  <c r="E7" i="25"/>
  <c r="F7" i="25" s="1"/>
  <c r="Q6" i="13" s="1"/>
  <c r="E6" i="25"/>
  <c r="F6" i="25" s="1"/>
  <c r="E9" i="25"/>
  <c r="F9" i="25" s="1"/>
  <c r="Q14" i="10" s="1"/>
  <c r="P14" i="10" s="1"/>
  <c r="D14" i="10" s="1"/>
  <c r="AH14" i="10" s="1"/>
  <c r="E5" i="25"/>
  <c r="F5" i="25" s="1"/>
  <c r="DG8557" i="24"/>
  <c r="DF8557" i="24"/>
  <c r="DE8557" i="24"/>
  <c r="DD8557" i="24"/>
  <c r="DC8557" i="24"/>
  <c r="DB8557" i="24"/>
  <c r="DA8557" i="24"/>
  <c r="CZ8557" i="24"/>
  <c r="CY8557" i="24"/>
  <c r="CX8557" i="24"/>
  <c r="CW8557" i="24"/>
  <c r="CV8557" i="24"/>
  <c r="CU8557" i="24"/>
  <c r="CT8557" i="24"/>
  <c r="CS8557" i="24"/>
  <c r="CR8557" i="24"/>
  <c r="CQ8557" i="24"/>
  <c r="CP8557" i="24"/>
  <c r="CO8557" i="24"/>
  <c r="CN8557" i="24"/>
  <c r="CM8557" i="24"/>
  <c r="CL8557" i="24"/>
  <c r="CK8557" i="24"/>
  <c r="CJ8557" i="24"/>
  <c r="CI8557" i="24"/>
  <c r="CH8557" i="24"/>
  <c r="CG8557" i="24"/>
  <c r="CF8557" i="24"/>
  <c r="CE8557" i="24"/>
  <c r="CD8557" i="24"/>
  <c r="CC8557" i="24"/>
  <c r="CB8557" i="24"/>
  <c r="CA8557" i="24"/>
  <c r="BZ8557" i="24"/>
  <c r="BY8557" i="24"/>
  <c r="BX8557" i="24"/>
  <c r="BW8557" i="24"/>
  <c r="BV8557" i="24"/>
  <c r="BU8557" i="24"/>
  <c r="BT8557" i="24"/>
  <c r="BS8557" i="24"/>
  <c r="BR8557" i="24"/>
  <c r="BQ8557" i="24"/>
  <c r="BP8557" i="24"/>
  <c r="BO8557" i="24"/>
  <c r="BN8557" i="24"/>
  <c r="BM8557" i="24"/>
  <c r="BL8557" i="24"/>
  <c r="BK8557" i="24"/>
  <c r="BJ8557" i="24"/>
  <c r="BI8557" i="24"/>
  <c r="BH8557" i="24"/>
  <c r="BG8557" i="24"/>
  <c r="BF8557" i="24"/>
  <c r="BE8557" i="24"/>
  <c r="BD8557" i="24"/>
  <c r="BC8557" i="24"/>
  <c r="BB8557" i="24"/>
  <c r="BA8557" i="24"/>
  <c r="AZ8557" i="24"/>
  <c r="AY8557" i="24"/>
  <c r="AX8557" i="24"/>
  <c r="AW8557" i="24"/>
  <c r="AV8557" i="24"/>
  <c r="AU8557" i="24"/>
  <c r="AT8557" i="24"/>
  <c r="AS8557" i="24"/>
  <c r="AR8557" i="24"/>
  <c r="AQ8557" i="24"/>
  <c r="AP8557" i="24"/>
  <c r="AO8557" i="24"/>
  <c r="AN8557" i="24"/>
  <c r="AM8557" i="24"/>
  <c r="AL8557" i="24"/>
  <c r="DG8380" i="24"/>
  <c r="DF8380" i="24"/>
  <c r="DE8380" i="24"/>
  <c r="DD8380" i="24"/>
  <c r="DC8380" i="24"/>
  <c r="DB8380" i="24"/>
  <c r="DA8380" i="24"/>
  <c r="CZ8380" i="24"/>
  <c r="CY8380" i="24"/>
  <c r="CX8380" i="24"/>
  <c r="CW8380" i="24"/>
  <c r="CV8380" i="24"/>
  <c r="CU8380" i="24"/>
  <c r="CT8380" i="24"/>
  <c r="CS8380" i="24"/>
  <c r="CR8380" i="24"/>
  <c r="CQ8380" i="24"/>
  <c r="CP8380" i="24"/>
  <c r="CO8380" i="24"/>
  <c r="CN8380" i="24"/>
  <c r="CM8380" i="24"/>
  <c r="CL8380" i="24"/>
  <c r="CK8380" i="24"/>
  <c r="CJ8380" i="24"/>
  <c r="CI8380" i="24"/>
  <c r="CH8380" i="24"/>
  <c r="CG8380" i="24"/>
  <c r="CF8380" i="24"/>
  <c r="CE8380" i="24"/>
  <c r="CD8380" i="24"/>
  <c r="CC8380" i="24"/>
  <c r="CB8380" i="24"/>
  <c r="CA8380" i="24"/>
  <c r="BZ8380" i="24"/>
  <c r="BY8380" i="24"/>
  <c r="BX8380" i="24"/>
  <c r="BW8380" i="24"/>
  <c r="BV8380" i="24"/>
  <c r="BU8380" i="24"/>
  <c r="BT8380" i="24"/>
  <c r="BS8380" i="24"/>
  <c r="BR8380" i="24"/>
  <c r="BQ8380" i="24"/>
  <c r="BP8380" i="24"/>
  <c r="BO8380" i="24"/>
  <c r="BN8380" i="24"/>
  <c r="BM8380" i="24"/>
  <c r="BL8380" i="24"/>
  <c r="BK8380" i="24"/>
  <c r="BJ8380" i="24"/>
  <c r="BI8380" i="24"/>
  <c r="BH8380" i="24"/>
  <c r="BG8380" i="24"/>
  <c r="BF8380" i="24"/>
  <c r="BE8380" i="24"/>
  <c r="BD8380" i="24"/>
  <c r="BC8380" i="24"/>
  <c r="BB8380" i="24"/>
  <c r="BA8380" i="24"/>
  <c r="AZ8380" i="24"/>
  <c r="AY8380" i="24"/>
  <c r="AX8380" i="24"/>
  <c r="AW8380" i="24"/>
  <c r="AV8380" i="24"/>
  <c r="AU8380" i="24"/>
  <c r="AT8380" i="24"/>
  <c r="AS8380" i="24"/>
  <c r="AR8380" i="24"/>
  <c r="AQ8380" i="24"/>
  <c r="AP8380" i="24"/>
  <c r="AO8380" i="24"/>
  <c r="AN8380" i="24"/>
  <c r="AM8380" i="24"/>
  <c r="AL8380" i="24"/>
  <c r="DG8203" i="24"/>
  <c r="DF8203" i="24"/>
  <c r="DE8203" i="24"/>
  <c r="DD8203" i="24"/>
  <c r="DC8203" i="24"/>
  <c r="DB8203" i="24"/>
  <c r="DA8203" i="24"/>
  <c r="CZ8203" i="24"/>
  <c r="CY8203" i="24"/>
  <c r="CX8203" i="24"/>
  <c r="CW8203" i="24"/>
  <c r="CV8203" i="24"/>
  <c r="CU8203" i="24"/>
  <c r="CT8203" i="24"/>
  <c r="CS8203" i="24"/>
  <c r="CR8203" i="24"/>
  <c r="CQ8203" i="24"/>
  <c r="CP8203" i="24"/>
  <c r="CO8203" i="24"/>
  <c r="CN8203" i="24"/>
  <c r="CM8203" i="24"/>
  <c r="CL8203" i="24"/>
  <c r="CK8203" i="24"/>
  <c r="CJ8203" i="24"/>
  <c r="CI8203" i="24"/>
  <c r="CH8203" i="24"/>
  <c r="CG8203" i="24"/>
  <c r="CF8203" i="24"/>
  <c r="CE8203" i="24"/>
  <c r="CD8203" i="24"/>
  <c r="CC8203" i="24"/>
  <c r="CB8203" i="24"/>
  <c r="CA8203" i="24"/>
  <c r="BZ8203" i="24"/>
  <c r="BY8203" i="24"/>
  <c r="BX8203" i="24"/>
  <c r="BW8203" i="24"/>
  <c r="BV8203" i="24"/>
  <c r="BU8203" i="24"/>
  <c r="BT8203" i="24"/>
  <c r="BS8203" i="24"/>
  <c r="BR8203" i="24"/>
  <c r="BQ8203" i="24"/>
  <c r="BP8203" i="24"/>
  <c r="BO8203" i="24"/>
  <c r="BN8203" i="24"/>
  <c r="BM8203" i="24"/>
  <c r="BL8203" i="24"/>
  <c r="BK8203" i="24"/>
  <c r="BJ8203" i="24"/>
  <c r="BI8203" i="24"/>
  <c r="BH8203" i="24"/>
  <c r="BG8203" i="24"/>
  <c r="BF8203" i="24"/>
  <c r="BE8203" i="24"/>
  <c r="BD8203" i="24"/>
  <c r="BC8203" i="24"/>
  <c r="BB8203" i="24"/>
  <c r="BA8203" i="24"/>
  <c r="AZ8203" i="24"/>
  <c r="AY8203" i="24"/>
  <c r="AX8203" i="24"/>
  <c r="AW8203" i="24"/>
  <c r="AV8203" i="24"/>
  <c r="AU8203" i="24"/>
  <c r="AT8203" i="24"/>
  <c r="AS8203" i="24"/>
  <c r="AR8203" i="24"/>
  <c r="AQ8203" i="24"/>
  <c r="AP8203" i="24"/>
  <c r="AO8203" i="24"/>
  <c r="AN8203" i="24"/>
  <c r="AM8203" i="24"/>
  <c r="AL8203" i="24"/>
  <c r="P8200" i="24"/>
  <c r="O8200" i="24"/>
  <c r="N8200" i="24"/>
  <c r="M8200" i="24"/>
  <c r="L8200" i="24"/>
  <c r="K8200" i="24"/>
  <c r="J8200" i="24"/>
  <c r="I8200" i="24"/>
  <c r="H8200" i="24"/>
  <c r="G8200" i="24"/>
  <c r="F8200" i="24"/>
  <c r="E8200" i="24"/>
  <c r="D8200" i="24"/>
  <c r="P8197" i="24"/>
  <c r="O8197" i="24"/>
  <c r="N8197" i="24"/>
  <c r="M8197" i="24"/>
  <c r="L8197" i="24"/>
  <c r="K8197" i="24"/>
  <c r="J8197" i="24"/>
  <c r="I8197" i="24"/>
  <c r="H8197" i="24"/>
  <c r="G8197" i="24"/>
  <c r="F8197" i="24"/>
  <c r="E8197" i="24"/>
  <c r="D8197" i="24"/>
  <c r="P8195" i="24"/>
  <c r="O8195" i="24"/>
  <c r="N8195" i="24"/>
  <c r="M8195" i="24"/>
  <c r="L8195" i="24"/>
  <c r="K8195" i="24"/>
  <c r="J8195" i="24"/>
  <c r="I8195" i="24"/>
  <c r="H8195" i="24"/>
  <c r="G8195" i="24"/>
  <c r="F8195" i="24"/>
  <c r="E8195" i="24"/>
  <c r="D8195" i="24"/>
  <c r="P8193" i="24"/>
  <c r="O8193" i="24"/>
  <c r="N8193" i="24"/>
  <c r="M8193" i="24"/>
  <c r="L8193" i="24"/>
  <c r="K8193" i="24"/>
  <c r="J8193" i="24"/>
  <c r="I8193" i="24"/>
  <c r="H8193" i="24"/>
  <c r="G8193" i="24"/>
  <c r="F8193" i="24"/>
  <c r="E8193" i="24"/>
  <c r="D8193" i="24"/>
  <c r="P8190" i="24"/>
  <c r="O8190" i="24"/>
  <c r="N8190" i="24"/>
  <c r="M8190" i="24"/>
  <c r="L8190" i="24"/>
  <c r="K8190" i="24"/>
  <c r="J8190" i="24"/>
  <c r="I8190" i="24"/>
  <c r="H8190" i="24"/>
  <c r="G8190" i="24"/>
  <c r="F8190" i="24"/>
  <c r="E8190" i="24"/>
  <c r="D8190" i="24"/>
  <c r="P8186" i="24"/>
  <c r="O8186" i="24"/>
  <c r="N8186" i="24"/>
  <c r="M8186" i="24"/>
  <c r="L8186" i="24"/>
  <c r="K8186" i="24"/>
  <c r="J8186" i="24"/>
  <c r="I8186" i="24"/>
  <c r="H8186" i="24"/>
  <c r="G8186" i="24"/>
  <c r="F8186" i="24"/>
  <c r="E8186" i="24"/>
  <c r="D8186" i="24"/>
  <c r="P8184" i="24"/>
  <c r="O8184" i="24"/>
  <c r="N8184" i="24"/>
  <c r="M8184" i="24"/>
  <c r="L8184" i="24"/>
  <c r="K8184" i="24"/>
  <c r="J8184" i="24"/>
  <c r="I8184" i="24"/>
  <c r="H8184" i="24"/>
  <c r="G8184" i="24"/>
  <c r="F8184" i="24"/>
  <c r="E8184" i="24"/>
  <c r="D8184" i="24"/>
  <c r="P8182" i="24"/>
  <c r="O8182" i="24"/>
  <c r="N8182" i="24"/>
  <c r="M8182" i="24"/>
  <c r="L8182" i="24"/>
  <c r="K8182" i="24"/>
  <c r="J8182" i="24"/>
  <c r="I8182" i="24"/>
  <c r="H8182" i="24"/>
  <c r="G8182" i="24"/>
  <c r="F8182" i="24"/>
  <c r="E8182" i="24"/>
  <c r="D8182" i="24"/>
  <c r="P8180" i="24"/>
  <c r="O8180" i="24"/>
  <c r="N8180" i="24"/>
  <c r="M8180" i="24"/>
  <c r="L8180" i="24"/>
  <c r="K8180" i="24"/>
  <c r="J8180" i="24"/>
  <c r="I8180" i="24"/>
  <c r="H8180" i="24"/>
  <c r="G8180" i="24"/>
  <c r="F8180" i="24"/>
  <c r="E8180" i="24"/>
  <c r="D8180" i="24"/>
  <c r="P8178" i="24"/>
  <c r="O8178" i="24"/>
  <c r="N8178" i="24"/>
  <c r="M8178" i="24"/>
  <c r="L8178" i="24"/>
  <c r="K8178" i="24"/>
  <c r="J8178" i="24"/>
  <c r="I8178" i="24"/>
  <c r="H8178" i="24"/>
  <c r="G8178" i="24"/>
  <c r="F8178" i="24"/>
  <c r="E8178" i="24"/>
  <c r="D8178" i="24"/>
  <c r="P8176" i="24"/>
  <c r="O8176" i="24"/>
  <c r="N8176" i="24"/>
  <c r="M8176" i="24"/>
  <c r="L8176" i="24"/>
  <c r="K8176" i="24"/>
  <c r="J8176" i="24"/>
  <c r="I8176" i="24"/>
  <c r="H8176" i="24"/>
  <c r="G8176" i="24"/>
  <c r="F8176" i="24"/>
  <c r="E8176" i="24"/>
  <c r="D8176" i="24"/>
  <c r="P8174" i="24"/>
  <c r="O8174" i="24"/>
  <c r="N8174" i="24"/>
  <c r="M8174" i="24"/>
  <c r="L8174" i="24"/>
  <c r="K8174" i="24"/>
  <c r="J8174" i="24"/>
  <c r="I8174" i="24"/>
  <c r="H8174" i="24"/>
  <c r="G8174" i="24"/>
  <c r="F8174" i="24"/>
  <c r="E8174" i="24"/>
  <c r="D8174" i="24"/>
  <c r="P8172" i="24"/>
  <c r="O8172" i="24"/>
  <c r="N8172" i="24"/>
  <c r="M8172" i="24"/>
  <c r="L8172" i="24"/>
  <c r="K8172" i="24"/>
  <c r="J8172" i="24"/>
  <c r="I8172" i="24"/>
  <c r="H8172" i="24"/>
  <c r="G8172" i="24"/>
  <c r="F8172" i="24"/>
  <c r="E8172" i="24"/>
  <c r="D8172" i="24"/>
  <c r="P8170" i="24"/>
  <c r="O8170" i="24"/>
  <c r="N8170" i="24"/>
  <c r="M8170" i="24"/>
  <c r="L8170" i="24"/>
  <c r="K8170" i="24"/>
  <c r="J8170" i="24"/>
  <c r="I8170" i="24"/>
  <c r="H8170" i="24"/>
  <c r="G8170" i="24"/>
  <c r="F8170" i="24"/>
  <c r="E8170" i="24"/>
  <c r="D8170" i="24"/>
  <c r="P8168" i="24"/>
  <c r="O8168" i="24"/>
  <c r="N8168" i="24"/>
  <c r="M8168" i="24"/>
  <c r="L8168" i="24"/>
  <c r="K8168" i="24"/>
  <c r="J8168" i="24"/>
  <c r="I8168" i="24"/>
  <c r="H8168" i="24"/>
  <c r="G8168" i="24"/>
  <c r="F8168" i="24"/>
  <c r="E8168" i="24"/>
  <c r="D8168" i="24"/>
  <c r="P8166" i="24"/>
  <c r="O8166" i="24"/>
  <c r="N8166" i="24"/>
  <c r="M8166" i="24"/>
  <c r="L8166" i="24"/>
  <c r="K8166" i="24"/>
  <c r="J8166" i="24"/>
  <c r="I8166" i="24"/>
  <c r="H8166" i="24"/>
  <c r="G8166" i="24"/>
  <c r="F8166" i="24"/>
  <c r="E8166" i="24"/>
  <c r="D8166" i="24"/>
  <c r="P8164" i="24"/>
  <c r="O8164" i="24"/>
  <c r="N8164" i="24"/>
  <c r="M8164" i="24"/>
  <c r="L8164" i="24"/>
  <c r="K8164" i="24"/>
  <c r="J8164" i="24"/>
  <c r="I8164" i="24"/>
  <c r="H8164" i="24"/>
  <c r="G8164" i="24"/>
  <c r="F8164" i="24"/>
  <c r="E8164" i="24"/>
  <c r="D8164" i="24"/>
  <c r="P8162" i="24"/>
  <c r="O8162" i="24"/>
  <c r="N8162" i="24"/>
  <c r="M8162" i="24"/>
  <c r="L8162" i="24"/>
  <c r="K8162" i="24"/>
  <c r="J8162" i="24"/>
  <c r="I8162" i="24"/>
  <c r="H8162" i="24"/>
  <c r="G8162" i="24"/>
  <c r="F8162" i="24"/>
  <c r="E8162" i="24"/>
  <c r="D8162" i="24"/>
  <c r="P8160" i="24"/>
  <c r="O8160" i="24"/>
  <c r="N8160" i="24"/>
  <c r="M8160" i="24"/>
  <c r="L8160" i="24"/>
  <c r="K8160" i="24"/>
  <c r="J8160" i="24"/>
  <c r="I8160" i="24"/>
  <c r="H8160" i="24"/>
  <c r="G8160" i="24"/>
  <c r="F8160" i="24"/>
  <c r="E8160" i="24"/>
  <c r="D8160" i="24"/>
  <c r="P8158" i="24"/>
  <c r="O8158" i="24"/>
  <c r="N8158" i="24"/>
  <c r="M8158" i="24"/>
  <c r="L8158" i="24"/>
  <c r="K8158" i="24"/>
  <c r="J8158" i="24"/>
  <c r="I8158" i="24"/>
  <c r="H8158" i="24"/>
  <c r="G8158" i="24"/>
  <c r="F8158" i="24"/>
  <c r="E8158" i="24"/>
  <c r="D8158" i="24"/>
  <c r="P8156" i="24"/>
  <c r="O8156" i="24"/>
  <c r="N8156" i="24"/>
  <c r="M8156" i="24"/>
  <c r="L8156" i="24"/>
  <c r="K8156" i="24"/>
  <c r="J8156" i="24"/>
  <c r="I8156" i="24"/>
  <c r="H8156" i="24"/>
  <c r="G8156" i="24"/>
  <c r="F8156" i="24"/>
  <c r="E8156" i="24"/>
  <c r="D8156" i="24"/>
  <c r="P8154" i="24"/>
  <c r="O8154" i="24"/>
  <c r="N8154" i="24"/>
  <c r="M8154" i="24"/>
  <c r="L8154" i="24"/>
  <c r="K8154" i="24"/>
  <c r="J8154" i="24"/>
  <c r="I8154" i="24"/>
  <c r="H8154" i="24"/>
  <c r="G8154" i="24"/>
  <c r="F8154" i="24"/>
  <c r="E8154" i="24"/>
  <c r="D8154" i="24"/>
  <c r="P8152" i="24"/>
  <c r="O8152" i="24"/>
  <c r="N8152" i="24"/>
  <c r="M8152" i="24"/>
  <c r="L8152" i="24"/>
  <c r="K8152" i="24"/>
  <c r="J8152" i="24"/>
  <c r="I8152" i="24"/>
  <c r="H8152" i="24"/>
  <c r="G8152" i="24"/>
  <c r="F8152" i="24"/>
  <c r="E8152" i="24"/>
  <c r="D8152" i="24"/>
  <c r="P8150" i="24"/>
  <c r="O8150" i="24"/>
  <c r="N8150" i="24"/>
  <c r="M8150" i="24"/>
  <c r="L8150" i="24"/>
  <c r="K8150" i="24"/>
  <c r="J8150" i="24"/>
  <c r="I8150" i="24"/>
  <c r="H8150" i="24"/>
  <c r="G8150" i="24"/>
  <c r="F8150" i="24"/>
  <c r="E8150" i="24"/>
  <c r="D8150" i="24"/>
  <c r="P8148" i="24"/>
  <c r="O8148" i="24"/>
  <c r="N8148" i="24"/>
  <c r="M8148" i="24"/>
  <c r="L8148" i="24"/>
  <c r="K8148" i="24"/>
  <c r="J8148" i="24"/>
  <c r="I8148" i="24"/>
  <c r="H8148" i="24"/>
  <c r="G8148" i="24"/>
  <c r="F8148" i="24"/>
  <c r="E8148" i="24"/>
  <c r="D8148" i="24"/>
  <c r="P8146" i="24"/>
  <c r="O8146" i="24"/>
  <c r="N8146" i="24"/>
  <c r="M8146" i="24"/>
  <c r="L8146" i="24"/>
  <c r="K8146" i="24"/>
  <c r="J8146" i="24"/>
  <c r="I8146" i="24"/>
  <c r="H8146" i="24"/>
  <c r="G8146" i="24"/>
  <c r="F8146" i="24"/>
  <c r="E8146" i="24"/>
  <c r="D8146" i="24"/>
  <c r="P8144" i="24"/>
  <c r="O8144" i="24"/>
  <c r="N8144" i="24"/>
  <c r="M8144" i="24"/>
  <c r="L8144" i="24"/>
  <c r="K8144" i="24"/>
  <c r="J8144" i="24"/>
  <c r="I8144" i="24"/>
  <c r="H8144" i="24"/>
  <c r="G8144" i="24"/>
  <c r="F8144" i="24"/>
  <c r="E8144" i="24"/>
  <c r="D8144" i="24"/>
  <c r="P8142" i="24"/>
  <c r="O8142" i="24"/>
  <c r="N8142" i="24"/>
  <c r="M8142" i="24"/>
  <c r="L8142" i="24"/>
  <c r="K8142" i="24"/>
  <c r="J8142" i="24"/>
  <c r="I8142" i="24"/>
  <c r="H8142" i="24"/>
  <c r="G8142" i="24"/>
  <c r="F8142" i="24"/>
  <c r="E8142" i="24"/>
  <c r="D8142" i="24"/>
  <c r="P8140" i="24"/>
  <c r="O8140" i="24"/>
  <c r="N8140" i="24"/>
  <c r="M8140" i="24"/>
  <c r="L8140" i="24"/>
  <c r="K8140" i="24"/>
  <c r="J8140" i="24"/>
  <c r="I8140" i="24"/>
  <c r="H8140" i="24"/>
  <c r="G8140" i="24"/>
  <c r="F8140" i="24"/>
  <c r="E8140" i="24"/>
  <c r="D8140" i="24"/>
  <c r="P8138" i="24"/>
  <c r="O8138" i="24"/>
  <c r="N8138" i="24"/>
  <c r="M8138" i="24"/>
  <c r="L8138" i="24"/>
  <c r="K8138" i="24"/>
  <c r="J8138" i="24"/>
  <c r="I8138" i="24"/>
  <c r="H8138" i="24"/>
  <c r="G8138" i="24"/>
  <c r="F8138" i="24"/>
  <c r="E8138" i="24"/>
  <c r="D8138" i="24"/>
  <c r="P8136" i="24"/>
  <c r="O8136" i="24"/>
  <c r="N8136" i="24"/>
  <c r="M8136" i="24"/>
  <c r="L8136" i="24"/>
  <c r="K8136" i="24"/>
  <c r="J8136" i="24"/>
  <c r="I8136" i="24"/>
  <c r="H8136" i="24"/>
  <c r="G8136" i="24"/>
  <c r="F8136" i="24"/>
  <c r="E8136" i="24"/>
  <c r="D8136" i="24"/>
  <c r="P8134" i="24"/>
  <c r="O8134" i="24"/>
  <c r="N8134" i="24"/>
  <c r="M8134" i="24"/>
  <c r="L8134" i="24"/>
  <c r="K8134" i="24"/>
  <c r="J8134" i="24"/>
  <c r="I8134" i="24"/>
  <c r="H8134" i="24"/>
  <c r="G8134" i="24"/>
  <c r="F8134" i="24"/>
  <c r="E8134" i="24"/>
  <c r="D8134" i="24"/>
  <c r="P8132" i="24"/>
  <c r="O8132" i="24"/>
  <c r="N8132" i="24"/>
  <c r="M8132" i="24"/>
  <c r="L8132" i="24"/>
  <c r="K8132" i="24"/>
  <c r="J8132" i="24"/>
  <c r="I8132" i="24"/>
  <c r="H8132" i="24"/>
  <c r="G8132" i="24"/>
  <c r="F8132" i="24"/>
  <c r="E8132" i="24"/>
  <c r="D8132" i="24"/>
  <c r="P8130" i="24"/>
  <c r="O8130" i="24"/>
  <c r="N8130" i="24"/>
  <c r="M8130" i="24"/>
  <c r="L8130" i="24"/>
  <c r="K8130" i="24"/>
  <c r="J8130" i="24"/>
  <c r="I8130" i="24"/>
  <c r="H8130" i="24"/>
  <c r="G8130" i="24"/>
  <c r="F8130" i="24"/>
  <c r="E8130" i="24"/>
  <c r="D8130" i="24"/>
  <c r="P8128" i="24"/>
  <c r="O8128" i="24"/>
  <c r="N8128" i="24"/>
  <c r="M8128" i="24"/>
  <c r="L8128" i="24"/>
  <c r="K8128" i="24"/>
  <c r="J8128" i="24"/>
  <c r="I8128" i="24"/>
  <c r="H8128" i="24"/>
  <c r="G8128" i="24"/>
  <c r="F8128" i="24"/>
  <c r="E8128" i="24"/>
  <c r="D8128" i="24"/>
  <c r="P8126" i="24"/>
  <c r="O8126" i="24"/>
  <c r="N8126" i="24"/>
  <c r="M8126" i="24"/>
  <c r="L8126" i="24"/>
  <c r="K8126" i="24"/>
  <c r="J8126" i="24"/>
  <c r="I8126" i="24"/>
  <c r="H8126" i="24"/>
  <c r="G8126" i="24"/>
  <c r="F8126" i="24"/>
  <c r="E8126" i="24"/>
  <c r="D8126" i="24"/>
  <c r="P8123" i="24"/>
  <c r="O8123" i="24"/>
  <c r="N8123" i="24"/>
  <c r="M8123" i="24"/>
  <c r="L8123" i="24"/>
  <c r="K8123" i="24"/>
  <c r="J8123" i="24"/>
  <c r="I8123" i="24"/>
  <c r="H8123" i="24"/>
  <c r="G8123" i="24"/>
  <c r="F8123" i="24"/>
  <c r="E8123" i="24"/>
  <c r="D8123" i="24"/>
  <c r="P8119" i="24"/>
  <c r="O8119" i="24"/>
  <c r="N8119" i="24"/>
  <c r="M8119" i="24"/>
  <c r="L8119" i="24"/>
  <c r="K8119" i="24"/>
  <c r="J8119" i="24"/>
  <c r="I8119" i="24"/>
  <c r="H8119" i="24"/>
  <c r="G8119" i="24"/>
  <c r="F8119" i="24"/>
  <c r="E8119" i="24"/>
  <c r="D8119" i="24"/>
  <c r="P8117" i="24"/>
  <c r="O8117" i="24"/>
  <c r="N8117" i="24"/>
  <c r="M8117" i="24"/>
  <c r="L8117" i="24"/>
  <c r="K8117" i="24"/>
  <c r="J8117" i="24"/>
  <c r="I8117" i="24"/>
  <c r="H8117" i="24"/>
  <c r="G8117" i="24"/>
  <c r="F8117" i="24"/>
  <c r="E8117" i="24"/>
  <c r="D8117" i="24"/>
  <c r="P8113" i="24"/>
  <c r="O8113" i="24"/>
  <c r="N8113" i="24"/>
  <c r="M8113" i="24"/>
  <c r="L8113" i="24"/>
  <c r="K8113" i="24"/>
  <c r="J8113" i="24"/>
  <c r="I8113" i="24"/>
  <c r="H8113" i="24"/>
  <c r="G8113" i="24"/>
  <c r="F8113" i="24"/>
  <c r="E8113" i="24"/>
  <c r="D8113" i="24"/>
  <c r="P8110" i="24"/>
  <c r="O8110" i="24"/>
  <c r="N8110" i="24"/>
  <c r="M8110" i="24"/>
  <c r="L8110" i="24"/>
  <c r="K8110" i="24"/>
  <c r="J8110" i="24"/>
  <c r="I8110" i="24"/>
  <c r="H8110" i="24"/>
  <c r="G8110" i="24"/>
  <c r="F8110" i="24"/>
  <c r="E8110" i="24"/>
  <c r="D8110" i="24"/>
  <c r="P8108" i="24"/>
  <c r="O8108" i="24"/>
  <c r="N8108" i="24"/>
  <c r="M8108" i="24"/>
  <c r="L8108" i="24"/>
  <c r="K8108" i="24"/>
  <c r="J8108" i="24"/>
  <c r="I8108" i="24"/>
  <c r="H8108" i="24"/>
  <c r="G8108" i="24"/>
  <c r="F8108" i="24"/>
  <c r="E8108" i="24"/>
  <c r="D8108" i="24"/>
  <c r="P8106" i="24"/>
  <c r="O8106" i="24"/>
  <c r="N8106" i="24"/>
  <c r="M8106" i="24"/>
  <c r="L8106" i="24"/>
  <c r="K8106" i="24"/>
  <c r="J8106" i="24"/>
  <c r="I8106" i="24"/>
  <c r="H8106" i="24"/>
  <c r="G8106" i="24"/>
  <c r="F8106" i="24"/>
  <c r="E8106" i="24"/>
  <c r="D8106" i="24"/>
  <c r="P8104" i="24"/>
  <c r="O8104" i="24"/>
  <c r="N8104" i="24"/>
  <c r="M8104" i="24"/>
  <c r="L8104" i="24"/>
  <c r="K8104" i="24"/>
  <c r="J8104" i="24"/>
  <c r="I8104" i="24"/>
  <c r="H8104" i="24"/>
  <c r="G8104" i="24"/>
  <c r="F8104" i="24"/>
  <c r="E8104" i="24"/>
  <c r="D8104" i="24"/>
  <c r="P8102" i="24"/>
  <c r="O8102" i="24"/>
  <c r="N8102" i="24"/>
  <c r="M8102" i="24"/>
  <c r="L8102" i="24"/>
  <c r="K8102" i="24"/>
  <c r="J8102" i="24"/>
  <c r="I8102" i="24"/>
  <c r="H8102" i="24"/>
  <c r="G8102" i="24"/>
  <c r="F8102" i="24"/>
  <c r="E8102" i="24"/>
  <c r="D8102" i="24"/>
  <c r="P8098" i="24"/>
  <c r="O8098" i="24"/>
  <c r="N8098" i="24"/>
  <c r="M8098" i="24"/>
  <c r="L8098" i="24"/>
  <c r="K8098" i="24"/>
  <c r="J8098" i="24"/>
  <c r="I8098" i="24"/>
  <c r="H8098" i="24"/>
  <c r="G8098" i="24"/>
  <c r="F8098" i="24"/>
  <c r="E8098" i="24"/>
  <c r="D8098" i="24"/>
  <c r="P8094" i="24"/>
  <c r="O8094" i="24"/>
  <c r="N8094" i="24"/>
  <c r="M8094" i="24"/>
  <c r="L8094" i="24"/>
  <c r="K8094" i="24"/>
  <c r="J8094" i="24"/>
  <c r="I8094" i="24"/>
  <c r="H8094" i="24"/>
  <c r="G8094" i="24"/>
  <c r="F8094" i="24"/>
  <c r="E8094" i="24"/>
  <c r="D8094" i="24"/>
  <c r="P8090" i="24"/>
  <c r="O8090" i="24"/>
  <c r="N8090" i="24"/>
  <c r="M8090" i="24"/>
  <c r="L8090" i="24"/>
  <c r="K8090" i="24"/>
  <c r="J8090" i="24"/>
  <c r="I8090" i="24"/>
  <c r="H8090" i="24"/>
  <c r="G8090" i="24"/>
  <c r="F8090" i="24"/>
  <c r="E8090" i="24"/>
  <c r="D8090" i="24"/>
  <c r="P8086" i="24"/>
  <c r="O8086" i="24"/>
  <c r="N8086" i="24"/>
  <c r="M8086" i="24"/>
  <c r="L8086" i="24"/>
  <c r="K8086" i="24"/>
  <c r="J8086" i="24"/>
  <c r="I8086" i="24"/>
  <c r="H8086" i="24"/>
  <c r="G8086" i="24"/>
  <c r="F8086" i="24"/>
  <c r="E8086" i="24"/>
  <c r="D8086" i="24"/>
  <c r="P8082" i="24"/>
  <c r="O8082" i="24"/>
  <c r="N8082" i="24"/>
  <c r="M8082" i="24"/>
  <c r="L8082" i="24"/>
  <c r="K8082" i="24"/>
  <c r="J8082" i="24"/>
  <c r="I8082" i="24"/>
  <c r="H8082" i="24"/>
  <c r="G8082" i="24"/>
  <c r="F8082" i="24"/>
  <c r="E8082" i="24"/>
  <c r="D8082" i="24"/>
  <c r="P8077" i="24"/>
  <c r="O8077" i="24"/>
  <c r="N8077" i="24"/>
  <c r="M8077" i="24"/>
  <c r="L8077" i="24"/>
  <c r="K8077" i="24"/>
  <c r="J8077" i="24"/>
  <c r="I8077" i="24"/>
  <c r="H8077" i="24"/>
  <c r="G8077" i="24"/>
  <c r="F8077" i="24"/>
  <c r="E8077" i="24"/>
  <c r="D8077" i="24"/>
  <c r="P8073" i="24"/>
  <c r="O8073" i="24"/>
  <c r="N8073" i="24"/>
  <c r="M8073" i="24"/>
  <c r="L8073" i="24"/>
  <c r="K8073" i="24"/>
  <c r="J8073" i="24"/>
  <c r="I8073" i="24"/>
  <c r="H8073" i="24"/>
  <c r="G8073" i="24"/>
  <c r="F8073" i="24"/>
  <c r="E8073" i="24"/>
  <c r="D8073" i="24"/>
  <c r="P8070" i="24"/>
  <c r="O8070" i="24"/>
  <c r="N8070" i="24"/>
  <c r="M8070" i="24"/>
  <c r="L8070" i="24"/>
  <c r="K8070" i="24"/>
  <c r="J8070" i="24"/>
  <c r="I8070" i="24"/>
  <c r="H8070" i="24"/>
  <c r="G8070" i="24"/>
  <c r="F8070" i="24"/>
  <c r="E8070" i="24"/>
  <c r="D8070" i="24"/>
  <c r="P8068" i="24"/>
  <c r="O8068" i="24"/>
  <c r="N8068" i="24"/>
  <c r="M8068" i="24"/>
  <c r="L8068" i="24"/>
  <c r="K8068" i="24"/>
  <c r="J8068" i="24"/>
  <c r="I8068" i="24"/>
  <c r="H8068" i="24"/>
  <c r="G8068" i="24"/>
  <c r="F8068" i="24"/>
  <c r="E8068" i="24"/>
  <c r="D8068" i="24"/>
  <c r="P8064" i="24"/>
  <c r="O8064" i="24"/>
  <c r="N8064" i="24"/>
  <c r="M8064" i="24"/>
  <c r="L8064" i="24"/>
  <c r="K8064" i="24"/>
  <c r="J8064" i="24"/>
  <c r="I8064" i="24"/>
  <c r="H8064" i="24"/>
  <c r="G8064" i="24"/>
  <c r="F8064" i="24"/>
  <c r="E8064" i="24"/>
  <c r="D8064" i="24"/>
  <c r="P8060" i="24"/>
  <c r="O8060" i="24"/>
  <c r="N8060" i="24"/>
  <c r="M8060" i="24"/>
  <c r="L8060" i="24"/>
  <c r="K8060" i="24"/>
  <c r="J8060" i="24"/>
  <c r="I8060" i="24"/>
  <c r="H8060" i="24"/>
  <c r="G8060" i="24"/>
  <c r="F8060" i="24"/>
  <c r="E8060" i="24"/>
  <c r="D8060" i="24"/>
  <c r="P8057" i="24"/>
  <c r="O8057" i="24"/>
  <c r="N8057" i="24"/>
  <c r="M8057" i="24"/>
  <c r="L8057" i="24"/>
  <c r="K8057" i="24"/>
  <c r="J8057" i="24"/>
  <c r="I8057" i="24"/>
  <c r="H8057" i="24"/>
  <c r="G8057" i="24"/>
  <c r="F8057" i="24"/>
  <c r="E8057" i="24"/>
  <c r="D8057" i="24"/>
  <c r="P8054" i="24"/>
  <c r="O8054" i="24"/>
  <c r="N8054" i="24"/>
  <c r="M8054" i="24"/>
  <c r="L8054" i="24"/>
  <c r="K8054" i="24"/>
  <c r="J8054" i="24"/>
  <c r="I8054" i="24"/>
  <c r="H8054" i="24"/>
  <c r="G8054" i="24"/>
  <c r="F8054" i="24"/>
  <c r="E8054" i="24"/>
  <c r="D8054" i="24"/>
  <c r="P8051" i="24"/>
  <c r="O8051" i="24"/>
  <c r="N8051" i="24"/>
  <c r="M8051" i="24"/>
  <c r="L8051" i="24"/>
  <c r="K8051" i="24"/>
  <c r="J8051" i="24"/>
  <c r="I8051" i="24"/>
  <c r="H8051" i="24"/>
  <c r="G8051" i="24"/>
  <c r="F8051" i="24"/>
  <c r="E8051" i="24"/>
  <c r="D8051" i="24"/>
  <c r="P8048" i="24"/>
  <c r="O8048" i="24"/>
  <c r="N8048" i="24"/>
  <c r="M8048" i="24"/>
  <c r="L8048" i="24"/>
  <c r="K8048" i="24"/>
  <c r="J8048" i="24"/>
  <c r="I8048" i="24"/>
  <c r="H8048" i="24"/>
  <c r="G8048" i="24"/>
  <c r="F8048" i="24"/>
  <c r="E8048" i="24"/>
  <c r="D8048" i="24"/>
  <c r="P8045" i="24"/>
  <c r="O8045" i="24"/>
  <c r="N8045" i="24"/>
  <c r="M8045" i="24"/>
  <c r="L8045" i="24"/>
  <c r="K8045" i="24"/>
  <c r="J8045" i="24"/>
  <c r="I8045" i="24"/>
  <c r="H8045" i="24"/>
  <c r="G8045" i="24"/>
  <c r="F8045" i="24"/>
  <c r="E8045" i="24"/>
  <c r="D8045" i="24"/>
  <c r="P8042" i="24"/>
  <c r="O8042" i="24"/>
  <c r="N8042" i="24"/>
  <c r="M8042" i="24"/>
  <c r="L8042" i="24"/>
  <c r="K8042" i="24"/>
  <c r="J8042" i="24"/>
  <c r="I8042" i="24"/>
  <c r="H8042" i="24"/>
  <c r="G8042" i="24"/>
  <c r="F8042" i="24"/>
  <c r="E8042" i="24"/>
  <c r="D8042" i="24"/>
  <c r="P8039" i="24"/>
  <c r="O8039" i="24"/>
  <c r="N8039" i="24"/>
  <c r="M8039" i="24"/>
  <c r="L8039" i="24"/>
  <c r="K8039" i="24"/>
  <c r="J8039" i="24"/>
  <c r="I8039" i="24"/>
  <c r="H8039" i="24"/>
  <c r="G8039" i="24"/>
  <c r="F8039" i="24"/>
  <c r="E8039" i="24"/>
  <c r="D8039" i="24"/>
  <c r="P8036" i="24"/>
  <c r="O8036" i="24"/>
  <c r="N8036" i="24"/>
  <c r="M8036" i="24"/>
  <c r="L8036" i="24"/>
  <c r="K8036" i="24"/>
  <c r="J8036" i="24"/>
  <c r="I8036" i="24"/>
  <c r="H8036" i="24"/>
  <c r="G8036" i="24"/>
  <c r="F8036" i="24"/>
  <c r="E8036" i="24"/>
  <c r="D8036" i="24"/>
  <c r="P8033" i="24"/>
  <c r="O8033" i="24"/>
  <c r="N8033" i="24"/>
  <c r="M8033" i="24"/>
  <c r="L8033" i="24"/>
  <c r="K8033" i="24"/>
  <c r="J8033" i="24"/>
  <c r="I8033" i="24"/>
  <c r="H8033" i="24"/>
  <c r="G8033" i="24"/>
  <c r="F8033" i="24"/>
  <c r="E8033" i="24"/>
  <c r="D8033" i="24"/>
  <c r="P8030" i="24"/>
  <c r="O8030" i="24"/>
  <c r="N8030" i="24"/>
  <c r="M8030" i="24"/>
  <c r="L8030" i="24"/>
  <c r="K8030" i="24"/>
  <c r="J8030" i="24"/>
  <c r="I8030" i="24"/>
  <c r="H8030" i="24"/>
  <c r="G8030" i="24"/>
  <c r="F8030" i="24"/>
  <c r="E8030" i="24"/>
  <c r="D8030" i="24"/>
  <c r="P8027" i="24"/>
  <c r="O8027" i="24"/>
  <c r="N8027" i="24"/>
  <c r="M8027" i="24"/>
  <c r="L8027" i="24"/>
  <c r="K8027" i="24"/>
  <c r="J8027" i="24"/>
  <c r="I8027" i="24"/>
  <c r="H8027" i="24"/>
  <c r="G8027" i="24"/>
  <c r="F8027" i="24"/>
  <c r="E8027" i="24"/>
  <c r="D8027" i="24"/>
  <c r="P8024" i="24"/>
  <c r="O8024" i="24"/>
  <c r="N8024" i="24"/>
  <c r="M8024" i="24"/>
  <c r="L8024" i="24"/>
  <c r="K8024" i="24"/>
  <c r="J8024" i="24"/>
  <c r="I8024" i="24"/>
  <c r="H8024" i="24"/>
  <c r="G8024" i="24"/>
  <c r="F8024" i="24"/>
  <c r="E8024" i="24"/>
  <c r="D8024" i="24"/>
  <c r="P8021" i="24"/>
  <c r="O8021" i="24"/>
  <c r="N8021" i="24"/>
  <c r="M8021" i="24"/>
  <c r="L8021" i="24"/>
  <c r="K8021" i="24"/>
  <c r="J8021" i="24"/>
  <c r="I8021" i="24"/>
  <c r="H8021" i="24"/>
  <c r="G8021" i="24"/>
  <c r="F8021" i="24"/>
  <c r="E8021" i="24"/>
  <c r="D8021" i="24"/>
  <c r="P8016" i="24"/>
  <c r="O8016" i="24"/>
  <c r="N8016" i="24"/>
  <c r="M8016" i="24"/>
  <c r="L8016" i="24"/>
  <c r="K8016" i="24"/>
  <c r="J8016" i="24"/>
  <c r="I8016" i="24"/>
  <c r="H8016" i="24"/>
  <c r="G8016" i="24"/>
  <c r="F8016" i="24"/>
  <c r="E8016" i="24"/>
  <c r="D8016" i="24"/>
  <c r="P8011" i="24"/>
  <c r="O8011" i="24"/>
  <c r="N8011" i="24"/>
  <c r="M8011" i="24"/>
  <c r="L8011" i="24"/>
  <c r="K8011" i="24"/>
  <c r="J8011" i="24"/>
  <c r="I8011" i="24"/>
  <c r="H8011" i="24"/>
  <c r="G8011" i="24"/>
  <c r="F8011" i="24"/>
  <c r="E8011" i="24"/>
  <c r="D8011" i="24"/>
  <c r="P8007" i="24"/>
  <c r="O8007" i="24"/>
  <c r="N8007" i="24"/>
  <c r="M8007" i="24"/>
  <c r="L8007" i="24"/>
  <c r="K8007" i="24"/>
  <c r="J8007" i="24"/>
  <c r="I8007" i="24"/>
  <c r="H8007" i="24"/>
  <c r="G8007" i="24"/>
  <c r="F8007" i="24"/>
  <c r="E8007" i="24"/>
  <c r="D8007" i="24"/>
  <c r="P8004" i="24"/>
  <c r="O8004" i="24"/>
  <c r="N8004" i="24"/>
  <c r="M8004" i="24"/>
  <c r="L8004" i="24"/>
  <c r="K8004" i="24"/>
  <c r="J8004" i="24"/>
  <c r="I8004" i="24"/>
  <c r="H8004" i="24"/>
  <c r="G8004" i="24"/>
  <c r="F8004" i="24"/>
  <c r="E8004" i="24"/>
  <c r="D8004" i="24"/>
  <c r="A8004" i="24"/>
  <c r="P8001" i="24"/>
  <c r="O8001" i="24"/>
  <c r="N8001" i="24"/>
  <c r="M8001" i="24"/>
  <c r="L8001" i="24"/>
  <c r="K8001" i="24"/>
  <c r="J8001" i="24"/>
  <c r="I8001" i="24"/>
  <c r="H8001" i="24"/>
  <c r="G8001" i="24"/>
  <c r="F8001" i="24"/>
  <c r="E8001" i="24"/>
  <c r="D8001" i="24"/>
  <c r="P7997" i="24"/>
  <c r="O7997" i="24"/>
  <c r="N7997" i="24"/>
  <c r="M7997" i="24"/>
  <c r="L7997" i="24"/>
  <c r="K7997" i="24"/>
  <c r="J7997" i="24"/>
  <c r="I7997" i="24"/>
  <c r="H7997" i="24"/>
  <c r="G7997" i="24"/>
  <c r="F7997" i="24"/>
  <c r="E7997" i="24"/>
  <c r="D7997" i="24"/>
  <c r="DG7996" i="24"/>
  <c r="DF7996" i="24"/>
  <c r="DE7996" i="24"/>
  <c r="DD7996" i="24"/>
  <c r="DC7996" i="24"/>
  <c r="DB7996" i="24"/>
  <c r="DA7996" i="24"/>
  <c r="CZ7996" i="24"/>
  <c r="CY7996" i="24"/>
  <c r="CX7996" i="24"/>
  <c r="CW7996" i="24"/>
  <c r="CV7996" i="24"/>
  <c r="CU7996" i="24"/>
  <c r="CT7996" i="24"/>
  <c r="CS7996" i="24"/>
  <c r="CR7996" i="24"/>
  <c r="CQ7996" i="24"/>
  <c r="CP7996" i="24"/>
  <c r="CO7996" i="24"/>
  <c r="CN7996" i="24"/>
  <c r="CM7996" i="24"/>
  <c r="CL7996" i="24"/>
  <c r="CK7996" i="24"/>
  <c r="CJ7996" i="24"/>
  <c r="CI7996" i="24"/>
  <c r="CH7996" i="24"/>
  <c r="CG7996" i="24"/>
  <c r="CF7996" i="24"/>
  <c r="CE7996" i="24"/>
  <c r="CD7996" i="24"/>
  <c r="CC7996" i="24"/>
  <c r="CB7996" i="24"/>
  <c r="CA7996" i="24"/>
  <c r="BZ7996" i="24"/>
  <c r="BY7996" i="24"/>
  <c r="BX7996" i="24"/>
  <c r="BW7996" i="24"/>
  <c r="BV7996" i="24"/>
  <c r="BU7996" i="24"/>
  <c r="BT7996" i="24"/>
  <c r="BS7996" i="24"/>
  <c r="BR7996" i="24"/>
  <c r="BQ7996" i="24"/>
  <c r="BP7996" i="24"/>
  <c r="BO7996" i="24"/>
  <c r="BN7996" i="24"/>
  <c r="BM7996" i="24"/>
  <c r="BL7996" i="24"/>
  <c r="BK7996" i="24"/>
  <c r="BJ7996" i="24"/>
  <c r="BI7996" i="24"/>
  <c r="BH7996" i="24"/>
  <c r="BG7996" i="24"/>
  <c r="BF7996" i="24"/>
  <c r="BE7996" i="24"/>
  <c r="BD7996" i="24"/>
  <c r="BC7996" i="24"/>
  <c r="BB7996" i="24"/>
  <c r="BA7996" i="24"/>
  <c r="AZ7996" i="24"/>
  <c r="AY7996" i="24"/>
  <c r="AX7996" i="24"/>
  <c r="AW7996" i="24"/>
  <c r="AV7996" i="24"/>
  <c r="AU7996" i="24"/>
  <c r="AT7996" i="24"/>
  <c r="AS7996" i="24"/>
  <c r="AR7996" i="24"/>
  <c r="AQ7996" i="24"/>
  <c r="AP7996" i="24"/>
  <c r="AO7996" i="24"/>
  <c r="AN7996" i="24"/>
  <c r="AM7996" i="24"/>
  <c r="AL7996" i="24"/>
  <c r="P7994" i="24"/>
  <c r="O7994" i="24"/>
  <c r="N7994" i="24"/>
  <c r="M7994" i="24"/>
  <c r="L7994" i="24"/>
  <c r="K7994" i="24"/>
  <c r="J7994" i="24"/>
  <c r="I7994" i="24"/>
  <c r="H7994" i="24"/>
  <c r="G7994" i="24"/>
  <c r="F7994" i="24"/>
  <c r="E7994" i="24"/>
  <c r="D7994" i="24"/>
  <c r="P7991" i="24"/>
  <c r="O7991" i="24"/>
  <c r="N7991" i="24"/>
  <c r="M7991" i="24"/>
  <c r="L7991" i="24"/>
  <c r="K7991" i="24"/>
  <c r="J7991" i="24"/>
  <c r="I7991" i="24"/>
  <c r="H7991" i="24"/>
  <c r="G7991" i="24"/>
  <c r="F7991" i="24"/>
  <c r="E7991" i="24"/>
  <c r="D7991" i="24"/>
  <c r="P7989" i="24"/>
  <c r="O7989" i="24"/>
  <c r="N7989" i="24"/>
  <c r="M7989" i="24"/>
  <c r="L7989" i="24"/>
  <c r="K7989" i="24"/>
  <c r="J7989" i="24"/>
  <c r="I7989" i="24"/>
  <c r="H7989" i="24"/>
  <c r="G7989" i="24"/>
  <c r="F7989" i="24"/>
  <c r="E7989" i="24"/>
  <c r="D7989" i="24"/>
  <c r="P7987" i="24"/>
  <c r="O7987" i="24"/>
  <c r="N7987" i="24"/>
  <c r="M7987" i="24"/>
  <c r="L7987" i="24"/>
  <c r="K7987" i="24"/>
  <c r="J7987" i="24"/>
  <c r="I7987" i="24"/>
  <c r="H7987" i="24"/>
  <c r="G7987" i="24"/>
  <c r="F7987" i="24"/>
  <c r="E7987" i="24"/>
  <c r="D7987" i="24"/>
  <c r="P7984" i="24"/>
  <c r="O7984" i="24"/>
  <c r="N7984" i="24"/>
  <c r="M7984" i="24"/>
  <c r="L7984" i="24"/>
  <c r="K7984" i="24"/>
  <c r="J7984" i="24"/>
  <c r="I7984" i="24"/>
  <c r="H7984" i="24"/>
  <c r="G7984" i="24"/>
  <c r="F7984" i="24"/>
  <c r="E7984" i="24"/>
  <c r="D7984" i="24"/>
  <c r="P7980" i="24"/>
  <c r="O7980" i="24"/>
  <c r="N7980" i="24"/>
  <c r="M7980" i="24"/>
  <c r="L7980" i="24"/>
  <c r="K7980" i="24"/>
  <c r="J7980" i="24"/>
  <c r="I7980" i="24"/>
  <c r="H7980" i="24"/>
  <c r="G7980" i="24"/>
  <c r="F7980" i="24"/>
  <c r="E7980" i="24"/>
  <c r="D7980" i="24"/>
  <c r="P7978" i="24"/>
  <c r="O7978" i="24"/>
  <c r="N7978" i="24"/>
  <c r="M7978" i="24"/>
  <c r="L7978" i="24"/>
  <c r="K7978" i="24"/>
  <c r="J7978" i="24"/>
  <c r="I7978" i="24"/>
  <c r="H7978" i="24"/>
  <c r="G7978" i="24"/>
  <c r="F7978" i="24"/>
  <c r="E7978" i="24"/>
  <c r="D7978" i="24"/>
  <c r="P7976" i="24"/>
  <c r="O7976" i="24"/>
  <c r="N7976" i="24"/>
  <c r="M7976" i="24"/>
  <c r="L7976" i="24"/>
  <c r="K7976" i="24"/>
  <c r="J7976" i="24"/>
  <c r="I7976" i="24"/>
  <c r="H7976" i="24"/>
  <c r="G7976" i="24"/>
  <c r="F7976" i="24"/>
  <c r="E7976" i="24"/>
  <c r="D7976" i="24"/>
  <c r="P7974" i="24"/>
  <c r="O7974" i="24"/>
  <c r="N7974" i="24"/>
  <c r="M7974" i="24"/>
  <c r="L7974" i="24"/>
  <c r="K7974" i="24"/>
  <c r="J7974" i="24"/>
  <c r="I7974" i="24"/>
  <c r="H7974" i="24"/>
  <c r="G7974" i="24"/>
  <c r="F7974" i="24"/>
  <c r="E7974" i="24"/>
  <c r="D7974" i="24"/>
  <c r="P7972" i="24"/>
  <c r="O7972" i="24"/>
  <c r="N7972" i="24"/>
  <c r="M7972" i="24"/>
  <c r="L7972" i="24"/>
  <c r="K7972" i="24"/>
  <c r="J7972" i="24"/>
  <c r="I7972" i="24"/>
  <c r="H7972" i="24"/>
  <c r="G7972" i="24"/>
  <c r="F7972" i="24"/>
  <c r="E7972" i="24"/>
  <c r="D7972" i="24"/>
  <c r="P7970" i="24"/>
  <c r="O7970" i="24"/>
  <c r="N7970" i="24"/>
  <c r="M7970" i="24"/>
  <c r="L7970" i="24"/>
  <c r="K7970" i="24"/>
  <c r="J7970" i="24"/>
  <c r="I7970" i="24"/>
  <c r="H7970" i="24"/>
  <c r="G7970" i="24"/>
  <c r="F7970" i="24"/>
  <c r="E7970" i="24"/>
  <c r="D7970" i="24"/>
  <c r="P7968" i="24"/>
  <c r="O7968" i="24"/>
  <c r="N7968" i="24"/>
  <c r="M7968" i="24"/>
  <c r="L7968" i="24"/>
  <c r="K7968" i="24"/>
  <c r="J7968" i="24"/>
  <c r="I7968" i="24"/>
  <c r="H7968" i="24"/>
  <c r="G7968" i="24"/>
  <c r="F7968" i="24"/>
  <c r="E7968" i="24"/>
  <c r="D7968" i="24"/>
  <c r="P7966" i="24"/>
  <c r="O7966" i="24"/>
  <c r="N7966" i="24"/>
  <c r="M7966" i="24"/>
  <c r="L7966" i="24"/>
  <c r="K7966" i="24"/>
  <c r="J7966" i="24"/>
  <c r="I7966" i="24"/>
  <c r="H7966" i="24"/>
  <c r="G7966" i="24"/>
  <c r="F7966" i="24"/>
  <c r="E7966" i="24"/>
  <c r="D7966" i="24"/>
  <c r="P7964" i="24"/>
  <c r="O7964" i="24"/>
  <c r="N7964" i="24"/>
  <c r="M7964" i="24"/>
  <c r="L7964" i="24"/>
  <c r="K7964" i="24"/>
  <c r="J7964" i="24"/>
  <c r="I7964" i="24"/>
  <c r="H7964" i="24"/>
  <c r="G7964" i="24"/>
  <c r="F7964" i="24"/>
  <c r="E7964" i="24"/>
  <c r="D7964" i="24"/>
  <c r="P7962" i="24"/>
  <c r="O7962" i="24"/>
  <c r="N7962" i="24"/>
  <c r="M7962" i="24"/>
  <c r="L7962" i="24"/>
  <c r="K7962" i="24"/>
  <c r="J7962" i="24"/>
  <c r="I7962" i="24"/>
  <c r="H7962" i="24"/>
  <c r="G7962" i="24"/>
  <c r="F7962" i="24"/>
  <c r="E7962" i="24"/>
  <c r="D7962" i="24"/>
  <c r="P7960" i="24"/>
  <c r="O7960" i="24"/>
  <c r="N7960" i="24"/>
  <c r="M7960" i="24"/>
  <c r="L7960" i="24"/>
  <c r="K7960" i="24"/>
  <c r="J7960" i="24"/>
  <c r="I7960" i="24"/>
  <c r="H7960" i="24"/>
  <c r="G7960" i="24"/>
  <c r="F7960" i="24"/>
  <c r="E7960" i="24"/>
  <c r="D7960" i="24"/>
  <c r="P7958" i="24"/>
  <c r="O7958" i="24"/>
  <c r="N7958" i="24"/>
  <c r="M7958" i="24"/>
  <c r="L7958" i="24"/>
  <c r="K7958" i="24"/>
  <c r="J7958" i="24"/>
  <c r="I7958" i="24"/>
  <c r="H7958" i="24"/>
  <c r="G7958" i="24"/>
  <c r="F7958" i="24"/>
  <c r="E7958" i="24"/>
  <c r="D7958" i="24"/>
  <c r="P7956" i="24"/>
  <c r="O7956" i="24"/>
  <c r="N7956" i="24"/>
  <c r="M7956" i="24"/>
  <c r="L7956" i="24"/>
  <c r="K7956" i="24"/>
  <c r="J7956" i="24"/>
  <c r="I7956" i="24"/>
  <c r="H7956" i="24"/>
  <c r="G7956" i="24"/>
  <c r="F7956" i="24"/>
  <c r="E7956" i="24"/>
  <c r="D7956" i="24"/>
  <c r="P7954" i="24"/>
  <c r="O7954" i="24"/>
  <c r="N7954" i="24"/>
  <c r="M7954" i="24"/>
  <c r="L7954" i="24"/>
  <c r="K7954" i="24"/>
  <c r="J7954" i="24"/>
  <c r="I7954" i="24"/>
  <c r="H7954" i="24"/>
  <c r="G7954" i="24"/>
  <c r="F7954" i="24"/>
  <c r="E7954" i="24"/>
  <c r="D7954" i="24"/>
  <c r="P7952" i="24"/>
  <c r="O7952" i="24"/>
  <c r="N7952" i="24"/>
  <c r="M7952" i="24"/>
  <c r="L7952" i="24"/>
  <c r="K7952" i="24"/>
  <c r="J7952" i="24"/>
  <c r="I7952" i="24"/>
  <c r="H7952" i="24"/>
  <c r="G7952" i="24"/>
  <c r="F7952" i="24"/>
  <c r="E7952" i="24"/>
  <c r="D7952" i="24"/>
  <c r="P7950" i="24"/>
  <c r="O7950" i="24"/>
  <c r="N7950" i="24"/>
  <c r="M7950" i="24"/>
  <c r="L7950" i="24"/>
  <c r="K7950" i="24"/>
  <c r="J7950" i="24"/>
  <c r="I7950" i="24"/>
  <c r="H7950" i="24"/>
  <c r="G7950" i="24"/>
  <c r="F7950" i="24"/>
  <c r="E7950" i="24"/>
  <c r="D7950" i="24"/>
  <c r="P7948" i="24"/>
  <c r="O7948" i="24"/>
  <c r="N7948" i="24"/>
  <c r="M7948" i="24"/>
  <c r="L7948" i="24"/>
  <c r="K7948" i="24"/>
  <c r="J7948" i="24"/>
  <c r="I7948" i="24"/>
  <c r="H7948" i="24"/>
  <c r="G7948" i="24"/>
  <c r="F7948" i="24"/>
  <c r="E7948" i="24"/>
  <c r="D7948" i="24"/>
  <c r="P7946" i="24"/>
  <c r="O7946" i="24"/>
  <c r="N7946" i="24"/>
  <c r="M7946" i="24"/>
  <c r="L7946" i="24"/>
  <c r="K7946" i="24"/>
  <c r="J7946" i="24"/>
  <c r="I7946" i="24"/>
  <c r="H7946" i="24"/>
  <c r="G7946" i="24"/>
  <c r="F7946" i="24"/>
  <c r="E7946" i="24"/>
  <c r="D7946" i="24"/>
  <c r="P7944" i="24"/>
  <c r="O7944" i="24"/>
  <c r="N7944" i="24"/>
  <c r="M7944" i="24"/>
  <c r="L7944" i="24"/>
  <c r="K7944" i="24"/>
  <c r="J7944" i="24"/>
  <c r="I7944" i="24"/>
  <c r="H7944" i="24"/>
  <c r="G7944" i="24"/>
  <c r="F7944" i="24"/>
  <c r="E7944" i="24"/>
  <c r="D7944" i="24"/>
  <c r="P7942" i="24"/>
  <c r="O7942" i="24"/>
  <c r="N7942" i="24"/>
  <c r="M7942" i="24"/>
  <c r="L7942" i="24"/>
  <c r="K7942" i="24"/>
  <c r="J7942" i="24"/>
  <c r="I7942" i="24"/>
  <c r="H7942" i="24"/>
  <c r="G7942" i="24"/>
  <c r="F7942" i="24"/>
  <c r="E7942" i="24"/>
  <c r="D7942" i="24"/>
  <c r="P7940" i="24"/>
  <c r="O7940" i="24"/>
  <c r="N7940" i="24"/>
  <c r="M7940" i="24"/>
  <c r="L7940" i="24"/>
  <c r="K7940" i="24"/>
  <c r="J7940" i="24"/>
  <c r="I7940" i="24"/>
  <c r="H7940" i="24"/>
  <c r="G7940" i="24"/>
  <c r="F7940" i="24"/>
  <c r="E7940" i="24"/>
  <c r="D7940" i="24"/>
  <c r="P7938" i="24"/>
  <c r="O7938" i="24"/>
  <c r="N7938" i="24"/>
  <c r="M7938" i="24"/>
  <c r="L7938" i="24"/>
  <c r="K7938" i="24"/>
  <c r="J7938" i="24"/>
  <c r="I7938" i="24"/>
  <c r="H7938" i="24"/>
  <c r="G7938" i="24"/>
  <c r="F7938" i="24"/>
  <c r="E7938" i="24"/>
  <c r="D7938" i="24"/>
  <c r="P7936" i="24"/>
  <c r="O7936" i="24"/>
  <c r="N7936" i="24"/>
  <c r="M7936" i="24"/>
  <c r="L7936" i="24"/>
  <c r="K7936" i="24"/>
  <c r="J7936" i="24"/>
  <c r="I7936" i="24"/>
  <c r="H7936" i="24"/>
  <c r="G7936" i="24"/>
  <c r="F7936" i="24"/>
  <c r="E7936" i="24"/>
  <c r="D7936" i="24"/>
  <c r="P7934" i="24"/>
  <c r="O7934" i="24"/>
  <c r="N7934" i="24"/>
  <c r="M7934" i="24"/>
  <c r="L7934" i="24"/>
  <c r="K7934" i="24"/>
  <c r="J7934" i="24"/>
  <c r="I7934" i="24"/>
  <c r="H7934" i="24"/>
  <c r="G7934" i="24"/>
  <c r="F7934" i="24"/>
  <c r="E7934" i="24"/>
  <c r="D7934" i="24"/>
  <c r="P7932" i="24"/>
  <c r="O7932" i="24"/>
  <c r="N7932" i="24"/>
  <c r="M7932" i="24"/>
  <c r="L7932" i="24"/>
  <c r="K7932" i="24"/>
  <c r="J7932" i="24"/>
  <c r="I7932" i="24"/>
  <c r="H7932" i="24"/>
  <c r="G7932" i="24"/>
  <c r="F7932" i="24"/>
  <c r="E7932" i="24"/>
  <c r="D7932" i="24"/>
  <c r="P7930" i="24"/>
  <c r="O7930" i="24"/>
  <c r="N7930" i="24"/>
  <c r="M7930" i="24"/>
  <c r="L7930" i="24"/>
  <c r="K7930" i="24"/>
  <c r="J7930" i="24"/>
  <c r="I7930" i="24"/>
  <c r="H7930" i="24"/>
  <c r="G7930" i="24"/>
  <c r="F7930" i="24"/>
  <c r="E7930" i="24"/>
  <c r="D7930" i="24"/>
  <c r="P7928" i="24"/>
  <c r="O7928" i="24"/>
  <c r="N7928" i="24"/>
  <c r="M7928" i="24"/>
  <c r="L7928" i="24"/>
  <c r="K7928" i="24"/>
  <c r="J7928" i="24"/>
  <c r="I7928" i="24"/>
  <c r="H7928" i="24"/>
  <c r="G7928" i="24"/>
  <c r="F7928" i="24"/>
  <c r="E7928" i="24"/>
  <c r="D7928" i="24"/>
  <c r="P7926" i="24"/>
  <c r="O7926" i="24"/>
  <c r="N7926" i="24"/>
  <c r="M7926" i="24"/>
  <c r="L7926" i="24"/>
  <c r="K7926" i="24"/>
  <c r="J7926" i="24"/>
  <c r="I7926" i="24"/>
  <c r="H7926" i="24"/>
  <c r="G7926" i="24"/>
  <c r="F7926" i="24"/>
  <c r="E7926" i="24"/>
  <c r="D7926" i="24"/>
  <c r="P7924" i="24"/>
  <c r="O7924" i="24"/>
  <c r="N7924" i="24"/>
  <c r="M7924" i="24"/>
  <c r="L7924" i="24"/>
  <c r="K7924" i="24"/>
  <c r="J7924" i="24"/>
  <c r="I7924" i="24"/>
  <c r="H7924" i="24"/>
  <c r="G7924" i="24"/>
  <c r="F7924" i="24"/>
  <c r="E7924" i="24"/>
  <c r="D7924" i="24"/>
  <c r="P7922" i="24"/>
  <c r="O7922" i="24"/>
  <c r="N7922" i="24"/>
  <c r="M7922" i="24"/>
  <c r="L7922" i="24"/>
  <c r="K7922" i="24"/>
  <c r="J7922" i="24"/>
  <c r="I7922" i="24"/>
  <c r="H7922" i="24"/>
  <c r="G7922" i="24"/>
  <c r="F7922" i="24"/>
  <c r="E7922" i="24"/>
  <c r="D7922" i="24"/>
  <c r="P7920" i="24"/>
  <c r="O7920" i="24"/>
  <c r="N7920" i="24"/>
  <c r="M7920" i="24"/>
  <c r="L7920" i="24"/>
  <c r="K7920" i="24"/>
  <c r="J7920" i="24"/>
  <c r="I7920" i="24"/>
  <c r="H7920" i="24"/>
  <c r="G7920" i="24"/>
  <c r="F7920" i="24"/>
  <c r="E7920" i="24"/>
  <c r="D7920" i="24"/>
  <c r="P7917" i="24"/>
  <c r="O7917" i="24"/>
  <c r="N7917" i="24"/>
  <c r="M7917" i="24"/>
  <c r="L7917" i="24"/>
  <c r="K7917" i="24"/>
  <c r="J7917" i="24"/>
  <c r="I7917" i="24"/>
  <c r="H7917" i="24"/>
  <c r="G7917" i="24"/>
  <c r="F7917" i="24"/>
  <c r="E7917" i="24"/>
  <c r="D7917" i="24"/>
  <c r="P7913" i="24"/>
  <c r="O7913" i="24"/>
  <c r="N7913" i="24"/>
  <c r="M7913" i="24"/>
  <c r="L7913" i="24"/>
  <c r="K7913" i="24"/>
  <c r="J7913" i="24"/>
  <c r="I7913" i="24"/>
  <c r="H7913" i="24"/>
  <c r="G7913" i="24"/>
  <c r="F7913" i="24"/>
  <c r="E7913" i="24"/>
  <c r="D7913" i="24"/>
  <c r="P7911" i="24"/>
  <c r="O7911" i="24"/>
  <c r="N7911" i="24"/>
  <c r="M7911" i="24"/>
  <c r="L7911" i="24"/>
  <c r="K7911" i="24"/>
  <c r="J7911" i="24"/>
  <c r="I7911" i="24"/>
  <c r="H7911" i="24"/>
  <c r="G7911" i="24"/>
  <c r="F7911" i="24"/>
  <c r="E7911" i="24"/>
  <c r="D7911" i="24"/>
  <c r="P7907" i="24"/>
  <c r="O7907" i="24"/>
  <c r="N7907" i="24"/>
  <c r="M7907" i="24"/>
  <c r="L7907" i="24"/>
  <c r="K7907" i="24"/>
  <c r="J7907" i="24"/>
  <c r="I7907" i="24"/>
  <c r="H7907" i="24"/>
  <c r="G7907" i="24"/>
  <c r="F7907" i="24"/>
  <c r="E7907" i="24"/>
  <c r="D7907" i="24"/>
  <c r="P7904" i="24"/>
  <c r="O7904" i="24"/>
  <c r="N7904" i="24"/>
  <c r="M7904" i="24"/>
  <c r="L7904" i="24"/>
  <c r="K7904" i="24"/>
  <c r="J7904" i="24"/>
  <c r="I7904" i="24"/>
  <c r="H7904" i="24"/>
  <c r="G7904" i="24"/>
  <c r="F7904" i="24"/>
  <c r="E7904" i="24"/>
  <c r="D7904" i="24"/>
  <c r="P7902" i="24"/>
  <c r="O7902" i="24"/>
  <c r="N7902" i="24"/>
  <c r="M7902" i="24"/>
  <c r="L7902" i="24"/>
  <c r="K7902" i="24"/>
  <c r="J7902" i="24"/>
  <c r="I7902" i="24"/>
  <c r="H7902" i="24"/>
  <c r="G7902" i="24"/>
  <c r="F7902" i="24"/>
  <c r="E7902" i="24"/>
  <c r="D7902" i="24"/>
  <c r="P7900" i="24"/>
  <c r="O7900" i="24"/>
  <c r="N7900" i="24"/>
  <c r="M7900" i="24"/>
  <c r="L7900" i="24"/>
  <c r="K7900" i="24"/>
  <c r="J7900" i="24"/>
  <c r="I7900" i="24"/>
  <c r="H7900" i="24"/>
  <c r="G7900" i="24"/>
  <c r="F7900" i="24"/>
  <c r="E7900" i="24"/>
  <c r="D7900" i="24"/>
  <c r="P7898" i="24"/>
  <c r="O7898" i="24"/>
  <c r="N7898" i="24"/>
  <c r="M7898" i="24"/>
  <c r="L7898" i="24"/>
  <c r="K7898" i="24"/>
  <c r="J7898" i="24"/>
  <c r="I7898" i="24"/>
  <c r="H7898" i="24"/>
  <c r="G7898" i="24"/>
  <c r="F7898" i="24"/>
  <c r="E7898" i="24"/>
  <c r="D7898" i="24"/>
  <c r="P7896" i="24"/>
  <c r="O7896" i="24"/>
  <c r="N7896" i="24"/>
  <c r="M7896" i="24"/>
  <c r="L7896" i="24"/>
  <c r="K7896" i="24"/>
  <c r="J7896" i="24"/>
  <c r="I7896" i="24"/>
  <c r="H7896" i="24"/>
  <c r="G7896" i="24"/>
  <c r="F7896" i="24"/>
  <c r="E7896" i="24"/>
  <c r="D7896" i="24"/>
  <c r="P7892" i="24"/>
  <c r="O7892" i="24"/>
  <c r="N7892" i="24"/>
  <c r="M7892" i="24"/>
  <c r="L7892" i="24"/>
  <c r="K7892" i="24"/>
  <c r="J7892" i="24"/>
  <c r="I7892" i="24"/>
  <c r="H7892" i="24"/>
  <c r="G7892" i="24"/>
  <c r="F7892" i="24"/>
  <c r="E7892" i="24"/>
  <c r="D7892" i="24"/>
  <c r="P7888" i="24"/>
  <c r="O7888" i="24"/>
  <c r="N7888" i="24"/>
  <c r="M7888" i="24"/>
  <c r="L7888" i="24"/>
  <c r="K7888" i="24"/>
  <c r="J7888" i="24"/>
  <c r="I7888" i="24"/>
  <c r="H7888" i="24"/>
  <c r="G7888" i="24"/>
  <c r="F7888" i="24"/>
  <c r="E7888" i="24"/>
  <c r="D7888" i="24"/>
  <c r="P7884" i="24"/>
  <c r="O7884" i="24"/>
  <c r="N7884" i="24"/>
  <c r="M7884" i="24"/>
  <c r="L7884" i="24"/>
  <c r="K7884" i="24"/>
  <c r="J7884" i="24"/>
  <c r="I7884" i="24"/>
  <c r="H7884" i="24"/>
  <c r="G7884" i="24"/>
  <c r="F7884" i="24"/>
  <c r="E7884" i="24"/>
  <c r="D7884" i="24"/>
  <c r="P7880" i="24"/>
  <c r="O7880" i="24"/>
  <c r="N7880" i="24"/>
  <c r="M7880" i="24"/>
  <c r="L7880" i="24"/>
  <c r="K7880" i="24"/>
  <c r="J7880" i="24"/>
  <c r="I7880" i="24"/>
  <c r="H7880" i="24"/>
  <c r="G7880" i="24"/>
  <c r="F7880" i="24"/>
  <c r="E7880" i="24"/>
  <c r="D7880" i="24"/>
  <c r="P7876" i="24"/>
  <c r="O7876" i="24"/>
  <c r="N7876" i="24"/>
  <c r="M7876" i="24"/>
  <c r="L7876" i="24"/>
  <c r="K7876" i="24"/>
  <c r="J7876" i="24"/>
  <c r="I7876" i="24"/>
  <c r="H7876" i="24"/>
  <c r="G7876" i="24"/>
  <c r="F7876" i="24"/>
  <c r="E7876" i="24"/>
  <c r="D7876" i="24"/>
  <c r="P7871" i="24"/>
  <c r="O7871" i="24"/>
  <c r="N7871" i="24"/>
  <c r="M7871" i="24"/>
  <c r="L7871" i="24"/>
  <c r="K7871" i="24"/>
  <c r="J7871" i="24"/>
  <c r="I7871" i="24"/>
  <c r="H7871" i="24"/>
  <c r="G7871" i="24"/>
  <c r="F7871" i="24"/>
  <c r="E7871" i="24"/>
  <c r="D7871" i="24"/>
  <c r="P7867" i="24"/>
  <c r="O7867" i="24"/>
  <c r="N7867" i="24"/>
  <c r="M7867" i="24"/>
  <c r="L7867" i="24"/>
  <c r="K7867" i="24"/>
  <c r="J7867" i="24"/>
  <c r="I7867" i="24"/>
  <c r="H7867" i="24"/>
  <c r="G7867" i="24"/>
  <c r="F7867" i="24"/>
  <c r="E7867" i="24"/>
  <c r="D7867" i="24"/>
  <c r="P7864" i="24"/>
  <c r="O7864" i="24"/>
  <c r="N7864" i="24"/>
  <c r="M7864" i="24"/>
  <c r="L7864" i="24"/>
  <c r="K7864" i="24"/>
  <c r="J7864" i="24"/>
  <c r="I7864" i="24"/>
  <c r="H7864" i="24"/>
  <c r="G7864" i="24"/>
  <c r="F7864" i="24"/>
  <c r="E7864" i="24"/>
  <c r="D7864" i="24"/>
  <c r="P7862" i="24"/>
  <c r="O7862" i="24"/>
  <c r="N7862" i="24"/>
  <c r="M7862" i="24"/>
  <c r="L7862" i="24"/>
  <c r="K7862" i="24"/>
  <c r="J7862" i="24"/>
  <c r="I7862" i="24"/>
  <c r="H7862" i="24"/>
  <c r="G7862" i="24"/>
  <c r="F7862" i="24"/>
  <c r="E7862" i="24"/>
  <c r="D7862" i="24"/>
  <c r="P7858" i="24"/>
  <c r="O7858" i="24"/>
  <c r="N7858" i="24"/>
  <c r="M7858" i="24"/>
  <c r="L7858" i="24"/>
  <c r="K7858" i="24"/>
  <c r="J7858" i="24"/>
  <c r="I7858" i="24"/>
  <c r="H7858" i="24"/>
  <c r="G7858" i="24"/>
  <c r="F7858" i="24"/>
  <c r="E7858" i="24"/>
  <c r="D7858" i="24"/>
  <c r="P7854" i="24"/>
  <c r="O7854" i="24"/>
  <c r="N7854" i="24"/>
  <c r="M7854" i="24"/>
  <c r="L7854" i="24"/>
  <c r="K7854" i="24"/>
  <c r="J7854" i="24"/>
  <c r="I7854" i="24"/>
  <c r="H7854" i="24"/>
  <c r="G7854" i="24"/>
  <c r="F7854" i="24"/>
  <c r="E7854" i="24"/>
  <c r="D7854" i="24"/>
  <c r="P7851" i="24"/>
  <c r="O7851" i="24"/>
  <c r="N7851" i="24"/>
  <c r="M7851" i="24"/>
  <c r="L7851" i="24"/>
  <c r="K7851" i="24"/>
  <c r="J7851" i="24"/>
  <c r="I7851" i="24"/>
  <c r="H7851" i="24"/>
  <c r="G7851" i="24"/>
  <c r="F7851" i="24"/>
  <c r="E7851" i="24"/>
  <c r="D7851" i="24"/>
  <c r="P7848" i="24"/>
  <c r="O7848" i="24"/>
  <c r="N7848" i="24"/>
  <c r="M7848" i="24"/>
  <c r="L7848" i="24"/>
  <c r="K7848" i="24"/>
  <c r="J7848" i="24"/>
  <c r="I7848" i="24"/>
  <c r="H7848" i="24"/>
  <c r="G7848" i="24"/>
  <c r="F7848" i="24"/>
  <c r="E7848" i="24"/>
  <c r="D7848" i="24"/>
  <c r="P7845" i="24"/>
  <c r="O7845" i="24"/>
  <c r="N7845" i="24"/>
  <c r="M7845" i="24"/>
  <c r="L7845" i="24"/>
  <c r="K7845" i="24"/>
  <c r="J7845" i="24"/>
  <c r="I7845" i="24"/>
  <c r="H7845" i="24"/>
  <c r="G7845" i="24"/>
  <c r="F7845" i="24"/>
  <c r="E7845" i="24"/>
  <c r="D7845" i="24"/>
  <c r="P7842" i="24"/>
  <c r="O7842" i="24"/>
  <c r="N7842" i="24"/>
  <c r="M7842" i="24"/>
  <c r="L7842" i="24"/>
  <c r="K7842" i="24"/>
  <c r="J7842" i="24"/>
  <c r="I7842" i="24"/>
  <c r="H7842" i="24"/>
  <c r="G7842" i="24"/>
  <c r="F7842" i="24"/>
  <c r="E7842" i="24"/>
  <c r="D7842" i="24"/>
  <c r="P7839" i="24"/>
  <c r="O7839" i="24"/>
  <c r="N7839" i="24"/>
  <c r="M7839" i="24"/>
  <c r="L7839" i="24"/>
  <c r="K7839" i="24"/>
  <c r="J7839" i="24"/>
  <c r="I7839" i="24"/>
  <c r="H7839" i="24"/>
  <c r="G7839" i="24"/>
  <c r="F7839" i="24"/>
  <c r="E7839" i="24"/>
  <c r="D7839" i="24"/>
  <c r="P7836" i="24"/>
  <c r="O7836" i="24"/>
  <c r="N7836" i="24"/>
  <c r="M7836" i="24"/>
  <c r="L7836" i="24"/>
  <c r="K7836" i="24"/>
  <c r="J7836" i="24"/>
  <c r="I7836" i="24"/>
  <c r="H7836" i="24"/>
  <c r="G7836" i="24"/>
  <c r="F7836" i="24"/>
  <c r="E7836" i="24"/>
  <c r="D7836" i="24"/>
  <c r="P7833" i="24"/>
  <c r="O7833" i="24"/>
  <c r="N7833" i="24"/>
  <c r="M7833" i="24"/>
  <c r="L7833" i="24"/>
  <c r="K7833" i="24"/>
  <c r="J7833" i="24"/>
  <c r="I7833" i="24"/>
  <c r="H7833" i="24"/>
  <c r="G7833" i="24"/>
  <c r="F7833" i="24"/>
  <c r="E7833" i="24"/>
  <c r="D7833" i="24"/>
  <c r="P7830" i="24"/>
  <c r="O7830" i="24"/>
  <c r="N7830" i="24"/>
  <c r="M7830" i="24"/>
  <c r="L7830" i="24"/>
  <c r="K7830" i="24"/>
  <c r="J7830" i="24"/>
  <c r="I7830" i="24"/>
  <c r="H7830" i="24"/>
  <c r="G7830" i="24"/>
  <c r="F7830" i="24"/>
  <c r="E7830" i="24"/>
  <c r="D7830" i="24"/>
  <c r="P7827" i="24"/>
  <c r="O7827" i="24"/>
  <c r="N7827" i="24"/>
  <c r="M7827" i="24"/>
  <c r="L7827" i="24"/>
  <c r="K7827" i="24"/>
  <c r="J7827" i="24"/>
  <c r="I7827" i="24"/>
  <c r="H7827" i="24"/>
  <c r="G7827" i="24"/>
  <c r="F7827" i="24"/>
  <c r="E7827" i="24"/>
  <c r="D7827" i="24"/>
  <c r="P7824" i="24"/>
  <c r="O7824" i="24"/>
  <c r="N7824" i="24"/>
  <c r="M7824" i="24"/>
  <c r="L7824" i="24"/>
  <c r="K7824" i="24"/>
  <c r="J7824" i="24"/>
  <c r="I7824" i="24"/>
  <c r="H7824" i="24"/>
  <c r="G7824" i="24"/>
  <c r="F7824" i="24"/>
  <c r="E7824" i="24"/>
  <c r="D7824" i="24"/>
  <c r="P7821" i="24"/>
  <c r="O7821" i="24"/>
  <c r="N7821" i="24"/>
  <c r="M7821" i="24"/>
  <c r="L7821" i="24"/>
  <c r="K7821" i="24"/>
  <c r="J7821" i="24"/>
  <c r="I7821" i="24"/>
  <c r="H7821" i="24"/>
  <c r="G7821" i="24"/>
  <c r="F7821" i="24"/>
  <c r="E7821" i="24"/>
  <c r="D7821" i="24"/>
  <c r="P7818" i="24"/>
  <c r="O7818" i="24"/>
  <c r="N7818" i="24"/>
  <c r="M7818" i="24"/>
  <c r="L7818" i="24"/>
  <c r="K7818" i="24"/>
  <c r="J7818" i="24"/>
  <c r="I7818" i="24"/>
  <c r="H7818" i="24"/>
  <c r="G7818" i="24"/>
  <c r="F7818" i="24"/>
  <c r="E7818" i="24"/>
  <c r="D7818" i="24"/>
  <c r="P7815" i="24"/>
  <c r="O7815" i="24"/>
  <c r="N7815" i="24"/>
  <c r="M7815" i="24"/>
  <c r="L7815" i="24"/>
  <c r="K7815" i="24"/>
  <c r="J7815" i="24"/>
  <c r="I7815" i="24"/>
  <c r="H7815" i="24"/>
  <c r="G7815" i="24"/>
  <c r="F7815" i="24"/>
  <c r="E7815" i="24"/>
  <c r="D7815" i="24"/>
  <c r="P7810" i="24"/>
  <c r="O7810" i="24"/>
  <c r="N7810" i="24"/>
  <c r="M7810" i="24"/>
  <c r="L7810" i="24"/>
  <c r="K7810" i="24"/>
  <c r="J7810" i="24"/>
  <c r="I7810" i="24"/>
  <c r="H7810" i="24"/>
  <c r="G7810" i="24"/>
  <c r="F7810" i="24"/>
  <c r="E7810" i="24"/>
  <c r="D7810" i="24"/>
  <c r="P7805" i="24"/>
  <c r="O7805" i="24"/>
  <c r="N7805" i="24"/>
  <c r="M7805" i="24"/>
  <c r="L7805" i="24"/>
  <c r="K7805" i="24"/>
  <c r="J7805" i="24"/>
  <c r="I7805" i="24"/>
  <c r="H7805" i="24"/>
  <c r="G7805" i="24"/>
  <c r="F7805" i="24"/>
  <c r="E7805" i="24"/>
  <c r="D7805" i="24"/>
  <c r="P7801" i="24"/>
  <c r="O7801" i="24"/>
  <c r="N7801" i="24"/>
  <c r="M7801" i="24"/>
  <c r="L7801" i="24"/>
  <c r="K7801" i="24"/>
  <c r="J7801" i="24"/>
  <c r="I7801" i="24"/>
  <c r="H7801" i="24"/>
  <c r="G7801" i="24"/>
  <c r="F7801" i="24"/>
  <c r="E7801" i="24"/>
  <c r="D7801" i="24"/>
  <c r="P7798" i="24"/>
  <c r="O7798" i="24"/>
  <c r="N7798" i="24"/>
  <c r="M7798" i="24"/>
  <c r="L7798" i="24"/>
  <c r="K7798" i="24"/>
  <c r="J7798" i="24"/>
  <c r="I7798" i="24"/>
  <c r="H7798" i="24"/>
  <c r="G7798" i="24"/>
  <c r="F7798" i="24"/>
  <c r="E7798" i="24"/>
  <c r="D7798" i="24"/>
  <c r="A7798" i="24"/>
  <c r="P7795" i="24"/>
  <c r="O7795" i="24"/>
  <c r="N7795" i="24"/>
  <c r="M7795" i="24"/>
  <c r="L7795" i="24"/>
  <c r="K7795" i="24"/>
  <c r="J7795" i="24"/>
  <c r="I7795" i="24"/>
  <c r="H7795" i="24"/>
  <c r="G7795" i="24"/>
  <c r="F7795" i="24"/>
  <c r="E7795" i="24"/>
  <c r="D7795" i="24"/>
  <c r="P7791" i="24"/>
  <c r="O7791" i="24"/>
  <c r="N7791" i="24"/>
  <c r="M7791" i="24"/>
  <c r="L7791" i="24"/>
  <c r="K7791" i="24"/>
  <c r="J7791" i="24"/>
  <c r="I7791" i="24"/>
  <c r="H7791" i="24"/>
  <c r="G7791" i="24"/>
  <c r="F7791" i="24"/>
  <c r="E7791" i="24"/>
  <c r="D7791" i="24"/>
  <c r="DG7790" i="24"/>
  <c r="DF7790" i="24"/>
  <c r="DE7790" i="24"/>
  <c r="DD7790" i="24"/>
  <c r="DC7790" i="24"/>
  <c r="DB7790" i="24"/>
  <c r="DA7790" i="24"/>
  <c r="CZ7790" i="24"/>
  <c r="CY7790" i="24"/>
  <c r="CX7790" i="24"/>
  <c r="CW7790" i="24"/>
  <c r="CV7790" i="24"/>
  <c r="CU7790" i="24"/>
  <c r="CT7790" i="24"/>
  <c r="CS7790" i="24"/>
  <c r="CR7790" i="24"/>
  <c r="CQ7790" i="24"/>
  <c r="CP7790" i="24"/>
  <c r="CO7790" i="24"/>
  <c r="CN7790" i="24"/>
  <c r="CM7790" i="24"/>
  <c r="CL7790" i="24"/>
  <c r="CK7790" i="24"/>
  <c r="CJ7790" i="24"/>
  <c r="CI7790" i="24"/>
  <c r="CH7790" i="24"/>
  <c r="CG7790" i="24"/>
  <c r="CF7790" i="24"/>
  <c r="CE7790" i="24"/>
  <c r="CD7790" i="24"/>
  <c r="CC7790" i="24"/>
  <c r="CB7790" i="24"/>
  <c r="CA7790" i="24"/>
  <c r="BZ7790" i="24"/>
  <c r="BY7790" i="24"/>
  <c r="BX7790" i="24"/>
  <c r="BW7790" i="24"/>
  <c r="BV7790" i="24"/>
  <c r="BU7790" i="24"/>
  <c r="BT7790" i="24"/>
  <c r="BS7790" i="24"/>
  <c r="BR7790" i="24"/>
  <c r="BQ7790" i="24"/>
  <c r="BP7790" i="24"/>
  <c r="BO7790" i="24"/>
  <c r="BN7790" i="24"/>
  <c r="BM7790" i="24"/>
  <c r="BL7790" i="24"/>
  <c r="BK7790" i="24"/>
  <c r="BJ7790" i="24"/>
  <c r="BI7790" i="24"/>
  <c r="BH7790" i="24"/>
  <c r="BG7790" i="24"/>
  <c r="BF7790" i="24"/>
  <c r="BE7790" i="24"/>
  <c r="BD7790" i="24"/>
  <c r="BC7790" i="24"/>
  <c r="BB7790" i="24"/>
  <c r="BA7790" i="24"/>
  <c r="AZ7790" i="24"/>
  <c r="AY7790" i="24"/>
  <c r="AX7790" i="24"/>
  <c r="AW7790" i="24"/>
  <c r="AV7790" i="24"/>
  <c r="AU7790" i="24"/>
  <c r="AT7790" i="24"/>
  <c r="AS7790" i="24"/>
  <c r="AR7790" i="24"/>
  <c r="AQ7790" i="24"/>
  <c r="AP7790" i="24"/>
  <c r="AO7790" i="24"/>
  <c r="AN7790" i="24"/>
  <c r="AM7790" i="24"/>
  <c r="AL7790" i="24"/>
  <c r="Q7788" i="24"/>
  <c r="P7788" i="24"/>
  <c r="O7788" i="24"/>
  <c r="N7788" i="24"/>
  <c r="M7788" i="24"/>
  <c r="L7788" i="24"/>
  <c r="K7788" i="24"/>
  <c r="J7788" i="24"/>
  <c r="I7788" i="24"/>
  <c r="H7788" i="24"/>
  <c r="G7788" i="24"/>
  <c r="F7788" i="24"/>
  <c r="E7788" i="24"/>
  <c r="D7788" i="24"/>
  <c r="Q7785" i="24"/>
  <c r="P7785" i="24"/>
  <c r="O7785" i="24"/>
  <c r="N7785" i="24"/>
  <c r="M7785" i="24"/>
  <c r="L7785" i="24"/>
  <c r="K7785" i="24"/>
  <c r="J7785" i="24"/>
  <c r="I7785" i="24"/>
  <c r="H7785" i="24"/>
  <c r="G7785" i="24"/>
  <c r="F7785" i="24"/>
  <c r="E7785" i="24"/>
  <c r="D7785" i="24"/>
  <c r="Q7783" i="24"/>
  <c r="P7783" i="24"/>
  <c r="O7783" i="24"/>
  <c r="N7783" i="24"/>
  <c r="M7783" i="24"/>
  <c r="L7783" i="24"/>
  <c r="K7783" i="24"/>
  <c r="J7783" i="24"/>
  <c r="I7783" i="24"/>
  <c r="H7783" i="24"/>
  <c r="G7783" i="24"/>
  <c r="F7783" i="24"/>
  <c r="E7783" i="24"/>
  <c r="D7783" i="24"/>
  <c r="Q7781" i="24"/>
  <c r="P7781" i="24"/>
  <c r="O7781" i="24"/>
  <c r="N7781" i="24"/>
  <c r="M7781" i="24"/>
  <c r="L7781" i="24"/>
  <c r="K7781" i="24"/>
  <c r="J7781" i="24"/>
  <c r="I7781" i="24"/>
  <c r="H7781" i="24"/>
  <c r="G7781" i="24"/>
  <c r="F7781" i="24"/>
  <c r="E7781" i="24"/>
  <c r="D7781" i="24"/>
  <c r="Q7778" i="24"/>
  <c r="P7778" i="24"/>
  <c r="O7778" i="24"/>
  <c r="N7778" i="24"/>
  <c r="M7778" i="24"/>
  <c r="L7778" i="24"/>
  <c r="K7778" i="24"/>
  <c r="J7778" i="24"/>
  <c r="I7778" i="24"/>
  <c r="H7778" i="24"/>
  <c r="G7778" i="24"/>
  <c r="F7778" i="24"/>
  <c r="E7778" i="24"/>
  <c r="D7778" i="24"/>
  <c r="Q7774" i="24"/>
  <c r="P7774" i="24"/>
  <c r="O7774" i="24"/>
  <c r="N7774" i="24"/>
  <c r="M7774" i="24"/>
  <c r="L7774" i="24"/>
  <c r="K7774" i="24"/>
  <c r="J7774" i="24"/>
  <c r="I7774" i="24"/>
  <c r="H7774" i="24"/>
  <c r="G7774" i="24"/>
  <c r="F7774" i="24"/>
  <c r="E7774" i="24"/>
  <c r="D7774" i="24"/>
  <c r="Q7772" i="24"/>
  <c r="P7772" i="24"/>
  <c r="O7772" i="24"/>
  <c r="N7772" i="24"/>
  <c r="M7772" i="24"/>
  <c r="L7772" i="24"/>
  <c r="K7772" i="24"/>
  <c r="J7772" i="24"/>
  <c r="I7772" i="24"/>
  <c r="H7772" i="24"/>
  <c r="G7772" i="24"/>
  <c r="F7772" i="24"/>
  <c r="E7772" i="24"/>
  <c r="D7772" i="24"/>
  <c r="Q7770" i="24"/>
  <c r="P7770" i="24"/>
  <c r="O7770" i="24"/>
  <c r="N7770" i="24"/>
  <c r="M7770" i="24"/>
  <c r="L7770" i="24"/>
  <c r="K7770" i="24"/>
  <c r="J7770" i="24"/>
  <c r="I7770" i="24"/>
  <c r="H7770" i="24"/>
  <c r="G7770" i="24"/>
  <c r="F7770" i="24"/>
  <c r="E7770" i="24"/>
  <c r="D7770" i="24"/>
  <c r="Q7768" i="24"/>
  <c r="P7768" i="24"/>
  <c r="O7768" i="24"/>
  <c r="N7768" i="24"/>
  <c r="M7768" i="24"/>
  <c r="L7768" i="24"/>
  <c r="K7768" i="24"/>
  <c r="J7768" i="24"/>
  <c r="I7768" i="24"/>
  <c r="H7768" i="24"/>
  <c r="G7768" i="24"/>
  <c r="F7768" i="24"/>
  <c r="E7768" i="24"/>
  <c r="D7768" i="24"/>
  <c r="Q7766" i="24"/>
  <c r="P7766" i="24"/>
  <c r="O7766" i="24"/>
  <c r="N7766" i="24"/>
  <c r="M7766" i="24"/>
  <c r="L7766" i="24"/>
  <c r="K7766" i="24"/>
  <c r="J7766" i="24"/>
  <c r="I7766" i="24"/>
  <c r="H7766" i="24"/>
  <c r="G7766" i="24"/>
  <c r="F7766" i="24"/>
  <c r="E7766" i="24"/>
  <c r="D7766" i="24"/>
  <c r="Q7764" i="24"/>
  <c r="P7764" i="24"/>
  <c r="O7764" i="24"/>
  <c r="N7764" i="24"/>
  <c r="M7764" i="24"/>
  <c r="L7764" i="24"/>
  <c r="K7764" i="24"/>
  <c r="J7764" i="24"/>
  <c r="I7764" i="24"/>
  <c r="H7764" i="24"/>
  <c r="G7764" i="24"/>
  <c r="F7764" i="24"/>
  <c r="E7764" i="24"/>
  <c r="D7764" i="24"/>
  <c r="Q7762" i="24"/>
  <c r="P7762" i="24"/>
  <c r="O7762" i="24"/>
  <c r="N7762" i="24"/>
  <c r="M7762" i="24"/>
  <c r="L7762" i="24"/>
  <c r="K7762" i="24"/>
  <c r="J7762" i="24"/>
  <c r="I7762" i="24"/>
  <c r="H7762" i="24"/>
  <c r="G7762" i="24"/>
  <c r="F7762" i="24"/>
  <c r="E7762" i="24"/>
  <c r="D7762" i="24"/>
  <c r="Q7760" i="24"/>
  <c r="P7760" i="24"/>
  <c r="O7760" i="24"/>
  <c r="N7760" i="24"/>
  <c r="M7760" i="24"/>
  <c r="L7760" i="24"/>
  <c r="K7760" i="24"/>
  <c r="J7760" i="24"/>
  <c r="I7760" i="24"/>
  <c r="H7760" i="24"/>
  <c r="G7760" i="24"/>
  <c r="F7760" i="24"/>
  <c r="E7760" i="24"/>
  <c r="D7760" i="24"/>
  <c r="Q7758" i="24"/>
  <c r="P7758" i="24"/>
  <c r="O7758" i="24"/>
  <c r="N7758" i="24"/>
  <c r="M7758" i="24"/>
  <c r="L7758" i="24"/>
  <c r="K7758" i="24"/>
  <c r="J7758" i="24"/>
  <c r="I7758" i="24"/>
  <c r="H7758" i="24"/>
  <c r="G7758" i="24"/>
  <c r="F7758" i="24"/>
  <c r="E7758" i="24"/>
  <c r="D7758" i="24"/>
  <c r="Q7756" i="24"/>
  <c r="P7756" i="24"/>
  <c r="O7756" i="24"/>
  <c r="N7756" i="24"/>
  <c r="M7756" i="24"/>
  <c r="L7756" i="24"/>
  <c r="K7756" i="24"/>
  <c r="J7756" i="24"/>
  <c r="I7756" i="24"/>
  <c r="H7756" i="24"/>
  <c r="G7756" i="24"/>
  <c r="F7756" i="24"/>
  <c r="E7756" i="24"/>
  <c r="D7756" i="24"/>
  <c r="Q7754" i="24"/>
  <c r="P7754" i="24"/>
  <c r="O7754" i="24"/>
  <c r="N7754" i="24"/>
  <c r="M7754" i="24"/>
  <c r="L7754" i="24"/>
  <c r="K7754" i="24"/>
  <c r="J7754" i="24"/>
  <c r="I7754" i="24"/>
  <c r="H7754" i="24"/>
  <c r="G7754" i="24"/>
  <c r="F7754" i="24"/>
  <c r="E7754" i="24"/>
  <c r="D7754" i="24"/>
  <c r="Q7752" i="24"/>
  <c r="P7752" i="24"/>
  <c r="O7752" i="24"/>
  <c r="N7752" i="24"/>
  <c r="M7752" i="24"/>
  <c r="L7752" i="24"/>
  <c r="K7752" i="24"/>
  <c r="J7752" i="24"/>
  <c r="I7752" i="24"/>
  <c r="H7752" i="24"/>
  <c r="G7752" i="24"/>
  <c r="F7752" i="24"/>
  <c r="E7752" i="24"/>
  <c r="D7752" i="24"/>
  <c r="Q7750" i="24"/>
  <c r="P7750" i="24"/>
  <c r="O7750" i="24"/>
  <c r="N7750" i="24"/>
  <c r="M7750" i="24"/>
  <c r="L7750" i="24"/>
  <c r="K7750" i="24"/>
  <c r="J7750" i="24"/>
  <c r="I7750" i="24"/>
  <c r="H7750" i="24"/>
  <c r="G7750" i="24"/>
  <c r="F7750" i="24"/>
  <c r="E7750" i="24"/>
  <c r="D7750" i="24"/>
  <c r="Q7748" i="24"/>
  <c r="P7748" i="24"/>
  <c r="O7748" i="24"/>
  <c r="N7748" i="24"/>
  <c r="M7748" i="24"/>
  <c r="L7748" i="24"/>
  <c r="K7748" i="24"/>
  <c r="J7748" i="24"/>
  <c r="I7748" i="24"/>
  <c r="H7748" i="24"/>
  <c r="G7748" i="24"/>
  <c r="F7748" i="24"/>
  <c r="E7748" i="24"/>
  <c r="D7748" i="24"/>
  <c r="Q7746" i="24"/>
  <c r="P7746" i="24"/>
  <c r="O7746" i="24"/>
  <c r="N7746" i="24"/>
  <c r="M7746" i="24"/>
  <c r="L7746" i="24"/>
  <c r="K7746" i="24"/>
  <c r="J7746" i="24"/>
  <c r="I7746" i="24"/>
  <c r="H7746" i="24"/>
  <c r="G7746" i="24"/>
  <c r="F7746" i="24"/>
  <c r="E7746" i="24"/>
  <c r="D7746" i="24"/>
  <c r="Q7744" i="24"/>
  <c r="P7744" i="24"/>
  <c r="O7744" i="24"/>
  <c r="N7744" i="24"/>
  <c r="M7744" i="24"/>
  <c r="L7744" i="24"/>
  <c r="K7744" i="24"/>
  <c r="J7744" i="24"/>
  <c r="I7744" i="24"/>
  <c r="H7744" i="24"/>
  <c r="G7744" i="24"/>
  <c r="F7744" i="24"/>
  <c r="E7744" i="24"/>
  <c r="D7744" i="24"/>
  <c r="Q7742" i="24"/>
  <c r="P7742" i="24"/>
  <c r="O7742" i="24"/>
  <c r="N7742" i="24"/>
  <c r="M7742" i="24"/>
  <c r="L7742" i="24"/>
  <c r="K7742" i="24"/>
  <c r="J7742" i="24"/>
  <c r="I7742" i="24"/>
  <c r="H7742" i="24"/>
  <c r="G7742" i="24"/>
  <c r="F7742" i="24"/>
  <c r="E7742" i="24"/>
  <c r="D7742" i="24"/>
  <c r="Q7740" i="24"/>
  <c r="P7740" i="24"/>
  <c r="O7740" i="24"/>
  <c r="N7740" i="24"/>
  <c r="M7740" i="24"/>
  <c r="L7740" i="24"/>
  <c r="K7740" i="24"/>
  <c r="J7740" i="24"/>
  <c r="I7740" i="24"/>
  <c r="H7740" i="24"/>
  <c r="G7740" i="24"/>
  <c r="F7740" i="24"/>
  <c r="E7740" i="24"/>
  <c r="D7740" i="24"/>
  <c r="Q7738" i="24"/>
  <c r="P7738" i="24"/>
  <c r="O7738" i="24"/>
  <c r="N7738" i="24"/>
  <c r="M7738" i="24"/>
  <c r="L7738" i="24"/>
  <c r="K7738" i="24"/>
  <c r="J7738" i="24"/>
  <c r="I7738" i="24"/>
  <c r="H7738" i="24"/>
  <c r="G7738" i="24"/>
  <c r="F7738" i="24"/>
  <c r="E7738" i="24"/>
  <c r="D7738" i="24"/>
  <c r="Q7736" i="24"/>
  <c r="P7736" i="24"/>
  <c r="O7736" i="24"/>
  <c r="N7736" i="24"/>
  <c r="M7736" i="24"/>
  <c r="L7736" i="24"/>
  <c r="K7736" i="24"/>
  <c r="J7736" i="24"/>
  <c r="I7736" i="24"/>
  <c r="H7736" i="24"/>
  <c r="G7736" i="24"/>
  <c r="F7736" i="24"/>
  <c r="E7736" i="24"/>
  <c r="D7736" i="24"/>
  <c r="Q7734" i="24"/>
  <c r="P7734" i="24"/>
  <c r="O7734" i="24"/>
  <c r="N7734" i="24"/>
  <c r="M7734" i="24"/>
  <c r="L7734" i="24"/>
  <c r="K7734" i="24"/>
  <c r="J7734" i="24"/>
  <c r="I7734" i="24"/>
  <c r="H7734" i="24"/>
  <c r="G7734" i="24"/>
  <c r="F7734" i="24"/>
  <c r="E7734" i="24"/>
  <c r="D7734" i="24"/>
  <c r="Q7732" i="24"/>
  <c r="P7732" i="24"/>
  <c r="O7732" i="24"/>
  <c r="N7732" i="24"/>
  <c r="M7732" i="24"/>
  <c r="L7732" i="24"/>
  <c r="K7732" i="24"/>
  <c r="J7732" i="24"/>
  <c r="I7732" i="24"/>
  <c r="H7732" i="24"/>
  <c r="G7732" i="24"/>
  <c r="F7732" i="24"/>
  <c r="E7732" i="24"/>
  <c r="D7732" i="24"/>
  <c r="Q7730" i="24"/>
  <c r="P7730" i="24"/>
  <c r="O7730" i="24"/>
  <c r="N7730" i="24"/>
  <c r="M7730" i="24"/>
  <c r="L7730" i="24"/>
  <c r="K7730" i="24"/>
  <c r="J7730" i="24"/>
  <c r="I7730" i="24"/>
  <c r="H7730" i="24"/>
  <c r="G7730" i="24"/>
  <c r="F7730" i="24"/>
  <c r="E7730" i="24"/>
  <c r="D7730" i="24"/>
  <c r="Q7728" i="24"/>
  <c r="P7728" i="24"/>
  <c r="O7728" i="24"/>
  <c r="N7728" i="24"/>
  <c r="M7728" i="24"/>
  <c r="L7728" i="24"/>
  <c r="K7728" i="24"/>
  <c r="J7728" i="24"/>
  <c r="I7728" i="24"/>
  <c r="H7728" i="24"/>
  <c r="G7728" i="24"/>
  <c r="F7728" i="24"/>
  <c r="E7728" i="24"/>
  <c r="D7728" i="24"/>
  <c r="Q7726" i="24"/>
  <c r="P7726" i="24"/>
  <c r="O7726" i="24"/>
  <c r="N7726" i="24"/>
  <c r="M7726" i="24"/>
  <c r="L7726" i="24"/>
  <c r="K7726" i="24"/>
  <c r="J7726" i="24"/>
  <c r="I7726" i="24"/>
  <c r="H7726" i="24"/>
  <c r="G7726" i="24"/>
  <c r="F7726" i="24"/>
  <c r="E7726" i="24"/>
  <c r="D7726" i="24"/>
  <c r="Q7724" i="24"/>
  <c r="P7724" i="24"/>
  <c r="O7724" i="24"/>
  <c r="N7724" i="24"/>
  <c r="M7724" i="24"/>
  <c r="L7724" i="24"/>
  <c r="K7724" i="24"/>
  <c r="J7724" i="24"/>
  <c r="I7724" i="24"/>
  <c r="H7724" i="24"/>
  <c r="G7724" i="24"/>
  <c r="F7724" i="24"/>
  <c r="E7724" i="24"/>
  <c r="D7724" i="24"/>
  <c r="Q7722" i="24"/>
  <c r="P7722" i="24"/>
  <c r="O7722" i="24"/>
  <c r="N7722" i="24"/>
  <c r="M7722" i="24"/>
  <c r="L7722" i="24"/>
  <c r="K7722" i="24"/>
  <c r="J7722" i="24"/>
  <c r="I7722" i="24"/>
  <c r="H7722" i="24"/>
  <c r="G7722" i="24"/>
  <c r="F7722" i="24"/>
  <c r="E7722" i="24"/>
  <c r="D7722" i="24"/>
  <c r="Q7720" i="24"/>
  <c r="P7720" i="24"/>
  <c r="O7720" i="24"/>
  <c r="N7720" i="24"/>
  <c r="M7720" i="24"/>
  <c r="L7720" i="24"/>
  <c r="K7720" i="24"/>
  <c r="J7720" i="24"/>
  <c r="I7720" i="24"/>
  <c r="H7720" i="24"/>
  <c r="G7720" i="24"/>
  <c r="F7720" i="24"/>
  <c r="E7720" i="24"/>
  <c r="D7720" i="24"/>
  <c r="Q7718" i="24"/>
  <c r="P7718" i="24"/>
  <c r="O7718" i="24"/>
  <c r="N7718" i="24"/>
  <c r="M7718" i="24"/>
  <c r="L7718" i="24"/>
  <c r="K7718" i="24"/>
  <c r="J7718" i="24"/>
  <c r="I7718" i="24"/>
  <c r="H7718" i="24"/>
  <c r="G7718" i="24"/>
  <c r="F7718" i="24"/>
  <c r="E7718" i="24"/>
  <c r="D7718" i="24"/>
  <c r="Q7716" i="24"/>
  <c r="P7716" i="24"/>
  <c r="O7716" i="24"/>
  <c r="N7716" i="24"/>
  <c r="M7716" i="24"/>
  <c r="L7716" i="24"/>
  <c r="K7716" i="24"/>
  <c r="J7716" i="24"/>
  <c r="I7716" i="24"/>
  <c r="H7716" i="24"/>
  <c r="G7716" i="24"/>
  <c r="F7716" i="24"/>
  <c r="E7716" i="24"/>
  <c r="D7716" i="24"/>
  <c r="Q7714" i="24"/>
  <c r="P7714" i="24"/>
  <c r="O7714" i="24"/>
  <c r="N7714" i="24"/>
  <c r="M7714" i="24"/>
  <c r="L7714" i="24"/>
  <c r="K7714" i="24"/>
  <c r="J7714" i="24"/>
  <c r="I7714" i="24"/>
  <c r="H7714" i="24"/>
  <c r="G7714" i="24"/>
  <c r="F7714" i="24"/>
  <c r="E7714" i="24"/>
  <c r="D7714" i="24"/>
  <c r="Q7711" i="24"/>
  <c r="P7711" i="24"/>
  <c r="O7711" i="24"/>
  <c r="N7711" i="24"/>
  <c r="M7711" i="24"/>
  <c r="L7711" i="24"/>
  <c r="K7711" i="24"/>
  <c r="J7711" i="24"/>
  <c r="I7711" i="24"/>
  <c r="H7711" i="24"/>
  <c r="G7711" i="24"/>
  <c r="F7711" i="24"/>
  <c r="E7711" i="24"/>
  <c r="D7711" i="24"/>
  <c r="Q7707" i="24"/>
  <c r="P7707" i="24"/>
  <c r="O7707" i="24"/>
  <c r="N7707" i="24"/>
  <c r="M7707" i="24"/>
  <c r="L7707" i="24"/>
  <c r="K7707" i="24"/>
  <c r="J7707" i="24"/>
  <c r="I7707" i="24"/>
  <c r="H7707" i="24"/>
  <c r="G7707" i="24"/>
  <c r="F7707" i="24"/>
  <c r="E7707" i="24"/>
  <c r="D7707" i="24"/>
  <c r="Q7705" i="24"/>
  <c r="P7705" i="24"/>
  <c r="O7705" i="24"/>
  <c r="N7705" i="24"/>
  <c r="M7705" i="24"/>
  <c r="L7705" i="24"/>
  <c r="K7705" i="24"/>
  <c r="J7705" i="24"/>
  <c r="I7705" i="24"/>
  <c r="H7705" i="24"/>
  <c r="G7705" i="24"/>
  <c r="F7705" i="24"/>
  <c r="E7705" i="24"/>
  <c r="D7705" i="24"/>
  <c r="Q7701" i="24"/>
  <c r="P7701" i="24"/>
  <c r="O7701" i="24"/>
  <c r="N7701" i="24"/>
  <c r="M7701" i="24"/>
  <c r="L7701" i="24"/>
  <c r="K7701" i="24"/>
  <c r="J7701" i="24"/>
  <c r="I7701" i="24"/>
  <c r="H7701" i="24"/>
  <c r="G7701" i="24"/>
  <c r="F7701" i="24"/>
  <c r="E7701" i="24"/>
  <c r="D7701" i="24"/>
  <c r="Q7698" i="24"/>
  <c r="P7698" i="24"/>
  <c r="O7698" i="24"/>
  <c r="N7698" i="24"/>
  <c r="M7698" i="24"/>
  <c r="L7698" i="24"/>
  <c r="K7698" i="24"/>
  <c r="J7698" i="24"/>
  <c r="I7698" i="24"/>
  <c r="H7698" i="24"/>
  <c r="G7698" i="24"/>
  <c r="F7698" i="24"/>
  <c r="E7698" i="24"/>
  <c r="D7698" i="24"/>
  <c r="Q7696" i="24"/>
  <c r="P7696" i="24"/>
  <c r="O7696" i="24"/>
  <c r="N7696" i="24"/>
  <c r="M7696" i="24"/>
  <c r="L7696" i="24"/>
  <c r="K7696" i="24"/>
  <c r="J7696" i="24"/>
  <c r="I7696" i="24"/>
  <c r="H7696" i="24"/>
  <c r="G7696" i="24"/>
  <c r="F7696" i="24"/>
  <c r="E7696" i="24"/>
  <c r="D7696" i="24"/>
  <c r="Q7694" i="24"/>
  <c r="P7694" i="24"/>
  <c r="O7694" i="24"/>
  <c r="N7694" i="24"/>
  <c r="M7694" i="24"/>
  <c r="L7694" i="24"/>
  <c r="K7694" i="24"/>
  <c r="J7694" i="24"/>
  <c r="I7694" i="24"/>
  <c r="H7694" i="24"/>
  <c r="G7694" i="24"/>
  <c r="F7694" i="24"/>
  <c r="E7694" i="24"/>
  <c r="D7694" i="24"/>
  <c r="Q7692" i="24"/>
  <c r="P7692" i="24"/>
  <c r="O7692" i="24"/>
  <c r="N7692" i="24"/>
  <c r="M7692" i="24"/>
  <c r="L7692" i="24"/>
  <c r="K7692" i="24"/>
  <c r="J7692" i="24"/>
  <c r="I7692" i="24"/>
  <c r="H7692" i="24"/>
  <c r="G7692" i="24"/>
  <c r="F7692" i="24"/>
  <c r="E7692" i="24"/>
  <c r="D7692" i="24"/>
  <c r="Q7690" i="24"/>
  <c r="P7690" i="24"/>
  <c r="O7690" i="24"/>
  <c r="N7690" i="24"/>
  <c r="M7690" i="24"/>
  <c r="L7690" i="24"/>
  <c r="K7690" i="24"/>
  <c r="J7690" i="24"/>
  <c r="I7690" i="24"/>
  <c r="H7690" i="24"/>
  <c r="G7690" i="24"/>
  <c r="F7690" i="24"/>
  <c r="E7690" i="24"/>
  <c r="D7690" i="24"/>
  <c r="Q7686" i="24"/>
  <c r="P7686" i="24"/>
  <c r="O7686" i="24"/>
  <c r="N7686" i="24"/>
  <c r="M7686" i="24"/>
  <c r="L7686" i="24"/>
  <c r="K7686" i="24"/>
  <c r="J7686" i="24"/>
  <c r="I7686" i="24"/>
  <c r="H7686" i="24"/>
  <c r="G7686" i="24"/>
  <c r="F7686" i="24"/>
  <c r="E7686" i="24"/>
  <c r="D7686" i="24"/>
  <c r="Q7682" i="24"/>
  <c r="P7682" i="24"/>
  <c r="O7682" i="24"/>
  <c r="N7682" i="24"/>
  <c r="M7682" i="24"/>
  <c r="L7682" i="24"/>
  <c r="K7682" i="24"/>
  <c r="J7682" i="24"/>
  <c r="I7682" i="24"/>
  <c r="H7682" i="24"/>
  <c r="G7682" i="24"/>
  <c r="F7682" i="24"/>
  <c r="E7682" i="24"/>
  <c r="D7682" i="24"/>
  <c r="Q7678" i="24"/>
  <c r="P7678" i="24"/>
  <c r="O7678" i="24"/>
  <c r="N7678" i="24"/>
  <c r="M7678" i="24"/>
  <c r="L7678" i="24"/>
  <c r="K7678" i="24"/>
  <c r="J7678" i="24"/>
  <c r="I7678" i="24"/>
  <c r="H7678" i="24"/>
  <c r="G7678" i="24"/>
  <c r="F7678" i="24"/>
  <c r="E7678" i="24"/>
  <c r="D7678" i="24"/>
  <c r="Q7674" i="24"/>
  <c r="P7674" i="24"/>
  <c r="O7674" i="24"/>
  <c r="N7674" i="24"/>
  <c r="M7674" i="24"/>
  <c r="L7674" i="24"/>
  <c r="K7674" i="24"/>
  <c r="J7674" i="24"/>
  <c r="I7674" i="24"/>
  <c r="H7674" i="24"/>
  <c r="G7674" i="24"/>
  <c r="F7674" i="24"/>
  <c r="E7674" i="24"/>
  <c r="D7674" i="24"/>
  <c r="Q7670" i="24"/>
  <c r="P7670" i="24"/>
  <c r="O7670" i="24"/>
  <c r="N7670" i="24"/>
  <c r="M7670" i="24"/>
  <c r="L7670" i="24"/>
  <c r="K7670" i="24"/>
  <c r="J7670" i="24"/>
  <c r="I7670" i="24"/>
  <c r="H7670" i="24"/>
  <c r="G7670" i="24"/>
  <c r="F7670" i="24"/>
  <c r="E7670" i="24"/>
  <c r="D7670" i="24"/>
  <c r="Q7665" i="24"/>
  <c r="P7665" i="24"/>
  <c r="O7665" i="24"/>
  <c r="N7665" i="24"/>
  <c r="M7665" i="24"/>
  <c r="L7665" i="24"/>
  <c r="K7665" i="24"/>
  <c r="J7665" i="24"/>
  <c r="I7665" i="24"/>
  <c r="H7665" i="24"/>
  <c r="G7665" i="24"/>
  <c r="F7665" i="24"/>
  <c r="E7665" i="24"/>
  <c r="D7665" i="24"/>
  <c r="Q7661" i="24"/>
  <c r="P7661" i="24"/>
  <c r="O7661" i="24"/>
  <c r="N7661" i="24"/>
  <c r="M7661" i="24"/>
  <c r="L7661" i="24"/>
  <c r="K7661" i="24"/>
  <c r="J7661" i="24"/>
  <c r="I7661" i="24"/>
  <c r="H7661" i="24"/>
  <c r="G7661" i="24"/>
  <c r="F7661" i="24"/>
  <c r="E7661" i="24"/>
  <c r="D7661" i="24"/>
  <c r="Q7658" i="24"/>
  <c r="P7658" i="24"/>
  <c r="O7658" i="24"/>
  <c r="N7658" i="24"/>
  <c r="M7658" i="24"/>
  <c r="L7658" i="24"/>
  <c r="K7658" i="24"/>
  <c r="J7658" i="24"/>
  <c r="I7658" i="24"/>
  <c r="H7658" i="24"/>
  <c r="G7658" i="24"/>
  <c r="F7658" i="24"/>
  <c r="E7658" i="24"/>
  <c r="D7658" i="24"/>
  <c r="Q7656" i="24"/>
  <c r="P7656" i="24"/>
  <c r="O7656" i="24"/>
  <c r="N7656" i="24"/>
  <c r="M7656" i="24"/>
  <c r="L7656" i="24"/>
  <c r="K7656" i="24"/>
  <c r="J7656" i="24"/>
  <c r="I7656" i="24"/>
  <c r="H7656" i="24"/>
  <c r="G7656" i="24"/>
  <c r="F7656" i="24"/>
  <c r="E7656" i="24"/>
  <c r="D7656" i="24"/>
  <c r="Q7652" i="24"/>
  <c r="P7652" i="24"/>
  <c r="O7652" i="24"/>
  <c r="N7652" i="24"/>
  <c r="M7652" i="24"/>
  <c r="L7652" i="24"/>
  <c r="K7652" i="24"/>
  <c r="J7652" i="24"/>
  <c r="I7652" i="24"/>
  <c r="H7652" i="24"/>
  <c r="G7652" i="24"/>
  <c r="F7652" i="24"/>
  <c r="E7652" i="24"/>
  <c r="D7652" i="24"/>
  <c r="Q7648" i="24"/>
  <c r="P7648" i="24"/>
  <c r="O7648" i="24"/>
  <c r="N7648" i="24"/>
  <c r="M7648" i="24"/>
  <c r="L7648" i="24"/>
  <c r="K7648" i="24"/>
  <c r="J7648" i="24"/>
  <c r="I7648" i="24"/>
  <c r="H7648" i="24"/>
  <c r="G7648" i="24"/>
  <c r="F7648" i="24"/>
  <c r="E7648" i="24"/>
  <c r="D7648" i="24"/>
  <c r="Q7645" i="24"/>
  <c r="P7645" i="24"/>
  <c r="O7645" i="24"/>
  <c r="N7645" i="24"/>
  <c r="M7645" i="24"/>
  <c r="L7645" i="24"/>
  <c r="K7645" i="24"/>
  <c r="J7645" i="24"/>
  <c r="I7645" i="24"/>
  <c r="H7645" i="24"/>
  <c r="G7645" i="24"/>
  <c r="F7645" i="24"/>
  <c r="E7645" i="24"/>
  <c r="D7645" i="24"/>
  <c r="Q7642" i="24"/>
  <c r="P7642" i="24"/>
  <c r="O7642" i="24"/>
  <c r="N7642" i="24"/>
  <c r="M7642" i="24"/>
  <c r="L7642" i="24"/>
  <c r="K7642" i="24"/>
  <c r="J7642" i="24"/>
  <c r="I7642" i="24"/>
  <c r="H7642" i="24"/>
  <c r="G7642" i="24"/>
  <c r="F7642" i="24"/>
  <c r="E7642" i="24"/>
  <c r="D7642" i="24"/>
  <c r="Q7639" i="24"/>
  <c r="P7639" i="24"/>
  <c r="O7639" i="24"/>
  <c r="N7639" i="24"/>
  <c r="M7639" i="24"/>
  <c r="L7639" i="24"/>
  <c r="K7639" i="24"/>
  <c r="J7639" i="24"/>
  <c r="I7639" i="24"/>
  <c r="H7639" i="24"/>
  <c r="G7639" i="24"/>
  <c r="F7639" i="24"/>
  <c r="E7639" i="24"/>
  <c r="D7639" i="24"/>
  <c r="Q7636" i="24"/>
  <c r="P7636" i="24"/>
  <c r="O7636" i="24"/>
  <c r="N7636" i="24"/>
  <c r="M7636" i="24"/>
  <c r="L7636" i="24"/>
  <c r="K7636" i="24"/>
  <c r="J7636" i="24"/>
  <c r="I7636" i="24"/>
  <c r="H7636" i="24"/>
  <c r="G7636" i="24"/>
  <c r="F7636" i="24"/>
  <c r="E7636" i="24"/>
  <c r="D7636" i="24"/>
  <c r="Q7633" i="24"/>
  <c r="P7633" i="24"/>
  <c r="O7633" i="24"/>
  <c r="N7633" i="24"/>
  <c r="M7633" i="24"/>
  <c r="L7633" i="24"/>
  <c r="K7633" i="24"/>
  <c r="J7633" i="24"/>
  <c r="I7633" i="24"/>
  <c r="H7633" i="24"/>
  <c r="G7633" i="24"/>
  <c r="F7633" i="24"/>
  <c r="E7633" i="24"/>
  <c r="D7633" i="24"/>
  <c r="Q7630" i="24"/>
  <c r="P7630" i="24"/>
  <c r="O7630" i="24"/>
  <c r="N7630" i="24"/>
  <c r="M7630" i="24"/>
  <c r="L7630" i="24"/>
  <c r="K7630" i="24"/>
  <c r="J7630" i="24"/>
  <c r="I7630" i="24"/>
  <c r="H7630" i="24"/>
  <c r="G7630" i="24"/>
  <c r="F7630" i="24"/>
  <c r="E7630" i="24"/>
  <c r="D7630" i="24"/>
  <c r="Q7627" i="24"/>
  <c r="P7627" i="24"/>
  <c r="O7627" i="24"/>
  <c r="N7627" i="24"/>
  <c r="M7627" i="24"/>
  <c r="L7627" i="24"/>
  <c r="K7627" i="24"/>
  <c r="J7627" i="24"/>
  <c r="I7627" i="24"/>
  <c r="H7627" i="24"/>
  <c r="G7627" i="24"/>
  <c r="F7627" i="24"/>
  <c r="E7627" i="24"/>
  <c r="D7627" i="24"/>
  <c r="Q7624" i="24"/>
  <c r="P7624" i="24"/>
  <c r="O7624" i="24"/>
  <c r="N7624" i="24"/>
  <c r="M7624" i="24"/>
  <c r="L7624" i="24"/>
  <c r="K7624" i="24"/>
  <c r="J7624" i="24"/>
  <c r="I7624" i="24"/>
  <c r="H7624" i="24"/>
  <c r="G7624" i="24"/>
  <c r="F7624" i="24"/>
  <c r="E7624" i="24"/>
  <c r="D7624" i="24"/>
  <c r="Q7621" i="24"/>
  <c r="P7621" i="24"/>
  <c r="O7621" i="24"/>
  <c r="N7621" i="24"/>
  <c r="M7621" i="24"/>
  <c r="L7621" i="24"/>
  <c r="K7621" i="24"/>
  <c r="J7621" i="24"/>
  <c r="I7621" i="24"/>
  <c r="H7621" i="24"/>
  <c r="G7621" i="24"/>
  <c r="F7621" i="24"/>
  <c r="E7621" i="24"/>
  <c r="D7621" i="24"/>
  <c r="Q7618" i="24"/>
  <c r="P7618" i="24"/>
  <c r="O7618" i="24"/>
  <c r="N7618" i="24"/>
  <c r="M7618" i="24"/>
  <c r="L7618" i="24"/>
  <c r="K7618" i="24"/>
  <c r="J7618" i="24"/>
  <c r="I7618" i="24"/>
  <c r="H7618" i="24"/>
  <c r="G7618" i="24"/>
  <c r="F7618" i="24"/>
  <c r="E7618" i="24"/>
  <c r="D7618" i="24"/>
  <c r="Q7615" i="24"/>
  <c r="P7615" i="24"/>
  <c r="O7615" i="24"/>
  <c r="N7615" i="24"/>
  <c r="M7615" i="24"/>
  <c r="L7615" i="24"/>
  <c r="K7615" i="24"/>
  <c r="J7615" i="24"/>
  <c r="I7615" i="24"/>
  <c r="H7615" i="24"/>
  <c r="G7615" i="24"/>
  <c r="F7615" i="24"/>
  <c r="E7615" i="24"/>
  <c r="D7615" i="24"/>
  <c r="Q7612" i="24"/>
  <c r="P7612" i="24"/>
  <c r="O7612" i="24"/>
  <c r="N7612" i="24"/>
  <c r="M7612" i="24"/>
  <c r="L7612" i="24"/>
  <c r="K7612" i="24"/>
  <c r="J7612" i="24"/>
  <c r="I7612" i="24"/>
  <c r="H7612" i="24"/>
  <c r="G7612" i="24"/>
  <c r="F7612" i="24"/>
  <c r="E7612" i="24"/>
  <c r="D7612" i="24"/>
  <c r="Q7609" i="24"/>
  <c r="P7609" i="24"/>
  <c r="O7609" i="24"/>
  <c r="N7609" i="24"/>
  <c r="M7609" i="24"/>
  <c r="L7609" i="24"/>
  <c r="K7609" i="24"/>
  <c r="J7609" i="24"/>
  <c r="I7609" i="24"/>
  <c r="H7609" i="24"/>
  <c r="G7609" i="24"/>
  <c r="F7609" i="24"/>
  <c r="E7609" i="24"/>
  <c r="D7609" i="24"/>
  <c r="Q7604" i="24"/>
  <c r="P7604" i="24"/>
  <c r="O7604" i="24"/>
  <c r="N7604" i="24"/>
  <c r="M7604" i="24"/>
  <c r="L7604" i="24"/>
  <c r="K7604" i="24"/>
  <c r="J7604" i="24"/>
  <c r="I7604" i="24"/>
  <c r="H7604" i="24"/>
  <c r="G7604" i="24"/>
  <c r="F7604" i="24"/>
  <c r="E7604" i="24"/>
  <c r="D7604" i="24"/>
  <c r="Q7599" i="24"/>
  <c r="P7599" i="24"/>
  <c r="O7599" i="24"/>
  <c r="N7599" i="24"/>
  <c r="M7599" i="24"/>
  <c r="L7599" i="24"/>
  <c r="K7599" i="24"/>
  <c r="J7599" i="24"/>
  <c r="I7599" i="24"/>
  <c r="H7599" i="24"/>
  <c r="G7599" i="24"/>
  <c r="F7599" i="24"/>
  <c r="E7599" i="24"/>
  <c r="D7599" i="24"/>
  <c r="Q7595" i="24"/>
  <c r="P7595" i="24"/>
  <c r="O7595" i="24"/>
  <c r="N7595" i="24"/>
  <c r="M7595" i="24"/>
  <c r="L7595" i="24"/>
  <c r="K7595" i="24"/>
  <c r="J7595" i="24"/>
  <c r="I7595" i="24"/>
  <c r="H7595" i="24"/>
  <c r="G7595" i="24"/>
  <c r="F7595" i="24"/>
  <c r="E7595" i="24"/>
  <c r="D7595" i="24"/>
  <c r="Q7592" i="24"/>
  <c r="P7592" i="24"/>
  <c r="O7592" i="24"/>
  <c r="N7592" i="24"/>
  <c r="M7592" i="24"/>
  <c r="L7592" i="24"/>
  <c r="K7592" i="24"/>
  <c r="J7592" i="24"/>
  <c r="I7592" i="24"/>
  <c r="H7592" i="24"/>
  <c r="G7592" i="24"/>
  <c r="F7592" i="24"/>
  <c r="E7592" i="24"/>
  <c r="D7592" i="24"/>
  <c r="A7592" i="24"/>
  <c r="Q7589" i="24"/>
  <c r="P7589" i="24"/>
  <c r="O7589" i="24"/>
  <c r="N7589" i="24"/>
  <c r="M7589" i="24"/>
  <c r="L7589" i="24"/>
  <c r="K7589" i="24"/>
  <c r="J7589" i="24"/>
  <c r="I7589" i="24"/>
  <c r="H7589" i="24"/>
  <c r="G7589" i="24"/>
  <c r="F7589" i="24"/>
  <c r="E7589" i="24"/>
  <c r="D7589" i="24"/>
  <c r="Q7585" i="24"/>
  <c r="P7585" i="24"/>
  <c r="O7585" i="24"/>
  <c r="N7585" i="24"/>
  <c r="M7585" i="24"/>
  <c r="L7585" i="24"/>
  <c r="K7585" i="24"/>
  <c r="J7585" i="24"/>
  <c r="I7585" i="24"/>
  <c r="H7585" i="24"/>
  <c r="G7585" i="24"/>
  <c r="F7585" i="24"/>
  <c r="E7585" i="24"/>
  <c r="D7585" i="24"/>
  <c r="DG7584" i="24"/>
  <c r="DF7584" i="24"/>
  <c r="DE7584" i="24"/>
  <c r="DD7584" i="24"/>
  <c r="DC7584" i="24"/>
  <c r="DB7584" i="24"/>
  <c r="DA7584" i="24"/>
  <c r="CZ7584" i="24"/>
  <c r="CY7584" i="24"/>
  <c r="CX7584" i="24"/>
  <c r="CW7584" i="24"/>
  <c r="CV7584" i="24"/>
  <c r="CU7584" i="24"/>
  <c r="CT7584" i="24"/>
  <c r="CS7584" i="24"/>
  <c r="CR7584" i="24"/>
  <c r="CQ7584" i="24"/>
  <c r="CP7584" i="24"/>
  <c r="CO7584" i="24"/>
  <c r="CN7584" i="24"/>
  <c r="CM7584" i="24"/>
  <c r="CL7584" i="24"/>
  <c r="CK7584" i="24"/>
  <c r="CJ7584" i="24"/>
  <c r="CI7584" i="24"/>
  <c r="CH7584" i="24"/>
  <c r="CG7584" i="24"/>
  <c r="CF7584" i="24"/>
  <c r="CE7584" i="24"/>
  <c r="CD7584" i="24"/>
  <c r="CC7584" i="24"/>
  <c r="CB7584" i="24"/>
  <c r="CA7584" i="24"/>
  <c r="BZ7584" i="24"/>
  <c r="BY7584" i="24"/>
  <c r="BX7584" i="24"/>
  <c r="BW7584" i="24"/>
  <c r="BV7584" i="24"/>
  <c r="BU7584" i="24"/>
  <c r="BT7584" i="24"/>
  <c r="BS7584" i="24"/>
  <c r="BR7584" i="24"/>
  <c r="BQ7584" i="24"/>
  <c r="BP7584" i="24"/>
  <c r="BO7584" i="24"/>
  <c r="BN7584" i="24"/>
  <c r="BM7584" i="24"/>
  <c r="BL7584" i="24"/>
  <c r="BK7584" i="24"/>
  <c r="BJ7584" i="24"/>
  <c r="BI7584" i="24"/>
  <c r="BH7584" i="24"/>
  <c r="BG7584" i="24"/>
  <c r="BF7584" i="24"/>
  <c r="BE7584" i="24"/>
  <c r="BD7584" i="24"/>
  <c r="BC7584" i="24"/>
  <c r="BB7584" i="24"/>
  <c r="BA7584" i="24"/>
  <c r="AZ7584" i="24"/>
  <c r="AY7584" i="24"/>
  <c r="AX7584" i="24"/>
  <c r="AW7584" i="24"/>
  <c r="AV7584" i="24"/>
  <c r="AU7584" i="24"/>
  <c r="AT7584" i="24"/>
  <c r="AS7584" i="24"/>
  <c r="AR7584" i="24"/>
  <c r="AQ7584" i="24"/>
  <c r="AP7584" i="24"/>
  <c r="AO7584" i="24"/>
  <c r="AN7584" i="24"/>
  <c r="AM7584" i="24"/>
  <c r="AL7584" i="24"/>
  <c r="DG7331" i="24"/>
  <c r="DF7331" i="24"/>
  <c r="DE7331" i="24"/>
  <c r="DD7331" i="24"/>
  <c r="DC7331" i="24"/>
  <c r="DB7331" i="24"/>
  <c r="DA7331" i="24"/>
  <c r="CZ7331" i="24"/>
  <c r="CY7331" i="24"/>
  <c r="CX7331" i="24"/>
  <c r="CW7331" i="24"/>
  <c r="CV7331" i="24"/>
  <c r="CU7331" i="24"/>
  <c r="CT7331" i="24"/>
  <c r="CS7331" i="24"/>
  <c r="CR7331" i="24"/>
  <c r="CQ7331" i="24"/>
  <c r="CP7331" i="24"/>
  <c r="CO7331" i="24"/>
  <c r="CN7331" i="24"/>
  <c r="CM7331" i="24"/>
  <c r="CL7331" i="24"/>
  <c r="CK7331" i="24"/>
  <c r="CJ7331" i="24"/>
  <c r="CI7331" i="24"/>
  <c r="CH7331" i="24"/>
  <c r="CG7331" i="24"/>
  <c r="CF7331" i="24"/>
  <c r="CE7331" i="24"/>
  <c r="CD7331" i="24"/>
  <c r="CC7331" i="24"/>
  <c r="CB7331" i="24"/>
  <c r="CA7331" i="24"/>
  <c r="BZ7331" i="24"/>
  <c r="BY7331" i="24"/>
  <c r="BX7331" i="24"/>
  <c r="BW7331" i="24"/>
  <c r="BV7331" i="24"/>
  <c r="BU7331" i="24"/>
  <c r="BT7331" i="24"/>
  <c r="BS7331" i="24"/>
  <c r="BR7331" i="24"/>
  <c r="BQ7331" i="24"/>
  <c r="BP7331" i="24"/>
  <c r="BO7331" i="24"/>
  <c r="BN7331" i="24"/>
  <c r="BM7331" i="24"/>
  <c r="BL7331" i="24"/>
  <c r="BK7331" i="24"/>
  <c r="BJ7331" i="24"/>
  <c r="BI7331" i="24"/>
  <c r="BH7331" i="24"/>
  <c r="BG7331" i="24"/>
  <c r="BF7331" i="24"/>
  <c r="BE7331" i="24"/>
  <c r="BD7331" i="24"/>
  <c r="BC7331" i="24"/>
  <c r="BB7331" i="24"/>
  <c r="BA7331" i="24"/>
  <c r="AZ7331" i="24"/>
  <c r="AY7331" i="24"/>
  <c r="AX7331" i="24"/>
  <c r="AW7331" i="24"/>
  <c r="AV7331" i="24"/>
  <c r="AU7331" i="24"/>
  <c r="AT7331" i="24"/>
  <c r="AS7331" i="24"/>
  <c r="AR7331" i="24"/>
  <c r="AQ7331" i="24"/>
  <c r="AP7331" i="24"/>
  <c r="AO7331" i="24"/>
  <c r="AN7331" i="24"/>
  <c r="AM7331" i="24"/>
  <c r="AL7331" i="24"/>
  <c r="DG7079" i="24"/>
  <c r="DF7079" i="24"/>
  <c r="DE7079" i="24"/>
  <c r="DD7079" i="24"/>
  <c r="DC7079" i="24"/>
  <c r="DB7079" i="24"/>
  <c r="DA7079" i="24"/>
  <c r="CZ7079" i="24"/>
  <c r="CY7079" i="24"/>
  <c r="CX7079" i="24"/>
  <c r="CW7079" i="24"/>
  <c r="CV7079" i="24"/>
  <c r="CU7079" i="24"/>
  <c r="CT7079" i="24"/>
  <c r="CS7079" i="24"/>
  <c r="CR7079" i="24"/>
  <c r="CQ7079" i="24"/>
  <c r="CP7079" i="24"/>
  <c r="CO7079" i="24"/>
  <c r="CN7079" i="24"/>
  <c r="CM7079" i="24"/>
  <c r="CL7079" i="24"/>
  <c r="CK7079" i="24"/>
  <c r="CJ7079" i="24"/>
  <c r="CI7079" i="24"/>
  <c r="CH7079" i="24"/>
  <c r="CG7079" i="24"/>
  <c r="CF7079" i="24"/>
  <c r="CE7079" i="24"/>
  <c r="CD7079" i="24"/>
  <c r="CC7079" i="24"/>
  <c r="CB7079" i="24"/>
  <c r="CA7079" i="24"/>
  <c r="BZ7079" i="24"/>
  <c r="BY7079" i="24"/>
  <c r="BX7079" i="24"/>
  <c r="BW7079" i="24"/>
  <c r="BV7079" i="24"/>
  <c r="BU7079" i="24"/>
  <c r="BT7079" i="24"/>
  <c r="BS7079" i="24"/>
  <c r="BR7079" i="24"/>
  <c r="BQ7079" i="24"/>
  <c r="BP7079" i="24"/>
  <c r="BO7079" i="24"/>
  <c r="BN7079" i="24"/>
  <c r="BM7079" i="24"/>
  <c r="BL7079" i="24"/>
  <c r="BK7079" i="24"/>
  <c r="BJ7079" i="24"/>
  <c r="BI7079" i="24"/>
  <c r="BH7079" i="24"/>
  <c r="BG7079" i="24"/>
  <c r="BF7079" i="24"/>
  <c r="BE7079" i="24"/>
  <c r="BD7079" i="24"/>
  <c r="BC7079" i="24"/>
  <c r="BB7079" i="24"/>
  <c r="BA7079" i="24"/>
  <c r="AZ7079" i="24"/>
  <c r="AY7079" i="24"/>
  <c r="AX7079" i="24"/>
  <c r="AW7079" i="24"/>
  <c r="AV7079" i="24"/>
  <c r="AU7079" i="24"/>
  <c r="AT7079" i="24"/>
  <c r="AS7079" i="24"/>
  <c r="AR7079" i="24"/>
  <c r="AQ7079" i="24"/>
  <c r="AP7079" i="24"/>
  <c r="AO7079" i="24"/>
  <c r="AN7079" i="24"/>
  <c r="AM7079" i="24"/>
  <c r="AL7079" i="24"/>
  <c r="DG6827" i="24"/>
  <c r="DF6827" i="24"/>
  <c r="DE6827" i="24"/>
  <c r="DD6827" i="24"/>
  <c r="DC6827" i="24"/>
  <c r="DB6827" i="24"/>
  <c r="DA6827" i="24"/>
  <c r="CZ6827" i="24"/>
  <c r="CY6827" i="24"/>
  <c r="CX6827" i="24"/>
  <c r="CW6827" i="24"/>
  <c r="CV6827" i="24"/>
  <c r="CU6827" i="24"/>
  <c r="CT6827" i="24"/>
  <c r="CS6827" i="24"/>
  <c r="CR6827" i="24"/>
  <c r="CQ6827" i="24"/>
  <c r="CP6827" i="24"/>
  <c r="CO6827" i="24"/>
  <c r="CN6827" i="24"/>
  <c r="CM6827" i="24"/>
  <c r="CL6827" i="24"/>
  <c r="CK6827" i="24"/>
  <c r="CJ6827" i="24"/>
  <c r="CI6827" i="24"/>
  <c r="CH6827" i="24"/>
  <c r="CG6827" i="24"/>
  <c r="CF6827" i="24"/>
  <c r="CE6827" i="24"/>
  <c r="CD6827" i="24"/>
  <c r="CC6827" i="24"/>
  <c r="CB6827" i="24"/>
  <c r="CA6827" i="24"/>
  <c r="BZ6827" i="24"/>
  <c r="BY6827" i="24"/>
  <c r="BX6827" i="24"/>
  <c r="BW6827" i="24"/>
  <c r="BV6827" i="24"/>
  <c r="BU6827" i="24"/>
  <c r="BT6827" i="24"/>
  <c r="BS6827" i="24"/>
  <c r="BR6827" i="24"/>
  <c r="BQ6827" i="24"/>
  <c r="BP6827" i="24"/>
  <c r="BO6827" i="24"/>
  <c r="BN6827" i="24"/>
  <c r="BM6827" i="24"/>
  <c r="BL6827" i="24"/>
  <c r="BK6827" i="24"/>
  <c r="BJ6827" i="24"/>
  <c r="BI6827" i="24"/>
  <c r="BH6827" i="24"/>
  <c r="BG6827" i="24"/>
  <c r="BF6827" i="24"/>
  <c r="BE6827" i="24"/>
  <c r="BD6827" i="24"/>
  <c r="BC6827" i="24"/>
  <c r="BB6827" i="24"/>
  <c r="BA6827" i="24"/>
  <c r="AZ6827" i="24"/>
  <c r="AY6827" i="24"/>
  <c r="AX6827" i="24"/>
  <c r="AW6827" i="24"/>
  <c r="AV6827" i="24"/>
  <c r="AU6827" i="24"/>
  <c r="AT6827" i="24"/>
  <c r="AS6827" i="24"/>
  <c r="AR6827" i="24"/>
  <c r="AQ6827" i="24"/>
  <c r="AP6827" i="24"/>
  <c r="AO6827" i="24"/>
  <c r="AN6827" i="24"/>
  <c r="AM6827" i="24"/>
  <c r="AL6827" i="24"/>
  <c r="DG6707" i="24"/>
  <c r="DF6707" i="24"/>
  <c r="DE6707" i="24"/>
  <c r="DD6707" i="24"/>
  <c r="DC6707" i="24"/>
  <c r="DB6707" i="24"/>
  <c r="DA6707" i="24"/>
  <c r="CZ6707" i="24"/>
  <c r="CY6707" i="24"/>
  <c r="CX6707" i="24"/>
  <c r="CW6707" i="24"/>
  <c r="CV6707" i="24"/>
  <c r="CU6707" i="24"/>
  <c r="CT6707" i="24"/>
  <c r="CS6707" i="24"/>
  <c r="CR6707" i="24"/>
  <c r="CQ6707" i="24"/>
  <c r="CP6707" i="24"/>
  <c r="CO6707" i="24"/>
  <c r="CN6707" i="24"/>
  <c r="CM6707" i="24"/>
  <c r="CL6707" i="24"/>
  <c r="CK6707" i="24"/>
  <c r="CJ6707" i="24"/>
  <c r="CI6707" i="24"/>
  <c r="CH6707" i="24"/>
  <c r="CG6707" i="24"/>
  <c r="CF6707" i="24"/>
  <c r="CE6707" i="24"/>
  <c r="CD6707" i="24"/>
  <c r="CC6707" i="24"/>
  <c r="CB6707" i="24"/>
  <c r="CA6707" i="24"/>
  <c r="BZ6707" i="24"/>
  <c r="BY6707" i="24"/>
  <c r="BX6707" i="24"/>
  <c r="BW6707" i="24"/>
  <c r="BV6707" i="24"/>
  <c r="BU6707" i="24"/>
  <c r="BT6707" i="24"/>
  <c r="BS6707" i="24"/>
  <c r="BR6707" i="24"/>
  <c r="BQ6707" i="24"/>
  <c r="BP6707" i="24"/>
  <c r="BO6707" i="24"/>
  <c r="BN6707" i="24"/>
  <c r="BM6707" i="24"/>
  <c r="BL6707" i="24"/>
  <c r="BK6707" i="24"/>
  <c r="BJ6707" i="24"/>
  <c r="BI6707" i="24"/>
  <c r="BH6707" i="24"/>
  <c r="BG6707" i="24"/>
  <c r="BF6707" i="24"/>
  <c r="BE6707" i="24"/>
  <c r="BD6707" i="24"/>
  <c r="BC6707" i="24"/>
  <c r="BB6707" i="24"/>
  <c r="BA6707" i="24"/>
  <c r="AZ6707" i="24"/>
  <c r="AY6707" i="24"/>
  <c r="AX6707" i="24"/>
  <c r="AW6707" i="24"/>
  <c r="AV6707" i="24"/>
  <c r="AU6707" i="24"/>
  <c r="AT6707" i="24"/>
  <c r="AS6707" i="24"/>
  <c r="AR6707" i="24"/>
  <c r="AQ6707" i="24"/>
  <c r="AP6707" i="24"/>
  <c r="AO6707" i="24"/>
  <c r="AN6707" i="24"/>
  <c r="AM6707" i="24"/>
  <c r="AL6707" i="24"/>
  <c r="DG6588" i="24"/>
  <c r="DF6588" i="24"/>
  <c r="DE6588" i="24"/>
  <c r="DD6588" i="24"/>
  <c r="DC6588" i="24"/>
  <c r="DB6588" i="24"/>
  <c r="DA6588" i="24"/>
  <c r="CZ6588" i="24"/>
  <c r="CY6588" i="24"/>
  <c r="CX6588" i="24"/>
  <c r="CW6588" i="24"/>
  <c r="CV6588" i="24"/>
  <c r="CU6588" i="24"/>
  <c r="CT6588" i="24"/>
  <c r="CS6588" i="24"/>
  <c r="CR6588" i="24"/>
  <c r="CQ6588" i="24"/>
  <c r="CP6588" i="24"/>
  <c r="CO6588" i="24"/>
  <c r="CN6588" i="24"/>
  <c r="CM6588" i="24"/>
  <c r="CL6588" i="24"/>
  <c r="CK6588" i="24"/>
  <c r="CJ6588" i="24"/>
  <c r="CI6588" i="24"/>
  <c r="CH6588" i="24"/>
  <c r="CG6588" i="24"/>
  <c r="CF6588" i="24"/>
  <c r="CE6588" i="24"/>
  <c r="CD6588" i="24"/>
  <c r="CC6588" i="24"/>
  <c r="CB6588" i="24"/>
  <c r="CA6588" i="24"/>
  <c r="BZ6588" i="24"/>
  <c r="BY6588" i="24"/>
  <c r="BX6588" i="24"/>
  <c r="BW6588" i="24"/>
  <c r="BV6588" i="24"/>
  <c r="BU6588" i="24"/>
  <c r="BT6588" i="24"/>
  <c r="BS6588" i="24"/>
  <c r="BR6588" i="24"/>
  <c r="BQ6588" i="24"/>
  <c r="BP6588" i="24"/>
  <c r="BO6588" i="24"/>
  <c r="BN6588" i="24"/>
  <c r="BM6588" i="24"/>
  <c r="BL6588" i="24"/>
  <c r="BK6588" i="24"/>
  <c r="BJ6588" i="24"/>
  <c r="BI6588" i="24"/>
  <c r="BH6588" i="24"/>
  <c r="BG6588" i="24"/>
  <c r="BF6588" i="24"/>
  <c r="BE6588" i="24"/>
  <c r="BD6588" i="24"/>
  <c r="BC6588" i="24"/>
  <c r="BB6588" i="24"/>
  <c r="BA6588" i="24"/>
  <c r="AZ6588" i="24"/>
  <c r="AY6588" i="24"/>
  <c r="AX6588" i="24"/>
  <c r="AW6588" i="24"/>
  <c r="AV6588" i="24"/>
  <c r="AU6588" i="24"/>
  <c r="AT6588" i="24"/>
  <c r="AS6588" i="24"/>
  <c r="AR6588" i="24"/>
  <c r="AQ6588" i="24"/>
  <c r="AP6588" i="24"/>
  <c r="AO6588" i="24"/>
  <c r="AN6588" i="24"/>
  <c r="AM6588" i="24"/>
  <c r="AL6588" i="24"/>
  <c r="DG6469" i="24"/>
  <c r="DF6469" i="24"/>
  <c r="DE6469" i="24"/>
  <c r="DD6469" i="24"/>
  <c r="DC6469" i="24"/>
  <c r="DB6469" i="24"/>
  <c r="DA6469" i="24"/>
  <c r="CZ6469" i="24"/>
  <c r="CY6469" i="24"/>
  <c r="CX6469" i="24"/>
  <c r="CW6469" i="24"/>
  <c r="CV6469" i="24"/>
  <c r="CU6469" i="24"/>
  <c r="CT6469" i="24"/>
  <c r="CS6469" i="24"/>
  <c r="CR6469" i="24"/>
  <c r="CQ6469" i="24"/>
  <c r="CP6469" i="24"/>
  <c r="CO6469" i="24"/>
  <c r="CN6469" i="24"/>
  <c r="CM6469" i="24"/>
  <c r="CL6469" i="24"/>
  <c r="CK6469" i="24"/>
  <c r="CJ6469" i="24"/>
  <c r="CI6469" i="24"/>
  <c r="CH6469" i="24"/>
  <c r="CG6469" i="24"/>
  <c r="CF6469" i="24"/>
  <c r="CE6469" i="24"/>
  <c r="CD6469" i="24"/>
  <c r="CC6469" i="24"/>
  <c r="CB6469" i="24"/>
  <c r="CA6469" i="24"/>
  <c r="BZ6469" i="24"/>
  <c r="BY6469" i="24"/>
  <c r="BX6469" i="24"/>
  <c r="BW6469" i="24"/>
  <c r="BV6469" i="24"/>
  <c r="BU6469" i="24"/>
  <c r="BT6469" i="24"/>
  <c r="BS6469" i="24"/>
  <c r="BR6469" i="24"/>
  <c r="BQ6469" i="24"/>
  <c r="BP6469" i="24"/>
  <c r="BO6469" i="24"/>
  <c r="BN6469" i="24"/>
  <c r="BM6469" i="24"/>
  <c r="BL6469" i="24"/>
  <c r="BK6469" i="24"/>
  <c r="BJ6469" i="24"/>
  <c r="BI6469" i="24"/>
  <c r="BH6469" i="24"/>
  <c r="BG6469" i="24"/>
  <c r="BF6469" i="24"/>
  <c r="BE6469" i="24"/>
  <c r="BD6469" i="24"/>
  <c r="BC6469" i="24"/>
  <c r="BB6469" i="24"/>
  <c r="BA6469" i="24"/>
  <c r="AZ6469" i="24"/>
  <c r="AY6469" i="24"/>
  <c r="AX6469" i="24"/>
  <c r="AW6469" i="24"/>
  <c r="AV6469" i="24"/>
  <c r="AU6469" i="24"/>
  <c r="AT6469" i="24"/>
  <c r="AS6469" i="24"/>
  <c r="AR6469" i="24"/>
  <c r="AQ6469" i="24"/>
  <c r="AP6469" i="24"/>
  <c r="AO6469" i="24"/>
  <c r="AN6469" i="24"/>
  <c r="AM6469" i="24"/>
  <c r="AL6469" i="24"/>
  <c r="DG6361" i="24"/>
  <c r="DF6361" i="24"/>
  <c r="DE6361" i="24"/>
  <c r="DD6361" i="24"/>
  <c r="DC6361" i="24"/>
  <c r="DB6361" i="24"/>
  <c r="DA6361" i="24"/>
  <c r="CZ6361" i="24"/>
  <c r="CY6361" i="24"/>
  <c r="CX6361" i="24"/>
  <c r="CW6361" i="24"/>
  <c r="CV6361" i="24"/>
  <c r="CU6361" i="24"/>
  <c r="CT6361" i="24"/>
  <c r="CS6361" i="24"/>
  <c r="CR6361" i="24"/>
  <c r="CQ6361" i="24"/>
  <c r="CP6361" i="24"/>
  <c r="CO6361" i="24"/>
  <c r="CN6361" i="24"/>
  <c r="CM6361" i="24"/>
  <c r="CL6361" i="24"/>
  <c r="CK6361" i="24"/>
  <c r="CJ6361" i="24"/>
  <c r="CI6361" i="24"/>
  <c r="CH6361" i="24"/>
  <c r="CG6361" i="24"/>
  <c r="CF6361" i="24"/>
  <c r="CE6361" i="24"/>
  <c r="CD6361" i="24"/>
  <c r="CC6361" i="24"/>
  <c r="CB6361" i="24"/>
  <c r="CA6361" i="24"/>
  <c r="BZ6361" i="24"/>
  <c r="BY6361" i="24"/>
  <c r="BX6361" i="24"/>
  <c r="BW6361" i="24"/>
  <c r="BV6361" i="24"/>
  <c r="BU6361" i="24"/>
  <c r="BT6361" i="24"/>
  <c r="BS6361" i="24"/>
  <c r="BR6361" i="24"/>
  <c r="BQ6361" i="24"/>
  <c r="BP6361" i="24"/>
  <c r="BO6361" i="24"/>
  <c r="BN6361" i="24"/>
  <c r="BM6361" i="24"/>
  <c r="BL6361" i="24"/>
  <c r="BK6361" i="24"/>
  <c r="BJ6361" i="24"/>
  <c r="BI6361" i="24"/>
  <c r="BH6361" i="24"/>
  <c r="BG6361" i="24"/>
  <c r="BF6361" i="24"/>
  <c r="BE6361" i="24"/>
  <c r="BD6361" i="24"/>
  <c r="BC6361" i="24"/>
  <c r="BB6361" i="24"/>
  <c r="BA6361" i="24"/>
  <c r="AZ6361" i="24"/>
  <c r="AY6361" i="24"/>
  <c r="AX6361" i="24"/>
  <c r="AW6361" i="24"/>
  <c r="AV6361" i="24"/>
  <c r="AU6361" i="24"/>
  <c r="AT6361" i="24"/>
  <c r="AS6361" i="24"/>
  <c r="AR6361" i="24"/>
  <c r="AQ6361" i="24"/>
  <c r="AP6361" i="24"/>
  <c r="AO6361" i="24"/>
  <c r="AN6361" i="24"/>
  <c r="AM6361" i="24"/>
  <c r="AL6361" i="24"/>
  <c r="DG6254" i="24"/>
  <c r="DF6254" i="24"/>
  <c r="DE6254" i="24"/>
  <c r="DD6254" i="24"/>
  <c r="DC6254" i="24"/>
  <c r="DB6254" i="24"/>
  <c r="DA6254" i="24"/>
  <c r="CZ6254" i="24"/>
  <c r="CY6254" i="24"/>
  <c r="CX6254" i="24"/>
  <c r="CW6254" i="24"/>
  <c r="CV6254" i="24"/>
  <c r="CU6254" i="24"/>
  <c r="CT6254" i="24"/>
  <c r="CS6254" i="24"/>
  <c r="CR6254" i="24"/>
  <c r="CQ6254" i="24"/>
  <c r="CP6254" i="24"/>
  <c r="CO6254" i="24"/>
  <c r="CN6254" i="24"/>
  <c r="CM6254" i="24"/>
  <c r="CL6254" i="24"/>
  <c r="CK6254" i="24"/>
  <c r="CJ6254" i="24"/>
  <c r="CI6254" i="24"/>
  <c r="CH6254" i="24"/>
  <c r="CG6254" i="24"/>
  <c r="CF6254" i="24"/>
  <c r="CE6254" i="24"/>
  <c r="CD6254" i="24"/>
  <c r="CC6254" i="24"/>
  <c r="CB6254" i="24"/>
  <c r="CA6254" i="24"/>
  <c r="BZ6254" i="24"/>
  <c r="BY6254" i="24"/>
  <c r="BX6254" i="24"/>
  <c r="BW6254" i="24"/>
  <c r="BV6254" i="24"/>
  <c r="BU6254" i="24"/>
  <c r="BT6254" i="24"/>
  <c r="BS6254" i="24"/>
  <c r="BR6254" i="24"/>
  <c r="BQ6254" i="24"/>
  <c r="BP6254" i="24"/>
  <c r="BO6254" i="24"/>
  <c r="BN6254" i="24"/>
  <c r="BM6254" i="24"/>
  <c r="BL6254" i="24"/>
  <c r="BK6254" i="24"/>
  <c r="BJ6254" i="24"/>
  <c r="BI6254" i="24"/>
  <c r="BH6254" i="24"/>
  <c r="BG6254" i="24"/>
  <c r="BF6254" i="24"/>
  <c r="BE6254" i="24"/>
  <c r="BD6254" i="24"/>
  <c r="BC6254" i="24"/>
  <c r="BB6254" i="24"/>
  <c r="BA6254" i="24"/>
  <c r="AZ6254" i="24"/>
  <c r="AY6254" i="24"/>
  <c r="AX6254" i="24"/>
  <c r="AW6254" i="24"/>
  <c r="AV6254" i="24"/>
  <c r="AU6254" i="24"/>
  <c r="AT6254" i="24"/>
  <c r="AS6254" i="24"/>
  <c r="AR6254" i="24"/>
  <c r="AQ6254" i="24"/>
  <c r="AP6254" i="24"/>
  <c r="AO6254" i="24"/>
  <c r="AN6254" i="24"/>
  <c r="AM6254" i="24"/>
  <c r="AL6254" i="24"/>
  <c r="DG6147" i="24"/>
  <c r="DF6147" i="24"/>
  <c r="DE6147" i="24"/>
  <c r="DD6147" i="24"/>
  <c r="DC6147" i="24"/>
  <c r="DB6147" i="24"/>
  <c r="DA6147" i="24"/>
  <c r="CZ6147" i="24"/>
  <c r="CY6147" i="24"/>
  <c r="CX6147" i="24"/>
  <c r="CW6147" i="24"/>
  <c r="CV6147" i="24"/>
  <c r="CU6147" i="24"/>
  <c r="CT6147" i="24"/>
  <c r="CS6147" i="24"/>
  <c r="CR6147" i="24"/>
  <c r="CQ6147" i="24"/>
  <c r="CP6147" i="24"/>
  <c r="CO6147" i="24"/>
  <c r="CN6147" i="24"/>
  <c r="CM6147" i="24"/>
  <c r="CL6147" i="24"/>
  <c r="CK6147" i="24"/>
  <c r="CJ6147" i="24"/>
  <c r="CI6147" i="24"/>
  <c r="CH6147" i="24"/>
  <c r="CG6147" i="24"/>
  <c r="CF6147" i="24"/>
  <c r="CE6147" i="24"/>
  <c r="CD6147" i="24"/>
  <c r="CC6147" i="24"/>
  <c r="CB6147" i="24"/>
  <c r="CA6147" i="24"/>
  <c r="BZ6147" i="24"/>
  <c r="BY6147" i="24"/>
  <c r="BX6147" i="24"/>
  <c r="BW6147" i="24"/>
  <c r="BV6147" i="24"/>
  <c r="BU6147" i="24"/>
  <c r="BT6147" i="24"/>
  <c r="BS6147" i="24"/>
  <c r="BR6147" i="24"/>
  <c r="BQ6147" i="24"/>
  <c r="BP6147" i="24"/>
  <c r="BO6147" i="24"/>
  <c r="BN6147" i="24"/>
  <c r="BM6147" i="24"/>
  <c r="BL6147" i="24"/>
  <c r="BK6147" i="24"/>
  <c r="BJ6147" i="24"/>
  <c r="BI6147" i="24"/>
  <c r="BH6147" i="24"/>
  <c r="BG6147" i="24"/>
  <c r="BF6147" i="24"/>
  <c r="BE6147" i="24"/>
  <c r="BD6147" i="24"/>
  <c r="BC6147" i="24"/>
  <c r="BB6147" i="24"/>
  <c r="BA6147" i="24"/>
  <c r="AZ6147" i="24"/>
  <c r="AY6147" i="24"/>
  <c r="AX6147" i="24"/>
  <c r="AW6147" i="24"/>
  <c r="AV6147" i="24"/>
  <c r="AU6147" i="24"/>
  <c r="AT6147" i="24"/>
  <c r="AS6147" i="24"/>
  <c r="AR6147" i="24"/>
  <c r="AQ6147" i="24"/>
  <c r="AP6147" i="24"/>
  <c r="AO6147" i="24"/>
  <c r="AN6147" i="24"/>
  <c r="AM6147" i="24"/>
  <c r="AL6147" i="24"/>
  <c r="DG6029" i="24"/>
  <c r="DF6029" i="24"/>
  <c r="DE6029" i="24"/>
  <c r="DD6029" i="24"/>
  <c r="DC6029" i="24"/>
  <c r="DB6029" i="24"/>
  <c r="DA6029" i="24"/>
  <c r="CZ6029" i="24"/>
  <c r="CY6029" i="24"/>
  <c r="CX6029" i="24"/>
  <c r="CW6029" i="24"/>
  <c r="CV6029" i="24"/>
  <c r="CU6029" i="24"/>
  <c r="CT6029" i="24"/>
  <c r="CS6029" i="24"/>
  <c r="CR6029" i="24"/>
  <c r="CQ6029" i="24"/>
  <c r="CP6029" i="24"/>
  <c r="CO6029" i="24"/>
  <c r="CN6029" i="24"/>
  <c r="CM6029" i="24"/>
  <c r="CL6029" i="24"/>
  <c r="CK6029" i="24"/>
  <c r="CJ6029" i="24"/>
  <c r="CI6029" i="24"/>
  <c r="CH6029" i="24"/>
  <c r="CG6029" i="24"/>
  <c r="CF6029" i="24"/>
  <c r="CE6029" i="24"/>
  <c r="CD6029" i="24"/>
  <c r="CC6029" i="24"/>
  <c r="CB6029" i="24"/>
  <c r="CA6029" i="24"/>
  <c r="BZ6029" i="24"/>
  <c r="BY6029" i="24"/>
  <c r="BX6029" i="24"/>
  <c r="BW6029" i="24"/>
  <c r="BV6029" i="24"/>
  <c r="BU6029" i="24"/>
  <c r="BT6029" i="24"/>
  <c r="BS6029" i="24"/>
  <c r="BR6029" i="24"/>
  <c r="BQ6029" i="24"/>
  <c r="BP6029" i="24"/>
  <c r="BO6029" i="24"/>
  <c r="BN6029" i="24"/>
  <c r="BM6029" i="24"/>
  <c r="BL6029" i="24"/>
  <c r="BK6029" i="24"/>
  <c r="BJ6029" i="24"/>
  <c r="BI6029" i="24"/>
  <c r="BH6029" i="24"/>
  <c r="BG6029" i="24"/>
  <c r="BF6029" i="24"/>
  <c r="BE6029" i="24"/>
  <c r="BD6029" i="24"/>
  <c r="BC6029" i="24"/>
  <c r="BB6029" i="24"/>
  <c r="BA6029" i="24"/>
  <c r="AZ6029" i="24"/>
  <c r="AY6029" i="24"/>
  <c r="AX6029" i="24"/>
  <c r="AW6029" i="24"/>
  <c r="AV6029" i="24"/>
  <c r="AU6029" i="24"/>
  <c r="AT6029" i="24"/>
  <c r="AS6029" i="24"/>
  <c r="AR6029" i="24"/>
  <c r="AQ6029" i="24"/>
  <c r="AP6029" i="24"/>
  <c r="AO6029" i="24"/>
  <c r="AN6029" i="24"/>
  <c r="AM6029" i="24"/>
  <c r="AL6029" i="24"/>
  <c r="DG5912" i="24"/>
  <c r="DF5912" i="24"/>
  <c r="DE5912" i="24"/>
  <c r="DD5912" i="24"/>
  <c r="DC5912" i="24"/>
  <c r="DB5912" i="24"/>
  <c r="DA5912" i="24"/>
  <c r="CZ5912" i="24"/>
  <c r="CY5912" i="24"/>
  <c r="CX5912" i="24"/>
  <c r="CW5912" i="24"/>
  <c r="CV5912" i="24"/>
  <c r="CU5912" i="24"/>
  <c r="CT5912" i="24"/>
  <c r="CS5912" i="24"/>
  <c r="CR5912" i="24"/>
  <c r="CQ5912" i="24"/>
  <c r="CP5912" i="24"/>
  <c r="CO5912" i="24"/>
  <c r="CN5912" i="24"/>
  <c r="CM5912" i="24"/>
  <c r="CL5912" i="24"/>
  <c r="CK5912" i="24"/>
  <c r="CJ5912" i="24"/>
  <c r="CI5912" i="24"/>
  <c r="CH5912" i="24"/>
  <c r="CG5912" i="24"/>
  <c r="CF5912" i="24"/>
  <c r="CE5912" i="24"/>
  <c r="CD5912" i="24"/>
  <c r="CC5912" i="24"/>
  <c r="CB5912" i="24"/>
  <c r="CA5912" i="24"/>
  <c r="BZ5912" i="24"/>
  <c r="BY5912" i="24"/>
  <c r="BX5912" i="24"/>
  <c r="BW5912" i="24"/>
  <c r="BV5912" i="24"/>
  <c r="BU5912" i="24"/>
  <c r="BT5912" i="24"/>
  <c r="BS5912" i="24"/>
  <c r="BR5912" i="24"/>
  <c r="BQ5912" i="24"/>
  <c r="BP5912" i="24"/>
  <c r="BO5912" i="24"/>
  <c r="BN5912" i="24"/>
  <c r="BM5912" i="24"/>
  <c r="BL5912" i="24"/>
  <c r="BK5912" i="24"/>
  <c r="BJ5912" i="24"/>
  <c r="BI5912" i="24"/>
  <c r="BH5912" i="24"/>
  <c r="BG5912" i="24"/>
  <c r="BF5912" i="24"/>
  <c r="BE5912" i="24"/>
  <c r="BD5912" i="24"/>
  <c r="BC5912" i="24"/>
  <c r="BB5912" i="24"/>
  <c r="BA5912" i="24"/>
  <c r="AZ5912" i="24"/>
  <c r="AY5912" i="24"/>
  <c r="AX5912" i="24"/>
  <c r="AW5912" i="24"/>
  <c r="AV5912" i="24"/>
  <c r="AU5912" i="24"/>
  <c r="AT5912" i="24"/>
  <c r="AS5912" i="24"/>
  <c r="AR5912" i="24"/>
  <c r="AQ5912" i="24"/>
  <c r="AP5912" i="24"/>
  <c r="AO5912" i="24"/>
  <c r="AN5912" i="24"/>
  <c r="AM5912" i="24"/>
  <c r="AL5912" i="24"/>
  <c r="DG5795" i="24"/>
  <c r="DF5795" i="24"/>
  <c r="DE5795" i="24"/>
  <c r="DD5795" i="24"/>
  <c r="DC5795" i="24"/>
  <c r="DB5795" i="24"/>
  <c r="DA5795" i="24"/>
  <c r="CZ5795" i="24"/>
  <c r="CY5795" i="24"/>
  <c r="CX5795" i="24"/>
  <c r="CW5795" i="24"/>
  <c r="CV5795" i="24"/>
  <c r="CU5795" i="24"/>
  <c r="CT5795" i="24"/>
  <c r="CS5795" i="24"/>
  <c r="CR5795" i="24"/>
  <c r="CQ5795" i="24"/>
  <c r="CP5795" i="24"/>
  <c r="CO5795" i="24"/>
  <c r="CN5795" i="24"/>
  <c r="CM5795" i="24"/>
  <c r="CL5795" i="24"/>
  <c r="CK5795" i="24"/>
  <c r="CJ5795" i="24"/>
  <c r="CI5795" i="24"/>
  <c r="CH5795" i="24"/>
  <c r="CG5795" i="24"/>
  <c r="CF5795" i="24"/>
  <c r="CE5795" i="24"/>
  <c r="CD5795" i="24"/>
  <c r="CC5795" i="24"/>
  <c r="CB5795" i="24"/>
  <c r="CA5795" i="24"/>
  <c r="BZ5795" i="24"/>
  <c r="BY5795" i="24"/>
  <c r="BX5795" i="24"/>
  <c r="BW5795" i="24"/>
  <c r="BV5795" i="24"/>
  <c r="BU5795" i="24"/>
  <c r="BT5795" i="24"/>
  <c r="BS5795" i="24"/>
  <c r="BR5795" i="24"/>
  <c r="BQ5795" i="24"/>
  <c r="BP5795" i="24"/>
  <c r="BO5795" i="24"/>
  <c r="BN5795" i="24"/>
  <c r="BM5795" i="24"/>
  <c r="BL5795" i="24"/>
  <c r="BK5795" i="24"/>
  <c r="BJ5795" i="24"/>
  <c r="BI5795" i="24"/>
  <c r="BH5795" i="24"/>
  <c r="BG5795" i="24"/>
  <c r="BF5795" i="24"/>
  <c r="BE5795" i="24"/>
  <c r="BD5795" i="24"/>
  <c r="BC5795" i="24"/>
  <c r="BB5795" i="24"/>
  <c r="BA5795" i="24"/>
  <c r="AZ5795" i="24"/>
  <c r="AY5795" i="24"/>
  <c r="AX5795" i="24"/>
  <c r="AW5795" i="24"/>
  <c r="AV5795" i="24"/>
  <c r="AU5795" i="24"/>
  <c r="AT5795" i="24"/>
  <c r="AS5795" i="24"/>
  <c r="AR5795" i="24"/>
  <c r="AQ5795" i="24"/>
  <c r="AP5795" i="24"/>
  <c r="AO5795" i="24"/>
  <c r="AN5795" i="24"/>
  <c r="AM5795" i="24"/>
  <c r="AL5795" i="24"/>
  <c r="DG5649" i="24"/>
  <c r="DF5649" i="24"/>
  <c r="DE5649" i="24"/>
  <c r="DD5649" i="24"/>
  <c r="DC5649" i="24"/>
  <c r="DB5649" i="24"/>
  <c r="DA5649" i="24"/>
  <c r="CZ5649" i="24"/>
  <c r="CY5649" i="24"/>
  <c r="CX5649" i="24"/>
  <c r="CW5649" i="24"/>
  <c r="CV5649" i="24"/>
  <c r="CU5649" i="24"/>
  <c r="CT5649" i="24"/>
  <c r="CS5649" i="24"/>
  <c r="CR5649" i="24"/>
  <c r="CQ5649" i="24"/>
  <c r="CP5649" i="24"/>
  <c r="CO5649" i="24"/>
  <c r="CN5649" i="24"/>
  <c r="CM5649" i="24"/>
  <c r="CL5649" i="24"/>
  <c r="CK5649" i="24"/>
  <c r="CJ5649" i="24"/>
  <c r="CI5649" i="24"/>
  <c r="CH5649" i="24"/>
  <c r="CG5649" i="24"/>
  <c r="CF5649" i="24"/>
  <c r="CE5649" i="24"/>
  <c r="CD5649" i="24"/>
  <c r="CC5649" i="24"/>
  <c r="CB5649" i="24"/>
  <c r="CA5649" i="24"/>
  <c r="BZ5649" i="24"/>
  <c r="BY5649" i="24"/>
  <c r="BX5649" i="24"/>
  <c r="BW5649" i="24"/>
  <c r="BV5649" i="24"/>
  <c r="BU5649" i="24"/>
  <c r="BT5649" i="24"/>
  <c r="BS5649" i="24"/>
  <c r="BR5649" i="24"/>
  <c r="BQ5649" i="24"/>
  <c r="BP5649" i="24"/>
  <c r="BO5649" i="24"/>
  <c r="BN5649" i="24"/>
  <c r="BM5649" i="24"/>
  <c r="BL5649" i="24"/>
  <c r="BK5649" i="24"/>
  <c r="BJ5649" i="24"/>
  <c r="BI5649" i="24"/>
  <c r="BH5649" i="24"/>
  <c r="BG5649" i="24"/>
  <c r="BF5649" i="24"/>
  <c r="BE5649" i="24"/>
  <c r="BD5649" i="24"/>
  <c r="BC5649" i="24"/>
  <c r="BB5649" i="24"/>
  <c r="BA5649" i="24"/>
  <c r="AZ5649" i="24"/>
  <c r="AY5649" i="24"/>
  <c r="AX5649" i="24"/>
  <c r="AW5649" i="24"/>
  <c r="AV5649" i="24"/>
  <c r="AU5649" i="24"/>
  <c r="AT5649" i="24"/>
  <c r="AS5649" i="24"/>
  <c r="AR5649" i="24"/>
  <c r="AQ5649" i="24"/>
  <c r="AP5649" i="24"/>
  <c r="AO5649" i="24"/>
  <c r="AN5649" i="24"/>
  <c r="AM5649" i="24"/>
  <c r="AL5649" i="24"/>
  <c r="DG5504" i="24"/>
  <c r="DF5504" i="24"/>
  <c r="DE5504" i="24"/>
  <c r="DD5504" i="24"/>
  <c r="DC5504" i="24"/>
  <c r="DB5504" i="24"/>
  <c r="DA5504" i="24"/>
  <c r="CZ5504" i="24"/>
  <c r="CY5504" i="24"/>
  <c r="CX5504" i="24"/>
  <c r="CW5504" i="24"/>
  <c r="CV5504" i="24"/>
  <c r="CU5504" i="24"/>
  <c r="CT5504" i="24"/>
  <c r="CS5504" i="24"/>
  <c r="CR5504" i="24"/>
  <c r="CQ5504" i="24"/>
  <c r="CP5504" i="24"/>
  <c r="CO5504" i="24"/>
  <c r="CN5504" i="24"/>
  <c r="CM5504" i="24"/>
  <c r="CL5504" i="24"/>
  <c r="CK5504" i="24"/>
  <c r="CJ5504" i="24"/>
  <c r="CI5504" i="24"/>
  <c r="CH5504" i="24"/>
  <c r="CG5504" i="24"/>
  <c r="CF5504" i="24"/>
  <c r="CE5504" i="24"/>
  <c r="CD5504" i="24"/>
  <c r="CC5504" i="24"/>
  <c r="CB5504" i="24"/>
  <c r="CA5504" i="24"/>
  <c r="BZ5504" i="24"/>
  <c r="BY5504" i="24"/>
  <c r="BX5504" i="24"/>
  <c r="BW5504" i="24"/>
  <c r="BV5504" i="24"/>
  <c r="BU5504" i="24"/>
  <c r="BT5504" i="24"/>
  <c r="BS5504" i="24"/>
  <c r="BR5504" i="24"/>
  <c r="BQ5504" i="24"/>
  <c r="BP5504" i="24"/>
  <c r="BO5504" i="24"/>
  <c r="BN5504" i="24"/>
  <c r="BM5504" i="24"/>
  <c r="BL5504" i="24"/>
  <c r="BK5504" i="24"/>
  <c r="BJ5504" i="24"/>
  <c r="BI5504" i="24"/>
  <c r="BH5504" i="24"/>
  <c r="BG5504" i="24"/>
  <c r="BF5504" i="24"/>
  <c r="BE5504" i="24"/>
  <c r="BD5504" i="24"/>
  <c r="BC5504" i="24"/>
  <c r="BB5504" i="24"/>
  <c r="BA5504" i="24"/>
  <c r="AZ5504" i="24"/>
  <c r="AY5504" i="24"/>
  <c r="AX5504" i="24"/>
  <c r="AW5504" i="24"/>
  <c r="AV5504" i="24"/>
  <c r="AU5504" i="24"/>
  <c r="AT5504" i="24"/>
  <c r="AS5504" i="24"/>
  <c r="AR5504" i="24"/>
  <c r="AQ5504" i="24"/>
  <c r="AP5504" i="24"/>
  <c r="AO5504" i="24"/>
  <c r="AN5504" i="24"/>
  <c r="AM5504" i="24"/>
  <c r="AL5504" i="24"/>
  <c r="DG5359" i="24"/>
  <c r="DF5359" i="24"/>
  <c r="DE5359" i="24"/>
  <c r="DD5359" i="24"/>
  <c r="DC5359" i="24"/>
  <c r="DB5359" i="24"/>
  <c r="DA5359" i="24"/>
  <c r="CZ5359" i="24"/>
  <c r="CY5359" i="24"/>
  <c r="CX5359" i="24"/>
  <c r="CW5359" i="24"/>
  <c r="CV5359" i="24"/>
  <c r="CU5359" i="24"/>
  <c r="CT5359" i="24"/>
  <c r="CS5359" i="24"/>
  <c r="CR5359" i="24"/>
  <c r="CQ5359" i="24"/>
  <c r="CP5359" i="24"/>
  <c r="CO5359" i="24"/>
  <c r="CN5359" i="24"/>
  <c r="CM5359" i="24"/>
  <c r="CL5359" i="24"/>
  <c r="CK5359" i="24"/>
  <c r="CJ5359" i="24"/>
  <c r="CI5359" i="24"/>
  <c r="CH5359" i="24"/>
  <c r="CG5359" i="24"/>
  <c r="CF5359" i="24"/>
  <c r="CE5359" i="24"/>
  <c r="CD5359" i="24"/>
  <c r="CC5359" i="24"/>
  <c r="CB5359" i="24"/>
  <c r="CA5359" i="24"/>
  <c r="BZ5359" i="24"/>
  <c r="BY5359" i="24"/>
  <c r="BX5359" i="24"/>
  <c r="BW5359" i="24"/>
  <c r="BV5359" i="24"/>
  <c r="BU5359" i="24"/>
  <c r="BT5359" i="24"/>
  <c r="BS5359" i="24"/>
  <c r="BR5359" i="24"/>
  <c r="BQ5359" i="24"/>
  <c r="BP5359" i="24"/>
  <c r="BO5359" i="24"/>
  <c r="BN5359" i="24"/>
  <c r="BM5359" i="24"/>
  <c r="BL5359" i="24"/>
  <c r="BK5359" i="24"/>
  <c r="BJ5359" i="24"/>
  <c r="BI5359" i="24"/>
  <c r="BH5359" i="24"/>
  <c r="BG5359" i="24"/>
  <c r="BF5359" i="24"/>
  <c r="BE5359" i="24"/>
  <c r="BD5359" i="24"/>
  <c r="BC5359" i="24"/>
  <c r="BB5359" i="24"/>
  <c r="BA5359" i="24"/>
  <c r="AZ5359" i="24"/>
  <c r="AY5359" i="24"/>
  <c r="AX5359" i="24"/>
  <c r="AW5359" i="24"/>
  <c r="AV5359" i="24"/>
  <c r="AU5359" i="24"/>
  <c r="AT5359" i="24"/>
  <c r="AS5359" i="24"/>
  <c r="AR5359" i="24"/>
  <c r="AQ5359" i="24"/>
  <c r="AP5359" i="24"/>
  <c r="AO5359" i="24"/>
  <c r="AN5359" i="24"/>
  <c r="AM5359" i="24"/>
  <c r="AL5359" i="24"/>
  <c r="DG5217" i="24"/>
  <c r="DF5217" i="24"/>
  <c r="DE5217" i="24"/>
  <c r="DD5217" i="24"/>
  <c r="DC5217" i="24"/>
  <c r="DB5217" i="24"/>
  <c r="DA5217" i="24"/>
  <c r="CZ5217" i="24"/>
  <c r="CY5217" i="24"/>
  <c r="CX5217" i="24"/>
  <c r="CW5217" i="24"/>
  <c r="CV5217" i="24"/>
  <c r="CU5217" i="24"/>
  <c r="CT5217" i="24"/>
  <c r="CS5217" i="24"/>
  <c r="CR5217" i="24"/>
  <c r="CQ5217" i="24"/>
  <c r="CP5217" i="24"/>
  <c r="CO5217" i="24"/>
  <c r="CN5217" i="24"/>
  <c r="CM5217" i="24"/>
  <c r="CL5217" i="24"/>
  <c r="CK5217" i="24"/>
  <c r="CJ5217" i="24"/>
  <c r="CI5217" i="24"/>
  <c r="CH5217" i="24"/>
  <c r="CG5217" i="24"/>
  <c r="CF5217" i="24"/>
  <c r="CE5217" i="24"/>
  <c r="CD5217" i="24"/>
  <c r="CC5217" i="24"/>
  <c r="CB5217" i="24"/>
  <c r="CA5217" i="24"/>
  <c r="BZ5217" i="24"/>
  <c r="BY5217" i="24"/>
  <c r="BX5217" i="24"/>
  <c r="BW5217" i="24"/>
  <c r="BV5217" i="24"/>
  <c r="BU5217" i="24"/>
  <c r="BT5217" i="24"/>
  <c r="BS5217" i="24"/>
  <c r="BR5217" i="24"/>
  <c r="BQ5217" i="24"/>
  <c r="BP5217" i="24"/>
  <c r="BO5217" i="24"/>
  <c r="BN5217" i="24"/>
  <c r="BM5217" i="24"/>
  <c r="BL5217" i="24"/>
  <c r="BK5217" i="24"/>
  <c r="BJ5217" i="24"/>
  <c r="BI5217" i="24"/>
  <c r="BH5217" i="24"/>
  <c r="BG5217" i="24"/>
  <c r="BF5217" i="24"/>
  <c r="BE5217" i="24"/>
  <c r="BD5217" i="24"/>
  <c r="BC5217" i="24"/>
  <c r="BB5217" i="24"/>
  <c r="BA5217" i="24"/>
  <c r="AZ5217" i="24"/>
  <c r="AY5217" i="24"/>
  <c r="AX5217" i="24"/>
  <c r="AW5217" i="24"/>
  <c r="AV5217" i="24"/>
  <c r="AU5217" i="24"/>
  <c r="AT5217" i="24"/>
  <c r="AS5217" i="24"/>
  <c r="AR5217" i="24"/>
  <c r="AQ5217" i="24"/>
  <c r="AP5217" i="24"/>
  <c r="AO5217" i="24"/>
  <c r="AN5217" i="24"/>
  <c r="AM5217" i="24"/>
  <c r="AL5217" i="24"/>
  <c r="DG5076" i="24"/>
  <c r="DF5076" i="24"/>
  <c r="DE5076" i="24"/>
  <c r="DD5076" i="24"/>
  <c r="DC5076" i="24"/>
  <c r="DB5076" i="24"/>
  <c r="DA5076" i="24"/>
  <c r="CZ5076" i="24"/>
  <c r="CY5076" i="24"/>
  <c r="CX5076" i="24"/>
  <c r="CW5076" i="24"/>
  <c r="CV5076" i="24"/>
  <c r="CU5076" i="24"/>
  <c r="CT5076" i="24"/>
  <c r="CS5076" i="24"/>
  <c r="CR5076" i="24"/>
  <c r="CQ5076" i="24"/>
  <c r="CP5076" i="24"/>
  <c r="CO5076" i="24"/>
  <c r="CN5076" i="24"/>
  <c r="CM5076" i="24"/>
  <c r="CL5076" i="24"/>
  <c r="CK5076" i="24"/>
  <c r="CJ5076" i="24"/>
  <c r="CI5076" i="24"/>
  <c r="CH5076" i="24"/>
  <c r="CG5076" i="24"/>
  <c r="CF5076" i="24"/>
  <c r="CE5076" i="24"/>
  <c r="CD5076" i="24"/>
  <c r="CC5076" i="24"/>
  <c r="CB5076" i="24"/>
  <c r="CA5076" i="24"/>
  <c r="BZ5076" i="24"/>
  <c r="BY5076" i="24"/>
  <c r="BX5076" i="24"/>
  <c r="BW5076" i="24"/>
  <c r="BV5076" i="24"/>
  <c r="BU5076" i="24"/>
  <c r="BT5076" i="24"/>
  <c r="BS5076" i="24"/>
  <c r="BR5076" i="24"/>
  <c r="BQ5076" i="24"/>
  <c r="BP5076" i="24"/>
  <c r="BO5076" i="24"/>
  <c r="BN5076" i="24"/>
  <c r="BM5076" i="24"/>
  <c r="BL5076" i="24"/>
  <c r="BK5076" i="24"/>
  <c r="BJ5076" i="24"/>
  <c r="BI5076" i="24"/>
  <c r="BH5076" i="24"/>
  <c r="BG5076" i="24"/>
  <c r="BF5076" i="24"/>
  <c r="BE5076" i="24"/>
  <c r="BD5076" i="24"/>
  <c r="BC5076" i="24"/>
  <c r="BB5076" i="24"/>
  <c r="BA5076" i="24"/>
  <c r="AZ5076" i="24"/>
  <c r="AY5076" i="24"/>
  <c r="AX5076" i="24"/>
  <c r="AW5076" i="24"/>
  <c r="AV5076" i="24"/>
  <c r="AU5076" i="24"/>
  <c r="AT5076" i="24"/>
  <c r="AS5076" i="24"/>
  <c r="AR5076" i="24"/>
  <c r="AQ5076" i="24"/>
  <c r="AP5076" i="24"/>
  <c r="AO5076" i="24"/>
  <c r="AN5076" i="24"/>
  <c r="AM5076" i="24"/>
  <c r="AL5076" i="24"/>
  <c r="DG4935" i="24"/>
  <c r="DF4935" i="24"/>
  <c r="DE4935" i="24"/>
  <c r="DD4935" i="24"/>
  <c r="DC4935" i="24"/>
  <c r="DB4935" i="24"/>
  <c r="DA4935" i="24"/>
  <c r="CZ4935" i="24"/>
  <c r="CY4935" i="24"/>
  <c r="CX4935" i="24"/>
  <c r="CW4935" i="24"/>
  <c r="CV4935" i="24"/>
  <c r="CU4935" i="24"/>
  <c r="CT4935" i="24"/>
  <c r="CS4935" i="24"/>
  <c r="CR4935" i="24"/>
  <c r="CQ4935" i="24"/>
  <c r="CP4935" i="24"/>
  <c r="CO4935" i="24"/>
  <c r="CN4935" i="24"/>
  <c r="CM4935" i="24"/>
  <c r="CL4935" i="24"/>
  <c r="CK4935" i="24"/>
  <c r="CJ4935" i="24"/>
  <c r="CI4935" i="24"/>
  <c r="CH4935" i="24"/>
  <c r="CG4935" i="24"/>
  <c r="CF4935" i="24"/>
  <c r="CE4935" i="24"/>
  <c r="CD4935" i="24"/>
  <c r="CC4935" i="24"/>
  <c r="CB4935" i="24"/>
  <c r="CA4935" i="24"/>
  <c r="BZ4935" i="24"/>
  <c r="BY4935" i="24"/>
  <c r="BX4935" i="24"/>
  <c r="BW4935" i="24"/>
  <c r="BV4935" i="24"/>
  <c r="BU4935" i="24"/>
  <c r="BT4935" i="24"/>
  <c r="BS4935" i="24"/>
  <c r="BR4935" i="24"/>
  <c r="BQ4935" i="24"/>
  <c r="BP4935" i="24"/>
  <c r="BO4935" i="24"/>
  <c r="BN4935" i="24"/>
  <c r="BM4935" i="24"/>
  <c r="BL4935" i="24"/>
  <c r="BK4935" i="24"/>
  <c r="BJ4935" i="24"/>
  <c r="BI4935" i="24"/>
  <c r="BH4935" i="24"/>
  <c r="BG4935" i="24"/>
  <c r="BF4935" i="24"/>
  <c r="BE4935" i="24"/>
  <c r="BD4935" i="24"/>
  <c r="BC4935" i="24"/>
  <c r="BB4935" i="24"/>
  <c r="BA4935" i="24"/>
  <c r="AZ4935" i="24"/>
  <c r="AY4935" i="24"/>
  <c r="AX4935" i="24"/>
  <c r="AW4935" i="24"/>
  <c r="AV4935" i="24"/>
  <c r="AU4935" i="24"/>
  <c r="AT4935" i="24"/>
  <c r="AS4935" i="24"/>
  <c r="AR4935" i="24"/>
  <c r="AQ4935" i="24"/>
  <c r="AP4935" i="24"/>
  <c r="AO4935" i="24"/>
  <c r="AN4935" i="24"/>
  <c r="AM4935" i="24"/>
  <c r="AL4935" i="24"/>
  <c r="DG4602" i="24"/>
  <c r="DF4602" i="24"/>
  <c r="DE4602" i="24"/>
  <c r="DD4602" i="24"/>
  <c r="DC4602" i="24"/>
  <c r="DB4602" i="24"/>
  <c r="DA4602" i="24"/>
  <c r="CZ4602" i="24"/>
  <c r="CY4602" i="24"/>
  <c r="CX4602" i="24"/>
  <c r="CW4602" i="24"/>
  <c r="CV4602" i="24"/>
  <c r="CU4602" i="24"/>
  <c r="CT4602" i="24"/>
  <c r="CS4602" i="24"/>
  <c r="CR4602" i="24"/>
  <c r="CQ4602" i="24"/>
  <c r="CP4602" i="24"/>
  <c r="CO4602" i="24"/>
  <c r="CN4602" i="24"/>
  <c r="CM4602" i="24"/>
  <c r="CL4602" i="24"/>
  <c r="CK4602" i="24"/>
  <c r="CJ4602" i="24"/>
  <c r="CI4602" i="24"/>
  <c r="CH4602" i="24"/>
  <c r="CG4602" i="24"/>
  <c r="CF4602" i="24"/>
  <c r="CE4602" i="24"/>
  <c r="CD4602" i="24"/>
  <c r="CC4602" i="24"/>
  <c r="CB4602" i="24"/>
  <c r="CA4602" i="24"/>
  <c r="BZ4602" i="24"/>
  <c r="BY4602" i="24"/>
  <c r="BX4602" i="24"/>
  <c r="BW4602" i="24"/>
  <c r="BV4602" i="24"/>
  <c r="BU4602" i="24"/>
  <c r="BT4602" i="24"/>
  <c r="BS4602" i="24"/>
  <c r="BR4602" i="24"/>
  <c r="BQ4602" i="24"/>
  <c r="BP4602" i="24"/>
  <c r="BO4602" i="24"/>
  <c r="BN4602" i="24"/>
  <c r="BM4602" i="24"/>
  <c r="BL4602" i="24"/>
  <c r="BK4602" i="24"/>
  <c r="BJ4602" i="24"/>
  <c r="BI4602" i="24"/>
  <c r="BH4602" i="24"/>
  <c r="BG4602" i="24"/>
  <c r="BF4602" i="24"/>
  <c r="BE4602" i="24"/>
  <c r="BD4602" i="24"/>
  <c r="BC4602" i="24"/>
  <c r="BB4602" i="24"/>
  <c r="BA4602" i="24"/>
  <c r="AZ4602" i="24"/>
  <c r="AY4602" i="24"/>
  <c r="AX4602" i="24"/>
  <c r="AW4602" i="24"/>
  <c r="AV4602" i="24"/>
  <c r="AU4602" i="24"/>
  <c r="AT4602" i="24"/>
  <c r="AS4602" i="24"/>
  <c r="AR4602" i="24"/>
  <c r="AQ4602" i="24"/>
  <c r="AP4602" i="24"/>
  <c r="AO4602" i="24"/>
  <c r="AN4602" i="24"/>
  <c r="AM4602" i="24"/>
  <c r="AL4602" i="24"/>
  <c r="DG4270" i="24"/>
  <c r="DF4270" i="24"/>
  <c r="DE4270" i="24"/>
  <c r="DD4270" i="24"/>
  <c r="DC4270" i="24"/>
  <c r="DB4270" i="24"/>
  <c r="DA4270" i="24"/>
  <c r="CZ4270" i="24"/>
  <c r="CY4270" i="24"/>
  <c r="CX4270" i="24"/>
  <c r="CW4270" i="24"/>
  <c r="CV4270" i="24"/>
  <c r="CU4270" i="24"/>
  <c r="CT4270" i="24"/>
  <c r="CS4270" i="24"/>
  <c r="CR4270" i="24"/>
  <c r="CQ4270" i="24"/>
  <c r="CP4270" i="24"/>
  <c r="CO4270" i="24"/>
  <c r="CN4270" i="24"/>
  <c r="CM4270" i="24"/>
  <c r="CL4270" i="24"/>
  <c r="CK4270" i="24"/>
  <c r="CJ4270" i="24"/>
  <c r="CI4270" i="24"/>
  <c r="CH4270" i="24"/>
  <c r="CG4270" i="24"/>
  <c r="CF4270" i="24"/>
  <c r="CE4270" i="24"/>
  <c r="CD4270" i="24"/>
  <c r="CC4270" i="24"/>
  <c r="CB4270" i="24"/>
  <c r="CA4270" i="24"/>
  <c r="BZ4270" i="24"/>
  <c r="BY4270" i="24"/>
  <c r="BX4270" i="24"/>
  <c r="BW4270" i="24"/>
  <c r="BV4270" i="24"/>
  <c r="BU4270" i="24"/>
  <c r="BT4270" i="24"/>
  <c r="BS4270" i="24"/>
  <c r="BR4270" i="24"/>
  <c r="BQ4270" i="24"/>
  <c r="BP4270" i="24"/>
  <c r="BO4270" i="24"/>
  <c r="BN4270" i="24"/>
  <c r="BM4270" i="24"/>
  <c r="BL4270" i="24"/>
  <c r="BK4270" i="24"/>
  <c r="BJ4270" i="24"/>
  <c r="BI4270" i="24"/>
  <c r="BH4270" i="24"/>
  <c r="BG4270" i="24"/>
  <c r="BF4270" i="24"/>
  <c r="BE4270" i="24"/>
  <c r="BD4270" i="24"/>
  <c r="BC4270" i="24"/>
  <c r="BB4270" i="24"/>
  <c r="BA4270" i="24"/>
  <c r="AZ4270" i="24"/>
  <c r="AY4270" i="24"/>
  <c r="AX4270" i="24"/>
  <c r="AW4270" i="24"/>
  <c r="AV4270" i="24"/>
  <c r="AU4270" i="24"/>
  <c r="AT4270" i="24"/>
  <c r="AS4270" i="24"/>
  <c r="AR4270" i="24"/>
  <c r="AQ4270" i="24"/>
  <c r="AP4270" i="24"/>
  <c r="AO4270" i="24"/>
  <c r="AN4270" i="24"/>
  <c r="AM4270" i="24"/>
  <c r="AL4270" i="24"/>
  <c r="DG3938" i="24"/>
  <c r="DF3938" i="24"/>
  <c r="DE3938" i="24"/>
  <c r="DD3938" i="24"/>
  <c r="DC3938" i="24"/>
  <c r="DB3938" i="24"/>
  <c r="DA3938" i="24"/>
  <c r="CZ3938" i="24"/>
  <c r="CY3938" i="24"/>
  <c r="CX3938" i="24"/>
  <c r="CW3938" i="24"/>
  <c r="CV3938" i="24"/>
  <c r="CU3938" i="24"/>
  <c r="CT3938" i="24"/>
  <c r="CS3938" i="24"/>
  <c r="CR3938" i="24"/>
  <c r="CQ3938" i="24"/>
  <c r="CP3938" i="24"/>
  <c r="CO3938" i="24"/>
  <c r="CN3938" i="24"/>
  <c r="CM3938" i="24"/>
  <c r="CL3938" i="24"/>
  <c r="CK3938" i="24"/>
  <c r="CJ3938" i="24"/>
  <c r="CI3938" i="24"/>
  <c r="CH3938" i="24"/>
  <c r="CG3938" i="24"/>
  <c r="CF3938" i="24"/>
  <c r="CE3938" i="24"/>
  <c r="CD3938" i="24"/>
  <c r="CC3938" i="24"/>
  <c r="CB3938" i="24"/>
  <c r="CA3938" i="24"/>
  <c r="BZ3938" i="24"/>
  <c r="BY3938" i="24"/>
  <c r="BX3938" i="24"/>
  <c r="BW3938" i="24"/>
  <c r="BV3938" i="24"/>
  <c r="BU3938" i="24"/>
  <c r="BT3938" i="24"/>
  <c r="BS3938" i="24"/>
  <c r="BR3938" i="24"/>
  <c r="BQ3938" i="24"/>
  <c r="BP3938" i="24"/>
  <c r="BO3938" i="24"/>
  <c r="BN3938" i="24"/>
  <c r="BM3938" i="24"/>
  <c r="BL3938" i="24"/>
  <c r="BK3938" i="24"/>
  <c r="BJ3938" i="24"/>
  <c r="BI3938" i="24"/>
  <c r="BH3938" i="24"/>
  <c r="BG3938" i="24"/>
  <c r="BF3938" i="24"/>
  <c r="BE3938" i="24"/>
  <c r="BD3938" i="24"/>
  <c r="BC3938" i="24"/>
  <c r="BB3938" i="24"/>
  <c r="BA3938" i="24"/>
  <c r="AZ3938" i="24"/>
  <c r="AY3938" i="24"/>
  <c r="AX3938" i="24"/>
  <c r="AW3938" i="24"/>
  <c r="AV3938" i="24"/>
  <c r="AU3938" i="24"/>
  <c r="AT3938" i="24"/>
  <c r="AS3938" i="24"/>
  <c r="AR3938" i="24"/>
  <c r="AQ3938" i="24"/>
  <c r="AP3938" i="24"/>
  <c r="AO3938" i="24"/>
  <c r="AN3938" i="24"/>
  <c r="AM3938" i="24"/>
  <c r="AL3938" i="24"/>
  <c r="DG3812" i="24"/>
  <c r="DF3812" i="24"/>
  <c r="DE3812" i="24"/>
  <c r="DD3812" i="24"/>
  <c r="DC3812" i="24"/>
  <c r="DB3812" i="24"/>
  <c r="DA3812" i="24"/>
  <c r="CZ3812" i="24"/>
  <c r="CY3812" i="24"/>
  <c r="CX3812" i="24"/>
  <c r="CW3812" i="24"/>
  <c r="CV3812" i="24"/>
  <c r="CU3812" i="24"/>
  <c r="CT3812" i="24"/>
  <c r="CS3812" i="24"/>
  <c r="CR3812" i="24"/>
  <c r="CQ3812" i="24"/>
  <c r="CP3812" i="24"/>
  <c r="CO3812" i="24"/>
  <c r="CN3812" i="24"/>
  <c r="CM3812" i="24"/>
  <c r="CL3812" i="24"/>
  <c r="CK3812" i="24"/>
  <c r="CJ3812" i="24"/>
  <c r="CI3812" i="24"/>
  <c r="CH3812" i="24"/>
  <c r="CG3812" i="24"/>
  <c r="CF3812" i="24"/>
  <c r="CE3812" i="24"/>
  <c r="CD3812" i="24"/>
  <c r="CC3812" i="24"/>
  <c r="CB3812" i="24"/>
  <c r="CA3812" i="24"/>
  <c r="BZ3812" i="24"/>
  <c r="BY3812" i="24"/>
  <c r="BX3812" i="24"/>
  <c r="BW3812" i="24"/>
  <c r="BV3812" i="24"/>
  <c r="BU3812" i="24"/>
  <c r="BT3812" i="24"/>
  <c r="BS3812" i="24"/>
  <c r="BR3812" i="24"/>
  <c r="BQ3812" i="24"/>
  <c r="BP3812" i="24"/>
  <c r="BO3812" i="24"/>
  <c r="BN3812" i="24"/>
  <c r="BM3812" i="24"/>
  <c r="BL3812" i="24"/>
  <c r="BK3812" i="24"/>
  <c r="BJ3812" i="24"/>
  <c r="BI3812" i="24"/>
  <c r="BH3812" i="24"/>
  <c r="BG3812" i="24"/>
  <c r="BF3812" i="24"/>
  <c r="BE3812" i="24"/>
  <c r="BD3812" i="24"/>
  <c r="BC3812" i="24"/>
  <c r="BB3812" i="24"/>
  <c r="BA3812" i="24"/>
  <c r="AZ3812" i="24"/>
  <c r="AY3812" i="24"/>
  <c r="AX3812" i="24"/>
  <c r="AW3812" i="24"/>
  <c r="AV3812" i="24"/>
  <c r="AU3812" i="24"/>
  <c r="AT3812" i="24"/>
  <c r="AS3812" i="24"/>
  <c r="AR3812" i="24"/>
  <c r="AQ3812" i="24"/>
  <c r="AP3812" i="24"/>
  <c r="AO3812" i="24"/>
  <c r="AN3812" i="24"/>
  <c r="AM3812" i="24"/>
  <c r="AL3812" i="24"/>
  <c r="DG3687" i="24"/>
  <c r="DF3687" i="24"/>
  <c r="DE3687" i="24"/>
  <c r="DD3687" i="24"/>
  <c r="DC3687" i="24"/>
  <c r="DB3687" i="24"/>
  <c r="DA3687" i="24"/>
  <c r="CZ3687" i="24"/>
  <c r="CY3687" i="24"/>
  <c r="CX3687" i="24"/>
  <c r="CW3687" i="24"/>
  <c r="CV3687" i="24"/>
  <c r="CU3687" i="24"/>
  <c r="CT3687" i="24"/>
  <c r="CS3687" i="24"/>
  <c r="CR3687" i="24"/>
  <c r="CQ3687" i="24"/>
  <c r="CP3687" i="24"/>
  <c r="CO3687" i="24"/>
  <c r="CN3687" i="24"/>
  <c r="CM3687" i="24"/>
  <c r="CL3687" i="24"/>
  <c r="CK3687" i="24"/>
  <c r="CJ3687" i="24"/>
  <c r="CI3687" i="24"/>
  <c r="CH3687" i="24"/>
  <c r="CG3687" i="24"/>
  <c r="CF3687" i="24"/>
  <c r="CE3687" i="24"/>
  <c r="CD3687" i="24"/>
  <c r="CC3687" i="24"/>
  <c r="CB3687" i="24"/>
  <c r="CA3687" i="24"/>
  <c r="BZ3687" i="24"/>
  <c r="BY3687" i="24"/>
  <c r="BX3687" i="24"/>
  <c r="BW3687" i="24"/>
  <c r="BV3687" i="24"/>
  <c r="BU3687" i="24"/>
  <c r="BT3687" i="24"/>
  <c r="BS3687" i="24"/>
  <c r="BR3687" i="24"/>
  <c r="BQ3687" i="24"/>
  <c r="BP3687" i="24"/>
  <c r="BO3687" i="24"/>
  <c r="BN3687" i="24"/>
  <c r="BM3687" i="24"/>
  <c r="BL3687" i="24"/>
  <c r="BK3687" i="24"/>
  <c r="BJ3687" i="24"/>
  <c r="BI3687" i="24"/>
  <c r="BH3687" i="24"/>
  <c r="BG3687" i="24"/>
  <c r="BF3687" i="24"/>
  <c r="BE3687" i="24"/>
  <c r="BD3687" i="24"/>
  <c r="BC3687" i="24"/>
  <c r="BB3687" i="24"/>
  <c r="BA3687" i="24"/>
  <c r="AZ3687" i="24"/>
  <c r="AY3687" i="24"/>
  <c r="AX3687" i="24"/>
  <c r="AW3687" i="24"/>
  <c r="AV3687" i="24"/>
  <c r="AU3687" i="24"/>
  <c r="AT3687" i="24"/>
  <c r="AS3687" i="24"/>
  <c r="AR3687" i="24"/>
  <c r="AQ3687" i="24"/>
  <c r="AP3687" i="24"/>
  <c r="AO3687" i="24"/>
  <c r="AN3687" i="24"/>
  <c r="AM3687" i="24"/>
  <c r="AL3687" i="24"/>
  <c r="DG3562" i="24"/>
  <c r="DF3562" i="24"/>
  <c r="DE3562" i="24"/>
  <c r="DD3562" i="24"/>
  <c r="DC3562" i="24"/>
  <c r="DB3562" i="24"/>
  <c r="DA3562" i="24"/>
  <c r="CZ3562" i="24"/>
  <c r="CY3562" i="24"/>
  <c r="CX3562" i="24"/>
  <c r="CW3562" i="24"/>
  <c r="CV3562" i="24"/>
  <c r="CU3562" i="24"/>
  <c r="CT3562" i="24"/>
  <c r="CS3562" i="24"/>
  <c r="CR3562" i="24"/>
  <c r="CQ3562" i="24"/>
  <c r="CP3562" i="24"/>
  <c r="CO3562" i="24"/>
  <c r="CN3562" i="24"/>
  <c r="CM3562" i="24"/>
  <c r="CL3562" i="24"/>
  <c r="CK3562" i="24"/>
  <c r="CJ3562" i="24"/>
  <c r="CI3562" i="24"/>
  <c r="CH3562" i="24"/>
  <c r="CG3562" i="24"/>
  <c r="CF3562" i="24"/>
  <c r="CE3562" i="24"/>
  <c r="CD3562" i="24"/>
  <c r="CC3562" i="24"/>
  <c r="CB3562" i="24"/>
  <c r="CA3562" i="24"/>
  <c r="BZ3562" i="24"/>
  <c r="BY3562" i="24"/>
  <c r="BX3562" i="24"/>
  <c r="BW3562" i="24"/>
  <c r="BV3562" i="24"/>
  <c r="BU3562" i="24"/>
  <c r="BT3562" i="24"/>
  <c r="BS3562" i="24"/>
  <c r="BR3562" i="24"/>
  <c r="BQ3562" i="24"/>
  <c r="BP3562" i="24"/>
  <c r="BO3562" i="24"/>
  <c r="BN3562" i="24"/>
  <c r="BM3562" i="24"/>
  <c r="BL3562" i="24"/>
  <c r="BK3562" i="24"/>
  <c r="BJ3562" i="24"/>
  <c r="BI3562" i="24"/>
  <c r="BH3562" i="24"/>
  <c r="BG3562" i="24"/>
  <c r="BF3562" i="24"/>
  <c r="BE3562" i="24"/>
  <c r="BD3562" i="24"/>
  <c r="BC3562" i="24"/>
  <c r="BB3562" i="24"/>
  <c r="BA3562" i="24"/>
  <c r="AZ3562" i="24"/>
  <c r="AY3562" i="24"/>
  <c r="AX3562" i="24"/>
  <c r="AW3562" i="24"/>
  <c r="AV3562" i="24"/>
  <c r="AU3562" i="24"/>
  <c r="AT3562" i="24"/>
  <c r="AS3562" i="24"/>
  <c r="AR3562" i="24"/>
  <c r="AQ3562" i="24"/>
  <c r="AP3562" i="24"/>
  <c r="AO3562" i="24"/>
  <c r="AN3562" i="24"/>
  <c r="AM3562" i="24"/>
  <c r="AL3562" i="24"/>
  <c r="DG3276" i="24"/>
  <c r="DF3276" i="24"/>
  <c r="DE3276" i="24"/>
  <c r="DD3276" i="24"/>
  <c r="DC3276" i="24"/>
  <c r="DB3276" i="24"/>
  <c r="DA3276" i="24"/>
  <c r="CZ3276" i="24"/>
  <c r="CY3276" i="24"/>
  <c r="CX3276" i="24"/>
  <c r="CW3276" i="24"/>
  <c r="CV3276" i="24"/>
  <c r="CU3276" i="24"/>
  <c r="CT3276" i="24"/>
  <c r="CS3276" i="24"/>
  <c r="CR3276" i="24"/>
  <c r="CQ3276" i="24"/>
  <c r="CP3276" i="24"/>
  <c r="CO3276" i="24"/>
  <c r="CN3276" i="24"/>
  <c r="CM3276" i="24"/>
  <c r="CL3276" i="24"/>
  <c r="CK3276" i="24"/>
  <c r="CJ3276" i="24"/>
  <c r="CI3276" i="24"/>
  <c r="CH3276" i="24"/>
  <c r="CG3276" i="24"/>
  <c r="CF3276" i="24"/>
  <c r="CE3276" i="24"/>
  <c r="CD3276" i="24"/>
  <c r="CC3276" i="24"/>
  <c r="CB3276" i="24"/>
  <c r="CA3276" i="24"/>
  <c r="BZ3276" i="24"/>
  <c r="BY3276" i="24"/>
  <c r="BX3276" i="24"/>
  <c r="BW3276" i="24"/>
  <c r="BV3276" i="24"/>
  <c r="BU3276" i="24"/>
  <c r="BT3276" i="24"/>
  <c r="BS3276" i="24"/>
  <c r="BR3276" i="24"/>
  <c r="BQ3276" i="24"/>
  <c r="BP3276" i="24"/>
  <c r="BO3276" i="24"/>
  <c r="BN3276" i="24"/>
  <c r="BM3276" i="24"/>
  <c r="BL3276" i="24"/>
  <c r="BK3276" i="24"/>
  <c r="BJ3276" i="24"/>
  <c r="BI3276" i="24"/>
  <c r="BH3276" i="24"/>
  <c r="BG3276" i="24"/>
  <c r="BF3276" i="24"/>
  <c r="BE3276" i="24"/>
  <c r="BD3276" i="24"/>
  <c r="BC3276" i="24"/>
  <c r="BB3276" i="24"/>
  <c r="BA3276" i="24"/>
  <c r="AZ3276" i="24"/>
  <c r="AY3276" i="24"/>
  <c r="AX3276" i="24"/>
  <c r="AW3276" i="24"/>
  <c r="AV3276" i="24"/>
  <c r="AU3276" i="24"/>
  <c r="AT3276" i="24"/>
  <c r="AS3276" i="24"/>
  <c r="AR3276" i="24"/>
  <c r="AQ3276" i="24"/>
  <c r="AP3276" i="24"/>
  <c r="AO3276" i="24"/>
  <c r="AN3276" i="24"/>
  <c r="AM3276" i="24"/>
  <c r="AL3276" i="24"/>
  <c r="DG2991" i="24"/>
  <c r="DF2991" i="24"/>
  <c r="DE2991" i="24"/>
  <c r="DD2991" i="24"/>
  <c r="DC2991" i="24"/>
  <c r="DB2991" i="24"/>
  <c r="DA2991" i="24"/>
  <c r="CZ2991" i="24"/>
  <c r="CY2991" i="24"/>
  <c r="CX2991" i="24"/>
  <c r="CW2991" i="24"/>
  <c r="CV2991" i="24"/>
  <c r="CU2991" i="24"/>
  <c r="CT2991" i="24"/>
  <c r="CS2991" i="24"/>
  <c r="CR2991" i="24"/>
  <c r="CQ2991" i="24"/>
  <c r="CP2991" i="24"/>
  <c r="CO2991" i="24"/>
  <c r="CN2991" i="24"/>
  <c r="CM2991" i="24"/>
  <c r="CL2991" i="24"/>
  <c r="CK2991" i="24"/>
  <c r="CJ2991" i="24"/>
  <c r="CI2991" i="24"/>
  <c r="CH2991" i="24"/>
  <c r="CG2991" i="24"/>
  <c r="CF2991" i="24"/>
  <c r="CE2991" i="24"/>
  <c r="CD2991" i="24"/>
  <c r="CC2991" i="24"/>
  <c r="CB2991" i="24"/>
  <c r="CA2991" i="24"/>
  <c r="BZ2991" i="24"/>
  <c r="BY2991" i="24"/>
  <c r="BX2991" i="24"/>
  <c r="BW2991" i="24"/>
  <c r="BV2991" i="24"/>
  <c r="BU2991" i="24"/>
  <c r="BT2991" i="24"/>
  <c r="BS2991" i="24"/>
  <c r="BR2991" i="24"/>
  <c r="BQ2991" i="24"/>
  <c r="BP2991" i="24"/>
  <c r="BO2991" i="24"/>
  <c r="BN2991" i="24"/>
  <c r="BM2991" i="24"/>
  <c r="BL2991" i="24"/>
  <c r="BK2991" i="24"/>
  <c r="BJ2991" i="24"/>
  <c r="BI2991" i="24"/>
  <c r="BH2991" i="24"/>
  <c r="BG2991" i="24"/>
  <c r="BF2991" i="24"/>
  <c r="BE2991" i="24"/>
  <c r="BD2991" i="24"/>
  <c r="BC2991" i="24"/>
  <c r="BB2991" i="24"/>
  <c r="BA2991" i="24"/>
  <c r="AZ2991" i="24"/>
  <c r="AY2991" i="24"/>
  <c r="AX2991" i="24"/>
  <c r="AW2991" i="24"/>
  <c r="AV2991" i="24"/>
  <c r="AU2991" i="24"/>
  <c r="AT2991" i="24"/>
  <c r="AS2991" i="24"/>
  <c r="AR2991" i="24"/>
  <c r="AQ2991" i="24"/>
  <c r="AP2991" i="24"/>
  <c r="AO2991" i="24"/>
  <c r="AN2991" i="24"/>
  <c r="AM2991" i="24"/>
  <c r="AL2991" i="24"/>
  <c r="DG2705" i="24"/>
  <c r="DF2705" i="24"/>
  <c r="DE2705" i="24"/>
  <c r="DD2705" i="24"/>
  <c r="DC2705" i="24"/>
  <c r="DB2705" i="24"/>
  <c r="DA2705" i="24"/>
  <c r="CZ2705" i="24"/>
  <c r="CY2705" i="24"/>
  <c r="CX2705" i="24"/>
  <c r="CW2705" i="24"/>
  <c r="CV2705" i="24"/>
  <c r="CU2705" i="24"/>
  <c r="CT2705" i="24"/>
  <c r="CS2705" i="24"/>
  <c r="CR2705" i="24"/>
  <c r="CQ2705" i="24"/>
  <c r="CP2705" i="24"/>
  <c r="CO2705" i="24"/>
  <c r="CN2705" i="24"/>
  <c r="CM2705" i="24"/>
  <c r="CL2705" i="24"/>
  <c r="CK2705" i="24"/>
  <c r="CJ2705" i="24"/>
  <c r="CI2705" i="24"/>
  <c r="CH2705" i="24"/>
  <c r="CG2705" i="24"/>
  <c r="CF2705" i="24"/>
  <c r="CE2705" i="24"/>
  <c r="CD2705" i="24"/>
  <c r="CC2705" i="24"/>
  <c r="CB2705" i="24"/>
  <c r="CA2705" i="24"/>
  <c r="BZ2705" i="24"/>
  <c r="BY2705" i="24"/>
  <c r="BX2705" i="24"/>
  <c r="BW2705" i="24"/>
  <c r="BV2705" i="24"/>
  <c r="BU2705" i="24"/>
  <c r="BT2705" i="24"/>
  <c r="BS2705" i="24"/>
  <c r="BR2705" i="24"/>
  <c r="BQ2705" i="24"/>
  <c r="BP2705" i="24"/>
  <c r="BO2705" i="24"/>
  <c r="BN2705" i="24"/>
  <c r="BM2705" i="24"/>
  <c r="BL2705" i="24"/>
  <c r="BK2705" i="24"/>
  <c r="BJ2705" i="24"/>
  <c r="BI2705" i="24"/>
  <c r="BH2705" i="24"/>
  <c r="BG2705" i="24"/>
  <c r="BF2705" i="24"/>
  <c r="BE2705" i="24"/>
  <c r="BD2705" i="24"/>
  <c r="BC2705" i="24"/>
  <c r="BB2705" i="24"/>
  <c r="BA2705" i="24"/>
  <c r="AZ2705" i="24"/>
  <c r="AY2705" i="24"/>
  <c r="AX2705" i="24"/>
  <c r="AW2705" i="24"/>
  <c r="AV2705" i="24"/>
  <c r="AU2705" i="24"/>
  <c r="AT2705" i="24"/>
  <c r="AS2705" i="24"/>
  <c r="AR2705" i="24"/>
  <c r="AQ2705" i="24"/>
  <c r="AP2705" i="24"/>
  <c r="AO2705" i="24"/>
  <c r="AN2705" i="24"/>
  <c r="AM2705" i="24"/>
  <c r="AL2705" i="24"/>
  <c r="DG2334" i="24"/>
  <c r="DF2334" i="24"/>
  <c r="DE2334" i="24"/>
  <c r="DD2334" i="24"/>
  <c r="DC2334" i="24"/>
  <c r="DB2334" i="24"/>
  <c r="DA2334" i="24"/>
  <c r="CZ2334" i="24"/>
  <c r="CY2334" i="24"/>
  <c r="CX2334" i="24"/>
  <c r="CW2334" i="24"/>
  <c r="CV2334" i="24"/>
  <c r="CU2334" i="24"/>
  <c r="CT2334" i="24"/>
  <c r="CS2334" i="24"/>
  <c r="CR2334" i="24"/>
  <c r="CQ2334" i="24"/>
  <c r="CP2334" i="24"/>
  <c r="CO2334" i="24"/>
  <c r="CN2334" i="24"/>
  <c r="CM2334" i="24"/>
  <c r="CL2334" i="24"/>
  <c r="CK2334" i="24"/>
  <c r="CJ2334" i="24"/>
  <c r="CI2334" i="24"/>
  <c r="CH2334" i="24"/>
  <c r="CG2334" i="24"/>
  <c r="CF2334" i="24"/>
  <c r="CE2334" i="24"/>
  <c r="CD2334" i="24"/>
  <c r="CC2334" i="24"/>
  <c r="CB2334" i="24"/>
  <c r="CA2334" i="24"/>
  <c r="BZ2334" i="24"/>
  <c r="BY2334" i="24"/>
  <c r="BX2334" i="24"/>
  <c r="BW2334" i="24"/>
  <c r="BV2334" i="24"/>
  <c r="BU2334" i="24"/>
  <c r="BT2334" i="24"/>
  <c r="BS2334" i="24"/>
  <c r="BR2334" i="24"/>
  <c r="BQ2334" i="24"/>
  <c r="BP2334" i="24"/>
  <c r="BO2334" i="24"/>
  <c r="BN2334" i="24"/>
  <c r="BM2334" i="24"/>
  <c r="BL2334" i="24"/>
  <c r="BK2334" i="24"/>
  <c r="BJ2334" i="24"/>
  <c r="BI2334" i="24"/>
  <c r="BH2334" i="24"/>
  <c r="BG2334" i="24"/>
  <c r="BF2334" i="24"/>
  <c r="BE2334" i="24"/>
  <c r="BD2334" i="24"/>
  <c r="BC2334" i="24"/>
  <c r="BB2334" i="24"/>
  <c r="BA2334" i="24"/>
  <c r="AZ2334" i="24"/>
  <c r="AY2334" i="24"/>
  <c r="AX2334" i="24"/>
  <c r="AW2334" i="24"/>
  <c r="AV2334" i="24"/>
  <c r="AU2334" i="24"/>
  <c r="AT2334" i="24"/>
  <c r="AS2334" i="24"/>
  <c r="AR2334" i="24"/>
  <c r="AQ2334" i="24"/>
  <c r="AP2334" i="24"/>
  <c r="AO2334" i="24"/>
  <c r="AN2334" i="24"/>
  <c r="AM2334" i="24"/>
  <c r="AL2334" i="24"/>
  <c r="DG1963" i="24"/>
  <c r="DF1963" i="24"/>
  <c r="DE1963" i="24"/>
  <c r="DD1963" i="24"/>
  <c r="DC1963" i="24"/>
  <c r="DB1963" i="24"/>
  <c r="DA1963" i="24"/>
  <c r="CZ1963" i="24"/>
  <c r="CY1963" i="24"/>
  <c r="CX1963" i="24"/>
  <c r="CW1963" i="24"/>
  <c r="CV1963" i="24"/>
  <c r="CU1963" i="24"/>
  <c r="CT1963" i="24"/>
  <c r="CS1963" i="24"/>
  <c r="CR1963" i="24"/>
  <c r="CQ1963" i="24"/>
  <c r="CP1963" i="24"/>
  <c r="CO1963" i="24"/>
  <c r="CN1963" i="24"/>
  <c r="CM1963" i="24"/>
  <c r="CL1963" i="24"/>
  <c r="CK1963" i="24"/>
  <c r="CJ1963" i="24"/>
  <c r="CI1963" i="24"/>
  <c r="CH1963" i="24"/>
  <c r="CG1963" i="24"/>
  <c r="CF1963" i="24"/>
  <c r="CE1963" i="24"/>
  <c r="CD1963" i="24"/>
  <c r="CC1963" i="24"/>
  <c r="CB1963" i="24"/>
  <c r="CA1963" i="24"/>
  <c r="BZ1963" i="24"/>
  <c r="BY1963" i="24"/>
  <c r="BX1963" i="24"/>
  <c r="BW1963" i="24"/>
  <c r="BV1963" i="24"/>
  <c r="BU1963" i="24"/>
  <c r="BT1963" i="24"/>
  <c r="BS1963" i="24"/>
  <c r="BR1963" i="24"/>
  <c r="BQ1963" i="24"/>
  <c r="BP1963" i="24"/>
  <c r="BO1963" i="24"/>
  <c r="BN1963" i="24"/>
  <c r="BM1963" i="24"/>
  <c r="BL1963" i="24"/>
  <c r="BK1963" i="24"/>
  <c r="BJ1963" i="24"/>
  <c r="BI1963" i="24"/>
  <c r="BH1963" i="24"/>
  <c r="BG1963" i="24"/>
  <c r="BF1963" i="24"/>
  <c r="BE1963" i="24"/>
  <c r="BD1963" i="24"/>
  <c r="BC1963" i="24"/>
  <c r="BB1963" i="24"/>
  <c r="BA1963" i="24"/>
  <c r="AZ1963" i="24"/>
  <c r="AY1963" i="24"/>
  <c r="AX1963" i="24"/>
  <c r="AW1963" i="24"/>
  <c r="AV1963" i="24"/>
  <c r="AU1963" i="24"/>
  <c r="AT1963" i="24"/>
  <c r="AS1963" i="24"/>
  <c r="AR1963" i="24"/>
  <c r="AQ1963" i="24"/>
  <c r="AP1963" i="24"/>
  <c r="AO1963" i="24"/>
  <c r="AN1963" i="24"/>
  <c r="AM1963" i="24"/>
  <c r="AL1963" i="24"/>
  <c r="DG1592" i="24"/>
  <c r="DF1592" i="24"/>
  <c r="DE1592" i="24"/>
  <c r="DD1592" i="24"/>
  <c r="DC1592" i="24"/>
  <c r="DB1592" i="24"/>
  <c r="DA1592" i="24"/>
  <c r="CZ1592" i="24"/>
  <c r="CY1592" i="24"/>
  <c r="CX1592" i="24"/>
  <c r="CW1592" i="24"/>
  <c r="CV1592" i="24"/>
  <c r="CU1592" i="24"/>
  <c r="CT1592" i="24"/>
  <c r="CS1592" i="24"/>
  <c r="CR1592" i="24"/>
  <c r="CQ1592" i="24"/>
  <c r="CP1592" i="24"/>
  <c r="CO1592" i="24"/>
  <c r="CN1592" i="24"/>
  <c r="CM1592" i="24"/>
  <c r="CL1592" i="24"/>
  <c r="CK1592" i="24"/>
  <c r="CJ1592" i="24"/>
  <c r="CI1592" i="24"/>
  <c r="CH1592" i="24"/>
  <c r="CG1592" i="24"/>
  <c r="CF1592" i="24"/>
  <c r="CE1592" i="24"/>
  <c r="CD1592" i="24"/>
  <c r="CC1592" i="24"/>
  <c r="CB1592" i="24"/>
  <c r="CA1592" i="24"/>
  <c r="BZ1592" i="24"/>
  <c r="BY1592" i="24"/>
  <c r="BX1592" i="24"/>
  <c r="BW1592" i="24"/>
  <c r="BV1592" i="24"/>
  <c r="BU1592" i="24"/>
  <c r="BT1592" i="24"/>
  <c r="BS1592" i="24"/>
  <c r="BR1592" i="24"/>
  <c r="BQ1592" i="24"/>
  <c r="BP1592" i="24"/>
  <c r="BO1592" i="24"/>
  <c r="BN1592" i="24"/>
  <c r="BM1592" i="24"/>
  <c r="BL1592" i="24"/>
  <c r="BK1592" i="24"/>
  <c r="BJ1592" i="24"/>
  <c r="BI1592" i="24"/>
  <c r="BH1592" i="24"/>
  <c r="BG1592" i="24"/>
  <c r="BF1592" i="24"/>
  <c r="BE1592" i="24"/>
  <c r="BD1592" i="24"/>
  <c r="BC1592" i="24"/>
  <c r="BB1592" i="24"/>
  <c r="BA1592" i="24"/>
  <c r="AZ1592" i="24"/>
  <c r="AY1592" i="24"/>
  <c r="AX1592" i="24"/>
  <c r="AW1592" i="24"/>
  <c r="AV1592" i="24"/>
  <c r="AU1592" i="24"/>
  <c r="AT1592" i="24"/>
  <c r="AS1592" i="24"/>
  <c r="AR1592" i="24"/>
  <c r="AQ1592" i="24"/>
  <c r="AP1592" i="24"/>
  <c r="AO1592" i="24"/>
  <c r="AN1592" i="24"/>
  <c r="AM1592" i="24"/>
  <c r="AL1592" i="24"/>
  <c r="DG1509" i="24"/>
  <c r="DF1509" i="24"/>
  <c r="DE1509" i="24"/>
  <c r="DD1509" i="24"/>
  <c r="DC1509" i="24"/>
  <c r="DB1509" i="24"/>
  <c r="DA1509" i="24"/>
  <c r="CZ1509" i="24"/>
  <c r="CY1509" i="24"/>
  <c r="CX1509" i="24"/>
  <c r="CW1509" i="24"/>
  <c r="CV1509" i="24"/>
  <c r="CU1509" i="24"/>
  <c r="CT1509" i="24"/>
  <c r="CS1509" i="24"/>
  <c r="CR1509" i="24"/>
  <c r="CQ1509" i="24"/>
  <c r="CP1509" i="24"/>
  <c r="CO1509" i="24"/>
  <c r="CN1509" i="24"/>
  <c r="CM1509" i="24"/>
  <c r="CL1509" i="24"/>
  <c r="CK1509" i="24"/>
  <c r="CJ1509" i="24"/>
  <c r="CI1509" i="24"/>
  <c r="CH1509" i="24"/>
  <c r="CG1509" i="24"/>
  <c r="CF1509" i="24"/>
  <c r="CE1509" i="24"/>
  <c r="CD1509" i="24"/>
  <c r="CC1509" i="24"/>
  <c r="CB1509" i="24"/>
  <c r="CA1509" i="24"/>
  <c r="BZ1509" i="24"/>
  <c r="BY1509" i="24"/>
  <c r="BX1509" i="24"/>
  <c r="BW1509" i="24"/>
  <c r="BV1509" i="24"/>
  <c r="BU1509" i="24"/>
  <c r="BT1509" i="24"/>
  <c r="BS1509" i="24"/>
  <c r="BR1509" i="24"/>
  <c r="BQ1509" i="24"/>
  <c r="BP1509" i="24"/>
  <c r="BO1509" i="24"/>
  <c r="BN1509" i="24"/>
  <c r="BL1509" i="24"/>
  <c r="BK1509" i="24"/>
  <c r="BJ1509" i="24"/>
  <c r="BI1509" i="24"/>
  <c r="BH1509" i="24"/>
  <c r="BG1509" i="24"/>
  <c r="BF1509" i="24"/>
  <c r="BE1509" i="24"/>
  <c r="BD1509" i="24"/>
  <c r="BC1509" i="24"/>
  <c r="BB1509" i="24"/>
  <c r="BA1509" i="24"/>
  <c r="AZ1509" i="24"/>
  <c r="AY1509" i="24"/>
  <c r="AX1509" i="24"/>
  <c r="AW1509" i="24"/>
  <c r="AV1509" i="24"/>
  <c r="AU1509" i="24"/>
  <c r="AT1509" i="24"/>
  <c r="AS1509" i="24"/>
  <c r="AR1509" i="24"/>
  <c r="AQ1509" i="24"/>
  <c r="AP1509" i="24"/>
  <c r="AO1509" i="24"/>
  <c r="AN1509" i="24"/>
  <c r="AM1509" i="24"/>
  <c r="AL1509" i="24"/>
  <c r="DG1427" i="24"/>
  <c r="DF1427" i="24"/>
  <c r="DE1427" i="24"/>
  <c r="DD1427" i="24"/>
  <c r="DC1427" i="24"/>
  <c r="DB1427" i="24"/>
  <c r="DA1427" i="24"/>
  <c r="CZ1427" i="24"/>
  <c r="CY1427" i="24"/>
  <c r="CX1427" i="24"/>
  <c r="CW1427" i="24"/>
  <c r="CV1427" i="24"/>
  <c r="CU1427" i="24"/>
  <c r="CT1427" i="24"/>
  <c r="CS1427" i="24"/>
  <c r="CR1427" i="24"/>
  <c r="CQ1427" i="24"/>
  <c r="CP1427" i="24"/>
  <c r="CO1427" i="24"/>
  <c r="CN1427" i="24"/>
  <c r="CM1427" i="24"/>
  <c r="CL1427" i="24"/>
  <c r="CK1427" i="24"/>
  <c r="CJ1427" i="24"/>
  <c r="CI1427" i="24"/>
  <c r="CH1427" i="24"/>
  <c r="CG1427" i="24"/>
  <c r="CF1427" i="24"/>
  <c r="CE1427" i="24"/>
  <c r="CD1427" i="24"/>
  <c r="CC1427" i="24"/>
  <c r="CB1427" i="24"/>
  <c r="CA1427" i="24"/>
  <c r="BZ1427" i="24"/>
  <c r="BY1427" i="24"/>
  <c r="BX1427" i="24"/>
  <c r="BW1427" i="24"/>
  <c r="BV1427" i="24"/>
  <c r="BU1427" i="24"/>
  <c r="BT1427" i="24"/>
  <c r="BS1427" i="24"/>
  <c r="BR1427" i="24"/>
  <c r="BQ1427" i="24"/>
  <c r="BP1427" i="24"/>
  <c r="BO1427" i="24"/>
  <c r="BN1427" i="24"/>
  <c r="BM1427" i="24"/>
  <c r="BL1427" i="24"/>
  <c r="BK1427" i="24"/>
  <c r="BJ1427" i="24"/>
  <c r="BI1427" i="24"/>
  <c r="BH1427" i="24"/>
  <c r="BG1427" i="24"/>
  <c r="BF1427" i="24"/>
  <c r="BE1427" i="24"/>
  <c r="BD1427" i="24"/>
  <c r="BC1427" i="24"/>
  <c r="BB1427" i="24"/>
  <c r="BA1427" i="24"/>
  <c r="AZ1427" i="24"/>
  <c r="AY1427" i="24"/>
  <c r="AX1427" i="24"/>
  <c r="AW1427" i="24"/>
  <c r="AV1427" i="24"/>
  <c r="AU1427" i="24"/>
  <c r="AT1427" i="24"/>
  <c r="AS1427" i="24"/>
  <c r="AR1427" i="24"/>
  <c r="AQ1427" i="24"/>
  <c r="AP1427" i="24"/>
  <c r="AO1427" i="24"/>
  <c r="AN1427" i="24"/>
  <c r="AM1427" i="24"/>
  <c r="AL1427" i="24"/>
  <c r="DG1345" i="24"/>
  <c r="DF1345" i="24"/>
  <c r="DE1345" i="24"/>
  <c r="DD1345" i="24"/>
  <c r="DC1345" i="24"/>
  <c r="DB1345" i="24"/>
  <c r="DA1345" i="24"/>
  <c r="CZ1345" i="24"/>
  <c r="CY1345" i="24"/>
  <c r="CX1345" i="24"/>
  <c r="CW1345" i="24"/>
  <c r="CV1345" i="24"/>
  <c r="CU1345" i="24"/>
  <c r="CT1345" i="24"/>
  <c r="CS1345" i="24"/>
  <c r="CR1345" i="24"/>
  <c r="CQ1345" i="24"/>
  <c r="CP1345" i="24"/>
  <c r="CO1345" i="24"/>
  <c r="CN1345" i="24"/>
  <c r="CM1345" i="24"/>
  <c r="CL1345" i="24"/>
  <c r="CK1345" i="24"/>
  <c r="CJ1345" i="24"/>
  <c r="CI1345" i="24"/>
  <c r="CH1345" i="24"/>
  <c r="CG1345" i="24"/>
  <c r="CF1345" i="24"/>
  <c r="CE1345" i="24"/>
  <c r="CD1345" i="24"/>
  <c r="CC1345" i="24"/>
  <c r="CB1345" i="24"/>
  <c r="CA1345" i="24"/>
  <c r="BZ1345" i="24"/>
  <c r="BY1345" i="24"/>
  <c r="BX1345" i="24"/>
  <c r="BW1345" i="24"/>
  <c r="BV1345" i="24"/>
  <c r="BU1345" i="24"/>
  <c r="BT1345" i="24"/>
  <c r="BS1345" i="24"/>
  <c r="BR1345" i="24"/>
  <c r="BQ1345" i="24"/>
  <c r="BP1345" i="24"/>
  <c r="BO1345" i="24"/>
  <c r="BN1345" i="24"/>
  <c r="BM1345" i="24"/>
  <c r="BL1345" i="24"/>
  <c r="BK1345" i="24"/>
  <c r="BJ1345" i="24"/>
  <c r="BI1345" i="24"/>
  <c r="BH1345" i="24"/>
  <c r="BG1345" i="24"/>
  <c r="BF1345" i="24"/>
  <c r="BE1345" i="24"/>
  <c r="BD1345" i="24"/>
  <c r="BC1345" i="24"/>
  <c r="BB1345" i="24"/>
  <c r="BA1345" i="24"/>
  <c r="AZ1345" i="24"/>
  <c r="AY1345" i="24"/>
  <c r="AX1345" i="24"/>
  <c r="AW1345" i="24"/>
  <c r="AV1345" i="24"/>
  <c r="AU1345" i="24"/>
  <c r="AT1345" i="24"/>
  <c r="AS1345" i="24"/>
  <c r="AR1345" i="24"/>
  <c r="AQ1345" i="24"/>
  <c r="AP1345" i="24"/>
  <c r="AO1345" i="24"/>
  <c r="AN1345" i="24"/>
  <c r="AM1345" i="24"/>
  <c r="AL1345" i="24"/>
  <c r="DG1159" i="24"/>
  <c r="DF1159" i="24"/>
  <c r="DE1159" i="24"/>
  <c r="DD1159" i="24"/>
  <c r="DC1159" i="24"/>
  <c r="DB1159" i="24"/>
  <c r="DA1159" i="24"/>
  <c r="CZ1159" i="24"/>
  <c r="CY1159" i="24"/>
  <c r="CX1159" i="24"/>
  <c r="CW1159" i="24"/>
  <c r="CV1159" i="24"/>
  <c r="CU1159" i="24"/>
  <c r="CT1159" i="24"/>
  <c r="CS1159" i="24"/>
  <c r="CR1159" i="24"/>
  <c r="CQ1159" i="24"/>
  <c r="CP1159" i="24"/>
  <c r="CO1159" i="24"/>
  <c r="CN1159" i="24"/>
  <c r="CM1159" i="24"/>
  <c r="CL1159" i="24"/>
  <c r="CK1159" i="24"/>
  <c r="CJ1159" i="24"/>
  <c r="CI1159" i="24"/>
  <c r="CH1159" i="24"/>
  <c r="CG1159" i="24"/>
  <c r="CF1159" i="24"/>
  <c r="CE1159" i="24"/>
  <c r="CD1159" i="24"/>
  <c r="CC1159" i="24"/>
  <c r="CB1159" i="24"/>
  <c r="CA1159" i="24"/>
  <c r="BZ1159" i="24"/>
  <c r="BY1159" i="24"/>
  <c r="BX1159" i="24"/>
  <c r="BW1159" i="24"/>
  <c r="BV1159" i="24"/>
  <c r="BU1159" i="24"/>
  <c r="BT1159" i="24"/>
  <c r="BS1159" i="24"/>
  <c r="BR1159" i="24"/>
  <c r="BQ1159" i="24"/>
  <c r="BP1159" i="24"/>
  <c r="BO1159" i="24"/>
  <c r="BN1159" i="24"/>
  <c r="BM1159" i="24"/>
  <c r="BL1159" i="24"/>
  <c r="BK1159" i="24"/>
  <c r="BJ1159" i="24"/>
  <c r="BI1159" i="24"/>
  <c r="BH1159" i="24"/>
  <c r="BG1159" i="24"/>
  <c r="BF1159" i="24"/>
  <c r="BE1159" i="24"/>
  <c r="BD1159" i="24"/>
  <c r="BC1159" i="24"/>
  <c r="BB1159" i="24"/>
  <c r="BA1159" i="24"/>
  <c r="AZ1159" i="24"/>
  <c r="AY1159" i="24"/>
  <c r="AX1159" i="24"/>
  <c r="AW1159" i="24"/>
  <c r="AV1159" i="24"/>
  <c r="AU1159" i="24"/>
  <c r="AT1159" i="24"/>
  <c r="AS1159" i="24"/>
  <c r="AR1159" i="24"/>
  <c r="AQ1159" i="24"/>
  <c r="AP1159" i="24"/>
  <c r="AO1159" i="24"/>
  <c r="AN1159" i="24"/>
  <c r="AM1159" i="24"/>
  <c r="AL1159" i="24"/>
  <c r="DG974" i="24"/>
  <c r="DF974" i="24"/>
  <c r="DE974" i="24"/>
  <c r="DD974" i="24"/>
  <c r="DC974" i="24"/>
  <c r="DB974" i="24"/>
  <c r="DA974" i="24"/>
  <c r="CZ974" i="24"/>
  <c r="CY974" i="24"/>
  <c r="CX974" i="24"/>
  <c r="CW974" i="24"/>
  <c r="CV974" i="24"/>
  <c r="CU974" i="24"/>
  <c r="CT974" i="24"/>
  <c r="CS974" i="24"/>
  <c r="CR974" i="24"/>
  <c r="CQ974" i="24"/>
  <c r="CP974" i="24"/>
  <c r="CO974" i="24"/>
  <c r="CN974" i="24"/>
  <c r="CM974" i="24"/>
  <c r="CL974" i="24"/>
  <c r="CK974" i="24"/>
  <c r="CJ974" i="24"/>
  <c r="CI974" i="24"/>
  <c r="CH974" i="24"/>
  <c r="CG974" i="24"/>
  <c r="CF974" i="24"/>
  <c r="CE974" i="24"/>
  <c r="CD974" i="24"/>
  <c r="CC974" i="24"/>
  <c r="CB974" i="24"/>
  <c r="CA974" i="24"/>
  <c r="BZ974" i="24"/>
  <c r="BY974" i="24"/>
  <c r="BX974" i="24"/>
  <c r="BW974" i="24"/>
  <c r="BV974" i="24"/>
  <c r="BU974" i="24"/>
  <c r="BT974" i="24"/>
  <c r="BS974" i="24"/>
  <c r="BR974" i="24"/>
  <c r="BQ974" i="24"/>
  <c r="BP974" i="24"/>
  <c r="BO974" i="24"/>
  <c r="BN974" i="24"/>
  <c r="BM974" i="24"/>
  <c r="BL974" i="24"/>
  <c r="BK974" i="24"/>
  <c r="BJ974" i="24"/>
  <c r="BI974" i="24"/>
  <c r="BH974" i="24"/>
  <c r="BG974" i="24"/>
  <c r="BF974" i="24"/>
  <c r="BE974" i="24"/>
  <c r="BD974" i="24"/>
  <c r="BD789" i="24" s="1"/>
  <c r="BC974" i="24"/>
  <c r="BB974" i="24"/>
  <c r="BA974" i="24"/>
  <c r="AZ974" i="24"/>
  <c r="AY974" i="24"/>
  <c r="AX974" i="24"/>
  <c r="AW974" i="24"/>
  <c r="AV974" i="24"/>
  <c r="AU974" i="24"/>
  <c r="AT974" i="24"/>
  <c r="AS974" i="24"/>
  <c r="AR974" i="24"/>
  <c r="AQ974" i="24"/>
  <c r="AP974" i="24"/>
  <c r="AO974" i="24"/>
  <c r="AN974" i="24"/>
  <c r="AM974" i="24"/>
  <c r="AL974" i="24"/>
  <c r="BB789" i="24"/>
  <c r="AY789" i="24"/>
  <c r="AR789" i="24"/>
  <c r="AL789" i="24"/>
  <c r="DG629" i="24"/>
  <c r="DF629" i="24"/>
  <c r="DE629" i="24"/>
  <c r="DD629" i="24"/>
  <c r="DC629" i="24"/>
  <c r="DB629" i="24"/>
  <c r="DA629" i="24"/>
  <c r="CZ629" i="24"/>
  <c r="CY629" i="24"/>
  <c r="CX629" i="24"/>
  <c r="CW629" i="24"/>
  <c r="CV629" i="24"/>
  <c r="CU629" i="24"/>
  <c r="CT629" i="24"/>
  <c r="CS629" i="24"/>
  <c r="CR629" i="24"/>
  <c r="CQ629" i="24"/>
  <c r="CP629" i="24"/>
  <c r="CO629" i="24"/>
  <c r="CN629" i="24"/>
  <c r="CM629" i="24"/>
  <c r="CL629" i="24"/>
  <c r="CK629" i="24"/>
  <c r="CJ629" i="24"/>
  <c r="CI629" i="24"/>
  <c r="CH629" i="24"/>
  <c r="CG629" i="24"/>
  <c r="CF629" i="24"/>
  <c r="CE629" i="24"/>
  <c r="CD629" i="24"/>
  <c r="CC629" i="24"/>
  <c r="CB629" i="24"/>
  <c r="CA629" i="24"/>
  <c r="BZ629" i="24"/>
  <c r="BY629" i="24"/>
  <c r="BX629" i="24"/>
  <c r="BW629" i="24"/>
  <c r="BV629" i="24"/>
  <c r="BU629" i="24"/>
  <c r="AY629" i="24"/>
  <c r="AL629" i="24"/>
  <c r="AL470" i="24"/>
  <c r="BD305" i="24"/>
  <c r="BB305" i="24"/>
  <c r="AY305" i="24"/>
  <c r="AL305" i="24"/>
  <c r="BB209" i="24"/>
  <c r="AY209" i="24"/>
  <c r="AN209" i="24"/>
  <c r="AL209" i="24"/>
  <c r="AL113" i="24"/>
  <c r="AB112" i="24"/>
  <c r="L112" i="24"/>
  <c r="M112" i="24" s="1"/>
  <c r="D112" i="24"/>
  <c r="C112" i="24"/>
  <c r="AD111" i="24"/>
  <c r="AC111" i="24"/>
  <c r="AA111" i="24"/>
  <c r="Z111" i="24"/>
  <c r="Y111" i="24"/>
  <c r="X111" i="24"/>
  <c r="W111" i="24"/>
  <c r="V111" i="24"/>
  <c r="U111" i="24"/>
  <c r="O111" i="24"/>
  <c r="N111" i="24"/>
  <c r="K111" i="24"/>
  <c r="J111" i="24"/>
  <c r="I111" i="24"/>
  <c r="H111" i="24"/>
  <c r="G111" i="24"/>
  <c r="F111" i="24"/>
  <c r="E111" i="24"/>
  <c r="C111" i="24"/>
  <c r="AB110" i="24"/>
  <c r="L110" i="24"/>
  <c r="M110" i="24" s="1"/>
  <c r="D110" i="24"/>
  <c r="C110" i="24"/>
  <c r="AD109" i="24"/>
  <c r="AC109" i="24"/>
  <c r="AA109" i="24"/>
  <c r="Z109" i="24"/>
  <c r="Y109" i="24"/>
  <c r="X109" i="24"/>
  <c r="W109" i="24"/>
  <c r="V109" i="24"/>
  <c r="U109" i="24"/>
  <c r="O109" i="24"/>
  <c r="N109" i="24"/>
  <c r="K109" i="24"/>
  <c r="J109" i="24"/>
  <c r="I109" i="24"/>
  <c r="H109" i="24"/>
  <c r="G109" i="24"/>
  <c r="F109" i="24"/>
  <c r="E109" i="24"/>
  <c r="C109" i="24"/>
  <c r="AB108" i="24"/>
  <c r="AE108" i="24" s="1"/>
  <c r="L108" i="24"/>
  <c r="L107" i="24" s="1"/>
  <c r="F108" i="24"/>
  <c r="F107" i="24" s="1"/>
  <c r="C108" i="24"/>
  <c r="AD107" i="24"/>
  <c r="AC107" i="24"/>
  <c r="AA107" i="24"/>
  <c r="Z107" i="24"/>
  <c r="Y107" i="24"/>
  <c r="X107" i="24"/>
  <c r="W107" i="24"/>
  <c r="V107" i="24"/>
  <c r="U107" i="24"/>
  <c r="O107" i="24"/>
  <c r="N107" i="24"/>
  <c r="K107" i="24"/>
  <c r="J107" i="24"/>
  <c r="I107" i="24"/>
  <c r="H107" i="24"/>
  <c r="G107" i="24"/>
  <c r="E107" i="24"/>
  <c r="C107" i="24"/>
  <c r="AB106" i="24"/>
  <c r="AE106" i="24" s="1"/>
  <c r="AF106" i="24" s="1"/>
  <c r="AG106" i="24" s="1"/>
  <c r="L106" i="24"/>
  <c r="M106" i="24" s="1"/>
  <c r="P106" i="24" s="1"/>
  <c r="Q106" i="24" s="1"/>
  <c r="D106" i="24"/>
  <c r="C106" i="24"/>
  <c r="AB105" i="24"/>
  <c r="L105" i="24"/>
  <c r="L104" i="24" s="1"/>
  <c r="D105" i="24"/>
  <c r="C105" i="24"/>
  <c r="AD104" i="24"/>
  <c r="AC104" i="24"/>
  <c r="AA104" i="24"/>
  <c r="Z104" i="24"/>
  <c r="Y104" i="24"/>
  <c r="X104" i="24"/>
  <c r="W104" i="24"/>
  <c r="V104" i="24"/>
  <c r="U104" i="24"/>
  <c r="O104" i="24"/>
  <c r="N104" i="24"/>
  <c r="K104" i="24"/>
  <c r="J104" i="24"/>
  <c r="I104" i="24"/>
  <c r="H104" i="24"/>
  <c r="G104" i="24"/>
  <c r="F104" i="24"/>
  <c r="E104" i="24"/>
  <c r="C104" i="24"/>
  <c r="AB103" i="24"/>
  <c r="AE103" i="24" s="1"/>
  <c r="AF103" i="24" s="1"/>
  <c r="L103" i="24"/>
  <c r="M103" i="24" s="1"/>
  <c r="P103" i="24" s="1"/>
  <c r="D103" i="24"/>
  <c r="C103" i="24"/>
  <c r="AB102" i="24"/>
  <c r="AE102" i="24" s="1"/>
  <c r="AF102" i="24" s="1"/>
  <c r="L102" i="24"/>
  <c r="D102" i="24"/>
  <c r="C102" i="24"/>
  <c r="AD101" i="24"/>
  <c r="AC101" i="24"/>
  <c r="AA101" i="24"/>
  <c r="Z101" i="24"/>
  <c r="Y101" i="24"/>
  <c r="X101" i="24"/>
  <c r="W101" i="24"/>
  <c r="V101" i="24"/>
  <c r="U101" i="24"/>
  <c r="O101" i="24"/>
  <c r="N101" i="24"/>
  <c r="K101" i="24"/>
  <c r="J101" i="24"/>
  <c r="I101" i="24"/>
  <c r="H101" i="24"/>
  <c r="G101" i="24"/>
  <c r="F101" i="24"/>
  <c r="E101" i="24"/>
  <c r="C101" i="24"/>
  <c r="AB100" i="24"/>
  <c r="M100" i="24"/>
  <c r="D100" i="24"/>
  <c r="C100" i="24"/>
  <c r="AB99" i="24"/>
  <c r="AE99" i="24" s="1"/>
  <c r="L99" i="24"/>
  <c r="M99" i="24" s="1"/>
  <c r="AL99" i="24" s="1"/>
  <c r="Q99" i="24" s="1"/>
  <c r="D99" i="24"/>
  <c r="C99" i="24"/>
  <c r="AD98" i="24"/>
  <c r="AC98" i="24"/>
  <c r="AA98" i="24"/>
  <c r="Z98" i="24"/>
  <c r="Y98" i="24"/>
  <c r="X98" i="24"/>
  <c r="W98" i="24"/>
  <c r="V98" i="24"/>
  <c r="U98" i="24"/>
  <c r="O98" i="24"/>
  <c r="N98" i="24"/>
  <c r="K98" i="24"/>
  <c r="J98" i="24"/>
  <c r="I98" i="24"/>
  <c r="H98" i="24"/>
  <c r="G98" i="24"/>
  <c r="F98" i="24"/>
  <c r="E98" i="24"/>
  <c r="C98" i="24"/>
  <c r="AB97" i="24"/>
  <c r="L97" i="24"/>
  <c r="D97" i="24"/>
  <c r="C97" i="24"/>
  <c r="AB96" i="24"/>
  <c r="AE96" i="24" s="1"/>
  <c r="AF96" i="24" s="1"/>
  <c r="AG96" i="24" s="1"/>
  <c r="L96" i="24"/>
  <c r="M96" i="24" s="1"/>
  <c r="AL96" i="24" s="1"/>
  <c r="D96" i="24"/>
  <c r="C96" i="24"/>
  <c r="AD95" i="24"/>
  <c r="AC95" i="24"/>
  <c r="AA95" i="24"/>
  <c r="Z95" i="24"/>
  <c r="Y95" i="24"/>
  <c r="X95" i="24"/>
  <c r="W95" i="24"/>
  <c r="V95" i="24"/>
  <c r="U95" i="24"/>
  <c r="O95" i="24"/>
  <c r="N95" i="24"/>
  <c r="K95" i="24"/>
  <c r="J95" i="24"/>
  <c r="I95" i="24"/>
  <c r="H95" i="24"/>
  <c r="G95" i="24"/>
  <c r="F95" i="24"/>
  <c r="E95" i="24"/>
  <c r="C95" i="24"/>
  <c r="AB94" i="24"/>
  <c r="AE94" i="24" s="1"/>
  <c r="AF94" i="24" s="1"/>
  <c r="L94" i="24"/>
  <c r="M94" i="24" s="1"/>
  <c r="P94" i="24" s="1"/>
  <c r="D94" i="24"/>
  <c r="C94" i="24"/>
  <c r="AB93" i="24"/>
  <c r="L93" i="24"/>
  <c r="M93" i="24" s="1"/>
  <c r="D93" i="24"/>
  <c r="C93" i="24"/>
  <c r="AD92" i="24"/>
  <c r="AC92" i="24"/>
  <c r="AA92" i="24"/>
  <c r="Z92" i="24"/>
  <c r="Y92" i="24"/>
  <c r="X92" i="24"/>
  <c r="W92" i="24"/>
  <c r="V92" i="24"/>
  <c r="U92" i="24"/>
  <c r="O92" i="24"/>
  <c r="N92" i="24"/>
  <c r="K92" i="24"/>
  <c r="J92" i="24"/>
  <c r="I92" i="24"/>
  <c r="H92" i="24"/>
  <c r="G92" i="24"/>
  <c r="F92" i="24"/>
  <c r="E92" i="24"/>
  <c r="C92" i="24"/>
  <c r="AB91" i="24"/>
  <c r="AE91" i="24" s="1"/>
  <c r="L91" i="24"/>
  <c r="M91" i="24" s="1"/>
  <c r="D91" i="24"/>
  <c r="C91" i="24"/>
  <c r="AB90" i="24"/>
  <c r="M90" i="24"/>
  <c r="AL90" i="24" s="1"/>
  <c r="Q90" i="24" s="1"/>
  <c r="D90" i="24"/>
  <c r="C90" i="24"/>
  <c r="AD89" i="24"/>
  <c r="AC89" i="24"/>
  <c r="AA89" i="24"/>
  <c r="Z89" i="24"/>
  <c r="Y89" i="24"/>
  <c r="X89" i="24"/>
  <c r="W89" i="24"/>
  <c r="V89" i="24"/>
  <c r="U89" i="24"/>
  <c r="O89" i="24"/>
  <c r="N89" i="24"/>
  <c r="K89" i="24"/>
  <c r="J89" i="24"/>
  <c r="I89" i="24"/>
  <c r="H89" i="24"/>
  <c r="G89" i="24"/>
  <c r="F89" i="24"/>
  <c r="E89" i="24"/>
  <c r="C89" i="24"/>
  <c r="AB88" i="24"/>
  <c r="AE88" i="24" s="1"/>
  <c r="AF88" i="24" s="1"/>
  <c r="AI88" i="24" s="1"/>
  <c r="L88" i="24"/>
  <c r="M88" i="24" s="1"/>
  <c r="P88" i="24" s="1"/>
  <c r="D88" i="24"/>
  <c r="C88" i="24"/>
  <c r="AB87" i="24"/>
  <c r="L87" i="24"/>
  <c r="L86" i="24" s="1"/>
  <c r="D87" i="24"/>
  <c r="C87" i="24"/>
  <c r="AD86" i="24"/>
  <c r="AC86" i="24"/>
  <c r="AA86" i="24"/>
  <c r="Z86" i="24"/>
  <c r="Y86" i="24"/>
  <c r="X86" i="24"/>
  <c r="W86" i="24"/>
  <c r="V86" i="24"/>
  <c r="U86" i="24"/>
  <c r="O86" i="24"/>
  <c r="N86" i="24"/>
  <c r="K86" i="24"/>
  <c r="J86" i="24"/>
  <c r="I86" i="24"/>
  <c r="H86" i="24"/>
  <c r="G86" i="24"/>
  <c r="F86" i="24"/>
  <c r="E86" i="24"/>
  <c r="C86" i="24"/>
  <c r="AB85" i="24"/>
  <c r="AE85" i="24" s="1"/>
  <c r="AF85" i="24" s="1"/>
  <c r="M85" i="24"/>
  <c r="P85" i="24" s="1"/>
  <c r="Q85" i="24" s="1"/>
  <c r="T85" i="24" s="1"/>
  <c r="D85" i="24"/>
  <c r="C85" i="24"/>
  <c r="AB84" i="24"/>
  <c r="L84" i="24"/>
  <c r="D84" i="24"/>
  <c r="C84" i="24"/>
  <c r="AD83" i="24"/>
  <c r="AC83" i="24"/>
  <c r="AA83" i="24"/>
  <c r="Z83" i="24"/>
  <c r="Y83" i="24"/>
  <c r="X83" i="24"/>
  <c r="W83" i="24"/>
  <c r="V83" i="24"/>
  <c r="U83" i="24"/>
  <c r="O83" i="24"/>
  <c r="N83" i="24"/>
  <c r="K83" i="24"/>
  <c r="J83" i="24"/>
  <c r="I83" i="24"/>
  <c r="H83" i="24"/>
  <c r="G83" i="24"/>
  <c r="F83" i="24"/>
  <c r="E83" i="24"/>
  <c r="C83" i="24"/>
  <c r="AB82" i="24"/>
  <c r="L82" i="24"/>
  <c r="M82" i="24" s="1"/>
  <c r="D82" i="24"/>
  <c r="C82" i="24"/>
  <c r="AB81" i="24"/>
  <c r="AE81" i="24" s="1"/>
  <c r="L81" i="24"/>
  <c r="M81" i="24" s="1"/>
  <c r="AL81" i="24" s="1"/>
  <c r="D81" i="24"/>
  <c r="C81" i="24"/>
  <c r="AD80" i="24"/>
  <c r="AC80" i="24"/>
  <c r="AA80" i="24"/>
  <c r="Z80" i="24"/>
  <c r="Y80" i="24"/>
  <c r="X80" i="24"/>
  <c r="W80" i="24"/>
  <c r="V80" i="24"/>
  <c r="U80" i="24"/>
  <c r="O80" i="24"/>
  <c r="N80" i="24"/>
  <c r="K80" i="24"/>
  <c r="J80" i="24"/>
  <c r="I80" i="24"/>
  <c r="H80" i="24"/>
  <c r="G80" i="24"/>
  <c r="F80" i="24"/>
  <c r="E80" i="24"/>
  <c r="C80" i="24"/>
  <c r="AB79" i="24"/>
  <c r="AE79" i="24" s="1"/>
  <c r="AF79" i="24" s="1"/>
  <c r="L79" i="24"/>
  <c r="M79" i="24" s="1"/>
  <c r="P79" i="24" s="1"/>
  <c r="Q79" i="24" s="1"/>
  <c r="D79" i="24"/>
  <c r="C79" i="24"/>
  <c r="AB78" i="24"/>
  <c r="AE78" i="24" s="1"/>
  <c r="L78" i="24"/>
  <c r="D78" i="24"/>
  <c r="C78" i="24"/>
  <c r="AD77" i="24"/>
  <c r="AC77" i="24"/>
  <c r="AA77" i="24"/>
  <c r="Z77" i="24"/>
  <c r="Y77" i="24"/>
  <c r="X77" i="24"/>
  <c r="W77" i="24"/>
  <c r="V77" i="24"/>
  <c r="U77" i="24"/>
  <c r="O77" i="24"/>
  <c r="N77" i="24"/>
  <c r="K77" i="24"/>
  <c r="J77" i="24"/>
  <c r="I77" i="24"/>
  <c r="H77" i="24"/>
  <c r="G77" i="24"/>
  <c r="F77" i="24"/>
  <c r="E77" i="24"/>
  <c r="C77" i="24"/>
  <c r="AB76" i="24"/>
  <c r="AE76" i="24" s="1"/>
  <c r="L76" i="24"/>
  <c r="M76" i="24" s="1"/>
  <c r="D76" i="24"/>
  <c r="C76" i="24"/>
  <c r="AD75" i="24"/>
  <c r="AC75" i="24"/>
  <c r="AA75" i="24"/>
  <c r="Z75" i="24"/>
  <c r="Y75" i="24"/>
  <c r="X75" i="24"/>
  <c r="W75" i="24"/>
  <c r="V75" i="24"/>
  <c r="U75" i="24"/>
  <c r="O75" i="24"/>
  <c r="N75" i="24"/>
  <c r="K75" i="24"/>
  <c r="J75" i="24"/>
  <c r="I75" i="24"/>
  <c r="H75" i="24"/>
  <c r="G75" i="24"/>
  <c r="F75" i="24"/>
  <c r="E75" i="24"/>
  <c r="D75" i="24" s="1"/>
  <c r="C75" i="24"/>
  <c r="AB74" i="24"/>
  <c r="M74" i="24"/>
  <c r="P74" i="24" s="1"/>
  <c r="D74" i="24"/>
  <c r="C74" i="24"/>
  <c r="AB73" i="24"/>
  <c r="AE73" i="24" s="1"/>
  <c r="L73" i="24"/>
  <c r="L72" i="24" s="1"/>
  <c r="D73" i="24"/>
  <c r="C73" i="24"/>
  <c r="AD72" i="24"/>
  <c r="AC72" i="24"/>
  <c r="AA72" i="24"/>
  <c r="Z72" i="24"/>
  <c r="Y72" i="24"/>
  <c r="X72" i="24"/>
  <c r="W72" i="24"/>
  <c r="V72" i="24"/>
  <c r="U72" i="24"/>
  <c r="O72" i="24"/>
  <c r="N72" i="24"/>
  <c r="K72" i="24"/>
  <c r="J72" i="24"/>
  <c r="I72" i="24"/>
  <c r="H72" i="24"/>
  <c r="G72" i="24"/>
  <c r="F72" i="24"/>
  <c r="E72" i="24"/>
  <c r="C72" i="24"/>
  <c r="AB71" i="24"/>
  <c r="AE71" i="24" s="1"/>
  <c r="AF71" i="24" s="1"/>
  <c r="L71" i="24"/>
  <c r="M71" i="24" s="1"/>
  <c r="P71" i="24" s="1"/>
  <c r="D71" i="24"/>
  <c r="C71" i="24"/>
  <c r="AB70" i="24"/>
  <c r="L70" i="24"/>
  <c r="F70" i="24"/>
  <c r="C70" i="24"/>
  <c r="AD69" i="24"/>
  <c r="AC69" i="24"/>
  <c r="AA69" i="24"/>
  <c r="Z69" i="24"/>
  <c r="Y69" i="24"/>
  <c r="X69" i="24"/>
  <c r="W69" i="24"/>
  <c r="V69" i="24"/>
  <c r="U69" i="24"/>
  <c r="O69" i="24"/>
  <c r="N69" i="24"/>
  <c r="K69" i="24"/>
  <c r="J69" i="24"/>
  <c r="I69" i="24"/>
  <c r="H69" i="24"/>
  <c r="G69" i="24"/>
  <c r="E69" i="24"/>
  <c r="C69" i="24"/>
  <c r="AB68" i="24"/>
  <c r="AE68" i="24" s="1"/>
  <c r="AF68" i="24" s="1"/>
  <c r="L68" i="24"/>
  <c r="M68" i="24" s="1"/>
  <c r="P68" i="24" s="1"/>
  <c r="D68" i="24"/>
  <c r="C68" i="24"/>
  <c r="AB67" i="24"/>
  <c r="L67" i="24"/>
  <c r="M67" i="24" s="1"/>
  <c r="AL67" i="24" s="1"/>
  <c r="D67" i="24"/>
  <c r="C67" i="24"/>
  <c r="AD66" i="24"/>
  <c r="AC66" i="24"/>
  <c r="AA66" i="24"/>
  <c r="Z66" i="24"/>
  <c r="Y66" i="24"/>
  <c r="X66" i="24"/>
  <c r="W66" i="24"/>
  <c r="V66" i="24"/>
  <c r="U66" i="24"/>
  <c r="O66" i="24"/>
  <c r="N66" i="24"/>
  <c r="K66" i="24"/>
  <c r="J66" i="24"/>
  <c r="I66" i="24"/>
  <c r="H66" i="24"/>
  <c r="G66" i="24"/>
  <c r="F66" i="24"/>
  <c r="E66" i="24"/>
  <c r="C66" i="24"/>
  <c r="AB65" i="24"/>
  <c r="AE65" i="24" s="1"/>
  <c r="L65" i="24"/>
  <c r="M65" i="24" s="1"/>
  <c r="D65" i="24"/>
  <c r="C65" i="24"/>
  <c r="AB64" i="24"/>
  <c r="L64" i="24"/>
  <c r="M64" i="24" s="1"/>
  <c r="AL64" i="24" s="1"/>
  <c r="D64" i="24"/>
  <c r="C64" i="24"/>
  <c r="AD63" i="24"/>
  <c r="AC63" i="24"/>
  <c r="AA63" i="24"/>
  <c r="Z63" i="24"/>
  <c r="Y63" i="24"/>
  <c r="X63" i="24"/>
  <c r="W63" i="24"/>
  <c r="V63" i="24"/>
  <c r="U63" i="24"/>
  <c r="O63" i="24"/>
  <c r="N63" i="24"/>
  <c r="K63" i="24"/>
  <c r="J63" i="24"/>
  <c r="I63" i="24"/>
  <c r="H63" i="24"/>
  <c r="G63" i="24"/>
  <c r="F63" i="24"/>
  <c r="E63" i="24"/>
  <c r="C63" i="24"/>
  <c r="AB62" i="24"/>
  <c r="AE62" i="24" s="1"/>
  <c r="L62" i="24"/>
  <c r="M62" i="24" s="1"/>
  <c r="P62" i="24" s="1"/>
  <c r="D62" i="24"/>
  <c r="C62" i="24"/>
  <c r="AB61" i="24"/>
  <c r="L61" i="24"/>
  <c r="M61" i="24" s="1"/>
  <c r="D61" i="24"/>
  <c r="C61" i="24"/>
  <c r="AD60" i="24"/>
  <c r="AC60" i="24"/>
  <c r="AA60" i="24"/>
  <c r="Z60" i="24"/>
  <c r="Y60" i="24"/>
  <c r="X60" i="24"/>
  <c r="W60" i="24"/>
  <c r="V60" i="24"/>
  <c r="U60" i="24"/>
  <c r="O60" i="24"/>
  <c r="N60" i="24"/>
  <c r="K60" i="24"/>
  <c r="J60" i="24"/>
  <c r="I60" i="24"/>
  <c r="H60" i="24"/>
  <c r="G60" i="24"/>
  <c r="F60" i="24"/>
  <c r="E60" i="24"/>
  <c r="C60" i="24"/>
  <c r="AB59" i="24"/>
  <c r="AE59" i="24" s="1"/>
  <c r="L59" i="24"/>
  <c r="M59" i="24" s="1"/>
  <c r="P59" i="24" s="1"/>
  <c r="D59" i="24"/>
  <c r="C59" i="24"/>
  <c r="AB58" i="24"/>
  <c r="AE58" i="24" s="1"/>
  <c r="AF58" i="24" s="1"/>
  <c r="L58" i="24"/>
  <c r="D58" i="24"/>
  <c r="C58" i="24"/>
  <c r="AD57" i="24"/>
  <c r="AC57" i="24"/>
  <c r="AA57" i="24"/>
  <c r="Z57" i="24"/>
  <c r="Y57" i="24"/>
  <c r="X57" i="24"/>
  <c r="W57" i="24"/>
  <c r="V57" i="24"/>
  <c r="U57" i="24"/>
  <c r="O57" i="24"/>
  <c r="N57" i="24"/>
  <c r="K57" i="24"/>
  <c r="J57" i="24"/>
  <c r="I57" i="24"/>
  <c r="H57" i="24"/>
  <c r="G57" i="24"/>
  <c r="F57" i="24"/>
  <c r="E57" i="24"/>
  <c r="C57" i="24"/>
  <c r="AB56" i="24"/>
  <c r="L56" i="24"/>
  <c r="M56" i="24" s="1"/>
  <c r="F56" i="24"/>
  <c r="D56" i="24" s="1"/>
  <c r="C56" i="24"/>
  <c r="AD55" i="24"/>
  <c r="AC55" i="24"/>
  <c r="AA55" i="24"/>
  <c r="Z55" i="24"/>
  <c r="Y55" i="24"/>
  <c r="X55" i="24"/>
  <c r="W55" i="24"/>
  <c r="V55" i="24"/>
  <c r="U55" i="24"/>
  <c r="O55" i="24"/>
  <c r="N55" i="24"/>
  <c r="K55" i="24"/>
  <c r="J55" i="24"/>
  <c r="I55" i="24"/>
  <c r="H55" i="24"/>
  <c r="G55" i="24"/>
  <c r="E55" i="24"/>
  <c r="C55" i="24"/>
  <c r="AB54" i="24"/>
  <c r="AE54" i="24" s="1"/>
  <c r="L54" i="24"/>
  <c r="M54" i="24" s="1"/>
  <c r="P54" i="24" s="1"/>
  <c r="Q54" i="24" s="1"/>
  <c r="T54" i="24" s="1"/>
  <c r="D54" i="24"/>
  <c r="C54" i="24"/>
  <c r="AB53" i="24"/>
  <c r="L53" i="24"/>
  <c r="D53" i="24"/>
  <c r="C53" i="24"/>
  <c r="AD52" i="24"/>
  <c r="AC52" i="24"/>
  <c r="AA52" i="24"/>
  <c r="Z52" i="24"/>
  <c r="Y52" i="24"/>
  <c r="X52" i="24"/>
  <c r="W52" i="24"/>
  <c r="V52" i="24"/>
  <c r="U52" i="24"/>
  <c r="O52" i="24"/>
  <c r="N52" i="24"/>
  <c r="K52" i="24"/>
  <c r="J52" i="24"/>
  <c r="I52" i="24"/>
  <c r="H52" i="24"/>
  <c r="G52" i="24"/>
  <c r="F52" i="24"/>
  <c r="E52" i="24"/>
  <c r="C52" i="24"/>
  <c r="AB51" i="24"/>
  <c r="AB50" i="24" s="1"/>
  <c r="L51" i="24"/>
  <c r="L50" i="24" s="1"/>
  <c r="D51" i="24"/>
  <c r="C51" i="24"/>
  <c r="AD50" i="24"/>
  <c r="AC50" i="24"/>
  <c r="AA50" i="24"/>
  <c r="Z50" i="24"/>
  <c r="Y50" i="24"/>
  <c r="X50" i="24"/>
  <c r="W50" i="24"/>
  <c r="V50" i="24"/>
  <c r="U50" i="24"/>
  <c r="O50" i="24"/>
  <c r="N50" i="24"/>
  <c r="K50" i="24"/>
  <c r="J50" i="24"/>
  <c r="I50" i="24"/>
  <c r="H50" i="24"/>
  <c r="G50" i="24"/>
  <c r="F50" i="24"/>
  <c r="E50" i="24"/>
  <c r="C50" i="24"/>
  <c r="AB49" i="24"/>
  <c r="L49" i="24"/>
  <c r="L48" i="24" s="1"/>
  <c r="D49" i="24"/>
  <c r="C49" i="24"/>
  <c r="AD48" i="24"/>
  <c r="AC48" i="24"/>
  <c r="AA48" i="24"/>
  <c r="Z48" i="24"/>
  <c r="Y48" i="24"/>
  <c r="X48" i="24"/>
  <c r="W48" i="24"/>
  <c r="V48" i="24"/>
  <c r="U48" i="24"/>
  <c r="O48" i="24"/>
  <c r="N48" i="24"/>
  <c r="K48" i="24"/>
  <c r="J48" i="24"/>
  <c r="I48" i="24"/>
  <c r="H48" i="24"/>
  <c r="G48" i="24"/>
  <c r="F48" i="24"/>
  <c r="E48" i="24"/>
  <c r="C48" i="24"/>
  <c r="AB47" i="24"/>
  <c r="AB46" i="24" s="1"/>
  <c r="L47" i="24"/>
  <c r="D47" i="24"/>
  <c r="C47" i="24"/>
  <c r="AD46" i="24"/>
  <c r="AC46" i="24"/>
  <c r="AA46" i="24"/>
  <c r="Z46" i="24"/>
  <c r="Y46" i="24"/>
  <c r="X46" i="24"/>
  <c r="W46" i="24"/>
  <c r="V46" i="24"/>
  <c r="U46" i="24"/>
  <c r="O46" i="24"/>
  <c r="N46" i="24"/>
  <c r="K46" i="24"/>
  <c r="J46" i="24"/>
  <c r="I46" i="24"/>
  <c r="H46" i="24"/>
  <c r="G46" i="24"/>
  <c r="F46" i="24"/>
  <c r="E46" i="24"/>
  <c r="C46" i="24"/>
  <c r="AB45" i="24"/>
  <c r="AE45" i="24" s="1"/>
  <c r="L45" i="24"/>
  <c r="L44" i="24" s="1"/>
  <c r="D45" i="24"/>
  <c r="C45" i="24"/>
  <c r="AD44" i="24"/>
  <c r="AC44" i="24"/>
  <c r="AA44" i="24"/>
  <c r="Z44" i="24"/>
  <c r="Y44" i="24"/>
  <c r="X44" i="24"/>
  <c r="W44" i="24"/>
  <c r="V44" i="24"/>
  <c r="U44" i="24"/>
  <c r="O44" i="24"/>
  <c r="N44" i="24"/>
  <c r="K44" i="24"/>
  <c r="J44" i="24"/>
  <c r="I44" i="24"/>
  <c r="H44" i="24"/>
  <c r="G44" i="24"/>
  <c r="F44" i="24"/>
  <c r="E44" i="24"/>
  <c r="C44" i="24"/>
  <c r="AB43" i="24"/>
  <c r="AE43" i="24" s="1"/>
  <c r="L43" i="24"/>
  <c r="M43" i="24" s="1"/>
  <c r="P43" i="24" s="1"/>
  <c r="D43" i="24"/>
  <c r="C43" i="24"/>
  <c r="AB42" i="24"/>
  <c r="AE42" i="24" s="1"/>
  <c r="L42" i="24"/>
  <c r="D42" i="24"/>
  <c r="C42" i="24"/>
  <c r="AD41" i="24"/>
  <c r="AC41" i="24"/>
  <c r="AA41" i="24"/>
  <c r="Z41" i="24"/>
  <c r="Y41" i="24"/>
  <c r="X41" i="24"/>
  <c r="W41" i="24"/>
  <c r="V41" i="24"/>
  <c r="U41" i="24"/>
  <c r="O41" i="24"/>
  <c r="N41" i="24"/>
  <c r="K41" i="24"/>
  <c r="J41" i="24"/>
  <c r="I41" i="24"/>
  <c r="H41" i="24"/>
  <c r="G41" i="24"/>
  <c r="F41" i="24"/>
  <c r="E41" i="24"/>
  <c r="C41" i="24"/>
  <c r="AB40" i="24"/>
  <c r="AE40" i="24" s="1"/>
  <c r="M40" i="24"/>
  <c r="P40" i="24" s="1"/>
  <c r="Q40" i="24" s="1"/>
  <c r="D40" i="24"/>
  <c r="C40" i="24"/>
  <c r="AB39" i="24"/>
  <c r="AE39" i="24" s="1"/>
  <c r="AF39" i="24" s="1"/>
  <c r="L39" i="24"/>
  <c r="L38" i="24" s="1"/>
  <c r="D39" i="24"/>
  <c r="C39" i="24"/>
  <c r="AD38" i="24"/>
  <c r="AC38" i="24"/>
  <c r="AA38" i="24"/>
  <c r="Z38" i="24"/>
  <c r="Y38" i="24"/>
  <c r="X38" i="24"/>
  <c r="W38" i="24"/>
  <c r="V38" i="24"/>
  <c r="U38" i="24"/>
  <c r="O38" i="24"/>
  <c r="N38" i="24"/>
  <c r="K38" i="24"/>
  <c r="J38" i="24"/>
  <c r="I38" i="24"/>
  <c r="H38" i="24"/>
  <c r="G38" i="24"/>
  <c r="F38" i="24"/>
  <c r="E38" i="24"/>
  <c r="C38" i="24"/>
  <c r="AH37" i="24"/>
  <c r="AH17" i="24" s="1"/>
  <c r="AB37" i="24"/>
  <c r="AB17" i="24" s="1"/>
  <c r="M37" i="24"/>
  <c r="M17" i="24" s="1"/>
  <c r="D37" i="24"/>
  <c r="D17" i="24" s="1"/>
  <c r="AB36" i="24"/>
  <c r="AE36" i="24" s="1"/>
  <c r="L36" i="24"/>
  <c r="M36" i="24" s="1"/>
  <c r="P36" i="24" s="1"/>
  <c r="D36" i="24"/>
  <c r="C36" i="24"/>
  <c r="AB35" i="24"/>
  <c r="M35" i="24"/>
  <c r="AL35" i="24" s="1"/>
  <c r="D35" i="24"/>
  <c r="C35" i="24"/>
  <c r="AD34" i="24"/>
  <c r="AC34" i="24"/>
  <c r="AA34" i="24"/>
  <c r="Z34" i="24"/>
  <c r="Y34" i="24"/>
  <c r="X34" i="24"/>
  <c r="W34" i="24"/>
  <c r="V34" i="24"/>
  <c r="U34" i="24"/>
  <c r="O34" i="24"/>
  <c r="N34" i="24"/>
  <c r="K34" i="24"/>
  <c r="J34" i="24"/>
  <c r="I34" i="24"/>
  <c r="H34" i="24"/>
  <c r="G34" i="24"/>
  <c r="F34" i="24"/>
  <c r="E34" i="24"/>
  <c r="D34" i="24" s="1"/>
  <c r="C34" i="24"/>
  <c r="AB33" i="24"/>
  <c r="AB32" i="24" s="1"/>
  <c r="L33" i="24"/>
  <c r="F33" i="24"/>
  <c r="D33" i="24" s="1"/>
  <c r="C33" i="24"/>
  <c r="AD32" i="24"/>
  <c r="AC32" i="24"/>
  <c r="AA32" i="24"/>
  <c r="Z32" i="24"/>
  <c r="Y32" i="24"/>
  <c r="X32" i="24"/>
  <c r="W32" i="24"/>
  <c r="V32" i="24"/>
  <c r="U32" i="24"/>
  <c r="O32" i="24"/>
  <c r="N32" i="24"/>
  <c r="K32" i="24"/>
  <c r="J32" i="24"/>
  <c r="I32" i="24"/>
  <c r="H32" i="24"/>
  <c r="G32" i="24"/>
  <c r="E32" i="24"/>
  <c r="C32" i="24"/>
  <c r="AB31" i="24"/>
  <c r="AE31" i="24" s="1"/>
  <c r="L31" i="24"/>
  <c r="M31" i="24" s="1"/>
  <c r="P31" i="24" s="1"/>
  <c r="D31" i="24"/>
  <c r="C31" i="24"/>
  <c r="AB30" i="24"/>
  <c r="L30" i="24"/>
  <c r="D30" i="24"/>
  <c r="C30" i="24"/>
  <c r="AD29" i="24"/>
  <c r="AC29" i="24"/>
  <c r="AA29" i="24"/>
  <c r="Z29" i="24"/>
  <c r="Y29" i="24"/>
  <c r="X29" i="24"/>
  <c r="W29" i="24"/>
  <c r="V29" i="24"/>
  <c r="U29" i="24"/>
  <c r="O29" i="24"/>
  <c r="N29" i="24"/>
  <c r="K29" i="24"/>
  <c r="J29" i="24"/>
  <c r="I29" i="24"/>
  <c r="H29" i="24"/>
  <c r="G29" i="24"/>
  <c r="F29" i="24"/>
  <c r="E29" i="24"/>
  <c r="C29" i="24"/>
  <c r="AB28" i="24"/>
  <c r="AE28" i="24" s="1"/>
  <c r="M28" i="24"/>
  <c r="P28" i="24" s="1"/>
  <c r="D28" i="24"/>
  <c r="C28" i="24"/>
  <c r="AB27" i="24"/>
  <c r="AE27" i="24" s="1"/>
  <c r="AF27" i="24" s="1"/>
  <c r="L27" i="24"/>
  <c r="D27" i="24"/>
  <c r="C27" i="24"/>
  <c r="AD26" i="24"/>
  <c r="AC26" i="24"/>
  <c r="AA26" i="24"/>
  <c r="Z26" i="24"/>
  <c r="Y26" i="24"/>
  <c r="X26" i="24"/>
  <c r="W26" i="24"/>
  <c r="V26" i="24"/>
  <c r="U26" i="24"/>
  <c r="O26" i="24"/>
  <c r="N26" i="24"/>
  <c r="K26" i="24"/>
  <c r="J26" i="24"/>
  <c r="I26" i="24"/>
  <c r="H26" i="24"/>
  <c r="G26" i="24"/>
  <c r="F26" i="24"/>
  <c r="E26" i="24"/>
  <c r="C26" i="24"/>
  <c r="AB25" i="24"/>
  <c r="AE25" i="24" s="1"/>
  <c r="M25" i="24"/>
  <c r="P25" i="24" s="1"/>
  <c r="D25" i="24"/>
  <c r="C25" i="24"/>
  <c r="AB24" i="24"/>
  <c r="AE24" i="24" s="1"/>
  <c r="AF24" i="24" s="1"/>
  <c r="M24" i="24"/>
  <c r="P24" i="24" s="1"/>
  <c r="D24" i="24"/>
  <c r="C24" i="24"/>
  <c r="AB23" i="24"/>
  <c r="L23" i="24"/>
  <c r="F23" i="24"/>
  <c r="D23" i="24" s="1"/>
  <c r="C23" i="24"/>
  <c r="AD22" i="24"/>
  <c r="AC22" i="24"/>
  <c r="AA22" i="24"/>
  <c r="Z22" i="24"/>
  <c r="Y22" i="24"/>
  <c r="X22" i="24"/>
  <c r="W22" i="24"/>
  <c r="V22" i="24"/>
  <c r="U22" i="24"/>
  <c r="O22" i="24"/>
  <c r="N22" i="24"/>
  <c r="K22" i="24"/>
  <c r="J22" i="24"/>
  <c r="I22" i="24"/>
  <c r="H22" i="24"/>
  <c r="G22" i="24"/>
  <c r="F22" i="24"/>
  <c r="E22" i="24"/>
  <c r="C22" i="24"/>
  <c r="AB21" i="24"/>
  <c r="AE21" i="24" s="1"/>
  <c r="AF21" i="24" s="1"/>
  <c r="M21" i="24"/>
  <c r="D21" i="24"/>
  <c r="C21" i="24"/>
  <c r="AB20" i="24"/>
  <c r="M20" i="24"/>
  <c r="P20" i="24" s="1"/>
  <c r="Q20" i="24" s="1"/>
  <c r="D20" i="24"/>
  <c r="C20" i="24"/>
  <c r="AB19" i="24"/>
  <c r="AE19" i="24" s="1"/>
  <c r="L19" i="24"/>
  <c r="M19" i="24" s="1"/>
  <c r="D19" i="24"/>
  <c r="C19" i="24"/>
  <c r="AD18" i="24"/>
  <c r="AC18" i="24"/>
  <c r="AA18" i="24"/>
  <c r="Z18" i="24"/>
  <c r="Y18" i="24"/>
  <c r="X18" i="24"/>
  <c r="W18" i="24"/>
  <c r="V18" i="24"/>
  <c r="U18" i="24"/>
  <c r="O18" i="24"/>
  <c r="N18" i="24"/>
  <c r="K18" i="24"/>
  <c r="J18" i="24"/>
  <c r="I18" i="24"/>
  <c r="H18" i="24"/>
  <c r="G18" i="24"/>
  <c r="F18" i="24"/>
  <c r="E18" i="24"/>
  <c r="C18" i="24"/>
  <c r="AG17" i="24"/>
  <c r="AF17" i="24"/>
  <c r="AE17" i="24"/>
  <c r="AD17" i="24"/>
  <c r="AC17" i="24"/>
  <c r="AA17" i="24"/>
  <c r="Z17" i="24"/>
  <c r="Y17" i="24"/>
  <c r="X17" i="24"/>
  <c r="W17" i="24"/>
  <c r="V17" i="24"/>
  <c r="U17" i="24"/>
  <c r="O17" i="24"/>
  <c r="N17" i="24"/>
  <c r="L17" i="24"/>
  <c r="K17" i="24"/>
  <c r="J17" i="24"/>
  <c r="I17" i="24"/>
  <c r="H17" i="24"/>
  <c r="G17" i="24"/>
  <c r="F17" i="24"/>
  <c r="E17" i="24"/>
  <c r="AD16" i="24"/>
  <c r="AC16" i="24"/>
  <c r="AA16" i="24"/>
  <c r="Z16" i="24"/>
  <c r="Y16" i="24"/>
  <c r="X16" i="24"/>
  <c r="W16" i="24"/>
  <c r="V16" i="24"/>
  <c r="U16" i="24"/>
  <c r="O16" i="24"/>
  <c r="N16" i="24"/>
  <c r="K16" i="24"/>
  <c r="J16" i="24"/>
  <c r="I16" i="24"/>
  <c r="H16" i="24"/>
  <c r="G16" i="24"/>
  <c r="E16" i="24"/>
  <c r="AD15" i="24"/>
  <c r="AC15" i="24"/>
  <c r="AA15" i="24"/>
  <c r="Z15" i="24"/>
  <c r="Y15" i="24"/>
  <c r="X15" i="24"/>
  <c r="W15" i="24"/>
  <c r="V15" i="24"/>
  <c r="U15" i="24"/>
  <c r="O15" i="24"/>
  <c r="N15" i="24"/>
  <c r="L15" i="24"/>
  <c r="K15" i="24"/>
  <c r="J15" i="24"/>
  <c r="I15" i="24"/>
  <c r="H15" i="24"/>
  <c r="G15" i="24"/>
  <c r="F15" i="24"/>
  <c r="E15" i="24"/>
  <c r="AD14" i="24"/>
  <c r="AC14" i="24"/>
  <c r="AA14" i="24"/>
  <c r="Z14" i="24"/>
  <c r="Y14" i="24"/>
  <c r="X14" i="24"/>
  <c r="W14" i="24"/>
  <c r="V14" i="24"/>
  <c r="U14" i="24"/>
  <c r="O14" i="24"/>
  <c r="N14" i="24"/>
  <c r="K14" i="24"/>
  <c r="J14" i="24"/>
  <c r="I14" i="24"/>
  <c r="H14" i="24"/>
  <c r="G14" i="24"/>
  <c r="E14" i="24"/>
  <c r="E5" i="11" l="1"/>
  <c r="Q5" i="10"/>
  <c r="H5" i="11"/>
  <c r="H4" i="11" s="1"/>
  <c r="Q8" i="10"/>
  <c r="P8" i="10" s="1"/>
  <c r="D8" i="10" s="1"/>
  <c r="AH8" i="10" s="1"/>
  <c r="D108" i="24"/>
  <c r="Q5" i="13"/>
  <c r="P6" i="13"/>
  <c r="D12" i="10"/>
  <c r="AH12" i="10" s="1"/>
  <c r="H3" i="11"/>
  <c r="L106" i="11"/>
  <c r="N13" i="24"/>
  <c r="D22" i="24"/>
  <c r="F16" i="24"/>
  <c r="D18" i="24"/>
  <c r="L34" i="24"/>
  <c r="D80" i="24"/>
  <c r="F14" i="24"/>
  <c r="AC13" i="24"/>
  <c r="L18" i="24"/>
  <c r="F32" i="24"/>
  <c r="D32" i="24" s="1"/>
  <c r="D63" i="24"/>
  <c r="D72" i="24"/>
  <c r="D95" i="24"/>
  <c r="S4" i="11"/>
  <c r="Q19" i="10" s="1"/>
  <c r="P19" i="10" s="1"/>
  <c r="D19" i="10" s="1"/>
  <c r="AH19" i="10" s="1"/>
  <c r="H106" i="11"/>
  <c r="V23" i="11"/>
  <c r="N5" i="11"/>
  <c r="N106" i="11" s="1"/>
  <c r="I106" i="11"/>
  <c r="P76" i="24"/>
  <c r="P75" i="24" s="1"/>
  <c r="M75" i="24"/>
  <c r="L75" i="24"/>
  <c r="L98" i="24"/>
  <c r="D92" i="24"/>
  <c r="L101" i="24"/>
  <c r="D86" i="24"/>
  <c r="F5" i="11"/>
  <c r="J106" i="11"/>
  <c r="K13" i="24"/>
  <c r="AB44" i="24"/>
  <c r="J13" i="24"/>
  <c r="O13" i="24"/>
  <c r="I13" i="24"/>
  <c r="AB92" i="24"/>
  <c r="E13" i="24"/>
  <c r="AE93" i="24"/>
  <c r="AF93" i="24" s="1"/>
  <c r="AH93" i="24" s="1"/>
  <c r="H13" i="24"/>
  <c r="D41" i="24"/>
  <c r="L95" i="24"/>
  <c r="D101" i="24"/>
  <c r="D66" i="24"/>
  <c r="M102" i="24"/>
  <c r="AL102" i="24" s="1"/>
  <c r="M15" i="24"/>
  <c r="AB89" i="24"/>
  <c r="D107" i="24"/>
  <c r="AB107" i="24"/>
  <c r="M105" i="24"/>
  <c r="AL105" i="24" s="1"/>
  <c r="D109" i="24"/>
  <c r="AB22" i="24"/>
  <c r="D98" i="24"/>
  <c r="AF45" i="24"/>
  <c r="AG45" i="24" s="1"/>
  <c r="AG44" i="24" s="1"/>
  <c r="AE44" i="24"/>
  <c r="L60" i="24"/>
  <c r="L80" i="24"/>
  <c r="L89" i="24"/>
  <c r="L109" i="24"/>
  <c r="L111" i="24"/>
  <c r="M87" i="24"/>
  <c r="M86" i="24" s="1"/>
  <c r="AH88" i="24"/>
  <c r="AE77" i="24"/>
  <c r="D60" i="24"/>
  <c r="M97" i="24"/>
  <c r="P97" i="24" s="1"/>
  <c r="Q97" i="24" s="1"/>
  <c r="R97" i="24" s="1"/>
  <c r="M39" i="24"/>
  <c r="AL39" i="24" s="1"/>
  <c r="L52" i="24"/>
  <c r="L55" i="24"/>
  <c r="AB75" i="24"/>
  <c r="M80" i="24"/>
  <c r="X13" i="24"/>
  <c r="D26" i="24"/>
  <c r="M51" i="24"/>
  <c r="M50" i="24" s="1"/>
  <c r="M53" i="24"/>
  <c r="AL53" i="24" s="1"/>
  <c r="L66" i="24"/>
  <c r="AG24" i="24"/>
  <c r="AB29" i="24"/>
  <c r="M45" i="24"/>
  <c r="P45" i="24" s="1"/>
  <c r="F55" i="24"/>
  <c r="D55" i="24" s="1"/>
  <c r="L63" i="24"/>
  <c r="M108" i="24"/>
  <c r="P108" i="24" s="1"/>
  <c r="AF73" i="24"/>
  <c r="AI73" i="24" s="1"/>
  <c r="Q103" i="24"/>
  <c r="R103" i="24" s="1"/>
  <c r="AE64" i="24"/>
  <c r="AE63" i="24" s="1"/>
  <c r="AB63" i="24"/>
  <c r="P82" i="24"/>
  <c r="Q82" i="24" s="1"/>
  <c r="S82" i="24" s="1"/>
  <c r="AE82" i="24"/>
  <c r="AE80" i="24" s="1"/>
  <c r="AB80" i="24"/>
  <c r="P37" i="24"/>
  <c r="Q37" i="24" s="1"/>
  <c r="Q25" i="24"/>
  <c r="R25" i="24" s="1"/>
  <c r="M34" i="24"/>
  <c r="S54" i="24"/>
  <c r="AB57" i="24"/>
  <c r="P65" i="24"/>
  <c r="Q65" i="24" s="1"/>
  <c r="M63" i="24"/>
  <c r="W6" i="11"/>
  <c r="K6" i="11" s="1"/>
  <c r="AB77" i="24"/>
  <c r="Y13" i="24"/>
  <c r="Q31" i="24"/>
  <c r="R31" i="24" s="1"/>
  <c r="AE51" i="24"/>
  <c r="AE50" i="24" s="1"/>
  <c r="AB52" i="24"/>
  <c r="AE53" i="24"/>
  <c r="AE52" i="24" s="1"/>
  <c r="D77" i="24"/>
  <c r="D104" i="24"/>
  <c r="AF99" i="24"/>
  <c r="AG99" i="24" s="1"/>
  <c r="AE112" i="24"/>
  <c r="AB111" i="24"/>
  <c r="AE23" i="24"/>
  <c r="AF23" i="24" s="1"/>
  <c r="AI23" i="24" s="1"/>
  <c r="AE33" i="24"/>
  <c r="AF76" i="24"/>
  <c r="AF75" i="24" s="1"/>
  <c r="AI75" i="24" s="1"/>
  <c r="AE75" i="24"/>
  <c r="R54" i="24"/>
  <c r="AF78" i="24"/>
  <c r="AI78" i="24" s="1"/>
  <c r="AE47" i="24"/>
  <c r="U13" i="24"/>
  <c r="G13" i="24"/>
  <c r="V13" i="24"/>
  <c r="Z13" i="24"/>
  <c r="AA13" i="24"/>
  <c r="AB41" i="24"/>
  <c r="D46" i="24"/>
  <c r="AG88" i="24"/>
  <c r="R99" i="24"/>
  <c r="D15" i="24"/>
  <c r="AB16" i="24"/>
  <c r="AE30" i="24"/>
  <c r="AE29" i="24" s="1"/>
  <c r="AF36" i="24"/>
  <c r="AG36" i="24" s="1"/>
  <c r="R85" i="24"/>
  <c r="D89" i="24"/>
  <c r="AE90" i="24"/>
  <c r="AF90" i="24" s="1"/>
  <c r="AI90" i="24" s="1"/>
  <c r="AB101" i="24"/>
  <c r="F6" i="11"/>
  <c r="M60" i="24"/>
  <c r="M92" i="24"/>
  <c r="Q64" i="24"/>
  <c r="S64" i="24" s="1"/>
  <c r="S85" i="24"/>
  <c r="BU6" i="11"/>
  <c r="W13" i="24"/>
  <c r="D38" i="24"/>
  <c r="AB38" i="24"/>
  <c r="D111" i="24"/>
  <c r="AE20" i="24"/>
  <c r="AE18" i="24" s="1"/>
  <c r="AB18" i="24"/>
  <c r="AB15" i="24"/>
  <c r="AI21" i="24"/>
  <c r="AH21" i="24"/>
  <c r="AG21" i="24"/>
  <c r="AF40" i="24"/>
  <c r="AG40" i="24" s="1"/>
  <c r="AI68" i="24"/>
  <c r="AH68" i="24"/>
  <c r="Q71" i="24"/>
  <c r="P21" i="24"/>
  <c r="Q24" i="24"/>
  <c r="Q15" i="24" s="1"/>
  <c r="T15" i="24" s="1"/>
  <c r="AF54" i="24"/>
  <c r="AG54" i="24" s="1"/>
  <c r="Q59" i="24"/>
  <c r="AF62" i="24"/>
  <c r="AG62" i="24" s="1"/>
  <c r="AF19" i="24"/>
  <c r="AG19" i="24" s="1"/>
  <c r="AF25" i="24"/>
  <c r="AG25" i="24" s="1"/>
  <c r="AF28" i="24"/>
  <c r="AE26" i="24"/>
  <c r="Q36" i="24"/>
  <c r="AI39" i="24"/>
  <c r="AH39" i="24"/>
  <c r="AG39" i="24"/>
  <c r="AF43" i="24"/>
  <c r="L57" i="24"/>
  <c r="M58" i="24"/>
  <c r="AE67" i="24"/>
  <c r="AB66" i="24"/>
  <c r="D70" i="24"/>
  <c r="D14" i="24" s="1"/>
  <c r="F69" i="24"/>
  <c r="D69" i="24" s="1"/>
  <c r="Q74" i="24"/>
  <c r="R74" i="24" s="1"/>
  <c r="AE100" i="24"/>
  <c r="AB98" i="24"/>
  <c r="AD13" i="24"/>
  <c r="L14" i="24"/>
  <c r="P15" i="24"/>
  <c r="AI24" i="24"/>
  <c r="AH24" i="24"/>
  <c r="M27" i="24"/>
  <c r="L26" i="24"/>
  <c r="AI27" i="24"/>
  <c r="AG27" i="24"/>
  <c r="AH27" i="24"/>
  <c r="L29" i="24"/>
  <c r="M30" i="24"/>
  <c r="AF31" i="24"/>
  <c r="M33" i="24"/>
  <c r="L32" i="24"/>
  <c r="Q35" i="24"/>
  <c r="R35" i="24" s="1"/>
  <c r="AE38" i="24"/>
  <c r="S40" i="24"/>
  <c r="T40" i="24"/>
  <c r="R40" i="24"/>
  <c r="M42" i="24"/>
  <c r="L41" i="24"/>
  <c r="P56" i="24"/>
  <c r="M55" i="24"/>
  <c r="AF65" i="24"/>
  <c r="P66" i="24"/>
  <c r="Q67" i="24"/>
  <c r="R67" i="24" s="1"/>
  <c r="Q68" i="24"/>
  <c r="R68" i="24" s="1"/>
  <c r="AI71" i="24"/>
  <c r="AH71" i="24"/>
  <c r="AE74" i="24"/>
  <c r="AB72" i="24"/>
  <c r="T79" i="24"/>
  <c r="S79" i="24"/>
  <c r="T106" i="24"/>
  <c r="S106" i="24"/>
  <c r="T90" i="24"/>
  <c r="S90" i="24"/>
  <c r="R90" i="24"/>
  <c r="Q96" i="24"/>
  <c r="AL19" i="24"/>
  <c r="M18" i="24"/>
  <c r="T20" i="24"/>
  <c r="S20" i="24"/>
  <c r="R20" i="24"/>
  <c r="D16" i="24"/>
  <c r="L22" i="24"/>
  <c r="M23" i="24"/>
  <c r="Q28" i="24"/>
  <c r="R28" i="24" s="1"/>
  <c r="AE41" i="24"/>
  <c r="AF42" i="24"/>
  <c r="AG42" i="24" s="1"/>
  <c r="Q43" i="24"/>
  <c r="R43" i="24" s="1"/>
  <c r="AB55" i="24"/>
  <c r="AE56" i="24"/>
  <c r="AL61" i="24"/>
  <c r="Q62" i="24"/>
  <c r="R62" i="24" s="1"/>
  <c r="AB69" i="24"/>
  <c r="AE70" i="24"/>
  <c r="AH85" i="24"/>
  <c r="AI85" i="24"/>
  <c r="AG85" i="24"/>
  <c r="M101" i="24"/>
  <c r="AH103" i="24"/>
  <c r="AI103" i="24"/>
  <c r="AE110" i="24"/>
  <c r="AB109" i="24"/>
  <c r="AB48" i="24"/>
  <c r="AE49" i="24"/>
  <c r="AH58" i="24"/>
  <c r="AI79" i="24"/>
  <c r="AH79" i="24"/>
  <c r="AE87" i="24"/>
  <c r="AB86" i="24"/>
  <c r="AB14" i="24"/>
  <c r="L16" i="24"/>
  <c r="AB26" i="24"/>
  <c r="L46" i="24"/>
  <c r="M47" i="24"/>
  <c r="M49" i="24"/>
  <c r="D50" i="24"/>
  <c r="AG58" i="24"/>
  <c r="AF59" i="24"/>
  <c r="AF57" i="24" s="1"/>
  <c r="AI57" i="24" s="1"/>
  <c r="M73" i="24"/>
  <c r="AG79" i="24"/>
  <c r="AE84" i="24"/>
  <c r="AB83" i="24"/>
  <c r="AF91" i="24"/>
  <c r="AG91" i="24" s="1"/>
  <c r="AL93" i="24"/>
  <c r="AH94" i="24"/>
  <c r="AG94" i="24"/>
  <c r="AI94" i="24"/>
  <c r="AI96" i="24"/>
  <c r="AH96" i="24"/>
  <c r="AE97" i="24"/>
  <c r="AB95" i="24"/>
  <c r="AE105" i="24"/>
  <c r="AB104" i="24"/>
  <c r="M109" i="24"/>
  <c r="AN110" i="24"/>
  <c r="M111" i="24"/>
  <c r="AN112" i="24"/>
  <c r="AE35" i="24"/>
  <c r="AB34" i="24"/>
  <c r="AE61" i="24"/>
  <c r="AB60" i="24"/>
  <c r="M66" i="24"/>
  <c r="M70" i="24"/>
  <c r="L69" i="24"/>
  <c r="R79" i="24"/>
  <c r="Q81" i="24"/>
  <c r="R81" i="24" s="1"/>
  <c r="D29" i="24"/>
  <c r="D44" i="24"/>
  <c r="D48" i="24"/>
  <c r="AE57" i="24"/>
  <c r="AI58" i="24"/>
  <c r="AG68" i="24"/>
  <c r="AG71" i="24"/>
  <c r="Q76" i="24"/>
  <c r="M78" i="24"/>
  <c r="L77" i="24"/>
  <c r="AF81" i="24"/>
  <c r="P91" i="24"/>
  <c r="P89" i="24" s="1"/>
  <c r="M89" i="24"/>
  <c r="Q94" i="24"/>
  <c r="R94" i="24" s="1"/>
  <c r="S99" i="24"/>
  <c r="T99" i="24"/>
  <c r="AH102" i="24"/>
  <c r="AF101" i="24"/>
  <c r="AI101" i="24" s="1"/>
  <c r="AG102" i="24"/>
  <c r="AI102" i="24"/>
  <c r="R106" i="24"/>
  <c r="AI106" i="24"/>
  <c r="AH106" i="24"/>
  <c r="AF108" i="24"/>
  <c r="AE107" i="24"/>
  <c r="D52" i="24"/>
  <c r="D57" i="24"/>
  <c r="M84" i="24"/>
  <c r="L83" i="24"/>
  <c r="Q88" i="24"/>
  <c r="R88" i="24" s="1"/>
  <c r="AG93" i="24"/>
  <c r="P100" i="24"/>
  <c r="M98" i="24"/>
  <c r="AG103" i="24"/>
  <c r="AE101" i="24"/>
  <c r="D83" i="24"/>
  <c r="L92" i="24"/>
  <c r="P11" i="10" l="1"/>
  <c r="D11" i="10" s="1"/>
  <c r="AH11" i="10" s="1"/>
  <c r="Q4" i="13"/>
  <c r="P5" i="13"/>
  <c r="Q4" i="10"/>
  <c r="Q76" i="10" s="1"/>
  <c r="P5" i="10"/>
  <c r="E7" i="73"/>
  <c r="E10" i="73"/>
  <c r="K23" i="11"/>
  <c r="K18" i="11" s="1"/>
  <c r="C18" i="11" s="1"/>
  <c r="CA18" i="11" s="1"/>
  <c r="F13" i="24"/>
  <c r="F4" i="11"/>
  <c r="F3" i="11" s="1"/>
  <c r="M104" i="24"/>
  <c r="M44" i="24"/>
  <c r="S106" i="11"/>
  <c r="V106" i="11"/>
  <c r="T82" i="24"/>
  <c r="R82" i="24"/>
  <c r="R80" i="24" s="1"/>
  <c r="AH90" i="24"/>
  <c r="AH99" i="24"/>
  <c r="P80" i="24"/>
  <c r="AF51" i="24"/>
  <c r="AG51" i="24" s="1"/>
  <c r="AG50" i="24" s="1"/>
  <c r="AH45" i="24"/>
  <c r="AH44" i="24" s="1"/>
  <c r="P51" i="24"/>
  <c r="Q51" i="24" s="1"/>
  <c r="R51" i="24" s="1"/>
  <c r="R50" i="24" s="1"/>
  <c r="AI93" i="24"/>
  <c r="AG23" i="24"/>
  <c r="AG22" i="24" s="1"/>
  <c r="AF92" i="24"/>
  <c r="AI92" i="24" s="1"/>
  <c r="AH23" i="24"/>
  <c r="T25" i="24"/>
  <c r="M52" i="24"/>
  <c r="S25" i="24"/>
  <c r="AF38" i="24"/>
  <c r="AI38" i="24" s="1"/>
  <c r="AG73" i="24"/>
  <c r="AE92" i="24"/>
  <c r="AF44" i="24"/>
  <c r="AE22" i="24"/>
  <c r="F106" i="11"/>
  <c r="AH73" i="24"/>
  <c r="M107" i="24"/>
  <c r="AG90" i="24"/>
  <c r="AG89" i="24" s="1"/>
  <c r="D13" i="24"/>
  <c r="AE89" i="24"/>
  <c r="P63" i="24"/>
  <c r="AF53" i="24"/>
  <c r="AG53" i="24" s="1"/>
  <c r="AG52" i="24" s="1"/>
  <c r="AF82" i="24"/>
  <c r="AG82" i="24" s="1"/>
  <c r="AB13" i="24"/>
  <c r="R64" i="24"/>
  <c r="AF64" i="24"/>
  <c r="AF63" i="24" s="1"/>
  <c r="AI63" i="24" s="1"/>
  <c r="AI76" i="24"/>
  <c r="AG59" i="24"/>
  <c r="AG57" i="24" s="1"/>
  <c r="AL87" i="24"/>
  <c r="P86" i="24" s="1"/>
  <c r="P95" i="24"/>
  <c r="P34" i="24"/>
  <c r="M38" i="24"/>
  <c r="M95" i="24"/>
  <c r="AG101" i="24"/>
  <c r="AH76" i="24"/>
  <c r="AH75" i="24" s="1"/>
  <c r="AF77" i="24"/>
  <c r="AI77" i="24" s="1"/>
  <c r="AG78" i="24"/>
  <c r="AG77" i="24" s="1"/>
  <c r="S31" i="24"/>
  <c r="AQ5" i="11"/>
  <c r="R24" i="24"/>
  <c r="R15" i="24" s="1"/>
  <c r="T5" i="11"/>
  <c r="T106" i="11" s="1"/>
  <c r="BU5" i="11"/>
  <c r="BU4" i="11" s="1"/>
  <c r="AG7" i="73" s="1"/>
  <c r="AF30" i="24"/>
  <c r="AG30" i="24" s="1"/>
  <c r="T103" i="24"/>
  <c r="S103" i="24"/>
  <c r="AU106" i="11"/>
  <c r="T31" i="24"/>
  <c r="M16" i="24"/>
  <c r="M14" i="24"/>
  <c r="P8" i="24"/>
  <c r="F8" i="13" s="1"/>
  <c r="E8" i="13" s="1"/>
  <c r="D8" i="13" s="1"/>
  <c r="AM8" i="13" s="1"/>
  <c r="P7" i="24"/>
  <c r="F7" i="13" s="1"/>
  <c r="E7" i="13" s="1"/>
  <c r="D7" i="13" s="1"/>
  <c r="AM7" i="13" s="1"/>
  <c r="E6" i="11"/>
  <c r="AI99" i="24"/>
  <c r="AH101" i="24"/>
  <c r="AH78" i="24"/>
  <c r="AH77" i="24" s="1"/>
  <c r="T64" i="24"/>
  <c r="AE32" i="24"/>
  <c r="AF33" i="24"/>
  <c r="AG33" i="24" s="1"/>
  <c r="AG32" i="24" s="1"/>
  <c r="AF112" i="24"/>
  <c r="AG112" i="24" s="1"/>
  <c r="AG111" i="24" s="1"/>
  <c r="AE111" i="24"/>
  <c r="AE46" i="24"/>
  <c r="AF47" i="24"/>
  <c r="AI36" i="24"/>
  <c r="AH36" i="24"/>
  <c r="W5" i="11"/>
  <c r="W106" i="11" s="1"/>
  <c r="AG76" i="24"/>
  <c r="AG75" i="24" s="1"/>
  <c r="S65" i="24"/>
  <c r="S63" i="24" s="1"/>
  <c r="T65" i="24"/>
  <c r="Q63" i="24"/>
  <c r="T63" i="24" s="1"/>
  <c r="Q53" i="24"/>
  <c r="P52" i="24"/>
  <c r="S88" i="24"/>
  <c r="T88" i="24"/>
  <c r="AH108" i="24"/>
  <c r="AH107" i="24" s="1"/>
  <c r="AI108" i="24"/>
  <c r="AF107" i="24"/>
  <c r="AI107" i="24" s="1"/>
  <c r="AG108" i="24"/>
  <c r="AG107" i="24" s="1"/>
  <c r="P38" i="24"/>
  <c r="Q39" i="24"/>
  <c r="R39" i="24" s="1"/>
  <c r="R38" i="24" s="1"/>
  <c r="M69" i="24"/>
  <c r="AL70" i="24"/>
  <c r="AH91" i="24"/>
  <c r="AI91" i="24"/>
  <c r="AH59" i="24"/>
  <c r="AH57" i="24" s="1"/>
  <c r="AI59" i="24"/>
  <c r="AH92" i="24"/>
  <c r="AE48" i="24"/>
  <c r="AF49" i="24"/>
  <c r="AF56" i="24"/>
  <c r="AE55" i="24"/>
  <c r="T37" i="24"/>
  <c r="S37" i="24"/>
  <c r="S17" i="24" s="1"/>
  <c r="Q17" i="24"/>
  <c r="T17" i="24" s="1"/>
  <c r="T67" i="24"/>
  <c r="Q66" i="24"/>
  <c r="T66" i="24" s="1"/>
  <c r="S67" i="24"/>
  <c r="AH65" i="24"/>
  <c r="AI65" i="24"/>
  <c r="P55" i="24"/>
  <c r="Q56" i="24"/>
  <c r="M32" i="24"/>
  <c r="AL33" i="24"/>
  <c r="AY30" i="24"/>
  <c r="M29" i="24"/>
  <c r="M26" i="24"/>
  <c r="BB27" i="24"/>
  <c r="AF100" i="24"/>
  <c r="AE98" i="24"/>
  <c r="AI43" i="24"/>
  <c r="AH43" i="24"/>
  <c r="AE16" i="24"/>
  <c r="AI19" i="24"/>
  <c r="AH19" i="24"/>
  <c r="T59" i="24"/>
  <c r="S59" i="24"/>
  <c r="Q45" i="24"/>
  <c r="P44" i="24"/>
  <c r="T71" i="24"/>
  <c r="S71" i="24"/>
  <c r="S76" i="24"/>
  <c r="S75" i="24" s="1"/>
  <c r="T76" i="24"/>
  <c r="Q75" i="24"/>
  <c r="T75" i="24" s="1"/>
  <c r="R76" i="24"/>
  <c r="R75" i="24" s="1"/>
  <c r="AE86" i="24"/>
  <c r="AF87" i="24"/>
  <c r="Q100" i="24"/>
  <c r="P98" i="24"/>
  <c r="T94" i="24"/>
  <c r="S94" i="24"/>
  <c r="S81" i="24"/>
  <c r="S80" i="24" s="1"/>
  <c r="Q80" i="24"/>
  <c r="T80" i="24" s="1"/>
  <c r="T81" i="24"/>
  <c r="Q110" i="24"/>
  <c r="P109" i="24"/>
  <c r="AN12" i="24"/>
  <c r="AF105" i="24"/>
  <c r="AG105" i="24" s="1"/>
  <c r="AG104" i="24" s="1"/>
  <c r="AE104" i="24"/>
  <c r="Q108" i="24"/>
  <c r="P107" i="24"/>
  <c r="Q102" i="24"/>
  <c r="P101" i="24"/>
  <c r="AF70" i="24"/>
  <c r="AG70" i="24" s="1"/>
  <c r="AG69" i="24" s="1"/>
  <c r="AE69" i="24"/>
  <c r="T62" i="24"/>
  <c r="S62" i="24"/>
  <c r="T43" i="24"/>
  <c r="S43" i="24"/>
  <c r="S28" i="24"/>
  <c r="T28" i="24"/>
  <c r="AF22" i="24"/>
  <c r="AI22" i="24" s="1"/>
  <c r="Q95" i="24"/>
  <c r="T95" i="24" s="1"/>
  <c r="T96" i="24"/>
  <c r="S96" i="24"/>
  <c r="AF74" i="24"/>
  <c r="AG74" i="24" s="1"/>
  <c r="AE72" i="24"/>
  <c r="M41" i="24"/>
  <c r="AL42" i="24"/>
  <c r="AH31" i="24"/>
  <c r="AI31" i="24"/>
  <c r="L13" i="24"/>
  <c r="S97" i="24"/>
  <c r="T97" i="24"/>
  <c r="AE66" i="24"/>
  <c r="AF67" i="24"/>
  <c r="AG43" i="24"/>
  <c r="AG41" i="24" s="1"/>
  <c r="AH54" i="24"/>
  <c r="AI54" i="24"/>
  <c r="S24" i="24"/>
  <c r="S15" i="24" s="1"/>
  <c r="T24" i="24"/>
  <c r="AI40" i="24"/>
  <c r="AH40" i="24"/>
  <c r="AH38" i="24" s="1"/>
  <c r="AF20" i="24"/>
  <c r="AE15" i="24"/>
  <c r="AE34" i="24"/>
  <c r="AF35" i="24"/>
  <c r="M72" i="24"/>
  <c r="AL73" i="24"/>
  <c r="P49" i="24"/>
  <c r="M48" i="24"/>
  <c r="Q19" i="24"/>
  <c r="P18" i="24"/>
  <c r="R66" i="24"/>
  <c r="M57" i="24"/>
  <c r="AL58" i="24"/>
  <c r="T36" i="24"/>
  <c r="S36" i="24"/>
  <c r="AI28" i="24"/>
  <c r="AH28" i="24"/>
  <c r="AH26" i="24" s="1"/>
  <c r="AH25" i="24"/>
  <c r="AI25" i="24"/>
  <c r="Q105" i="24"/>
  <c r="R105" i="24" s="1"/>
  <c r="R104" i="24" s="1"/>
  <c r="P104" i="24"/>
  <c r="AI62" i="24"/>
  <c r="AH62" i="24"/>
  <c r="AG92" i="24"/>
  <c r="AL84" i="24"/>
  <c r="M83" i="24"/>
  <c r="Q91" i="24"/>
  <c r="AH81" i="24"/>
  <c r="AI81" i="24"/>
  <c r="AG81" i="24"/>
  <c r="M77" i="24"/>
  <c r="AL78" i="24"/>
  <c r="AF61" i="24"/>
  <c r="AG61" i="24" s="1"/>
  <c r="AG60" i="24" s="1"/>
  <c r="AE60" i="24"/>
  <c r="Q112" i="24"/>
  <c r="R112" i="24" s="1"/>
  <c r="R111" i="24" s="1"/>
  <c r="P111" i="24"/>
  <c r="AF97" i="24"/>
  <c r="AG97" i="24" s="1"/>
  <c r="AG95" i="24" s="1"/>
  <c r="AE95" i="24"/>
  <c r="Q93" i="24"/>
  <c r="P92" i="24"/>
  <c r="AE83" i="24"/>
  <c r="AF84" i="24"/>
  <c r="P47" i="24"/>
  <c r="M46" i="24"/>
  <c r="AF110" i="24"/>
  <c r="AG110" i="24" s="1"/>
  <c r="AG109" i="24" s="1"/>
  <c r="AE109" i="24"/>
  <c r="AF89" i="24"/>
  <c r="AI89" i="24" s="1"/>
  <c r="Q61" i="24"/>
  <c r="R61" i="24" s="1"/>
  <c r="R60" i="24" s="1"/>
  <c r="P60" i="24"/>
  <c r="P50" i="24"/>
  <c r="AH42" i="24"/>
  <c r="AF41" i="24"/>
  <c r="AI41" i="24" s="1"/>
  <c r="AI42" i="24"/>
  <c r="M22" i="24"/>
  <c r="AL23" i="24"/>
  <c r="R96" i="24"/>
  <c r="R95" i="24" s="1"/>
  <c r="R37" i="24"/>
  <c r="R17" i="24" s="1"/>
  <c r="R65" i="24"/>
  <c r="T68" i="24"/>
  <c r="S68" i="24"/>
  <c r="AG65" i="24"/>
  <c r="S35" i="24"/>
  <c r="Q34" i="24"/>
  <c r="T34" i="24" s="1"/>
  <c r="T35" i="24"/>
  <c r="AG31" i="24"/>
  <c r="AF26" i="24"/>
  <c r="AI26" i="24" s="1"/>
  <c r="T74" i="24"/>
  <c r="S74" i="24"/>
  <c r="AG38" i="24"/>
  <c r="R36" i="24"/>
  <c r="AG28" i="24"/>
  <c r="AG26" i="24" s="1"/>
  <c r="AE14" i="24"/>
  <c r="R59" i="24"/>
  <c r="Q21" i="24"/>
  <c r="R21" i="24" s="1"/>
  <c r="R71" i="24"/>
  <c r="AE7" i="73" l="1"/>
  <c r="AE6" i="73" s="1"/>
  <c r="AG6" i="73"/>
  <c r="AG4" i="73"/>
  <c r="E6" i="73"/>
  <c r="E4" i="73"/>
  <c r="Q100" i="13"/>
  <c r="P4" i="13"/>
  <c r="P100" i="13" s="1"/>
  <c r="E9" i="73"/>
  <c r="C10" i="73"/>
  <c r="P4" i="10"/>
  <c r="D5" i="10"/>
  <c r="AH5" i="10" s="1"/>
  <c r="D6" i="11"/>
  <c r="CA6" i="11" s="1"/>
  <c r="E4" i="11"/>
  <c r="AQ4" i="11"/>
  <c r="AM4" i="11" s="1"/>
  <c r="O7" i="73" s="1"/>
  <c r="AM5" i="11"/>
  <c r="CA23" i="11"/>
  <c r="AH89" i="24"/>
  <c r="AH51" i="24"/>
  <c r="AH50" i="24" s="1"/>
  <c r="AI51" i="24"/>
  <c r="AH64" i="24"/>
  <c r="AF50" i="24"/>
  <c r="AI50" i="24" s="1"/>
  <c r="R63" i="24"/>
  <c r="AG72" i="24"/>
  <c r="AF80" i="24"/>
  <c r="AI80" i="24" s="1"/>
  <c r="AG64" i="24"/>
  <c r="AG63" i="24" s="1"/>
  <c r="AI64" i="24"/>
  <c r="M13" i="24"/>
  <c r="AI82" i="24"/>
  <c r="AH53" i="24"/>
  <c r="AH52" i="24" s="1"/>
  <c r="AH82" i="24"/>
  <c r="AH80" i="24" s="1"/>
  <c r="AI53" i="24"/>
  <c r="P16" i="24"/>
  <c r="AF52" i="24"/>
  <c r="AI52" i="24" s="1"/>
  <c r="R34" i="24"/>
  <c r="S34" i="24"/>
  <c r="Q87" i="24"/>
  <c r="T87" i="24" s="1"/>
  <c r="S66" i="24"/>
  <c r="G5" i="11"/>
  <c r="AF111" i="24"/>
  <c r="AH112" i="24"/>
  <c r="AH111" i="24" s="1"/>
  <c r="AI30" i="24"/>
  <c r="AF29" i="24"/>
  <c r="AI29" i="24" s="1"/>
  <c r="AH30" i="24"/>
  <c r="AH29" i="24" s="1"/>
  <c r="AI47" i="24"/>
  <c r="AH47" i="24"/>
  <c r="AH46" i="24" s="1"/>
  <c r="AF46" i="24"/>
  <c r="AI46" i="24" s="1"/>
  <c r="AH41" i="24"/>
  <c r="AG29" i="24"/>
  <c r="AH33" i="24"/>
  <c r="AH32" i="24" s="1"/>
  <c r="AI33" i="24"/>
  <c r="AF32" i="24"/>
  <c r="AI32" i="24" s="1"/>
  <c r="AG47" i="24"/>
  <c r="AG46" i="24" s="1"/>
  <c r="AI67" i="24"/>
  <c r="AH67" i="24"/>
  <c r="AH66" i="24" s="1"/>
  <c r="AF66" i="24"/>
  <c r="AI66" i="24" s="1"/>
  <c r="Q109" i="24"/>
  <c r="T109" i="24" s="1"/>
  <c r="S110" i="24"/>
  <c r="S109" i="24" s="1"/>
  <c r="T110" i="24"/>
  <c r="AI87" i="24"/>
  <c r="AF86" i="24"/>
  <c r="AI86" i="24" s="1"/>
  <c r="AH87" i="24"/>
  <c r="AH86" i="24" s="1"/>
  <c r="S45" i="24"/>
  <c r="S44" i="24" s="1"/>
  <c r="Q44" i="24"/>
  <c r="T44" i="24" s="1"/>
  <c r="T45" i="24"/>
  <c r="BB12" i="24"/>
  <c r="Q27" i="24"/>
  <c r="P26" i="24"/>
  <c r="Q23" i="24"/>
  <c r="P22" i="24"/>
  <c r="AH84" i="24"/>
  <c r="AH83" i="24" s="1"/>
  <c r="AI84" i="24"/>
  <c r="AF83" i="24"/>
  <c r="AI83" i="24" s="1"/>
  <c r="T91" i="24"/>
  <c r="S91" i="24"/>
  <c r="S89" i="24" s="1"/>
  <c r="Q89" i="24"/>
  <c r="T89" i="24" s="1"/>
  <c r="Q104" i="24"/>
  <c r="T104" i="24" s="1"/>
  <c r="S105" i="24"/>
  <c r="S104" i="24" s="1"/>
  <c r="T105" i="24"/>
  <c r="Q58" i="24"/>
  <c r="P57" i="24"/>
  <c r="S19" i="24"/>
  <c r="Q18" i="24"/>
  <c r="T18" i="24" s="1"/>
  <c r="T19" i="24"/>
  <c r="S95" i="24"/>
  <c r="S108" i="24"/>
  <c r="S107" i="24" s="1"/>
  <c r="T108" i="24"/>
  <c r="Q107" i="24"/>
  <c r="T107" i="24" s="1"/>
  <c r="T100" i="24"/>
  <c r="S100" i="24"/>
  <c r="S98" i="24" s="1"/>
  <c r="Q98" i="24"/>
  <c r="T98" i="24" s="1"/>
  <c r="AF16" i="24"/>
  <c r="AI16" i="24" s="1"/>
  <c r="T56" i="24"/>
  <c r="Q55" i="24"/>
  <c r="T55" i="24" s="1"/>
  <c r="S56" i="24"/>
  <c r="S55" i="24" s="1"/>
  <c r="AH22" i="24"/>
  <c r="AF48" i="24"/>
  <c r="AI48" i="24" s="1"/>
  <c r="AH49" i="24"/>
  <c r="AH48" i="24" s="1"/>
  <c r="AI49" i="24"/>
  <c r="P69" i="24"/>
  <c r="Q70" i="24"/>
  <c r="R70" i="24" s="1"/>
  <c r="R69" i="24" s="1"/>
  <c r="T93" i="24"/>
  <c r="S93" i="24"/>
  <c r="S92" i="24" s="1"/>
  <c r="Q92" i="24"/>
  <c r="T92" i="24" s="1"/>
  <c r="P77" i="24"/>
  <c r="Q78" i="24"/>
  <c r="AL12" i="24"/>
  <c r="AI35" i="24"/>
  <c r="AF34" i="24"/>
  <c r="AI34" i="24" s="1"/>
  <c r="AH35" i="24"/>
  <c r="AH34" i="24" s="1"/>
  <c r="AF15" i="24"/>
  <c r="AI15" i="24" s="1"/>
  <c r="AI20" i="24"/>
  <c r="AH20" i="24"/>
  <c r="AH15" i="24" s="1"/>
  <c r="T102" i="24"/>
  <c r="Q101" i="24"/>
  <c r="T101" i="24" s="1"/>
  <c r="S102" i="24"/>
  <c r="S101" i="24" s="1"/>
  <c r="AF14" i="24"/>
  <c r="AH100" i="24"/>
  <c r="AH98" i="24" s="1"/>
  <c r="AI100" i="24"/>
  <c r="AF98" i="24"/>
  <c r="AI98" i="24" s="1"/>
  <c r="Q30" i="24"/>
  <c r="R30" i="24" s="1"/>
  <c r="R29" i="24" s="1"/>
  <c r="P29" i="24"/>
  <c r="AY12" i="24"/>
  <c r="T21" i="24"/>
  <c r="S21" i="24"/>
  <c r="AE13" i="24"/>
  <c r="T51" i="24"/>
  <c r="Q50" i="24"/>
  <c r="T50" i="24" s="1"/>
  <c r="S51" i="24"/>
  <c r="S50" i="24" s="1"/>
  <c r="Q60" i="24"/>
  <c r="T60" i="24" s="1"/>
  <c r="S61" i="24"/>
  <c r="S60" i="24" s="1"/>
  <c r="T61" i="24"/>
  <c r="AG84" i="24"/>
  <c r="AG83" i="24" s="1"/>
  <c r="Q84" i="24"/>
  <c r="R84" i="24" s="1"/>
  <c r="R83" i="24" s="1"/>
  <c r="P83" i="24"/>
  <c r="P14" i="24"/>
  <c r="P48" i="24"/>
  <c r="Q49" i="24"/>
  <c r="R49" i="24" s="1"/>
  <c r="R48" i="24" s="1"/>
  <c r="AG20" i="24"/>
  <c r="R108" i="24"/>
  <c r="R107" i="24" s="1"/>
  <c r="AI105" i="24"/>
  <c r="AH105" i="24"/>
  <c r="AH104" i="24" s="1"/>
  <c r="AF104" i="24"/>
  <c r="AI104" i="24" s="1"/>
  <c r="R110" i="24"/>
  <c r="R109" i="24" s="1"/>
  <c r="AG100" i="24"/>
  <c r="AG98" i="24" s="1"/>
  <c r="Q33" i="24"/>
  <c r="R33" i="24" s="1"/>
  <c r="R32" i="24" s="1"/>
  <c r="P32" i="24"/>
  <c r="R56" i="24"/>
  <c r="R55" i="24" s="1"/>
  <c r="AF55" i="24"/>
  <c r="AI55" i="24" s="1"/>
  <c r="AI56" i="24"/>
  <c r="AH56" i="24"/>
  <c r="AH55" i="24" s="1"/>
  <c r="AH63" i="24"/>
  <c r="AG49" i="24"/>
  <c r="AG48" i="24" s="1"/>
  <c r="Q38" i="24"/>
  <c r="T38" i="24" s="1"/>
  <c r="S39" i="24"/>
  <c r="S38" i="24" s="1"/>
  <c r="T39" i="24"/>
  <c r="AI61" i="24"/>
  <c r="AF60" i="24"/>
  <c r="AI60" i="24" s="1"/>
  <c r="AH61" i="24"/>
  <c r="AH60" i="24" s="1"/>
  <c r="AF69" i="24"/>
  <c r="AI69" i="24" s="1"/>
  <c r="AI70" i="24"/>
  <c r="AH70" i="24"/>
  <c r="AH69" i="24" s="1"/>
  <c r="S53" i="24"/>
  <c r="S52" i="24" s="1"/>
  <c r="T53" i="24"/>
  <c r="Q52" i="24"/>
  <c r="T52" i="24" s="1"/>
  <c r="AI110" i="24"/>
  <c r="AF109" i="24"/>
  <c r="AI109" i="24" s="1"/>
  <c r="AH110" i="24"/>
  <c r="AH109" i="24" s="1"/>
  <c r="P46" i="24"/>
  <c r="Q47" i="24"/>
  <c r="R93" i="24"/>
  <c r="R92" i="24" s="1"/>
  <c r="AI97" i="24"/>
  <c r="AH97" i="24"/>
  <c r="AH95" i="24" s="1"/>
  <c r="AF95" i="24"/>
  <c r="AI95" i="24" s="1"/>
  <c r="S112" i="24"/>
  <c r="S111" i="24" s="1"/>
  <c r="Q111" i="24"/>
  <c r="T111" i="24" s="1"/>
  <c r="T112" i="24"/>
  <c r="AG80" i="24"/>
  <c r="R91" i="24"/>
  <c r="R89" i="24" s="1"/>
  <c r="R19" i="24"/>
  <c r="Q73" i="24"/>
  <c r="R73" i="24" s="1"/>
  <c r="R72" i="24" s="1"/>
  <c r="P72" i="24"/>
  <c r="AG35" i="24"/>
  <c r="AG67" i="24"/>
  <c r="AG66" i="24" s="1"/>
  <c r="Q42" i="24"/>
  <c r="P41" i="24"/>
  <c r="AI74" i="24"/>
  <c r="AH74" i="24"/>
  <c r="AH72" i="24" s="1"/>
  <c r="AF72" i="24"/>
  <c r="AI72" i="24" s="1"/>
  <c r="R102" i="24"/>
  <c r="R101" i="24" s="1"/>
  <c r="R100" i="24"/>
  <c r="R98" i="24" s="1"/>
  <c r="AG87" i="24"/>
  <c r="AG86" i="24" s="1"/>
  <c r="R45" i="24"/>
  <c r="R44" i="24" s="1"/>
  <c r="AF18" i="24"/>
  <c r="AI18" i="24" s="1"/>
  <c r="AG56" i="24"/>
  <c r="AG55" i="24" s="1"/>
  <c r="R53" i="24"/>
  <c r="R52" i="24" s="1"/>
  <c r="O6" i="73" l="1"/>
  <c r="K7" i="73"/>
  <c r="K6" i="73" s="1"/>
  <c r="O4" i="73"/>
  <c r="C9" i="73"/>
  <c r="AK10" i="73"/>
  <c r="AK9" i="73" s="1"/>
  <c r="E48" i="73"/>
  <c r="E3" i="73"/>
  <c r="P76" i="10"/>
  <c r="D4" i="10"/>
  <c r="AG3" i="73"/>
  <c r="AE4" i="73"/>
  <c r="AE3" i="73" s="1"/>
  <c r="AG48" i="73"/>
  <c r="AE48" i="73" s="1"/>
  <c r="AM106" i="11"/>
  <c r="E3" i="11"/>
  <c r="AQ106" i="11"/>
  <c r="G4" i="11"/>
  <c r="G3" i="11" s="1"/>
  <c r="G106" i="11" s="1"/>
  <c r="D5" i="11"/>
  <c r="R87" i="24"/>
  <c r="R86" i="24" s="1"/>
  <c r="S87" i="24"/>
  <c r="S86" i="24" s="1"/>
  <c r="Q86" i="24"/>
  <c r="T86" i="24" s="1"/>
  <c r="P13" i="24"/>
  <c r="Q16" i="24"/>
  <c r="T16" i="24" s="1"/>
  <c r="R5" i="11"/>
  <c r="R18" i="24"/>
  <c r="Q26" i="24"/>
  <c r="T26" i="24" s="1"/>
  <c r="T27" i="24"/>
  <c r="S27" i="24"/>
  <c r="S26" i="24" s="1"/>
  <c r="T42" i="24"/>
  <c r="S42" i="24"/>
  <c r="S41" i="24" s="1"/>
  <c r="Q41" i="24"/>
  <c r="T41" i="24" s="1"/>
  <c r="Q77" i="24"/>
  <c r="T77" i="24" s="1"/>
  <c r="T78" i="24"/>
  <c r="S78" i="24"/>
  <c r="S77" i="24" s="1"/>
  <c r="AH14" i="24"/>
  <c r="Q14" i="24"/>
  <c r="S58" i="24"/>
  <c r="S57" i="24" s="1"/>
  <c r="T58" i="24"/>
  <c r="Q57" i="24"/>
  <c r="T57" i="24" s="1"/>
  <c r="Q22" i="24"/>
  <c r="T22" i="24" s="1"/>
  <c r="T23" i="24"/>
  <c r="S23" i="24"/>
  <c r="S22" i="24" s="1"/>
  <c r="AG34" i="24"/>
  <c r="AG14" i="24"/>
  <c r="AG15" i="24"/>
  <c r="AG18" i="24"/>
  <c r="AG16" i="24"/>
  <c r="R42" i="24"/>
  <c r="R41" i="24" s="1"/>
  <c r="R47" i="24"/>
  <c r="Q32" i="24"/>
  <c r="T32" i="24" s="1"/>
  <c r="T33" i="24"/>
  <c r="S33" i="24"/>
  <c r="S32" i="24" s="1"/>
  <c r="T49" i="24"/>
  <c r="Q48" i="24"/>
  <c r="T48" i="24" s="1"/>
  <c r="S49" i="24"/>
  <c r="S48" i="24" s="1"/>
  <c r="S30" i="24"/>
  <c r="S29" i="24" s="1"/>
  <c r="Q29" i="24"/>
  <c r="T29" i="24" s="1"/>
  <c r="T30" i="24"/>
  <c r="AF13" i="24"/>
  <c r="AI13" i="24" s="1"/>
  <c r="AI14" i="24"/>
  <c r="AH18" i="24"/>
  <c r="S18" i="24"/>
  <c r="R23" i="24"/>
  <c r="R22" i="24" s="1"/>
  <c r="R27" i="24"/>
  <c r="R26" i="24" s="1"/>
  <c r="S73" i="24"/>
  <c r="S72" i="24" s="1"/>
  <c r="Q72" i="24"/>
  <c r="T72" i="24" s="1"/>
  <c r="T73" i="24"/>
  <c r="T47" i="24"/>
  <c r="S47" i="24"/>
  <c r="S46" i="24" s="1"/>
  <c r="Q46" i="24"/>
  <c r="T46" i="24" s="1"/>
  <c r="T84" i="24"/>
  <c r="Q83" i="24"/>
  <c r="T83" i="24" s="1"/>
  <c r="S84" i="24"/>
  <c r="S83" i="24" s="1"/>
  <c r="R78" i="24"/>
  <c r="R77" i="24" s="1"/>
  <c r="T70" i="24"/>
  <c r="Q69" i="24"/>
  <c r="T69" i="24" s="1"/>
  <c r="S70" i="24"/>
  <c r="S69" i="24" s="1"/>
  <c r="R58" i="24"/>
  <c r="R57" i="24" s="1"/>
  <c r="AH16" i="24"/>
  <c r="AH4" i="10" l="1"/>
  <c r="D3" i="10"/>
  <c r="O3" i="73"/>
  <c r="O48" i="73"/>
  <c r="K4" i="73"/>
  <c r="D4" i="11"/>
  <c r="D7" i="73" s="1"/>
  <c r="R106" i="11"/>
  <c r="K5" i="11"/>
  <c r="K4" i="11" s="1"/>
  <c r="F7" i="73" s="1"/>
  <c r="D3" i="11"/>
  <c r="AH13" i="24"/>
  <c r="S16" i="24"/>
  <c r="S14" i="24"/>
  <c r="R46" i="24"/>
  <c r="R16" i="24"/>
  <c r="R14" i="24"/>
  <c r="AG13" i="24"/>
  <c r="Q13" i="24"/>
  <c r="T13" i="24" s="1"/>
  <c r="T14" i="24"/>
  <c r="F4" i="73" l="1"/>
  <c r="F6" i="73"/>
  <c r="D6" i="73"/>
  <c r="D4" i="73"/>
  <c r="C7" i="73"/>
  <c r="C3" i="10"/>
  <c r="D76" i="10"/>
  <c r="K48" i="73"/>
  <c r="K3" i="73"/>
  <c r="D106" i="11"/>
  <c r="D107" i="11" s="1"/>
  <c r="CA4" i="11"/>
  <c r="K3" i="11"/>
  <c r="K106" i="11" s="1"/>
  <c r="S13" i="24"/>
  <c r="R13" i="24"/>
  <c r="C36" i="21"/>
  <c r="C12" i="21"/>
  <c r="C13" i="21"/>
  <c r="C14" i="21"/>
  <c r="C15" i="21"/>
  <c r="C16" i="21"/>
  <c r="C17" i="21"/>
  <c r="C18" i="21"/>
  <c r="C19" i="21"/>
  <c r="C20" i="21"/>
  <c r="C21" i="21"/>
  <c r="C22" i="21"/>
  <c r="C24" i="21"/>
  <c r="C25" i="21"/>
  <c r="C26" i="21"/>
  <c r="C27" i="21"/>
  <c r="C28" i="21"/>
  <c r="C29" i="21"/>
  <c r="C31" i="21"/>
  <c r="C32" i="21"/>
  <c r="C33" i="21"/>
  <c r="C34" i="21"/>
  <c r="C35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76" i="10" l="1"/>
  <c r="AH3" i="10"/>
  <c r="AH76" i="10" s="1"/>
  <c r="D48" i="73"/>
  <c r="C4" i="73"/>
  <c r="D3" i="73"/>
  <c r="C6" i="73"/>
  <c r="AK7" i="73"/>
  <c r="AK6" i="73" s="1"/>
  <c r="F48" i="73"/>
  <c r="F3" i="73"/>
  <c r="C3" i="11"/>
  <c r="CA3" i="11" s="1"/>
  <c r="E6" i="19"/>
  <c r="AK99" i="20"/>
  <c r="AK15" i="20" s="1"/>
  <c r="U99" i="20"/>
  <c r="T99" i="20"/>
  <c r="AK98" i="20"/>
  <c r="AJ98" i="20"/>
  <c r="U98" i="20"/>
  <c r="T98" i="20"/>
  <c r="AK97" i="20"/>
  <c r="AJ97" i="20"/>
  <c r="U97" i="20"/>
  <c r="T97" i="20"/>
  <c r="E97" i="20"/>
  <c r="E13" i="20" s="1"/>
  <c r="AK96" i="20"/>
  <c r="AJ96" i="20"/>
  <c r="U96" i="20"/>
  <c r="T96" i="20"/>
  <c r="E96" i="20"/>
  <c r="E12" i="20" s="1"/>
  <c r="AK95" i="20"/>
  <c r="AJ95" i="20"/>
  <c r="U95" i="20"/>
  <c r="T95" i="20"/>
  <c r="E95" i="20"/>
  <c r="E11" i="20" s="1"/>
  <c r="AK94" i="20"/>
  <c r="AJ94" i="20"/>
  <c r="U94" i="20"/>
  <c r="T94" i="20"/>
  <c r="E94" i="20"/>
  <c r="AK93" i="20"/>
  <c r="AJ93" i="20"/>
  <c r="U93" i="20"/>
  <c r="T93" i="20"/>
  <c r="E93" i="20"/>
  <c r="E9" i="20" s="1"/>
  <c r="AI92" i="20"/>
  <c r="AH92" i="20"/>
  <c r="AG92" i="20"/>
  <c r="AF92" i="20"/>
  <c r="AE92" i="20"/>
  <c r="AC92" i="20"/>
  <c r="AB92" i="20"/>
  <c r="AA92" i="20"/>
  <c r="Z92" i="20"/>
  <c r="Y92" i="20"/>
  <c r="X92" i="20"/>
  <c r="W92" i="20"/>
  <c r="V92" i="20"/>
  <c r="S92" i="20"/>
  <c r="R92" i="20"/>
  <c r="Q92" i="20"/>
  <c r="P92" i="20"/>
  <c r="O92" i="20"/>
  <c r="N92" i="20"/>
  <c r="M92" i="20"/>
  <c r="L92" i="20"/>
  <c r="K92" i="20"/>
  <c r="J92" i="20"/>
  <c r="I92" i="20"/>
  <c r="H92" i="20"/>
  <c r="G92" i="20"/>
  <c r="F92" i="20"/>
  <c r="D92" i="20"/>
  <c r="AK91" i="20"/>
  <c r="AJ91" i="20"/>
  <c r="U91" i="20"/>
  <c r="T91" i="20"/>
  <c r="U90" i="20"/>
  <c r="T90" i="20"/>
  <c r="AK89" i="20"/>
  <c r="AJ89" i="20"/>
  <c r="U89" i="20"/>
  <c r="T89" i="20"/>
  <c r="AK88" i="20"/>
  <c r="AJ88" i="20"/>
  <c r="U88" i="20"/>
  <c r="T88" i="20"/>
  <c r="AK87" i="20"/>
  <c r="AJ87" i="20"/>
  <c r="U87" i="20"/>
  <c r="T87" i="20"/>
  <c r="AK86" i="20"/>
  <c r="AJ86" i="20"/>
  <c r="U86" i="20"/>
  <c r="T86" i="20"/>
  <c r="AI85" i="20"/>
  <c r="AH85" i="20"/>
  <c r="AG85" i="20"/>
  <c r="AF85" i="20"/>
  <c r="AE85" i="20"/>
  <c r="AD85" i="20"/>
  <c r="AC85" i="20"/>
  <c r="AB85" i="20"/>
  <c r="AA85" i="20"/>
  <c r="Z85" i="20"/>
  <c r="Y85" i="20"/>
  <c r="X85" i="20"/>
  <c r="W85" i="20"/>
  <c r="V85" i="20"/>
  <c r="S85" i="20"/>
  <c r="R85" i="20"/>
  <c r="Q85" i="20"/>
  <c r="P85" i="20"/>
  <c r="O85" i="20"/>
  <c r="N85" i="20"/>
  <c r="M85" i="20"/>
  <c r="L85" i="20"/>
  <c r="K85" i="20"/>
  <c r="J85" i="20"/>
  <c r="I85" i="20"/>
  <c r="H85" i="20"/>
  <c r="G85" i="20"/>
  <c r="F85" i="20"/>
  <c r="E85" i="20"/>
  <c r="D85" i="20"/>
  <c r="AK84" i="20"/>
  <c r="AJ84" i="20"/>
  <c r="U84" i="20"/>
  <c r="T84" i="20"/>
  <c r="AK83" i="20"/>
  <c r="AJ83" i="20"/>
  <c r="U83" i="20"/>
  <c r="T83" i="20"/>
  <c r="AK82" i="20"/>
  <c r="AJ82" i="20"/>
  <c r="U82" i="20"/>
  <c r="T82" i="20"/>
  <c r="AK81" i="20"/>
  <c r="AJ81" i="20"/>
  <c r="U81" i="20"/>
  <c r="T81" i="20"/>
  <c r="AI80" i="20"/>
  <c r="AH80" i="20"/>
  <c r="AG80" i="20"/>
  <c r="AF80" i="20"/>
  <c r="AE80" i="20"/>
  <c r="AD80" i="20"/>
  <c r="AC80" i="20"/>
  <c r="AB80" i="20"/>
  <c r="AA80" i="20"/>
  <c r="Z80" i="20"/>
  <c r="Y80" i="20"/>
  <c r="X80" i="20"/>
  <c r="W80" i="20"/>
  <c r="V80" i="20"/>
  <c r="S80" i="20"/>
  <c r="R80" i="20"/>
  <c r="Q80" i="20"/>
  <c r="P80" i="20"/>
  <c r="O80" i="20"/>
  <c r="N80" i="20"/>
  <c r="M80" i="20"/>
  <c r="T80" i="20" s="1"/>
  <c r="L80" i="20"/>
  <c r="K80" i="20"/>
  <c r="J80" i="20"/>
  <c r="I80" i="20"/>
  <c r="H80" i="20"/>
  <c r="G80" i="20"/>
  <c r="F80" i="20"/>
  <c r="E80" i="20"/>
  <c r="D80" i="20"/>
  <c r="U79" i="20"/>
  <c r="T79" i="20"/>
  <c r="AK78" i="20"/>
  <c r="AJ78" i="20"/>
  <c r="U78" i="20"/>
  <c r="T78" i="20"/>
  <c r="AK77" i="20"/>
  <c r="AJ77" i="20"/>
  <c r="U77" i="20"/>
  <c r="T77" i="20"/>
  <c r="AK76" i="20"/>
  <c r="AJ76" i="20"/>
  <c r="U76" i="20"/>
  <c r="T76" i="20"/>
  <c r="AI75" i="20"/>
  <c r="AH75" i="20"/>
  <c r="AG75" i="20"/>
  <c r="AF75" i="20"/>
  <c r="AE75" i="20"/>
  <c r="AD75" i="20"/>
  <c r="AC75" i="20"/>
  <c r="AB75" i="20"/>
  <c r="AA75" i="20"/>
  <c r="Z75" i="20"/>
  <c r="Y75" i="20"/>
  <c r="X75" i="20"/>
  <c r="W75" i="20"/>
  <c r="V75" i="20"/>
  <c r="S75" i="20"/>
  <c r="R75" i="20"/>
  <c r="Q75" i="20"/>
  <c r="P75" i="20"/>
  <c r="O75" i="20"/>
  <c r="N75" i="20"/>
  <c r="M75" i="20"/>
  <c r="L75" i="20"/>
  <c r="K75" i="20"/>
  <c r="J75" i="20"/>
  <c r="I75" i="20"/>
  <c r="H75" i="20"/>
  <c r="G75" i="20"/>
  <c r="F75" i="20"/>
  <c r="E75" i="20"/>
  <c r="D75" i="20"/>
  <c r="AK74" i="20"/>
  <c r="AJ74" i="20"/>
  <c r="U74" i="20"/>
  <c r="T74" i="20"/>
  <c r="AK73" i="20"/>
  <c r="AJ73" i="20"/>
  <c r="U73" i="20"/>
  <c r="T73" i="20"/>
  <c r="AK72" i="20"/>
  <c r="AJ72" i="20"/>
  <c r="U72" i="20"/>
  <c r="T72" i="20"/>
  <c r="AK71" i="20"/>
  <c r="AJ71" i="20"/>
  <c r="U71" i="20"/>
  <c r="T71" i="20"/>
  <c r="AI70" i="20"/>
  <c r="AH70" i="20"/>
  <c r="AG70" i="20"/>
  <c r="AF70" i="20"/>
  <c r="AE70" i="20"/>
  <c r="AD70" i="20"/>
  <c r="AC70" i="20"/>
  <c r="AB70" i="20"/>
  <c r="AA70" i="20"/>
  <c r="Z70" i="20"/>
  <c r="Y70" i="20"/>
  <c r="X70" i="20"/>
  <c r="W70" i="20"/>
  <c r="V70" i="20"/>
  <c r="S70" i="20"/>
  <c r="R70" i="20"/>
  <c r="Q70" i="20"/>
  <c r="P70" i="20"/>
  <c r="O70" i="20"/>
  <c r="N70" i="20"/>
  <c r="M70" i="20"/>
  <c r="L70" i="20"/>
  <c r="K70" i="20"/>
  <c r="J70" i="20"/>
  <c r="I70" i="20"/>
  <c r="H70" i="20"/>
  <c r="G70" i="20"/>
  <c r="F70" i="20"/>
  <c r="E70" i="20"/>
  <c r="D70" i="20"/>
  <c r="AK69" i="20"/>
  <c r="AJ69" i="20"/>
  <c r="U69" i="20"/>
  <c r="T69" i="20"/>
  <c r="AK68" i="20"/>
  <c r="AJ68" i="20"/>
  <c r="U68" i="20"/>
  <c r="T68" i="20"/>
  <c r="AK67" i="20"/>
  <c r="AJ67" i="20"/>
  <c r="U67" i="20"/>
  <c r="T67" i="20"/>
  <c r="AK66" i="20"/>
  <c r="AJ66" i="20"/>
  <c r="U66" i="20"/>
  <c r="T66" i="20"/>
  <c r="AI65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D65" i="20"/>
  <c r="AK64" i="20"/>
  <c r="AJ64" i="20"/>
  <c r="U64" i="20"/>
  <c r="T64" i="20"/>
  <c r="AK63" i="20"/>
  <c r="AJ63" i="20"/>
  <c r="U63" i="20"/>
  <c r="T63" i="20"/>
  <c r="AK62" i="20"/>
  <c r="AJ62" i="20"/>
  <c r="U62" i="20"/>
  <c r="T62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S61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F61" i="20"/>
  <c r="E61" i="20"/>
  <c r="D61" i="20"/>
  <c r="AK60" i="20"/>
  <c r="AJ60" i="20"/>
  <c r="U60" i="20"/>
  <c r="T60" i="20"/>
  <c r="AK59" i="20"/>
  <c r="AJ59" i="20"/>
  <c r="U59" i="20"/>
  <c r="T59" i="20"/>
  <c r="AK58" i="20"/>
  <c r="AJ58" i="20"/>
  <c r="U58" i="20"/>
  <c r="T58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U56" i="20"/>
  <c r="T56" i="20"/>
  <c r="AK55" i="20"/>
  <c r="AJ55" i="20"/>
  <c r="U55" i="20"/>
  <c r="T55" i="20"/>
  <c r="AK54" i="20"/>
  <c r="AJ54" i="20"/>
  <c r="U54" i="20"/>
  <c r="T54" i="20"/>
  <c r="AK53" i="20"/>
  <c r="AJ53" i="20"/>
  <c r="U53" i="20"/>
  <c r="T53" i="20"/>
  <c r="AK52" i="20"/>
  <c r="AJ52" i="20"/>
  <c r="U52" i="20"/>
  <c r="T52" i="20"/>
  <c r="AI51" i="20"/>
  <c r="AH51" i="20"/>
  <c r="AG51" i="20"/>
  <c r="AF51" i="20"/>
  <c r="AE51" i="20"/>
  <c r="AD51" i="20"/>
  <c r="AC51" i="20"/>
  <c r="AB51" i="20"/>
  <c r="AA51" i="20"/>
  <c r="Z51" i="20"/>
  <c r="Y51" i="20"/>
  <c r="X51" i="20"/>
  <c r="W51" i="20"/>
  <c r="V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AK50" i="20"/>
  <c r="AJ50" i="20"/>
  <c r="U50" i="20"/>
  <c r="T50" i="20"/>
  <c r="AK49" i="20"/>
  <c r="AJ49" i="20"/>
  <c r="U49" i="20"/>
  <c r="T49" i="20"/>
  <c r="AK48" i="20"/>
  <c r="AJ48" i="20"/>
  <c r="U48" i="20"/>
  <c r="T48" i="20"/>
  <c r="AI47" i="20"/>
  <c r="AH47" i="20"/>
  <c r="AG47" i="20"/>
  <c r="AF47" i="20"/>
  <c r="AE47" i="20"/>
  <c r="AD47" i="20"/>
  <c r="AC47" i="20"/>
  <c r="AB47" i="20"/>
  <c r="AA47" i="20"/>
  <c r="Z47" i="20"/>
  <c r="Y47" i="20"/>
  <c r="X47" i="20"/>
  <c r="W47" i="20"/>
  <c r="V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AK46" i="20"/>
  <c r="AJ46" i="20"/>
  <c r="U46" i="20"/>
  <c r="T46" i="20"/>
  <c r="AK45" i="20"/>
  <c r="AJ45" i="20"/>
  <c r="U45" i="20"/>
  <c r="T45" i="20"/>
  <c r="AK44" i="20"/>
  <c r="AJ44" i="20"/>
  <c r="U44" i="20"/>
  <c r="T44" i="20"/>
  <c r="AK43" i="20"/>
  <c r="AJ43" i="20"/>
  <c r="U43" i="20"/>
  <c r="T43" i="20"/>
  <c r="AI42" i="20"/>
  <c r="AH42" i="20"/>
  <c r="AG42" i="20"/>
  <c r="AF42" i="20"/>
  <c r="AE42" i="20"/>
  <c r="AD42" i="20"/>
  <c r="AC42" i="20"/>
  <c r="AB42" i="20"/>
  <c r="AA42" i="20"/>
  <c r="Z42" i="20"/>
  <c r="Y42" i="20"/>
  <c r="X42" i="20"/>
  <c r="W42" i="20"/>
  <c r="V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AK41" i="20"/>
  <c r="AJ41" i="20"/>
  <c r="U41" i="20"/>
  <c r="T41" i="20"/>
  <c r="AK40" i="20"/>
  <c r="AJ40" i="20"/>
  <c r="U40" i="20"/>
  <c r="T40" i="20"/>
  <c r="AK39" i="20"/>
  <c r="AJ39" i="20"/>
  <c r="U39" i="20"/>
  <c r="T39" i="20"/>
  <c r="AK38" i="20"/>
  <c r="AJ38" i="20"/>
  <c r="U38" i="20"/>
  <c r="T38" i="20"/>
  <c r="AK37" i="20"/>
  <c r="AJ37" i="20"/>
  <c r="U37" i="20"/>
  <c r="T37" i="20"/>
  <c r="AI36" i="20"/>
  <c r="AH36" i="20"/>
  <c r="AG36" i="20"/>
  <c r="AF36" i="20"/>
  <c r="AE36" i="20"/>
  <c r="AD36" i="20"/>
  <c r="AC36" i="20"/>
  <c r="AB36" i="20"/>
  <c r="AA36" i="20"/>
  <c r="Z36" i="20"/>
  <c r="Y36" i="20"/>
  <c r="X36" i="20"/>
  <c r="W36" i="20"/>
  <c r="V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U35" i="20"/>
  <c r="T35" i="20"/>
  <c r="AK34" i="20"/>
  <c r="AJ34" i="20"/>
  <c r="U34" i="20"/>
  <c r="T34" i="20"/>
  <c r="AK33" i="20"/>
  <c r="AJ33" i="20"/>
  <c r="U33" i="20"/>
  <c r="T33" i="20"/>
  <c r="AK32" i="20"/>
  <c r="AJ32" i="20"/>
  <c r="U32" i="20"/>
  <c r="T32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U30" i="20"/>
  <c r="T30" i="20"/>
  <c r="AK29" i="20"/>
  <c r="AJ29" i="20"/>
  <c r="U29" i="20"/>
  <c r="T29" i="20"/>
  <c r="AK28" i="20"/>
  <c r="AJ28" i="20"/>
  <c r="U28" i="20"/>
  <c r="T28" i="20"/>
  <c r="AK27" i="20"/>
  <c r="AJ27" i="20"/>
  <c r="U27" i="20"/>
  <c r="T27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AG25" i="20"/>
  <c r="AG22" i="20" s="1"/>
  <c r="AF25" i="20"/>
  <c r="AF22" i="20" s="1"/>
  <c r="AE25" i="20"/>
  <c r="AE21" i="20" s="1"/>
  <c r="AD25" i="20"/>
  <c r="AD21" i="20" s="1"/>
  <c r="AC25" i="20"/>
  <c r="AC14" i="20" s="1"/>
  <c r="AB25" i="20"/>
  <c r="AB14" i="20" s="1"/>
  <c r="AA25" i="20"/>
  <c r="AA21" i="20" s="1"/>
  <c r="Z25" i="20"/>
  <c r="Z21" i="20" s="1"/>
  <c r="Y25" i="20"/>
  <c r="Y21" i="20" s="1"/>
  <c r="X25" i="20"/>
  <c r="X21" i="20" s="1"/>
  <c r="W25" i="20"/>
  <c r="W21" i="20" s="1"/>
  <c r="V25" i="20"/>
  <c r="V22" i="20" s="1"/>
  <c r="U25" i="20"/>
  <c r="T25" i="20"/>
  <c r="S25" i="20"/>
  <c r="S14" i="20" s="1"/>
  <c r="P25" i="20"/>
  <c r="P22" i="20" s="1"/>
  <c r="P21" i="20" s="1"/>
  <c r="AK24" i="20"/>
  <c r="AJ24" i="20"/>
  <c r="U24" i="20"/>
  <c r="T24" i="20"/>
  <c r="S24" i="20"/>
  <c r="AK23" i="20"/>
  <c r="AJ23" i="20"/>
  <c r="U23" i="20"/>
  <c r="T23" i="20"/>
  <c r="S23" i="20"/>
  <c r="S10" i="20" s="1"/>
  <c r="Q22" i="20"/>
  <c r="Q21" i="20" s="1"/>
  <c r="M22" i="20"/>
  <c r="M21" i="20" s="1"/>
  <c r="L22" i="20"/>
  <c r="L21" i="20" s="1"/>
  <c r="F22" i="20"/>
  <c r="F21" i="20" s="1"/>
  <c r="D22" i="20"/>
  <c r="D21" i="20" s="1"/>
  <c r="AI21" i="20"/>
  <c r="AH21" i="20"/>
  <c r="R21" i="20"/>
  <c r="O21" i="20"/>
  <c r="N21" i="20"/>
  <c r="K21" i="20"/>
  <c r="J21" i="20"/>
  <c r="I21" i="20"/>
  <c r="H21" i="20"/>
  <c r="G21" i="20"/>
  <c r="E21" i="20"/>
  <c r="U20" i="20"/>
  <c r="T20" i="20"/>
  <c r="AK19" i="20"/>
  <c r="AJ19" i="20"/>
  <c r="U19" i="20"/>
  <c r="T19" i="20"/>
  <c r="AK18" i="20"/>
  <c r="AJ18" i="20"/>
  <c r="U18" i="20"/>
  <c r="T18" i="20"/>
  <c r="AK17" i="20"/>
  <c r="AJ17" i="20"/>
  <c r="U17" i="20"/>
  <c r="T17" i="20"/>
  <c r="T16" i="20" s="1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B15" i="20"/>
  <c r="AI14" i="20"/>
  <c r="AH14" i="20"/>
  <c r="R14" i="20"/>
  <c r="Q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D13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D12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S11" i="20"/>
  <c r="R11" i="20"/>
  <c r="Q11" i="20"/>
  <c r="P11" i="20"/>
  <c r="O11" i="20"/>
  <c r="N11" i="20"/>
  <c r="M11" i="20"/>
  <c r="CA7" i="19" s="1"/>
  <c r="L11" i="20"/>
  <c r="K11" i="20"/>
  <c r="J11" i="20"/>
  <c r="I11" i="20"/>
  <c r="H11" i="20"/>
  <c r="G11" i="20"/>
  <c r="F11" i="20"/>
  <c r="D11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R10" i="20"/>
  <c r="Q10" i="20"/>
  <c r="P10" i="20"/>
  <c r="O10" i="20"/>
  <c r="N10" i="20"/>
  <c r="M10" i="20"/>
  <c r="CA6" i="19" s="1"/>
  <c r="L10" i="20"/>
  <c r="K10" i="20"/>
  <c r="J10" i="20"/>
  <c r="I10" i="20"/>
  <c r="H10" i="20"/>
  <c r="G10" i="20"/>
  <c r="F10" i="20"/>
  <c r="D10" i="20"/>
  <c r="AI9" i="20"/>
  <c r="AH9" i="20"/>
  <c r="AE9" i="20"/>
  <c r="AD9" i="20"/>
  <c r="AA9" i="20"/>
  <c r="Z9" i="20"/>
  <c r="Y9" i="20"/>
  <c r="X9" i="20"/>
  <c r="W9" i="20"/>
  <c r="R9" i="20"/>
  <c r="O9" i="20"/>
  <c r="N9" i="20"/>
  <c r="M9" i="20"/>
  <c r="L9" i="20"/>
  <c r="K9" i="20"/>
  <c r="J9" i="20"/>
  <c r="I9" i="20"/>
  <c r="H9" i="20"/>
  <c r="G9" i="20"/>
  <c r="BX95" i="19"/>
  <c r="BJ95" i="19"/>
  <c r="BV94" i="19"/>
  <c r="BX93" i="19"/>
  <c r="BI93" i="19"/>
  <c r="BV92" i="19"/>
  <c r="BN92" i="19"/>
  <c r="BV91" i="19"/>
  <c r="BV90" i="19"/>
  <c r="BV81" i="19"/>
  <c r="BV80" i="19"/>
  <c r="BX79" i="19"/>
  <c r="BX70" i="19"/>
  <c r="BX69" i="19"/>
  <c r="BN69" i="19"/>
  <c r="AE67" i="19"/>
  <c r="BV66" i="19"/>
  <c r="BK57" i="19"/>
  <c r="BJ55" i="19"/>
  <c r="BX52" i="19"/>
  <c r="BV52" i="19"/>
  <c r="BV50" i="19"/>
  <c r="BF37" i="19"/>
  <c r="BE34" i="19"/>
  <c r="BV31" i="19"/>
  <c r="BN30" i="19"/>
  <c r="AX29" i="19"/>
  <c r="AG11" i="19"/>
  <c r="E4" i="19"/>
  <c r="AK10" i="20" l="1"/>
  <c r="AJ80" i="20"/>
  <c r="AK80" i="20"/>
  <c r="C48" i="73"/>
  <c r="C3" i="73"/>
  <c r="AK4" i="73"/>
  <c r="AK3" i="73" s="1"/>
  <c r="U11" i="20"/>
  <c r="T14" i="20"/>
  <c r="U26" i="20"/>
  <c r="U31" i="20"/>
  <c r="U36" i="20"/>
  <c r="R3" i="20"/>
  <c r="AJ57" i="20"/>
  <c r="AJ75" i="20"/>
  <c r="AJ16" i="20"/>
  <c r="T51" i="20"/>
  <c r="T57" i="20"/>
  <c r="AK61" i="20"/>
  <c r="T65" i="20"/>
  <c r="U65" i="20"/>
  <c r="T75" i="20"/>
  <c r="U80" i="20"/>
  <c r="H3" i="20"/>
  <c r="U22" i="20"/>
  <c r="S22" i="20"/>
  <c r="S21" i="20" s="1"/>
  <c r="I8" i="20"/>
  <c r="M8" i="20"/>
  <c r="AJ11" i="20"/>
  <c r="J3" i="20"/>
  <c r="T13" i="20"/>
  <c r="U13" i="20"/>
  <c r="AK16" i="20"/>
  <c r="AJ42" i="20"/>
  <c r="T47" i="20"/>
  <c r="AJ51" i="20"/>
  <c r="AK51" i="20"/>
  <c r="U21" i="20"/>
  <c r="AJ26" i="20"/>
  <c r="AJ36" i="20"/>
  <c r="L8" i="20"/>
  <c r="Q9" i="20"/>
  <c r="Q8" i="20" s="1"/>
  <c r="D9" i="20"/>
  <c r="D8" i="20" s="1"/>
  <c r="AH8" i="20"/>
  <c r="AK12" i="20"/>
  <c r="G8" i="20"/>
  <c r="K8" i="20"/>
  <c r="O8" i="20"/>
  <c r="T21" i="20"/>
  <c r="T42" i="20"/>
  <c r="AK47" i="20"/>
  <c r="U51" i="20"/>
  <c r="T61" i="20"/>
  <c r="AJ65" i="20"/>
  <c r="AK65" i="20"/>
  <c r="U70" i="20"/>
  <c r="U92" i="20"/>
  <c r="P9" i="20"/>
  <c r="AI3" i="20"/>
  <c r="T11" i="20"/>
  <c r="AK11" i="20"/>
  <c r="L3" i="20"/>
  <c r="U14" i="20"/>
  <c r="AK26" i="20"/>
  <c r="AK31" i="20"/>
  <c r="AK36" i="20"/>
  <c r="U42" i="20"/>
  <c r="U47" i="20"/>
  <c r="U57" i="20"/>
  <c r="U61" i="20"/>
  <c r="AK70" i="20"/>
  <c r="U75" i="20"/>
  <c r="AK85" i="20"/>
  <c r="AJ31" i="20"/>
  <c r="AJ85" i="20"/>
  <c r="H8" i="20"/>
  <c r="F9" i="20"/>
  <c r="T9" i="20" s="1"/>
  <c r="J8" i="20"/>
  <c r="U85" i="20"/>
  <c r="T92" i="20"/>
  <c r="AK92" i="20"/>
  <c r="AJ70" i="20"/>
  <c r="N3" i="20"/>
  <c r="R8" i="20"/>
  <c r="G3" i="20"/>
  <c r="K3" i="20"/>
  <c r="O3" i="20"/>
  <c r="P14" i="20"/>
  <c r="AH3" i="20"/>
  <c r="I3" i="20"/>
  <c r="T15" i="20"/>
  <c r="T22" i="20"/>
  <c r="T26" i="20"/>
  <c r="T31" i="20"/>
  <c r="T36" i="20"/>
  <c r="AK42" i="20"/>
  <c r="AJ47" i="20"/>
  <c r="AK57" i="20"/>
  <c r="AJ61" i="20"/>
  <c r="T70" i="20"/>
  <c r="AK75" i="20"/>
  <c r="T85" i="20"/>
  <c r="AJ92" i="20"/>
  <c r="AG14" i="20"/>
  <c r="AC22" i="20"/>
  <c r="AJ22" i="20" s="1"/>
  <c r="Y14" i="20"/>
  <c r="Y8" i="20" s="1"/>
  <c r="X14" i="20"/>
  <c r="X8" i="20" s="1"/>
  <c r="AB22" i="20"/>
  <c r="AF14" i="20"/>
  <c r="AF21" i="20"/>
  <c r="AF9" i="20"/>
  <c r="AG9" i="20"/>
  <c r="AG21" i="20"/>
  <c r="AI8" i="20"/>
  <c r="E92" i="20"/>
  <c r="AJ10" i="20"/>
  <c r="V21" i="20"/>
  <c r="V101" i="20" s="1"/>
  <c r="V9" i="20"/>
  <c r="AK22" i="20"/>
  <c r="F3" i="20"/>
  <c r="AJ12" i="20"/>
  <c r="T10" i="20"/>
  <c r="T12" i="20"/>
  <c r="N8" i="20"/>
  <c r="AD8" i="20"/>
  <c r="U10" i="20"/>
  <c r="U12" i="20"/>
  <c r="U15" i="20"/>
  <c r="AJ25" i="20"/>
  <c r="M3" i="20"/>
  <c r="AK25" i="20"/>
  <c r="V14" i="20"/>
  <c r="Z14" i="20"/>
  <c r="AD14" i="20"/>
  <c r="AD3" i="20" s="1"/>
  <c r="S9" i="20"/>
  <c r="E10" i="20"/>
  <c r="E3" i="20" s="1"/>
  <c r="W14" i="20"/>
  <c r="W8" i="20" s="1"/>
  <c r="AA14" i="20"/>
  <c r="AA8" i="20" s="1"/>
  <c r="AE14" i="20"/>
  <c r="AE8" i="20" s="1"/>
  <c r="Q3" i="20" l="1"/>
  <c r="L2" i="20"/>
  <c r="U9" i="20"/>
  <c r="F8" i="20"/>
  <c r="U2" i="20" s="1"/>
  <c r="M2" i="20"/>
  <c r="T3" i="20"/>
  <c r="D3" i="20"/>
  <c r="U8" i="20"/>
  <c r="S2" i="20"/>
  <c r="T8" i="20"/>
  <c r="P3" i="20"/>
  <c r="P8" i="20"/>
  <c r="AK14" i="20"/>
  <c r="AG8" i="20"/>
  <c r="AC9" i="20"/>
  <c r="AJ9" i="20" s="1"/>
  <c r="AC21" i="20"/>
  <c r="AJ21" i="20" s="1"/>
  <c r="Y3" i="20"/>
  <c r="AF8" i="20"/>
  <c r="AH1" i="20" s="1"/>
  <c r="AB21" i="20"/>
  <c r="AB9" i="20"/>
  <c r="X3" i="20"/>
  <c r="AK21" i="20"/>
  <c r="AK9" i="20"/>
  <c r="AE3" i="20"/>
  <c r="AF3" i="20"/>
  <c r="W3" i="20"/>
  <c r="AG3" i="20"/>
  <c r="E8" i="20"/>
  <c r="S3" i="20"/>
  <c r="S8" i="20"/>
  <c r="V8" i="20"/>
  <c r="V3" i="20"/>
  <c r="AJ14" i="20"/>
  <c r="T2" i="20"/>
  <c r="Z8" i="20"/>
  <c r="Z3" i="20"/>
  <c r="U3" i="20"/>
  <c r="AA3" i="20"/>
  <c r="P2" i="20"/>
  <c r="D16" i="9"/>
  <c r="D10" i="9"/>
  <c r="W43" i="9" s="1"/>
  <c r="U1" i="20" l="1"/>
  <c r="AK3" i="20"/>
  <c r="E10" i="44"/>
  <c r="B10" i="44" s="1"/>
  <c r="C10" i="44" s="1"/>
  <c r="AC3" i="20"/>
  <c r="AC8" i="20"/>
  <c r="AF1" i="20" s="1"/>
  <c r="AB8" i="20"/>
  <c r="AB3" i="20"/>
  <c r="AJ3" i="20"/>
  <c r="AI2" i="20"/>
  <c r="AI1" i="20"/>
  <c r="AK8" i="20"/>
  <c r="AJ8" i="20" l="1"/>
  <c r="L37" i="16"/>
  <c r="K37" i="16"/>
  <c r="J37" i="16"/>
  <c r="R36" i="16"/>
  <c r="R28" i="16"/>
  <c r="R4" i="16"/>
  <c r="R37" i="16" l="1"/>
  <c r="BG48" i="11"/>
  <c r="Y38" i="73" s="1"/>
  <c r="AK38" i="73" l="1"/>
  <c r="Y37" i="73"/>
  <c r="CA48" i="11"/>
  <c r="AZ106" i="11"/>
  <c r="BG106" i="11"/>
  <c r="AE106" i="11"/>
  <c r="BU106" i="11"/>
  <c r="Y48" i="73" l="1"/>
  <c r="AK37" i="73"/>
  <c r="Q285" i="14"/>
  <c r="P285" i="14"/>
  <c r="N285" i="14"/>
  <c r="Q284" i="14"/>
  <c r="P284" i="14"/>
  <c r="N284" i="14"/>
  <c r="Q283" i="14"/>
  <c r="P283" i="14"/>
  <c r="N283" i="14"/>
  <c r="Q282" i="14"/>
  <c r="P282" i="14"/>
  <c r="N282" i="14"/>
  <c r="Q281" i="14"/>
  <c r="P281" i="14"/>
  <c r="N281" i="14"/>
  <c r="Q280" i="14"/>
  <c r="P280" i="14"/>
  <c r="N280" i="14"/>
  <c r="Q279" i="14"/>
  <c r="P279" i="14"/>
  <c r="Q278" i="14"/>
  <c r="P278" i="14"/>
  <c r="N278" i="14"/>
  <c r="Q277" i="14"/>
  <c r="P277" i="14"/>
  <c r="N277" i="14"/>
  <c r="Q276" i="14"/>
  <c r="P276" i="14"/>
  <c r="N276" i="14"/>
  <c r="Q275" i="14"/>
  <c r="P275" i="14"/>
  <c r="N275" i="14"/>
  <c r="Q274" i="14"/>
  <c r="P274" i="14"/>
  <c r="N274" i="14"/>
  <c r="Q273" i="14"/>
  <c r="P273" i="14"/>
  <c r="N273" i="14"/>
  <c r="Q272" i="14"/>
  <c r="P272" i="14"/>
  <c r="N272" i="14"/>
  <c r="Q271" i="14"/>
  <c r="P271" i="14"/>
  <c r="N271" i="14"/>
  <c r="Q270" i="14"/>
  <c r="P270" i="14"/>
  <c r="N270" i="14"/>
  <c r="Q269" i="14"/>
  <c r="P269" i="14"/>
  <c r="N269" i="14"/>
  <c r="Q268" i="14"/>
  <c r="P268" i="14"/>
  <c r="N268" i="14"/>
  <c r="Q267" i="14"/>
  <c r="P267" i="14"/>
  <c r="N267" i="14"/>
  <c r="Q266" i="14"/>
  <c r="P266" i="14"/>
  <c r="N266" i="14"/>
  <c r="Q265" i="14"/>
  <c r="P265" i="14"/>
  <c r="N265" i="14"/>
  <c r="Q264" i="14"/>
  <c r="P264" i="14"/>
  <c r="N264" i="14"/>
  <c r="Q263" i="14"/>
  <c r="P263" i="14"/>
  <c r="N263" i="14"/>
  <c r="Q262" i="14"/>
  <c r="P262" i="14"/>
  <c r="N262" i="14"/>
  <c r="Q261" i="14"/>
  <c r="P261" i="14"/>
  <c r="N261" i="14"/>
  <c r="Q260" i="14"/>
  <c r="P260" i="14"/>
  <c r="N260" i="14"/>
  <c r="Q259" i="14"/>
  <c r="P259" i="14"/>
  <c r="N259" i="14"/>
  <c r="Q258" i="14"/>
  <c r="P258" i="14"/>
  <c r="N258" i="14"/>
  <c r="Q257" i="14"/>
  <c r="P257" i="14"/>
  <c r="N257" i="14"/>
  <c r="Q256" i="14"/>
  <c r="P256" i="14"/>
  <c r="N256" i="14"/>
  <c r="Q255" i="14"/>
  <c r="P255" i="14"/>
  <c r="N255" i="14"/>
  <c r="Q254" i="14"/>
  <c r="P254" i="14"/>
  <c r="N254" i="14"/>
  <c r="Q253" i="14"/>
  <c r="P253" i="14"/>
  <c r="N253" i="14"/>
  <c r="Q252" i="14"/>
  <c r="P252" i="14"/>
  <c r="N252" i="14"/>
  <c r="Q251" i="14"/>
  <c r="P251" i="14"/>
  <c r="N251" i="14"/>
  <c r="Q250" i="14"/>
  <c r="P250" i="14"/>
  <c r="N250" i="14"/>
  <c r="Q249" i="14"/>
  <c r="P249" i="14"/>
  <c r="N249" i="14"/>
  <c r="Q248" i="14"/>
  <c r="P248" i="14"/>
  <c r="N248" i="14"/>
  <c r="Q247" i="14"/>
  <c r="P247" i="14"/>
  <c r="N247" i="14"/>
  <c r="Q246" i="14"/>
  <c r="P246" i="14"/>
  <c r="N246" i="14"/>
  <c r="Q245" i="14"/>
  <c r="P245" i="14"/>
  <c r="N245" i="14"/>
  <c r="Q244" i="14"/>
  <c r="P244" i="14"/>
  <c r="N244" i="14"/>
  <c r="Q243" i="14"/>
  <c r="P243" i="14"/>
  <c r="N243" i="14"/>
  <c r="Q242" i="14"/>
  <c r="P242" i="14"/>
  <c r="N242" i="14"/>
  <c r="Q241" i="14"/>
  <c r="P241" i="14"/>
  <c r="N241" i="14"/>
  <c r="Q240" i="14"/>
  <c r="P240" i="14"/>
  <c r="N240" i="14"/>
  <c r="Q239" i="14"/>
  <c r="P239" i="14"/>
  <c r="N239" i="14"/>
  <c r="Q238" i="14"/>
  <c r="P238" i="14"/>
  <c r="N238" i="14"/>
  <c r="Q237" i="14"/>
  <c r="P237" i="14"/>
  <c r="N237" i="14"/>
  <c r="Q236" i="14"/>
  <c r="P236" i="14"/>
  <c r="N236" i="14"/>
  <c r="Q235" i="14"/>
  <c r="P235" i="14"/>
  <c r="N235" i="14"/>
  <c r="Q234" i="14"/>
  <c r="P234" i="14"/>
  <c r="N234" i="14"/>
  <c r="Q233" i="14"/>
  <c r="P233" i="14"/>
  <c r="N233" i="14"/>
  <c r="Q232" i="14"/>
  <c r="P232" i="14"/>
  <c r="N232" i="14"/>
  <c r="Q231" i="14"/>
  <c r="P231" i="14"/>
  <c r="N231" i="14"/>
  <c r="Q230" i="14"/>
  <c r="P230" i="14"/>
  <c r="N230" i="14"/>
  <c r="Q229" i="14"/>
  <c r="P229" i="14"/>
  <c r="N229" i="14"/>
  <c r="Q228" i="14"/>
  <c r="P228" i="14"/>
  <c r="N228" i="14"/>
  <c r="Q227" i="14"/>
  <c r="P227" i="14"/>
  <c r="N227" i="14"/>
  <c r="Q226" i="14"/>
  <c r="P226" i="14"/>
  <c r="N226" i="14"/>
  <c r="Q225" i="14"/>
  <c r="P225" i="14"/>
  <c r="N225" i="14"/>
  <c r="Q224" i="14"/>
  <c r="P224" i="14"/>
  <c r="N224" i="14"/>
  <c r="Q223" i="14"/>
  <c r="P223" i="14"/>
  <c r="N223" i="14"/>
  <c r="Q222" i="14"/>
  <c r="P222" i="14"/>
  <c r="N222" i="14"/>
  <c r="Q221" i="14"/>
  <c r="P221" i="14"/>
  <c r="N221" i="14"/>
  <c r="Q220" i="14"/>
  <c r="P220" i="14"/>
  <c r="N220" i="14"/>
  <c r="Q219" i="14"/>
  <c r="P219" i="14"/>
  <c r="N219" i="14"/>
  <c r="Q218" i="14"/>
  <c r="P218" i="14"/>
  <c r="N218" i="14"/>
  <c r="Q217" i="14"/>
  <c r="P217" i="14"/>
  <c r="N217" i="14"/>
  <c r="Q216" i="14"/>
  <c r="P216" i="14"/>
  <c r="N216" i="14"/>
  <c r="Q215" i="14"/>
  <c r="P215" i="14"/>
  <c r="N215" i="14"/>
  <c r="Q214" i="14"/>
  <c r="P214" i="14"/>
  <c r="N214" i="14"/>
  <c r="Q213" i="14"/>
  <c r="P213" i="14"/>
  <c r="N213" i="14"/>
  <c r="Q212" i="14"/>
  <c r="P212" i="14"/>
  <c r="N212" i="14"/>
  <c r="Q211" i="14"/>
  <c r="P211" i="14"/>
  <c r="N211" i="14"/>
  <c r="Q210" i="14"/>
  <c r="P210" i="14"/>
  <c r="N210" i="14"/>
  <c r="Q209" i="14"/>
  <c r="P209" i="14"/>
  <c r="N209" i="14"/>
  <c r="Q208" i="14"/>
  <c r="P208" i="14"/>
  <c r="N208" i="14"/>
  <c r="Q207" i="14"/>
  <c r="P207" i="14"/>
  <c r="N207" i="14"/>
  <c r="Q206" i="14"/>
  <c r="P206" i="14"/>
  <c r="N206" i="14"/>
  <c r="Q205" i="14"/>
  <c r="P205" i="14"/>
  <c r="N205" i="14"/>
  <c r="Q204" i="14"/>
  <c r="P204" i="14"/>
  <c r="N204" i="14"/>
  <c r="Q203" i="14"/>
  <c r="P203" i="14"/>
  <c r="N203" i="14"/>
  <c r="Q202" i="14"/>
  <c r="P202" i="14"/>
  <c r="N202" i="14"/>
  <c r="Q201" i="14"/>
  <c r="P201" i="14"/>
  <c r="N201" i="14"/>
  <c r="Q200" i="14"/>
  <c r="P200" i="14"/>
  <c r="N200" i="14"/>
  <c r="Q199" i="14"/>
  <c r="P199" i="14"/>
  <c r="N199" i="14"/>
  <c r="Q198" i="14"/>
  <c r="P198" i="14"/>
  <c r="N198" i="14"/>
  <c r="Q197" i="14"/>
  <c r="P197" i="14"/>
  <c r="N197" i="14"/>
  <c r="Q196" i="14"/>
  <c r="P196" i="14"/>
  <c r="N196" i="14"/>
  <c r="Q195" i="14"/>
  <c r="P195" i="14"/>
  <c r="N195" i="14"/>
  <c r="Q194" i="14"/>
  <c r="P194" i="14"/>
  <c r="N194" i="14"/>
  <c r="Q193" i="14"/>
  <c r="P193" i="14"/>
  <c r="N193" i="14"/>
  <c r="Q192" i="14"/>
  <c r="P192" i="14"/>
  <c r="N192" i="14"/>
  <c r="Q191" i="14"/>
  <c r="P191" i="14"/>
  <c r="N191" i="14"/>
  <c r="Q190" i="14"/>
  <c r="P190" i="14"/>
  <c r="N190" i="14"/>
  <c r="Q189" i="14"/>
  <c r="P189" i="14"/>
  <c r="N189" i="14"/>
  <c r="Q188" i="14"/>
  <c r="P188" i="14"/>
  <c r="N188" i="14"/>
  <c r="Q187" i="14"/>
  <c r="P187" i="14"/>
  <c r="N187" i="14"/>
  <c r="Q186" i="14"/>
  <c r="P186" i="14"/>
  <c r="N186" i="14"/>
  <c r="Q185" i="14"/>
  <c r="P185" i="14"/>
  <c r="N185" i="14"/>
  <c r="Q184" i="14"/>
  <c r="P184" i="14"/>
  <c r="N184" i="14"/>
  <c r="Q183" i="14"/>
  <c r="P183" i="14"/>
  <c r="N183" i="14"/>
  <c r="Q182" i="14"/>
  <c r="P182" i="14"/>
  <c r="N182" i="14"/>
  <c r="Q181" i="14"/>
  <c r="P181" i="14"/>
  <c r="N181" i="14"/>
  <c r="Q180" i="14"/>
  <c r="P180" i="14"/>
  <c r="N180" i="14"/>
  <c r="Q179" i="14"/>
  <c r="P179" i="14"/>
  <c r="N179" i="14"/>
  <c r="Q178" i="14"/>
  <c r="P178" i="14"/>
  <c r="N178" i="14"/>
  <c r="Q177" i="14"/>
  <c r="P177" i="14"/>
  <c r="N177" i="14"/>
  <c r="Q176" i="14"/>
  <c r="P176" i="14"/>
  <c r="N176" i="14"/>
  <c r="Q175" i="14"/>
  <c r="P175" i="14"/>
  <c r="N175" i="14"/>
  <c r="Q174" i="14"/>
  <c r="P174" i="14"/>
  <c r="N174" i="14"/>
  <c r="Q173" i="14"/>
  <c r="P173" i="14"/>
  <c r="N173" i="14"/>
  <c r="Q172" i="14"/>
  <c r="P172" i="14"/>
  <c r="N172" i="14"/>
  <c r="Q171" i="14"/>
  <c r="P171" i="14"/>
  <c r="N171" i="14"/>
  <c r="Q170" i="14"/>
  <c r="P170" i="14"/>
  <c r="N170" i="14"/>
  <c r="Q169" i="14"/>
  <c r="P169" i="14"/>
  <c r="N169" i="14"/>
  <c r="Q168" i="14"/>
  <c r="P168" i="14"/>
  <c r="N168" i="14"/>
  <c r="Q167" i="14"/>
  <c r="P167" i="14"/>
  <c r="N167" i="14"/>
  <c r="Q166" i="14"/>
  <c r="P166" i="14"/>
  <c r="N166" i="14"/>
  <c r="Q165" i="14"/>
  <c r="P165" i="14"/>
  <c r="N165" i="14"/>
  <c r="Q164" i="14"/>
  <c r="P164" i="14"/>
  <c r="N164" i="14"/>
  <c r="Q163" i="14"/>
  <c r="P163" i="14"/>
  <c r="N163" i="14"/>
  <c r="Q162" i="14"/>
  <c r="P162" i="14"/>
  <c r="N162" i="14"/>
  <c r="Q161" i="14"/>
  <c r="P161" i="14"/>
  <c r="N161" i="14"/>
  <c r="Q160" i="14"/>
  <c r="P160" i="14"/>
  <c r="N160" i="14"/>
  <c r="Q159" i="14"/>
  <c r="P159" i="14"/>
  <c r="N159" i="14"/>
  <c r="Q158" i="14"/>
  <c r="P158" i="14"/>
  <c r="N158" i="14"/>
  <c r="Q157" i="14"/>
  <c r="P157" i="14"/>
  <c r="N157" i="14"/>
  <c r="Q156" i="14"/>
  <c r="P156" i="14"/>
  <c r="N156" i="14"/>
  <c r="Q155" i="14"/>
  <c r="P155" i="14"/>
  <c r="N155" i="14"/>
  <c r="Q154" i="14"/>
  <c r="P154" i="14"/>
  <c r="N154" i="14"/>
  <c r="Q153" i="14"/>
  <c r="P153" i="14"/>
  <c r="N153" i="14"/>
  <c r="Q152" i="14"/>
  <c r="P152" i="14"/>
  <c r="N152" i="14"/>
  <c r="Q151" i="14"/>
  <c r="P151" i="14"/>
  <c r="N151" i="14"/>
  <c r="Q150" i="14"/>
  <c r="P150" i="14"/>
  <c r="N150" i="14"/>
  <c r="Q149" i="14"/>
  <c r="P149" i="14"/>
  <c r="N149" i="14"/>
  <c r="Q148" i="14"/>
  <c r="P148" i="14"/>
  <c r="N148" i="14"/>
  <c r="Q147" i="14"/>
  <c r="P147" i="14"/>
  <c r="N147" i="14"/>
  <c r="Q146" i="14"/>
  <c r="P146" i="14"/>
  <c r="N146" i="14"/>
  <c r="Q145" i="14"/>
  <c r="P145" i="14"/>
  <c r="N145" i="14"/>
  <c r="Q144" i="14"/>
  <c r="P144" i="14"/>
  <c r="N144" i="14"/>
  <c r="Q143" i="14"/>
  <c r="P143" i="14"/>
  <c r="N143" i="14"/>
  <c r="Q142" i="14"/>
  <c r="P142" i="14"/>
  <c r="N142" i="14"/>
  <c r="Q141" i="14"/>
  <c r="P141" i="14"/>
  <c r="N141" i="14"/>
  <c r="Q140" i="14"/>
  <c r="P140" i="14"/>
  <c r="N140" i="14"/>
  <c r="Q139" i="14"/>
  <c r="P139" i="14"/>
  <c r="N139" i="14"/>
  <c r="Q138" i="14"/>
  <c r="P138" i="14"/>
  <c r="N138" i="14"/>
  <c r="Q137" i="14"/>
  <c r="P137" i="14"/>
  <c r="N137" i="14"/>
  <c r="Q136" i="14"/>
  <c r="P136" i="14"/>
  <c r="N136" i="14"/>
  <c r="Q135" i="14"/>
  <c r="P135" i="14"/>
  <c r="N135" i="14"/>
  <c r="Q134" i="14"/>
  <c r="P134" i="14"/>
  <c r="N134" i="14"/>
  <c r="Q133" i="14"/>
  <c r="P133" i="14"/>
  <c r="N133" i="14"/>
  <c r="Q132" i="14"/>
  <c r="P132" i="14"/>
  <c r="N132" i="14"/>
  <c r="Q131" i="14"/>
  <c r="P131" i="14"/>
  <c r="N131" i="14"/>
  <c r="Q130" i="14"/>
  <c r="P130" i="14"/>
  <c r="N130" i="14"/>
  <c r="Q129" i="14"/>
  <c r="P129" i="14"/>
  <c r="N129" i="14"/>
  <c r="Q128" i="14"/>
  <c r="P128" i="14"/>
  <c r="N128" i="14"/>
  <c r="Q127" i="14"/>
  <c r="P127" i="14"/>
  <c r="N127" i="14"/>
  <c r="Q126" i="14"/>
  <c r="P126" i="14"/>
  <c r="N126" i="14"/>
  <c r="Q125" i="14"/>
  <c r="P125" i="14"/>
  <c r="N125" i="14"/>
  <c r="Q124" i="14"/>
  <c r="P124" i="14"/>
  <c r="N124" i="14"/>
  <c r="Q123" i="14"/>
  <c r="P123" i="14"/>
  <c r="N123" i="14"/>
  <c r="Q122" i="14"/>
  <c r="P122" i="14"/>
  <c r="N122" i="14"/>
  <c r="Q121" i="14"/>
  <c r="P121" i="14"/>
  <c r="N121" i="14"/>
  <c r="Q120" i="14"/>
  <c r="P120" i="14"/>
  <c r="N120" i="14"/>
  <c r="Q119" i="14"/>
  <c r="P119" i="14"/>
  <c r="N119" i="14"/>
  <c r="Q118" i="14"/>
  <c r="P118" i="14"/>
  <c r="N118" i="14"/>
  <c r="Q117" i="14"/>
  <c r="P117" i="14"/>
  <c r="N117" i="14"/>
  <c r="Q116" i="14"/>
  <c r="P116" i="14"/>
  <c r="N116" i="14"/>
  <c r="Q115" i="14"/>
  <c r="P115" i="14"/>
  <c r="N115" i="14"/>
  <c r="Q114" i="14"/>
  <c r="P114" i="14"/>
  <c r="N114" i="14"/>
  <c r="Q113" i="14"/>
  <c r="P113" i="14"/>
  <c r="N113" i="14"/>
  <c r="Q112" i="14"/>
  <c r="P112" i="14"/>
  <c r="N112" i="14"/>
  <c r="Q111" i="14"/>
  <c r="P111" i="14"/>
  <c r="N111" i="14"/>
  <c r="Q110" i="14"/>
  <c r="P110" i="14"/>
  <c r="N110" i="14"/>
  <c r="Q109" i="14"/>
  <c r="P109" i="14"/>
  <c r="N109" i="14"/>
  <c r="Q108" i="14"/>
  <c r="P108" i="14"/>
  <c r="N108" i="14"/>
  <c r="Q107" i="14"/>
  <c r="P107" i="14"/>
  <c r="N107" i="14"/>
  <c r="Q106" i="14"/>
  <c r="P106" i="14"/>
  <c r="N106" i="14"/>
  <c r="Q105" i="14"/>
  <c r="P105" i="14"/>
  <c r="N105" i="14"/>
  <c r="Q104" i="14"/>
  <c r="P104" i="14"/>
  <c r="N104" i="14"/>
  <c r="Q103" i="14"/>
  <c r="P103" i="14"/>
  <c r="N103" i="14"/>
  <c r="Q102" i="14"/>
  <c r="P102" i="14"/>
  <c r="N102" i="14"/>
  <c r="Q101" i="14"/>
  <c r="P101" i="14"/>
  <c r="N101" i="14"/>
  <c r="Q100" i="14"/>
  <c r="P100" i="14"/>
  <c r="N100" i="14"/>
  <c r="Q99" i="14"/>
  <c r="P99" i="14"/>
  <c r="N99" i="14"/>
  <c r="Q98" i="14"/>
  <c r="P98" i="14"/>
  <c r="N98" i="14"/>
  <c r="Q97" i="14"/>
  <c r="P97" i="14"/>
  <c r="N97" i="14"/>
  <c r="Q96" i="14"/>
  <c r="P96" i="14"/>
  <c r="N96" i="14"/>
  <c r="Q95" i="14"/>
  <c r="P95" i="14"/>
  <c r="N95" i="14"/>
  <c r="Q94" i="14"/>
  <c r="P94" i="14"/>
  <c r="N94" i="14"/>
  <c r="Q93" i="14"/>
  <c r="P93" i="14"/>
  <c r="N93" i="14"/>
  <c r="Q92" i="14"/>
  <c r="P92" i="14"/>
  <c r="N92" i="14"/>
  <c r="Q91" i="14"/>
  <c r="P91" i="14"/>
  <c r="N91" i="14"/>
  <c r="Q90" i="14"/>
  <c r="P90" i="14"/>
  <c r="N90" i="14"/>
  <c r="Q89" i="14"/>
  <c r="P89" i="14"/>
  <c r="N89" i="14"/>
  <c r="Q88" i="14"/>
  <c r="P88" i="14"/>
  <c r="N88" i="14"/>
  <c r="Q87" i="14"/>
  <c r="P87" i="14"/>
  <c r="N87" i="14"/>
  <c r="Q86" i="14"/>
  <c r="P86" i="14"/>
  <c r="N86" i="14"/>
  <c r="Q85" i="14"/>
  <c r="P85" i="14"/>
  <c r="N85" i="14"/>
  <c r="Q84" i="14"/>
  <c r="P84" i="14"/>
  <c r="N84" i="14"/>
  <c r="Q83" i="14"/>
  <c r="P83" i="14"/>
  <c r="N83" i="14"/>
  <c r="Q82" i="14"/>
  <c r="P82" i="14"/>
  <c r="N82" i="14"/>
  <c r="Q81" i="14"/>
  <c r="P81" i="14"/>
  <c r="N81" i="14"/>
  <c r="Q80" i="14"/>
  <c r="P80" i="14"/>
  <c r="N80" i="14"/>
  <c r="Q79" i="14"/>
  <c r="P79" i="14"/>
  <c r="N79" i="14"/>
  <c r="Q78" i="14"/>
  <c r="P78" i="14"/>
  <c r="N78" i="14"/>
  <c r="Q77" i="14"/>
  <c r="P77" i="14"/>
  <c r="N77" i="14"/>
  <c r="Q76" i="14"/>
  <c r="P76" i="14"/>
  <c r="N76" i="14"/>
  <c r="Q75" i="14"/>
  <c r="P75" i="14"/>
  <c r="N75" i="14"/>
  <c r="Q74" i="14"/>
  <c r="P74" i="14"/>
  <c r="N74" i="14"/>
  <c r="Q73" i="14"/>
  <c r="P73" i="14"/>
  <c r="N73" i="14"/>
  <c r="Q72" i="14"/>
  <c r="P72" i="14"/>
  <c r="N72" i="14"/>
  <c r="Q71" i="14"/>
  <c r="P71" i="14"/>
  <c r="N71" i="14"/>
  <c r="Q70" i="14"/>
  <c r="P70" i="14"/>
  <c r="N70" i="14"/>
  <c r="Q69" i="14"/>
  <c r="P69" i="14"/>
  <c r="N69" i="14"/>
  <c r="Q68" i="14"/>
  <c r="P68" i="14"/>
  <c r="N68" i="14"/>
  <c r="Q67" i="14"/>
  <c r="P67" i="14"/>
  <c r="N67" i="14"/>
  <c r="Q66" i="14"/>
  <c r="P66" i="14"/>
  <c r="N66" i="14"/>
  <c r="Q65" i="14"/>
  <c r="P65" i="14"/>
  <c r="N65" i="14"/>
  <c r="Q64" i="14"/>
  <c r="P64" i="14"/>
  <c r="N64" i="14"/>
  <c r="Q63" i="14"/>
  <c r="P63" i="14"/>
  <c r="N63" i="14"/>
  <c r="Q62" i="14"/>
  <c r="P62" i="14"/>
  <c r="N62" i="14"/>
  <c r="Q61" i="14"/>
  <c r="P61" i="14"/>
  <c r="N61" i="14"/>
  <c r="Q60" i="14"/>
  <c r="P60" i="14"/>
  <c r="N60" i="14"/>
  <c r="Q59" i="14"/>
  <c r="P59" i="14"/>
  <c r="N59" i="14"/>
  <c r="Q58" i="14"/>
  <c r="P58" i="14"/>
  <c r="N58" i="14"/>
  <c r="Q57" i="14"/>
  <c r="P57" i="14"/>
  <c r="N57" i="14"/>
  <c r="Q56" i="14"/>
  <c r="P56" i="14"/>
  <c r="N56" i="14"/>
  <c r="Q55" i="14"/>
  <c r="P55" i="14"/>
  <c r="N55" i="14"/>
  <c r="Q54" i="14"/>
  <c r="P54" i="14"/>
  <c r="N54" i="14"/>
  <c r="Q53" i="14"/>
  <c r="P53" i="14"/>
  <c r="N53" i="14"/>
  <c r="Q52" i="14"/>
  <c r="P52" i="14"/>
  <c r="N52" i="14"/>
  <c r="Q51" i="14"/>
  <c r="P51" i="14"/>
  <c r="Q50" i="14"/>
  <c r="P50" i="14"/>
  <c r="N50" i="14"/>
  <c r="Q49" i="14"/>
  <c r="P49" i="14"/>
  <c r="N49" i="14"/>
  <c r="Q48" i="14"/>
  <c r="P48" i="14"/>
  <c r="N48" i="14"/>
  <c r="Q47" i="14"/>
  <c r="P47" i="14"/>
  <c r="N47" i="14"/>
  <c r="Q46" i="14"/>
  <c r="P46" i="14"/>
  <c r="N46" i="14"/>
  <c r="Q45" i="14"/>
  <c r="P45" i="14"/>
  <c r="N45" i="14"/>
  <c r="Q44" i="14"/>
  <c r="P44" i="14"/>
  <c r="N44" i="14"/>
  <c r="Q43" i="14"/>
  <c r="P43" i="14"/>
  <c r="N43" i="14"/>
  <c r="Q42" i="14"/>
  <c r="P42" i="14"/>
  <c r="N42" i="14"/>
  <c r="Q41" i="14"/>
  <c r="P41" i="14"/>
  <c r="N41" i="14"/>
  <c r="Q40" i="14"/>
  <c r="P40" i="14"/>
  <c r="N40" i="14"/>
  <c r="Q39" i="14"/>
  <c r="P39" i="14"/>
  <c r="N39" i="14"/>
  <c r="Q38" i="14"/>
  <c r="P38" i="14"/>
  <c r="N38" i="14"/>
  <c r="Q37" i="14"/>
  <c r="P37" i="14"/>
  <c r="N37" i="14"/>
  <c r="Q36" i="14"/>
  <c r="P36" i="14"/>
  <c r="N36" i="14"/>
  <c r="Q35" i="14"/>
  <c r="P35" i="14"/>
  <c r="N35" i="14"/>
  <c r="Q34" i="14"/>
  <c r="P34" i="14"/>
  <c r="N34" i="14"/>
  <c r="Q33" i="14"/>
  <c r="P33" i="14"/>
  <c r="N33" i="14"/>
  <c r="Q32" i="14"/>
  <c r="P32" i="14"/>
  <c r="N32" i="14"/>
  <c r="Q31" i="14"/>
  <c r="P31" i="14"/>
  <c r="N31" i="14"/>
  <c r="Q30" i="14"/>
  <c r="P30" i="14"/>
  <c r="N30" i="14"/>
  <c r="Q29" i="14"/>
  <c r="P29" i="14"/>
  <c r="N29" i="14"/>
  <c r="Q28" i="14"/>
  <c r="P28" i="14"/>
  <c r="N28" i="14"/>
  <c r="Q27" i="14"/>
  <c r="P27" i="14"/>
  <c r="N27" i="14"/>
  <c r="Q26" i="14"/>
  <c r="P26" i="14"/>
  <c r="N26" i="14"/>
  <c r="Q25" i="14"/>
  <c r="P25" i="14"/>
  <c r="N25" i="14"/>
  <c r="Q24" i="14"/>
  <c r="P24" i="14"/>
  <c r="N24" i="14"/>
  <c r="Q23" i="14"/>
  <c r="P23" i="14"/>
  <c r="N23" i="14"/>
  <c r="Q22" i="14"/>
  <c r="P22" i="14"/>
  <c r="N22" i="14"/>
  <c r="Q21" i="14"/>
  <c r="P21" i="14"/>
  <c r="N21" i="14"/>
  <c r="Q20" i="14"/>
  <c r="P20" i="14"/>
  <c r="N20" i="14"/>
  <c r="Q19" i="14"/>
  <c r="P19" i="14"/>
  <c r="N19" i="14"/>
  <c r="Q18" i="14"/>
  <c r="P18" i="14"/>
  <c r="N18" i="14"/>
  <c r="Q17" i="14"/>
  <c r="P17" i="14"/>
  <c r="N17" i="14"/>
  <c r="Q16" i="14"/>
  <c r="P16" i="14"/>
  <c r="N16" i="14"/>
  <c r="Q15" i="14"/>
  <c r="P15" i="14"/>
  <c r="N15" i="14"/>
  <c r="Q14" i="14"/>
  <c r="P14" i="14"/>
  <c r="N14" i="14"/>
  <c r="Q13" i="14"/>
  <c r="P13" i="14"/>
  <c r="N13" i="14"/>
  <c r="Q12" i="14"/>
  <c r="P12" i="14"/>
  <c r="N12" i="14"/>
  <c r="Q11" i="14"/>
  <c r="P11" i="14"/>
  <c r="N11" i="14"/>
  <c r="Q10" i="14"/>
  <c r="P10" i="14"/>
  <c r="N10" i="14"/>
  <c r="CA5" i="11"/>
  <c r="DH6" i="24"/>
  <c r="P6" i="24"/>
  <c r="F6" i="13" s="1"/>
  <c r="F5" i="13" l="1"/>
  <c r="E6" i="13"/>
  <c r="D6" i="13" s="1"/>
  <c r="AM6" i="13" s="1"/>
  <c r="J50" i="14"/>
  <c r="Y7" i="14" s="1"/>
  <c r="E106" i="11"/>
  <c r="CA106" i="11"/>
  <c r="F100" i="13" l="1"/>
  <c r="F4" i="13"/>
  <c r="E4" i="13" s="1"/>
  <c r="E5" i="13"/>
  <c r="D5" i="13" s="1"/>
  <c r="AM5" i="13" s="1"/>
  <c r="W7" i="14"/>
  <c r="X7" i="14" s="1"/>
  <c r="J47" i="14"/>
  <c r="V47" i="14" s="1"/>
  <c r="W3" i="14" s="1"/>
  <c r="D43" i="9"/>
  <c r="E4" i="44" s="1"/>
  <c r="B4" i="44" s="1"/>
  <c r="F15" i="39"/>
  <c r="F14" i="39" s="1"/>
  <c r="E100" i="13" l="1"/>
  <c r="D4" i="13"/>
  <c r="C4" i="44"/>
  <c r="B12" i="44"/>
  <c r="C12" i="44" s="1"/>
  <c r="D100" i="13" l="1"/>
  <c r="AM4" i="13"/>
  <c r="AM100" i="13" s="1"/>
  <c r="U4" i="69"/>
  <c r="U6" i="69"/>
  <c r="U8" i="69"/>
  <c r="U14" i="69"/>
  <c r="U11" i="69"/>
  <c r="U18" i="69"/>
  <c r="U17" i="69"/>
  <c r="U16" i="69"/>
  <c r="U9" i="69"/>
  <c r="U15" i="69"/>
  <c r="U7" i="69"/>
  <c r="U12" i="69"/>
  <c r="U13" i="69"/>
  <c r="U10" i="69"/>
  <c r="U5" i="69"/>
  <c r="M44" i="9"/>
  <c r="AK48" i="73" l="1"/>
</calcChain>
</file>

<file path=xl/comments1.xml><?xml version="1.0" encoding="utf-8"?>
<comments xmlns="http://schemas.openxmlformats.org/spreadsheetml/2006/main">
  <authors>
    <author>Автор</author>
  </authors>
  <commentList>
    <comment ref="AB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частный расходы 15 млрд
</t>
        </r>
      </text>
    </comment>
    <comment ref="E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ДЭФ МЗ: 4 гос.учреждения: лепрозорий,СПИД, псих.в Алматы…</t>
        </r>
      </text>
    </comment>
    <comment ref="E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ДЭФ МЗ:036 прог. ЗОЖ, трансфуз., Цетнр крови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K14" authorId="0">
      <text>
        <r>
          <rPr>
            <b/>
            <sz val="9"/>
            <color indexed="81"/>
            <rFont val="Tahoma"/>
            <family val="2"/>
            <charset val="204"/>
          </rPr>
          <t>домохозяйства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C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fs 6.4.1
</t>
        </r>
      </text>
    </comment>
    <comment ref="C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6.4.1.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D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036 ГОБМП = 206301104,5</t>
        </r>
      </text>
    </comment>
    <comment ref="R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 9.1 строка "Деятельность в области здравоохранения" столбец "населения"</t>
        </r>
      </text>
    </comment>
    <comment ref="S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 9.1 строка "Деятельность в области здравоохранения" столбец "предприятий"</t>
        </r>
      </text>
    </comment>
    <comment ref="R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 3.1 строка "из-за рубежа" + Т 2.1 строка "из них: из-за рубежа"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K12" authorId="0">
      <text>
        <r>
          <rPr>
            <b/>
            <sz val="9"/>
            <color indexed="81"/>
            <rFont val="Tahoma"/>
            <family val="2"/>
            <charset val="204"/>
          </rPr>
          <t>домохозяйства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C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Идут в FS6.4
как и 2.5 соцфин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V9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поменяла текст боковика как в сКУВТ</t>
        </r>
      </text>
    </comment>
  </commentList>
</comments>
</file>

<file path=xl/sharedStrings.xml><?xml version="1.0" encoding="utf-8"?>
<sst xmlns="http://schemas.openxmlformats.org/spreadsheetml/2006/main" count="18098" uniqueCount="2880">
  <si>
    <t>Код НСЗ</t>
  </si>
  <si>
    <t>Описание кода (оригинал)</t>
  </si>
  <si>
    <t>Описание кода</t>
  </si>
  <si>
    <t>Описание кода (дословный перевод)</t>
  </si>
  <si>
    <t>FS.1.1</t>
  </si>
  <si>
    <t>Государственный бюджет</t>
  </si>
  <si>
    <t>FS.1.1.1</t>
  </si>
  <si>
    <t>Республиканский бюджет</t>
  </si>
  <si>
    <t>-</t>
  </si>
  <si>
    <t>FS.1.1.2</t>
  </si>
  <si>
    <t>Местный бюджет</t>
  </si>
  <si>
    <t>FS.1.2.1</t>
  </si>
  <si>
    <t>Доход основных средств государственных организаций (аренда и др.)</t>
  </si>
  <si>
    <t>FS.1.2.2</t>
  </si>
  <si>
    <t>Прочие</t>
  </si>
  <si>
    <t>FS.1.4</t>
  </si>
  <si>
    <t xml:space="preserve">Прочие государственные трансферты местных доходов </t>
  </si>
  <si>
    <t>FS.5.1</t>
  </si>
  <si>
    <t>Добровольное страхование граждан</t>
  </si>
  <si>
    <t>FS.5.2</t>
  </si>
  <si>
    <t>Добровольное страхование работодателей</t>
  </si>
  <si>
    <t>FS.5.3</t>
  </si>
  <si>
    <t>Прочие добровольные взносы</t>
  </si>
  <si>
    <t>FS.6</t>
  </si>
  <si>
    <t>Прочие национальные доходы</t>
  </si>
  <si>
    <t>FS.6.1</t>
  </si>
  <si>
    <t>Прочие поступления от домохозяйств</t>
  </si>
  <si>
    <t>Прочие частные средства</t>
  </si>
  <si>
    <t>FS.6.2</t>
  </si>
  <si>
    <t>Прочие поступления от корпораций</t>
  </si>
  <si>
    <t>FS.6.3</t>
  </si>
  <si>
    <t>Прочие поступления от некоммерческих организаций, обслуживающих домохозяйства</t>
  </si>
  <si>
    <t>Некоммерческие организации, обслуживающие домохозяйства</t>
  </si>
  <si>
    <t>FS.6.4</t>
  </si>
  <si>
    <t>FS.6.4.1</t>
  </si>
  <si>
    <t>Доход от основных средств частных организаций (аренда и др.)</t>
  </si>
  <si>
    <t>FS.6.4.2</t>
  </si>
  <si>
    <t>FS.7</t>
  </si>
  <si>
    <t>Прямые зарубежные трансферты</t>
  </si>
  <si>
    <t>Остальной мир (доноры)</t>
  </si>
  <si>
    <t>Остальной мир</t>
  </si>
  <si>
    <t>FSR.1</t>
  </si>
  <si>
    <t>Заимствование</t>
  </si>
  <si>
    <t>Государственный займ</t>
  </si>
  <si>
    <t xml:space="preserve">HF.1 </t>
  </si>
  <si>
    <t>HF.1</t>
  </si>
  <si>
    <t>Государственный сектор</t>
  </si>
  <si>
    <t xml:space="preserve">HF.1.1 </t>
  </si>
  <si>
    <t>Государственные схемы</t>
  </si>
  <si>
    <t>HF.1.1</t>
  </si>
  <si>
    <t>Государственные органы управления</t>
  </si>
  <si>
    <t xml:space="preserve">HF.1.1.1 </t>
  </si>
  <si>
    <t>HF.1.1.1</t>
  </si>
  <si>
    <t>Центральные органы управления</t>
  </si>
  <si>
    <t>HF.1.1.1.1</t>
  </si>
  <si>
    <t>Министерство здравоохранения Республики Казахстан</t>
  </si>
  <si>
    <t>HF.1.1.1.2</t>
  </si>
  <si>
    <t>Министерство внутренних дел Республики Казахстан</t>
  </si>
  <si>
    <t>HF.1.1.1.3</t>
  </si>
  <si>
    <t>Министерство образования и науки Республики Казахстан</t>
  </si>
  <si>
    <t>HF.1.1.1.4</t>
  </si>
  <si>
    <t>Министерство обороны Республики Казахстан</t>
  </si>
  <si>
    <t>HF.1.1.1.6</t>
  </si>
  <si>
    <t>Управление делами Президента Республики Казахстан</t>
  </si>
  <si>
    <t>HF.1.1.1.7</t>
  </si>
  <si>
    <t>Комитет национальной безопасности Республики Казахстан</t>
  </si>
  <si>
    <t>HF.1.1.1.8</t>
  </si>
  <si>
    <t>Министерство юстиции Республики Казахстан</t>
  </si>
  <si>
    <t>HF.1.1.1.9</t>
  </si>
  <si>
    <t>Министерство транспорта и коммуникации Республики Казахстан</t>
  </si>
  <si>
    <t>HF.1.1.1.10</t>
  </si>
  <si>
    <t>Министерство труда и социальной защиты населения Республики Казахстан</t>
  </si>
  <si>
    <t>Министерство по чрезвычайным ситуациям Республики Казахстан</t>
  </si>
  <si>
    <t xml:space="preserve">HF.1.1.2 </t>
  </si>
  <si>
    <t>HF.1.1.2</t>
  </si>
  <si>
    <t>Региональные органы управления</t>
  </si>
  <si>
    <t>HF.1.1.2.1</t>
  </si>
  <si>
    <t>Местные органы государственного управления здравоохранением</t>
  </si>
  <si>
    <t>HF.1.1.2.2</t>
  </si>
  <si>
    <t>Местные органы управления внутренних дел</t>
  </si>
  <si>
    <t>HF.1.1.2.3</t>
  </si>
  <si>
    <t>Местные органы управления образования</t>
  </si>
  <si>
    <t>HF.1.1.2.4</t>
  </si>
  <si>
    <t>Местные органы управления труда и социальной защиты населения</t>
  </si>
  <si>
    <t>HF.1.1.2.5</t>
  </si>
  <si>
    <t>Местные органы управления туризма и спорта</t>
  </si>
  <si>
    <t>HF.1.1.2.6</t>
  </si>
  <si>
    <t>Местные органы управления строительства</t>
  </si>
  <si>
    <t>HF.1.1.2.7</t>
  </si>
  <si>
    <t>Управление строительства, пассажирского транспорта и автомобильных дорог области</t>
  </si>
  <si>
    <t xml:space="preserve">HF.1.2 </t>
  </si>
  <si>
    <t>Схемы обязательного медицинского страхования</t>
  </si>
  <si>
    <t>HF.1.2</t>
  </si>
  <si>
    <t xml:space="preserve">HF.2 </t>
  </si>
  <si>
    <t xml:space="preserve">Схемы добровольных медицинских взносов  </t>
  </si>
  <si>
    <t>HF.2</t>
  </si>
  <si>
    <t>Негосударственный сектор</t>
  </si>
  <si>
    <t xml:space="preserve">HF.2.1 </t>
  </si>
  <si>
    <t>Схемы добровольного медицинского страхования</t>
  </si>
  <si>
    <t>HF.2.2</t>
  </si>
  <si>
    <t>Страховые организации</t>
  </si>
  <si>
    <t>Страхование здоровья</t>
  </si>
  <si>
    <t>HF.2.2.1</t>
  </si>
  <si>
    <t>Другие виды страхования</t>
  </si>
  <si>
    <t>HF.2.2.2</t>
  </si>
  <si>
    <t>HF.2.4</t>
  </si>
  <si>
    <t xml:space="preserve">HF.2.3 </t>
  </si>
  <si>
    <t xml:space="preserve">HF.2.3.1 </t>
  </si>
  <si>
    <t>HF.2.5</t>
  </si>
  <si>
    <t>Другие частные организации, не являющиеся страховыми</t>
  </si>
  <si>
    <t xml:space="preserve">HF.2.3.2 </t>
  </si>
  <si>
    <t>Схемы финансирования поставщиков медицинских услуг</t>
  </si>
  <si>
    <t xml:space="preserve">HF.3 </t>
  </si>
  <si>
    <t>Частные расходы домохозяйств</t>
  </si>
  <si>
    <t xml:space="preserve">HF.3.1 </t>
  </si>
  <si>
    <t>HF.2.3</t>
  </si>
  <si>
    <t>Частные платежи населения</t>
  </si>
  <si>
    <t xml:space="preserve">HF.3.2 </t>
  </si>
  <si>
    <t>Сооплата</t>
  </si>
  <si>
    <t xml:space="preserve">HF.3.2.1 </t>
  </si>
  <si>
    <t xml:space="preserve">HF.3.2.2 </t>
  </si>
  <si>
    <t>Сооплата с добровольными схемами страхования</t>
  </si>
  <si>
    <t xml:space="preserve">HF.4 </t>
  </si>
  <si>
    <t>Rest of the world</t>
  </si>
  <si>
    <t xml:space="preserve">HF.4.1 </t>
  </si>
  <si>
    <t xml:space="preserve">HF.4.1.1 </t>
  </si>
  <si>
    <t xml:space="preserve">HF.4.1.2 </t>
  </si>
  <si>
    <t xml:space="preserve">HF.4.2 </t>
  </si>
  <si>
    <t xml:space="preserve">HF.4.2.1 </t>
  </si>
  <si>
    <t xml:space="preserve">HF.4.2.2 </t>
  </si>
  <si>
    <t xml:space="preserve">HF.4.2.2.1 </t>
  </si>
  <si>
    <t xml:space="preserve">Благотворительность/Системы Международных неправительственных организаций </t>
  </si>
  <si>
    <t>HF.2.5.2</t>
  </si>
  <si>
    <t>Негосударственные организации (частные)</t>
  </si>
  <si>
    <t xml:space="preserve">HF.4.2.2.3 </t>
  </si>
  <si>
    <t>Схемы включения (международные организации или посольства)</t>
  </si>
  <si>
    <t xml:space="preserve">HC.1 </t>
  </si>
  <si>
    <t>Услуги лечения</t>
  </si>
  <si>
    <t>HC.1.1</t>
  </si>
  <si>
    <t>Медицинские услуги на стационарном уровне</t>
  </si>
  <si>
    <t>HC.1.1.1</t>
  </si>
  <si>
    <t>Специализированное стационарное лечение</t>
  </si>
  <si>
    <t>HC.1.1.2</t>
  </si>
  <si>
    <t>Высокоспециализированная стационарная медицинская помощь</t>
  </si>
  <si>
    <t>HC.1.2</t>
  </si>
  <si>
    <t>Лечение в дневном стационаре</t>
  </si>
  <si>
    <t>HC.1.2.1</t>
  </si>
  <si>
    <t>Общее лечение в дневном стационаре</t>
  </si>
  <si>
    <t>HC.1.2.2</t>
  </si>
  <si>
    <t>Специализированное лечение в дневном стационаре</t>
  </si>
  <si>
    <t xml:space="preserve">HC.1.3 </t>
  </si>
  <si>
    <t>Амбулаторное лечение</t>
  </si>
  <si>
    <t>HC.1.3.1</t>
  </si>
  <si>
    <t>Основные медицинские услуги на амбулаторном уровне</t>
  </si>
  <si>
    <t>HC.1.3.2</t>
  </si>
  <si>
    <t>Амбулаторное стоматологическое лечение</t>
  </si>
  <si>
    <t>HC.1.3.3</t>
  </si>
  <si>
    <t>Специализированное амбулаторное лечение</t>
  </si>
  <si>
    <t>HC.1.3.4</t>
  </si>
  <si>
    <t>Все прочие амбулаторные лечение</t>
  </si>
  <si>
    <t xml:space="preserve">HC.1.4 </t>
  </si>
  <si>
    <t>Медицинская помощь на дому</t>
  </si>
  <si>
    <t>HC.2</t>
  </si>
  <si>
    <t>Реабилитационное лечение</t>
  </si>
  <si>
    <t xml:space="preserve">HC.2.1 </t>
  </si>
  <si>
    <t>Реабилитационное лечение в стационаре</t>
  </si>
  <si>
    <t>HC.2.2</t>
  </si>
  <si>
    <t>Реабилитационное лечение в дневном стационаре</t>
  </si>
  <si>
    <t>HC.2.3</t>
  </si>
  <si>
    <t xml:space="preserve">Реабилитационное лечение в поликлинике </t>
  </si>
  <si>
    <t>HC.2.4</t>
  </si>
  <si>
    <t>Реабилитационное лечение на дому</t>
  </si>
  <si>
    <t xml:space="preserve">HC.3 </t>
  </si>
  <si>
    <t>Долгосрочный медицинский уход</t>
  </si>
  <si>
    <t>HC.3.1</t>
  </si>
  <si>
    <t>Стационарный долгосрочный уход</t>
  </si>
  <si>
    <t>HC.3.2</t>
  </si>
  <si>
    <t>Дневной долгосрочный уход</t>
  </si>
  <si>
    <t>HC.3.3</t>
  </si>
  <si>
    <t>Амбулаторный долгосрочный уход</t>
  </si>
  <si>
    <t>HC.3.4</t>
  </si>
  <si>
    <t>Долгосрочный уход на дому</t>
  </si>
  <si>
    <t xml:space="preserve">HC.4 </t>
  </si>
  <si>
    <t>Вспомогательные услуги</t>
  </si>
  <si>
    <t>HC.4.1</t>
  </si>
  <si>
    <t>Лабораторные услуги</t>
  </si>
  <si>
    <t>HC.4.2</t>
  </si>
  <si>
    <t>Диагностические услуги</t>
  </si>
  <si>
    <t>HC.4.3</t>
  </si>
  <si>
    <t>Транспортировка пациентов</t>
  </si>
  <si>
    <t>HC.4.4</t>
  </si>
  <si>
    <t>Патологоанатомические услуги</t>
  </si>
  <si>
    <t>HC.4.5</t>
  </si>
  <si>
    <t>Обеспечение донорской кровью, ее компонентами и препаратами</t>
  </si>
  <si>
    <t>HC.4.9</t>
  </si>
  <si>
    <t>Все прочие виды вспомогательных услуг</t>
  </si>
  <si>
    <t xml:space="preserve">HC.5 </t>
  </si>
  <si>
    <t>Предоставление медицинских товаров</t>
  </si>
  <si>
    <t xml:space="preserve">HC.5.1 </t>
  </si>
  <si>
    <t>Фармацевтические и прочие медицинские товары недлительного пользования</t>
  </si>
  <si>
    <t>HC 5.1.1</t>
  </si>
  <si>
    <t>Рецептурные медикаменты</t>
  </si>
  <si>
    <t>HC 5.1.2</t>
  </si>
  <si>
    <t>Нерецептурные медикаменты</t>
  </si>
  <si>
    <t>HC 5.1.3</t>
  </si>
  <si>
    <t>Прочие медикаменты недлительного пользования</t>
  </si>
  <si>
    <t xml:space="preserve">HC.5.2 </t>
  </si>
  <si>
    <t>Терапевтические приборы и прочие медицинские товары длительного пользования</t>
  </si>
  <si>
    <t xml:space="preserve">HC.5.2.1 </t>
  </si>
  <si>
    <t>Очки и прочая продукция для лечения и коррекции органов зрения</t>
  </si>
  <si>
    <t>HC.5.2.2</t>
  </si>
  <si>
    <t>Слуховые средства</t>
  </si>
  <si>
    <t>HC.5.2.3</t>
  </si>
  <si>
    <t>Прочие ортопедические приборы и прочие протезы</t>
  </si>
  <si>
    <t>HC.5.2.4</t>
  </si>
  <si>
    <t>Все прочие виды дополнительных медицинских товаров длительного пользования, включая медико-технические приборы, не указанные по функции</t>
  </si>
  <si>
    <t>HC.5.2.9</t>
  </si>
  <si>
    <t>Все прочие различные медицинские товары</t>
  </si>
  <si>
    <t xml:space="preserve">HC.6 </t>
  </si>
  <si>
    <t>Профилактические услуги</t>
  </si>
  <si>
    <t>HC.6.1</t>
  </si>
  <si>
    <t>Информационная, образовательная и консультационная программы</t>
  </si>
  <si>
    <t>HC.6.2</t>
  </si>
  <si>
    <t>Программы иммунизации</t>
  </si>
  <si>
    <t>HC.6.3</t>
  </si>
  <si>
    <t>Профилактика инфекционных заболеваний</t>
  </si>
  <si>
    <t>Программы обнаружение заболеваний на ранних стадиях</t>
  </si>
  <si>
    <t>HC.6.4</t>
  </si>
  <si>
    <t>Профилактика неинфекционных заболеваний</t>
  </si>
  <si>
    <t>Программы мониторинга состояния здоровья</t>
  </si>
  <si>
    <t>HC.6.5</t>
  </si>
  <si>
    <t xml:space="preserve">Программы надзора над инфекционными и не инфекционными заболеваниями, травмами и воздействие на среду здоровья </t>
  </si>
  <si>
    <t>Охрана здоровья на производстве</t>
  </si>
  <si>
    <t>HC.6.6</t>
  </si>
  <si>
    <t>Программы подготовки к катастрофам и аварийно-спасательные программы</t>
  </si>
  <si>
    <t>HC.6.7</t>
  </si>
  <si>
    <t>HC.6.9</t>
  </si>
  <si>
    <t>Все прочие различные услуги на здравоохранение</t>
  </si>
  <si>
    <t xml:space="preserve">HC.7 </t>
  </si>
  <si>
    <t xml:space="preserve">Администрирование, система здравоохранения и финансовое администрирование </t>
  </si>
  <si>
    <t xml:space="preserve">HC.7.1 </t>
  </si>
  <si>
    <t xml:space="preserve">HC.7.1.1 </t>
  </si>
  <si>
    <t>Обеспечение деятельность уполномоченного органа в области здравоохранения</t>
  </si>
  <si>
    <t>HC.7.1.1.1</t>
  </si>
  <si>
    <t>Расходы на содержание центрального органа управления здравоохранения</t>
  </si>
  <si>
    <t>HC.7.1.1.2</t>
  </si>
  <si>
    <t>Расходы на содержание местных органов гос.упралвения здравоохранения</t>
  </si>
  <si>
    <t>HC.7.1.1.3</t>
  </si>
  <si>
    <t>Реализация институциональных проектов</t>
  </si>
  <si>
    <t>HC.7.2</t>
  </si>
  <si>
    <t>Администрирование финансирования здравоохранения</t>
  </si>
  <si>
    <t>Добровольное медицинское страхование</t>
  </si>
  <si>
    <t>HC.9</t>
  </si>
  <si>
    <t>Прочие услуги здравоохранения, не классифицированные ранее</t>
  </si>
  <si>
    <t>HC.RI.1</t>
  </si>
  <si>
    <t>Общие расходы на фармацевтические товары</t>
  </si>
  <si>
    <t>HC.RI.2</t>
  </si>
  <si>
    <t>Традиционная, дополнительная и альтернативная медицина (ТДАМ)</t>
  </si>
  <si>
    <t>HC.RI.2.1</t>
  </si>
  <si>
    <t>Стационарная ТДАМ</t>
  </si>
  <si>
    <t>HC.RI.2.2</t>
  </si>
  <si>
    <t>Амбулаторная ТДАМ</t>
  </si>
  <si>
    <t>HC.RI.2.3</t>
  </si>
  <si>
    <t>Продукты ТДАМ</t>
  </si>
  <si>
    <t>HC.RI.3</t>
  </si>
  <si>
    <t>Профилактические услуги и услуги общественного здравоохранения</t>
  </si>
  <si>
    <t>HC.RI.3.1</t>
  </si>
  <si>
    <t>Здоровье матери и ребенка; планирование семьи и семейные консультации</t>
  </si>
  <si>
    <t>HC.RI.3.2</t>
  </si>
  <si>
    <t>Медицинские услуги в школах</t>
  </si>
  <si>
    <t>HC.RI.3.3</t>
  </si>
  <si>
    <t>HC.RI.3.4</t>
  </si>
  <si>
    <t>HC.RI.3.5</t>
  </si>
  <si>
    <t>HC.RI.3.9</t>
  </si>
  <si>
    <t>Все прочие различные услуги по охране здоровья</t>
  </si>
  <si>
    <t>HC.RI.4</t>
  </si>
  <si>
    <t>Образование и обучение медицинского персонала</t>
  </si>
  <si>
    <t>HC.RI.4.1</t>
  </si>
  <si>
    <t>Подготовка специалистов со средним профессиональным образованием</t>
  </si>
  <si>
    <t>HC.RI.4.2</t>
  </si>
  <si>
    <t>Повышение квалиффикации и переподготовка кадров государственных организаций здравоохранения.</t>
  </si>
  <si>
    <t>HC.RI.4.3</t>
  </si>
  <si>
    <t>Повышение квалификации государственных служищих</t>
  </si>
  <si>
    <t>HC.RI.4.4</t>
  </si>
  <si>
    <t>Подготовка специалистов с высшим послевузовским профессиональным образованием</t>
  </si>
  <si>
    <t>HC.RI.4.5</t>
  </si>
  <si>
    <t>Подготовка научных кадров</t>
  </si>
  <si>
    <t>HC.RI.5</t>
  </si>
  <si>
    <t>Формирование капитала для учреждений, предоставляющих медицинские услуги</t>
  </si>
  <si>
    <t>HC.RI.6</t>
  </si>
  <si>
    <t>Прикладные научные исследования в области здравоохранения</t>
  </si>
  <si>
    <t>HC.RI.7</t>
  </si>
  <si>
    <t>Обеспечение санитарно-эпидемиологического благополучия</t>
  </si>
  <si>
    <t>HC.RI.7.1</t>
  </si>
  <si>
    <t>Контроль за продуктами питания, правилами гигиены и питьевой воды</t>
  </si>
  <si>
    <t>HC.RI.7.2</t>
  </si>
  <si>
    <t>Санитарно-эпидемоологическая экспертиза</t>
  </si>
  <si>
    <t>HC.RI.7.3</t>
  </si>
  <si>
    <t>Проведение дезинфекционых, дезинсекционных, дератизационных работ</t>
  </si>
  <si>
    <t>HC.RI.7.4</t>
  </si>
  <si>
    <t>Проведение противоэпидемические мероприятий и мероприятий по профилактике карантинных и особо опасных инфекций</t>
  </si>
  <si>
    <t>HC.RI.8</t>
  </si>
  <si>
    <t>Экологическое здоровье</t>
  </si>
  <si>
    <t>HC.RI.8.1</t>
  </si>
  <si>
    <t>Управление утилизацией отходов, сточных вод</t>
  </si>
  <si>
    <t>HC.RI.8.2</t>
  </si>
  <si>
    <t>Деятельность, связанная с предотвращением, снижением шума и загрязненностью воздуха, почвы и тд.</t>
  </si>
  <si>
    <t>HC.RI.9</t>
  </si>
  <si>
    <t>Расходы HCR, не определенные по типам</t>
  </si>
  <si>
    <t>HC.RI.9.1</t>
  </si>
  <si>
    <t>Судебно-медицинская экспертиза</t>
  </si>
  <si>
    <t>HC.RI.9.2</t>
  </si>
  <si>
    <t>Хранение ценностей исторического наследия в облати здравоохранения</t>
  </si>
  <si>
    <t>HC.RI.9.3</t>
  </si>
  <si>
    <t>Создание и сопровождение информационных систем здравоохранения</t>
  </si>
  <si>
    <t>HC.RI.9.4</t>
  </si>
  <si>
    <t>Реформирование системы здравоохранения</t>
  </si>
  <si>
    <t>HC.RI.10</t>
  </si>
  <si>
    <t>Хранение специального медицинского резерва и ликвидации ЧС</t>
  </si>
  <si>
    <t>HC.RI.11</t>
  </si>
  <si>
    <t>Прочие виды расходов</t>
  </si>
  <si>
    <t>HC.RI.12</t>
  </si>
  <si>
    <t>Неформальные расходы</t>
  </si>
  <si>
    <t>Health care related</t>
  </si>
  <si>
    <t>HCR.1</t>
  </si>
  <si>
    <t>Долгосрочный уход</t>
  </si>
  <si>
    <t>HCR.1.1</t>
  </si>
  <si>
    <t xml:space="preserve">Материальное социальное обеспечение </t>
  </si>
  <si>
    <t>HCR.1.2</t>
  </si>
  <si>
    <t xml:space="preserve">Долгосрочный социальный уход </t>
  </si>
  <si>
    <t>HCR.2</t>
  </si>
  <si>
    <t>Межсекторальное развитие здравоохранения</t>
  </si>
  <si>
    <t>Поставщики медицинских услуг</t>
  </si>
  <si>
    <t xml:space="preserve">Описание кода (международная категория) </t>
  </si>
  <si>
    <t xml:space="preserve">HP.1 </t>
  </si>
  <si>
    <t xml:space="preserve">Hospitals </t>
  </si>
  <si>
    <t>Больничные организации</t>
  </si>
  <si>
    <t xml:space="preserve">HP.1.1 </t>
  </si>
  <si>
    <t xml:space="preserve">General hospitals </t>
  </si>
  <si>
    <t>Больницы общего профиля</t>
  </si>
  <si>
    <t xml:space="preserve">HP.1.1.1 </t>
  </si>
  <si>
    <t>Больницы</t>
  </si>
  <si>
    <t>HP.1.1.2</t>
  </si>
  <si>
    <t>Медицинские организации национальных компаний и холдингов (квазигосударственные организации)</t>
  </si>
  <si>
    <t>HP.1.1.3</t>
  </si>
  <si>
    <t>Больницы восстановительного лечения и реабилитационные центры</t>
  </si>
  <si>
    <t xml:space="preserve">HP.1.2 </t>
  </si>
  <si>
    <t xml:space="preserve">Mental health hospitals </t>
  </si>
  <si>
    <t>Психиатрические больницы и больницы для лечения алкогольной или наркотической зависимости</t>
  </si>
  <si>
    <t xml:space="preserve">HP.1.2.1 </t>
  </si>
  <si>
    <t>Психиатрическая больница/диспансер</t>
  </si>
  <si>
    <t>HP.1.2.3</t>
  </si>
  <si>
    <t>Наркологическая больница/диспансер/реабилитационные центры</t>
  </si>
  <si>
    <t xml:space="preserve">HP.1.3 </t>
  </si>
  <si>
    <t>Специализированные больницы (кроме психиатрических больниц для лечения алкогольной или наркотической зависимости)</t>
  </si>
  <si>
    <t>HP.1.3.1</t>
  </si>
  <si>
    <t>Инфекционная больница</t>
  </si>
  <si>
    <t>HP.1.3.2</t>
  </si>
  <si>
    <t>Офтальмологическая больница</t>
  </si>
  <si>
    <t>HP.1.3.3</t>
  </si>
  <si>
    <t>Туберкулезная больница</t>
  </si>
  <si>
    <t>HP.1.3.4</t>
  </si>
  <si>
    <t>Противотуберкулезный диспансер</t>
  </si>
  <si>
    <t>HP.1.3.5</t>
  </si>
  <si>
    <t>Лепрозорий</t>
  </si>
  <si>
    <t>HP.1.3.6</t>
  </si>
  <si>
    <t>Кардиологический диспансер</t>
  </si>
  <si>
    <t>HP.1.3.7</t>
  </si>
  <si>
    <t>Кожно-венерологический диспансер</t>
  </si>
  <si>
    <t>HP.1.3.8</t>
  </si>
  <si>
    <t>Онкологический диспансер/больница</t>
  </si>
  <si>
    <t>HP.1.3.9</t>
  </si>
  <si>
    <t>Эндокринологический диспансер</t>
  </si>
  <si>
    <t>HP.1.3.10</t>
  </si>
  <si>
    <t>Родильные дома/Перинатальные центры</t>
  </si>
  <si>
    <t>HP.1.3.11</t>
  </si>
  <si>
    <t>Противотуберкулезный санаторий</t>
  </si>
  <si>
    <t>HP.1.3.12</t>
  </si>
  <si>
    <t>Клиники НЦ, НИИ</t>
  </si>
  <si>
    <t xml:space="preserve">HP.2 </t>
  </si>
  <si>
    <t xml:space="preserve">Residential long-term care facilities </t>
  </si>
  <si>
    <t>Учреждения длительного ухода</t>
  </si>
  <si>
    <t>Патронажные учреждения</t>
  </si>
  <si>
    <t xml:space="preserve">HP.2.1 </t>
  </si>
  <si>
    <t xml:space="preserve">Long-term nursing care facilities </t>
  </si>
  <si>
    <t>Учреждения длительного сестринского ухода</t>
  </si>
  <si>
    <t>Патронажные учреждения ухода по месту жительства</t>
  </si>
  <si>
    <t xml:space="preserve">HP.2.1.1 </t>
  </si>
  <si>
    <t>Больница сестринского ухода / Хоспис</t>
  </si>
  <si>
    <t>HP.2.1.2</t>
  </si>
  <si>
    <t>Дома инвалидов</t>
  </si>
  <si>
    <t xml:space="preserve">HP.2.2 </t>
  </si>
  <si>
    <t xml:space="preserve">Mental health and substance abuse facilities </t>
  </si>
  <si>
    <t>Психиатрические и наркологические учреждения</t>
  </si>
  <si>
    <t>HP.2.3</t>
  </si>
  <si>
    <t>Дома престарелых</t>
  </si>
  <si>
    <t xml:space="preserve">HP.2.9 </t>
  </si>
  <si>
    <t xml:space="preserve">Other residential long-term care facilities </t>
  </si>
  <si>
    <t>Другие учреждения длительного ухода</t>
  </si>
  <si>
    <t>Все прочие учреждения по месту жительства</t>
  </si>
  <si>
    <t xml:space="preserve">HP.2.9.1 </t>
  </si>
  <si>
    <t>Дома ребенка</t>
  </si>
  <si>
    <t xml:space="preserve">HP.3 </t>
  </si>
  <si>
    <t xml:space="preserve">Providers of ambulatory health care </t>
  </si>
  <si>
    <t xml:space="preserve">HP.3.1 </t>
  </si>
  <si>
    <t>Организации первичной медико-санитарной помощи</t>
  </si>
  <si>
    <t xml:space="preserve">HP.3.1.1 </t>
  </si>
  <si>
    <t xml:space="preserve">Offices of general medical practitioners </t>
  </si>
  <si>
    <t>Кабинеты врачей общей практики</t>
  </si>
  <si>
    <t xml:space="preserve">HP.3.1.2 </t>
  </si>
  <si>
    <t xml:space="preserve">Offices of mental medical specialists </t>
  </si>
  <si>
    <t>Кабинеты психотерапевта</t>
  </si>
  <si>
    <t xml:space="preserve">HP.3.1.3 </t>
  </si>
  <si>
    <t xml:space="preserve">Offices of medical specialists (other than mental medical specialists) </t>
  </si>
  <si>
    <t xml:space="preserve">Кабинеты медицинских  специалистов (кроме психиатров) </t>
  </si>
  <si>
    <t xml:space="preserve">HP.3.2 </t>
  </si>
  <si>
    <t xml:space="preserve">Dental practice </t>
  </si>
  <si>
    <t>Стоматологические поликлиники/кабинеты</t>
  </si>
  <si>
    <t xml:space="preserve">HP.3.3 </t>
  </si>
  <si>
    <t xml:space="preserve">Other health care practitioners </t>
  </si>
  <si>
    <t>Кабинеты других специалистов</t>
  </si>
  <si>
    <t xml:space="preserve">HP.3.4 </t>
  </si>
  <si>
    <t>Центры амбулаторного лечения</t>
  </si>
  <si>
    <t xml:space="preserve">HP.3.4.1 </t>
  </si>
  <si>
    <t>Центры планирования семьи и репродуктивного здоровья</t>
  </si>
  <si>
    <t xml:space="preserve">HP.3.4.2 </t>
  </si>
  <si>
    <t>Амбулаторные учреждения для лечения психиатрических заболеваний и алкогольной и наркотической зависимости</t>
  </si>
  <si>
    <t>HP.3.4.2</t>
  </si>
  <si>
    <t xml:space="preserve">HP.3.4.3 </t>
  </si>
  <si>
    <t>Центры амбулаторной хирургии</t>
  </si>
  <si>
    <t>HP.3.4.3</t>
  </si>
  <si>
    <t xml:space="preserve">HP.3.4.4 </t>
  </si>
  <si>
    <t>Центры гемодиализа</t>
  </si>
  <si>
    <t>HP.3.4.4</t>
  </si>
  <si>
    <t>HP.3.4.5</t>
  </si>
  <si>
    <t>Все прочие амбулаторные многопрофильные центры по предоставлению специализированной амбулаторно-поликлинической помощи</t>
  </si>
  <si>
    <t>HP.3.4.5.1</t>
  </si>
  <si>
    <t>Консультативно-диагностический центр/поликлиника</t>
  </si>
  <si>
    <t xml:space="preserve">HP.3.4.9 </t>
  </si>
  <si>
    <t>Все прочие амбулаторные и медицинские центры по месту жительства</t>
  </si>
  <si>
    <t>HP.3.4.9</t>
  </si>
  <si>
    <t xml:space="preserve">HP.3.4.9.1 </t>
  </si>
  <si>
    <t>Женская консультация</t>
  </si>
  <si>
    <t xml:space="preserve">HP.3.5 </t>
  </si>
  <si>
    <t xml:space="preserve">Providers of home health care services </t>
  </si>
  <si>
    <t>Организации,
предоставляющие
медицинские услуги на дому</t>
  </si>
  <si>
    <t xml:space="preserve">HP.4 </t>
  </si>
  <si>
    <t>Providers of ancillary services</t>
  </si>
  <si>
    <t>Организации, предоставляющие дополнительные услуги</t>
  </si>
  <si>
    <t xml:space="preserve">HP.4.1 </t>
  </si>
  <si>
    <t xml:space="preserve">Providers of patient transportation and emergency rescue </t>
  </si>
  <si>
    <t>Организации, предоставляющие услуги по транспортации пациентов и спасению жизни пациента в чрезвычайных ситуациях</t>
  </si>
  <si>
    <t xml:space="preserve">HP.4.2 </t>
  </si>
  <si>
    <t xml:space="preserve">Medical and diagnostic laboratories </t>
  </si>
  <si>
    <t>Медицинские и диагностические лаборатории</t>
  </si>
  <si>
    <t xml:space="preserve">HP.4.9 </t>
  </si>
  <si>
    <t xml:space="preserve">Other providers of ancillary services </t>
  </si>
  <si>
    <t>Прочие организации, предоставляющие дополнительные услуги</t>
  </si>
  <si>
    <t xml:space="preserve">HP.5 </t>
  </si>
  <si>
    <t xml:space="preserve">Retailers and other providers of medical goods </t>
  </si>
  <si>
    <t xml:space="preserve">HP.5.1 </t>
  </si>
  <si>
    <t xml:space="preserve">Pharmacies </t>
  </si>
  <si>
    <t>Аптеки</t>
  </si>
  <si>
    <t>Организации, реализующие лекарственные средства</t>
  </si>
  <si>
    <t xml:space="preserve">HP.5.2 </t>
  </si>
  <si>
    <t xml:space="preserve">Retail sellers and other suppliers of durable medical goods and medical appliances </t>
  </si>
  <si>
    <t>Организации розничных продаж и прочие поставщики медицинских товаров длительного пользования и медицинских приборов</t>
  </si>
  <si>
    <t>HP.4.2</t>
  </si>
  <si>
    <t>Организации, реализующие очки и прочую продукцию для лечения и коррекции органов зрения</t>
  </si>
  <si>
    <t>HP.5.3</t>
  </si>
  <si>
    <t>Организации, реализующие слуховые средства и прочую продукцию для улучшения слуха</t>
  </si>
  <si>
    <t>HP.4.3</t>
  </si>
  <si>
    <t>HP.5.4</t>
  </si>
  <si>
    <t>Организации, реализующие изделия медицинского назначения и медицинской техники (за исключением очков и прочей продукции для лечения и коррекции органов зрения и слуховых средств).</t>
  </si>
  <si>
    <t>HP.4.4</t>
  </si>
  <si>
    <t xml:space="preserve">HP.5.9 </t>
  </si>
  <si>
    <t xml:space="preserve">All other miscellaneous sellers and other suppliers of pharmaceuticals and medical goods </t>
  </si>
  <si>
    <t>Организации, реализующие прочую продукцию и прочие поставщики фармацевтических или медицинских товаров</t>
  </si>
  <si>
    <t>HP.4.9</t>
  </si>
  <si>
    <t>Организации, реализующие прочую фармацевтическую и/или медицинскую продукцию</t>
  </si>
  <si>
    <t xml:space="preserve">HP.6 </t>
  </si>
  <si>
    <t xml:space="preserve">Providers of preventive care </t>
  </si>
  <si>
    <t>Организации, оказывающие профилактические услуги</t>
  </si>
  <si>
    <t xml:space="preserve">HP.7 </t>
  </si>
  <si>
    <t xml:space="preserve">Providers of health care system administration and financing </t>
  </si>
  <si>
    <t xml:space="preserve">Организации управления здравоохранением </t>
  </si>
  <si>
    <t>HP.6</t>
  </si>
  <si>
    <t>Общее управление здравоохранением и медицинское страхование</t>
  </si>
  <si>
    <t xml:space="preserve">HP.7.1 </t>
  </si>
  <si>
    <t xml:space="preserve">Government health administration agencies </t>
  </si>
  <si>
    <t>Государственные учреждения управления здравоохранением</t>
  </si>
  <si>
    <t>HP.6.1</t>
  </si>
  <si>
    <t>Государственное управление здравоохранением (администрирование)</t>
  </si>
  <si>
    <t>HP.7.1.1</t>
  </si>
  <si>
    <t>Центральный орган</t>
  </si>
  <si>
    <t>HP.6.1.1</t>
  </si>
  <si>
    <t>HP.7.1.2</t>
  </si>
  <si>
    <t>HP.6.1.2</t>
  </si>
  <si>
    <t xml:space="preserve">HP.7.2 </t>
  </si>
  <si>
    <t xml:space="preserve">Social health insurance agencies </t>
  </si>
  <si>
    <t>Учреждения социального страхования</t>
  </si>
  <si>
    <t>HP.6.4</t>
  </si>
  <si>
    <t>HP.7.3</t>
  </si>
  <si>
    <t xml:space="preserve">Private health insurance administration agencies </t>
  </si>
  <si>
    <t xml:space="preserve">Управление частного страхования здравоохранения </t>
  </si>
  <si>
    <t>HP.6.5</t>
  </si>
  <si>
    <t>Обязательное медицинское страхование</t>
  </si>
  <si>
    <t>HP.7.4</t>
  </si>
  <si>
    <t xml:space="preserve">Other administration agencies </t>
  </si>
  <si>
    <t>Прочие учреждения</t>
  </si>
  <si>
    <t>HP.6.9</t>
  </si>
  <si>
    <t>Все прочие организации управления здравоохранением</t>
  </si>
  <si>
    <t>HP.6.9.1</t>
  </si>
  <si>
    <t>Центральный орган(прочие организации управления здравоохранением )</t>
  </si>
  <si>
    <t>HP.6.9.2</t>
  </si>
  <si>
    <t>Местные органы(прочие организации управления здравоохранением )</t>
  </si>
  <si>
    <t xml:space="preserve">HP.8 </t>
  </si>
  <si>
    <t>Прочие сектора экономики</t>
  </si>
  <si>
    <t>Все прочие сектора экономики</t>
  </si>
  <si>
    <t xml:space="preserve">HP.8.1 </t>
  </si>
  <si>
    <t xml:space="preserve">Households as providers of home health care </t>
  </si>
  <si>
    <t>Домохозяйства как организации, предоставляющие медицинскую помощь на дому</t>
  </si>
  <si>
    <t>HP.7.2</t>
  </si>
  <si>
    <t>Частные домашние хозяйства, предоставляющие уход на дому</t>
  </si>
  <si>
    <t>HP.8.2</t>
  </si>
  <si>
    <t>Учреждения, предоставляющие услуги по охране здоровья на производстве (медицинские пункты/кабинеты, цеховые врачи в промышленности и др.)</t>
  </si>
  <si>
    <t>HP.7.1</t>
  </si>
  <si>
    <t xml:space="preserve">HP.8.2 </t>
  </si>
  <si>
    <t xml:space="preserve">All other industries as secondary providers of health care </t>
  </si>
  <si>
    <t>Все прочие предприятия как организации, предоставляющие вторичную медицинскую помощь</t>
  </si>
  <si>
    <t>HP.7.9</t>
  </si>
  <si>
    <t>Все прочие отрасли как организации, предоставляющие медицинские услуги</t>
  </si>
  <si>
    <t xml:space="preserve">HP.8.2.1 </t>
  </si>
  <si>
    <t>Учебные заведения</t>
  </si>
  <si>
    <t>HP.7.9.1</t>
  </si>
  <si>
    <t xml:space="preserve">HP.8.9 </t>
  </si>
  <si>
    <t>Прочие предприятия</t>
  </si>
  <si>
    <t>Организации, предоставляющие услуги, связанные со здравоохранением</t>
  </si>
  <si>
    <t>HP.8</t>
  </si>
  <si>
    <t>Исследовательские институты</t>
  </si>
  <si>
    <t>HP.8.1</t>
  </si>
  <si>
    <t>Организации образования и обучения</t>
  </si>
  <si>
    <t>Высшие учебные заведения</t>
  </si>
  <si>
    <t>HP.8.2.1</t>
  </si>
  <si>
    <t>Среднеспециальные учебные заведения</t>
  </si>
  <si>
    <t>HP.8.2.2</t>
  </si>
  <si>
    <t>HP.8.2.3</t>
  </si>
  <si>
    <t>HP.8.9</t>
  </si>
  <si>
    <t>Санатории/Профилактории</t>
  </si>
  <si>
    <t>HP.8.9.1</t>
  </si>
  <si>
    <t>Центр судебной медицины/Бюро судебно медицинской экспертизы</t>
  </si>
  <si>
    <t>HP.8.9.10</t>
  </si>
  <si>
    <t>HP.8.9.11</t>
  </si>
  <si>
    <t>Центры санитарно-эпидемиологической экспертизы/Станции</t>
  </si>
  <si>
    <t>HP.8.9.2</t>
  </si>
  <si>
    <t>Центры санитарно-эпидемиологической экспертизы на транспорте/железнодорожном/воздушном</t>
  </si>
  <si>
    <t>HP.8.9.3</t>
  </si>
  <si>
    <t>Противочумная станция</t>
  </si>
  <si>
    <t>HP.8.9.4</t>
  </si>
  <si>
    <t>Дезинфекционная станция</t>
  </si>
  <si>
    <t>HP.8.9.5</t>
  </si>
  <si>
    <t>Центр детского питания/Детская молочная кухня</t>
  </si>
  <si>
    <t>HP.8.9.6</t>
  </si>
  <si>
    <t>HP.8.9.7</t>
  </si>
  <si>
    <t>Центр формирования здорового образа жизни</t>
  </si>
  <si>
    <t>HP.8.9.8</t>
  </si>
  <si>
    <t>Центр медицины катастроф</t>
  </si>
  <si>
    <t>HP.8.9.9</t>
  </si>
  <si>
    <t xml:space="preserve">HP.9 </t>
  </si>
  <si>
    <t xml:space="preserve">Rest of the world </t>
  </si>
  <si>
    <t>HP.11</t>
  </si>
  <si>
    <t>Организации тип  предоставляемых услуг которых не определен</t>
  </si>
  <si>
    <t>HPnsk</t>
  </si>
  <si>
    <t>HP.12</t>
  </si>
  <si>
    <t>Организации, осуществляющие экспертизу лекарственных средств, изделий медицинского назначения и медицинской техники</t>
  </si>
  <si>
    <t>HPR.1</t>
  </si>
  <si>
    <t>HP.13</t>
  </si>
  <si>
    <t>База специального медицинского снабжения</t>
  </si>
  <si>
    <t>HPR.2</t>
  </si>
  <si>
    <t>Producing Guide</t>
  </si>
  <si>
    <t>НСЗ версия 2008</t>
  </si>
  <si>
    <t>НСЗ версия 2011</t>
  </si>
  <si>
    <t xml:space="preserve">SHA 2.0 </t>
  </si>
  <si>
    <t>Постановление Правительства Республики Казахстан от 15 декабря 2009 г. № 2131</t>
  </si>
  <si>
    <t>Номенклатура организаций здравоохранения согласно Приказу и.о. Министра здравоохранения Республики Казахстан от 30 декабря 2003 года № 979</t>
  </si>
  <si>
    <t>Описание кода (казахстанское соотвертвие)</t>
  </si>
  <si>
    <t>Описание</t>
  </si>
  <si>
    <t>HP.1</t>
  </si>
  <si>
    <t>Hospitals</t>
  </si>
  <si>
    <t xml:space="preserve">Больницы </t>
  </si>
  <si>
    <t>Организации здравоохраения, оказывающие стационарную помощь</t>
  </si>
  <si>
    <t>HP.1.1</t>
  </si>
  <si>
    <t>General hospitals</t>
  </si>
  <si>
    <t>HP.1.1.1</t>
  </si>
  <si>
    <t>Медицинские организации национальных компаний (полугосударственных организаций)</t>
  </si>
  <si>
    <t>Больницы восстановительной</t>
  </si>
  <si>
    <t>Больницы восстановительного лечения</t>
  </si>
  <si>
    <t>HP.1.1.4</t>
  </si>
  <si>
    <t>Реабилитационный центр</t>
  </si>
  <si>
    <t>HP.1.2</t>
  </si>
  <si>
    <t>Mental health and substance abuse hospitals</t>
  </si>
  <si>
    <t>Психиатрические больницы</t>
  </si>
  <si>
    <t>HP.1.2.1</t>
  </si>
  <si>
    <t>Психиатрическая больница</t>
  </si>
  <si>
    <t>Психиатрическая больница (диспансер)</t>
  </si>
  <si>
    <t xml:space="preserve">Психиатрическая больница/Психиатрическая больница строгого наблюдения </t>
  </si>
  <si>
    <t>HP.1.2.2</t>
  </si>
  <si>
    <t>Психоневрологическая больница/диспансер</t>
  </si>
  <si>
    <t>Наркологическая больница/диспансер</t>
  </si>
  <si>
    <t>Наркологическая больница (диспансер)</t>
  </si>
  <si>
    <t>HP.1.2.4</t>
  </si>
  <si>
    <t>Наркологический реабилитационный центр</t>
  </si>
  <si>
    <t>HP.1.3</t>
  </si>
  <si>
    <t>Specialty (other than mental health and substance abuse) hospitals</t>
  </si>
  <si>
    <t>Специализированные больницы(за исключением психиатрических больниц  и больниц для лечения алкогольной или наркотической зависимости)</t>
  </si>
  <si>
    <t xml:space="preserve">Specialised hospitals (other than mental health hospitals) </t>
  </si>
  <si>
    <t>Специализированные больницы (кроме психиатрических больниц)</t>
  </si>
  <si>
    <t xml:space="preserve">Специализированное лечебно-профилактическое учреждение </t>
  </si>
  <si>
    <t>???</t>
  </si>
  <si>
    <t xml:space="preserve">Инфекционная больница / инфекционная клиническая больница </t>
  </si>
  <si>
    <t>Перинатальный центр</t>
  </si>
  <si>
    <t xml:space="preserve">Родильный дом/Перинатальный центр </t>
  </si>
  <si>
    <t xml:space="preserve">Туберкулезная больница </t>
  </si>
  <si>
    <t>Противотуберкулезная больница (диспансер)</t>
  </si>
  <si>
    <t>Кожно-венерологическая больница (диспансер)</t>
  </si>
  <si>
    <t>Онкологическая больница (диспансер)</t>
  </si>
  <si>
    <t>Онкологический диспансер</t>
  </si>
  <si>
    <t>HP.2</t>
  </si>
  <si>
    <t>Nursing and residential care facilities</t>
  </si>
  <si>
    <t>HP.2.1</t>
  </si>
  <si>
    <t>Nursing care facilities</t>
  </si>
  <si>
    <t>HP.2.1.1</t>
  </si>
  <si>
    <t>Больница сестринского ухода(хоспис)</t>
  </si>
  <si>
    <t>Больница сестринского ухода/Хоспис</t>
  </si>
  <si>
    <t>Больница сестринского ухода</t>
  </si>
  <si>
    <t>HP.2.2</t>
  </si>
  <si>
    <t>Residential mental retardation, mental health and substance abuse facilities</t>
  </si>
  <si>
    <t>Учреждения по уходу за умственно отсталыми, психиатрическими больными и лечения алкогольной или наркотической зависимости по месту жительства.</t>
  </si>
  <si>
    <t>Психиатрические и накологичекие учрежедния</t>
  </si>
  <si>
    <t>Community care facilities for the elderly</t>
  </si>
  <si>
    <t>Дома пристарелых</t>
  </si>
  <si>
    <t>HP.2.9</t>
  </si>
  <si>
    <t>All other residential care facilities</t>
  </si>
  <si>
    <t>Другие учрежедения длительного ухода</t>
  </si>
  <si>
    <t>HP.2.9.1</t>
  </si>
  <si>
    <t xml:space="preserve">Дом ребенка </t>
  </si>
  <si>
    <t>HP.3</t>
  </si>
  <si>
    <t>Providers of ambulatory health care</t>
  </si>
  <si>
    <t>Организации, предоставляющии амбулаторные медицинские услуги</t>
  </si>
  <si>
    <t>Организации, предоставялющие амбулаторные медицинские услуги</t>
  </si>
  <si>
    <t>Организации здравоохраения, оказывающие амбулаторно-поликлиническую помощь</t>
  </si>
  <si>
    <t>Амбулаторно-поликлинические организации</t>
  </si>
  <si>
    <t>HP.3.1</t>
  </si>
  <si>
    <t>Offices of physicians</t>
  </si>
  <si>
    <t>Организации здравоохранения, оказывающие первичную медико-санитарную помощь</t>
  </si>
  <si>
    <t>HP.3.2</t>
  </si>
  <si>
    <t>Offices of dentists</t>
  </si>
  <si>
    <t>Стомотология</t>
  </si>
  <si>
    <t>Стоматологическая поликлиника / Клиническая стоматологическая поликлиника</t>
  </si>
  <si>
    <t>HP.3.3</t>
  </si>
  <si>
    <t>Offices of other health practitioners</t>
  </si>
  <si>
    <t>Другие работники здравоохранения</t>
  </si>
  <si>
    <t>HP.3.4</t>
  </si>
  <si>
    <t>Outpatient care centres</t>
  </si>
  <si>
    <t xml:space="preserve">Ambulatory health care centres </t>
  </si>
  <si>
    <t>Амбулаторные центры здравоохранения</t>
  </si>
  <si>
    <t>HP.3.4.1</t>
  </si>
  <si>
    <t>Family planning centres</t>
  </si>
  <si>
    <t>Центр планирования семьи и репродуктивного здоровья</t>
  </si>
  <si>
    <t xml:space="preserve">Family planning centres </t>
  </si>
  <si>
    <t>Центры планирования семьи</t>
  </si>
  <si>
    <t xml:space="preserve">Центр планирования семьи и репродуктивного здоровья </t>
  </si>
  <si>
    <t>Outpatient mental health and substance abuse centres</t>
  </si>
  <si>
    <t>Амбулаторные учреждения для лечения психиатрических заболеваний и алкагольной и наркотической зависимости</t>
  </si>
  <si>
    <t xml:space="preserve">Ambulatory mental health and substance abuse centres </t>
  </si>
  <si>
    <t>Амбулаторные психиатрические и наркологические центры</t>
  </si>
  <si>
    <t>Free-standing ambulatory surgery centres</t>
  </si>
  <si>
    <t>Центр амбулаторной хирургии</t>
  </si>
  <si>
    <t xml:space="preserve">Free standing ambulatory surgery centres </t>
  </si>
  <si>
    <t>Отдельные центры амбулаторной хирургии</t>
  </si>
  <si>
    <t>Dialysis care centres</t>
  </si>
  <si>
    <t>All other outpatient multi-specialty and cooperative service centres</t>
  </si>
  <si>
    <t xml:space="preserve">All other ambulatory centres </t>
  </si>
  <si>
    <t>Другие амбулаторные центры</t>
  </si>
  <si>
    <t>Консультативно-диагностический центр/поликлинника</t>
  </si>
  <si>
    <t>Организации здравоохранения, оказывающие консультативно-диагностическую помощь</t>
  </si>
  <si>
    <t xml:space="preserve">Консультативно-диагностический центр/Консультативно-диагностическая поликлиника/Консультативный центр/Диагностический центр </t>
  </si>
  <si>
    <t>All other outpatient community and other integrated care centres</t>
  </si>
  <si>
    <t>HP.3.4.9.1</t>
  </si>
  <si>
    <t>HP.3.5</t>
  </si>
  <si>
    <t>Medical and diagnostic laboratories</t>
  </si>
  <si>
    <t>HP.3.6</t>
  </si>
  <si>
    <t>Providers of home health care services</t>
  </si>
  <si>
    <t>HP.3.9</t>
  </si>
  <si>
    <t>Other providers of ambulatory health care</t>
  </si>
  <si>
    <t>Прочие организации, предоставляющие амбулаторные медицинские услуги</t>
  </si>
  <si>
    <t>HP.3.9.1</t>
  </si>
  <si>
    <t>Ambulance services</t>
  </si>
  <si>
    <t>Станция (отделение) скорой медицинской помощи</t>
  </si>
  <si>
    <t>Станция скорой медицинской помощи</t>
  </si>
  <si>
    <t xml:space="preserve">Станция (отделение) скорой медицинской </t>
  </si>
  <si>
    <t>HP.3.9.2</t>
  </si>
  <si>
    <t>Blood and organ banks</t>
  </si>
  <si>
    <t>Центр крови</t>
  </si>
  <si>
    <t>Организации, осуществляющие деятельность в сфере службы крови/Центр крови</t>
  </si>
  <si>
    <t>HP.3.9.3</t>
  </si>
  <si>
    <t>Alternative or traditional practitioners</t>
  </si>
  <si>
    <t>HP.3.9.4</t>
  </si>
  <si>
    <t>Центр по профилактике и борьбе со СПИД</t>
  </si>
  <si>
    <t>HP.3.9.9</t>
  </si>
  <si>
    <t>All other ambulatory health care services</t>
  </si>
  <si>
    <t>Все прочии организации, предостовляющие медицинские услуги на амбулаторном уровне</t>
  </si>
  <si>
    <t>HP.4</t>
  </si>
  <si>
    <t>Retail sale and other providers of medical goods</t>
  </si>
  <si>
    <t>Организации, осуществляющие розничную реализцию лекарственых средств, изделий медицинского назначения и медицинской техники</t>
  </si>
  <si>
    <t xml:space="preserve">Орагнизации розничных  продаж и прочие организации, предоставляющие медицинские товары </t>
  </si>
  <si>
    <t>HP.4.1</t>
  </si>
  <si>
    <t>Dispensing chemists</t>
  </si>
  <si>
    <t>Организации здравоохранения, осуществляющие фармацевтическую деятельность</t>
  </si>
  <si>
    <t>Организации, осуществляющие фармацевтическую деятельность</t>
  </si>
  <si>
    <t>HP.4.1.1</t>
  </si>
  <si>
    <t>Аптека/Аптечный пункт/Аптечный киоск</t>
  </si>
  <si>
    <t>Аптека, аптечный пункт в организациях здравоохранения, передвижной аптечный пункт, аптечный склад</t>
  </si>
  <si>
    <t>Аптека/Аптека лечебно-профилактической организации/Аптечный склад/Аптечный пункт/Аптечный киоск</t>
  </si>
  <si>
    <t>Retail sale and other suppliers of optical glasses and other vision products</t>
  </si>
  <si>
    <t>HP.4.2.1</t>
  </si>
  <si>
    <t>Магазин оптики</t>
  </si>
  <si>
    <t>HP.4.2.2</t>
  </si>
  <si>
    <t>Прочие организации, осуществляющие розничную реализацию очков и прочей продукции для лечения и коррекции органов зрения.</t>
  </si>
  <si>
    <t>Retail sale and other suppliers of hearing aids</t>
  </si>
  <si>
    <t>Retail sale and other suppliers of medical appliances (other than optical glasses and hearing aids)</t>
  </si>
  <si>
    <t>Организации розничных продаж и прочие поставщики медициснских товаров длительного пользования и медициснких приборов</t>
  </si>
  <si>
    <t>HP.4.4.1</t>
  </si>
  <si>
    <t>Магазин медицинской техники и изделий медицинского назначения</t>
  </si>
  <si>
    <t>Магазин изделий медицинского назначения</t>
  </si>
  <si>
    <t>All other miscellaneous sale and other suppliers of pharmaceuticals and medical goods</t>
  </si>
  <si>
    <t>Продажа прочей продукции и прочие поставщики фармацевтических или медицинских товаров</t>
  </si>
  <si>
    <t>HP.5</t>
  </si>
  <si>
    <t>Provision and administration of public health programmes</t>
  </si>
  <si>
    <t>Обеспечение и управление программами здравоохранения</t>
  </si>
  <si>
    <t>General health administration and insurance</t>
  </si>
  <si>
    <t>Government administration of health</t>
  </si>
  <si>
    <t>Государственные учреждения управления здравоохраением</t>
  </si>
  <si>
    <t>HP.6.2</t>
  </si>
  <si>
    <t>Social security funds</t>
  </si>
  <si>
    <t>HP.6.3</t>
  </si>
  <si>
    <t>Other social insurance</t>
  </si>
  <si>
    <t xml:space="preserve">HP.7.3 </t>
  </si>
  <si>
    <t xml:space="preserve">Управление частного стразхования здравоохранения </t>
  </si>
  <si>
    <t>Other (private) insurance</t>
  </si>
  <si>
    <t>All other providers of health administration</t>
  </si>
  <si>
    <t xml:space="preserve">HP.7.9 </t>
  </si>
  <si>
    <t>HP.7</t>
  </si>
  <si>
    <t>All other industries (rest of the economy)</t>
  </si>
  <si>
    <t>Establishments as providers of occupational health care services</t>
  </si>
  <si>
    <t>Private households as providers of home care</t>
  </si>
  <si>
    <t>All other industries as secondary producers of health care</t>
  </si>
  <si>
    <t>Institutions providing health-related services</t>
  </si>
  <si>
    <t>Организации, предоставляющие услуги, связанные со здравоохранением.</t>
  </si>
  <si>
    <t>Research institutions</t>
  </si>
  <si>
    <t>Научный центр/Научно-исследовательский институт</t>
  </si>
  <si>
    <t>Education and training institutions</t>
  </si>
  <si>
    <t>Организации образования в области здравоохранения</t>
  </si>
  <si>
    <t>Организации высшего и послевузовского медицинского и фармацевтического образования</t>
  </si>
  <si>
    <t>Организации среднего медицинского и фармацевтического образования</t>
  </si>
  <si>
    <t>Организации переполдготовки кадров и повышения квалификации.</t>
  </si>
  <si>
    <t>HP.8.3</t>
  </si>
  <si>
    <t>Other institutions providing health-related services</t>
  </si>
  <si>
    <t>Прочие организации предостовляющие услуги</t>
  </si>
  <si>
    <t>Санаторий/Специализированный санаторий/Профилакторий</t>
  </si>
  <si>
    <t>Санаторий/Санаторий-профилакторий/Санаторно-оздоровительный лагерь круглогодичного действия/Санаторий для детей с родителями</t>
  </si>
  <si>
    <t>Центр судебной медицины</t>
  </si>
  <si>
    <t xml:space="preserve">Республиканский центр судебной медицины/Бюро судебно-медицинской экспертизы </t>
  </si>
  <si>
    <t>Инфармационно медицинскии центр/Бюро медицинской статистики, анализа и информации</t>
  </si>
  <si>
    <t xml:space="preserve">Информационно-медицинский центр /Бюро медицинской статистики, анализа и информации </t>
  </si>
  <si>
    <t>Центр санитарно-эпидемиологической экспертизы/Санитарно-эпидемиологическая станция</t>
  </si>
  <si>
    <t xml:space="preserve">Региональный центр санитарно-эпидемиологической/Региональный центр санитарно-эпидемиологической экспертизы на железно- дорожном транспорте экспертизы на транспорте/Региональный центр санитарно-эпидемиологической экспертизы на воздушном транспорте </t>
  </si>
  <si>
    <t>Патологоанатоическое бюро</t>
  </si>
  <si>
    <t>Организации медицины катастроф/центр медицины катастроф</t>
  </si>
  <si>
    <t xml:space="preserve">Центр медицины катастроф </t>
  </si>
  <si>
    <t>HP.9</t>
  </si>
  <si>
    <t>Provider not specified by kind</t>
  </si>
  <si>
    <t>Кабинеты общих медицинских работников</t>
  </si>
  <si>
    <t>Кабинеты психиатра</t>
  </si>
  <si>
    <t xml:space="preserve">Кабинеты медицинских  специалистов (кроме психтатров) </t>
  </si>
  <si>
    <t xml:space="preserve">Dialysis care centres </t>
  </si>
  <si>
    <t>Центры диализа</t>
  </si>
  <si>
    <t>Орагнизации, предоставляющие услуги по траспортации пациентов и спасению жизни пациента в чрезвычайных ситуациях</t>
  </si>
  <si>
    <t>Прочие орагинзации, предостиавляющие дополнительные услуги</t>
  </si>
  <si>
    <t>Организации, оказвающие профилактику</t>
  </si>
  <si>
    <t>Домохозяйства как организации, предоставляющие медицискую помощь на дому</t>
  </si>
  <si>
    <t>Other industries n.e.c.</t>
  </si>
  <si>
    <t xml:space="preserve">Средства из государственого бюджета </t>
  </si>
  <si>
    <t>Средства республиканского бюджета</t>
  </si>
  <si>
    <t>Средства местного бюджета</t>
  </si>
  <si>
    <t>Схемы государственного финансирования и финансирования на основе обязательных отчисленией</t>
  </si>
  <si>
    <t>Государственные схемы финансирования республиканского уровня</t>
  </si>
  <si>
    <t>Государственные схемы финансирования местного уровня</t>
  </si>
  <si>
    <t>Схемы финансирования предприятий</t>
  </si>
  <si>
    <t>Схемы финансирования предприятий (за исключением поставщиков медицинских услуг)</t>
  </si>
  <si>
    <t>Частные расходы, за исключением сооплаты</t>
  </si>
  <si>
    <t xml:space="preserve">Сооплата в схемах государственного финансирования и финансирования на основе обязательных отчислений </t>
  </si>
  <si>
    <t xml:space="preserve">Международные схемы финансирования </t>
  </si>
  <si>
    <t xml:space="preserve">Обязательные схемы для </t>
  </si>
  <si>
    <t xml:space="preserve">Прочие обязательные схемы </t>
  </si>
  <si>
    <t>Добровольные Схемы</t>
  </si>
  <si>
    <t>Схемы добровольные медицинского страхования</t>
  </si>
  <si>
    <t>Прочие схемы</t>
  </si>
  <si>
    <t>Перинатальные центры</t>
  </si>
  <si>
    <t>Противотуберкулезные  больницы и диспансеры</t>
  </si>
  <si>
    <t>Онкологические больницы и диспансеры</t>
  </si>
  <si>
    <t>Лечебная практика</t>
  </si>
  <si>
    <t>Поставщики амбулаторных медицинских услуг</t>
  </si>
  <si>
    <t>Поставщики и розничные продавцы медицинских товаров</t>
  </si>
  <si>
    <t>санавиация</t>
  </si>
  <si>
    <t xml:space="preserve">  </t>
  </si>
  <si>
    <t>Всего</t>
  </si>
  <si>
    <t>HF.1 Государственный сектор</t>
  </si>
  <si>
    <t xml:space="preserve"> HF.2 Негосударственный сектор</t>
  </si>
  <si>
    <t>FS.5 Добровольное страхование</t>
  </si>
  <si>
    <t>FS.6 Прочие национальные доходы</t>
  </si>
  <si>
    <t>Отчет об исполнении государственного бюджета</t>
  </si>
  <si>
    <t xml:space="preserve">на 1 января 2013 годa  </t>
  </si>
  <si>
    <t xml:space="preserve">Периодичность </t>
  </si>
  <si>
    <t xml:space="preserve">месячная </t>
  </si>
  <si>
    <t xml:space="preserve">Единица измерения </t>
  </si>
  <si>
    <t xml:space="preserve">тыс.тенге </t>
  </si>
  <si>
    <t xml:space="preserve">Коды бюджетной классификации </t>
  </si>
  <si>
    <t xml:space="preserve">Наименование </t>
  </si>
  <si>
    <t xml:space="preserve">Утвержденный бюджет на отчетный финансовый год </t>
  </si>
  <si>
    <t xml:space="preserve">Уточненный бюджет на отчетный финансовый год </t>
  </si>
  <si>
    <t xml:space="preserve">Скорректированный бюджет на отчетный финансовый год1 </t>
  </si>
  <si>
    <t xml:space="preserve">Сводный план поступлений и финансирования по платежам, сводный план финансирования по обязательствам на отчетный период </t>
  </si>
  <si>
    <t xml:space="preserve">Принятые обязательства </t>
  </si>
  <si>
    <t xml:space="preserve">Неоплаченные обязательства </t>
  </si>
  <si>
    <t xml:space="preserve">Исполнение поступлениий бюджета и/или оплаченных обязательств по бюджетным программам (подпрограммам) </t>
  </si>
  <si>
    <t xml:space="preserve">Исп-е поступ-ий бюджета и/или оплач. обяз-в по бюдж. прогр. (подпрогр.)  к свод. плану  поступ-ий и финанс-ия  на отчет. период, % </t>
  </si>
  <si>
    <t xml:space="preserve">Исп-е поступ-ий бюджета и/или оплач. обяз-ва по бюдж. прогр. (подпрогр.) к исполняемому бюджету, % </t>
  </si>
  <si>
    <t xml:space="preserve">по платежам </t>
  </si>
  <si>
    <t xml:space="preserve">по обязательствам </t>
  </si>
  <si>
    <t xml:space="preserve">1 </t>
  </si>
  <si>
    <t>II. ЗАТРАТЫ</t>
  </si>
  <si>
    <t>01</t>
  </si>
  <si>
    <t>Государственные услуги общего характера</t>
  </si>
  <si>
    <t>1</t>
  </si>
  <si>
    <t>101</t>
  </si>
  <si>
    <t xml:space="preserve"> </t>
  </si>
  <si>
    <t>001</t>
  </si>
  <si>
    <t>100</t>
  </si>
  <si>
    <t>002</t>
  </si>
  <si>
    <t>003</t>
  </si>
  <si>
    <t>005</t>
  </si>
  <si>
    <t>109</t>
  </si>
  <si>
    <t>Проведение мероприятий за счет резерва Правительства Республики Казахстан на неотложные затраты</t>
  </si>
  <si>
    <t>102</t>
  </si>
  <si>
    <t>104</t>
  </si>
  <si>
    <t>Обеспечение функционирования информационных систем и информационно-техническое обеспечение государственного органа</t>
  </si>
  <si>
    <t>Проведение мероприятий за счет средств на представительские затраты</t>
  </si>
  <si>
    <t>011</t>
  </si>
  <si>
    <t>106</t>
  </si>
  <si>
    <t>111</t>
  </si>
  <si>
    <t>Создание информационных систем</t>
  </si>
  <si>
    <t>004</t>
  </si>
  <si>
    <t>006</t>
  </si>
  <si>
    <t>007</t>
  </si>
  <si>
    <t>108</t>
  </si>
  <si>
    <t>Разработка или корректировка технико-экономического обоснования местных бюджетных инвестиционных проектов и концессионных проектов и проведение его экспертизы, консультативное сопровождение концессионных проектов</t>
  </si>
  <si>
    <t>009</t>
  </si>
  <si>
    <t>Проведение мероприятий за счет чрезвычайного резерва Правительства Республики Казахстан</t>
  </si>
  <si>
    <t>Проведение мероприятий за счет чрезвычайного резерва местного исполнительного органа для ликвидации чрезвычайных ситуаций природного и техногенного характера</t>
  </si>
  <si>
    <t>123</t>
  </si>
  <si>
    <t>Аппарат акима района в городе, города районного значения, поселка, аула (села), аульного (сельского) округа</t>
  </si>
  <si>
    <t>022</t>
  </si>
  <si>
    <t>024</t>
  </si>
  <si>
    <t>694</t>
  </si>
  <si>
    <t>017</t>
  </si>
  <si>
    <t>020</t>
  </si>
  <si>
    <t>023</t>
  </si>
  <si>
    <t>2</t>
  </si>
  <si>
    <t>103</t>
  </si>
  <si>
    <t>Проведение социологических, аналитических исследований и оказание консалтинговых услуг</t>
  </si>
  <si>
    <t>008</t>
  </si>
  <si>
    <t>014</t>
  </si>
  <si>
    <t>016</t>
  </si>
  <si>
    <t>За счет софинансирования внешних займов из республиканского бюджета</t>
  </si>
  <si>
    <t>019</t>
  </si>
  <si>
    <t>021</t>
  </si>
  <si>
    <t>026</t>
  </si>
  <si>
    <t>027</t>
  </si>
  <si>
    <t>031</t>
  </si>
  <si>
    <t>033</t>
  </si>
  <si>
    <t>036</t>
  </si>
  <si>
    <t>За счет внешних займов</t>
  </si>
  <si>
    <t>Борьба с наркоманией и наркобизнесом</t>
  </si>
  <si>
    <t>010</t>
  </si>
  <si>
    <t>013</t>
  </si>
  <si>
    <t>018</t>
  </si>
  <si>
    <t>028</t>
  </si>
  <si>
    <t>034</t>
  </si>
  <si>
    <t>3</t>
  </si>
  <si>
    <t>201</t>
  </si>
  <si>
    <t>4</t>
  </si>
  <si>
    <t>202</t>
  </si>
  <si>
    <t>213</t>
  </si>
  <si>
    <t>225</t>
  </si>
  <si>
    <t>015</t>
  </si>
  <si>
    <t>226</t>
  </si>
  <si>
    <t>5</t>
  </si>
  <si>
    <t>За счет софинансирования гранта из республиканского бюджета</t>
  </si>
  <si>
    <t>За счет гранта</t>
  </si>
  <si>
    <t>012</t>
  </si>
  <si>
    <t>029</t>
  </si>
  <si>
    <t>044</t>
  </si>
  <si>
    <t>9</t>
  </si>
  <si>
    <t>039</t>
  </si>
  <si>
    <t>043</t>
  </si>
  <si>
    <t>271</t>
  </si>
  <si>
    <t>Управление строительства области</t>
  </si>
  <si>
    <t>За счет средств местного бюджета</t>
  </si>
  <si>
    <t>373</t>
  </si>
  <si>
    <t>Управление строительства города республиканского значения, столицы</t>
  </si>
  <si>
    <t>За счет трансфертов из республиканского бюджета</t>
  </si>
  <si>
    <t>Министерство связи и информации Республики Казахстан</t>
  </si>
  <si>
    <t>208</t>
  </si>
  <si>
    <t>281</t>
  </si>
  <si>
    <t>Проведение мероприятий в рамках реализации Государственной программы развития здравоохранения Республики Казахстан «Саламатты Қазақстан» на 2011-2015 годы</t>
  </si>
  <si>
    <t>047</t>
  </si>
  <si>
    <t>360</t>
  </si>
  <si>
    <t>Управление образования города республиканского значения, столицы</t>
  </si>
  <si>
    <t>464</t>
  </si>
  <si>
    <t>Отдел образования района (города областного значения)</t>
  </si>
  <si>
    <t>471</t>
  </si>
  <si>
    <t>Отдел образования, физической культуры и спорта района (города областного значения)</t>
  </si>
  <si>
    <t>Министерство туризма и спорта Республики Казахстан</t>
  </si>
  <si>
    <t>Подготовка специалистов в организациях технического и профессионального, послесреднего образования</t>
  </si>
  <si>
    <t>Подготовка специалистов в организациях  технического и профессионального, послесреднего образования и оказание социальной поддержки обучающимся</t>
  </si>
  <si>
    <t>253</t>
  </si>
  <si>
    <t>Управление здравоохранения области</t>
  </si>
  <si>
    <t>Оказание социальной поддержки обучающимся по программам технического и профессионального, послесреднего образования</t>
  </si>
  <si>
    <t>353</t>
  </si>
  <si>
    <t>Управление здравоохранения города республиканского значения, столицы</t>
  </si>
  <si>
    <t>030</t>
  </si>
  <si>
    <t>Повышение квалификации и переподготовка кадров</t>
  </si>
  <si>
    <t>038</t>
  </si>
  <si>
    <t>Подготовка специалистов с высшим, послевузовским образованием и оказание социальной поддержки обучающимся</t>
  </si>
  <si>
    <t>Строительство и реконструкция объектов образования</t>
  </si>
  <si>
    <t>Прикладные научные исследования</t>
  </si>
  <si>
    <t>Капитальные расходы государственных организаций образования системы здравоохранения</t>
  </si>
  <si>
    <t>Капитальные расходы государственных организаций образования системы  здравоохранения</t>
  </si>
  <si>
    <t>037</t>
  </si>
  <si>
    <t>05</t>
  </si>
  <si>
    <t>Здравоохранение</t>
  </si>
  <si>
    <t>Больницы широкого профиля</t>
  </si>
  <si>
    <t>Услуги по лечению военнослужащих, сотрудников правоохранительных органов и членов их семей          </t>
  </si>
  <si>
    <t>1.1.</t>
  </si>
  <si>
    <t>Медицинское обеспечение Вооруженных Сил</t>
  </si>
  <si>
    <t>Оказание стационарной медицинской помощи по направлению специалистов первичной медико-санитарной помощи и организаций здравоохранения, за исключением медицинских услуг, закупаемых центральным уполномоченным органом в области здравоохранения</t>
  </si>
  <si>
    <t>Охрана здоровья населения</t>
  </si>
  <si>
    <t>Оздоровление, реабилитация и организация отдыха детей</t>
  </si>
  <si>
    <t>2.5.</t>
  </si>
  <si>
    <t>Обеспечение санитарно-эпидемиологического благополучия населения на республиканском уровне</t>
  </si>
  <si>
    <t>Хранение специального медицинского резерва</t>
  </si>
  <si>
    <t>Обеспечение гарантированного объема бесплатной медицинской помощи, за исключением направлений, финансируемых на местном уровне</t>
  </si>
  <si>
    <t>Межсекторальное и межведомственное взаимодействие по вопросам охраны здоровья граждан</t>
  </si>
  <si>
    <t>Производство крови, ее компонентов и препаратов для местных организаций здравоохранения</t>
  </si>
  <si>
    <t>Услуги по охране материнства и детства</t>
  </si>
  <si>
    <t>Пропаганда здорового образа жизни</t>
  </si>
  <si>
    <t>Реализация социальных проектов на профилактику ВИЧ-инфекции среди лиц находящихся и освободившихся из мест лишения свободы в рамках Государственной программы «Саламатты Қазақстан» на 2011-2015 годы</t>
  </si>
  <si>
    <t>Приобретение тест-систем для проведения дозорного эпидемиологического надзора</t>
  </si>
  <si>
    <t>Реализация мероприятий в рамках Государственной программы «Саламатты Қазақстан» на 2011-2015 годы за счет трансфертов из республиканского бюджета</t>
  </si>
  <si>
    <t>Санитарно-эпидемиологическое благополучие населения на республиканском уровне</t>
  </si>
  <si>
    <t>Оказание медицинской помощи отдельным категориям граждан</t>
  </si>
  <si>
    <t>Специализированная медицинская помощь</t>
  </si>
  <si>
    <t>Оказание медицинской помощи лицам, страдающим туберкулезом, инфекционными заболеваниями, психическими расстройствами и расстройствами поведения, в том числе связанные с употреблением психоактивных веществ</t>
  </si>
  <si>
    <t>Обеспечение больных туберкулезом противотуберкулезными препаратами</t>
  </si>
  <si>
    <t>Обеспечение больных диабетом противодиабетическими препаратами</t>
  </si>
  <si>
    <t>Обеспечение онкологических больных химиопрепаратами</t>
  </si>
  <si>
    <t>Обеспечение химиопрепаратами онкогематологических больных за счет трансфертов из республиканского бюджета</t>
  </si>
  <si>
    <t>Обеспечение химиопрепаратами онкогематологических больных за счет средств местного бюджета</t>
  </si>
  <si>
    <t>Обеспечение лекарственными средствами больных с хронической почечной недостаточностью, аутоиммунными, орфанными заболеваниями, иммунодефицитными состояниями, а также больных после трансплантации почек</t>
  </si>
  <si>
    <t>Обеспечение факторами свертывания крови больных гемофилией</t>
  </si>
  <si>
    <t>Централизованный закуп вакцин и других медицинских иммунобиологических препаратов для проведения иммунопрофилактики населения</t>
  </si>
  <si>
    <t>Обеспечение тромболитическими препаратами больных с острым инфарктом миокарда</t>
  </si>
  <si>
    <t>046</t>
  </si>
  <si>
    <t>Оказание медицинской помощи онкологическим больным в рамках гарантированного объема бесплатной медицинской помощи</t>
  </si>
  <si>
    <t>Оказание онкологическим больным  стационарной, стационарозамещающей и амбулаторно-поликлинической медицинской помощи в специализированных организациях здравоохранения за счет трансфертов из республиканского бюджета</t>
  </si>
  <si>
    <t>Обеспечение лекарственными средствами онкологических больных на амбулаторном уровне за счет трансфертов из республиканского бюджета</t>
  </si>
  <si>
    <t>Обеспечение лекарственными средствами онкологических больных на амбулаторном уровне за счет средств местного бюджета</t>
  </si>
  <si>
    <t>Обеспечение иммуногистохимическими исследованиями онкологических больных за счет трансфертов из республиканского бюджета</t>
  </si>
  <si>
    <t>Обеспечение лучевой терапии за счет трансфертов из республиканского бюджета</t>
  </si>
  <si>
    <t>Поликлиники</t>
  </si>
  <si>
    <t>Оказание амбулаторно-поликлинической помощи населению за исключением медицинской помощи, оказываемой из средств республиканского бюджета</t>
  </si>
  <si>
    <t>Обеспечение лекарственными средствами и специализированными продуктами детского и лечебного питания отдельных категорий населения на амбулаторном уровне</t>
  </si>
  <si>
    <t>Лекарственное обеспечение детей до 5-летнего возраста на амбулаторном уровне лечения</t>
  </si>
  <si>
    <t>Обеспечение беременных железо-  и йодосодержащими препаратами</t>
  </si>
  <si>
    <t>Обеспечение лекарственными средствами детей и подростков, находящихся на диспансерном учете при амбулаторном лечении хронических заболеваний</t>
  </si>
  <si>
    <t>045</t>
  </si>
  <si>
    <t>Обеспечение лекарственными средствами на льготных условиях отдельных категорий граждан на амбулаторном уровне лечения</t>
  </si>
  <si>
    <t>Другие виды медицинской помощи</t>
  </si>
  <si>
    <t>Оказание скорой медицинской помощи и санитарная авиация</t>
  </si>
  <si>
    <t>Областные базы спецмедснабжения</t>
  </si>
  <si>
    <t>Базы спецмедснабжения города республиканского значения, столицы</t>
  </si>
  <si>
    <t>Прочие услуги в области здравоохранения</t>
  </si>
  <si>
    <t>Организация в экстренных случаях доставки тяжелобольных людей до ближайшей организации здравоохранения, оказывающей врачебную помощь</t>
  </si>
  <si>
    <t>Строительство и реконструкция объектов здравоохранения</t>
  </si>
  <si>
    <t>Формирование государственной политики в области здравоохранения</t>
  </si>
  <si>
    <t>Обеспечение деятельности уполномоченного органа в области здравоохранения</t>
  </si>
  <si>
    <t>В области здравоохранения</t>
  </si>
  <si>
    <t>Капитальные расходы Министерства здравоохранения Республики Казахстан</t>
  </si>
  <si>
    <t>Услуги по судебно-медицинской  экспертизе</t>
  </si>
  <si>
    <t>Услуги по хранению ценностей исторического наследия в области здравоохранения</t>
  </si>
  <si>
    <t>Создание информационных систем здравоохранения</t>
  </si>
  <si>
    <t>Капитальные расходы государственных организаций здравоохранения на республиканском уровне</t>
  </si>
  <si>
    <t>Внедрение международных стандартов в области больничного управления</t>
  </si>
  <si>
    <t>Разработка и экспертиза технико-экономических обоснований республиканских бюджетных концессионных проектов</t>
  </si>
  <si>
    <t>Услуги по реализации государственной политики на местном уровне в области здравоохранения</t>
  </si>
  <si>
    <t>Реализация мероприятий по профилактике и борьбе со СПИД в Республике Казахстан</t>
  </si>
  <si>
    <t>Проведение патологоанатомического вскрытия</t>
  </si>
  <si>
    <t>Обеспечение граждан бесплатным или льготным проездом за пределы населенного пункта на лечение</t>
  </si>
  <si>
    <t>Информационно-аналитические услуги в области здравоохранения</t>
  </si>
  <si>
    <t>Социальная поддержка медицинских и фармацевтических работников, направленных для работы в сельскую местность</t>
  </si>
  <si>
    <t>Капитальные расходы государственных органов здравоохранения</t>
  </si>
  <si>
    <t>Капитальные расходы медицинских  организаций здравоохранения</t>
  </si>
  <si>
    <t>Погашение кредиторской задолженности по обязательствам организаций здравоохранения за счет средств местного бюджета</t>
  </si>
  <si>
    <t>Сейсмоусиление объектов здравоохранения</t>
  </si>
  <si>
    <t>Содержание вновь вводимых объектов здравоохранения</t>
  </si>
  <si>
    <t>Капитальные расходы государственных организаций здравоохранения</t>
  </si>
  <si>
    <t xml:space="preserve"> Капитальные расходы медицинских организаций здравоохранения</t>
  </si>
  <si>
    <t>Капитальный ремонт сейсмоусиляемых объектов здравоохранения в городе Алматы</t>
  </si>
  <si>
    <t>Техническое и информационное обеспечение медицинских организаций</t>
  </si>
  <si>
    <t>Капитальные расходы медицинских организаций Управления делами Президента Республики Казахстан</t>
  </si>
  <si>
    <t>Услуги по сопровождению комплексной медицинской информационной системы</t>
  </si>
  <si>
    <t>Прочие услуги в области социальной помощи и социального обеспечения</t>
  </si>
  <si>
    <t>Формирование государственной политики в области труда, занятости, социальной защиты  населения</t>
  </si>
  <si>
    <t>Обеспечение деятельности уполномоченного органа государственной политики в области труда, занятости, социальной защиты  населения</t>
  </si>
  <si>
    <t>В области охраны труда</t>
  </si>
  <si>
    <t>Услуги по информационно-аналитическому обеспечению по базе занятости и бедности</t>
  </si>
  <si>
    <t>Услуги по обеспечению выплаты пенсий и пособий</t>
  </si>
  <si>
    <t>Капитальные расходы Министерства труда и социальной защиты населения Республики Казахстан</t>
  </si>
  <si>
    <t>Капитальные расходы организаций социальной защиты на республиканском уровне</t>
  </si>
  <si>
    <t>Услуги по методологическому обеспечению оказания инвалидам протезно-ортопедической помощи</t>
  </si>
  <si>
    <t>Совершенствование системы социальной защиты населения в соответствии с международными стандартами</t>
  </si>
  <si>
    <t>Услуги по повышению квалификации кадров социально-трудовой сферы</t>
  </si>
  <si>
    <t>Развитие автоматизированной информационной системы Государственного центра по выплате пенсий и Единой информационной системы социально-трудовой сферы</t>
  </si>
  <si>
    <t>128</t>
  </si>
  <si>
    <t>Реализация мероприятий в рамках Программы занятости 2020</t>
  </si>
  <si>
    <t>Ремонт объектов в рамках развития сельских населенных пунктов по Программе занятости 2020</t>
  </si>
  <si>
    <t>Услуги по обеспечению доступа к  информации в библиотеках республиканского значения</t>
  </si>
  <si>
    <t>13</t>
  </si>
  <si>
    <t>14</t>
  </si>
  <si>
    <t>HC.2.5</t>
  </si>
  <si>
    <t xml:space="preserve"> FS.1 Государственные средства</t>
  </si>
  <si>
    <t>FS. 2 Частные средства</t>
  </si>
  <si>
    <t>FS.3 Внешнее финанс-ие</t>
  </si>
  <si>
    <t>Министерство внутренних дел РК</t>
  </si>
  <si>
    <t>Министерство образования и науки РК</t>
  </si>
  <si>
    <t>Министерство обороны РК</t>
  </si>
  <si>
    <t>Управление делами Президента</t>
  </si>
  <si>
    <t>Министерство труда и социальной защиты населения РК</t>
  </si>
  <si>
    <t>HF.1.1.1.16.</t>
  </si>
  <si>
    <t>Министерство по чрезвычайным ситуациям РК</t>
  </si>
  <si>
    <t>HF.1.1.1.17.</t>
  </si>
  <si>
    <t>HF.1.1.1.18.</t>
  </si>
  <si>
    <t>HF.1.1.2.8</t>
  </si>
  <si>
    <t>HF.1.1.3</t>
  </si>
  <si>
    <t>Органы местного самоуправления</t>
  </si>
  <si>
    <t>HF.1.1.3.1</t>
  </si>
  <si>
    <t>Фонд социального страхования</t>
  </si>
  <si>
    <t>HF.1.2.1</t>
  </si>
  <si>
    <t>Государственный фонд социального страхования</t>
  </si>
  <si>
    <t>HF.3</t>
  </si>
  <si>
    <t>Министерство по чрезвычайным ситуациям</t>
  </si>
  <si>
    <t>по состоянию на 01.01.2013 года</t>
  </si>
  <si>
    <t>(в тысячах тенге)</t>
  </si>
  <si>
    <t>Наименование классов страхования</t>
  </si>
  <si>
    <t>всего</t>
  </si>
  <si>
    <t>Обязательное страхование</t>
  </si>
  <si>
    <t>гражданско-правовая ответственность владельцев транспортных средств</t>
  </si>
  <si>
    <t>1.2.</t>
  </si>
  <si>
    <t>гражданско-правовая ответственность перевозчика перед пассажирами</t>
  </si>
  <si>
    <t>1.3.</t>
  </si>
  <si>
    <t>страхование в растениеводстве</t>
  </si>
  <si>
    <t>1.4.</t>
  </si>
  <si>
    <t>страхование гражданско-правовой ответственности частных нотариусов</t>
  </si>
  <si>
    <t>1.5.</t>
  </si>
  <si>
    <t>экологическое страхование</t>
  </si>
  <si>
    <t>1.6.</t>
  </si>
  <si>
    <t>гражданско-правовая ответственность аудиторских организаций</t>
  </si>
  <si>
    <t>1.7.</t>
  </si>
  <si>
    <t>гражданско-правовая ответственность туроператора и турагента</t>
  </si>
  <si>
    <t>1.8.</t>
  </si>
  <si>
    <t>гражданско-правовая ответственность владельцев объектов, деятельность которых связана с опасностью причинения вреда третьим лицам</t>
  </si>
  <si>
    <t>1.9.</t>
  </si>
  <si>
    <t>страхование работника от несчастных случаев при исполнении им трудовых (служебных) обязанностей</t>
  </si>
  <si>
    <t>1.10</t>
  </si>
  <si>
    <t>иные виды (классы) страхования</t>
  </si>
  <si>
    <t>Добровольное личное страхование</t>
  </si>
  <si>
    <t>2.1.</t>
  </si>
  <si>
    <t>страхование жизни</t>
  </si>
  <si>
    <t>2.2.</t>
  </si>
  <si>
    <t>аннуитетное страхование, в том числе</t>
  </si>
  <si>
    <t>2.2.1.</t>
  </si>
  <si>
    <t>договоры пенсионного аннуитета, заключенные в соответствии с Законом Республики Казахстан от 20 июня 1997 года «О пенсионном обеспечении в Республике Казахстан»</t>
  </si>
  <si>
    <t>2.2.2.</t>
  </si>
  <si>
    <t>договоры аннуитета, заключенные в соответствии с Законом Республики Казахстан от 7 февраля 2005 года «Об обязательном страховании работника от несчастных случаев при исполнении им трудовых (служебных) обязанностей»</t>
  </si>
  <si>
    <t>2.2.3.</t>
  </si>
  <si>
    <t>иные виды аннуитетного страхования</t>
  </si>
  <si>
    <t>2.3.</t>
  </si>
  <si>
    <t>страхование от несчастных случаев</t>
  </si>
  <si>
    <t>2.4.</t>
  </si>
  <si>
    <t>страхование на случай болезни</t>
  </si>
  <si>
    <t>Добровольное имущественное страхование</t>
  </si>
  <si>
    <t>3.1</t>
  </si>
  <si>
    <t>страхование автомобильного транспорта</t>
  </si>
  <si>
    <t>3.2</t>
  </si>
  <si>
    <t>страхование железнодорожного транспорта</t>
  </si>
  <si>
    <t>3.3</t>
  </si>
  <si>
    <t>страхование воздушного транспорта</t>
  </si>
  <si>
    <t>3.4</t>
  </si>
  <si>
    <t>страхование водного транспорта</t>
  </si>
  <si>
    <t>3.5</t>
  </si>
  <si>
    <t>страхование грузов</t>
  </si>
  <si>
    <t>3.6</t>
  </si>
  <si>
    <t>страхование имущества, за исключением пунктов 3.1-3.5</t>
  </si>
  <si>
    <t>3.7</t>
  </si>
  <si>
    <t>страхование гражданско-правовой ответственности владельцев автомобильного транспорта</t>
  </si>
  <si>
    <t>3.8</t>
  </si>
  <si>
    <t>страхование гражданско-правовой ответственности владельцев воздушного транспорта</t>
  </si>
  <si>
    <t>3.9</t>
  </si>
  <si>
    <t>страхование гражданско-правовой ответственности владельцев водного транспорта</t>
  </si>
  <si>
    <t>3.10</t>
  </si>
  <si>
    <t>страхование гражданско-правовой ответственности, за исключением классов, указанных в пунктах 3.7-3.9</t>
  </si>
  <si>
    <t>3.11</t>
  </si>
  <si>
    <t>страхование займов</t>
  </si>
  <si>
    <t>3.12</t>
  </si>
  <si>
    <t>ипотечное страхование</t>
  </si>
  <si>
    <t>3.13</t>
  </si>
  <si>
    <t>страхование гарантий и поручительств</t>
  </si>
  <si>
    <t>3.14</t>
  </si>
  <si>
    <t>страхование от прочих финансовых убытков</t>
  </si>
  <si>
    <t>3.15</t>
  </si>
  <si>
    <t>страхование убытков финансовых организаций, за исключением классов, указанных в пунктах 3.11-3.14</t>
  </si>
  <si>
    <t>3.16</t>
  </si>
  <si>
    <t>титульное страхование</t>
  </si>
  <si>
    <t>3.17</t>
  </si>
  <si>
    <t>страхование судебных расходов</t>
  </si>
  <si>
    <t>3.18</t>
  </si>
  <si>
    <t>Источник: Уполномоченный орган РК по регулированию и надзору финансового рынка и финансовых организаций</t>
  </si>
  <si>
    <t>№</t>
  </si>
  <si>
    <t>город Астана</t>
  </si>
  <si>
    <t>город  Алматы</t>
  </si>
  <si>
    <t>Акмолинская область</t>
  </si>
  <si>
    <t>Актюбинская область</t>
  </si>
  <si>
    <t>Алматинская область</t>
  </si>
  <si>
    <t>Атырауская область</t>
  </si>
  <si>
    <t>Восточно-Казахстанская область</t>
  </si>
  <si>
    <t>Жамбылская область</t>
  </si>
  <si>
    <t>Западно-Казахстанская область</t>
  </si>
  <si>
    <t>Карагандинская область</t>
  </si>
  <si>
    <t>Костанайская область</t>
  </si>
  <si>
    <t>Кызылординская область</t>
  </si>
  <si>
    <t>Мангистауская область</t>
  </si>
  <si>
    <t>Павлодарская область</t>
  </si>
  <si>
    <t>Северо-Казахстанская область</t>
  </si>
  <si>
    <t>Южно-Казахстанкая область</t>
  </si>
  <si>
    <t>Оперативное исполнениеИнформация по исполнению за  12 месяцев 2012 года по РК по 036 бюджетной программе, в разрезе регионов по состоянию на 27.12.2012г.</t>
  </si>
  <si>
    <t>Наименование</t>
  </si>
  <si>
    <t>Уточнённый годовой план на 2012 год (по состоянию на 1 декабря)</t>
  </si>
  <si>
    <t>Сумма авансовой предоплаты согласно договора</t>
  </si>
  <si>
    <t>Исполнение за 12 месяцев текущего года</t>
  </si>
  <si>
    <t>декабрь</t>
  </si>
  <si>
    <t>План на 12 мес.</t>
  </si>
  <si>
    <t>Предъявлено к оплате 
(по счет-реестру)</t>
  </si>
  <si>
    <t xml:space="preserve">Сумма к снятию 
(экспертиза объема и качества)
</t>
  </si>
  <si>
    <t>Принято к оплате 
(по протоколу исполнения)</t>
  </si>
  <si>
    <t>Предъявлено к оплате БС после экспертизы</t>
  </si>
  <si>
    <t>Удержанная сумма  аванса</t>
  </si>
  <si>
    <t>Сумма к оплате по Акту выполненных работ (10-11-12)</t>
  </si>
  <si>
    <t>Сумма по Счету к оплате</t>
  </si>
  <si>
    <t>Текущая кредиторская задоженность (гр.13-гр.14)</t>
  </si>
  <si>
    <t>Остаток средств от плана (гр3-гр14)</t>
  </si>
  <si>
    <t>% (по преъявленному)</t>
  </si>
  <si>
    <t>% (по счету к оплате)</t>
  </si>
  <si>
    <t>План на декабрь (по платежам)</t>
  </si>
  <si>
    <t>Удержанная сумма аванса</t>
  </si>
  <si>
    <t>Сумма к оплате по Акту выполненных работ (25-26-27)</t>
  </si>
  <si>
    <t>Текущая кредиторская задолженность (гр.28-гр.29)</t>
  </si>
  <si>
    <t xml:space="preserve">Остаток средств от плана (гр.18-гр.29) </t>
  </si>
  <si>
    <t>Случай</t>
  </si>
  <si>
    <t>БС,т.т.</t>
  </si>
  <si>
    <t>плановая</t>
  </si>
  <si>
    <t>сверхплановая</t>
  </si>
  <si>
    <t>А</t>
  </si>
  <si>
    <t>В</t>
  </si>
  <si>
    <t>С</t>
  </si>
  <si>
    <t>СВОД по Республике</t>
  </si>
  <si>
    <t>ИТОГО</t>
  </si>
  <si>
    <t>СМП</t>
  </si>
  <si>
    <t>ВСМП</t>
  </si>
  <si>
    <t>СЗП</t>
  </si>
  <si>
    <t>КДП</t>
  </si>
  <si>
    <t>сан-я</t>
  </si>
  <si>
    <t>лизинг</t>
  </si>
  <si>
    <t>Лизинг</t>
  </si>
  <si>
    <t>всего:</t>
  </si>
  <si>
    <t>ВКО</t>
  </si>
  <si>
    <t>итого</t>
  </si>
  <si>
    <t>Жамбыл</t>
  </si>
  <si>
    <t>Мангистау</t>
  </si>
  <si>
    <t>Павлодар</t>
  </si>
  <si>
    <t>ЮКО</t>
  </si>
  <si>
    <t>ВСЕГО</t>
  </si>
  <si>
    <t>г.Алматы</t>
  </si>
  <si>
    <t>г.Астана</t>
  </si>
  <si>
    <t>Разница между планами финансирования поставщиков мед. услуг и Казаначейства</t>
  </si>
  <si>
    <t>С ТАЦИОНАРНАЯ МЕДИЦИНСКАЯ ПОМОЩЬ</t>
  </si>
  <si>
    <t>ГКП на ПХВ «Акмолинская областная больница» при УЗ Акмолинской области</t>
  </si>
  <si>
    <t>ГКП на ПХВ «Акмолинская областная детская больница» при УЗ Акмолинской области</t>
  </si>
  <si>
    <t>ГКП на ПХВ" Перинатальный центр"при УЗ Акмолинской области</t>
  </si>
  <si>
    <t>ГКП на ПХВ" Областной кожно-венерологический диспансер"при акимате Акмолинской области</t>
  </si>
  <si>
    <t>ГКП на ПХВ" Акмолинская областная больница №2" при УЗ  Акмолинской области</t>
  </si>
  <si>
    <t>ГКП на ПХВ" Кокшетауская городская больница"при УЗ Акмолинской области</t>
  </si>
  <si>
    <t>ГКП на ПХВ" Кокшетауская городская больница  с поликлиникой  №2"при акимате Акмолинской области</t>
  </si>
  <si>
    <t>Кокшетауский филиал АО "Железнодорожные госпитали медицины катостроф" - "Кокшетауская железнодорожная больница"</t>
  </si>
  <si>
    <t>ГКП на ПХВ «Городская поликлиника» при УЗ Акмолинской области</t>
  </si>
  <si>
    <t>ГККП  « Городская детская поликлиника » при  УЗ Акмолинской области</t>
  </si>
  <si>
    <t>ГККП  « Городская женская консультация » при  УЗ Акмолинской области</t>
  </si>
  <si>
    <t>ГККП «Поликлиника для ветеранов и инвалидов Великой Отечественной войны» при УЗ Акмолинской области</t>
  </si>
  <si>
    <t>ГКП на ПХВ «Степногорская центральная городская больница» при УЗ Акмолинской области</t>
  </si>
  <si>
    <t>ГКП на ПХВ «Степногорская городская поликлиника» при акимате Акмолинской области</t>
  </si>
  <si>
    <t>ГКП на ПХВ «Аккольская центральная районная больница» при акимате Акмолинской области</t>
  </si>
  <si>
    <t>ГКП на ПХВ «Аршалынская центральная районная больница» при УЗ Акмолинской области</t>
  </si>
  <si>
    <t>ГКП на ПХВ "Астраханская центральная районная больница"при УЗ Акмолинской области</t>
  </si>
  <si>
    <t>ГКП на ПХВ «Атбасарская центральная районная больница» при УЗ  Акмолинской области</t>
  </si>
  <si>
    <t>ГКП на  ПХВ «Буландынская центральная районная больница» при акимате Акмолинской области</t>
  </si>
  <si>
    <t>ГККП «Бурабайская центральная районная больница»при УЗ Акмолинской области</t>
  </si>
  <si>
    <t>ГККП «Бурабайская районная поликлиника» при УЗ Акмолинской области</t>
  </si>
  <si>
    <t>ГККП «Егиндыкольская центральная районная больница» при УЗ Акмолинской области</t>
  </si>
  <si>
    <t>ГККП «Енбекшильдерская  центральная районная больница» при УЗ Акмолинской области</t>
  </si>
  <si>
    <t>ГККП «Ерейментауская центральная районная больница» при УЗ Акмолинской области</t>
  </si>
  <si>
    <t>ГККП «Есильская  центральная районная больница» при УЗ Акмолинской области</t>
  </si>
  <si>
    <t>ГКП на ПХВ «Жаксынская центральная районная больница» при акимате Акмолинской области</t>
  </si>
  <si>
    <t>ГККП «Жаркаинская центральная районная больница» при УЗ Акмолинской области</t>
  </si>
  <si>
    <t>ГКП на ПХВ «Зерендинская центральная районная больница» при УЗ  Акмолинской области</t>
  </si>
  <si>
    <t>ГККП «Коргалжинская центральная районная больница» при УЗ Акмолинской области</t>
  </si>
  <si>
    <t>ГККП «Сандыктауская центральная районная больница» при УЗ Акмолинской области</t>
  </si>
  <si>
    <t>ГККП  «Шортандинская центральная районная больница» при УЗ Акмолинской области</t>
  </si>
  <si>
    <t>ГККП «Целиноградская районная поликлиника» при УЗ Акмолинской области</t>
  </si>
  <si>
    <t>РГКП" Республиканский центр реабилитации "Карагай" МЗ РК</t>
  </si>
  <si>
    <t>РГКП" Республиканский  центр реабилитации для детей и подростков" МЗ РК</t>
  </si>
  <si>
    <t>Стационарозамещающая</t>
  </si>
  <si>
    <t>смп</t>
  </si>
  <si>
    <t>всмп</t>
  </si>
  <si>
    <t>сзп</t>
  </si>
  <si>
    <t>Информация по финансированию за декабрь 2012г. по 036 программе в разрезе поставщиков по Акмолинской области</t>
  </si>
  <si>
    <t>с 1 по 15 декабря 2012 года</t>
  </si>
  <si>
    <t>% исполн. (12+14)/3</t>
  </si>
  <si>
    <t>% исполн. (27+29)/18</t>
  </si>
  <si>
    <t>Санавиация</t>
  </si>
  <si>
    <t>Всего по области:</t>
  </si>
  <si>
    <t>Директор</t>
  </si>
  <si>
    <t>Жанов М.О.</t>
  </si>
  <si>
    <t>исп. Алгожина К.</t>
  </si>
  <si>
    <t>тел. 25-17-78</t>
  </si>
  <si>
    <t>свободный остаток</t>
  </si>
  <si>
    <t>в т.ч. Лизинг</t>
  </si>
  <si>
    <t>ГКП "Областной перинатальный центр" на ПХВ ГУ "Управление здравоохранения Актюбинской области"</t>
  </si>
  <si>
    <t>Итого</t>
  </si>
  <si>
    <t>ГКП "Каргалинская городская больница" на ПХВ ГУ "Управление здравоохранения Актюбинской области"</t>
  </si>
  <si>
    <t>ГККП "Байганинская центральная районная больница" ГУ "Управление здравоохранения Актюбинской области"</t>
  </si>
  <si>
    <t>ГКП"Больница скорой медицинской помощи" на ПХВ ГУ "Управление здравоохранения Актюбинской области"</t>
  </si>
  <si>
    <t>ГКП "Областная детская клиническая больница" на ПХВ ГУ "Управление здравоохранения Актюбинской области"</t>
  </si>
  <si>
    <t>ЧМУ "Саяжан"</t>
  </si>
  <si>
    <t>Западно-Казахстанский филиал РГКП"Национальный центр гигиены труда и проф.заболеваний" МЗ РК</t>
  </si>
  <si>
    <t>Филиал АО "Железнодорожные госпитали медицины катастроф" - "Актюбинская железнодорожная больница"</t>
  </si>
  <si>
    <t xml:space="preserve">РГКП"Западно-Казахстанский государственный медицинский университет им.М.Оспанова" </t>
  </si>
  <si>
    <t xml:space="preserve">ГКП "Областной кожно-венерологический диспансер" на ПХВ ГУ "Управление здравоохранения Актюбинской области" </t>
  </si>
  <si>
    <t>ГККП "Городская детская клиническая больница"  ГУ "Управление здравоохранения Актюбинской области"</t>
  </si>
  <si>
    <t>ГКП "Алгинская центральная районная больница" на ПХВ ГУ "Управление здравоохранения Актюбинской области"</t>
  </si>
  <si>
    <t>ГККП "Айтекебийская центральная районная больница"</t>
  </si>
  <si>
    <t>ГКП "Каргалинская центральная районная больница" на ПХВ ГУ "Управление здравоохранения Актюбинской области"</t>
  </si>
  <si>
    <t>ГККП "Кобдинская центральная районная больница"</t>
  </si>
  <si>
    <t>ГККП "Мартукская центральная районная больница"</t>
  </si>
  <si>
    <t>ГККП "Эмбинская районная больница"  ГУ "Управление здравоохранения Актюбинской области"</t>
  </si>
  <si>
    <t>ЧМУ "Больница Шапагат"</t>
  </si>
  <si>
    <t>ГККП "Мугалжарская  центральная районная больница" ГУ "Управление здравоохранения Актюбинской области"</t>
  </si>
  <si>
    <t>ГККП "Уилская центральная районная больница" ГУ "Управление здравоохранения Актюбинской области"</t>
  </si>
  <si>
    <t>ГККП "Темирская центральная районная больница" ГУ "Управление здравоохранения Актюбинской области"</t>
  </si>
  <si>
    <t>ГКП "Хромтауская центральная районная больница" на ПХВ ГУ "Управление здравоохранения Актюбинской области"</t>
  </si>
  <si>
    <t>ГККП "Шалкарская центральная районная больница" ГУ "Управление здравоохранения Актюбинской области"</t>
  </si>
  <si>
    <t>ГККП "Иргизская  центральная районная больница"</t>
  </si>
  <si>
    <t>ТОО"Шипагер Актобе"</t>
  </si>
  <si>
    <t>ТОО "БИОС"</t>
  </si>
  <si>
    <t>ГКП "Городская поликлиника №2" на ПХВ ГУ "Управление здравоохранения Актюбинской области"</t>
  </si>
  <si>
    <t>ГКП "Городская поликлиника №3" на ПХВ ГУ "Управление здравоохранения Актюбинской области"</t>
  </si>
  <si>
    <t>ГКП"Центр планирования семьи и репродукции человека" на ПХВ ГУ "Управление здравоохранения Актюбинской области"</t>
  </si>
  <si>
    <t>ГКП "Городская поликлиника №1" на ПХВ ГУ "Управление здравоохранения Актюбинской области"</t>
  </si>
  <si>
    <t>ГККП "Мугалжарская районная поликлиника"</t>
  </si>
  <si>
    <t>ГКП "Шалкарская районная поликлиника" на ПХВ ГУ "Управления здравоохранения Актюбинской области"</t>
  </si>
  <si>
    <t>МУ "Медикус центр"</t>
  </si>
  <si>
    <t>ГКП "Актюбинский областной консультативно-диагностический центр" на ПХВ ГУ "Управление здравоохранения Актюбинской области"</t>
  </si>
  <si>
    <t>ГККП "Поликлиника "Ветеран" ГУ "Управление здравоохранения Актюбинской области"</t>
  </si>
  <si>
    <t>ГКП "Городская поликлиника №4" на ПХВ ГУ "Управление здравоохранения Актюбинской области"</t>
  </si>
  <si>
    <t>ТОО "Лечебно-диагностический центр Актобе"</t>
  </si>
  <si>
    <t>ТОО "Центра Красоты и Здоровья "Айгерим"</t>
  </si>
  <si>
    <t>АФ ТОО "Медицинский центр Евразия"</t>
  </si>
  <si>
    <t>ГКП на ПХВ «Областная больница города Талдыкорган» государственного учреждения "Управления здравоохранения Акима Алматинской области" акимата Алматинской области</t>
  </si>
  <si>
    <t>СЗТ</t>
  </si>
  <si>
    <t>ГКП на ПХВ  «Областной кардиологический центр» государственного учреждения "Управление здравоохранения Алматинской области" акимата Алматинской области</t>
  </si>
  <si>
    <t>ГКП на ПХВ "Алматинская многопрофильная клиническая больница" "ГУ Управления здравоохранения акима Алматинской области" акимата Алматинской области</t>
  </si>
  <si>
    <t>ГКП на ПХВ  "Областная детская больница" государственного учреждения "Управление здравоохранения Алматинской области" акимата Алматинской области</t>
  </si>
  <si>
    <t>ГККП «Областной перинатальный центр г.Талдыкорган»</t>
  </si>
  <si>
    <t>ГККП "Талдыкорганский кожно-венерологический диспансер"</t>
  </si>
  <si>
    <t>ГКП на ПХВ  "Алматинский областной кожно-венерологический диспансер" государственного учреждения "Управления здравоохранения Алматинской области" акимата Алматинской области</t>
  </si>
  <si>
    <t>ГКП на ПХВ  "Талдыкорганская городская больница" государственного учреждения "Управление здравоохранения Алматинской области" акимата Алматинской области</t>
  </si>
  <si>
    <t>ГКП на ПХВ  "Аксуская центральная районная больница" государственного учреждения "Управление здравоохранения Алматинской области" акимата Алматинской области</t>
  </si>
  <si>
    <t>ГККП Сельская больница с.Капал</t>
  </si>
  <si>
    <t>ГКП на ПХВ  "Алакольская центральная районная больница" государственного учреждения "Управления здравоохранения Алматинской области" акимата Алматинской области</t>
  </si>
  <si>
    <t>ГККП Сельская больница с.Кабанбай</t>
  </si>
  <si>
    <t>ГККП Сельская больница ст.Достык</t>
  </si>
  <si>
    <t>ГКП Центральная районная больница Балхашского района</t>
  </si>
  <si>
    <t>ГККП Сельская больница с.Карой</t>
  </si>
  <si>
    <t>ГККП Сельская больница с.Куйган</t>
  </si>
  <si>
    <t>ГККП Сельская больница с.Бакбакты</t>
  </si>
  <si>
    <t>ГКП на ПХВ  "Енбекшиказахская центральная районная больница" государственного учреждения "Управления здравоохранения Алматинской области" акимата Алматинской области</t>
  </si>
  <si>
    <t>ГКП на ПХВ  "Енбекшиказахская районная поликлиника" государственного учреждения "Управление здравоохранения Алматинской области" акимата Алматинской области</t>
  </si>
  <si>
    <t>ГККП Сельская больница с.Маловодное</t>
  </si>
  <si>
    <t>ГККП Сельская больница с.Шелек</t>
  </si>
  <si>
    <t>ГККП Родильный дом г.Есик</t>
  </si>
  <si>
    <t>ГКП на ПХВ  "Жамбылская центральная районная больница" государственного учреждения "Управление здравоохранения Алматинской области" акимата Алматинской области</t>
  </si>
  <si>
    <t>ГКП на ПХВ  "Жамбылская районная поликлиника" государственного учреждения "Управление здравоохранения Алматинской области" акимата Алматинской области</t>
  </si>
  <si>
    <t>ГККП Сельская больница с.Каргалы</t>
  </si>
  <si>
    <t>ГККП Сельская больница с.Казбек бек</t>
  </si>
  <si>
    <t>ГКП на ПХВ  "Илийская центральная районная больница" государственного учреждения "Управления здравоохранения Алматинской области" акимата Алматинской области</t>
  </si>
  <si>
    <t>ГККП Сельская больница с.Боролдай</t>
  </si>
  <si>
    <t>ГККП Сельская больница с.Жетыген</t>
  </si>
  <si>
    <t>ГККП Сельская больница с.Акши</t>
  </si>
  <si>
    <t>ГККП "Алматинская региональная детская больница"</t>
  </si>
  <si>
    <t>ГКП на ПХВ  "Ескельдинская центральная районная больница" государственного учреждения "Управления здравоохранения Алматинской области" акимата Алматинской области</t>
  </si>
  <si>
    <t>ГКП на ПХВ  "Карасайская центральная районная больница" государственного учреждения "Управление здравоохранения Алматинской области" акимата Алматинской области</t>
  </si>
  <si>
    <t>ГКП на ПХВ  "Карасайская районная поликлиника" государственного учреждения "Управление здравоохранения Алматинской области" акимата Алматинской области</t>
  </si>
  <si>
    <t>ГККП Сельская больница с.Таусамалы</t>
  </si>
  <si>
    <t>ГККП Многопрофильная больница с.Ушконыр</t>
  </si>
  <si>
    <t>ГККП Сельская больница ст.Шамалган</t>
  </si>
  <si>
    <t>ГКП Центральная районная больница Каратальского района</t>
  </si>
  <si>
    <t>ГККП Сельская больница с.Алмалы</t>
  </si>
  <si>
    <t>ГККП "Кербулакская центральная районная больница" государственного учреждения  Управления здравоохранения Алматинской области" акимата Алматинской области</t>
  </si>
  <si>
    <t>ГККП Сельская больница с.Когалы</t>
  </si>
  <si>
    <t>ГКП на ПХВ  "Коксуская центральная районная больница" государственного учреждения "Управления здравоохранения Алматинской области" акимата Алматинской области</t>
  </si>
  <si>
    <t>ГКП Центральная районная больница Панфиловского района</t>
  </si>
  <si>
    <t>ГКП Центральная районная поликлиника Панфиловского района</t>
  </si>
  <si>
    <t>ГККП Родильный дом г.Жаркент</t>
  </si>
  <si>
    <t>ГККП Сельская больница с.Коныролен</t>
  </si>
  <si>
    <t>ГККП Сельская больница с.Коктал</t>
  </si>
  <si>
    <t>ГККП "Райымбекская центральная районная больница" государственного учреждения "Управления здравоохранения Алматинской области" акимата Алматинской области</t>
  </si>
  <si>
    <t>ГККП Сельская больница с.Жаланаш</t>
  </si>
  <si>
    <t>ГККП Сельская больница с.Нарынкол</t>
  </si>
  <si>
    <t>ГККП Сельская больница с.Сумбе</t>
  </si>
  <si>
    <t>ГКП на ПХВ  "Саркандская центральная районная больница" государственного учреждения "Управление здравоохранения Алматинской области" акимата Алматинской области</t>
  </si>
  <si>
    <t>ГККП Сельская больница с.Лепсы</t>
  </si>
  <si>
    <t>ГКП Центральная районная больница Талгарского района</t>
  </si>
  <si>
    <t>ГКП Центральная районная поликлиника Талгарского района</t>
  </si>
  <si>
    <t>ГККП Сельская больница с.Панфилова</t>
  </si>
  <si>
    <t>ГККП Сельская больница с.Нура</t>
  </si>
  <si>
    <t>ГККП "Уйгурская центральная районная больница" государственного учреждения "Управление здравоохранения Алматинской области" акимата Алматинской области</t>
  </si>
  <si>
    <t>ГККП Сельская больница с.Кетмен</t>
  </si>
  <si>
    <t>ГККП Сельская больница с.Чарын</t>
  </si>
  <si>
    <t>ГКП на ПХВ «Капшагайская городская больница» государственного учреждения "Управление здравоохранения Алматинской области" акимата Алматинской области</t>
  </si>
  <si>
    <t>ГКП на ПХВ «Капшагайская городская поликлиника» государственного учреждения "Управления здравоохранения Алматинской области" акимата Алматинской области</t>
  </si>
  <si>
    <t>ГКП Городская больница г.Текели</t>
  </si>
  <si>
    <t xml:space="preserve">ТОО "Даулет-Центр" п.Боролдай </t>
  </si>
  <si>
    <t xml:space="preserve">ТОО "Ирис-СТ" глазная больница г.Жаркент </t>
  </si>
  <si>
    <t>ТОО "Медицинский центр ХАК" г.Алматы</t>
  </si>
  <si>
    <t>НУ МЦ "Нур-Авиценум" г.Талдыкорган</t>
  </si>
  <si>
    <t>АФ АО "Железнодорожные госпитали медицины катастроф"-"Алматинская железнодорожная больница"</t>
  </si>
  <si>
    <t>РГКП "Республиканская детская клиническая больница "Аксай"</t>
  </si>
  <si>
    <t>ТОО "Алматинский клинический центр профессора Мустафаева С.У."</t>
  </si>
  <si>
    <t>ТОО "Зире"</t>
  </si>
  <si>
    <t>ГКП "Городская клиническая больница №1 на ПХВ Управления здравоохранения города Алматы"</t>
  </si>
  <si>
    <t>АО "Казахский ордена "Знак почета" научно-исследовательский институт глазных болезней"</t>
  </si>
  <si>
    <t xml:space="preserve">РГК "Центральная клиническая больница Медицинского центра Управления делами Президента Республики Казахстан" на ПХВ </t>
  </si>
  <si>
    <t>АО "Санаторий Алматы"</t>
  </si>
  <si>
    <t>ГКП на ПХВ  "Талдыкорганская городская поликлиника" государственного учреждения "Управление здравоохранения Алматинской области" акимата Алматинской области</t>
  </si>
  <si>
    <t>ГККП "Городская детская поликлиника г.Талдыкорган"</t>
  </si>
  <si>
    <t>ГККП "Женская консультация г.Талдыкорган"</t>
  </si>
  <si>
    <t>ПТ  "Эскулап"</t>
  </si>
  <si>
    <t>ТОО "Медицинская компания "Сункар"</t>
  </si>
  <si>
    <t>ТОО "IDSenim"</t>
  </si>
  <si>
    <t xml:space="preserve">КГП на ПХВ "Атырауская областная больница Управления здравоохранения Атырауской области </t>
  </si>
  <si>
    <t xml:space="preserve">КГП на ПХВ "Атырауская областная детская  больница Управления здравоохранения Атырауской области </t>
  </si>
  <si>
    <t>КГП на ПХВ "Атырауский областной кожно-венерологический диспансер Управления здравоохранения Атырауской области "</t>
  </si>
  <si>
    <t>КГКП "Атырауский областной родильный дом Управления здравоохранения Атырауской области "</t>
  </si>
  <si>
    <t>КГП на ПХВ "Атырауская областная офтальмологическая больница Управления здравоохранения Атырауской области"</t>
  </si>
  <si>
    <t>КГП на ПХВ "Атырауская городская больница Управления здравоохранения Атырауской области"</t>
  </si>
  <si>
    <t>КГКП "Атырауский городской родильный дом Управления здравоохранения Атырауской области"</t>
  </si>
  <si>
    <t>КГП на ПХВ "Кызылкогинская центральная районная больница Управления здравоохранения Атырауской области"</t>
  </si>
  <si>
    <t>КГП на ПХВ "Жылыойская центральная районная больница Управления здравоохранения Атырауской области"</t>
  </si>
  <si>
    <t>КГП на ПХВ "Индерская центральная районная больница Управления здравоохранения Атырауской области"</t>
  </si>
  <si>
    <t>КГП на ПХВ "Исатайская центральная районная больница Управления здравоохранения Атырауской области"</t>
  </si>
  <si>
    <t>КГП на ПХВ "Махамбетская центральная районная больница Управления здравоохранения Атырауской области"</t>
  </si>
  <si>
    <t>КГКП "Макатская центральная районная больница Управления здравоохранения Атырауской области"</t>
  </si>
  <si>
    <t>КГКП "Доссорская районная больница Управления здравоохранения Атырауской области"</t>
  </si>
  <si>
    <t>КГП на ПХВ "Курмангазинская центральная районная больница Управления здравоохранения Атырауской области"</t>
  </si>
  <si>
    <t>Атырауский филиал АО  "Железнодорожные госпитали медицины катастроф"-"Атырауская железнодорожная больница"</t>
  </si>
  <si>
    <t>ТОО КВД "Дархан"</t>
  </si>
  <si>
    <t>ИП "Бердигалиева Г"</t>
  </si>
  <si>
    <t xml:space="preserve">КГП "Атырауская городская поликлиника №1 Управления здравоохранения Атырауской области" </t>
  </si>
  <si>
    <t xml:space="preserve">КГП "Атырауская городская поликлиника №2 Управления здравоохранения Атырауской области" </t>
  </si>
  <si>
    <t xml:space="preserve">КГП на ПХВ "Атырауская городская поликлиника №3 Управления здравоохранения Атырауской области" </t>
  </si>
  <si>
    <t xml:space="preserve">КГП на ПХВ "Атырауская городская поликлиника №4 Управления здравоохранения Атырауской области" </t>
  </si>
  <si>
    <t xml:space="preserve">КГП на ПХВ "Атырауская городская поликлиника №5" Управления здравоохранения Атырауской области </t>
  </si>
  <si>
    <t xml:space="preserve">КГКП "Атырауская городская детская поликлиника  Управления здравоохранения Атырауской области" </t>
  </si>
  <si>
    <t>КГКП "Дамбинская врачебная амбулатория Управления здравоохранения Атырауской  области"</t>
  </si>
  <si>
    <t xml:space="preserve">КГП на ПХВ "Геологская поликлиника" Управления здравоохранения Атырауской области </t>
  </si>
  <si>
    <t>КГП на ПХВ "Жылыойская районная поликлиника Управления здравоохранения Атырауской области"</t>
  </si>
  <si>
    <t>ТОО "Салимжан и К"</t>
  </si>
  <si>
    <t>ТОО "Жылыой поликлиника"</t>
  </si>
  <si>
    <t xml:space="preserve">КГП на ПХВ "Атырауская городская поликлиника №7" Управления здравоохранения Атырауской области </t>
  </si>
  <si>
    <t>ТОО "Достар Мед Престиж"</t>
  </si>
  <si>
    <t>ТОО "Уро Про Клиник Интернэшнл Вест"</t>
  </si>
  <si>
    <t>Восточно казахстанская область</t>
  </si>
  <si>
    <t>КГП на ПХВ "Восточно-Казахстанская областная больница" УЗ ВКО акимата</t>
  </si>
  <si>
    <t>КГП на ПХВ "Центр матери и ребенка" УЗ ВКО акимата</t>
  </si>
  <si>
    <t>КГП на ПХВ "Восточно-Казахстанский областной кожно-венерологический диспансер" УЗ ВКО акимата</t>
  </si>
  <si>
    <t>РГП на ПХВ "Государственный медицинский университет города Семей" МЗ РК</t>
  </si>
  <si>
    <t>КГКП "Центр медицины труда, экологии человека и реабилитации" УЗ ВКО акимата</t>
  </si>
  <si>
    <t>КГП на ПХВ "Консультативно-диагностический центр города Семей" УЗ ВКО акимата</t>
  </si>
  <si>
    <t>КГП на ПХВ "Усть-Каменогорская городская больница №1" УЗ ВКО акимата</t>
  </si>
  <si>
    <t>КГКП "Поликлиника №2 смешанного типа города Усть-Каменогорска" УЗ ВКО акимата</t>
  </si>
  <si>
    <t>КГКП "Детская больница №1 города Усть-Каменогорска" УЗ ВКО акимата</t>
  </si>
  <si>
    <t>Товарищество с ограниченной ответственностью "Медико-санитарная часть-2"</t>
  </si>
  <si>
    <t>Филиал АО "Железнодорожные госпитали медицины катастроф"-"Защитинская железнодорожная больница"</t>
  </si>
  <si>
    <t>КГКП "Больница скорой медицинской помощи" УЗ ВКО акимата</t>
  </si>
  <si>
    <t>КГКП "Детская больница №2 города Усть-Каменогорска"  УЗ ВКО акимата</t>
  </si>
  <si>
    <t>Учреждение "Левобережная клиника"</t>
  </si>
  <si>
    <t>КГКП "Медицинское объединение города Риддер" УЗ ВКО акимата</t>
  </si>
  <si>
    <t>КГП на ПХВ "Риддерская городская больница" УЗ ВКО акимата</t>
  </si>
  <si>
    <t xml:space="preserve">КГКП "Медицинское объединение № 1 Зыряновского района"УЗ ВКО акимата </t>
  </si>
  <si>
    <t xml:space="preserve">КГКП "Медицинское объединение № 3 города Серебрянска Зыряновского района"УЗ ВКО акимата </t>
  </si>
  <si>
    <t>КГКП "Медицинское объединение Глубоковского района" УЗ ВКО акимата</t>
  </si>
  <si>
    <t xml:space="preserve">ТОО "Белоусовская  больница "  </t>
  </si>
  <si>
    <t>КГКП "Белоусовская сельская больница Глубоковского района"</t>
  </si>
  <si>
    <t>КГКП "Медицинское объединение Зайсанского района" УЗ ВКО акимата</t>
  </si>
  <si>
    <t>КГКП "Медицинское объединение №1 Катон-Карагайского района" УЗ ВКО акимата</t>
  </si>
  <si>
    <t>КГКП "Медицинское объединение №2 Катон-Карагайского района" УЗ ВКО акимата</t>
  </si>
  <si>
    <t>КГКП "Медицинское объединение №1 Курчумского района" УЗ ВКО акимата</t>
  </si>
  <si>
    <t>КГКП "Медицинское объединение №2 Курчумского района" УЗ ВКО акимата</t>
  </si>
  <si>
    <t>КГКП "Медицинское объединение №1 Кокпектинского района" УЗ ВКО акимата</t>
  </si>
  <si>
    <t>КГКП "Медицинское объединение №2 Кокпектинского района" УЗ ВКО акимата</t>
  </si>
  <si>
    <t>КГКП "Медицинское объединение №1 Тарбагатайского района" УЗ ВКО акимата</t>
  </si>
  <si>
    <t xml:space="preserve">КГКП"Медицинское объединение №2 Тарбагатайского района" УЗ ВКО акимата </t>
  </si>
  <si>
    <t xml:space="preserve">КГКП "Медицинское объединение Уланского района"УЗ ВКО акимата </t>
  </si>
  <si>
    <t>КГКП "Медицинское объединение Шемонаихинского района" УЗ ВКО акимата</t>
  </si>
  <si>
    <t>Филиал товарищества с ограниченной ответственностью "Корпорация Казахмыс" - Производственное объединение "Востокцветмет"</t>
  </si>
  <si>
    <t xml:space="preserve">КГКП  "Поликлиника №1 смешанного типа города Семей»УЗ ВКО акимата </t>
  </si>
  <si>
    <t xml:space="preserve">КГКП  "Поликлиника №2 смешанного типа города Семей»УЗ ВКО акимата </t>
  </si>
  <si>
    <t xml:space="preserve">КГКП  "Поликлиника № 3 смешанного типа города Семей»УЗ ВКО акимата </t>
  </si>
  <si>
    <t xml:space="preserve">КГКП  "Больница скорой медицинской помощи города Семей"УЗ ВКО акимата </t>
  </si>
  <si>
    <t xml:space="preserve">КГКП  "Родильный дом № 3 города Семей"УЗ ВКО акимата </t>
  </si>
  <si>
    <t xml:space="preserve">КГКП  "Перинатальный центр города Семей"УЗ ВКО акимата </t>
  </si>
  <si>
    <t xml:space="preserve">КГКП  "Городской клинический родильный дом города Семей"УЗ ВКО акимата </t>
  </si>
  <si>
    <t>Учреждение "Сельская амбулатория "Гармония"</t>
  </si>
  <si>
    <t>Учреждение "Жамиля"</t>
  </si>
  <si>
    <t>Медицинское Учреждение "Женская консультация"</t>
  </si>
  <si>
    <t xml:space="preserve">КГКП "Центр первичной медико-санитарной помощи № 17 города Семей"УЗ ВКО акимата </t>
  </si>
  <si>
    <t>Учреждение Поликлиника "Хаким"</t>
  </si>
  <si>
    <t xml:space="preserve">КГП на ПХВ   "Городская больница № 2 города Семей"УЗ ВКО акимата </t>
  </si>
  <si>
    <t xml:space="preserve">КГКП «Центр первичной медико-санитарной помощи № 5 города Семей» УЗ ВКО акимата </t>
  </si>
  <si>
    <t>Филиал АО  «Железнодорожные госпитали медицины катастроф»-«Семейская железнодорожная больница»</t>
  </si>
  <si>
    <t xml:space="preserve"> Учреждение «Почечный центр»</t>
  </si>
  <si>
    <t xml:space="preserve">КГП на ПХВ  "Кожно-венерологический диспансер города Семей"УЗ ВКО акимата </t>
  </si>
  <si>
    <t xml:space="preserve">КГКП  "Центр первичной медико-санитарной помощи № 9 города Семей"УЗ ВКО акимата </t>
  </si>
  <si>
    <t xml:space="preserve">Медицинское учреждение "Центральная смотровая поликлиника"   </t>
  </si>
  <si>
    <t>Учреждение "Офтальмохирургия"</t>
  </si>
  <si>
    <t>Учреждение "Частная многопрофильная клиника "Венера"</t>
  </si>
  <si>
    <t xml:space="preserve">КГКП "Медицинское объединение Абыралинского региона"УЗ ВКО акимата </t>
  </si>
  <si>
    <t>РГКП "Научно-исследовательский институт радиационной медицины и экологии" МЗ РК</t>
  </si>
  <si>
    <t>КГКП "Реабилитационный центр для инвалидов, участников Великой Отечественной Войны, воинов интерналистов, ликвидаторов Чернобыльской АЭС, пенсионеров за особые услуги перед Республикой Казахстан" УЗ ВКО акимата</t>
  </si>
  <si>
    <t>КГКП "Поликлика № 4 смешанного типа г. Семей" УЗ ВКО акимата</t>
  </si>
  <si>
    <t>КГКП "ВА с.Приречное" УЗ ВКО акимата</t>
  </si>
  <si>
    <t>КГКП "Шульбинская врачебная амбулатория" УЗ ВКО акимата</t>
  </si>
  <si>
    <t>КГКП "Курчатовская городская больница" УЗ ВКО акимата</t>
  </si>
  <si>
    <t>КГКП "Медицинское объединение Абайского района" УЗ ВКО акимата</t>
  </si>
  <si>
    <t>КГКП "Медицинское объединение Аягозского района" УЗ ВКО акимата</t>
  </si>
  <si>
    <t xml:space="preserve">Учреждение "Казыгул" </t>
  </si>
  <si>
    <t>КГКП "Актогайская сельская больница Аягозского района" УЗ ВКО акимата</t>
  </si>
  <si>
    <t xml:space="preserve">КГКП "Медицинское объединение Бескарагайского района"УЗ ВКО акимата </t>
  </si>
  <si>
    <t>КГКП "Медицинское объединение Бородулихинского района" УЗ ВКО акимата</t>
  </si>
  <si>
    <t>КГКП "Медицинское объединение №1 Жарминского района" УЗ ВКО акимата</t>
  </si>
  <si>
    <t>КГКП "Медицинское объединение №2 Жарминского района" УЗ ВКО акимата</t>
  </si>
  <si>
    <t>Учреждение "Семейная амбулатория "Азат"</t>
  </si>
  <si>
    <t>КГКП "Медицинское объединение №1 Урджарского района" УЗ ВКО акимата</t>
  </si>
  <si>
    <t>КГКП "Медицинское объединение №2 Урджарского района" УЗ ВКО акимата</t>
  </si>
  <si>
    <t>КГКП "Кабанбайская сельская больница Урджарского района" УЗ ВКО акимата</t>
  </si>
  <si>
    <t xml:space="preserve">итого </t>
  </si>
  <si>
    <t xml:space="preserve"> ГКП на ПХВ "Жамбылская областная больница" управления здравоохранения акимата Жамбылской области </t>
  </si>
  <si>
    <t xml:space="preserve">в т.ч </t>
  </si>
  <si>
    <t>ГКП на ПХВ "Жамбылская областная детская больница управления здравоохранения акимата Жамбылской области"</t>
  </si>
  <si>
    <t>ГКП на праве хозяйственного ведения «Жамбылский областной офтальмологический центр управления здравоохранения акимата Жамбылской области»</t>
  </si>
  <si>
    <t>КГКП "Жамбылский областной перинатальный центр управления здравоохранения акимата Жамбылской области"</t>
  </si>
  <si>
    <t>ГКП на праве хозяйственного ведения «Жамбылский областной кожновенерологический диспансер управления здравоохранения акимата Жамбылской области»</t>
  </si>
  <si>
    <t>ГКП на ПХВ "Городская больница №1 управления здравоохранения акимата Жамбылской области"</t>
  </si>
  <si>
    <t>ГКП на праве хозяйственного ведения  «Городская больница №2 управления здравоохранения акимата Жамбылской области»</t>
  </si>
  <si>
    <t>КГКП "Городской перинатальный центр управления здравоохранения акимата Жамбылской области"</t>
  </si>
  <si>
    <t>ГКП на ПХВ "Городская детская больница №1 управления здравоохранения акимата Жамбылской области"</t>
  </si>
  <si>
    <t>КГКП «Центральная районная больница Жамбылского района управления здравоохранения акимата Жамбылской области</t>
  </si>
  <si>
    <t>КГКП "Центральная районная больница Байзакского района управления здравоохранения акимата Жамбылской области"</t>
  </si>
  <si>
    <t>КГКП «Жуалынская центральная районная больница управления здравоохранения акимата Жамбылской области»</t>
  </si>
  <si>
    <t>«Жамбыл облысы әкімдігінің денсаулық сақтау басқармасы Қордай аудандық орталық ауруханасы» шаруашылық жүргізу құқығындағы мемлекеттік коммуналдық кәсіпорны</t>
  </si>
  <si>
    <t>ГКП на праве хозяйственного ведения «Центральная районная больница Меркенского района управления здравоохранения акимата Жамбылской области»</t>
  </si>
  <si>
    <t>КГКП "Центральная районная больница района имени Т.Рыскулова управления здравоохранения акимата Жамбылской области"</t>
  </si>
  <si>
    <t>«Жамбыл облысы әкімдігінің денсаулық сақтау басқармасы Мойынқұм аудандық орталық ауруханасы» шаруашылық жүргізу құқығындағы мемлекеттік коммуналдық кәсіпорны</t>
  </si>
  <si>
    <t>КГКП «Центральная районная больница Сарысуского района управления здравоохранения акимата Жамбылской области»</t>
  </si>
  <si>
    <t>КГП на праве хозяйственного ведения «Центральная районная больница Таласского района управления здравоохранения акимата Жамбылской области»</t>
  </si>
  <si>
    <t>КГКП «Центральная районная больница Шуского района управления здравоохранения акимата Жамбылской области»</t>
  </si>
  <si>
    <t xml:space="preserve">Государственное коммунальное предприятие на праве хозяйственного ведения
«Шуская городская больница управления здравоохранения акимата Жамбылской области»
</t>
  </si>
  <si>
    <t xml:space="preserve"> Учреждение "Медицинский центр "Мейрим"</t>
  </si>
  <si>
    <t>Учреждение Лечебный центр  «Брак и семья»</t>
  </si>
  <si>
    <t xml:space="preserve"> «Апаттар медицинасының темір жол госпитальдары» акционерлік қоғамының филиалы – «Жамбыл темір жол ауруханасы»</t>
  </si>
  <si>
    <t>Учреждение "Лечебный центр доктора Кученева"</t>
  </si>
  <si>
    <t>Учреждение «Лечебный центр Эскулап»</t>
  </si>
  <si>
    <t xml:space="preserve"> Учреждение "Центр урологии и новых технологий доктора Жумагалиева"</t>
  </si>
  <si>
    <t>Учреждение «Клиника доктора Азимханова»</t>
  </si>
  <si>
    <t>ТОО "Лечебно оздоровительный центр "Самал"</t>
  </si>
  <si>
    <t>ГКП на праве хозяйственного ведения «Городская поликлиника №1 управления здравоохранения акимата Жамбылской области»</t>
  </si>
  <si>
    <t xml:space="preserve">
«КГКП Городская поликлиника №2  управления здравоохранения акимата Жамбылской области»
</t>
  </si>
  <si>
    <t>«ГКП на праве хозяйственного ведения  Городская поликлиника №3   управления здравоохранения Акимата Жамбылской области»</t>
  </si>
  <si>
    <t>«КГКП Городская поликлиника №4   управления здравоохранения Акимата Жамбылской области»</t>
  </si>
  <si>
    <t>«КГКП Городская поликлиника №5   управления здравоохранения Акимата Жамбылской области»</t>
  </si>
  <si>
    <t>«КГКП Городская поликлиника №6 управления здравоохранения акимата Жамбылской области»</t>
  </si>
  <si>
    <t>«КГКП Городская поликлиника №7   управления здравоохранения Акимата Жамбылской области»</t>
  </si>
  <si>
    <t>«КГКП Городская поликлиника №9   управления здравоохранения Акимата Жамбылской области»</t>
  </si>
  <si>
    <t>Государственное коммунальное предприятие на праве хозяйственного ведения «Шуская городская поликлиника» управления здравоохранения акимата Жамбылской области»</t>
  </si>
  <si>
    <t xml:space="preserve">ГКП на праве хозяйственного ведения Жамбылский областной консультационно-диагностический медицинский центр  управления здравоохранения акимата Жамбылской области» </t>
  </si>
  <si>
    <t>ТОО «Центр кардиохирургии»</t>
  </si>
  <si>
    <t xml:space="preserve"> ТОО «Медицинский Центр  «Брак и семья»</t>
  </si>
  <si>
    <t>КГКП «Жамбылский областной  кардиологический диспансер» управления здравоохранения акимата Жамбылской области»</t>
  </si>
  <si>
    <t>Западно казахстанская область</t>
  </si>
  <si>
    <t xml:space="preserve">ГКП на ПХВ «Областная клиническая больница» </t>
  </si>
  <si>
    <t xml:space="preserve">ТОО "Медицинский центр" </t>
  </si>
  <si>
    <t>АО "Талап"</t>
  </si>
  <si>
    <t>ГКП на ПХВ "Областная детская многопрофильная больница"</t>
  </si>
  <si>
    <t xml:space="preserve">ГКП на ПХВ "Городской родильный дом " </t>
  </si>
  <si>
    <t xml:space="preserve">ГКП на ПХВ «Областной кардиологический центр" </t>
  </si>
  <si>
    <t xml:space="preserve">ГКП на ПХВ «Областной перинатальный центр» </t>
  </si>
  <si>
    <t>ГККП «Областной кожно-венерологический диспансер»</t>
  </si>
  <si>
    <t>ГККП "Акжаикская центральная районная больница"</t>
  </si>
  <si>
    <t>ГККП "Акжаикская районная больница"</t>
  </si>
  <si>
    <t>ГККП "Бокейординская центральная районная больница"</t>
  </si>
  <si>
    <t>ГКП на ПХВ "Бурлинская центральная районная больница"</t>
  </si>
  <si>
    <t>ГККП "Джангалинская центральная районная больница"</t>
  </si>
  <si>
    <t>ГККП "Жанибекская центральная районная больница"</t>
  </si>
  <si>
    <t>ГККП "Зеленовская центральная районная больница"</t>
  </si>
  <si>
    <t xml:space="preserve">ГКП на ПХВ "Зеленовская  районная больница" </t>
  </si>
  <si>
    <t>ГККП "Казталовская центральная районная больница"</t>
  </si>
  <si>
    <t>ГККП "Казталовская  районная больница"</t>
  </si>
  <si>
    <t>ГККП "Каратобинская центральная районная больница"</t>
  </si>
  <si>
    <t>ГККП "Сырымская центральная районная больница"</t>
  </si>
  <si>
    <t>ГКП на ПХВ "Таскалинская центральная районная больница"</t>
  </si>
  <si>
    <t>ГККП "Теректинская центральная районная больница"</t>
  </si>
  <si>
    <t>ГККП "Теректинская  районная больница"</t>
  </si>
  <si>
    <t>ГККП "Чингирлауская  районная больница"</t>
  </si>
  <si>
    <t xml:space="preserve">ГКП на ПХВ "Городская поликлика №1" </t>
  </si>
  <si>
    <t>ГКП на ПХВ "Городская поликлика №2"</t>
  </si>
  <si>
    <t xml:space="preserve">ГКП на ПХВ "Городская поликлика №3" </t>
  </si>
  <si>
    <t xml:space="preserve">ГКП на ПХВ "Городская поликлика №4" </t>
  </si>
  <si>
    <t>ГКП на ПХВ "Городская поликлиника № 5"</t>
  </si>
  <si>
    <t>НУ СВА "Шипагер"</t>
  </si>
  <si>
    <t>РГКП "ЗКАТУ им Жангирхана"</t>
  </si>
  <si>
    <t>КГП  "Областная клиническая больница"</t>
  </si>
  <si>
    <t>КГП на пхв Областной медицинский  центр</t>
  </si>
  <si>
    <t>КГКП "Областная детская клиническая больница"</t>
  </si>
  <si>
    <t>КГКП "Областной кожно-венерологический диспансер"</t>
  </si>
  <si>
    <t>КГКП Областной перинатальный центр</t>
  </si>
  <si>
    <t>КГКП  Областной центр травматологии и ортопедии им.проф.Х.Ж.Макажанова</t>
  </si>
  <si>
    <t>КГП на пхв "Областной кардиохирургический  центр"</t>
  </si>
  <si>
    <t>КГКП Областная челюстно-лицевая больница</t>
  </si>
  <si>
    <t>КГП на пхв  Городская больница №1 г.Караганда</t>
  </si>
  <si>
    <t>КГКП Родильный дом г.Караганда</t>
  </si>
  <si>
    <t>КГКП "Детская больница г.Караганды"</t>
  </si>
  <si>
    <t>КГКП Городская больница №2 г.Караганда</t>
  </si>
  <si>
    <t>Филиал АО "Железнодорожные госпитали медицины катастроф " - "Карагандинская железнодорожная больница"</t>
  </si>
  <si>
    <t>ТОО Медсанчасть Шахтер Испат  Кармет</t>
  </si>
  <si>
    <t>ТОО Региональный акушерско-гинекологический центр</t>
  </si>
  <si>
    <t>КГКП Поликлиника №1 Караганда</t>
  </si>
  <si>
    <t>КГКП Поликлиника №2 Караганда</t>
  </si>
  <si>
    <t>КГКП Поликлиника №3 Караганда</t>
  </si>
  <si>
    <t>КГКП Поликлиника №4 Караганда</t>
  </si>
  <si>
    <t xml:space="preserve">КГКП "Поликлиника №5 г.Караганды" </t>
  </si>
  <si>
    <t>ТОО "Городской центр первичной медико-санитарной помощи"</t>
  </si>
  <si>
    <t>КГКП Центральная больница г.Темиртау</t>
  </si>
  <si>
    <t>КГКП Детская больница г.Темиртау</t>
  </si>
  <si>
    <t>КГКП  Родильный дом  г.Темиртау</t>
  </si>
  <si>
    <t>КГКП Больница поселка Актау</t>
  </si>
  <si>
    <t xml:space="preserve"> КГКП "Кожно-венерологический диспансер  г.Темиртау"</t>
  </si>
  <si>
    <t>КГКП Поликлиника №1 г.Темиртау</t>
  </si>
  <si>
    <t>КГКП Поликлиника №2 г.Темиртау</t>
  </si>
  <si>
    <t>КГКП Поликлиника №3  г.Темиртау</t>
  </si>
  <si>
    <t>КГКП Поликлиника №4  г.Темиртау</t>
  </si>
  <si>
    <t>КГКП Центральная больница г.Шахтинск</t>
  </si>
  <si>
    <t>КГКП Поликлиника г.Шахтинск</t>
  </si>
  <si>
    <t>КГКП Поликлиника  пос.Шахан</t>
  </si>
  <si>
    <t>КГКП "Центральная больница г.Жезказган"</t>
  </si>
  <si>
    <t>КГКП Детская больница г.Жезказган</t>
  </si>
  <si>
    <t>КГКП Родильный дом г.Жезказган</t>
  </si>
  <si>
    <t>Филиал ТОО "Корпорация Казахмыс"-ПО "Жезказган-цветмет"</t>
  </si>
  <si>
    <t>ТОО Журек</t>
  </si>
  <si>
    <t>ПК "Каратал"</t>
  </si>
  <si>
    <t>ТОО Тильман</t>
  </si>
  <si>
    <t>ТОО Бексеитова Н.А.</t>
  </si>
  <si>
    <t>ТОО Кошумбаева</t>
  </si>
  <si>
    <t>ТОО Макенбаева</t>
  </si>
  <si>
    <t>ТОО Байменова</t>
  </si>
  <si>
    <t>ТОО Альменбетов</t>
  </si>
  <si>
    <t>ТОО Абильдинова</t>
  </si>
  <si>
    <t>ТОО Абил  К.Х.</t>
  </si>
  <si>
    <t>КГКП Центральная больница №1 г.Сатпаев</t>
  </si>
  <si>
    <t>Филиал ТОО"Корпорация Казахмыс"- ПО Жезказганцветмет" (МСЧ)</t>
  </si>
  <si>
    <t>КГКП Поликлиника г.Сатпаев</t>
  </si>
  <si>
    <t>ТОО Лекерова</t>
  </si>
  <si>
    <t>ТОО Ахметова</t>
  </si>
  <si>
    <t>ТОО Кожахметова</t>
  </si>
  <si>
    <t>КГКП "Центральная больница г.Балхаш"</t>
  </si>
  <si>
    <t>КГКП "Детская больница г.Балхаш"</t>
  </si>
  <si>
    <t>КГКП Больница поселка.Саяк</t>
  </si>
  <si>
    <t xml:space="preserve">КГКП "Поликлиника № 1 города Балхаш" </t>
  </si>
  <si>
    <t xml:space="preserve">КГКП "Поликлиника № 2 города Балхаш" </t>
  </si>
  <si>
    <t xml:space="preserve">КГКП "Поликлиника № 3 города Балхаш" </t>
  </si>
  <si>
    <t>КГКП Центральная больница г.Сарань</t>
  </si>
  <si>
    <t>КГКП Поликлиника г.Сарань</t>
  </si>
  <si>
    <t>КГКП Центральная больница г.Каражал</t>
  </si>
  <si>
    <t>КГКП Больница поселка Жайрем</t>
  </si>
  <si>
    <t>КГКП Центральная больница г.Приозерск</t>
  </si>
  <si>
    <t>КГП на пхв Центральная больница г.Абай</t>
  </si>
  <si>
    <t>КГКП "Центральная районная больница Абайского района"</t>
  </si>
  <si>
    <t>КГКП Центральная районная больница Актогайского  района</t>
  </si>
  <si>
    <t>КГКП "Центральная районная больница Бухар-Жырауского района"</t>
  </si>
  <si>
    <t>КГКП "Центральная районная больница Жана-Аркинского района"</t>
  </si>
  <si>
    <t>КГКП "Центральная районная больница  Нуринского района"</t>
  </si>
  <si>
    <t>КГКП "Центральная районная больница  Осакаровского района"</t>
  </si>
  <si>
    <t>КГКП Центральная районная больница  Каркаралинского   района</t>
  </si>
  <si>
    <t>КГКП Центральная районная больница  Улытауского  района</t>
  </si>
  <si>
    <t>КГКП "Центральная районная больница  Шетского района"</t>
  </si>
  <si>
    <t>РГКП "Национальный центр гигиены труда и профессиональных заболеваний" г.Караганда</t>
  </si>
  <si>
    <t>ТОО "ID Senim" г.Темиртау</t>
  </si>
  <si>
    <t>ТОО  Медицинский центр "Мерей"</t>
  </si>
  <si>
    <t>ТОО "Клиника профессора С.В.Лохвицкого"</t>
  </si>
  <si>
    <t>ТОО МФ "Гиппократ"</t>
  </si>
  <si>
    <t>ТОО"B.B.NURA"</t>
  </si>
  <si>
    <t>Филиал ТОО"DIAMED TECHNIK"*</t>
  </si>
  <si>
    <t>КГП Костанайская областная больница</t>
  </si>
  <si>
    <t>ГКП на ПХВ Костанайская областная офтальмологическая больница</t>
  </si>
  <si>
    <t>КГП  Костанайская областная детская больница</t>
  </si>
  <si>
    <t>ГКП на ПХВ Костанайский областной кожно-венерологический диспансер</t>
  </si>
  <si>
    <t>КГП Костанайская городская больница</t>
  </si>
  <si>
    <t>КГП Костанайская городская детская больница</t>
  </si>
  <si>
    <t>КГП Костанайский перинатальный центр</t>
  </si>
  <si>
    <t>КГП Лисаковская городская больница</t>
  </si>
  <si>
    <t>КГП Рудненская  городская больница</t>
  </si>
  <si>
    <t>КГП Рудненская городская детская больница</t>
  </si>
  <si>
    <t>КГП Рудненский родильный дом</t>
  </si>
  <si>
    <t>ГККП Рудненский городской кожно-венерологический диспансер</t>
  </si>
  <si>
    <t>КГП Качарская городская больница</t>
  </si>
  <si>
    <t>КГП Аркалыкская региональная больница</t>
  </si>
  <si>
    <t>КГП Аркалыкский родильный дом</t>
  </si>
  <si>
    <t>ГККП Аркалыкский  городской кожно-венерологический диспансер</t>
  </si>
  <si>
    <t>КГП Амангельдинская ЦРБ</t>
  </si>
  <si>
    <t>КГП Алтынсаринская ЦРБ</t>
  </si>
  <si>
    <t>ГКП на ПХВ Аулиекольская ЦРБ</t>
  </si>
  <si>
    <t>ГККП Кушмурунская поселковая больница</t>
  </si>
  <si>
    <t>КГП Денисовская ЦРБ</t>
  </si>
  <si>
    <t>КГП Джангельдинская ЦРБ</t>
  </si>
  <si>
    <t>КГП Житикаринская ЦРБ</t>
  </si>
  <si>
    <t>КГП Камыстинская ЦРБ</t>
  </si>
  <si>
    <t>КГП Карабалыкская ЦРБ</t>
  </si>
  <si>
    <t>КГП Карасуская ЦРБ</t>
  </si>
  <si>
    <t>КГП Октябрьская сельская больница</t>
  </si>
  <si>
    <t>КГП Костанайская ЦРБ</t>
  </si>
  <si>
    <t>КГП Мендыкаринская ЦРБ</t>
  </si>
  <si>
    <t>КГП Наурзумская  ЦРБ</t>
  </si>
  <si>
    <t>КГП Сарыкольская ЦРБ</t>
  </si>
  <si>
    <t>КГП  Тарановская ЦРБ</t>
  </si>
  <si>
    <t>КГП Федоровская ЦРБ</t>
  </si>
  <si>
    <t>КГП Узункольская ЦРБ</t>
  </si>
  <si>
    <t>ТОО "Аксим плюс"</t>
  </si>
  <si>
    <t>ТОО Затобольский медицинский центр</t>
  </si>
  <si>
    <t>Ж/д больница</t>
  </si>
  <si>
    <t>КГП Поликлиника № 1 города Костанай</t>
  </si>
  <si>
    <t>КГП Поликлиника № 2 города Костанай</t>
  </si>
  <si>
    <t>КГП Поликлиника № 3 города Костанай</t>
  </si>
  <si>
    <t>КГП Лисаковская городская поликлиника</t>
  </si>
  <si>
    <t>КГП Рудненская городская поликлиника</t>
  </si>
  <si>
    <t>КГП Аркалыкская региональная поликлиника</t>
  </si>
  <si>
    <t>ГККП Заречная ВА</t>
  </si>
  <si>
    <t>КГП Поликлиника № 4 города Костанай</t>
  </si>
  <si>
    <t>ГКП на ПХВ "Областной медицинский центр" УЗ КЗО</t>
  </si>
  <si>
    <t>ГКП на ПХВ "Кызылординский областной кожно-венерологический диспансер" УЗ КЗО</t>
  </si>
  <si>
    <t>ГККП "Кызылординский городской родильный дом" УЗ КЗО</t>
  </si>
  <si>
    <t>ГКП на ПХВ "Кызылординская городская больница" УЗ КЗО</t>
  </si>
  <si>
    <t>ГККП "Кызылординская областная детская больница с консультативно-диагностической поликлиникой" УЗ КЗО</t>
  </si>
  <si>
    <t>Филиал АО "ЖГМК"-"Кызылординская железнодорожная больница"</t>
  </si>
  <si>
    <t>ТОО Жуас</t>
  </si>
  <si>
    <t>ГКП на ПХВ "Аральская центральная районная больница" УЗ КЗО</t>
  </si>
  <si>
    <t>ГККП "Казалинская районная больница" УЗ КЗО</t>
  </si>
  <si>
    <t>ГККП "Кармакшинская центральная районная больница" УЗ КЗО</t>
  </si>
  <si>
    <t>Филиал АО "ЖГМК"-"Казалинская железнодорожная больница"</t>
  </si>
  <si>
    <t>ГКП на ПХВ "Жалагашская центральная районная больница" УЗ КЗО</t>
  </si>
  <si>
    <t>ГККП "Сырдарьинская центральная районная больница" УЗ КЗО</t>
  </si>
  <si>
    <t>ГККП "Шиелийская районная больница" УЗ КЗО</t>
  </si>
  <si>
    <t>ГККП "Жанакорганская центральная районная больница" УЗ КЗО</t>
  </si>
  <si>
    <t>ФГБУЗ "Центральная медико-санитарная часть №1" ФМБА России</t>
  </si>
  <si>
    <t>ГКП на ПХВ "Городская поликлиника №1" УЗ КЗО</t>
  </si>
  <si>
    <t>ГКП на ПХВ "Городская поликлиника №2" УЗ КЗО</t>
  </si>
  <si>
    <t>ТОО "Сеним"</t>
  </si>
  <si>
    <t>ГКП на ПХВ "Городская поликлиника №4" УЗ КЗО</t>
  </si>
  <si>
    <t>ГКП на ПХВ "Городская поликлиника №5" УЗ КЗО</t>
  </si>
  <si>
    <t>ГКП на ПХВ "Городская поликлиника №6" УЗ КЗО</t>
  </si>
  <si>
    <t>ГККП "Городская женская консультация" УЗ КЗО</t>
  </si>
  <si>
    <t>ТОО "Гарант - 7"</t>
  </si>
  <si>
    <t>ТОО "IDSENIM"</t>
  </si>
  <si>
    <t>ГКП на ПХВ "Кызылординский областной консультативно-диагностический центр" УЗ КЗО</t>
  </si>
  <si>
    <t>ГКП на ПХВ "Аральская районная поликлиника" УЗ КЗО</t>
  </si>
  <si>
    <t>Учреждение "Врачебная амбулатория "Арал"</t>
  </si>
  <si>
    <t>ГКП на ПХВ "Казалинская районная поликлиника" УЗ КЗО</t>
  </si>
  <si>
    <t>ГКП на ПХВ "Кармакшинская районная поликлиника" УЗ КЗО</t>
  </si>
  <si>
    <t>ГККП "Жалагашская районная поликлиника" УЗ КЗО</t>
  </si>
  <si>
    <t>ГКП на ПХВ "Сырдарьинская районная поликлиника" УЗ КЗО</t>
  </si>
  <si>
    <t>ГКП на ПХВ "Шиелийская районная поликлиника" УЗ КЗО</t>
  </si>
  <si>
    <t>ГКП на ПХВ "Жанакорганская районная поликлиника" УЗ КЗО</t>
  </si>
  <si>
    <t>,</t>
  </si>
  <si>
    <t xml:space="preserve">ГККП "Мангистауская областная больница" </t>
  </si>
  <si>
    <t xml:space="preserve">ГКП на ПХВ " Областная детская больница" </t>
  </si>
  <si>
    <t xml:space="preserve">ГКП на ПХВ "Областной перинатальный центр" </t>
  </si>
  <si>
    <t xml:space="preserve">ГККП " Мангистауский областной кожно-венерологический диспансер " </t>
  </si>
  <si>
    <t>ГККП "Актауский городской родильный дом"</t>
  </si>
  <si>
    <t xml:space="preserve">Государственное коммунальное казенное предприятие "Актауская городская поликлиника №1" </t>
  </si>
  <si>
    <t xml:space="preserve">Государственное коммунальное казенное предприятие "Актауская городская поликлиника №2" </t>
  </si>
  <si>
    <t xml:space="preserve">ГККП "Актауская детская поликлиника" </t>
  </si>
  <si>
    <t xml:space="preserve">ГККП "Городской родильный дом" </t>
  </si>
  <si>
    <t xml:space="preserve">ГККП " Жанаозенская городская поликлиника " </t>
  </si>
  <si>
    <t xml:space="preserve">ГККП "Жанаозенская городская детская поликлиника " </t>
  </si>
  <si>
    <t xml:space="preserve">ГКП на ПХВ "Жанаозенская центральная городская больница" </t>
  </si>
  <si>
    <t xml:space="preserve">ГККП "Мунайлинская центральная районная больница" </t>
  </si>
  <si>
    <t xml:space="preserve">ГККП "Бейнеуская центральная районная больница" </t>
  </si>
  <si>
    <t xml:space="preserve">ГККП "Бейнеуская  районная поликлиника" </t>
  </si>
  <si>
    <t>ГККП "Боранкульская  районная больница"</t>
  </si>
  <si>
    <t xml:space="preserve">ГККП "Мангистауская центральная районная больница" </t>
  </si>
  <si>
    <t xml:space="preserve">ГККП "Каракиянская центральная районная больница" </t>
  </si>
  <si>
    <t xml:space="preserve">ГКП на ПХВ "Тупкараганская центральная районная больница" </t>
  </si>
  <si>
    <t xml:space="preserve">ГККП "Жетыбайская районная больница" </t>
  </si>
  <si>
    <t xml:space="preserve">ТОО "Нейрон" </t>
  </si>
  <si>
    <t>ТОО Фармстер</t>
  </si>
  <si>
    <t xml:space="preserve">Товарищество с ограниченной ответственностью "БИОС" </t>
  </si>
  <si>
    <t>РГКП "Республиканский научно-практический центр медико-социальных проблем наркомании" МЗРК</t>
  </si>
  <si>
    <t xml:space="preserve">КГП на ПХВ "Павлодарская областная больница им. Г. Султанова" </t>
  </si>
  <si>
    <t xml:space="preserve">КГП на ПХВ "Павлодарская областная детская больница" </t>
  </si>
  <si>
    <t xml:space="preserve">КГП на ПХВ "Павлодарский областной перинатальный центр № 2" </t>
  </si>
  <si>
    <t xml:space="preserve">КГП на ПХВ "Павлодарский областной перинатальный центр" </t>
  </si>
  <si>
    <t xml:space="preserve">КГП на ПХВ "Павлодарский областной кожно-венерологический диспансер" </t>
  </si>
  <si>
    <t xml:space="preserve">КГКП "Павлодарский областной диагностический центр" </t>
  </si>
  <si>
    <t>КГП на ПХВ "Павлодарская городская больница № 1"</t>
  </si>
  <si>
    <t xml:space="preserve">КГП на ПХВ "Павлодарская городская  больница № 2" </t>
  </si>
  <si>
    <t xml:space="preserve">КГП на ПХВ "Больница скорой медицинского помощи города Павлодара" </t>
  </si>
  <si>
    <t xml:space="preserve">КГП на ПХВ "Экибастузская городская больница" </t>
  </si>
  <si>
    <t xml:space="preserve">КГП на ПХВ "Экибастузский родильный дом" </t>
  </si>
  <si>
    <t xml:space="preserve">КГП на ПХВ "Экибастузский кожно-венерологический диспансер" </t>
  </si>
  <si>
    <t xml:space="preserve">КГП на ПХВ "Аксуская центральная больница" </t>
  </si>
  <si>
    <t xml:space="preserve">КГКП "Актогайская центральная районная больница" </t>
  </si>
  <si>
    <t>КГКП "Баянаульская центральная районная больница"</t>
  </si>
  <si>
    <t xml:space="preserve">КГП на ПХВ "Железинская центральная районная больница" </t>
  </si>
  <si>
    <t xml:space="preserve">КГКП "Иртышская центральная районная больница" </t>
  </si>
  <si>
    <t xml:space="preserve">КГКП "Качирская центральная районная больница" </t>
  </si>
  <si>
    <t xml:space="preserve">КГКП "Лебяжинская центральная районная больница" </t>
  </si>
  <si>
    <t xml:space="preserve">КГКП "Майская центральная районная больница" </t>
  </si>
  <si>
    <t xml:space="preserve">КГКП "Поликлиника Павлодарского района" </t>
  </si>
  <si>
    <t xml:space="preserve">КГП на ПХВ "Успенская центральная районная больница" </t>
  </si>
  <si>
    <t xml:space="preserve">КГКП "Щербактинская центральная районная больница" </t>
  </si>
  <si>
    <t xml:space="preserve">КГКП "Поликлиника № 1 города Павлодара" </t>
  </si>
  <si>
    <t xml:space="preserve">КГКП "Поликлиника № 2 города Павлодара" </t>
  </si>
  <si>
    <t xml:space="preserve">КГП на ПХВ "Поликлиника № 4 города Павлодара" </t>
  </si>
  <si>
    <t xml:space="preserve">КГКП "Поликлиника № 5 города Павлодара" </t>
  </si>
  <si>
    <t xml:space="preserve">КГП на ПХВ  "Поликлиника № 1 города  Экибастуза" </t>
  </si>
  <si>
    <t>КГКП "Поликлиника № 2 города Экибастуза"</t>
  </si>
  <si>
    <t xml:space="preserve">КГКП "Поликлиника № 3 города Экибастуза" </t>
  </si>
  <si>
    <t xml:space="preserve">КГП на ПХВ  "Поликлиника города Аксу" </t>
  </si>
  <si>
    <t xml:space="preserve">КГКП "Станция скорой и неотложной помощи г. Павлодара" </t>
  </si>
  <si>
    <t>ФАО «Железнодорожные госпитали медицины катастроф» - «Павлодарская железнодорожная больница»</t>
  </si>
  <si>
    <t>Медицинское  учреждение "Данель"</t>
  </si>
  <si>
    <t>ТОО "Частная клиника Искакова"</t>
  </si>
  <si>
    <t>ТОО "Хирургический центр"</t>
  </si>
  <si>
    <t>Учреждение "Мед.центр "Нур"</t>
  </si>
  <si>
    <t>Аксуский филиал ТОО "Медицинский центр "Евразия"</t>
  </si>
  <si>
    <t>Гулливер</t>
  </si>
  <si>
    <t>Непринятые обязательства</t>
  </si>
  <si>
    <t>1AA6250:P6294</t>
  </si>
  <si>
    <t>Северо Казахстанская область</t>
  </si>
  <si>
    <t>КГП на ПХВ "Областная больница акимата  СКО МЗ РК"</t>
  </si>
  <si>
    <t>КГП на ПХВ "Детская областная больница акимата СКО МЗ РК"</t>
  </si>
  <si>
    <t>КГП на ПХВ "Областной перинатальный центр акимата СКО МЗ РК"</t>
  </si>
  <si>
    <t>КГП на ПХВ "1-я городская больница акимата СКО МЗ РК"</t>
  </si>
  <si>
    <t>КГП на ПХВ "Кардиологический центр акимата СКО МЗ РК"</t>
  </si>
  <si>
    <t>КГП на ПХВ "3-я городская больница акимата СКО МЗ РК"</t>
  </si>
  <si>
    <t>Учреждение здравоохранения "Центр глаза АЙНА-КӨЗ"</t>
  </si>
  <si>
    <t>КГП на ПХВ "Айыртауская ЦРБ акимата СКО МЗ РК"</t>
  </si>
  <si>
    <t>КГП на ПХВ "Акжарская ЦРБ акимата СКО МЗ РК"</t>
  </si>
  <si>
    <t>КГП на ПХВ "Аккаинская ЦРБ акимата СКО МЗ РК"</t>
  </si>
  <si>
    <t>КГП на ПХВ "Явленская ЦРБ акимата СКО МЗ РК"</t>
  </si>
  <si>
    <t>КГП на ПХВ "Жамбылская ЦРБ акимата СКО МЗ РК"</t>
  </si>
  <si>
    <t>КГП на ПХВ "ЦРБ района Магжана Жумабаева акимата СКО МЗ РК"</t>
  </si>
  <si>
    <t>КГП на ПХВ "Кызылжарская ЦРБ акимата СКО МЗ РК"</t>
  </si>
  <si>
    <t>КГП на ПХВ "Мамлютская ЦРБ акимата СКО МЗ РК"</t>
  </si>
  <si>
    <t>КГП на ПХВ "ЦРБ района имени Габита Мусрепова акимата СКО МЗ РК"</t>
  </si>
  <si>
    <t>КГП на ПХВ  «Тайыншинская ЦРБ акимата СКО МЗ РК"</t>
  </si>
  <si>
    <t>КГП на ПХВ "Тимирязевская ЦРБ акимата СКО МЗ РК"</t>
  </si>
  <si>
    <t>КГП на ПХВ "Уалихановская ЦРБ акимата СКО МЗ РК"</t>
  </si>
  <si>
    <t>КГП на ПХВ "ЦРБ района Шал-Акына акимата СКО МЗ РК"</t>
  </si>
  <si>
    <t>КГП на ПХВ "Областной кожно-венерологический диспансер  акимата СКО МЗ РК"</t>
  </si>
  <si>
    <t>КГП на ПХВ "Городская женская консультация акимата СКО МЗ РК"</t>
  </si>
  <si>
    <t>КГП на ПХВ "Городская поликлиника №1 акимата СКО МЗ РК"</t>
  </si>
  <si>
    <t>КГП на ПХВ "Городская поликлиника №2 акимата СКО МЗ РК"</t>
  </si>
  <si>
    <t>КГП на ПХВ "Городская поликлиника №3 акимата СКО МЗ РК"</t>
  </si>
  <si>
    <t>КГП на ПХВ "Городская детская поликлиника акимата СКО МЗ РК"</t>
  </si>
  <si>
    <t>Частное некоммерческое учреждение "Денсаулык"</t>
  </si>
  <si>
    <t>ТОО "Митралия"</t>
  </si>
  <si>
    <t>НУЗ "Отделенческая поликлиника на станции Петропавловск ОАО "РЖД"</t>
  </si>
  <si>
    <t>Южно Казахстанская область</t>
  </si>
  <si>
    <t>ГККП Областной кардиологический центр</t>
  </si>
  <si>
    <t>Областной центр гипербарической оксигенации  имени Т.О. Орынбаева</t>
  </si>
  <si>
    <t>ГККП Областная клиническая больница</t>
  </si>
  <si>
    <t>ГККП Обл.детская больница</t>
  </si>
  <si>
    <t xml:space="preserve">СМП </t>
  </si>
  <si>
    <t>ГККП Областной дермато-венерологический диспансер</t>
  </si>
  <si>
    <t>ГККП Областной эндокринологический диспансер</t>
  </si>
  <si>
    <t>ГККП Областная офтальмологическая больница</t>
  </si>
  <si>
    <t>ГККП Областной перинатальный центр №1</t>
  </si>
  <si>
    <t>ГККП Областной перинатальный центр №2</t>
  </si>
  <si>
    <t>ГККП Областной перинатальный центр №3</t>
  </si>
  <si>
    <t>ГККП Областной перинатальный центр №4</t>
  </si>
  <si>
    <t>г.Шымкент</t>
  </si>
  <si>
    <t>ГККП "Шымкентская городская больница скорой медицинской помощи"</t>
  </si>
  <si>
    <t>Учреждение "Клиника МКТУ им Яссави" г.Шымкент</t>
  </si>
  <si>
    <t>ГККП Шымкентский городской родильный дом №2</t>
  </si>
  <si>
    <t>ГККП Шымкентская городская детская больница №1</t>
  </si>
  <si>
    <t xml:space="preserve">ШФ  АО Медицинская служба транспорта </t>
  </si>
  <si>
    <t>ТОО Медицинский Центр "Доктора Орынбаева"</t>
  </si>
  <si>
    <t>ТОО Даулет</t>
  </si>
  <si>
    <t>ТОО Ескулап Vita</t>
  </si>
  <si>
    <t>ТОО Дау Мед</t>
  </si>
  <si>
    <t>ГККП "Шымкентская  центральная поликлиника"</t>
  </si>
  <si>
    <t>Шымкентская городская  поликлиника №1</t>
  </si>
  <si>
    <t>Шымкентская городская  поликлиника №2</t>
  </si>
  <si>
    <t>Шымкентская городская  поликлиника №4</t>
  </si>
  <si>
    <t>Шымкентская городская  поликлиника №5</t>
  </si>
  <si>
    <t>Шымкентская городская  поликлиника №6</t>
  </si>
  <si>
    <t>Шымкентская городская  поликлиника №7</t>
  </si>
  <si>
    <t>ГККП Шымкентская городская детская поликлиника №1</t>
  </si>
  <si>
    <t>ГККП Шымкентская городская детская поликлиника №2</t>
  </si>
  <si>
    <t>ГККП Шымкентская городская детская поликлиника №3</t>
  </si>
  <si>
    <t>ГККП "Шымкентская семейная врачебная амбулатория №1"</t>
  </si>
  <si>
    <t>ГККП "Шымкентская семейная врачебная амбулатория №2"</t>
  </si>
  <si>
    <t>ГККП "Шымкентская семейная врачебная амбулатория №3"</t>
  </si>
  <si>
    <t>Шымкентская семейная врачебная амбулатория "Кайпас"</t>
  </si>
  <si>
    <t>ГККП Семейная врачебная амбулатория "Бейбит"</t>
  </si>
  <si>
    <t>ГККП "Семейная врачебная амбулатория "Аят"</t>
  </si>
  <si>
    <t>ГККП "Семейная врачебная амбулатория "Айкап"</t>
  </si>
  <si>
    <t xml:space="preserve">ГККП "Центр амбулаторной хирургии, травматологии и гинекологии " </t>
  </si>
  <si>
    <t>ТОО Денсаулык</t>
  </si>
  <si>
    <t>ТОО "Медик-Сервис"</t>
  </si>
  <si>
    <t>ТОО "Шипа-7"</t>
  </si>
  <si>
    <t>ТОО "Медицинский центр болезней суставов г.Шымкент"</t>
  </si>
  <si>
    <t>ПК Чапаевка</t>
  </si>
  <si>
    <t>ТОО "Ай-нуры"</t>
  </si>
  <si>
    <t>Арысский район</t>
  </si>
  <si>
    <t>ГККП "Арысская центральная районная больница"</t>
  </si>
  <si>
    <t>ПК Торабтык аурухана</t>
  </si>
  <si>
    <t>ГККП "Арысская районная поликлиника"</t>
  </si>
  <si>
    <t>Байдыбекский р/н</t>
  </si>
  <si>
    <t>ГККП "Байдибекская центральная районная больница"</t>
  </si>
  <si>
    <t>ГККП "Байдибекская центральная районная поликлиника"</t>
  </si>
  <si>
    <t>Казыгуртский район</t>
  </si>
  <si>
    <t>ГККП "Казыгуртская районная больница"</t>
  </si>
  <si>
    <t>ГККП "Казыгуртская районная поликлиника"</t>
  </si>
  <si>
    <t>Махтааральский р/н</t>
  </si>
  <si>
    <t>ГККП "Махтааральская центральная районная больница"</t>
  </si>
  <si>
    <t>ГККП "Асыкатинская районная больница №1"</t>
  </si>
  <si>
    <t>ГККП Махтааральская районная больница "Атакент"</t>
  </si>
  <si>
    <t>ГККП Махтааральская районная больница "Мырзакент"</t>
  </si>
  <si>
    <t xml:space="preserve">ГККП Махтааральская районная поликлиника "Жетысай"                                                                                        </t>
  </si>
  <si>
    <t>ГККП "Районная поликлиника  пос. Асыката"</t>
  </si>
  <si>
    <t>ГККП "Махтааральская  районная поликлиника "Атакент"</t>
  </si>
  <si>
    <t>ГККП "Районная поликлиника пос. Мырзакент"</t>
  </si>
  <si>
    <t>Ордабасинский р/н</t>
  </si>
  <si>
    <t>ГККП "Ордабасинская  районная больница"</t>
  </si>
  <si>
    <t>ГККП "Ордабасинская  районная поликлиника"</t>
  </si>
  <si>
    <t xml:space="preserve"> Отырарский район</t>
  </si>
  <si>
    <t>ГККП "Отрарская  районная больница"</t>
  </si>
  <si>
    <t>ГККП "Отрарская  районная поликлиника"</t>
  </si>
  <si>
    <t>Сайрамский район</t>
  </si>
  <si>
    <t xml:space="preserve">ГККП "Сайрамская центральная районная больница </t>
  </si>
  <si>
    <t>ГККП "Районная больница  с.Карабулак"</t>
  </si>
  <si>
    <t>ГККП "Районная больница с.Сайрам"</t>
  </si>
  <si>
    <t xml:space="preserve">ЧУ ЧК Кант </t>
  </si>
  <si>
    <t>ГККП "Сайрамская районная поликлиника Аксукент"</t>
  </si>
  <si>
    <t>ГККП "Сайрамская районная поликлиника "Карабулак"</t>
  </si>
  <si>
    <t>ГККП "Сайрамская районная поликлиника Сайрам"</t>
  </si>
  <si>
    <t>Сарыагашский  район</t>
  </si>
  <si>
    <t>ГККП "Сарыагашская  центральная районная больница"</t>
  </si>
  <si>
    <t>ГККП "Сарыагашская  районная больница" "Абай"</t>
  </si>
  <si>
    <t>ГККП "Сарыагашская центральная районная поликлиника"</t>
  </si>
  <si>
    <t>ГККП "Сарыагашское районная поликлиника -Абай"</t>
  </si>
  <si>
    <t>Сузакский р/н</t>
  </si>
  <si>
    <t>ГККП "Сузакская центральная районная больница"</t>
  </si>
  <si>
    <t>ГККП "Сузакская центральная районная поликлиника"</t>
  </si>
  <si>
    <t xml:space="preserve"> Толебийский р/н</t>
  </si>
  <si>
    <t>ГККП "Толебийская районная больница"</t>
  </si>
  <si>
    <t>ГККП "Ленгерская городская больница"</t>
  </si>
  <si>
    <t>ГККП "Толебийская районная поликлиника"</t>
  </si>
  <si>
    <t>ГККП "Ленгерская городская поликлиника"</t>
  </si>
  <si>
    <t>Тюлькубасский р/н</t>
  </si>
  <si>
    <t>ГККП "Тюлькубасская районная больница"</t>
  </si>
  <si>
    <t>ГККП "Тюлькубасская районная поликлиника"</t>
  </si>
  <si>
    <t>Шардаринский район</t>
  </si>
  <si>
    <t>ГККП "Шардаринская центральная районная больница"</t>
  </si>
  <si>
    <t>ГККП "Шардаринская районная поликлиника"</t>
  </si>
  <si>
    <t>Семейная врачебная амбулатория "Коксу"</t>
  </si>
  <si>
    <t xml:space="preserve"> г. Кентау</t>
  </si>
  <si>
    <t xml:space="preserve">ГККП "Кентауская центральная городская больница" </t>
  </si>
  <si>
    <t>ГККП "Кентауская городская поликлиника"</t>
  </si>
  <si>
    <t>ТОО "Медицинский центр" г. Кентау</t>
  </si>
  <si>
    <t xml:space="preserve">г.Туркестан </t>
  </si>
  <si>
    <t>ГККП "Туркестанская городская  больница"</t>
  </si>
  <si>
    <t>ГККП "Туркестанская городская поликлиника"</t>
  </si>
  <si>
    <t>ГККП "Туркестанская городская детская больница"</t>
  </si>
  <si>
    <t>Учреждение "Клиника Талгата"</t>
  </si>
  <si>
    <t>Учреждение "Больница "Акмарал"</t>
  </si>
  <si>
    <t>Учреждение "Клинико - диагностический центр МКТУ"</t>
  </si>
  <si>
    <t>Учреждение ЛОЦ "Санитас"</t>
  </si>
  <si>
    <t>Алматы</t>
  </si>
  <si>
    <t>ГКП на ПХВ "Центральная городская клиничекая больница"</t>
  </si>
  <si>
    <t>ГКП на ПХВ "Городской кардиологический центр"</t>
  </si>
  <si>
    <t>ГКП на ПХВ  "Городская клиническая больница №1"</t>
  </si>
  <si>
    <t>ГКП на ПХВ "Городская клиническая больница №4"</t>
  </si>
  <si>
    <t>ГКП на ПХВ "Городская клиническая больница №5"</t>
  </si>
  <si>
    <t>ГКП а ПХВ "Городская клиническая больница №7"</t>
  </si>
  <si>
    <t>ГККП "Городская больница "Алатау"</t>
  </si>
  <si>
    <t>ГКП на ПХВ "Городской центр репродукции человека"</t>
  </si>
  <si>
    <t xml:space="preserve">ГКП на ПХВ "Центр детской неотложной медицинской помощи" </t>
  </si>
  <si>
    <t>ГККП "Детская городская клиническая больница №2"</t>
  </si>
  <si>
    <t>ГККП "Городской ревматологический центр"</t>
  </si>
  <si>
    <t>ГККП "Кожно-венерологический диспансер"</t>
  </si>
  <si>
    <t>ГКП на ПХВ "Городской перинатальный центр"</t>
  </si>
  <si>
    <t>ГККП "Городской родильный дом №1"</t>
  </si>
  <si>
    <t>ГККП "Городской родильный дом №2"</t>
  </si>
  <si>
    <t>ГККП "Городской родильный дом №4"</t>
  </si>
  <si>
    <t>ГККП "Городской родильный дом №5"</t>
  </si>
  <si>
    <t>АО "Санаторий Казахстан"</t>
  </si>
  <si>
    <t>ТОО "Медицинский центр ХАК"</t>
  </si>
  <si>
    <t>АО "НЦ урологии им.Джарбусынова"</t>
  </si>
  <si>
    <t>АО "Казахский "Знак почета" НИИ глазных болезней"</t>
  </si>
  <si>
    <t>РГКП "НИИ Кожно-вен.институт"</t>
  </si>
  <si>
    <t>Филиал АО "ЖГМК" - АЖБ</t>
  </si>
  <si>
    <t>РГП на ПХВ  "КазНИИ ОиР"</t>
  </si>
  <si>
    <t>РГП на ПХВ "НИИ кардиологии и Вб"</t>
  </si>
  <si>
    <t>РГП на ПХВ "ЦКБ УДП РК"</t>
  </si>
  <si>
    <t>АО "НЦ хирургии им.Сызганова"</t>
  </si>
  <si>
    <t>РГП на ПХВ "Каз НМУ им. Асфендиярова"</t>
  </si>
  <si>
    <t xml:space="preserve">ГКП на ПХВ "Городская больница скорой неотложной помощи" </t>
  </si>
  <si>
    <t>РГКП "НЦПТ"</t>
  </si>
  <si>
    <t xml:space="preserve">РГКП "Респ.научн- практ.центр псих.,психотерапии и наркологии" </t>
  </si>
  <si>
    <t>РГКП "Респ. Дет.клин.санаторий Алатау"</t>
  </si>
  <si>
    <t>РГКП "Респ.детский реабилит.центр"Балбулак"</t>
  </si>
  <si>
    <t>РГП на ПХВ "НЦ акушерства, гинекологии и перинатологии"</t>
  </si>
  <si>
    <t>РГКП "НЦП и Дх"</t>
  </si>
  <si>
    <t>ТОО "Центр ЭКО"</t>
  </si>
  <si>
    <t>ГККП "Городской неонатологический центр"</t>
  </si>
  <si>
    <t>ТОО "Burc medikal"</t>
  </si>
  <si>
    <t>ГККП "Городская детская поликлиника №1"</t>
  </si>
  <si>
    <t>ГККП "Городская детская поликлиника №3"</t>
  </si>
  <si>
    <t>ГККП "Городская детская поликлиника №4"</t>
  </si>
  <si>
    <t>ГККП "Городская детская поликлиника №7"</t>
  </si>
  <si>
    <t>ГККП "Городская детская поликлиника №8"</t>
  </si>
  <si>
    <t>ГККП "Городская поликлиника №1"</t>
  </si>
  <si>
    <t>ГККП "Городская поликлиника №2"</t>
  </si>
  <si>
    <t>ГККП "Городская поликлиника №3"</t>
  </si>
  <si>
    <t>ГКП на ПХВ  "Городская поликлиника №4"</t>
  </si>
  <si>
    <t>ГККП "Городская поликлиника №5"</t>
  </si>
  <si>
    <t>ГКП на ПХВ  "Городская поликлиника №6"</t>
  </si>
  <si>
    <t>ГККП "Городская поликлиника №8"</t>
  </si>
  <si>
    <t>ГККП "Городская поликлиника №9"</t>
  </si>
  <si>
    <t>ГККП "Городская поликлиника №10"</t>
  </si>
  <si>
    <t>ГКП на ПХВ "Городская поликлиника №11"</t>
  </si>
  <si>
    <t>ГККП "Городская поликлиника №12"</t>
  </si>
  <si>
    <t>ГККП "Городская поликлиника №13"</t>
  </si>
  <si>
    <t>ГККП "Городская поликлиника №14"</t>
  </si>
  <si>
    <t>ГККП "Городская поликлиника №15"</t>
  </si>
  <si>
    <t>ГККП "Городская поликлиника №16"</t>
  </si>
  <si>
    <t>ГКП на ПХВ "Городская поликлиника №17"</t>
  </si>
  <si>
    <t>ГККП "Городская поликлиника №18"</t>
  </si>
  <si>
    <t>ГККП "Городская поликлиника №19"</t>
  </si>
  <si>
    <t>ГККП "Городская поликлиника №20"</t>
  </si>
  <si>
    <t>ГККП "Городская поликлиника №21"</t>
  </si>
  <si>
    <t>ГККП "Городская поликлиника №22"</t>
  </si>
  <si>
    <t>ГКПП "Городская поликлиника ВОВ"</t>
  </si>
  <si>
    <t>ГККП "Городская студенческая поликлиника"</t>
  </si>
  <si>
    <t>ГККП "ПМСП "Заря Востока"</t>
  </si>
  <si>
    <t>ГККП "ПМСП "Кулагер"</t>
  </si>
  <si>
    <t>ТОО "Медицинский центр доктора Орынбаева"</t>
  </si>
  <si>
    <t>ТОО "Центр здоровья "Люкс"</t>
  </si>
  <si>
    <t>ГККП "Лечебно-диагностический центр"</t>
  </si>
  <si>
    <t>РГКП "Республиканский центр аллергологии" МЗ РК</t>
  </si>
  <si>
    <t>ФАО «ЖГМК»-«Учебно-клинический центр»</t>
  </si>
  <si>
    <t>РГКП "Гос.клин.госпиталь инвалидов для ИОВ"</t>
  </si>
  <si>
    <t>Астана</t>
  </si>
  <si>
    <t>АО "Нацинальный научный центр материнства и детства"*</t>
  </si>
  <si>
    <t>АО "Национальный научный  медицинский  центр"</t>
  </si>
  <si>
    <t>АО "Республиканский детский реабилитационный центр"</t>
  </si>
  <si>
    <t>АО "Республиканский научный центр нейрохирургии"</t>
  </si>
  <si>
    <t>АО "Республиканский научный центр неотложной медицинской помощи"</t>
  </si>
  <si>
    <t xml:space="preserve">ГКП на ПХВ "Городская больница №1" </t>
  </si>
  <si>
    <t xml:space="preserve">ГККП "Городская больница №2" </t>
  </si>
  <si>
    <t>ГКП на ПХВ "Городская детская больница №1"</t>
  </si>
  <si>
    <t xml:space="preserve">ГКП на ПХВ "Городская детская больница №2" </t>
  </si>
  <si>
    <t xml:space="preserve">ГККП "Городской родильный дом №1" </t>
  </si>
  <si>
    <t xml:space="preserve">ГКП на ПХВ "Перинатальный центр №1" </t>
  </si>
  <si>
    <t>ГККП "Перинатальный центр №2"</t>
  </si>
  <si>
    <t xml:space="preserve">ГКП на ПХВ "Центр дерматологии и профилактики болезней, передающихся половым путем города Астана" </t>
  </si>
  <si>
    <t>РГКП "Центральный клинический госпиталь для инвалидов Отечественной войны" МЗ РК</t>
  </si>
  <si>
    <t>РГП на ПХВ "Научно-исследовательский институт травматологии и ортопедии" МЗ РК</t>
  </si>
  <si>
    <t>ТОО "Многопрофильный медицинский центр "Мейрім"</t>
  </si>
  <si>
    <t>ФАО"Железнодорожные  госпитали медицины катастроф"-"Центральная дорожная больница"</t>
  </si>
  <si>
    <t>АО "Национальный научный кардиохирургический центр "</t>
  </si>
  <si>
    <t>АО "Казахский научно-исследовательский институт глазных болезней"</t>
  </si>
  <si>
    <t>АО "Республиканский диагностический центр"</t>
  </si>
  <si>
    <t>ГКП на ПХВ "Городская поликлиника №1"</t>
  </si>
  <si>
    <t xml:space="preserve">ГККП "Городская поликлиника №2" </t>
  </si>
  <si>
    <t xml:space="preserve">ГКП на ПХВ "Городская поликлиника №3" </t>
  </si>
  <si>
    <t xml:space="preserve">ГКП на ПХВ "Городская поликлиника №4" </t>
  </si>
  <si>
    <t>ГКП на ПХВ "Городская поликлиника №6"</t>
  </si>
  <si>
    <t>ГКП на ПХВ  "Городская поликлиника №7"</t>
  </si>
  <si>
    <t xml:space="preserve">ГККП "Городская поликлиника №8" </t>
  </si>
  <si>
    <t>ГККП "Учебно-практический семейной медицинский "Демеу"</t>
  </si>
  <si>
    <t>ТОО "Интертич Астана Медицинский Ассистанс"</t>
  </si>
  <si>
    <t>ТОО "Талмас-Медикус"</t>
  </si>
  <si>
    <t>ТОО "Фрезениус Медикал Кейр Казахстан"</t>
  </si>
  <si>
    <t>ТОО "Центр реабилитации"</t>
  </si>
  <si>
    <t>ТОО"Астана Эколайф"</t>
  </si>
  <si>
    <t>АО "Железнодорожные госпитали медицины катастроф"</t>
  </si>
  <si>
    <t>Названия строк</t>
  </si>
  <si>
    <t>Сумма по полю мб</t>
  </si>
  <si>
    <t>Сумма по полю рб</t>
  </si>
  <si>
    <t>Инфекц</t>
  </si>
  <si>
    <t>Нарко</t>
  </si>
  <si>
    <t>непонятные</t>
  </si>
  <si>
    <t>онко</t>
  </si>
  <si>
    <t>Псих</t>
  </si>
  <si>
    <t>Туб</t>
  </si>
  <si>
    <t>Тубдиспансер</t>
  </si>
  <si>
    <t>Общий итог</t>
  </si>
  <si>
    <t>сумма</t>
  </si>
  <si>
    <t>2. Ағымдағы табыс 
Текущие доходы</t>
  </si>
  <si>
    <t>2.1. Республика бойынша, барлығы
Всего по республике</t>
  </si>
  <si>
    <t>Денсаулық сақтау және әлеуметтік қызметтер
Здравоохранение и социальные услуги</t>
  </si>
  <si>
    <t>мың теңге                                                                                                                                                                                                                                             тыс.тенге</t>
  </si>
  <si>
    <t>Есепті кезеңде, барлығы</t>
  </si>
  <si>
    <t>соның ішінде</t>
  </si>
  <si>
    <t xml:space="preserve">денсаулық сақтау және әлеуметтік қызметтер </t>
  </si>
  <si>
    <t>олардан</t>
  </si>
  <si>
    <t xml:space="preserve">тұратын орынмен қамтамасыз ете отырып әлеуметтік қызмет көрсету </t>
  </si>
  <si>
    <t xml:space="preserve">тұратын орнымен қамтамасыз етусіз әлеуметтік қызметтер </t>
  </si>
  <si>
    <t>ауруханалар</t>
  </si>
  <si>
    <t>жалпы дәрігерлік тәжірибе</t>
  </si>
  <si>
    <t>арнайы дәрігерлік тәжірибе</t>
  </si>
  <si>
    <t>стоматологиялық қызмет</t>
  </si>
  <si>
    <t xml:space="preserve">адамның денсаулығын сақтау бойынша басқа қызметтер  </t>
  </si>
  <si>
    <t>За отчетный год, всего</t>
  </si>
  <si>
    <t>в том числе в:</t>
  </si>
  <si>
    <t xml:space="preserve">деятельность в области здравоохранения </t>
  </si>
  <si>
    <t>из них</t>
  </si>
  <si>
    <t>предоставление социальных услуг с обеспечением проживания</t>
  </si>
  <si>
    <r>
      <t>предоставление социальных услуг  без обеспечения</t>
    </r>
    <r>
      <rPr>
        <sz val="8"/>
        <rFont val="Arial Cyr"/>
        <charset val="204"/>
      </rPr>
      <t xml:space="preserve"> проживания </t>
    </r>
    <r>
      <rPr>
        <sz val="8"/>
        <rFont val="Arial Cyr"/>
        <family val="2"/>
        <charset val="204"/>
      </rPr>
      <t xml:space="preserve">  </t>
    </r>
  </si>
  <si>
    <t>больницы</t>
  </si>
  <si>
    <t xml:space="preserve"> общая врачебная практика </t>
  </si>
  <si>
    <t xml:space="preserve">специальная врачебная практика </t>
  </si>
  <si>
    <t xml:space="preserve">стоматологи-ческая деятельность </t>
  </si>
  <si>
    <t>прочая деятельность по охране здоровья человека</t>
  </si>
  <si>
    <t>Ағымдағы табыстар</t>
  </si>
  <si>
    <t>Текущие доходы</t>
  </si>
  <si>
    <t>Ағымдағы трансферттер</t>
  </si>
  <si>
    <t>Текущие трансферты</t>
  </si>
  <si>
    <t>- республикалық бюджеттен</t>
  </si>
  <si>
    <t>- из республиканского бюджета</t>
  </si>
  <si>
    <t>оның ішінде гранттар:</t>
  </si>
  <si>
    <t>из них гранты:</t>
  </si>
  <si>
    <t>- жергілікті бюджеттен</t>
  </si>
  <si>
    <t>- из местного бюджета</t>
  </si>
  <si>
    <t>- ерікті жарналар мен қайыр көрсету түсімдері</t>
  </si>
  <si>
    <t>- поступления от добровольных взносов и пожертвований</t>
  </si>
  <si>
    <t>оның ішінде: шетелден</t>
  </si>
  <si>
    <t>из них: из-за рубежа</t>
  </si>
  <si>
    <t>Көрсетілген қызметтің және өз күшімен өндіріліп өткізілген тауарлардың құны</t>
  </si>
  <si>
    <t>Стоимость оказанных услуг и реализованных товаров, произведенных своими силами</t>
  </si>
  <si>
    <t>Тауарларды алып-сатудан түскен таза табыс (аукционды қоса)</t>
  </si>
  <si>
    <t>Чистый доход от перепродажи товаров (включая аукционы)</t>
  </si>
  <si>
    <t>Меншіктен алынған табыс</t>
  </si>
  <si>
    <t>Полученный доход от собственности</t>
  </si>
  <si>
    <t>- пайыздар</t>
  </si>
  <si>
    <t>- проценты</t>
  </si>
  <si>
    <t>- дивидендтер</t>
  </si>
  <si>
    <t>- дивиденды</t>
  </si>
  <si>
    <t>Басқа ағымдағы табыс (капитал активтерін сатудан, жалгерлік төлемнен, т.б. түскен таза табыс)</t>
  </si>
  <si>
    <t>Другой текущий доход (чистый доход от продаж капитальных активов, арендная плата и др.)</t>
  </si>
  <si>
    <t>2.4. Мемлекеттік меншік
Государственная собственность</t>
  </si>
  <si>
    <t>2.5. Жеке меншік
Частная собственность</t>
  </si>
  <si>
    <t>из республиканского бюджета</t>
  </si>
  <si>
    <t>3. Күрделі қаржы ұйымдарының табыстары 
Капитальные доходы организации</t>
  </si>
  <si>
    <t>3.1. Республика бойынша, барлығы
Всего по республике</t>
  </si>
  <si>
    <t>мың тенге                                                                                                                                                                                                                                             тыс.тенге</t>
  </si>
  <si>
    <t>соның ішінде:</t>
  </si>
  <si>
    <t xml:space="preserve">услуги социальные без обеспечения проживания  </t>
  </si>
  <si>
    <t xml:space="preserve">общая врачебная практика </t>
  </si>
  <si>
    <t xml:space="preserve">стоматологическая деятельность </t>
  </si>
  <si>
    <t>Күрделі қаржы табыстары</t>
  </si>
  <si>
    <t>Капитальные доходы</t>
  </si>
  <si>
    <t>Алынған күрделі қаржы трансферттері</t>
  </si>
  <si>
    <t>Полученные капитальные трансферты</t>
  </si>
  <si>
    <t>- кәсіпорындардан</t>
  </si>
  <si>
    <t>- от предприятий</t>
  </si>
  <si>
    <t>- үй шаруашылықтарынан</t>
  </si>
  <si>
    <t>- от домашних хозяйств</t>
  </si>
  <si>
    <t>- шетелдерден</t>
  </si>
  <si>
    <t>- из-за рубежа</t>
  </si>
  <si>
    <t>Өзге де күрделі қаржы табыстары</t>
  </si>
  <si>
    <t>Прочие капитальные доходы</t>
  </si>
  <si>
    <t>3.4. Мемлекеттік меншік
Государственная собственность</t>
  </si>
  <si>
    <t>3.5. Жеке меншік
Частная собственность</t>
  </si>
  <si>
    <t xml:space="preserve">9. Денсаулық сақтау мен әлеуметтік қызмет көрсету саласында көрсетілген қызметтердің көлемі </t>
  </si>
  <si>
    <t>Объем оказанных услуг в области здравоохранения и предоставления социальных услуг</t>
  </si>
  <si>
    <t>мың теңге                                                                                                                                                                                  тыс.тенге</t>
  </si>
  <si>
    <t> </t>
  </si>
  <si>
    <t xml:space="preserve">ЭҚТӨС бойынша
қызмет түрінің
коды                                                                                                                                                              </t>
  </si>
  <si>
    <t xml:space="preserve">Есепті кезеңге,
барлығы                                                                                                                                                                                    </t>
  </si>
  <si>
    <t xml:space="preserve">соның ішінде қаражаттары есебінен                                                                                                                                                                           </t>
  </si>
  <si>
    <t xml:space="preserve">бюджет                                                                                                                                                                                                            </t>
  </si>
  <si>
    <t xml:space="preserve">халық                                                                                                                                                                                                   </t>
  </si>
  <si>
    <t xml:space="preserve">кәсіпорындар                                                                                                                                                                          </t>
  </si>
  <si>
    <t>Код вида услуг
по КПВЭД</t>
  </si>
  <si>
    <t xml:space="preserve">За отчетный
период, всего  </t>
  </si>
  <si>
    <t>в том числе за счет средств</t>
  </si>
  <si>
    <t>бюджета</t>
  </si>
  <si>
    <t>населения</t>
  </si>
  <si>
    <t>предприятий</t>
  </si>
  <si>
    <t>86+87+88+00</t>
  </si>
  <si>
    <t>Всего оказанных услуг по основному и вторичному виду деятельности</t>
  </si>
  <si>
    <t>86+87+88</t>
  </si>
  <si>
    <t>Всего оказанных услуг по основному виду деятельности</t>
  </si>
  <si>
    <t xml:space="preserve"> Денсаулық сақтау саласындағы қызмет</t>
  </si>
  <si>
    <t>86</t>
  </si>
  <si>
    <t xml:space="preserve"> Деятельность в области здравоохранения</t>
  </si>
  <si>
    <t xml:space="preserve">  Ауруханалардың қызметтері</t>
  </si>
  <si>
    <t>86101</t>
  </si>
  <si>
    <t xml:space="preserve">  Услуги больниц</t>
  </si>
  <si>
    <t xml:space="preserve">  Жалпы дәрігерлік тәжірибе саласындағы қызметтер</t>
  </si>
  <si>
    <t>86211</t>
  </si>
  <si>
    <t xml:space="preserve">  Услуги в области врачебной практики общей</t>
  </si>
  <si>
    <t xml:space="preserve">  Мамандырылған дәрігерлік тәжірибе саласындағы қызметтер</t>
  </si>
  <si>
    <t>86221</t>
  </si>
  <si>
    <t xml:space="preserve">  Услуги в области врачебной практики специализированной</t>
  </si>
  <si>
    <t xml:space="preserve">  Стоматология саласындағы қызметтер</t>
  </si>
  <si>
    <t>86231</t>
  </si>
  <si>
    <t xml:space="preserve">  Услуги в области стоматологии</t>
  </si>
  <si>
    <t xml:space="preserve">  Адам денсаулығын қорғау бойынша өзге де қызметтер</t>
  </si>
  <si>
    <t>86901</t>
  </si>
  <si>
    <t xml:space="preserve">  Услуги по охране здоровья человека прочие</t>
  </si>
  <si>
    <t xml:space="preserve"> Тұратын орынмен қамтамасыз ете отырып әлеуметтік қызмет көрсету</t>
  </si>
  <si>
    <t>87</t>
  </si>
  <si>
    <t xml:space="preserve"> Предоставление социальных услуг с обеспечением проживания</t>
  </si>
  <si>
    <t xml:space="preserve">  Тұруды қамтамасыз етумен науқастарды күту бойынша қызметтер</t>
  </si>
  <si>
    <t>87101</t>
  </si>
  <si>
    <t xml:space="preserve">  Услуги по уходу за больными с обеспечением проживания</t>
  </si>
  <si>
    <t xml:space="preserve">  Ақыл-ой немесе дене кемшіліктері, психикалық аурулар және наркологиялық ауытқулары бар адамдардың тұруымен байланысты қызметтер</t>
  </si>
  <si>
    <t>87201</t>
  </si>
  <si>
    <t xml:space="preserve">  Услуги, связанные с проживанием лиц с умственными или физическими недостатками, психическими заболеваниями и наркологическими расстройствами</t>
  </si>
  <si>
    <t xml:space="preserve">  Қарттар мен мүгедектерге арналған тұратын орынмен байланысты қызметтер</t>
  </si>
  <si>
    <t>87301</t>
  </si>
  <si>
    <t xml:space="preserve">  Услуги, связанные с проживанием, для престарелых и инвалидов</t>
  </si>
  <si>
    <t xml:space="preserve">  Тұрумен байланысты өзге де қызметтер</t>
  </si>
  <si>
    <t>87901</t>
  </si>
  <si>
    <t xml:space="preserve">  Услуги, связанные с проживанием, прочие</t>
  </si>
  <si>
    <t xml:space="preserve"> Тұруды қамтамасыз етпейтін әлеуметтік қызметтер көрсету</t>
  </si>
  <si>
    <t>88</t>
  </si>
  <si>
    <t xml:space="preserve"> Предоставление социальных услуг без обеспечения проживания</t>
  </si>
  <si>
    <t xml:space="preserve">  Қарттар мен мүгедектерге арналған тұратын орынмен қамтамасыз етусіз әлеуметтік қызметтер</t>
  </si>
  <si>
    <t>88101</t>
  </si>
  <si>
    <t xml:space="preserve">  Услуги  социальные без обеспечения проживания для престарелых и инвалидов</t>
  </si>
  <si>
    <t xml:space="preserve">  Балаларға күндізгі қарау бойынша қызметтер</t>
  </si>
  <si>
    <t>88911</t>
  </si>
  <si>
    <t xml:space="preserve">  Услуги по дневному уходу за детьми</t>
  </si>
  <si>
    <t xml:space="preserve">  Басқа топтамаларға кірмеген, тұратын орынмен қамтамасыз етусіз әлеуметтік қызметтер</t>
  </si>
  <si>
    <t>88991</t>
  </si>
  <si>
    <t xml:space="preserve">  Услуги  социальные без обеспечения проживания прочие, не включенные в другие группировки</t>
  </si>
  <si>
    <t>00</t>
  </si>
  <si>
    <t xml:space="preserve"> Тоқыма</t>
  </si>
  <si>
    <t xml:space="preserve"> Текстиль</t>
  </si>
  <si>
    <t xml:space="preserve"> Киім бөлшектері</t>
  </si>
  <si>
    <t xml:space="preserve"> Предметы одежды</t>
  </si>
  <si>
    <t xml:space="preserve"> Жиһаз</t>
  </si>
  <si>
    <t>31</t>
  </si>
  <si>
    <t xml:space="preserve"> Мебель</t>
  </si>
  <si>
    <t xml:space="preserve"> Өзге де дайын бұйымдар</t>
  </si>
  <si>
    <t>32</t>
  </si>
  <si>
    <t xml:space="preserve"> Изделия готовые прочие</t>
  </si>
  <si>
    <t xml:space="preserve"> Қалдықтарды жинау, өңдеу және жою бойынша қызметтер; қайталама шикізатты алу бойынша қызметтер</t>
  </si>
  <si>
    <t>38</t>
  </si>
  <si>
    <t xml:space="preserve"> Услуги по сбору, обработке и удалению отходов; услуги по получению вторичного сырья</t>
  </si>
  <si>
    <t xml:space="preserve"> Көтерме және бөлшек сауда бойынша қызметтер; автомобильдер мен мотоциклдерді жөндеу бойынша қызметтер</t>
  </si>
  <si>
    <t>45</t>
  </si>
  <si>
    <t xml:space="preserve"> Услуги по торговле оптовой и розничной; услуги по ремонту автомобилей и мотоциклов</t>
  </si>
  <si>
    <t xml:space="preserve"> Автомобильдер мен мотоциклдер саудасынан басқа көтерме сауда бойынша қызметтер</t>
  </si>
  <si>
    <t>46</t>
  </si>
  <si>
    <t xml:space="preserve"> Услуги по торговле оптовой, кроме торговли автомобилями и мотоциклами</t>
  </si>
  <si>
    <t xml:space="preserve"> Автомобиль мен мотоциклдерді қоспағанда, бөлшек сауда бойынша қызметтер</t>
  </si>
  <si>
    <t>47</t>
  </si>
  <si>
    <t xml:space="preserve"> Услуги по торговле розничной, за исключением автомобилями и мотоциклами</t>
  </si>
  <si>
    <t xml:space="preserve"> Тұруды ұйымдастыру бойынша қызметтер</t>
  </si>
  <si>
    <t>55</t>
  </si>
  <si>
    <t xml:space="preserve"> Услуги по организации проживания</t>
  </si>
  <si>
    <t xml:space="preserve"> Тамақ өнімдері мен сусындарды ұсыну бойынша қызметтер</t>
  </si>
  <si>
    <t>56</t>
  </si>
  <si>
    <t xml:space="preserve"> Услуги по предоставлению продуктов питания и напитков</t>
  </si>
  <si>
    <t xml:space="preserve"> Жылжымайтын мүлікпен байланысты қызметтер</t>
  </si>
  <si>
    <t>68</t>
  </si>
  <si>
    <t xml:space="preserve"> Услуги, связанные с имуществом недвижимым</t>
  </si>
  <si>
    <t xml:space="preserve"> Сәулет, инженерлік ізденістер, техникалық сынақтар және талдау саласындағы қызметтер</t>
  </si>
  <si>
    <t>71</t>
  </si>
  <si>
    <t xml:space="preserve"> Услуги в области архитектуры, инженерных изысканий, технических испытаний и анализа</t>
  </si>
  <si>
    <t xml:space="preserve"> Жалға беру бойынша қызметтер</t>
  </si>
  <si>
    <t>77</t>
  </si>
  <si>
    <t xml:space="preserve"> Услуги  по аренде</t>
  </si>
  <si>
    <t xml:space="preserve"> Білім беру саласындағы қызметтер</t>
  </si>
  <si>
    <t>85</t>
  </si>
  <si>
    <t xml:space="preserve"> Услуги в области образования</t>
  </si>
  <si>
    <t xml:space="preserve"> Спорт қызметтері  және демалысты ұйымдастыру бойынша қызметтер</t>
  </si>
  <si>
    <t>93</t>
  </si>
  <si>
    <t xml:space="preserve"> Услуги спортивные и услуги по организации отдыха</t>
  </si>
  <si>
    <t xml:space="preserve"> Өзге де жеке қызметтер</t>
  </si>
  <si>
    <t>96</t>
  </si>
  <si>
    <t xml:space="preserve"> Услуги индивидуальные прочие</t>
  </si>
  <si>
    <t>Халықтың ақшалай шығыстары</t>
  </si>
  <si>
    <t>Денежные расходы населения</t>
  </si>
  <si>
    <t>Барлығы</t>
  </si>
  <si>
    <t xml:space="preserve"> Всего</t>
  </si>
  <si>
    <t xml:space="preserve">теңге </t>
  </si>
  <si>
    <t>тенге</t>
  </si>
  <si>
    <t>Орташа жан басына шаққанда</t>
  </si>
  <si>
    <t xml:space="preserve">Ақшалай шығыстар - барлығы </t>
  </si>
  <si>
    <t>Тұтыну шығыстары</t>
  </si>
  <si>
    <t>Туыстары мен таныстарына материалдық көмек, алименттер</t>
  </si>
  <si>
    <t>Салықтар, төлемдер және басқа төлемақылар</t>
  </si>
  <si>
    <t>Кредит пен борышты өтеу</t>
  </si>
  <si>
    <t>Азық-түлiк тауарлары</t>
  </si>
  <si>
    <t>Азық-түлiк емес тауарлар</t>
  </si>
  <si>
    <t>Ақылы қызметтер</t>
  </si>
  <si>
    <t>В среднем на душу населения</t>
  </si>
  <si>
    <t>Денежные расходы - всего</t>
  </si>
  <si>
    <t>в том числе</t>
  </si>
  <si>
    <t>Потребитель-ские расходы</t>
  </si>
  <si>
    <t xml:space="preserve">в том числе </t>
  </si>
  <si>
    <t>Материальная помощь родственникам, знакомым, алименты</t>
  </si>
  <si>
    <t>Налоги, платежи и другие выплаты</t>
  </si>
  <si>
    <t>Погашение кредита и долга</t>
  </si>
  <si>
    <t>Продоволь-ственные товары</t>
  </si>
  <si>
    <t>Непродоволь-ственные товары</t>
  </si>
  <si>
    <t>Платные услуги</t>
  </si>
  <si>
    <t>Қазақстан Республикасы</t>
  </si>
  <si>
    <t>Республика  Казахстан</t>
  </si>
  <si>
    <t>Ақмола</t>
  </si>
  <si>
    <t>Акмолинская</t>
  </si>
  <si>
    <t>Ақтөбе</t>
  </si>
  <si>
    <t>Актюбинская</t>
  </si>
  <si>
    <t>Алматинская</t>
  </si>
  <si>
    <t>Атырау</t>
  </si>
  <si>
    <t>Атырауская</t>
  </si>
  <si>
    <t>Батыс Қазақстан</t>
  </si>
  <si>
    <t>Западно-Казахстанская</t>
  </si>
  <si>
    <t>Жамбылская</t>
  </si>
  <si>
    <t>Қарағанды</t>
  </si>
  <si>
    <t>Карагандинская</t>
  </si>
  <si>
    <t>Қостанай</t>
  </si>
  <si>
    <t>Костанайская</t>
  </si>
  <si>
    <t>Қызылорда</t>
  </si>
  <si>
    <t>Кызылординская</t>
  </si>
  <si>
    <t>Маңғыстау</t>
  </si>
  <si>
    <t>Мангистауская</t>
  </si>
  <si>
    <t>Оңтүстік Қазақстан</t>
  </si>
  <si>
    <t>Южно-Казахстанская</t>
  </si>
  <si>
    <t>Павлодарская</t>
  </si>
  <si>
    <t>Солтүстік Қазақстан</t>
  </si>
  <si>
    <t>Северо-Казахстанская</t>
  </si>
  <si>
    <t>Шығыс Қазақстан</t>
  </si>
  <si>
    <t>Восточно-Казахстанская</t>
  </si>
  <si>
    <t>Астана қаласы</t>
  </si>
  <si>
    <t>Алматы қаласы</t>
  </si>
  <si>
    <t xml:space="preserve">Халықтың денсаулық сақтау саласындағы шығыстары </t>
  </si>
  <si>
    <t xml:space="preserve">Расходы населения  на здравоохранение </t>
  </si>
  <si>
    <t>теңге</t>
  </si>
  <si>
    <t xml:space="preserve">  тенге</t>
  </si>
  <si>
    <t>Халықтың орташа жан басына шаққанда</t>
  </si>
  <si>
    <t>Республика бойынша-
барлығы</t>
  </si>
  <si>
    <t>қалалық жер</t>
  </si>
  <si>
    <t>ауылдық жер</t>
  </si>
  <si>
    <t xml:space="preserve">По республике -
всего </t>
  </si>
  <si>
    <t>городская местность</t>
  </si>
  <si>
    <t>сельская местность</t>
  </si>
  <si>
    <t>Денсаулық сақтау шығыстары - барлығы</t>
  </si>
  <si>
    <t>Расходы на здравоохранение - всего</t>
  </si>
  <si>
    <t>Емдейтін жабдықтар мен аппараттар</t>
  </si>
  <si>
    <t>Лечебное оборудование и аппараты</t>
  </si>
  <si>
    <t>Медициналық мақсаттағы өзге де  өнімдер</t>
  </si>
  <si>
    <t>Прочая продукция медицинского назначения</t>
  </si>
  <si>
    <t>Фармацевтикалық препараттар</t>
  </si>
  <si>
    <t>Фармацевтические препараты</t>
  </si>
  <si>
    <t>Медициналық қызмет көрсету</t>
  </si>
  <si>
    <t>Медицинские услуги</t>
  </si>
  <si>
    <t>Стоматологиялық қызмет көрсету</t>
  </si>
  <si>
    <t>Стоматологические услуги</t>
  </si>
  <si>
    <t>Парамедициналық қызметтер</t>
  </si>
  <si>
    <t>Парамедицинские услуги</t>
  </si>
  <si>
    <t>Ауруханалардың қызметтері</t>
  </si>
  <si>
    <t xml:space="preserve">Услуги больниц </t>
  </si>
  <si>
    <t>Шипажайлардың мен сауықтыруға арналған үйлердің қызметтері</t>
  </si>
  <si>
    <t xml:space="preserve">Услуги санаториев и домов для выздоравливающих </t>
  </si>
  <si>
    <t>Ауруханаға дейін (медициналық мекемеге) барып қайту жолақысы</t>
  </si>
  <si>
    <t>Проезд до больницы (медицинского учреждения) и обратно</t>
  </si>
  <si>
    <t>Бейресми шығыстар</t>
  </si>
  <si>
    <t>1) Метод квартального обследования домохозяйств</t>
  </si>
  <si>
    <t xml:space="preserve">Размазанные, тыс.тг </t>
  </si>
  <si>
    <t>В ср.на душу населения</t>
  </si>
  <si>
    <t>тг</t>
  </si>
  <si>
    <t>http://www.stat.kz/publishing/Pages/UZHN_2012.aspx</t>
  </si>
  <si>
    <t>таблица 5</t>
  </si>
  <si>
    <t>2)  ВВП методом конечного использования за 2011 год</t>
  </si>
  <si>
    <t>млн.тг</t>
  </si>
  <si>
    <t xml:space="preserve">Общие расходы </t>
  </si>
  <si>
    <t>Расходы домохозяйств</t>
  </si>
  <si>
    <t>http://stat.kz/vs_scheta/int_scheta/Pages/default.aspx</t>
  </si>
  <si>
    <t>Расходы ДХ на здрав</t>
  </si>
  <si>
    <t>коэф.</t>
  </si>
  <si>
    <t>Расходы ДХ на здрав.от общих</t>
  </si>
  <si>
    <t>Процент расходов ДХ к Гос.расходам на здрав.</t>
  </si>
  <si>
    <t xml:space="preserve">1.20 Үй шаруашылықтарының денсаулық сақтау саласындағы шығыстары </t>
  </si>
  <si>
    <t xml:space="preserve">Расходы домохозяйств  на здравоохранение </t>
  </si>
  <si>
    <t>Орташа үй шаруашылығына шаққанда</t>
  </si>
  <si>
    <t>В среднем на домохозяйство</t>
  </si>
  <si>
    <t>гос расходы</t>
  </si>
  <si>
    <t>Восстановительное лечение и медицинская реабилитация в санитарно-курортных организациях</t>
  </si>
  <si>
    <t>Сумма</t>
  </si>
  <si>
    <t>Показатель</t>
  </si>
  <si>
    <t>млн тг</t>
  </si>
  <si>
    <t>% от ВВП</t>
  </si>
  <si>
    <t>ВВП (методом конечного потребления), млн</t>
  </si>
  <si>
    <t>http://www.stat.kz/vs_scheta/int_scheta/Pages/default.aspx</t>
  </si>
  <si>
    <t>расходы на здрав.</t>
  </si>
  <si>
    <t>Отчет МФ по Госбюджету</t>
  </si>
  <si>
    <t>Частное страхование</t>
  </si>
  <si>
    <t>http://www.afn.kz</t>
  </si>
  <si>
    <t>Домохозяйства*</t>
  </si>
  <si>
    <t>Работодатели</t>
  </si>
  <si>
    <t>Частные орг.</t>
  </si>
  <si>
    <t xml:space="preserve">Общие расходы на здравоохранение </t>
  </si>
  <si>
    <t>*-вычислено на основе данных АРКС по расходам домохозяйств из Национальных счетов, удельный вес расходов на здравоохранение взято из ежеквартального обследования домохозяйств АРКС</t>
  </si>
  <si>
    <t>Прочие государственные трансферты местных доходов</t>
  </si>
  <si>
    <t>2012 год</t>
  </si>
  <si>
    <t>заметки</t>
  </si>
  <si>
    <t>Возможно амбул. Проверить методологию</t>
  </si>
  <si>
    <t>средние медработники???</t>
  </si>
  <si>
    <t xml:space="preserve">Подтверждающие источники? Соцфин 9.1 </t>
  </si>
  <si>
    <t>финансовая отчетность мед организаций</t>
  </si>
  <si>
    <t>Прочие доход гос???</t>
  </si>
  <si>
    <t xml:space="preserve"> FS.1 Средства, выделяемые из государственных доходов, за исключением внешних займов</t>
  </si>
  <si>
    <t>FSR.1.1.1</t>
  </si>
  <si>
    <t xml:space="preserve">Местные органы управление строительства, пассажирского транспорта и автомобильных дорог </t>
  </si>
  <si>
    <t>Фармацевтическая продукция</t>
  </si>
  <si>
    <t xml:space="preserve">Медицинские услуги </t>
  </si>
  <si>
    <t>Проезд до медицинского учреждения и обратно</t>
  </si>
  <si>
    <t>Неформальные расходы на здравоохранение</t>
  </si>
  <si>
    <t>Фармацевтикалық өнімдер</t>
  </si>
  <si>
    <t>Медициналық қызметтер</t>
  </si>
  <si>
    <t>Стоматологиялық қызметтер</t>
  </si>
  <si>
    <t>Медициналық мекемеге дейін барып қайту жолақысы</t>
  </si>
  <si>
    <t>Денсаулық сақтауға арналған бейресми шығыстар</t>
  </si>
  <si>
    <t xml:space="preserve">Больницы, оказывающие медицинские услуги на стационарном уровне </t>
  </si>
  <si>
    <t>Область</t>
  </si>
  <si>
    <t>Наименование бюджетной программы</t>
  </si>
  <si>
    <t>Наименование медицинских организации</t>
  </si>
  <si>
    <t>мб</t>
  </si>
  <si>
    <t>рб</t>
  </si>
  <si>
    <t>Акмолинская обл</t>
  </si>
  <si>
    <t>Областной санаторий для детей с заболеванием бронхолегочной системы</t>
  </si>
  <si>
    <t xml:space="preserve">«Әйтеке би орталық аудандық ауруханасы» МКҚК </t>
  </si>
  <si>
    <t xml:space="preserve">«Алға орталық аудандық ауруханасы» МКК </t>
  </si>
  <si>
    <t xml:space="preserve">«Байғанин аудандық орталық ауруханасы» МКҚК </t>
  </si>
  <si>
    <t xml:space="preserve"> «Ырғыз орталық аудандық ауруханасы» МКҚК</t>
  </si>
  <si>
    <t xml:space="preserve">«Қарғалы орталық аудандық ауруханасы» МКК </t>
  </si>
  <si>
    <t xml:space="preserve">«Қобда аудандық орталық ауруханасы» МКҚК </t>
  </si>
  <si>
    <t xml:space="preserve">«Мәртөк аудандық орталық ауруханасы» МКҚК </t>
  </si>
  <si>
    <t xml:space="preserve">«Мұғалжар аудандық ауруханасы» МКҚК </t>
  </si>
  <si>
    <t xml:space="preserve">«Темір аудандық орталық ауруханасы» МКҚК </t>
  </si>
  <si>
    <t xml:space="preserve">«Ойыл орталық аудандық ауруханасы» МКҚК </t>
  </si>
  <si>
    <t xml:space="preserve">«Хромтау орталық аудандық аурухана» МКК </t>
  </si>
  <si>
    <t xml:space="preserve">«Шалқар аудандық ауруханасы»  МКҚК </t>
  </si>
  <si>
    <t xml:space="preserve">«Ембі аудандық ауруханасы»  МКҚК </t>
  </si>
  <si>
    <t>Областная больница №2</t>
  </si>
  <si>
    <t>Кокшетауская горбольница №1</t>
  </si>
  <si>
    <t>Областная детская больница</t>
  </si>
  <si>
    <t>Степногорская ЦРБ</t>
  </si>
  <si>
    <t>Атбасарская ЦРБ</t>
  </si>
  <si>
    <t>Аршалынская ЦРБ</t>
  </si>
  <si>
    <t>Бурабайская ЦРБ</t>
  </si>
  <si>
    <t>Зерендинская ЦРБ</t>
  </si>
  <si>
    <t>Жаркаинская ЦРБ</t>
  </si>
  <si>
    <t>Есильская ЦРБ</t>
  </si>
  <si>
    <t>Ерементауская ЦРБ</t>
  </si>
  <si>
    <t>Астраханская ЦРБ</t>
  </si>
  <si>
    <t>Аккольская ЦРБ</t>
  </si>
  <si>
    <t>ҚР Тараз қаласы Дәрігер Ю.В. Лукьяненко</t>
  </si>
  <si>
    <t xml:space="preserve"> ЖОӘДСБ Байзақ ауданының орталық аудандық ауруханасы КМҚК</t>
  </si>
  <si>
    <t>ГККП Уйгурская центральная районная больница ГУ Управления здравоохранения Алматинской области акимата Алматинской области</t>
  </si>
  <si>
    <t>ГККП Жамбылская центральная районная больница ГУ Управления здравоохранения Алматинской области акимата Алматинской области</t>
  </si>
  <si>
    <t>ГККП Коксуская центральная районная больница ГУ Управления здравоохранения Алматинской области акимата Алматинской области</t>
  </si>
  <si>
    <t>ГККП Саркандская центральная районная больница ГУ Управления здравоохранения Алматинской области акимата Алматинской области</t>
  </si>
  <si>
    <t>ГККП Алакольская центральная районная больница ГУ Управления здравоохранения Алматинской области акимата Алматинской области</t>
  </si>
  <si>
    <t>ГКП на ПХВ Капчагайская городская больница ГУ Управления здравоохранения Алматинской области акимата Алматинской области</t>
  </si>
  <si>
    <t>ГККП Аксуская ЦРБ ГУ Управления здравоохранения Алматинской области акимата Алматинской области</t>
  </si>
  <si>
    <t>ГККП Кербулакская центральная районная больница ГУ Управления здравоохранения Алматинской области акимата Алматинской области</t>
  </si>
  <si>
    <t>ГКП центральная районная больница Каратальского района</t>
  </si>
  <si>
    <t>ГККП Сельская больница с.Шелек Енбекшиказахского района</t>
  </si>
  <si>
    <t>ГККП Сельская больница        с.Нарынкол Райымбекского района</t>
  </si>
  <si>
    <t>ГККП Райымбекская центральная районная больница ГУ Управления здравоохранения Алматинской области акимата Алматинской области</t>
  </si>
  <si>
    <t>ГККП Сельская больница с.Кабанбай Алакольского района</t>
  </si>
  <si>
    <t>ГКП на ПХВ Енбекшиказахская центральная районная больница ГУ Управления здравоохранения Алматинской области акимата Алматинской области</t>
  </si>
  <si>
    <t xml:space="preserve"> ЖОӘДСБ Сарысу ауданының орталық аудандық ауруханасы КМҚК</t>
  </si>
  <si>
    <t xml:space="preserve"> ЖОӘДСБ Шу ауданының орталық аудандық ауруханасы КМҚК</t>
  </si>
  <si>
    <t xml:space="preserve"> ЖОӘДСБ Талас ауданының орталық аудандық ауруханасы ШЖҚ МҚК</t>
  </si>
  <si>
    <t xml:space="preserve"> ЖОӘДСБ Мойынқұм ауданының орталық аудандық ауруханасы ШЖҚ МҚК</t>
  </si>
  <si>
    <t>ГКП на праве хоз.ведения "Центр медико-социальной реабилитации" Управления  здравоохранения г. Астаны</t>
  </si>
  <si>
    <t xml:space="preserve"> ЖОӘДСБ Мерке ауданының орталық аудандық ауруханасы КМҚК</t>
  </si>
  <si>
    <t xml:space="preserve"> ЖОӘДСБ Т. Рысқұлов ауданының орталық аудандық ауруханасы КМҚК</t>
  </si>
  <si>
    <t xml:space="preserve"> ЖОӘДСБ Қордай ауданының орталық аудандық ауруханасы ШЖҚ МҚК</t>
  </si>
  <si>
    <t xml:space="preserve"> ЖОӘДСБ Жуалы ауданының орталық аудандық ауруханасы КМҚК</t>
  </si>
  <si>
    <t xml:space="preserve"> ЖОӘДСБ Жамбыл ауданының орталық аудандық ауруханасы КМҚК</t>
  </si>
  <si>
    <t xml:space="preserve"> ЖОӘДСБ Жамбыл облыстық балалар жұқпалы аурулар ауруханасы КММ</t>
  </si>
  <si>
    <t>Шардаринская центральная районная больница</t>
  </si>
  <si>
    <t>Ленгерская городская больница</t>
  </si>
  <si>
    <t>Толебийская районная больница</t>
  </si>
  <si>
    <t>Мактааральская  районная больница Мырзакент</t>
  </si>
  <si>
    <t>Мактааральская  районная больница Асыката</t>
  </si>
  <si>
    <t>Сузакская центральная  районная больница</t>
  </si>
  <si>
    <t>Сарыагашская районная больница Абай</t>
  </si>
  <si>
    <t>КГП на ПХВ "Махамбетская центральная районная 
больница"</t>
  </si>
  <si>
    <t>КГП на ПХВ "Макатская центральная районная 
больница"</t>
  </si>
  <si>
    <t>КГП на ПХВ "Индерская центральная районная 
больница"</t>
  </si>
  <si>
    <t>КГП на ПХВ "Исатайская центральная районная 
больница"</t>
  </si>
  <si>
    <t>КГП на ПХВ "Кызылкогинская центральная районная 
больница"</t>
  </si>
  <si>
    <t>КГП на ПХВ "Жылыойская центральная районная 
больница"</t>
  </si>
  <si>
    <t>КГП на ПХВ "Курмангазинская центральная районная 
больница"</t>
  </si>
  <si>
    <t>Сайрамская районная больница Сайрам</t>
  </si>
  <si>
    <t xml:space="preserve">Сайрамская районная больница Карабулак </t>
  </si>
  <si>
    <t>Отрарская центральная  районная больница</t>
  </si>
  <si>
    <t xml:space="preserve">Ордабасинская центральная  районная больница </t>
  </si>
  <si>
    <t>Казыгуртская центральная  районная больница</t>
  </si>
  <si>
    <t>Байдибекская центральная  районная больница</t>
  </si>
  <si>
    <t xml:space="preserve">Арысская центральная районная больница </t>
  </si>
  <si>
    <t xml:space="preserve">Туркестанская городская центральная больница </t>
  </si>
  <si>
    <t>Кентауская центральная городская больница</t>
  </si>
  <si>
    <t>Тюлькубасская центральная районная больница</t>
  </si>
  <si>
    <t>КГП  на ПХВ "Усть-Каменогорская городская больница № 1" Управления здравоохранения ВКО акимата</t>
  </si>
  <si>
    <t xml:space="preserve">ТОО "Медико-санитарная часть-2" </t>
  </si>
  <si>
    <t>КГКП "Риддерская городская больница" Управления здравоохранения ВКО акимта</t>
  </si>
  <si>
    <t>Сарыагашская центральная  районная больница</t>
  </si>
  <si>
    <t>Сайрамская центральная районная больница</t>
  </si>
  <si>
    <t>КГКП "Медицинское объединение №3 г.Серебрянска Зыряновского района" Управление здравоохранения ВКО акимата</t>
  </si>
  <si>
    <t>Мактааральская центральная  районная больница</t>
  </si>
  <si>
    <t>СКО</t>
  </si>
  <si>
    <t>КГКП «Областное специализированное лечебно-профилактическое учреждение, хоспис» акимата СКО МЗ РК</t>
  </si>
  <si>
    <t>КГП на ПХВ "Центральная районная больница р-на Шал Акына акимата  СКО МЗ РК"</t>
  </si>
  <si>
    <t>КГКП "Медицинское объединение Глубоковского района" Управления здравоохранения Восточно-Казахстанского областного акимата</t>
  </si>
  <si>
    <t>КГКП "Медицинское объединение Зайсанского района" Управления здравоохранения Восточно-Казахстанского областного акимата</t>
  </si>
  <si>
    <t>КГП на ПХВ "Уалихановская центральная районная больница акимата  СКО МЗ РК"</t>
  </si>
  <si>
    <t>КГКП "Медицинское объединение №1 Катон-Карагайского района" Управления здравоохранения Восточно-Казахстанского областного акимата</t>
  </si>
  <si>
    <t>КГКП "Медицинское объединение №2 Катон-Карагайского района" Управления здравоохранения Восточно-Казахстанского областного акимата</t>
  </si>
  <si>
    <t>КГКП "Медицинское объединение №1 Курчумского района" Управления здравоохранения Восточно-Казахстанского областного акимата</t>
  </si>
  <si>
    <t>КГКП "Медицинское объединение №2 Курчумского района" Управления здравоохранения Восточно-Казахстанского областного акимата</t>
  </si>
  <si>
    <t>КГКП "Медицинское объединение №1 Кокпектинского района" Управление здравоохранения ВКО акимата</t>
  </si>
  <si>
    <t>КГКП "Медицинское объединение №2 Кокпектинского района" Управление здравоохранения ВКО акимата</t>
  </si>
  <si>
    <t>КГП на ПХВ "Тимирязевская центральная районная больница акимата  СКО МЗ РК"</t>
  </si>
  <si>
    <t>КГКП "Медицинское объединение №1 Тарбагатайского района" Управление здравоохранения ВКО акимата</t>
  </si>
  <si>
    <t>КГКП "Медицинское объединение №2 Тарбагатайского района" Управление здравоохранения ВКО акимата</t>
  </si>
  <si>
    <t>КГП на ПХВ "Тайыншинская центральная районная больница акимата  СКО МЗ РК"</t>
  </si>
  <si>
    <t>КГКП "Медицинское объединение Уланского района" Управление здравоохранения ВКО акимата</t>
  </si>
  <si>
    <t>КГКП "Медицинское объединение Шемонаихинского района" Управления здравоохранения ВКО акимата</t>
  </si>
  <si>
    <t>КГКП "Наркологический диспансер г.Семей"Управления здравоохранения ВКО акимата</t>
  </si>
  <si>
    <t>КГП на ПХВ  «Центральная районная больница района имени Г.Мусрепова акимата СКО МЗ РК»</t>
  </si>
  <si>
    <t>КГП на ПХВ  «Центральная районная больница района имени М. Жумабаева акимата СКО МЗ РК»</t>
  </si>
  <si>
    <t xml:space="preserve"> КГКП "Курчатовская городская больница" Управления здравоохранения Восточно-Казахстанского областного акимата</t>
  </si>
  <si>
    <t>КГКП "Медицинское объединение Абайского района" Управления здравоохранения Восточно-Казахстанского областного акимата</t>
  </si>
  <si>
    <t>КГКП "Медицинское объединение Аягозского района" Управления здравоохранения Восточно-Казахстанского областного акимата</t>
  </si>
  <si>
    <t>КГП на ПХВ "Жамбылская  центральная районная больница акимата  СКО МЗ РК"</t>
  </si>
  <si>
    <t>КГКП "Медицинское объединение Бескарагайского района" Управление здравоохранения ВКО акимата</t>
  </si>
  <si>
    <t>КГКП "Медицинское объединение Бородулихинского района" Управления здравоохранения ВКОакимата</t>
  </si>
  <si>
    <t>КГКП "Медицинское объединение №1 Жарминского района" Управления здравоохранения Восточно-Казахстанского областного акимата</t>
  </si>
  <si>
    <t>КГП на ПХВ "Явленская  центральная районная больница акимата  СКО МЗ РК"</t>
  </si>
  <si>
    <t>КГКП "Медицинское объединение №1 Урджарского района" Управления здравоохранения Восточно-Казахстанского областного акимата</t>
  </si>
  <si>
    <t>КГП на ПХВ "Аккаинская  центральная районная больница акимата  СКО МЗ РК"</t>
  </si>
  <si>
    <t xml:space="preserve">КГКП "Специализированное лечебно-профилактическое предприятие"Управления здравоохранения ВКО акимата </t>
  </si>
  <si>
    <t>КГП на ПХВ "Акжарская  центральная районная больница акимата  СКО МЗ РК"</t>
  </si>
  <si>
    <t>КГП на ПХВ "Айыртауская  центральная районная больница акимата  СКО МЗ РК"</t>
  </si>
  <si>
    <t xml:space="preserve"> КГП на ПХВ "3-я городская больница" акимата СКО МЗ РК</t>
  </si>
  <si>
    <t>КГП  на ПХВ "1-я городская больница акимата СКО МЗ РК"</t>
  </si>
  <si>
    <t xml:space="preserve">Негосударственное медицинское учреждение «Детский санаторий Солнечный» </t>
  </si>
  <si>
    <t>КГП на ПХВ "Экибастузская городская больница"</t>
  </si>
  <si>
    <t xml:space="preserve">КГКП "Актогайская  ЦРБ" </t>
  </si>
  <si>
    <t xml:space="preserve">КГКП  "Майская ЦРБ " </t>
  </si>
  <si>
    <t xml:space="preserve">КГКП  "Качирская ЦРБ " </t>
  </si>
  <si>
    <t xml:space="preserve">КГП на ПХВ  "Аксуская ЦБ " </t>
  </si>
  <si>
    <t xml:space="preserve">КГКП  "Баянаульская ЦРБ " </t>
  </si>
  <si>
    <t xml:space="preserve">КГКП  "Иртышская ЦРБ " </t>
  </si>
  <si>
    <t xml:space="preserve">КГП на ПХВ  "Железинская ЦРБ " </t>
  </si>
  <si>
    <t>ЗКО</t>
  </si>
  <si>
    <t>ГКП на ПХВ "Акжаикская центральная районная больница"</t>
  </si>
  <si>
    <t>ГККП "Акжаикская  районная больница"</t>
  </si>
  <si>
    <t>ГКП на ПХВ "Жанибекская центральная районная больница"</t>
  </si>
  <si>
    <t>ГКП на ПХВ "Зеленовская районная больница"</t>
  </si>
  <si>
    <t>ГКП на ПХВ "Казталовская центральная районная больница"</t>
  </si>
  <si>
    <t>ГККП "Казталовская районная больница"</t>
  </si>
  <si>
    <t>ГККП "Каратюбинская центральная районная больница"</t>
  </si>
  <si>
    <t>ГКП на ПХВ "Теректинская центральная районная больница"</t>
  </si>
  <si>
    <t>ГККП "Чингирлауская центральная районная больница"</t>
  </si>
  <si>
    <t>СЭОО "Солярис"</t>
  </si>
  <si>
    <t>ГККП "Тупкараганская центральная районная больница"</t>
  </si>
  <si>
    <t>СК "Фармация"</t>
  </si>
  <si>
    <t>ТОО СК Фармация</t>
  </si>
  <si>
    <t>ГККП "Жетыбайская центральная районная больница"</t>
  </si>
  <si>
    <t>ГККП "Каракиянская центральная районная больница"</t>
  </si>
  <si>
    <t>ГККП "Бейнеуская центральная районная больница"</t>
  </si>
  <si>
    <t>ГККП "Мангистауская центральная районная больница"</t>
  </si>
  <si>
    <t xml:space="preserve">КГКП "Областное специализированное лечебно-профилактическое учреждение"  </t>
  </si>
  <si>
    <t>ГККП "Мунайлинская центральная районная больница"</t>
  </si>
  <si>
    <t>ГККП "Специализированное лечебно-профилактическое утверждение"</t>
  </si>
  <si>
    <t>КГКП "Специализированное лечебно-профилактическое учреждение города Жезказган "</t>
  </si>
  <si>
    <t xml:space="preserve">Полевое Учреждение  Банка России №25631 </t>
  </si>
  <si>
    <t>ГККП"Шиелийская РБ"</t>
  </si>
  <si>
    <t>ГККП "Сырдарьинская ЦРБ"</t>
  </si>
  <si>
    <t>ГККП"Кармакшинская ЦРБ"</t>
  </si>
  <si>
    <t>ГККп"Казалинская районная больница"</t>
  </si>
  <si>
    <t xml:space="preserve">КГП "Центральная  больница г. Балхаш" </t>
  </si>
  <si>
    <t xml:space="preserve">КГП "Детская больница  города Балхаш" </t>
  </si>
  <si>
    <t>ГККП"Жанакурганская ЦРБ"</t>
  </si>
  <si>
    <t>ГКП на ПХВ "Жалагашская ЦРБ"</t>
  </si>
  <si>
    <t>ГКП на ПХВ" Аральская ЦРБ"</t>
  </si>
  <si>
    <t xml:space="preserve">ФГБУЗ "Центральная медико-санитарная часть №1 ФМБА России.г Байконур </t>
  </si>
  <si>
    <t xml:space="preserve">КГП "Детская  больница города Жезказган"  </t>
  </si>
  <si>
    <t xml:space="preserve">КГКП"Центральная  больница №1 г. Сатпаев" </t>
  </si>
  <si>
    <t xml:space="preserve">КГКП "Больница поселка Жайрем" </t>
  </si>
  <si>
    <t xml:space="preserve">КГП "Центральная  больница г Шахтинск" </t>
  </si>
  <si>
    <t xml:space="preserve">КГП" Центральная районная больница Абайского района"  </t>
  </si>
  <si>
    <t xml:space="preserve">КГКП "Центральная районная больница Актогайского района"  </t>
  </si>
  <si>
    <t xml:space="preserve">КГКП  "Центральная районная больница Жанааркинского района" </t>
  </si>
  <si>
    <t xml:space="preserve">КГКП "Центральная районная больница  Каркаралинского района" </t>
  </si>
  <si>
    <t xml:space="preserve">КГП "Центральная районная больница Нуринского района" </t>
  </si>
  <si>
    <t xml:space="preserve">КГП "Центральная районная больница Осакаровского района" </t>
  </si>
  <si>
    <t xml:space="preserve">КГКП " Центральная районная больница Шетского района" </t>
  </si>
  <si>
    <t>ГККП "Костанайская городская детская больница"</t>
  </si>
  <si>
    <t>ГККП "Федоровская ЦРБ"</t>
  </si>
  <si>
    <t>ГККП "Рудненская городская детская больница"</t>
  </si>
  <si>
    <t>ГККП "Костанайская городская больница"</t>
  </si>
  <si>
    <t>ГККП "Аркалыкская региональная больница"</t>
  </si>
  <si>
    <t>ГККП "Лисаковская городская больница"</t>
  </si>
  <si>
    <t>ГККП "Житикаринская ЦРБ"</t>
  </si>
  <si>
    <t>ГККП "Амангельдинская ЦРБ"</t>
  </si>
  <si>
    <t>ГКП на ПХВ "Аулиекольская ЦРБ"</t>
  </si>
  <si>
    <t>ГККП "Денисовская ЦРБ"</t>
  </si>
  <si>
    <t>ГККП "Джангельдинская ЦРБ"</t>
  </si>
  <si>
    <t>ГККП "Камыстинская ЦРБ"</t>
  </si>
  <si>
    <t>ГККП "Карабалыкская ЦРБ"</t>
  </si>
  <si>
    <t>ГККП "Карасуская ЦРБ"</t>
  </si>
  <si>
    <t>ГККП "Мендыгаринская ЦРБ"</t>
  </si>
  <si>
    <t>ГККП "Наурзумская ЦРБ"</t>
  </si>
  <si>
    <t>ГККП "Сарыкольская ЦРБ"</t>
  </si>
  <si>
    <t>ГККП "Тарановская ЦРБ"</t>
  </si>
  <si>
    <t>ГККП "Узункольская ЦРБ"</t>
  </si>
  <si>
    <t>Сводный отчет о страховых премиях*</t>
  </si>
  <si>
    <t>по страховым (перестраховочным) организациям Республики Казахстан</t>
  </si>
  <si>
    <t>Страховые премии, принятые по договорам страхования</t>
  </si>
  <si>
    <t>Страховые премии, принятые по договорам перестрахования</t>
  </si>
  <si>
    <t>Страховые премии, переданные на перестрахование</t>
  </si>
  <si>
    <t>Чистая сумма страховых премий</t>
  </si>
  <si>
    <t>Изменение резерва незаработанной премии</t>
  </si>
  <si>
    <t>Изменение активов перестрахования в резерве незаработанной премии</t>
  </si>
  <si>
    <t>Чистая сумма заработанных страховых премий</t>
  </si>
  <si>
    <t>от резидента</t>
  </si>
  <si>
    <t>от нерезидента</t>
  </si>
  <si>
    <t>резиденту</t>
  </si>
  <si>
    <t>нерезиденту</t>
  </si>
  <si>
    <t>* Отчет переформирован на основании писем: 
- АО "СКЖ "НОМАД Life" № 13/4065 от 30.04.2013г.;
- АО "ДК Народного Банка Казахстана по страхованию жизни "Халык- Life" №11-28/927 от 03.06.13г.;
-АО "СК "Kompetenz" №08-01-13/419 от 30.04.13г.</t>
  </si>
  <si>
    <t>Услуги домов ребенка</t>
  </si>
  <si>
    <t>HP</t>
  </si>
  <si>
    <t>HC</t>
  </si>
  <si>
    <t>HC.RI.9.5</t>
  </si>
  <si>
    <t xml:space="preserve">Консалтинговые, аналитические и социологические исследования </t>
  </si>
  <si>
    <t>Страховые выплаты</t>
  </si>
  <si>
    <t>Размазанные, тыс. тенге</t>
  </si>
  <si>
    <t>Категория</t>
  </si>
  <si>
    <t>Админ</t>
  </si>
  <si>
    <t>Программа</t>
  </si>
  <si>
    <t>подпрогрм</t>
  </si>
  <si>
    <t>финанси</t>
  </si>
  <si>
    <t>подкат</t>
  </si>
  <si>
    <t>СУММА ПО 226</t>
  </si>
  <si>
    <t>Сумма по 253 353</t>
  </si>
  <si>
    <t>сумма по 694</t>
  </si>
  <si>
    <t>санат</t>
  </si>
  <si>
    <t>HC.1.3.1.1</t>
  </si>
  <si>
    <t>HC.1.3.1.2</t>
  </si>
  <si>
    <t>Консультативно диагностическая помощь</t>
  </si>
  <si>
    <t>Первичная медико-санитарная помощь</t>
  </si>
  <si>
    <t>план 2012 года 2-ое уточнение</t>
  </si>
  <si>
    <t>гу</t>
  </si>
  <si>
    <t>ГУ Казахский республиканский лепрозорий</t>
  </si>
  <si>
    <t>ГУ Республиканская психиатрическая больница специализированного типа с интенсивным наблюдением</t>
  </si>
  <si>
    <t>ГУ Республиканский центр по профилактике и борьбе со СПИДом</t>
  </si>
  <si>
    <t>Республиканский центр крови</t>
  </si>
  <si>
    <t>гп</t>
  </si>
  <si>
    <t>Национальный центр проблем формирования здорового образа жизни</t>
  </si>
  <si>
    <t>Научно-производственный центр трансфузиологии</t>
  </si>
  <si>
    <t>Прочие услуги и работы</t>
  </si>
  <si>
    <t>Прочие текущие затраты</t>
  </si>
  <si>
    <t>Сводный отчет о страховых выплатах осуществленных по договорам страхования по регионам Республики Казахстан по состоянию на 01.01.2013 года</t>
  </si>
  <si>
    <t>HF.1.1.1.16</t>
  </si>
  <si>
    <t>HF.4.2</t>
  </si>
  <si>
    <t>HF.4.2.2.3</t>
  </si>
  <si>
    <r>
      <t>Добровольные с</t>
    </r>
    <r>
      <rPr>
        <b/>
        <sz val="12"/>
        <rFont val="Arial"/>
        <family val="2"/>
        <charset val="204"/>
      </rPr>
      <t>хемы для нерезидентов</t>
    </r>
  </si>
  <si>
    <r>
      <rPr>
        <sz val="14"/>
        <color indexed="8"/>
        <rFont val="Arial"/>
        <family val="2"/>
        <charset val="204"/>
      </rPr>
      <t>Прочие</t>
    </r>
    <r>
      <rPr>
        <sz val="14"/>
        <rFont val="Arial"/>
        <family val="2"/>
        <charset val="204"/>
      </rPr>
      <t xml:space="preserve"> схемы для нерезидентов</t>
    </r>
  </si>
  <si>
    <t>FS.7 Прямые зарубежные трансферты</t>
  </si>
  <si>
    <t>FS.7.1</t>
  </si>
  <si>
    <t>FS.7.1.1</t>
  </si>
  <si>
    <t>FS.7.1.2</t>
  </si>
  <si>
    <t>FS.7.2</t>
  </si>
  <si>
    <t>FS.7.3</t>
  </si>
  <si>
    <t>Прямые зарубежные финансовые трансферты</t>
  </si>
  <si>
    <t>Денежные средства, поступившие от иностранных государств</t>
  </si>
  <si>
    <t>Денежные средства, поступившие от международных организаций</t>
  </si>
  <si>
    <t>Прямые зарубежные содействия</t>
  </si>
  <si>
    <t>Прочие прямые зарубежные трансферты</t>
  </si>
  <si>
    <t>Справочные статьи</t>
  </si>
  <si>
    <t>Названия столбцов</t>
  </si>
  <si>
    <t>Сумма по полю тыс.тенге</t>
  </si>
  <si>
    <t>FS.1.4.1</t>
  </si>
  <si>
    <t>FS.1.4.2</t>
  </si>
  <si>
    <t>HC.1</t>
  </si>
  <si>
    <t>HC.7</t>
  </si>
  <si>
    <t>9.1. Барлығы
      Всего</t>
  </si>
  <si>
    <t>Негізгі және қосалқы қызмет түрлері бойынша көрсетілген қызмет түрлері, барлығы</t>
  </si>
  <si>
    <t>Негізгі қызмет түрлері бойынша көрсетілген қызмет түрлері, барлығы</t>
  </si>
  <si>
    <t>Қосалқы қызмет түрлері бойынша көрсетілген қызмет түрлері, барлығы</t>
  </si>
  <si>
    <t>Всего оказанных услуг по втроичному виду деятельности</t>
  </si>
  <si>
    <t xml:space="preserve"> Тамақ өнімдері</t>
  </si>
  <si>
    <t>10</t>
  </si>
  <si>
    <t xml:space="preserve"> Продукты пищевые</t>
  </si>
  <si>
    <t xml:space="preserve"> Қағаз және қағаз бұйымдары</t>
  </si>
  <si>
    <t>17</t>
  </si>
  <si>
    <t xml:space="preserve"> Бумага и изделия бумажные</t>
  </si>
  <si>
    <t xml:space="preserve"> Басып шығару және жаңғырту бойынша қызметтер</t>
  </si>
  <si>
    <t>18</t>
  </si>
  <si>
    <t xml:space="preserve"> Услуги по печатанию и воспроизведению</t>
  </si>
  <si>
    <t xml:space="preserve"> Фармацевтикалық өнімдер және негізгі фармацевтикалық препараттар</t>
  </si>
  <si>
    <t>21</t>
  </si>
  <si>
    <t xml:space="preserve"> Продукты фармацевтические и препараты фармацевтические основные</t>
  </si>
  <si>
    <t xml:space="preserve"> Электр жабдықтары</t>
  </si>
  <si>
    <t>27</t>
  </si>
  <si>
    <t>Оборудование электрическое</t>
  </si>
  <si>
    <t xml:space="preserve"> Машиналар мен жабдықтарды жөндеу және орнату бойынша қызметтер</t>
  </si>
  <si>
    <t>33</t>
  </si>
  <si>
    <t xml:space="preserve"> Услуги по ремонту и установке машин и оборудования</t>
  </si>
  <si>
    <t xml:space="preserve"> Баспа қызметтері</t>
  </si>
  <si>
    <t>58</t>
  </si>
  <si>
    <t xml:space="preserve"> Услуги по изданию</t>
  </si>
  <si>
    <t>мың теңге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</si>
  <si>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тыс.тенге</t>
  </si>
  <si>
    <t>Другой текущий доход (чистый доход от продаж капитальных активов, аренда)</t>
  </si>
  <si>
    <t xml:space="preserve"> Денсаулық сақтау және әлеуметтік қызметтер
Здравоохранение и социальные услуги</t>
  </si>
  <si>
    <t>мың. теңге</t>
  </si>
  <si>
    <t>тыс. тенге</t>
  </si>
  <si>
    <t>Государственные средства</t>
  </si>
  <si>
    <t>Частные средства</t>
  </si>
  <si>
    <t xml:space="preserve"> Прямые зарубежные содействия</t>
  </si>
  <si>
    <t>FS.1</t>
  </si>
  <si>
    <t>FS.1.2</t>
  </si>
  <si>
    <t>FS.1.3</t>
  </si>
  <si>
    <t>FS.2</t>
  </si>
  <si>
    <t>FS.3</t>
  </si>
  <si>
    <t>FS.3.1</t>
  </si>
  <si>
    <t>FS.3.2</t>
  </si>
  <si>
    <t>FS.3.3</t>
  </si>
  <si>
    <t>FS.3.4</t>
  </si>
  <si>
    <t>FS.4</t>
  </si>
  <si>
    <t>FS.5</t>
  </si>
  <si>
    <t>FS.6.</t>
  </si>
  <si>
    <t>Трансферты из государственных доходов</t>
  </si>
  <si>
    <t>Государственные трансферты за определённые группы населения</t>
  </si>
  <si>
    <t>Субсидии</t>
  </si>
  <si>
    <t>Прочие трансферты из государственных внутренних доходов</t>
  </si>
  <si>
    <t>Трансферты, выделенные государством из доходов иностранного происхождения</t>
  </si>
  <si>
    <t>Взносы на социальное страхование</t>
  </si>
  <si>
    <t>Взносы работников на социальное страхование</t>
  </si>
  <si>
    <t>Взносы работодателей на социальное страхование</t>
  </si>
  <si>
    <t>Взносы самозанятых на социальное страхование</t>
  </si>
  <si>
    <t>Прочие взносы на на социальное страхование</t>
  </si>
  <si>
    <t>Обязательная предоплата (кроме FS.3)</t>
  </si>
  <si>
    <t>Добровольное страхование</t>
  </si>
  <si>
    <t>Прямая иностранная помощь в натуральной форме</t>
  </si>
  <si>
    <t>HF.1.2/HF.1.3</t>
  </si>
  <si>
    <t>Схемы обязательного медицинского страхования на основе взносов/ОМСС</t>
  </si>
  <si>
    <t>Схемы финансирования некоммерческих организаций</t>
  </si>
  <si>
    <t>HF.3.1</t>
  </si>
  <si>
    <t>Выплаты из кармана, за исключением разделения затрат</t>
  </si>
  <si>
    <t>HF.3.2</t>
  </si>
  <si>
    <t>Разделение затрат с плательщиками, являющимися третьей стороной</t>
  </si>
  <si>
    <t>HF.4.1</t>
  </si>
  <si>
    <t>Обязательные схемы (нерезидентские)</t>
  </si>
  <si>
    <t>Добровольные схемы (нерезидентские)</t>
  </si>
  <si>
    <t>HF.0</t>
  </si>
  <si>
    <t>Неустановленные схемы финансирования</t>
  </si>
  <si>
    <t xml:space="preserve">Внешние источники финансирования </t>
  </si>
  <si>
    <t>Добровольные Схемы(нерезидентские)</t>
  </si>
  <si>
    <t>Учреждения для душевнобольных и наркозависимых</t>
  </si>
  <si>
    <t>Поставщики медицинских услуг на дому</t>
  </si>
  <si>
    <t>Прочие поставщики вспомогательных услуг</t>
  </si>
  <si>
    <t>HP.5.9</t>
  </si>
  <si>
    <t>Все прочие незначительные продавцы и иные поставщики лекарственных средств и товаров медицинского назначения</t>
  </si>
  <si>
    <t>Агенства социального медицинского страхования</t>
  </si>
  <si>
    <t>Прочие административные органы здравоохранения</t>
  </si>
  <si>
    <t>Домохозяйства как поставщики медицинских услуг на дому</t>
  </si>
  <si>
    <t>HP.0</t>
  </si>
  <si>
    <t>Неустановленные провайдеры медицинских услуг</t>
  </si>
  <si>
    <t>Внешние источники финансирования</t>
  </si>
  <si>
    <t>HC.1+HC.2</t>
  </si>
  <si>
    <t>Лечение и реабилитационные услуги</t>
  </si>
  <si>
    <t>HC.1.1+HC.2.1</t>
  </si>
  <si>
    <t>Медицинские услуги и реабилитационное лечение на стационарном уровне</t>
  </si>
  <si>
    <t>HC.1.2+HC.2.2</t>
  </si>
  <si>
    <t>Лечение и реабилитационные услуги в дневном стационаре</t>
  </si>
  <si>
    <t>Дневная реабилитационная помощь</t>
  </si>
  <si>
    <t>HC.1.3+HC.2.3</t>
  </si>
  <si>
    <t>Амбулаторная лечебная и реабилитационная помощь</t>
  </si>
  <si>
    <t>HC.1.3.9</t>
  </si>
  <si>
    <t>Прочие иные виды амбулаторных лечебных услуг, не поименованные отдельно</t>
  </si>
  <si>
    <t>Амбулаторная реабилитационная помощь</t>
  </si>
  <si>
    <t>HC.1.4+HC.2.4</t>
  </si>
  <si>
    <t>Домашний лечебный и реабилитационный уход</t>
  </si>
  <si>
    <t>HC.1.4</t>
  </si>
  <si>
    <t>Домашний лечебный уход</t>
  </si>
  <si>
    <t>Реабилитационная помощь на дому</t>
  </si>
  <si>
    <t>Стационарная долгосрочная помощь (медицинская)</t>
  </si>
  <si>
    <t>Дневные случаи долгосрочной помощи (медицинские)</t>
  </si>
  <si>
    <t>Амбулаторная долгосрочная помощь (медицинская)</t>
  </si>
  <si>
    <t>Долгосрочная помощь (медицинская) на дому</t>
  </si>
  <si>
    <t>HC.5.1.1</t>
  </si>
  <si>
    <t>Лекарства, отпускаемые по рецепту</t>
  </si>
  <si>
    <t>HC.5.1.2</t>
  </si>
  <si>
    <t>Лекарства, отпускаемые без рецепта</t>
  </si>
  <si>
    <t>HC.5.1.3</t>
  </si>
  <si>
    <t>Прочие медицинские товары недлительного пользования</t>
  </si>
  <si>
    <t>Программы по обнаружению заболеваний на ранних стадиях/скрининг</t>
  </si>
  <si>
    <t>Программа мониторинга состояния здоровья</t>
  </si>
  <si>
    <t xml:space="preserve">Программы надзора над инфекционными и не инфекционными заболеваниями, травмами и воздействием на среду здоровья </t>
  </si>
  <si>
    <t>Программы подготовки к стихийным бедствиям и реагированию на чрезвычайные ситуации</t>
  </si>
  <si>
    <t xml:space="preserve">HC.0 </t>
  </si>
  <si>
    <t>Прочие медицинские услуги</t>
  </si>
  <si>
    <t>Прочие административные органы здравоохрнения</t>
  </si>
  <si>
    <t>Программы обнаружение заболеваний на ранних стадиях/скрининг</t>
  </si>
  <si>
    <t>Объем оказанных услуг в области здравоохранения и предоставления социальных услуг в республике Казахстан</t>
  </si>
  <si>
    <t>Есепті кезеңге, барлығы 
За отчетный период, всего</t>
  </si>
  <si>
    <t>В разрезе поставщиков: население</t>
  </si>
  <si>
    <t>ОВП</t>
  </si>
  <si>
    <t>СВП</t>
  </si>
  <si>
    <t>Стоматология</t>
  </si>
  <si>
    <t>бюджет
бюджета</t>
  </si>
  <si>
    <t>халық
населения</t>
  </si>
  <si>
    <t>кәсіпорындар
 предприятий</t>
  </si>
  <si>
    <t>Больницами</t>
  </si>
  <si>
    <t>б</t>
  </si>
  <si>
    <t>н</t>
  </si>
  <si>
    <t>п</t>
  </si>
  <si>
    <t>Всего объем оказанных услуг по основному виду деятельности</t>
  </si>
  <si>
    <t>Оказано услуг в области здравоохранения, всего</t>
  </si>
  <si>
    <t>Услуги больниц</t>
  </si>
  <si>
    <t>Услуги в области врачебной практики общей</t>
  </si>
  <si>
    <t>Услуги в области врачебной практики специализированной</t>
  </si>
  <si>
    <t>Услуги в области стоматологии</t>
  </si>
  <si>
    <t>Услуги по охране здоровья человека прочие</t>
  </si>
  <si>
    <t>Оказано услуг в области предоставления социальных услуг с обеспечением проживания, всего</t>
  </si>
  <si>
    <t>Услуги по уходу за больными с обеспечением проживания</t>
  </si>
  <si>
    <t>Услуги, связанные с проживанием лиц с умственными или физическими недостатками, психическими заболеваниями и наркологическими расстройствами</t>
  </si>
  <si>
    <t>Услуги, связанные с проживанием, для престарелых и инвалидов</t>
  </si>
  <si>
    <t>Услуги, связанные с проживанием, прочие</t>
  </si>
  <si>
    <t>Оказано услуг в области предоставления социальных услуг без обеспечения проживания, всего</t>
  </si>
  <si>
    <t>Услуги социальные без обеспечения проживания для престарелых и инвалидов</t>
  </si>
  <si>
    <t>Услуги по дневному уходу за детьми</t>
  </si>
  <si>
    <t>Услуги социальные без обеспечения проживания прочие, не включенные в другие группировки</t>
  </si>
  <si>
    <t xml:space="preserve">Объем розничной торговли по отдельным товарным группам                                                                                                                                           </t>
  </si>
  <si>
    <t>млн.тенге</t>
  </si>
  <si>
    <t xml:space="preserve">Всего,  в том числе </t>
  </si>
  <si>
    <t>Торговля продовольственными товарами, из них</t>
  </si>
  <si>
    <t>Мясо, в  том числе  мясо домашней птицы и мясные продукты (с учетом колбасных изделий)</t>
  </si>
  <si>
    <t xml:space="preserve">     в том числе:</t>
  </si>
  <si>
    <t xml:space="preserve">          мясо, в  том числе  мясо домашней птицы и мясные продукты </t>
  </si>
  <si>
    <t xml:space="preserve">          колбасные изделия</t>
  </si>
  <si>
    <t>Рыба, ракообразные и моллюски</t>
  </si>
  <si>
    <t>Молочные продукты и яйца</t>
  </si>
  <si>
    <t xml:space="preserve">Фрукты и овощи свежие </t>
  </si>
  <si>
    <t xml:space="preserve">     из них картофель свежий</t>
  </si>
  <si>
    <t>Сахар</t>
  </si>
  <si>
    <t>Шоколад, изделия кондитерские из шоколада и  сахара</t>
  </si>
  <si>
    <t>Изделия хлебобулочные</t>
  </si>
  <si>
    <t>Напитки, включая алкогольные</t>
  </si>
  <si>
    <t>водка и ликеро-водочные изделия, коньяк</t>
  </si>
  <si>
    <t>коньяк</t>
  </si>
  <si>
    <t>вино виноградное и плодовоягодное</t>
  </si>
  <si>
    <t xml:space="preserve">     из них шампанское</t>
  </si>
  <si>
    <t>пиво</t>
  </si>
  <si>
    <t>безалкогольные напитки</t>
  </si>
  <si>
    <t>Табачные изделия</t>
  </si>
  <si>
    <t>Торговля непродовольственными товарами, из них</t>
  </si>
  <si>
    <t>Фармацевтические товары</t>
  </si>
  <si>
    <t>Медицинские и ортопедические товары</t>
  </si>
  <si>
    <t>Косметические изделия и туалетные принадлежности</t>
  </si>
  <si>
    <t>Текстильные товары</t>
  </si>
  <si>
    <t>Одежда</t>
  </si>
  <si>
    <t>Обувь</t>
  </si>
  <si>
    <t>Изделия из кожи и дорожные принадлежности</t>
  </si>
  <si>
    <t>Мебель</t>
  </si>
  <si>
    <t>Посуда фаянсовая, изделия из
стекла, фарфора и керамики,
изделия ножевые и приборы,
оборудование и изделия
неэлектрические бытовые, не
включенные в другие группировки</t>
  </si>
  <si>
    <t>Осветительные приборы</t>
  </si>
  <si>
    <t>Портьеры, сетчатые занавеси и различные предметы домашнего обихода из текстильных материалов</t>
  </si>
  <si>
    <t>Электрические бытовые приборы</t>
  </si>
  <si>
    <t>Аудио- и видеоаппаратура</t>
  </si>
  <si>
    <t>Музыкальные и видео  записи</t>
  </si>
  <si>
    <t>Музыкальные инструменты и партитуры</t>
  </si>
  <si>
    <t>Скобяные товары</t>
  </si>
  <si>
    <t>Краски, лаки и эмали</t>
  </si>
  <si>
    <t>Стекло</t>
  </si>
  <si>
    <t>Санитарно-техническое оборудование</t>
  </si>
  <si>
    <t>Строительные материалы, не включенные в другие группировки</t>
  </si>
  <si>
    <t>Книги</t>
  </si>
  <si>
    <t>Газеты и журналы</t>
  </si>
  <si>
    <t>Канцелярские товары</t>
  </si>
  <si>
    <t>Компьютеры и программное обеспечение, не приспособленное
к индивидуальным требованиям заказчика</t>
  </si>
  <si>
    <t>Фотоаппаратура, оборудование и приборы оптические точные</t>
  </si>
  <si>
    <t>Оборудование электросвязи</t>
  </si>
  <si>
    <t>Часы и ювелирные изделия</t>
  </si>
  <si>
    <t>Спортивные товары, включая велосипеды</t>
  </si>
  <si>
    <t>Игры и игрушки</t>
  </si>
  <si>
    <t>Обои и покрытия напольные</t>
  </si>
  <si>
    <t xml:space="preserve"> -</t>
  </si>
  <si>
    <t>Чистящие средства</t>
  </si>
  <si>
    <t>Обои и покрытия напольные,  ковры и изделия ковровые</t>
  </si>
  <si>
    <t>Сувениры и изделия кустарного промысла и предметы культового и религиозного назначения</t>
  </si>
  <si>
    <t>Бытовое жидкое топливо, газ в баллонах, уголь, 
древесное топливо</t>
  </si>
  <si>
    <t>Новые пассажирские автомобили легковые</t>
  </si>
  <si>
    <t>Подержанные пассажирские автомобили</t>
  </si>
  <si>
    <t>Шины</t>
  </si>
  <si>
    <t>Прочие детали и принадлежности для автомобилей</t>
  </si>
  <si>
    <t>* до 2009 года данные пересчитаны по отдельным товарным позициям в соответствии с версией СНТВУТ 2009 года.</t>
  </si>
  <si>
    <t>Категория расходов</t>
  </si>
  <si>
    <t>на 1 ДХ, тг</t>
  </si>
  <si>
    <t>всего, тг</t>
  </si>
  <si>
    <t>Средний размер домохозяйства, чел.</t>
  </si>
  <si>
    <t>Население РК, чел</t>
  </si>
  <si>
    <t>Разница</t>
  </si>
  <si>
    <t>344,0504496+729587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</si>
</sst>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_-;\-* #,##0.00_-;_-* &quot;-&quot;??_-;_-@_-"/>
    <numFmt numFmtId="165" formatCode="#,##0.000000"/>
    <numFmt numFmtId="166" formatCode="_(* #,##0.00_);_(* \(#,##0.00\);_(* &quot;-&quot;??_);_(@_)"/>
    <numFmt numFmtId="167" formatCode="#,##0.0"/>
    <numFmt numFmtId="168" formatCode="0.0000"/>
    <numFmt numFmtId="169" formatCode="#,##0.000000000"/>
    <numFmt numFmtId="170" formatCode="#,##0.000"/>
    <numFmt numFmtId="171" formatCode="_-* #,##0.0_р_._-;\-* #,##0.0_р_._-;_-* &quot;-&quot;??_р_._-;_-@_-"/>
    <numFmt numFmtId="172" formatCode="_-* #,##0_р_._-;\-* #,##0_р_._-;_-* &quot;-&quot;??_р_._-;_-@_-"/>
    <numFmt numFmtId="173" formatCode="###\ ###\ ###\ ###\ ##0.0"/>
    <numFmt numFmtId="174" formatCode="###\ ###\ ###\ ###\ ##0"/>
    <numFmt numFmtId="175" formatCode="0.0%"/>
    <numFmt numFmtId="176" formatCode="#,##0.0000"/>
    <numFmt numFmtId="177" formatCode="0.0"/>
    <numFmt numFmtId="178" formatCode="_-* #,##0_-;\-* #,##0_-;_-* &quot;-&quot;??_-;_-@_-"/>
    <numFmt numFmtId="179" formatCode="_-* #,##0.0_-;\-* #,##0.0_-;_-* &quot;-&quot;?_-;_-@_-"/>
    <numFmt numFmtId="180" formatCode="0.000%"/>
    <numFmt numFmtId="181" formatCode="#."/>
    <numFmt numFmtId="182" formatCode="#.00"/>
    <numFmt numFmtId="183" formatCode="&quot;$&quot;#.00"/>
    <numFmt numFmtId="184" formatCode="_-* ###,0&quot;.&quot;00&quot;$&quot;_-;\-* ###,0&quot;.&quot;00&quot;$&quot;_-;_-* &quot;-&quot;??&quot;$&quot;_-;_-@_-"/>
    <numFmt numFmtId="185" formatCode="_(* ##,#0&quot;.&quot;0_);_(* \(###,0&quot;.&quot;00\);_(* &quot;-&quot;??_);_(@_)"/>
    <numFmt numFmtId="186" formatCode="General_)"/>
    <numFmt numFmtId="187" formatCode="0&quot;.&quot;000"/>
    <numFmt numFmtId="188" formatCode="&quot;fl&quot;#,##0_);\(&quot;fl&quot;#,##0\)"/>
    <numFmt numFmtId="189" formatCode="&quot;fl&quot;#,##0_);[Red]\(&quot;fl&quot;#,##0\)"/>
    <numFmt numFmtId="190" formatCode="&quot;fl&quot;###,0&quot;.&quot;00_);\(&quot;fl&quot;###,0&quot;.&quot;00\)"/>
    <numFmt numFmtId="191" formatCode="000"/>
    <numFmt numFmtId="192" formatCode="_-* #,##0.00[$€-1]_-;\-* #,##0.00[$€-1]_-;_-* &quot;-&quot;??[$€-1]_-"/>
    <numFmt numFmtId="193" formatCode="_-* #,##0_?_._-;\-* #,##0_?_._-;_-* &quot;-&quot;_?_._-;_-@_-"/>
    <numFmt numFmtId="194" formatCode="_-* ###,0&quot;.&quot;00_?_._-;\-* ###,0&quot;.&quot;00_?_._-;_-* &quot;-&quot;??_?_._-;_-@_-"/>
    <numFmt numFmtId="195" formatCode="&quot;fl&quot;###,0&quot;.&quot;00_);[Red]\(&quot;fl&quot;###,0&quot;.&quot;00\)"/>
    <numFmt numFmtId="196" formatCode="_(&quot;fl&quot;* #,##0_);_(&quot;fl&quot;* \(#,##0\);_(&quot;fl&quot;* &quot;-&quot;_);_(@_)"/>
    <numFmt numFmtId="197" formatCode="#,##0_);[Blue]\(\-\)\ #,##0_)"/>
    <numFmt numFmtId="198" formatCode="[$-419]General"/>
    <numFmt numFmtId="199" formatCode="_-* #,##0.00\ _р_._-;\-* #,##0.00\ _р_._-;_-* &quot;-&quot;??\ _р_._-;_-@_-"/>
    <numFmt numFmtId="200" formatCode="%#.00"/>
    <numFmt numFmtId="201" formatCode="_-* #,##0.000_р_._-;\-* #,##0.000_р_._-;_-* &quot;-&quot;??_р_._-;_-@_-"/>
    <numFmt numFmtId="202" formatCode="###\ ###\ ###\ ##0"/>
  </numFmts>
  <fonts count="220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10"/>
      <color rgb="FF00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8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4"/>
      <name val="Times New Roman"/>
      <family val="1"/>
      <charset val="204"/>
    </font>
    <font>
      <b/>
      <sz val="15"/>
      <name val="Arial"/>
      <family val="2"/>
      <charset val="204"/>
    </font>
    <font>
      <b/>
      <sz val="15"/>
      <name val="Times New Roman"/>
      <family val="1"/>
      <charset val="204"/>
    </font>
    <font>
      <sz val="15"/>
      <name val="Arial Cyr"/>
      <charset val="204"/>
    </font>
    <font>
      <sz val="10"/>
      <color rgb="FFFF0000"/>
      <name val="Arial Cyr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1"/>
    </font>
    <font>
      <sz val="10"/>
      <name val="Helv"/>
    </font>
    <font>
      <sz val="10"/>
      <name val="Verdana"/>
      <family val="2"/>
      <charset val="204"/>
    </font>
    <font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b/>
      <u/>
      <sz val="8"/>
      <name val="Times New Roman"/>
      <family val="1"/>
      <charset val="204"/>
    </font>
    <font>
      <sz val="7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</font>
    <font>
      <sz val="10"/>
      <name val="Times New Roman CE"/>
      <family val="1"/>
      <charset val="238"/>
    </font>
    <font>
      <b/>
      <i/>
      <sz val="16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name val="Calibri"/>
      <family val="2"/>
      <charset val="204"/>
    </font>
    <font>
      <sz val="10"/>
      <color rgb="FFFF0000"/>
      <name val="Calibri"/>
      <family val="2"/>
      <charset val="204"/>
    </font>
    <font>
      <b/>
      <i/>
      <sz val="14"/>
      <name val="Arial"/>
      <family val="2"/>
      <charset val="204"/>
    </font>
    <font>
      <b/>
      <sz val="9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Calibri"/>
      <family val="2"/>
      <charset val="204"/>
    </font>
    <font>
      <b/>
      <sz val="14"/>
      <name val="Arial Cyr"/>
      <charset val="204"/>
    </font>
    <font>
      <b/>
      <sz val="10"/>
      <name val="Times New Roman"/>
      <family val="1"/>
      <charset val="162"/>
    </font>
    <font>
      <b/>
      <sz val="10"/>
      <name val="Arial"/>
      <family val="2"/>
    </font>
    <font>
      <b/>
      <sz val="10"/>
      <color rgb="FFFF0000"/>
      <name val="Arial"/>
      <family val="2"/>
      <charset val="204"/>
    </font>
    <font>
      <b/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name val="Arial Cyr"/>
      <charset val="204"/>
    </font>
    <font>
      <b/>
      <sz val="16"/>
      <color indexed="8"/>
      <name val="Times New Roman"/>
      <family val="1"/>
      <charset val="204"/>
    </font>
    <font>
      <sz val="16"/>
      <name val="Times New Roman"/>
      <family val="1"/>
      <charset val="204"/>
    </font>
    <font>
      <sz val="16"/>
      <color indexed="8"/>
      <name val="Times New Roman"/>
      <family val="1"/>
      <charset val="204"/>
    </font>
    <font>
      <i/>
      <sz val="16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Arial Cyr"/>
      <charset val="204"/>
    </font>
    <font>
      <i/>
      <sz val="14"/>
      <color theme="1"/>
      <name val="Times New Roman"/>
      <family val="1"/>
      <charset val="204"/>
    </font>
    <font>
      <i/>
      <sz val="14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0"/>
      <name val="Arial Cyr"/>
      <family val="2"/>
      <charset val="204"/>
    </font>
    <font>
      <sz val="8"/>
      <name val="Arial Cyr"/>
      <charset val="204"/>
    </font>
    <font>
      <sz val="9"/>
      <name val="Arial Cyr"/>
      <family val="2"/>
      <charset val="204"/>
    </font>
    <font>
      <sz val="8"/>
      <name val="Arial Cyr"/>
      <family val="2"/>
      <charset val="204"/>
    </font>
    <font>
      <sz val="8"/>
      <name val="Arial"/>
      <family val="2"/>
      <charset val="204"/>
    </font>
    <font>
      <b/>
      <sz val="9"/>
      <name val="Arial Cyr"/>
      <family val="2"/>
      <charset val="204"/>
    </font>
    <font>
      <b/>
      <sz val="10"/>
      <name val="Arial Cyr"/>
      <family val="2"/>
      <charset val="204"/>
    </font>
    <font>
      <b/>
      <sz val="12"/>
      <name val="Arial Cyr"/>
      <family val="2"/>
      <charset val="204"/>
    </font>
    <font>
      <b/>
      <sz val="8"/>
      <name val="Arial Cyr"/>
      <family val="2"/>
      <charset val="204"/>
    </font>
    <font>
      <sz val="9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8"/>
      <name val="Arial"/>
      <family val="2"/>
      <charset val="204"/>
    </font>
    <font>
      <sz val="9"/>
      <name val="KZ Arial"/>
      <family val="2"/>
      <charset val="204"/>
    </font>
    <font>
      <b/>
      <sz val="15"/>
      <color theme="1"/>
      <name val="Calibri"/>
      <family val="2"/>
      <charset val="204"/>
      <scheme val="minor"/>
    </font>
    <font>
      <u/>
      <sz val="8"/>
      <color theme="10"/>
      <name val="Arial Cyr"/>
      <charset val="204"/>
    </font>
    <font>
      <i/>
      <sz val="12"/>
      <name val="Arial"/>
      <family val="2"/>
      <charset val="204"/>
    </font>
    <font>
      <sz val="8"/>
      <color theme="1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charset val="204"/>
    </font>
    <font>
      <sz val="12"/>
      <color rgb="FFFF0000"/>
      <name val="Arial Cyr"/>
      <charset val="204"/>
    </font>
    <font>
      <i/>
      <sz val="12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4"/>
      <name val="Times New Roman"/>
      <family val="1"/>
    </font>
    <font>
      <b/>
      <sz val="14"/>
      <name val="Times New Roman CE"/>
      <family val="1"/>
      <charset val="238"/>
    </font>
    <font>
      <sz val="12"/>
      <name val="Times New Roman"/>
      <family val="1"/>
    </font>
    <font>
      <b/>
      <sz val="10"/>
      <name val="Times New Roman"/>
      <family val="1"/>
    </font>
    <font>
      <sz val="18"/>
      <name val="Arial Cyr"/>
      <charset val="204"/>
    </font>
    <font>
      <sz val="12"/>
      <color theme="1"/>
      <name val="Arial Cyr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</font>
    <font>
      <b/>
      <sz val="12"/>
      <color indexed="8"/>
      <name val="Arial"/>
      <family val="2"/>
      <charset val="162"/>
    </font>
    <font>
      <sz val="12"/>
      <color indexed="8"/>
      <name val="Arial"/>
      <family val="2"/>
      <charset val="162"/>
    </font>
    <font>
      <sz val="12"/>
      <color indexed="8"/>
      <name val="Arial"/>
      <family val="2"/>
      <charset val="204"/>
    </font>
    <font>
      <i/>
      <sz val="12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14"/>
      <name val="Arial"/>
      <family val="2"/>
      <charset val="204"/>
    </font>
    <font>
      <b/>
      <sz val="12"/>
      <name val="Arial"/>
      <family val="2"/>
      <charset val="162"/>
    </font>
    <font>
      <i/>
      <sz val="12"/>
      <name val="Arial"/>
      <family val="2"/>
      <charset val="162"/>
    </font>
    <font>
      <sz val="12"/>
      <name val="Arial"/>
      <family val="2"/>
    </font>
    <font>
      <sz val="12"/>
      <name val="Arial"/>
      <family val="2"/>
      <charset val="16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color theme="1"/>
      <name val="Verdana"/>
      <family val="2"/>
    </font>
    <font>
      <u/>
      <sz val="10"/>
      <color theme="10"/>
      <name val="Arial"/>
      <family val="2"/>
    </font>
    <font>
      <sz val="13"/>
      <name val="Arial"/>
      <family val="2"/>
      <charset val="162"/>
    </font>
    <font>
      <i/>
      <sz val="13"/>
      <name val="Arial"/>
      <family val="2"/>
      <charset val="162"/>
    </font>
    <font>
      <b/>
      <sz val="16"/>
      <name val="Arial Cyr"/>
      <charset val="204"/>
    </font>
    <font>
      <sz val="12"/>
      <color theme="1"/>
      <name val="Calibri"/>
      <family val="2"/>
      <charset val="204"/>
      <scheme val="minor"/>
    </font>
    <font>
      <b/>
      <sz val="11"/>
      <name val="Arial Cyr"/>
      <family val="2"/>
      <charset val="204"/>
    </font>
    <font>
      <b/>
      <sz val="11"/>
      <name val="Arial Cyr"/>
      <charset val="204"/>
    </font>
    <font>
      <b/>
      <sz val="8"/>
      <name val="Arial Cyr"/>
      <charset val="204"/>
    </font>
    <font>
      <sz val="1"/>
      <color indexed="8"/>
      <name val="Courier"/>
      <family val="1"/>
      <charset val="204"/>
    </font>
    <font>
      <sz val="10"/>
      <name val="Helv"/>
      <charset val="204"/>
    </font>
    <font>
      <b/>
      <sz val="1"/>
      <color indexed="8"/>
      <name val="Courier"/>
      <family val="1"/>
      <charset val="204"/>
    </font>
    <font>
      <sz val="12"/>
      <color theme="1"/>
      <name val="Times New Roman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9"/>
      <name val="Times New Roman"/>
      <family val="1"/>
    </font>
    <font>
      <b/>
      <sz val="11"/>
      <color indexed="52"/>
      <name val="Calibri"/>
      <family val="2"/>
      <charset val="204"/>
    </font>
    <font>
      <sz val="12"/>
      <name val="KZ Times New Roman"/>
      <family val="1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Arial"/>
      <family val="2"/>
    </font>
    <font>
      <sz val="10"/>
      <name val="MS Sans Serif"/>
      <family val="2"/>
      <charset val="204"/>
    </font>
    <font>
      <sz val="10"/>
      <name val="BalticHlv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i/>
      <sz val="10"/>
      <name val="Arial"/>
      <family val="2"/>
      <charset val="204"/>
    </font>
    <font>
      <u/>
      <sz val="8"/>
      <color indexed="12"/>
      <name val="Times New Roman"/>
      <family val="1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i/>
      <sz val="12"/>
      <name val="KZ Times New Roman"/>
      <family val="1"/>
      <charset val="204"/>
    </font>
    <font>
      <sz val="10"/>
      <name val="KZ Times New Roman"/>
      <family val="1"/>
      <charset val="204"/>
    </font>
    <font>
      <sz val="11"/>
      <color indexed="60"/>
      <name val="Calibri"/>
      <family val="2"/>
      <charset val="204"/>
    </font>
    <font>
      <sz val="11"/>
      <color rgb="FF000000"/>
      <name val="Calibri"/>
      <family val="2"/>
      <scheme val="minor"/>
    </font>
    <font>
      <b/>
      <i/>
      <sz val="10"/>
      <name val="Arial"/>
      <family val="2"/>
      <charset val="204"/>
    </font>
    <font>
      <b/>
      <sz val="11"/>
      <color indexed="63"/>
      <name val="Calibri"/>
      <family val="2"/>
      <charset val="204"/>
    </font>
    <font>
      <sz val="7"/>
      <color rgb="FF000000"/>
      <name val="Arial"/>
      <family val="2"/>
      <charset val="204"/>
    </font>
    <font>
      <sz val="8"/>
      <color indexed="8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color rgb="FF000000"/>
      <name val="Arial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  <scheme val="minor"/>
    </font>
    <font>
      <i/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0"/>
      <name val="Calibri"/>
      <family val="2"/>
      <charset val="204"/>
    </font>
    <font>
      <sz val="10"/>
      <color theme="1"/>
      <name val="Calibri"/>
      <family val="2"/>
      <charset val="204"/>
    </font>
    <font>
      <sz val="9"/>
      <name val="Calibri"/>
      <family val="2"/>
      <charset val="204"/>
    </font>
    <font>
      <b/>
      <sz val="8"/>
      <name val="Calibri"/>
      <family val="2"/>
      <charset val="162"/>
      <scheme val="minor"/>
    </font>
    <font>
      <b/>
      <sz val="8"/>
      <color indexed="8"/>
      <name val="Calibri"/>
      <family val="2"/>
      <charset val="204"/>
      <scheme val="minor"/>
    </font>
    <font>
      <sz val="8"/>
      <color indexed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i/>
      <sz val="8"/>
      <name val="Calibri"/>
      <family val="2"/>
      <charset val="204"/>
      <scheme val="minor"/>
    </font>
    <font>
      <b/>
      <i/>
      <sz val="8"/>
      <name val="Calibri"/>
      <family val="2"/>
      <charset val="204"/>
    </font>
    <font>
      <i/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8"/>
      <color indexed="8"/>
      <name val="Calibri"/>
      <family val="2"/>
      <charset val="204"/>
      <scheme val="minor"/>
    </font>
    <font>
      <sz val="8"/>
      <name val="Calibri"/>
      <family val="2"/>
      <charset val="204"/>
    </font>
    <font>
      <sz val="8"/>
      <name val="Calibri"/>
      <family val="2"/>
      <charset val="162"/>
      <scheme val="minor"/>
    </font>
    <font>
      <i/>
      <sz val="8"/>
      <color indexed="8"/>
      <name val="Calibri"/>
      <family val="2"/>
      <charset val="162"/>
      <scheme val="minor"/>
    </font>
    <font>
      <b/>
      <i/>
      <sz val="8"/>
      <name val="Calibri"/>
      <family val="2"/>
      <charset val="162"/>
      <scheme val="minor"/>
    </font>
    <font>
      <i/>
      <sz val="8"/>
      <name val="Arial Cyr"/>
      <charset val="204"/>
    </font>
    <font>
      <b/>
      <sz val="8"/>
      <color indexed="8"/>
      <name val="Calibri"/>
      <family val="2"/>
      <charset val="162"/>
      <scheme val="minor"/>
    </font>
    <font>
      <i/>
      <sz val="8"/>
      <name val="Calibri"/>
      <family val="2"/>
      <charset val="162"/>
      <scheme val="minor"/>
    </font>
    <font>
      <i/>
      <sz val="8"/>
      <color indexed="8"/>
      <name val="Calibri"/>
      <family val="2"/>
      <charset val="204"/>
      <scheme val="minor"/>
    </font>
    <font>
      <sz val="8"/>
      <color indexed="8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000000"/>
      <name val="Calibri"/>
      <family val="2"/>
      <charset val="204"/>
      <scheme val="minor"/>
    </font>
    <font>
      <b/>
      <sz val="8"/>
      <color rgb="FF000000"/>
      <name val="Calibri"/>
      <family val="2"/>
      <charset val="204"/>
      <scheme val="minor"/>
    </font>
    <font>
      <b/>
      <sz val="6"/>
      <color indexed="8"/>
      <name val="Calibri"/>
      <family val="2"/>
      <charset val="204"/>
      <scheme val="minor"/>
    </font>
    <font>
      <sz val="6"/>
      <color indexed="8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</fonts>
  <fills count="7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0FCFE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31869B"/>
        <bgColor rgb="FF000000"/>
      </patternFill>
    </fill>
    <fill>
      <patternFill patternType="solid">
        <fgColor rgb="FF4BACC6"/>
        <bgColor rgb="FF000000"/>
      </patternFill>
    </fill>
    <fill>
      <patternFill patternType="solid">
        <fgColor rgb="FF92CDDC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71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3" fillId="0" borderId="0"/>
    <xf numFmtId="0" fontId="4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44" fillId="0" borderId="0"/>
    <xf numFmtId="9" fontId="1" fillId="0" borderId="0" applyFont="0" applyFill="0" applyBorder="0" applyAlignment="0" applyProtection="0"/>
    <xf numFmtId="0" fontId="45" fillId="0" borderId="0"/>
    <xf numFmtId="0" fontId="36" fillId="0" borderId="0">
      <alignment horizontal="center"/>
    </xf>
    <xf numFmtId="43" fontId="1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166" fontId="4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6" fillId="0" borderId="0"/>
    <xf numFmtId="0" fontId="1" fillId="0" borderId="0"/>
    <xf numFmtId="0" fontId="1" fillId="0" borderId="0" applyNumberFormat="0" applyFont="0" applyFill="0" applyBorder="0" applyAlignment="0" applyProtection="0">
      <alignment vertical="top"/>
    </xf>
    <xf numFmtId="0" fontId="1" fillId="0" borderId="0"/>
    <xf numFmtId="0" fontId="36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68" fillId="0" borderId="0"/>
    <xf numFmtId="9" fontId="34" fillId="0" borderId="0" applyFont="0" applyFill="0" applyBorder="0" applyAlignment="0" applyProtection="0"/>
    <xf numFmtId="0" fontId="103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2" fillId="0" borderId="0"/>
    <xf numFmtId="0" fontId="133" fillId="0" borderId="0"/>
    <xf numFmtId="0" fontId="132" fillId="0" borderId="0"/>
    <xf numFmtId="0" fontId="134" fillId="0" borderId="0"/>
    <xf numFmtId="0" fontId="132" fillId="0" borderId="0"/>
    <xf numFmtId="0" fontId="135" fillId="0" borderId="0" applyNumberFormat="0" applyFill="0" applyBorder="0" applyAlignment="0" applyProtection="0"/>
    <xf numFmtId="0" fontId="1" fillId="0" borderId="0"/>
    <xf numFmtId="0" fontId="132" fillId="0" borderId="0"/>
    <xf numFmtId="0" fontId="1" fillId="0" borderId="0"/>
    <xf numFmtId="43" fontId="34" fillId="0" borderId="0" applyFont="0" applyFill="0" applyBorder="0" applyAlignment="0" applyProtection="0"/>
    <xf numFmtId="43" fontId="132" fillId="0" borderId="0" applyFont="0" applyFill="0" applyBorder="0" applyAlignment="0" applyProtection="0"/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>
      <alignment horizontal="center"/>
    </xf>
    <xf numFmtId="0" fontId="1" fillId="0" borderId="0"/>
    <xf numFmtId="0" fontId="1" fillId="0" borderId="0"/>
    <xf numFmtId="0" fontId="36" fillId="0" borderId="0">
      <alignment horizontal="center"/>
    </xf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45" fillId="0" borderId="0"/>
    <xf numFmtId="0" fontId="36" fillId="0" borderId="0">
      <alignment horizontal="center"/>
    </xf>
    <xf numFmtId="0" fontId="144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44" fillId="0" borderId="0"/>
    <xf numFmtId="0" fontId="144" fillId="0" borderId="0"/>
    <xf numFmtId="0" fontId="36" fillId="0" borderId="0">
      <alignment horizontal="center"/>
    </xf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6" fillId="0" borderId="0">
      <alignment horizontal="center"/>
    </xf>
    <xf numFmtId="0" fontId="1" fillId="0" borderId="0"/>
    <xf numFmtId="0" fontId="1" fillId="0" borderId="0"/>
    <xf numFmtId="0" fontId="36" fillId="0" borderId="0">
      <alignment horizontal="center"/>
    </xf>
    <xf numFmtId="0" fontId="36" fillId="0" borderId="0">
      <alignment horizontal="center"/>
    </xf>
    <xf numFmtId="0" fontId="1" fillId="0" borderId="0"/>
    <xf numFmtId="0" fontId="45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36" fillId="0" borderId="0">
      <alignment horizontal="center"/>
    </xf>
    <xf numFmtId="0" fontId="36" fillId="0" borderId="0">
      <alignment horizontal="center"/>
    </xf>
    <xf numFmtId="0" fontId="1" fillId="0" borderId="0"/>
    <xf numFmtId="0" fontId="1" fillId="0" borderId="0"/>
    <xf numFmtId="0" fontId="1" fillId="0" borderId="0"/>
    <xf numFmtId="0" fontId="36" fillId="0" borderId="0">
      <alignment horizontal="center"/>
    </xf>
    <xf numFmtId="0" fontId="45" fillId="0" borderId="0"/>
    <xf numFmtId="0" fontId="1" fillId="0" borderId="0"/>
    <xf numFmtId="0" fontId="1" fillId="0" borderId="0"/>
    <xf numFmtId="0" fontId="36" fillId="0" borderId="0">
      <alignment horizontal="center"/>
    </xf>
    <xf numFmtId="0" fontId="45" fillId="0" borderId="0"/>
    <xf numFmtId="0" fontId="1" fillId="0" borderId="0"/>
    <xf numFmtId="0" fontId="14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4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2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3" fontId="143" fillId="0" borderId="0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181" fontId="143" fillId="0" borderId="49">
      <protection locked="0"/>
    </xf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146" fillId="28" borderId="0" applyNumberFormat="0" applyBorder="0" applyAlignment="0" applyProtection="0"/>
    <xf numFmtId="0" fontId="146" fillId="28" borderId="0" applyNumberFormat="0" applyBorder="0" applyAlignment="0" applyProtection="0"/>
    <xf numFmtId="0" fontId="146" fillId="28" borderId="0" applyNumberFormat="0" applyBorder="0" applyAlignment="0" applyProtection="0"/>
    <xf numFmtId="0" fontId="146" fillId="30" borderId="0" applyNumberFormat="0" applyBorder="0" applyAlignment="0" applyProtection="0"/>
    <xf numFmtId="0" fontId="146" fillId="30" borderId="0" applyNumberFormat="0" applyBorder="0" applyAlignment="0" applyProtection="0"/>
    <xf numFmtId="0" fontId="146" fillId="30" borderId="0" applyNumberFormat="0" applyBorder="0" applyAlignment="0" applyProtection="0"/>
    <xf numFmtId="0" fontId="146" fillId="32" borderId="0" applyNumberFormat="0" applyBorder="0" applyAlignment="0" applyProtection="0"/>
    <xf numFmtId="0" fontId="146" fillId="32" borderId="0" applyNumberFormat="0" applyBorder="0" applyAlignment="0" applyProtection="0"/>
    <xf numFmtId="0" fontId="146" fillId="32" borderId="0" applyNumberFormat="0" applyBorder="0" applyAlignment="0" applyProtection="0"/>
    <xf numFmtId="0" fontId="146" fillId="34" borderId="0" applyNumberFormat="0" applyBorder="0" applyAlignment="0" applyProtection="0"/>
    <xf numFmtId="0" fontId="146" fillId="34" borderId="0" applyNumberFormat="0" applyBorder="0" applyAlignment="0" applyProtection="0"/>
    <xf numFmtId="0" fontId="146" fillId="34" borderId="0" applyNumberFormat="0" applyBorder="0" applyAlignment="0" applyProtection="0"/>
    <xf numFmtId="0" fontId="146" fillId="36" borderId="0" applyNumberFormat="0" applyBorder="0" applyAlignment="0" applyProtection="0"/>
    <xf numFmtId="0" fontId="146" fillId="36" borderId="0" applyNumberFormat="0" applyBorder="0" applyAlignment="0" applyProtection="0"/>
    <xf numFmtId="0" fontId="146" fillId="36" borderId="0" applyNumberFormat="0" applyBorder="0" applyAlignment="0" applyProtection="0"/>
    <xf numFmtId="0" fontId="146" fillId="38" borderId="0" applyNumberFormat="0" applyBorder="0" applyAlignment="0" applyProtection="0"/>
    <xf numFmtId="0" fontId="146" fillId="38" borderId="0" applyNumberFormat="0" applyBorder="0" applyAlignment="0" applyProtection="0"/>
    <xf numFmtId="0" fontId="146" fillId="38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146" fillId="29" borderId="0" applyNumberFormat="0" applyBorder="0" applyAlignment="0" applyProtection="0"/>
    <xf numFmtId="0" fontId="146" fillId="29" borderId="0" applyNumberFormat="0" applyBorder="0" applyAlignment="0" applyProtection="0"/>
    <xf numFmtId="0" fontId="146" fillId="29" borderId="0" applyNumberFormat="0" applyBorder="0" applyAlignment="0" applyProtection="0"/>
    <xf numFmtId="0" fontId="146" fillId="31" borderId="0" applyNumberFormat="0" applyBorder="0" applyAlignment="0" applyProtection="0"/>
    <xf numFmtId="0" fontId="146" fillId="31" borderId="0" applyNumberFormat="0" applyBorder="0" applyAlignment="0" applyProtection="0"/>
    <xf numFmtId="0" fontId="146" fillId="31" borderId="0" applyNumberFormat="0" applyBorder="0" applyAlignment="0" applyProtection="0"/>
    <xf numFmtId="0" fontId="146" fillId="33" borderId="0" applyNumberFormat="0" applyBorder="0" applyAlignment="0" applyProtection="0"/>
    <xf numFmtId="0" fontId="146" fillId="33" borderId="0" applyNumberFormat="0" applyBorder="0" applyAlignment="0" applyProtection="0"/>
    <xf numFmtId="0" fontId="146" fillId="33" borderId="0" applyNumberFormat="0" applyBorder="0" applyAlignment="0" applyProtection="0"/>
    <xf numFmtId="0" fontId="146" fillId="35" borderId="0" applyNumberFormat="0" applyBorder="0" applyAlignment="0" applyProtection="0"/>
    <xf numFmtId="0" fontId="146" fillId="35" borderId="0" applyNumberFormat="0" applyBorder="0" applyAlignment="0" applyProtection="0"/>
    <xf numFmtId="0" fontId="146" fillId="35" borderId="0" applyNumberFormat="0" applyBorder="0" applyAlignment="0" applyProtection="0"/>
    <xf numFmtId="0" fontId="146" fillId="37" borderId="0" applyNumberFormat="0" applyBorder="0" applyAlignment="0" applyProtection="0"/>
    <xf numFmtId="0" fontId="146" fillId="37" borderId="0" applyNumberFormat="0" applyBorder="0" applyAlignment="0" applyProtection="0"/>
    <xf numFmtId="0" fontId="146" fillId="37" borderId="0" applyNumberFormat="0" applyBorder="0" applyAlignment="0" applyProtection="0"/>
    <xf numFmtId="0" fontId="146" fillId="39" borderId="0" applyNumberFormat="0" applyBorder="0" applyAlignment="0" applyProtection="0"/>
    <xf numFmtId="0" fontId="146" fillId="39" borderId="0" applyNumberFormat="0" applyBorder="0" applyAlignment="0" applyProtection="0"/>
    <xf numFmtId="0" fontId="146" fillId="39" borderId="0" applyNumberFormat="0" applyBorder="0" applyAlignment="0" applyProtection="0"/>
    <xf numFmtId="0" fontId="147" fillId="51" borderId="0" applyNumberFormat="0" applyBorder="0" applyAlignment="0" applyProtection="0"/>
    <xf numFmtId="0" fontId="147" fillId="48" borderId="0" applyNumberFormat="0" applyBorder="0" applyAlignment="0" applyProtection="0"/>
    <xf numFmtId="0" fontId="147" fillId="49" borderId="0" applyNumberFormat="0" applyBorder="0" applyAlignment="0" applyProtection="0"/>
    <xf numFmtId="0" fontId="147" fillId="52" borderId="0" applyNumberFormat="0" applyBorder="0" applyAlignment="0" applyProtection="0"/>
    <xf numFmtId="0" fontId="147" fillId="53" borderId="0" applyNumberFormat="0" applyBorder="0" applyAlignment="0" applyProtection="0"/>
    <xf numFmtId="0" fontId="147" fillId="54" borderId="0" applyNumberFormat="0" applyBorder="0" applyAlignment="0" applyProtection="0"/>
    <xf numFmtId="184" fontId="1" fillId="0" borderId="0" applyFont="0" applyFill="0" applyBorder="0" applyAlignment="0" applyProtection="0"/>
    <xf numFmtId="0" fontId="147" fillId="55" borderId="0" applyNumberFormat="0" applyBorder="0" applyAlignment="0" applyProtection="0"/>
    <xf numFmtId="0" fontId="147" fillId="56" borderId="0" applyNumberFormat="0" applyBorder="0" applyAlignment="0" applyProtection="0"/>
    <xf numFmtId="0" fontId="147" fillId="57" borderId="0" applyNumberFormat="0" applyBorder="0" applyAlignment="0" applyProtection="0"/>
    <xf numFmtId="0" fontId="147" fillId="52" borderId="0" applyNumberFormat="0" applyBorder="0" applyAlignment="0" applyProtection="0"/>
    <xf numFmtId="0" fontId="147" fillId="53" borderId="0" applyNumberFormat="0" applyBorder="0" applyAlignment="0" applyProtection="0"/>
    <xf numFmtId="0" fontId="147" fillId="58" borderId="0" applyNumberFormat="0" applyBorder="0" applyAlignment="0" applyProtection="0"/>
    <xf numFmtId="0" fontId="148" fillId="42" borderId="0" applyNumberFormat="0" applyBorder="0" applyAlignment="0" applyProtection="0"/>
    <xf numFmtId="185" fontId="149" fillId="0" borderId="0" applyFill="0" applyBorder="0" applyAlignment="0"/>
    <xf numFmtId="186" fontId="149" fillId="0" borderId="0" applyFill="0" applyBorder="0" applyAlignment="0"/>
    <xf numFmtId="187" fontId="149" fillId="0" borderId="0" applyFill="0" applyBorder="0" applyAlignment="0"/>
    <xf numFmtId="188" fontId="149" fillId="0" borderId="0" applyFill="0" applyBorder="0" applyAlignment="0"/>
    <xf numFmtId="189" fontId="149" fillId="0" borderId="0" applyFill="0" applyBorder="0" applyAlignment="0"/>
    <xf numFmtId="185" fontId="149" fillId="0" borderId="0" applyFill="0" applyBorder="0" applyAlignment="0"/>
    <xf numFmtId="190" fontId="149" fillId="0" borderId="0" applyFill="0" applyBorder="0" applyAlignment="0"/>
    <xf numFmtId="186" fontId="149" fillId="0" borderId="0" applyFill="0" applyBorder="0" applyAlignment="0"/>
    <xf numFmtId="0" fontId="150" fillId="59" borderId="50" applyNumberFormat="0" applyAlignment="0" applyProtection="0"/>
    <xf numFmtId="191" fontId="151" fillId="0" borderId="26">
      <alignment horizontal="center" vertical="top" wrapText="1"/>
    </xf>
    <xf numFmtId="0" fontId="152" fillId="60" borderId="51" applyNumberFormat="0" applyAlignment="0" applyProtection="0"/>
    <xf numFmtId="0" fontId="132" fillId="0" borderId="0" applyFont="0" applyFill="0" applyBorder="0" applyAlignment="0" applyProtection="0"/>
    <xf numFmtId="185" fontId="149" fillId="0" borderId="0" applyFont="0" applyFill="0" applyBorder="0" applyAlignment="0" applyProtection="0"/>
    <xf numFmtId="0" fontId="149" fillId="0" borderId="0" applyFont="0" applyFill="0" applyBorder="0" applyAlignment="0" applyProtection="0"/>
    <xf numFmtId="0" fontId="132" fillId="0" borderId="0" applyFont="0" applyFill="0" applyBorder="0" applyAlignment="0" applyProtection="0"/>
    <xf numFmtId="186" fontId="149" fillId="0" borderId="0" applyFont="0" applyFill="0" applyBorder="0" applyAlignment="0" applyProtection="0"/>
    <xf numFmtId="190" fontId="149" fillId="0" borderId="0" applyFont="0" applyFill="0" applyBorder="0" applyAlignment="0" applyProtection="0"/>
    <xf numFmtId="14" fontId="153" fillId="0" borderId="0" applyFill="0" applyBorder="0" applyAlignment="0"/>
    <xf numFmtId="38" fontId="154" fillId="0" borderId="52">
      <alignment vertical="center"/>
    </xf>
    <xf numFmtId="0" fontId="155" fillId="0" borderId="0">
      <alignment horizontal="left"/>
    </xf>
    <xf numFmtId="185" fontId="149" fillId="0" borderId="0" applyFill="0" applyBorder="0" applyAlignment="0"/>
    <xf numFmtId="186" fontId="149" fillId="0" borderId="0" applyFill="0" applyBorder="0" applyAlignment="0"/>
    <xf numFmtId="185" fontId="149" fillId="0" borderId="0" applyFill="0" applyBorder="0" applyAlignment="0"/>
    <xf numFmtId="190" fontId="149" fillId="0" borderId="0" applyFill="0" applyBorder="0" applyAlignment="0"/>
    <xf numFmtId="186" fontId="149" fillId="0" borderId="0" applyFill="0" applyBorder="0" applyAlignment="0"/>
    <xf numFmtId="192" fontId="36" fillId="0" borderId="0" applyFont="0" applyFill="0" applyBorder="0" applyAlignment="0" applyProtection="0"/>
    <xf numFmtId="0" fontId="43" fillId="0" borderId="0"/>
    <xf numFmtId="0" fontId="156" fillId="0" borderId="0"/>
    <xf numFmtId="0" fontId="157" fillId="0" borderId="0" applyNumberFormat="0" applyFill="0" applyBorder="0" applyAlignment="0" applyProtection="0"/>
    <xf numFmtId="0" fontId="1" fillId="0" borderId="0"/>
    <xf numFmtId="0" fontId="158" fillId="43" borderId="0" applyNumberFormat="0" applyBorder="0" applyAlignment="0" applyProtection="0"/>
    <xf numFmtId="0" fontId="159" fillId="0" borderId="2" applyNumberFormat="0" applyAlignment="0" applyProtection="0">
      <alignment horizontal="left" vertical="center"/>
    </xf>
    <xf numFmtId="0" fontId="159" fillId="0" borderId="35">
      <alignment horizontal="left" vertical="center"/>
    </xf>
    <xf numFmtId="0" fontId="160" fillId="0" borderId="53" applyNumberFormat="0" applyFill="0" applyAlignment="0" applyProtection="0"/>
    <xf numFmtId="0" fontId="161" fillId="0" borderId="54" applyNumberFormat="0" applyFill="0" applyAlignment="0" applyProtection="0"/>
    <xf numFmtId="0" fontId="162" fillId="0" borderId="55" applyNumberFormat="0" applyFill="0" applyAlignment="0" applyProtection="0"/>
    <xf numFmtId="0" fontId="162" fillId="0" borderId="0" applyNumberFormat="0" applyFill="0" applyBorder="0" applyAlignment="0" applyProtection="0"/>
    <xf numFmtId="0" fontId="35" fillId="0" borderId="0"/>
    <xf numFmtId="0" fontId="107" fillId="0" borderId="0"/>
    <xf numFmtId="0" fontId="104" fillId="0" borderId="0"/>
    <xf numFmtId="0" fontId="108" fillId="0" borderId="0"/>
    <xf numFmtId="0" fontId="10" fillId="0" borderId="0"/>
    <xf numFmtId="0" fontId="163" fillId="0" borderId="0"/>
    <xf numFmtId="0" fontId="1" fillId="0" borderId="0">
      <alignment horizontal="center"/>
    </xf>
    <xf numFmtId="0" fontId="164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165" fillId="46" borderId="50" applyNumberFormat="0" applyAlignment="0" applyProtection="0"/>
    <xf numFmtId="185" fontId="149" fillId="0" borderId="0" applyFill="0" applyBorder="0" applyAlignment="0"/>
    <xf numFmtId="186" fontId="149" fillId="0" borderId="0" applyFill="0" applyBorder="0" applyAlignment="0"/>
    <xf numFmtId="185" fontId="149" fillId="0" borderId="0" applyFill="0" applyBorder="0" applyAlignment="0"/>
    <xf numFmtId="190" fontId="149" fillId="0" borderId="0" applyFill="0" applyBorder="0" applyAlignment="0"/>
    <xf numFmtId="186" fontId="149" fillId="0" borderId="0" applyFill="0" applyBorder="0" applyAlignment="0"/>
    <xf numFmtId="0" fontId="166" fillId="0" borderId="56" applyNumberFormat="0" applyFill="0" applyAlignment="0" applyProtection="0"/>
    <xf numFmtId="0" fontId="1" fillId="0" borderId="0">
      <alignment horizontal="center"/>
    </xf>
    <xf numFmtId="0" fontId="167" fillId="61" borderId="26">
      <alignment horizontal="left" vertical="top" wrapText="1"/>
    </xf>
    <xf numFmtId="0" fontId="151" fillId="0" borderId="26">
      <alignment horizontal="left" vertical="top" wrapText="1"/>
    </xf>
    <xf numFmtId="0" fontId="168" fillId="0" borderId="26">
      <alignment horizontal="left" vertical="top" wrapText="1"/>
    </xf>
    <xf numFmtId="0" fontId="169" fillId="62" borderId="0" applyNumberFormat="0" applyBorder="0" applyAlignment="0" applyProtection="0"/>
    <xf numFmtId="0" fontId="170" fillId="0" borderId="0"/>
    <xf numFmtId="0" fontId="1" fillId="0" borderId="0"/>
    <xf numFmtId="0" fontId="45" fillId="0" borderId="0"/>
    <xf numFmtId="0" fontId="36" fillId="63" borderId="57" applyNumberFormat="0" applyFont="0" applyAlignment="0" applyProtection="0"/>
    <xf numFmtId="19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71" fillId="0" borderId="0"/>
    <xf numFmtId="0" fontId="172" fillId="59" borderId="58" applyNumberFormat="0" applyAlignment="0" applyProtection="0"/>
    <xf numFmtId="189" fontId="149" fillId="0" borderId="0" applyFont="0" applyFill="0" applyBorder="0" applyAlignment="0" applyProtection="0"/>
    <xf numFmtId="0" fontId="149" fillId="0" borderId="0" applyFont="0" applyFill="0" applyBorder="0" applyAlignment="0" applyProtection="0"/>
    <xf numFmtId="195" fontId="149" fillId="0" borderId="0" applyFont="0" applyFill="0" applyBorder="0" applyAlignment="0" applyProtection="0"/>
    <xf numFmtId="185" fontId="149" fillId="0" borderId="0" applyFill="0" applyBorder="0" applyAlignment="0"/>
    <xf numFmtId="186" fontId="149" fillId="0" borderId="0" applyFill="0" applyBorder="0" applyAlignment="0"/>
    <xf numFmtId="185" fontId="149" fillId="0" borderId="0" applyFill="0" applyBorder="0" applyAlignment="0"/>
    <xf numFmtId="190" fontId="149" fillId="0" borderId="0" applyFill="0" applyBorder="0" applyAlignment="0"/>
    <xf numFmtId="186" fontId="149" fillId="0" borderId="0" applyFill="0" applyBorder="0" applyAlignment="0"/>
    <xf numFmtId="0" fontId="1" fillId="0" borderId="0"/>
    <xf numFmtId="0" fontId="173" fillId="0" borderId="0">
      <alignment horizontal="left" vertical="center"/>
    </xf>
    <xf numFmtId="0" fontId="173" fillId="0" borderId="0">
      <alignment horizontal="center" vertical="center"/>
    </xf>
    <xf numFmtId="0" fontId="174" fillId="0" borderId="0">
      <alignment horizontal="left" vertical="top"/>
    </xf>
    <xf numFmtId="49" fontId="153" fillId="0" borderId="0" applyFill="0" applyBorder="0" applyAlignment="0"/>
    <xf numFmtId="195" fontId="149" fillId="0" borderId="0" applyFill="0" applyBorder="0" applyAlignment="0"/>
    <xf numFmtId="196" fontId="149" fillId="0" borderId="0" applyFill="0" applyBorder="0" applyAlignment="0"/>
    <xf numFmtId="0" fontId="175" fillId="0" borderId="0" applyNumberFormat="0" applyFill="0" applyBorder="0" applyAlignment="0" applyProtection="0"/>
    <xf numFmtId="0" fontId="176" fillId="0" borderId="59" applyNumberFormat="0" applyFill="0" applyAlignment="0" applyProtection="0"/>
    <xf numFmtId="0" fontId="1" fillId="0" borderId="0"/>
    <xf numFmtId="0" fontId="1" fillId="0" borderId="0">
      <alignment horizontal="center" textRotation="90"/>
    </xf>
    <xf numFmtId="0" fontId="177" fillId="0" borderId="0" applyNumberFormat="0" applyFill="0" applyBorder="0" applyAlignment="0" applyProtection="0"/>
    <xf numFmtId="197" fontId="3" fillId="0" borderId="11" applyBorder="0">
      <protection hidden="1"/>
    </xf>
    <xf numFmtId="42" fontId="36" fillId="0" borderId="0" applyFont="0" applyFill="0" applyBorder="0" applyAlignment="0" applyProtection="0"/>
    <xf numFmtId="0" fontId="34" fillId="0" borderId="0"/>
    <xf numFmtId="0" fontId="34" fillId="0" borderId="0"/>
    <xf numFmtId="0" fontId="1" fillId="0" borderId="0"/>
    <xf numFmtId="198" fontId="178" fillId="0" borderId="0"/>
    <xf numFmtId="0" fontId="36" fillId="0" borderId="0"/>
    <xf numFmtId="0" fontId="36" fillId="0" borderId="0"/>
    <xf numFmtId="0" fontId="179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80" fillId="0" borderId="0"/>
    <xf numFmtId="0" fontId="18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82" fillId="0" borderId="0"/>
    <xf numFmtId="0" fontId="179" fillId="0" borderId="0"/>
    <xf numFmtId="0" fontId="34" fillId="0" borderId="0"/>
    <xf numFmtId="0" fontId="146" fillId="27" borderId="48" applyNumberFormat="0" applyFont="0" applyAlignment="0" applyProtection="0"/>
    <xf numFmtId="0" fontId="146" fillId="27" borderId="48" applyNumberFormat="0" applyFont="0" applyAlignment="0" applyProtection="0"/>
    <xf numFmtId="0" fontId="146" fillId="27" borderId="48" applyNumberFormat="0" applyFont="0" applyAlignment="0" applyProtection="0"/>
    <xf numFmtId="9" fontId="179" fillId="0" borderId="0" applyFont="0" applyFill="0" applyBorder="0" applyAlignment="0" applyProtection="0"/>
    <xf numFmtId="0" fontId="45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181" fontId="145" fillId="0" borderId="0">
      <protection locked="0"/>
    </xf>
    <xf numFmtId="43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18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99" fontId="43" fillId="0" borderId="0" applyFont="0" applyFill="0" applyBorder="0" applyAlignment="0" applyProtection="0"/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200" fontId="143" fillId="0" borderId="0">
      <protection locked="0"/>
    </xf>
    <xf numFmtId="0" fontId="182" fillId="0" borderId="0"/>
    <xf numFmtId="166" fontId="1" fillId="0" borderId="0" applyFont="0" applyFill="0" applyBorder="0" applyAlignment="0" applyProtection="0"/>
    <xf numFmtId="0" fontId="181" fillId="0" borderId="0"/>
    <xf numFmtId="0" fontId="132" fillId="0" borderId="0"/>
  </cellStyleXfs>
  <cellXfs count="1951">
    <xf numFmtId="0" fontId="0" fillId="0" borderId="0" xfId="0"/>
    <xf numFmtId="0" fontId="3" fillId="2" borderId="10" xfId="2" applyFont="1" applyFill="1" applyBorder="1" applyAlignment="1">
      <alignment horizontal="left" vertical="top" indent="1"/>
    </xf>
    <xf numFmtId="0" fontId="3" fillId="0" borderId="12" xfId="2" applyFont="1" applyBorder="1" applyAlignment="1">
      <alignment vertical="top" wrapText="1"/>
    </xf>
    <xf numFmtId="0" fontId="5" fillId="2" borderId="12" xfId="2" applyFont="1" applyFill="1" applyBorder="1" applyAlignment="1">
      <alignment vertical="top" wrapText="1"/>
    </xf>
    <xf numFmtId="0" fontId="2" fillId="0" borderId="10" xfId="2" applyFont="1" applyBorder="1" applyAlignment="1">
      <alignment vertical="top"/>
    </xf>
    <xf numFmtId="0" fontId="2" fillId="0" borderId="12" xfId="2" applyFont="1" applyBorder="1" applyAlignment="1">
      <alignment vertical="top" wrapText="1"/>
    </xf>
    <xf numFmtId="0" fontId="5" fillId="2" borderId="10" xfId="2" applyFont="1" applyFill="1" applyBorder="1" applyAlignment="1">
      <alignment horizontal="left" vertical="top" indent="1"/>
    </xf>
    <xf numFmtId="0" fontId="5" fillId="2" borderId="10" xfId="2" applyFont="1" applyFill="1" applyBorder="1" applyAlignment="1">
      <alignment horizontal="right" vertical="top" indent="1"/>
    </xf>
    <xf numFmtId="0" fontId="5" fillId="0" borderId="12" xfId="2" applyFont="1" applyBorder="1" applyAlignment="1">
      <alignment vertical="top" wrapText="1"/>
    </xf>
    <xf numFmtId="0" fontId="17" fillId="0" borderId="11" xfId="6" applyFont="1" applyBorder="1" applyAlignment="1">
      <alignment vertical="top" wrapText="1"/>
    </xf>
    <xf numFmtId="0" fontId="18" fillId="0" borderId="11" xfId="6" applyFont="1" applyBorder="1" applyAlignment="1">
      <alignment horizontal="left" vertical="top" wrapText="1"/>
    </xf>
    <xf numFmtId="0" fontId="18" fillId="0" borderId="11" xfId="6" applyFont="1" applyBorder="1" applyAlignment="1">
      <alignment vertical="top" wrapText="1"/>
    </xf>
    <xf numFmtId="0" fontId="18" fillId="0" borderId="11" xfId="6" applyFont="1" applyBorder="1" applyAlignment="1">
      <alignment horizontal="center" vertical="top" wrapText="1"/>
    </xf>
    <xf numFmtId="0" fontId="19" fillId="0" borderId="11" xfId="6" applyFont="1" applyBorder="1" applyAlignment="1">
      <alignment horizontal="center" vertical="top" wrapText="1"/>
    </xf>
    <xf numFmtId="0" fontId="19" fillId="0" borderId="11" xfId="6" applyFont="1" applyBorder="1" applyAlignment="1">
      <alignment vertical="top" wrapText="1"/>
    </xf>
    <xf numFmtId="0" fontId="19" fillId="0" borderId="11" xfId="6" applyFont="1" applyBorder="1" applyAlignment="1">
      <alignment horizontal="left" vertical="top" wrapText="1"/>
    </xf>
    <xf numFmtId="0" fontId="18" fillId="0" borderId="11" xfId="6" applyFont="1" applyBorder="1" applyAlignment="1">
      <alignment horizontal="right" vertical="top" wrapText="1"/>
    </xf>
    <xf numFmtId="0" fontId="19" fillId="0" borderId="11" xfId="6" applyFont="1" applyBorder="1" applyAlignment="1">
      <alignment horizontal="right" vertical="top" wrapText="1"/>
    </xf>
    <xf numFmtId="0" fontId="20" fillId="0" borderId="11" xfId="2" applyFont="1" applyBorder="1" applyAlignment="1">
      <alignment vertical="top" wrapText="1"/>
    </xf>
    <xf numFmtId="0" fontId="21" fillId="0" borderId="11" xfId="2" applyFont="1" applyFill="1" applyBorder="1" applyAlignment="1">
      <alignment vertical="top"/>
    </xf>
    <xf numFmtId="0" fontId="21" fillId="0" borderId="11" xfId="2" applyFont="1" applyFill="1" applyBorder="1" applyAlignment="1">
      <alignment vertical="top" wrapText="1"/>
    </xf>
    <xf numFmtId="0" fontId="20" fillId="0" borderId="11" xfId="2" applyFont="1" applyFill="1" applyBorder="1" applyAlignment="1">
      <alignment vertical="top" wrapText="1"/>
    </xf>
    <xf numFmtId="0" fontId="17" fillId="0" borderId="11" xfId="6" applyFont="1" applyBorder="1" applyAlignment="1">
      <alignment horizontal="left" vertical="top"/>
    </xf>
    <xf numFmtId="0" fontId="17" fillId="0" borderId="11" xfId="2" applyFont="1" applyBorder="1" applyAlignment="1">
      <alignment vertical="top" wrapText="1"/>
    </xf>
    <xf numFmtId="0" fontId="18" fillId="0" borderId="11" xfId="2" applyFont="1" applyBorder="1" applyAlignment="1">
      <alignment horizontal="left" vertical="top" wrapText="1"/>
    </xf>
    <xf numFmtId="0" fontId="19" fillId="0" borderId="11" xfId="2" applyFont="1" applyBorder="1" applyAlignment="1">
      <alignment horizontal="left" vertical="top" wrapText="1"/>
    </xf>
    <xf numFmtId="0" fontId="19" fillId="0" borderId="11" xfId="2" applyFont="1" applyBorder="1" applyAlignment="1">
      <alignment horizontal="center" vertical="top" wrapText="1"/>
    </xf>
    <xf numFmtId="0" fontId="22" fillId="0" borderId="11" xfId="2" applyFont="1" applyBorder="1" applyAlignment="1">
      <alignment vertical="top" wrapText="1"/>
    </xf>
    <xf numFmtId="0" fontId="17" fillId="0" borderId="11" xfId="2" applyFont="1" applyFill="1" applyBorder="1" applyAlignment="1">
      <alignment vertical="top" wrapText="1"/>
    </xf>
    <xf numFmtId="0" fontId="18" fillId="0" borderId="11" xfId="2" applyFont="1" applyFill="1" applyBorder="1" applyAlignment="1">
      <alignment vertical="top" wrapText="1"/>
    </xf>
    <xf numFmtId="0" fontId="19" fillId="0" borderId="11" xfId="2" applyFont="1" applyBorder="1" applyAlignment="1">
      <alignment vertical="top" wrapText="1"/>
    </xf>
    <xf numFmtId="0" fontId="22" fillId="0" borderId="11" xfId="2" applyFont="1" applyBorder="1" applyAlignment="1">
      <alignment vertical="top"/>
    </xf>
    <xf numFmtId="0" fontId="22" fillId="0" borderId="11" xfId="2" applyFont="1" applyFill="1" applyBorder="1" applyAlignment="1">
      <alignment vertical="top" wrapText="1"/>
    </xf>
    <xf numFmtId="0" fontId="18" fillId="0" borderId="11" xfId="2" applyFont="1" applyBorder="1" applyAlignment="1">
      <alignment horizontal="center" vertical="top" wrapText="1"/>
    </xf>
    <xf numFmtId="0" fontId="18" fillId="0" borderId="11" xfId="2" applyFont="1" applyBorder="1" applyAlignment="1">
      <alignment horizontal="right" vertical="top" wrapText="1"/>
    </xf>
    <xf numFmtId="0" fontId="21" fillId="0" borderId="11" xfId="2" applyFont="1" applyBorder="1" applyAlignment="1">
      <alignment vertical="top" wrapText="1"/>
    </xf>
    <xf numFmtId="0" fontId="20" fillId="0" borderId="11" xfId="2" applyFont="1" applyBorder="1" applyAlignment="1">
      <alignment horizontal="left" vertical="top" wrapText="1"/>
    </xf>
    <xf numFmtId="0" fontId="20" fillId="4" borderId="11" xfId="2" applyFont="1" applyFill="1" applyBorder="1" applyAlignment="1">
      <alignment vertical="top" wrapText="1"/>
    </xf>
    <xf numFmtId="0" fontId="16" fillId="0" borderId="11" xfId="2" applyFont="1" applyFill="1" applyBorder="1" applyAlignment="1">
      <alignment vertical="top" wrapText="1"/>
    </xf>
    <xf numFmtId="0" fontId="24" fillId="0" borderId="0" xfId="2" applyFont="1" applyFill="1" applyAlignment="1">
      <alignment vertical="top"/>
    </xf>
    <xf numFmtId="0" fontId="24" fillId="0" borderId="23" xfId="2" applyFont="1" applyFill="1" applyBorder="1" applyAlignment="1">
      <alignment horizontal="center" vertical="top" wrapText="1"/>
    </xf>
    <xf numFmtId="0" fontId="25" fillId="0" borderId="37" xfId="2" applyFont="1" applyFill="1" applyBorder="1" applyAlignment="1">
      <alignment horizontal="center" vertical="top" wrapText="1"/>
    </xf>
    <xf numFmtId="0" fontId="26" fillId="0" borderId="0" xfId="2" applyFont="1" applyFill="1" applyAlignment="1">
      <alignment vertical="top"/>
    </xf>
    <xf numFmtId="0" fontId="25" fillId="0" borderId="4" xfId="2" applyFont="1" applyFill="1" applyBorder="1" applyAlignment="1">
      <alignment vertical="top"/>
    </xf>
    <xf numFmtId="0" fontId="25" fillId="0" borderId="9" xfId="2" applyFont="1" applyFill="1" applyBorder="1" applyAlignment="1">
      <alignment horizontal="left" vertical="top" wrapText="1"/>
    </xf>
    <xf numFmtId="0" fontId="25" fillId="0" borderId="36" xfId="2" applyFont="1" applyFill="1" applyBorder="1" applyAlignment="1">
      <alignment vertical="top" wrapText="1"/>
    </xf>
    <xf numFmtId="0" fontId="25" fillId="0" borderId="5" xfId="2" applyFont="1" applyFill="1" applyBorder="1" applyAlignment="1">
      <alignment vertical="top" wrapText="1"/>
    </xf>
    <xf numFmtId="0" fontId="25" fillId="0" borderId="9" xfId="2" applyFont="1" applyFill="1" applyBorder="1" applyAlignment="1">
      <alignment vertical="top" wrapText="1"/>
    </xf>
    <xf numFmtId="0" fontId="25" fillId="0" borderId="7" xfId="2" applyFont="1" applyFill="1" applyBorder="1" applyAlignment="1">
      <alignment vertical="top" wrapText="1"/>
    </xf>
    <xf numFmtId="0" fontId="25" fillId="0" borderId="8" xfId="2" applyFont="1" applyFill="1" applyBorder="1" applyAlignment="1">
      <alignment vertical="top" wrapText="1"/>
    </xf>
    <xf numFmtId="0" fontId="25" fillId="0" borderId="38" xfId="2" applyFont="1" applyFill="1" applyBorder="1" applyAlignment="1">
      <alignment vertical="top" wrapText="1"/>
    </xf>
    <xf numFmtId="0" fontId="25" fillId="0" borderId="38" xfId="2" applyFont="1" applyFill="1" applyBorder="1" applyAlignment="1">
      <alignment horizontal="left" vertical="top" wrapText="1"/>
    </xf>
    <xf numFmtId="0" fontId="25" fillId="0" borderId="0" xfId="2" applyFont="1" applyFill="1" applyAlignment="1">
      <alignment vertical="top"/>
    </xf>
    <xf numFmtId="0" fontId="25" fillId="0" borderId="10" xfId="2" applyFont="1" applyFill="1" applyBorder="1" applyAlignment="1">
      <alignment vertical="top"/>
    </xf>
    <xf numFmtId="0" fontId="25" fillId="0" borderId="12" xfId="2" applyFont="1" applyFill="1" applyBorder="1" applyAlignment="1">
      <alignment horizontal="left" vertical="top" wrapText="1"/>
    </xf>
    <xf numFmtId="0" fontId="25" fillId="0" borderId="35" xfId="2" applyFont="1" applyFill="1" applyBorder="1" applyAlignment="1">
      <alignment vertical="top" wrapText="1"/>
    </xf>
    <xf numFmtId="0" fontId="25" fillId="0" borderId="11" xfId="2" applyFont="1" applyFill="1" applyBorder="1" applyAlignment="1">
      <alignment horizontal="left" vertical="top" wrapText="1"/>
    </xf>
    <xf numFmtId="0" fontId="25" fillId="0" borderId="12" xfId="2" applyFont="1" applyFill="1" applyBorder="1" applyAlignment="1">
      <alignment vertical="top" wrapText="1"/>
    </xf>
    <xf numFmtId="0" fontId="25" fillId="0" borderId="14" xfId="2" applyFont="1" applyFill="1" applyBorder="1" applyAlignment="1">
      <alignment vertical="top" wrapText="1"/>
    </xf>
    <xf numFmtId="0" fontId="25" fillId="0" borderId="11" xfId="2" applyFont="1" applyFill="1" applyBorder="1" applyAlignment="1">
      <alignment vertical="top" wrapText="1"/>
    </xf>
    <xf numFmtId="0" fontId="25" fillId="0" borderId="15" xfId="2" applyFont="1" applyFill="1" applyBorder="1" applyAlignment="1">
      <alignment vertical="top" wrapText="1"/>
    </xf>
    <xf numFmtId="0" fontId="25" fillId="0" borderId="39" xfId="2" applyFont="1" applyFill="1" applyBorder="1" applyAlignment="1">
      <alignment vertical="top" wrapText="1"/>
    </xf>
    <xf numFmtId="0" fontId="27" fillId="0" borderId="39" xfId="2" applyFont="1" applyBorder="1" applyAlignment="1">
      <alignment horizontal="center" vertical="top" wrapText="1"/>
    </xf>
    <xf numFmtId="0" fontId="26" fillId="0" borderId="10" xfId="2" applyFont="1" applyFill="1" applyBorder="1" applyAlignment="1">
      <alignment horizontal="left" vertical="top"/>
    </xf>
    <xf numFmtId="0" fontId="26" fillId="0" borderId="12" xfId="2" applyFont="1" applyFill="1" applyBorder="1" applyAlignment="1">
      <alignment horizontal="left" vertical="top" wrapText="1"/>
    </xf>
    <xf numFmtId="0" fontId="26" fillId="0" borderId="35" xfId="2" applyFont="1" applyFill="1" applyBorder="1" applyAlignment="1">
      <alignment vertical="top" wrapText="1"/>
    </xf>
    <xf numFmtId="0" fontId="26" fillId="0" borderId="11" xfId="2" applyFont="1" applyFill="1" applyBorder="1" applyAlignment="1">
      <alignment horizontal="left" vertical="top" wrapText="1"/>
    </xf>
    <xf numFmtId="0" fontId="26" fillId="0" borderId="12" xfId="2" applyFont="1" applyFill="1" applyBorder="1" applyAlignment="1">
      <alignment vertical="top" wrapText="1"/>
    </xf>
    <xf numFmtId="0" fontId="26" fillId="0" borderId="14" xfId="2" applyFont="1" applyFill="1" applyBorder="1" applyAlignment="1">
      <alignment horizontal="center" vertical="top" wrapText="1"/>
    </xf>
    <xf numFmtId="0" fontId="26" fillId="0" borderId="11" xfId="2" applyFont="1" applyFill="1" applyBorder="1" applyAlignment="1">
      <alignment vertical="top" wrapText="1"/>
    </xf>
    <xf numFmtId="0" fontId="26" fillId="0" borderId="15" xfId="2" applyFont="1" applyFill="1" applyBorder="1" applyAlignment="1">
      <alignment vertical="top" wrapText="1"/>
    </xf>
    <xf numFmtId="0" fontId="26" fillId="0" borderId="39" xfId="2" applyFont="1" applyFill="1" applyBorder="1" applyAlignment="1">
      <alignment horizontal="center" vertical="top" wrapText="1"/>
    </xf>
    <xf numFmtId="0" fontId="28" fillId="0" borderId="10" xfId="2" applyFont="1" applyFill="1" applyBorder="1" applyAlignment="1">
      <alignment horizontal="center" vertical="top"/>
    </xf>
    <xf numFmtId="0" fontId="28" fillId="0" borderId="12" xfId="2" applyFont="1" applyFill="1" applyBorder="1" applyAlignment="1">
      <alignment horizontal="center" vertical="top"/>
    </xf>
    <xf numFmtId="0" fontId="28" fillId="0" borderId="35" xfId="2" applyFont="1" applyFill="1" applyBorder="1" applyAlignment="1">
      <alignment horizontal="center" vertical="top"/>
    </xf>
    <xf numFmtId="0" fontId="28" fillId="0" borderId="11" xfId="2" applyFont="1" applyFill="1" applyBorder="1" applyAlignment="1">
      <alignment horizontal="left" vertical="top" wrapText="1"/>
    </xf>
    <xf numFmtId="0" fontId="28" fillId="0" borderId="12" xfId="2" applyFont="1" applyFill="1" applyBorder="1" applyAlignment="1">
      <alignment vertical="top" wrapText="1"/>
    </xf>
    <xf numFmtId="0" fontId="26" fillId="0" borderId="14" xfId="2" applyFont="1" applyFill="1" applyBorder="1" applyAlignment="1">
      <alignment vertical="top" wrapText="1"/>
    </xf>
    <xf numFmtId="0" fontId="26" fillId="0" borderId="39" xfId="2" applyFont="1" applyFill="1" applyBorder="1" applyAlignment="1">
      <alignment vertical="top" wrapText="1"/>
    </xf>
    <xf numFmtId="0" fontId="28" fillId="0" borderId="13" xfId="2" applyFont="1" applyFill="1" applyBorder="1" applyAlignment="1">
      <alignment vertical="top" wrapText="1"/>
    </xf>
    <xf numFmtId="0" fontId="28" fillId="0" borderId="15" xfId="2" applyFont="1" applyFill="1" applyBorder="1" applyAlignment="1">
      <alignment vertical="top" wrapText="1"/>
    </xf>
    <xf numFmtId="0" fontId="27" fillId="0" borderId="39" xfId="2" applyFont="1" applyBorder="1" applyAlignment="1">
      <alignment horizontal="left" vertical="top" wrapText="1"/>
    </xf>
    <xf numFmtId="0" fontId="28" fillId="0" borderId="10" xfId="2" applyFont="1" applyFill="1" applyBorder="1" applyAlignment="1">
      <alignment horizontal="right" vertical="top"/>
    </xf>
    <xf numFmtId="0" fontId="28" fillId="0" borderId="39" xfId="2" applyFont="1" applyFill="1" applyBorder="1" applyAlignment="1">
      <alignment horizontal="center" vertical="top" wrapText="1"/>
    </xf>
    <xf numFmtId="0" fontId="25" fillId="0" borderId="39" xfId="2" applyFont="1" applyFill="1" applyBorder="1" applyAlignment="1">
      <alignment horizontal="center" vertical="top" wrapText="1"/>
    </xf>
    <xf numFmtId="0" fontId="29" fillId="0" borderId="39" xfId="2" applyFont="1" applyBorder="1" applyAlignment="1">
      <alignment horizontal="left" vertical="top" wrapText="1"/>
    </xf>
    <xf numFmtId="0" fontId="28" fillId="0" borderId="12" xfId="2" applyFont="1" applyFill="1" applyBorder="1" applyAlignment="1">
      <alignment horizontal="center" vertical="top" wrapText="1"/>
    </xf>
    <xf numFmtId="0" fontId="28" fillId="0" borderId="35" xfId="2" applyFont="1" applyFill="1" applyBorder="1" applyAlignment="1">
      <alignment vertical="top" wrapText="1"/>
    </xf>
    <xf numFmtId="0" fontId="26" fillId="0" borderId="13" xfId="2" applyFont="1" applyFill="1" applyBorder="1" applyAlignment="1">
      <alignment vertical="top" wrapText="1"/>
    </xf>
    <xf numFmtId="0" fontId="26" fillId="0" borderId="10" xfId="2" applyFont="1" applyFill="1" applyBorder="1" applyAlignment="1">
      <alignment horizontal="center" vertical="top"/>
    </xf>
    <xf numFmtId="0" fontId="26" fillId="0" borderId="14" xfId="2" applyFont="1" applyFill="1" applyBorder="1" applyAlignment="1">
      <alignment horizontal="right" vertical="top" wrapText="1"/>
    </xf>
    <xf numFmtId="0" fontId="26" fillId="0" borderId="39" xfId="2" applyFont="1" applyFill="1" applyBorder="1" applyAlignment="1">
      <alignment horizontal="left" vertical="top" wrapText="1"/>
    </xf>
    <xf numFmtId="0" fontId="26" fillId="0" borderId="11" xfId="2" applyFont="1" applyFill="1" applyBorder="1" applyAlignment="1">
      <alignment horizontal="center" vertical="top" wrapText="1"/>
    </xf>
    <xf numFmtId="0" fontId="26" fillId="0" borderId="12" xfId="2" applyFont="1" applyFill="1" applyBorder="1" applyAlignment="1">
      <alignment horizontal="center" vertical="top" wrapText="1"/>
    </xf>
    <xf numFmtId="0" fontId="26" fillId="0" borderId="14" xfId="2" applyFont="1" applyFill="1" applyBorder="1" applyAlignment="1">
      <alignment vertical="top"/>
    </xf>
    <xf numFmtId="0" fontId="26" fillId="0" borderId="11" xfId="2" applyFont="1" applyFill="1" applyBorder="1" applyAlignment="1">
      <alignment vertical="top"/>
    </xf>
    <xf numFmtId="0" fontId="26" fillId="0" borderId="15" xfId="2" applyFont="1" applyFill="1" applyBorder="1" applyAlignment="1">
      <alignment vertical="top"/>
    </xf>
    <xf numFmtId="0" fontId="26" fillId="0" borderId="12" xfId="2" applyFont="1" applyFill="1" applyBorder="1" applyAlignment="1">
      <alignment horizontal="left" vertical="top"/>
    </xf>
    <xf numFmtId="0" fontId="28" fillId="0" borderId="35" xfId="2" applyFont="1" applyFill="1" applyBorder="1" applyAlignment="1">
      <alignment horizontal="center" vertical="top" wrapText="1"/>
    </xf>
    <xf numFmtId="0" fontId="25" fillId="0" borderId="14" xfId="2" applyFont="1" applyFill="1" applyBorder="1" applyAlignment="1">
      <alignment vertical="top"/>
    </xf>
    <xf numFmtId="0" fontId="25" fillId="0" borderId="11" xfId="2" applyFont="1" applyFill="1" applyBorder="1" applyAlignment="1">
      <alignment vertical="top"/>
    </xf>
    <xf numFmtId="0" fontId="25" fillId="0" borderId="15" xfId="2" applyFont="1" applyFill="1" applyBorder="1" applyAlignment="1">
      <alignment vertical="top"/>
    </xf>
    <xf numFmtId="0" fontId="26" fillId="0" borderId="10" xfId="2" applyFont="1" applyFill="1" applyBorder="1" applyAlignment="1">
      <alignment horizontal="right" vertical="top"/>
    </xf>
    <xf numFmtId="0" fontId="28" fillId="0" borderId="12" xfId="2" applyFont="1" applyFill="1" applyBorder="1" applyAlignment="1">
      <alignment horizontal="left" vertical="top" wrapText="1"/>
    </xf>
    <xf numFmtId="0" fontId="26" fillId="0" borderId="27" xfId="2" applyFont="1" applyFill="1" applyBorder="1" applyAlignment="1">
      <alignment horizontal="center" vertical="top" wrapText="1"/>
    </xf>
    <xf numFmtId="0" fontId="26" fillId="0" borderId="28" xfId="2" applyFont="1" applyFill="1" applyBorder="1" applyAlignment="1">
      <alignment vertical="top" wrapText="1"/>
    </xf>
    <xf numFmtId="0" fontId="26" fillId="0" borderId="29" xfId="2" applyFont="1" applyFill="1" applyBorder="1" applyAlignment="1">
      <alignment vertical="top" wrapText="1"/>
    </xf>
    <xf numFmtId="0" fontId="26" fillId="0" borderId="11" xfId="2" applyFont="1" applyFill="1" applyBorder="1" applyAlignment="1">
      <alignment horizontal="center" vertical="top"/>
    </xf>
    <xf numFmtId="0" fontId="26" fillId="0" borderId="12" xfId="2" applyFont="1" applyFill="1" applyBorder="1" applyAlignment="1">
      <alignment horizontal="center" vertical="top"/>
    </xf>
    <xf numFmtId="0" fontId="26" fillId="0" borderId="0" xfId="2" applyFont="1" applyFill="1" applyAlignment="1">
      <alignment vertical="top" wrapText="1"/>
    </xf>
    <xf numFmtId="0" fontId="26" fillId="0" borderId="0" xfId="2" applyFont="1" applyFill="1" applyAlignment="1">
      <alignment horizontal="center" vertical="top" wrapText="1"/>
    </xf>
    <xf numFmtId="0" fontId="28" fillId="0" borderId="10" xfId="2" applyFont="1" applyFill="1" applyBorder="1" applyAlignment="1">
      <alignment horizontal="left" vertical="top"/>
    </xf>
    <xf numFmtId="0" fontId="26" fillId="0" borderId="40" xfId="2" applyFont="1" applyFill="1" applyBorder="1" applyAlignment="1">
      <alignment horizontal="center" vertical="top" wrapText="1"/>
    </xf>
    <xf numFmtId="0" fontId="28" fillId="0" borderId="11" xfId="2" applyFont="1" applyFill="1" applyBorder="1" applyAlignment="1">
      <alignment horizontal="center" vertical="top" wrapText="1"/>
    </xf>
    <xf numFmtId="0" fontId="25" fillId="0" borderId="0" xfId="2" applyFont="1" applyFill="1" applyAlignment="1">
      <alignment vertical="top" wrapText="1"/>
    </xf>
    <xf numFmtId="0" fontId="24" fillId="0" borderId="10" xfId="2" applyFont="1" applyFill="1" applyBorder="1" applyAlignment="1">
      <alignment horizontal="center" vertical="top"/>
    </xf>
    <xf numFmtId="0" fontId="24" fillId="0" borderId="12" xfId="2" applyFont="1" applyFill="1" applyBorder="1" applyAlignment="1">
      <alignment horizontal="center" vertical="top"/>
    </xf>
    <xf numFmtId="0" fontId="24" fillId="0" borderId="35" xfId="2" applyFont="1" applyFill="1" applyBorder="1" applyAlignment="1">
      <alignment vertical="top" wrapText="1"/>
    </xf>
    <xf numFmtId="0" fontId="24" fillId="0" borderId="10" xfId="2" applyFont="1" applyFill="1" applyBorder="1" applyAlignment="1">
      <alignment vertical="top"/>
    </xf>
    <xf numFmtId="0" fontId="24" fillId="0" borderId="11" xfId="2" applyFont="1" applyFill="1" applyBorder="1" applyAlignment="1">
      <alignment horizontal="left" vertical="top" wrapText="1"/>
    </xf>
    <xf numFmtId="0" fontId="24" fillId="0" borderId="12" xfId="2" applyFont="1" applyFill="1" applyBorder="1" applyAlignment="1">
      <alignment vertical="top" wrapText="1"/>
    </xf>
    <xf numFmtId="0" fontId="24" fillId="0" borderId="33" xfId="2" applyFont="1" applyFill="1" applyBorder="1" applyAlignment="1">
      <alignment horizontal="center" vertical="top"/>
    </xf>
    <xf numFmtId="0" fontId="24" fillId="0" borderId="34" xfId="2" applyFont="1" applyFill="1" applyBorder="1" applyAlignment="1">
      <alignment horizontal="center" vertical="top"/>
    </xf>
    <xf numFmtId="0" fontId="24" fillId="0" borderId="41" xfId="2" applyFont="1" applyFill="1" applyBorder="1" applyAlignment="1">
      <alignment vertical="top" wrapText="1"/>
    </xf>
    <xf numFmtId="0" fontId="24" fillId="0" borderId="33" xfId="2" applyFont="1" applyFill="1" applyBorder="1" applyAlignment="1">
      <alignment vertical="top"/>
    </xf>
    <xf numFmtId="0" fontId="24" fillId="0" borderId="28" xfId="2" applyFont="1" applyFill="1" applyBorder="1" applyAlignment="1">
      <alignment horizontal="left" vertical="top" wrapText="1"/>
    </xf>
    <xf numFmtId="0" fontId="24" fillId="0" borderId="34" xfId="2" applyFont="1" applyFill="1" applyBorder="1" applyAlignment="1">
      <alignment vertical="top" wrapText="1"/>
    </xf>
    <xf numFmtId="0" fontId="26" fillId="0" borderId="42" xfId="2" applyFont="1" applyFill="1" applyBorder="1" applyAlignment="1">
      <alignment horizontal="center" vertical="top" wrapText="1"/>
    </xf>
    <xf numFmtId="0" fontId="26" fillId="0" borderId="0" xfId="2" applyFont="1" applyFill="1" applyAlignment="1">
      <alignment horizontal="left" vertical="top" wrapText="1"/>
    </xf>
    <xf numFmtId="0" fontId="26" fillId="0" borderId="4" xfId="2" applyFont="1" applyFill="1" applyBorder="1" applyAlignment="1">
      <alignment horizontal="right" vertical="top" wrapText="1"/>
    </xf>
    <xf numFmtId="0" fontId="26" fillId="0" borderId="5" xfId="2" applyFont="1" applyFill="1" applyBorder="1" applyAlignment="1">
      <alignment vertical="top" wrapText="1"/>
    </xf>
    <xf numFmtId="0" fontId="26" fillId="0" borderId="9" xfId="2" applyFont="1" applyFill="1" applyBorder="1" applyAlignment="1">
      <alignment vertical="top" wrapText="1"/>
    </xf>
    <xf numFmtId="0" fontId="27" fillId="0" borderId="0" xfId="2" applyFont="1" applyAlignment="1">
      <alignment horizontal="left" vertical="top" wrapText="1"/>
    </xf>
    <xf numFmtId="0" fontId="26" fillId="0" borderId="10" xfId="2" applyFont="1" applyFill="1" applyBorder="1" applyAlignment="1">
      <alignment horizontal="right" vertical="top" wrapText="1"/>
    </xf>
    <xf numFmtId="0" fontId="25" fillId="0" borderId="10" xfId="2" applyFont="1" applyFill="1" applyBorder="1" applyAlignment="1">
      <alignment vertical="top" wrapText="1"/>
    </xf>
    <xf numFmtId="0" fontId="26" fillId="0" borderId="10" xfId="2" applyFont="1" applyFill="1" applyBorder="1" applyAlignment="1">
      <alignment horizontal="center" vertical="top" wrapText="1"/>
    </xf>
    <xf numFmtId="0" fontId="26" fillId="0" borderId="19" xfId="2" applyFont="1" applyFill="1" applyBorder="1" applyAlignment="1">
      <alignment vertical="top" wrapText="1"/>
    </xf>
    <xf numFmtId="0" fontId="26" fillId="0" borderId="0" xfId="2" applyFont="1" applyFill="1" applyBorder="1" applyAlignment="1">
      <alignment vertical="top" wrapText="1"/>
    </xf>
    <xf numFmtId="0" fontId="26" fillId="0" borderId="20" xfId="2" applyFont="1" applyFill="1" applyBorder="1" applyAlignment="1">
      <alignment vertical="top" wrapText="1"/>
    </xf>
    <xf numFmtId="0" fontId="26" fillId="0" borderId="33" xfId="2" applyFont="1" applyFill="1" applyBorder="1" applyAlignment="1">
      <alignment horizontal="center" vertical="top" wrapText="1"/>
    </xf>
    <xf numFmtId="0" fontId="26" fillId="0" borderId="34" xfId="2" applyFont="1" applyFill="1" applyBorder="1" applyAlignment="1">
      <alignment vertical="top" wrapText="1"/>
    </xf>
    <xf numFmtId="0" fontId="3" fillId="0" borderId="15" xfId="2" applyFont="1" applyBorder="1" applyAlignment="1">
      <alignment vertical="top" wrapText="1"/>
    </xf>
    <xf numFmtId="0" fontId="20" fillId="0" borderId="0" xfId="2" applyFont="1" applyBorder="1" applyAlignment="1">
      <alignment vertical="top" wrapText="1"/>
    </xf>
    <xf numFmtId="0" fontId="22" fillId="8" borderId="11" xfId="2" applyFont="1" applyFill="1" applyBorder="1" applyAlignment="1">
      <alignment vertical="top" wrapText="1"/>
    </xf>
    <xf numFmtId="0" fontId="20" fillId="8" borderId="11" xfId="2" applyFont="1" applyFill="1" applyBorder="1" applyAlignment="1">
      <alignment vertical="top" wrapText="1"/>
    </xf>
    <xf numFmtId="0" fontId="18" fillId="8" borderId="11" xfId="6" applyFont="1" applyFill="1" applyBorder="1" applyAlignment="1">
      <alignment vertical="top" wrapText="1"/>
    </xf>
    <xf numFmtId="3" fontId="10" fillId="0" borderId="0" xfId="1" applyNumberFormat="1" applyFont="1" applyAlignment="1">
      <alignment horizontal="center" vertical="center"/>
    </xf>
    <xf numFmtId="3" fontId="3" fillId="11" borderId="11" xfId="14" applyNumberFormat="1" applyFont="1" applyFill="1" applyBorder="1" applyAlignment="1" applyProtection="1">
      <alignment horizontal="center" vertical="center"/>
      <protection locked="0"/>
    </xf>
    <xf numFmtId="3" fontId="3" fillId="12" borderId="11" xfId="14" applyNumberFormat="1" applyFont="1" applyFill="1" applyBorder="1" applyAlignment="1" applyProtection="1">
      <alignment horizontal="center" vertical="center"/>
      <protection locked="0"/>
    </xf>
    <xf numFmtId="3" fontId="1" fillId="0" borderId="0" xfId="1" applyNumberFormat="1"/>
    <xf numFmtId="3" fontId="3" fillId="12" borderId="11" xfId="14" applyNumberFormat="1" applyFont="1" applyFill="1" applyBorder="1" applyAlignment="1" applyProtection="1">
      <alignment vertical="top" wrapText="1"/>
      <protection locked="0"/>
    </xf>
    <xf numFmtId="3" fontId="36" fillId="0" borderId="0" xfId="15" applyNumberFormat="1"/>
    <xf numFmtId="3" fontId="36" fillId="10" borderId="11" xfId="15" applyNumberFormat="1" applyFill="1" applyBorder="1" applyAlignment="1">
      <alignment horizontal="right"/>
    </xf>
    <xf numFmtId="3" fontId="37" fillId="10" borderId="11" xfId="15" applyNumberFormat="1" applyFont="1" applyFill="1" applyBorder="1" applyAlignment="1">
      <alignment horizontal="right"/>
    </xf>
    <xf numFmtId="3" fontId="38" fillId="10" borderId="11" xfId="14" applyNumberFormat="1" applyFont="1" applyFill="1" applyBorder="1" applyAlignment="1">
      <alignment vertical="top" wrapText="1"/>
    </xf>
    <xf numFmtId="3" fontId="36" fillId="10" borderId="0" xfId="15" applyNumberFormat="1" applyFill="1"/>
    <xf numFmtId="3" fontId="1" fillId="10" borderId="0" xfId="1" applyNumberFormat="1" applyFill="1"/>
    <xf numFmtId="3" fontId="36" fillId="11" borderId="11" xfId="15" applyNumberFormat="1" applyFill="1" applyBorder="1" applyAlignment="1">
      <alignment horizontal="right"/>
    </xf>
    <xf numFmtId="3" fontId="36" fillId="11" borderId="0" xfId="15" applyNumberFormat="1" applyFill="1"/>
    <xf numFmtId="3" fontId="1" fillId="11" borderId="0" xfId="1" applyNumberFormat="1" applyFill="1"/>
    <xf numFmtId="3" fontId="36" fillId="12" borderId="11" xfId="15" applyNumberFormat="1" applyFill="1" applyBorder="1" applyAlignment="1">
      <alignment horizontal="right"/>
    </xf>
    <xf numFmtId="3" fontId="36" fillId="12" borderId="0" xfId="15" applyNumberFormat="1" applyFill="1"/>
    <xf numFmtId="3" fontId="1" fillId="12" borderId="0" xfId="1" applyNumberFormat="1" applyFill="1"/>
    <xf numFmtId="3" fontId="36" fillId="13" borderId="11" xfId="15" applyNumberFormat="1" applyFill="1" applyBorder="1" applyAlignment="1">
      <alignment horizontal="right"/>
    </xf>
    <xf numFmtId="3" fontId="36" fillId="13" borderId="0" xfId="15" applyNumberFormat="1" applyFill="1"/>
    <xf numFmtId="3" fontId="1" fillId="13" borderId="0" xfId="1" applyNumberFormat="1" applyFill="1"/>
    <xf numFmtId="3" fontId="1" fillId="13" borderId="11" xfId="1" applyNumberFormat="1" applyFill="1" applyBorder="1" applyAlignment="1">
      <alignment horizontal="right" wrapText="1"/>
    </xf>
    <xf numFmtId="3" fontId="1" fillId="12" borderId="11" xfId="1" applyNumberFormat="1" applyFill="1" applyBorder="1" applyAlignment="1">
      <alignment horizontal="right" wrapText="1"/>
    </xf>
    <xf numFmtId="3" fontId="14" fillId="12" borderId="11" xfId="1" applyNumberFormat="1" applyFont="1" applyFill="1" applyBorder="1" applyAlignment="1">
      <alignment horizontal="right" vertical="top"/>
    </xf>
    <xf numFmtId="165" fontId="38" fillId="10" borderId="11" xfId="14" applyNumberFormat="1" applyFont="1" applyFill="1" applyBorder="1" applyAlignment="1">
      <alignment vertical="top" wrapText="1"/>
    </xf>
    <xf numFmtId="3" fontId="36" fillId="12" borderId="0" xfId="15" applyNumberFormat="1" applyFill="1" applyAlignment="1">
      <alignment horizontal="right"/>
    </xf>
    <xf numFmtId="3" fontId="36" fillId="12" borderId="0" xfId="15" applyNumberFormat="1" applyFill="1" applyAlignment="1">
      <alignment wrapText="1"/>
    </xf>
    <xf numFmtId="3" fontId="1" fillId="0" borderId="0" xfId="1" applyNumberFormat="1" applyBorder="1"/>
    <xf numFmtId="3" fontId="1" fillId="11" borderId="0" xfId="1" applyNumberFormat="1" applyFill="1" applyBorder="1" applyAlignment="1">
      <alignment horizontal="left" vertical="top" wrapText="1"/>
    </xf>
    <xf numFmtId="3" fontId="1" fillId="12" borderId="0" xfId="1" applyNumberFormat="1" applyFill="1" applyBorder="1" applyAlignment="1">
      <alignment horizontal="right" wrapText="1"/>
    </xf>
    <xf numFmtId="3" fontId="1" fillId="12" borderId="0" xfId="1" applyNumberFormat="1" applyFill="1" applyBorder="1" applyAlignment="1">
      <alignment wrapText="1"/>
    </xf>
    <xf numFmtId="3" fontId="1" fillId="12" borderId="0" xfId="1" applyNumberFormat="1" applyFill="1" applyBorder="1" applyAlignment="1">
      <alignment horizontal="left" vertical="top" wrapText="1"/>
    </xf>
    <xf numFmtId="3" fontId="1" fillId="12" borderId="0" xfId="1" applyNumberFormat="1" applyFill="1" applyAlignment="1">
      <alignment horizontal="left" vertical="top" wrapText="1"/>
    </xf>
    <xf numFmtId="3" fontId="1" fillId="11" borderId="0" xfId="1" applyNumberFormat="1" applyFill="1" applyAlignment="1">
      <alignment horizontal="left" vertical="top" wrapText="1"/>
    </xf>
    <xf numFmtId="3" fontId="1" fillId="12" borderId="0" xfId="1" applyNumberFormat="1" applyFill="1" applyAlignment="1">
      <alignment horizontal="right" wrapText="1"/>
    </xf>
    <xf numFmtId="3" fontId="1" fillId="12" borderId="0" xfId="1" applyNumberFormat="1" applyFill="1" applyAlignment="1">
      <alignment wrapText="1"/>
    </xf>
    <xf numFmtId="3" fontId="36" fillId="11" borderId="11" xfId="16" applyNumberFormat="1" applyFill="1" applyBorder="1"/>
    <xf numFmtId="3" fontId="36" fillId="12" borderId="11" xfId="16" applyNumberFormat="1" applyFill="1" applyBorder="1"/>
    <xf numFmtId="3" fontId="36" fillId="10" borderId="11" xfId="16" applyNumberFormat="1" applyFill="1" applyBorder="1"/>
    <xf numFmtId="3" fontId="36" fillId="10" borderId="11" xfId="16" applyNumberFormat="1" applyFill="1" applyBorder="1" applyProtection="1"/>
    <xf numFmtId="3" fontId="36" fillId="10" borderId="11" xfId="16" applyNumberFormat="1" applyFill="1" applyBorder="1" applyAlignment="1" applyProtection="1">
      <alignment wrapText="1"/>
    </xf>
    <xf numFmtId="3" fontId="36" fillId="11" borderId="11" xfId="16" applyNumberFormat="1" applyFill="1" applyBorder="1" applyProtection="1"/>
    <xf numFmtId="3" fontId="41" fillId="10" borderId="11" xfId="16" applyNumberFormat="1" applyFont="1" applyFill="1" applyBorder="1" applyProtection="1"/>
    <xf numFmtId="3" fontId="36" fillId="12" borderId="11" xfId="16" applyNumberFormat="1" applyFill="1" applyBorder="1" applyProtection="1"/>
    <xf numFmtId="3" fontId="42" fillId="12" borderId="11" xfId="16" applyNumberFormat="1" applyFont="1" applyFill="1" applyBorder="1" applyProtection="1"/>
    <xf numFmtId="0" fontId="36" fillId="12" borderId="11" xfId="16" applyFill="1" applyBorder="1" applyProtection="1"/>
    <xf numFmtId="0" fontId="36" fillId="11" borderId="11" xfId="16" applyFill="1" applyBorder="1" applyProtection="1"/>
    <xf numFmtId="3" fontId="36" fillId="11" borderId="11" xfId="16" applyNumberFormat="1" applyFill="1" applyBorder="1" applyAlignment="1" applyProtection="1">
      <alignment wrapText="1"/>
    </xf>
    <xf numFmtId="3" fontId="36" fillId="11" borderId="11" xfId="16" applyNumberFormat="1" applyFill="1" applyBorder="1" applyAlignment="1"/>
    <xf numFmtId="3" fontId="36" fillId="11" borderId="11" xfId="16" applyNumberFormat="1" applyFill="1" applyBorder="1" applyAlignment="1" applyProtection="1"/>
    <xf numFmtId="3" fontId="36" fillId="0" borderId="11" xfId="16" applyNumberFormat="1" applyFill="1" applyBorder="1"/>
    <xf numFmtId="3" fontId="36" fillId="0" borderId="11" xfId="16" applyNumberFormat="1" applyFill="1" applyBorder="1" applyProtection="1"/>
    <xf numFmtId="3" fontId="37" fillId="0" borderId="11" xfId="15" applyNumberFormat="1" applyFont="1" applyFill="1" applyBorder="1" applyAlignment="1" applyProtection="1">
      <alignment horizontal="right"/>
    </xf>
    <xf numFmtId="0" fontId="36" fillId="12" borderId="11" xfId="16" applyFill="1" applyBorder="1" applyProtection="1">
      <protection locked="0"/>
    </xf>
    <xf numFmtId="0" fontId="36" fillId="11" borderId="11" xfId="16" applyFill="1" applyBorder="1" applyProtection="1">
      <protection locked="0"/>
    </xf>
    <xf numFmtId="0" fontId="36" fillId="11" borderId="11" xfId="16" applyFill="1" applyBorder="1"/>
    <xf numFmtId="3" fontId="40" fillId="10" borderId="11" xfId="16" applyNumberFormat="1" applyFont="1" applyFill="1" applyBorder="1" applyAlignment="1" applyProtection="1">
      <alignment vertical="top" wrapText="1"/>
    </xf>
    <xf numFmtId="0" fontId="7" fillId="0" borderId="11" xfId="2" applyFont="1" applyFill="1" applyBorder="1" applyAlignment="1">
      <alignment vertical="top" wrapText="1"/>
    </xf>
    <xf numFmtId="0" fontId="7" fillId="0" borderId="11" xfId="2" applyFont="1" applyFill="1" applyBorder="1" applyAlignment="1">
      <alignment horizontal="left" vertical="top" wrapText="1" indent="1"/>
    </xf>
    <xf numFmtId="0" fontId="13" fillId="0" borderId="11" xfId="2" applyFont="1" applyFill="1" applyBorder="1" applyAlignment="1">
      <alignment horizontal="left" vertical="top" wrapText="1" indent="1"/>
    </xf>
    <xf numFmtId="0" fontId="13" fillId="0" borderId="11" xfId="2" applyFont="1" applyFill="1" applyBorder="1" applyAlignment="1">
      <alignment horizontal="left" vertical="top" wrapText="1" indent="2"/>
    </xf>
    <xf numFmtId="3" fontId="8" fillId="0" borderId="11" xfId="1" applyNumberFormat="1" applyFont="1" applyFill="1" applyBorder="1" applyAlignment="1" applyProtection="1">
      <alignment vertical="top" wrapText="1"/>
      <protection locked="0"/>
    </xf>
    <xf numFmtId="3" fontId="11" fillId="0" borderId="11" xfId="1" applyNumberFormat="1" applyFont="1" applyFill="1" applyBorder="1" applyAlignment="1" applyProtection="1">
      <alignment horizontal="left" vertical="top" indent="1"/>
      <protection locked="0"/>
    </xf>
    <xf numFmtId="0" fontId="36" fillId="0" borderId="11" xfId="16" applyBorder="1" applyProtection="1">
      <protection locked="0"/>
    </xf>
    <xf numFmtId="0" fontId="36" fillId="10" borderId="11" xfId="16" applyFill="1" applyBorder="1" applyProtection="1">
      <protection locked="0"/>
    </xf>
    <xf numFmtId="0" fontId="36" fillId="13" borderId="11" xfId="16" applyFill="1" applyBorder="1" applyProtection="1">
      <protection locked="0"/>
    </xf>
    <xf numFmtId="3" fontId="36" fillId="11" borderId="14" xfId="15" applyNumberFormat="1" applyFill="1" applyBorder="1" applyAlignment="1">
      <alignment horizontal="right"/>
    </xf>
    <xf numFmtId="3" fontId="36" fillId="12" borderId="14" xfId="15" applyNumberFormat="1" applyFill="1" applyBorder="1" applyAlignment="1">
      <alignment horizontal="right"/>
    </xf>
    <xf numFmtId="3" fontId="36" fillId="10" borderId="14" xfId="15" applyNumberFormat="1" applyFill="1" applyBorder="1" applyAlignment="1">
      <alignment horizontal="right"/>
    </xf>
    <xf numFmtId="0" fontId="13" fillId="0" borderId="11" xfId="2" applyFont="1" applyFill="1" applyBorder="1" applyAlignment="1">
      <alignment vertical="top" wrapText="1"/>
    </xf>
    <xf numFmtId="0" fontId="14" fillId="0" borderId="11" xfId="2" applyFont="1" applyFill="1" applyBorder="1" applyAlignment="1">
      <alignment horizontal="right" vertical="top"/>
    </xf>
    <xf numFmtId="0" fontId="15" fillId="0" borderId="11" xfId="2" applyFont="1" applyFill="1" applyBorder="1" applyAlignment="1">
      <alignment vertical="top" wrapText="1"/>
    </xf>
    <xf numFmtId="0" fontId="14" fillId="0" borderId="11" xfId="2" applyFont="1" applyFill="1" applyBorder="1" applyAlignment="1">
      <alignment horizontal="left" vertical="top" wrapText="1"/>
    </xf>
    <xf numFmtId="3" fontId="1" fillId="0" borderId="11" xfId="1" applyNumberFormat="1" applyFill="1" applyBorder="1"/>
    <xf numFmtId="3" fontId="1" fillId="11" borderId="11" xfId="1" applyNumberFormat="1" applyFill="1" applyBorder="1" applyAlignment="1">
      <alignment horizontal="left" vertical="top" wrapText="1"/>
    </xf>
    <xf numFmtId="3" fontId="1" fillId="12" borderId="11" xfId="1" applyNumberFormat="1" applyFill="1" applyBorder="1" applyAlignment="1">
      <alignment wrapText="1"/>
    </xf>
    <xf numFmtId="3" fontId="1" fillId="12" borderId="11" xfId="1" applyNumberFormat="1" applyFill="1" applyBorder="1" applyAlignment="1">
      <alignment horizontal="left" vertical="top" wrapText="1"/>
    </xf>
    <xf numFmtId="3" fontId="1" fillId="10" borderId="11" xfId="1" applyNumberFormat="1" applyFill="1" applyBorder="1"/>
    <xf numFmtId="0" fontId="3" fillId="0" borderId="11" xfId="2" applyFont="1" applyFill="1" applyBorder="1" applyAlignment="1">
      <alignment vertical="top" wrapText="1"/>
    </xf>
    <xf numFmtId="0" fontId="4" fillId="0" borderId="11" xfId="2" applyFont="1" applyFill="1" applyBorder="1" applyAlignment="1">
      <alignment vertical="top" wrapText="1"/>
    </xf>
    <xf numFmtId="0" fontId="5" fillId="0" borderId="11" xfId="2" applyFont="1" applyFill="1" applyBorder="1" applyAlignment="1">
      <alignment vertical="top" wrapText="1"/>
    </xf>
    <xf numFmtId="0" fontId="18" fillId="5" borderId="11" xfId="6" applyFont="1" applyFill="1" applyBorder="1" applyAlignment="1">
      <alignment horizontal="right" vertical="top" wrapText="1"/>
    </xf>
    <xf numFmtId="0" fontId="5" fillId="5" borderId="11" xfId="2" applyFont="1" applyFill="1" applyBorder="1" applyAlignment="1">
      <alignment vertical="center" wrapText="1"/>
    </xf>
    <xf numFmtId="0" fontId="17" fillId="0" borderId="11" xfId="6" applyFont="1" applyBorder="1" applyAlignment="1">
      <alignment horizontal="left" vertical="top" wrapText="1"/>
    </xf>
    <xf numFmtId="4" fontId="36" fillId="10" borderId="11" xfId="16" applyNumberFormat="1" applyFill="1" applyBorder="1" applyProtection="1">
      <protection locked="0"/>
    </xf>
    <xf numFmtId="4" fontId="36" fillId="11" borderId="11" xfId="16" applyNumberFormat="1" applyFill="1" applyBorder="1" applyProtection="1">
      <protection locked="0"/>
    </xf>
    <xf numFmtId="4" fontId="36" fillId="12" borderId="11" xfId="16" applyNumberFormat="1" applyFill="1" applyBorder="1" applyProtection="1">
      <protection locked="0"/>
    </xf>
    <xf numFmtId="4" fontId="36" fillId="11" borderId="11" xfId="16" applyNumberFormat="1" applyFill="1" applyBorder="1" applyAlignment="1" applyProtection="1">
      <protection locked="0"/>
    </xf>
    <xf numFmtId="0" fontId="36" fillId="11" borderId="11" xfId="16" applyFill="1" applyBorder="1" applyAlignment="1" applyProtection="1">
      <protection locked="0"/>
    </xf>
    <xf numFmtId="4" fontId="36" fillId="0" borderId="11" xfId="16" applyNumberFormat="1" applyFill="1" applyBorder="1" applyProtection="1">
      <protection locked="0"/>
    </xf>
    <xf numFmtId="0" fontId="36" fillId="0" borderId="11" xfId="16" applyFill="1" applyBorder="1" applyProtection="1">
      <protection locked="0"/>
    </xf>
    <xf numFmtId="3" fontId="25" fillId="10" borderId="11" xfId="16" applyNumberFormat="1" applyFont="1" applyFill="1" applyBorder="1" applyAlignment="1" applyProtection="1">
      <alignment vertical="top" wrapText="1"/>
    </xf>
    <xf numFmtId="3" fontId="39" fillId="14" borderId="11" xfId="1" applyNumberFormat="1" applyFont="1" applyFill="1" applyBorder="1" applyAlignment="1" applyProtection="1">
      <alignment vertical="top"/>
    </xf>
    <xf numFmtId="3" fontId="36" fillId="0" borderId="11" xfId="16" applyNumberFormat="1" applyBorder="1" applyProtection="1">
      <protection locked="0"/>
    </xf>
    <xf numFmtId="3" fontId="40" fillId="10" borderId="11" xfId="16" applyNumberFormat="1" applyFont="1" applyFill="1" applyBorder="1" applyAlignment="1" applyProtection="1">
      <alignment vertical="top" wrapText="1"/>
      <protection locked="0"/>
    </xf>
    <xf numFmtId="49" fontId="20" fillId="0" borderId="0" xfId="16" applyNumberFormat="1" applyFont="1" applyAlignment="1">
      <alignment horizontal="centerContinuous" wrapText="1"/>
    </xf>
    <xf numFmtId="49" fontId="3" fillId="0" borderId="0" xfId="16" applyNumberFormat="1" applyFont="1" applyAlignment="1">
      <alignment horizontal="centerContinuous" wrapText="1"/>
    </xf>
    <xf numFmtId="0" fontId="47" fillId="0" borderId="0" xfId="16" applyFont="1" applyAlignment="1">
      <alignment vertical="center"/>
    </xf>
    <xf numFmtId="0" fontId="3" fillId="0" borderId="0" xfId="16" applyFont="1" applyAlignment="1">
      <alignment vertical="center"/>
    </xf>
    <xf numFmtId="0" fontId="3" fillId="0" borderId="0" xfId="16" applyFont="1"/>
    <xf numFmtId="0" fontId="21" fillId="0" borderId="0" xfId="16" applyFont="1" applyAlignment="1">
      <alignment horizontal="center"/>
    </xf>
    <xf numFmtId="0" fontId="3" fillId="0" borderId="0" xfId="16" applyFont="1" applyAlignment="1">
      <alignment horizontal="centerContinuous" wrapText="1"/>
    </xf>
    <xf numFmtId="0" fontId="20" fillId="0" borderId="0" xfId="16" applyFont="1" applyAlignment="1">
      <alignment horizontal="center"/>
    </xf>
    <xf numFmtId="49" fontId="48" fillId="0" borderId="0" xfId="16" applyNumberFormat="1" applyFont="1" applyAlignment="1"/>
    <xf numFmtId="0" fontId="22" fillId="0" borderId="0" xfId="16" applyFont="1" applyAlignment="1">
      <alignment horizontal="centerContinuous" wrapText="1"/>
    </xf>
    <xf numFmtId="0" fontId="3" fillId="0" borderId="0" xfId="16" applyFont="1" applyAlignment="1"/>
    <xf numFmtId="0" fontId="20" fillId="0" borderId="0" xfId="16" applyFont="1" applyAlignment="1"/>
    <xf numFmtId="49" fontId="4" fillId="0" borderId="0" xfId="16" applyNumberFormat="1" applyFont="1" applyAlignment="1">
      <alignment horizontal="centerContinuous" wrapText="1"/>
    </xf>
    <xf numFmtId="0" fontId="21" fillId="0" borderId="0" xfId="16" applyFont="1" applyAlignment="1">
      <alignment horizontal="centerContinuous" wrapText="1"/>
    </xf>
    <xf numFmtId="0" fontId="20" fillId="0" borderId="0" xfId="16" applyFont="1" applyAlignment="1">
      <alignment horizontal="centerContinuous" wrapText="1"/>
    </xf>
    <xf numFmtId="49" fontId="47" fillId="0" borderId="0" xfId="16" applyNumberFormat="1" applyFont="1"/>
    <xf numFmtId="0" fontId="49" fillId="0" borderId="0" xfId="16" applyFont="1"/>
    <xf numFmtId="0" fontId="47" fillId="0" borderId="0" xfId="16" applyFont="1"/>
    <xf numFmtId="0" fontId="47" fillId="0" borderId="0" xfId="16" applyFont="1" applyAlignment="1">
      <alignment horizontal="center"/>
    </xf>
    <xf numFmtId="0" fontId="50" fillId="0" borderId="0" xfId="16" applyFont="1" applyAlignment="1">
      <alignment horizontal="center" vertical="center"/>
    </xf>
    <xf numFmtId="0" fontId="50" fillId="0" borderId="11" xfId="16" applyFont="1" applyBorder="1" applyAlignment="1">
      <alignment horizontal="center" vertical="center" wrapText="1"/>
    </xf>
    <xf numFmtId="0" fontId="47" fillId="0" borderId="11" xfId="16" applyFont="1" applyFill="1" applyBorder="1" applyAlignment="1">
      <alignment horizontal="center" vertical="center"/>
    </xf>
    <xf numFmtId="0" fontId="47" fillId="0" borderId="11" xfId="16" applyFont="1" applyBorder="1" applyAlignment="1">
      <alignment horizontal="center" vertical="center"/>
    </xf>
    <xf numFmtId="0" fontId="47" fillId="0" borderId="11" xfId="16" applyFont="1" applyBorder="1" applyAlignment="1">
      <alignment horizontal="center" vertical="center" wrapText="1"/>
    </xf>
    <xf numFmtId="3" fontId="47" fillId="0" borderId="11" xfId="16" applyNumberFormat="1" applyFont="1" applyBorder="1" applyAlignment="1">
      <alignment horizontal="center" vertical="center" wrapText="1"/>
    </xf>
    <xf numFmtId="0" fontId="47" fillId="0" borderId="14" xfId="16" applyFont="1" applyBorder="1" applyAlignment="1">
      <alignment horizontal="center" vertical="center"/>
    </xf>
    <xf numFmtId="49" fontId="52" fillId="0" borderId="0" xfId="16" applyNumberFormat="1" applyFont="1" applyAlignment="1">
      <alignment vertical="center"/>
    </xf>
    <xf numFmtId="0" fontId="52" fillId="0" borderId="0" xfId="16" applyFont="1" applyAlignment="1">
      <alignment vertical="center" wrapText="1"/>
    </xf>
    <xf numFmtId="167" fontId="52" fillId="0" borderId="0" xfId="16" applyNumberFormat="1" applyFont="1" applyAlignment="1">
      <alignment vertical="center"/>
    </xf>
    <xf numFmtId="167" fontId="52" fillId="0" borderId="0" xfId="16" applyNumberFormat="1" applyFont="1" applyAlignment="1">
      <alignment horizontal="center" vertical="center"/>
    </xf>
    <xf numFmtId="49" fontId="48" fillId="0" borderId="0" xfId="16" applyNumberFormat="1" applyFont="1" applyAlignment="1">
      <alignment vertical="center"/>
    </xf>
    <xf numFmtId="0" fontId="48" fillId="0" borderId="0" xfId="16" applyFont="1" applyAlignment="1">
      <alignment vertical="center" wrapText="1"/>
    </xf>
    <xf numFmtId="167" fontId="48" fillId="0" borderId="0" xfId="16" applyNumberFormat="1" applyFont="1" applyAlignment="1">
      <alignment vertical="center"/>
    </xf>
    <xf numFmtId="167" fontId="48" fillId="0" borderId="0" xfId="16" applyNumberFormat="1" applyFont="1" applyAlignment="1">
      <alignment horizontal="center" vertical="center"/>
    </xf>
    <xf numFmtId="49" fontId="47" fillId="0" borderId="0" xfId="16" applyNumberFormat="1" applyFont="1" applyAlignment="1">
      <alignment vertical="center"/>
    </xf>
    <xf numFmtId="0" fontId="50" fillId="0" borderId="0" xfId="16" applyFont="1" applyAlignment="1">
      <alignment vertical="center" wrapText="1"/>
    </xf>
    <xf numFmtId="167" fontId="47" fillId="0" borderId="0" xfId="16" applyNumberFormat="1" applyFont="1" applyAlignment="1">
      <alignment vertical="center"/>
    </xf>
    <xf numFmtId="167" fontId="47" fillId="0" borderId="0" xfId="16" applyNumberFormat="1" applyFont="1" applyAlignment="1">
      <alignment horizontal="center" vertical="center"/>
    </xf>
    <xf numFmtId="0" fontId="3" fillId="0" borderId="11" xfId="16" applyFont="1" applyFill="1" applyBorder="1" applyAlignment="1">
      <alignment horizontal="center" vertical="center"/>
    </xf>
    <xf numFmtId="3" fontId="3" fillId="0" borderId="11" xfId="16" applyNumberFormat="1" applyFont="1" applyFill="1" applyBorder="1" applyAlignment="1">
      <alignment horizontal="center" vertical="center"/>
    </xf>
    <xf numFmtId="49" fontId="47" fillId="7" borderId="0" xfId="16" applyNumberFormat="1" applyFont="1" applyFill="1" applyAlignment="1">
      <alignment vertical="center"/>
    </xf>
    <xf numFmtId="0" fontId="50" fillId="7" borderId="0" xfId="16" applyFont="1" applyFill="1" applyAlignment="1">
      <alignment vertical="center" wrapText="1"/>
    </xf>
    <xf numFmtId="167" fontId="47" fillId="7" borderId="0" xfId="16" applyNumberFormat="1" applyFont="1" applyFill="1" applyAlignment="1">
      <alignment vertical="center"/>
    </xf>
    <xf numFmtId="167" fontId="47" fillId="7" borderId="0" xfId="16" applyNumberFormat="1" applyFont="1" applyFill="1" applyAlignment="1">
      <alignment horizontal="center" vertical="center"/>
    </xf>
    <xf numFmtId="0" fontId="47" fillId="7" borderId="0" xfId="16" applyFont="1" applyFill="1" applyAlignment="1">
      <alignment vertical="center"/>
    </xf>
    <xf numFmtId="0" fontId="3" fillId="7" borderId="11" xfId="16" applyFont="1" applyFill="1" applyBorder="1" applyAlignment="1">
      <alignment horizontal="center" vertical="center"/>
    </xf>
    <xf numFmtId="0" fontId="14" fillId="7" borderId="11" xfId="1" applyFont="1" applyFill="1" applyBorder="1" applyAlignment="1">
      <alignment horizontal="center" vertical="center"/>
    </xf>
    <xf numFmtId="3" fontId="3" fillId="7" borderId="11" xfId="16" applyNumberFormat="1" applyFont="1" applyFill="1" applyBorder="1" applyAlignment="1">
      <alignment horizontal="center" vertical="center"/>
    </xf>
    <xf numFmtId="14" fontId="3" fillId="7" borderId="11" xfId="16" applyNumberFormat="1" applyFont="1" applyFill="1" applyBorder="1" applyAlignment="1">
      <alignment horizontal="center" vertical="center"/>
    </xf>
    <xf numFmtId="16" fontId="5" fillId="7" borderId="11" xfId="16" applyNumberFormat="1" applyFont="1" applyFill="1" applyBorder="1" applyAlignment="1">
      <alignment horizontal="center" vertical="center"/>
    </xf>
    <xf numFmtId="0" fontId="2" fillId="7" borderId="11" xfId="16" applyFont="1" applyFill="1" applyBorder="1" applyAlignment="1">
      <alignment horizontal="center" vertical="center"/>
    </xf>
    <xf numFmtId="16" fontId="2" fillId="7" borderId="11" xfId="16" applyNumberFormat="1" applyFont="1" applyFill="1" applyBorder="1" applyAlignment="1">
      <alignment horizontal="center" vertical="center"/>
    </xf>
    <xf numFmtId="14" fontId="28" fillId="7" borderId="11" xfId="16" applyNumberFormat="1" applyFont="1" applyFill="1" applyBorder="1" applyAlignment="1">
      <alignment horizontal="center" vertical="center"/>
    </xf>
    <xf numFmtId="16" fontId="3" fillId="7" borderId="11" xfId="16" applyNumberFormat="1" applyFont="1" applyFill="1" applyBorder="1" applyAlignment="1">
      <alignment horizontal="center" vertical="center"/>
    </xf>
    <xf numFmtId="49" fontId="47" fillId="8" borderId="0" xfId="16" applyNumberFormat="1" applyFont="1" applyFill="1" applyAlignment="1">
      <alignment vertical="center"/>
    </xf>
    <xf numFmtId="0" fontId="50" fillId="8" borderId="0" xfId="16" applyFont="1" applyFill="1" applyAlignment="1">
      <alignment vertical="center" wrapText="1"/>
    </xf>
    <xf numFmtId="167" fontId="47" fillId="8" borderId="0" xfId="16" applyNumberFormat="1" applyFont="1" applyFill="1" applyAlignment="1">
      <alignment vertical="center"/>
    </xf>
    <xf numFmtId="167" fontId="47" fillId="8" borderId="0" xfId="16" applyNumberFormat="1" applyFont="1" applyFill="1" applyAlignment="1">
      <alignment horizontal="center" vertical="center"/>
    </xf>
    <xf numFmtId="0" fontId="47" fillId="8" borderId="0" xfId="16" applyFont="1" applyFill="1" applyAlignment="1">
      <alignment vertical="center"/>
    </xf>
    <xf numFmtId="49" fontId="52" fillId="0" borderId="0" xfId="16" applyNumberFormat="1" applyFont="1" applyAlignment="1">
      <alignment horizontal="centerContinuous" vertical="center" wrapText="1"/>
    </xf>
    <xf numFmtId="49" fontId="47" fillId="0" borderId="0" xfId="16" applyNumberFormat="1" applyFont="1" applyAlignment="1">
      <alignment horizontal="centerContinuous" vertical="center"/>
    </xf>
    <xf numFmtId="0" fontId="47" fillId="0" borderId="0" xfId="16" applyFont="1" applyAlignment="1">
      <alignment horizontal="centerContinuous" vertical="center"/>
    </xf>
    <xf numFmtId="49" fontId="47" fillId="16" borderId="0" xfId="16" applyNumberFormat="1" applyFont="1" applyFill="1" applyAlignment="1">
      <alignment vertical="center"/>
    </xf>
    <xf numFmtId="0" fontId="50" fillId="16" borderId="0" xfId="16" applyFont="1" applyFill="1" applyAlignment="1">
      <alignment vertical="center" wrapText="1"/>
    </xf>
    <xf numFmtId="167" fontId="47" fillId="16" borderId="0" xfId="16" applyNumberFormat="1" applyFont="1" applyFill="1" applyAlignment="1">
      <alignment vertical="center"/>
    </xf>
    <xf numFmtId="167" fontId="47" fillId="16" borderId="0" xfId="16" applyNumberFormat="1" applyFont="1" applyFill="1" applyAlignment="1">
      <alignment horizontal="center" vertical="center"/>
    </xf>
    <xf numFmtId="0" fontId="47" fillId="16" borderId="0" xfId="16" applyFont="1" applyFill="1" applyAlignment="1">
      <alignment vertical="center"/>
    </xf>
    <xf numFmtId="0" fontId="3" fillId="8" borderId="11" xfId="16" applyFont="1" applyFill="1" applyBorder="1" applyAlignment="1">
      <alignment horizontal="center" vertical="center"/>
    </xf>
    <xf numFmtId="49" fontId="47" fillId="5" borderId="0" xfId="16" applyNumberFormat="1" applyFont="1" applyFill="1" applyAlignment="1">
      <alignment vertical="center"/>
    </xf>
    <xf numFmtId="0" fontId="50" fillId="5" borderId="0" xfId="16" applyFont="1" applyFill="1" applyAlignment="1">
      <alignment vertical="center" wrapText="1"/>
    </xf>
    <xf numFmtId="167" fontId="47" fillId="5" borderId="0" xfId="16" applyNumberFormat="1" applyFont="1" applyFill="1" applyAlignment="1">
      <alignment vertical="center"/>
    </xf>
    <xf numFmtId="167" fontId="47" fillId="5" borderId="0" xfId="16" applyNumberFormat="1" applyFont="1" applyFill="1" applyAlignment="1">
      <alignment horizontal="center" vertical="center"/>
    </xf>
    <xf numFmtId="0" fontId="3" fillId="5" borderId="11" xfId="16" applyFont="1" applyFill="1" applyBorder="1" applyAlignment="1">
      <alignment horizontal="center" vertical="center"/>
    </xf>
    <xf numFmtId="3" fontId="3" fillId="5" borderId="11" xfId="16" applyNumberFormat="1" applyFont="1" applyFill="1" applyBorder="1" applyAlignment="1">
      <alignment horizontal="center" vertical="center"/>
    </xf>
    <xf numFmtId="0" fontId="47" fillId="5" borderId="0" xfId="16" applyFont="1" applyFill="1" applyAlignment="1">
      <alignment vertical="center"/>
    </xf>
    <xf numFmtId="43" fontId="36" fillId="11" borderId="11" xfId="39" applyFont="1" applyFill="1" applyBorder="1" applyProtection="1">
      <protection locked="0"/>
    </xf>
    <xf numFmtId="3" fontId="35" fillId="10" borderId="11" xfId="1" applyNumberFormat="1" applyFont="1" applyFill="1" applyBorder="1" applyAlignment="1" applyProtection="1">
      <alignment horizontal="center" vertical="center" wrapText="1"/>
      <protection locked="0"/>
    </xf>
    <xf numFmtId="43" fontId="47" fillId="0" borderId="0" xfId="39" applyFont="1" applyAlignment="1">
      <alignment vertical="center"/>
    </xf>
    <xf numFmtId="3" fontId="35" fillId="10" borderId="15" xfId="1" applyNumberFormat="1" applyFont="1" applyFill="1" applyBorder="1" applyAlignment="1" applyProtection="1">
      <alignment horizontal="center" vertical="center" wrapText="1"/>
      <protection locked="0"/>
    </xf>
    <xf numFmtId="3" fontId="3" fillId="12" borderId="14" xfId="14" applyNumberFormat="1" applyFont="1" applyFill="1" applyBorder="1" applyAlignment="1" applyProtection="1">
      <alignment horizontal="center" vertical="center"/>
      <protection locked="0"/>
    </xf>
    <xf numFmtId="3" fontId="3" fillId="11" borderId="11" xfId="14" applyNumberFormat="1" applyFont="1" applyFill="1" applyBorder="1" applyAlignment="1" applyProtection="1">
      <alignment vertical="top" wrapText="1"/>
      <protection locked="0"/>
    </xf>
    <xf numFmtId="3" fontId="3" fillId="12" borderId="11" xfId="14" applyNumberFormat="1" applyFont="1" applyFill="1" applyBorder="1" applyAlignment="1" applyProtection="1">
      <alignment horizontal="left" vertical="top" wrapText="1"/>
      <protection locked="0"/>
    </xf>
    <xf numFmtId="3" fontId="3" fillId="12" borderId="15" xfId="14" applyNumberFormat="1" applyFont="1" applyFill="1" applyBorder="1" applyAlignment="1" applyProtection="1">
      <alignment vertical="top" wrapText="1"/>
      <protection locked="0"/>
    </xf>
    <xf numFmtId="3" fontId="8" fillId="10" borderId="11" xfId="1" applyNumberFormat="1" applyFont="1" applyFill="1" applyBorder="1" applyAlignment="1" applyProtection="1">
      <alignment vertical="top" wrapText="1"/>
      <protection locked="0"/>
    </xf>
    <xf numFmtId="3" fontId="11" fillId="11" borderId="11" xfId="1" applyNumberFormat="1" applyFont="1" applyFill="1" applyBorder="1" applyAlignment="1" applyProtection="1">
      <alignment horizontal="left" vertical="top" indent="1"/>
      <protection locked="0"/>
    </xf>
    <xf numFmtId="3" fontId="12" fillId="11" borderId="11" xfId="1" applyNumberFormat="1" applyFont="1" applyFill="1" applyBorder="1" applyAlignment="1" applyProtection="1">
      <alignment vertical="top" wrapText="1"/>
      <protection locked="0"/>
    </xf>
    <xf numFmtId="3" fontId="11" fillId="12" borderId="11" xfId="1" applyNumberFormat="1" applyFont="1" applyFill="1" applyBorder="1" applyAlignment="1" applyProtection="1">
      <alignment horizontal="center" vertical="top"/>
      <protection locked="0"/>
    </xf>
    <xf numFmtId="3" fontId="12" fillId="12" borderId="11" xfId="1" applyNumberFormat="1" applyFont="1" applyFill="1" applyBorder="1" applyAlignment="1" applyProtection="1">
      <alignment vertical="top" wrapText="1"/>
      <protection locked="0"/>
    </xf>
    <xf numFmtId="3" fontId="14" fillId="13" borderId="11" xfId="1" applyNumberFormat="1" applyFont="1" applyFill="1" applyBorder="1" applyAlignment="1" applyProtection="1">
      <alignment horizontal="right" vertical="top"/>
      <protection locked="0"/>
    </xf>
    <xf numFmtId="3" fontId="15" fillId="13" borderId="11" xfId="1" applyNumberFormat="1" applyFont="1" applyFill="1" applyBorder="1" applyAlignment="1" applyProtection="1">
      <alignment vertical="top" wrapText="1"/>
      <protection locked="0"/>
    </xf>
    <xf numFmtId="3" fontId="14" fillId="13" borderId="11" xfId="1" applyNumberFormat="1" applyFont="1" applyFill="1" applyBorder="1" applyAlignment="1" applyProtection="1">
      <alignment vertical="top" wrapText="1"/>
      <protection locked="0"/>
    </xf>
    <xf numFmtId="3" fontId="53" fillId="12" borderId="11" xfId="1" applyNumberFormat="1" applyFont="1" applyFill="1" applyBorder="1" applyAlignment="1" applyProtection="1">
      <alignment horizontal="center" vertical="top"/>
      <protection locked="0"/>
    </xf>
    <xf numFmtId="3" fontId="54" fillId="12" borderId="11" xfId="1" applyNumberFormat="1" applyFont="1" applyFill="1" applyBorder="1" applyAlignment="1" applyProtection="1">
      <alignment vertical="top" wrapText="1"/>
      <protection locked="0"/>
    </xf>
    <xf numFmtId="3" fontId="11" fillId="12" borderId="11" xfId="1" applyNumberFormat="1" applyFont="1" applyFill="1" applyBorder="1" applyAlignment="1" applyProtection="1">
      <alignment vertical="top" wrapText="1"/>
      <protection locked="0"/>
    </xf>
    <xf numFmtId="3" fontId="5" fillId="13" borderId="11" xfId="1" applyNumberFormat="1" applyFont="1" applyFill="1" applyBorder="1" applyAlignment="1" applyProtection="1">
      <alignment horizontal="right" vertical="top"/>
      <protection locked="0"/>
    </xf>
    <xf numFmtId="3" fontId="5" fillId="13" borderId="11" xfId="1" applyNumberFormat="1" applyFont="1" applyFill="1" applyBorder="1" applyAlignment="1" applyProtection="1">
      <alignment vertical="top" wrapText="1"/>
      <protection locked="0"/>
    </xf>
    <xf numFmtId="3" fontId="11" fillId="11" borderId="11" xfId="1" applyNumberFormat="1" applyFont="1" applyFill="1" applyBorder="1" applyAlignment="1" applyProtection="1">
      <alignment horizontal="left" vertical="top"/>
      <protection locked="0"/>
    </xf>
    <xf numFmtId="3" fontId="14" fillId="12" borderId="11" xfId="1" applyNumberFormat="1" applyFont="1" applyFill="1" applyBorder="1" applyAlignment="1" applyProtection="1">
      <alignment horizontal="right" vertical="top" indent="1"/>
      <protection locked="0"/>
    </xf>
    <xf numFmtId="3" fontId="14" fillId="12" borderId="11" xfId="1" applyNumberFormat="1" applyFont="1" applyFill="1" applyBorder="1" applyAlignment="1" applyProtection="1">
      <alignment vertical="top" wrapText="1"/>
      <protection locked="0"/>
    </xf>
    <xf numFmtId="3" fontId="14" fillId="12" borderId="11" xfId="1" applyNumberFormat="1" applyFont="1" applyFill="1" applyBorder="1" applyAlignment="1" applyProtection="1">
      <alignment horizontal="right" vertical="top"/>
      <protection locked="0"/>
    </xf>
    <xf numFmtId="3" fontId="15" fillId="12" borderId="11" xfId="1" applyNumberFormat="1" applyFont="1" applyFill="1" applyBorder="1" applyAlignment="1" applyProtection="1">
      <alignment vertical="top" wrapText="1"/>
      <protection locked="0"/>
    </xf>
    <xf numFmtId="3" fontId="14" fillId="12" borderId="11" xfId="1" applyNumberFormat="1" applyFont="1" applyFill="1" applyBorder="1" applyAlignment="1" applyProtection="1">
      <alignment horizontal="left" vertical="top"/>
      <protection locked="0"/>
    </xf>
    <xf numFmtId="3" fontId="9" fillId="10" borderId="11" xfId="1" applyNumberFormat="1" applyFont="1" applyFill="1" applyBorder="1" applyAlignment="1" applyProtection="1">
      <alignment vertical="top"/>
      <protection locked="0"/>
    </xf>
    <xf numFmtId="3" fontId="38" fillId="10" borderId="16" xfId="14" applyNumberFormat="1" applyFont="1" applyFill="1" applyBorder="1" applyAlignment="1">
      <alignment vertical="top" wrapText="1"/>
    </xf>
    <xf numFmtId="3" fontId="39" fillId="14" borderId="44" xfId="1" applyNumberFormat="1" applyFont="1" applyFill="1" applyBorder="1" applyAlignment="1">
      <alignment vertical="top"/>
    </xf>
    <xf numFmtId="3" fontId="36" fillId="0" borderId="0" xfId="15" applyNumberFormat="1" applyFill="1"/>
    <xf numFmtId="3" fontId="1" fillId="0" borderId="0" xfId="1" applyNumberFormat="1" applyFill="1"/>
    <xf numFmtId="3" fontId="35" fillId="0" borderId="0" xfId="1" applyNumberFormat="1" applyFont="1" applyBorder="1" applyAlignment="1">
      <alignment vertical="center"/>
    </xf>
    <xf numFmtId="3" fontId="36" fillId="12" borderId="0" xfId="15" applyNumberFormat="1" applyFill="1" applyBorder="1" applyAlignment="1"/>
    <xf numFmtId="3" fontId="36" fillId="11" borderId="0" xfId="15" applyNumberFormat="1" applyFill="1" applyBorder="1"/>
    <xf numFmtId="3" fontId="36" fillId="12" borderId="0" xfId="15" applyNumberFormat="1" applyFill="1" applyBorder="1"/>
    <xf numFmtId="3" fontId="10" fillId="0" borderId="11" xfId="1" applyNumberFormat="1" applyFont="1" applyBorder="1" applyAlignment="1" applyProtection="1">
      <alignment horizontal="center" vertical="center"/>
      <protection locked="0"/>
    </xf>
    <xf numFmtId="3" fontId="3" fillId="8" borderId="11" xfId="16" applyNumberFormat="1" applyFont="1" applyFill="1" applyBorder="1" applyAlignment="1">
      <alignment horizontal="center" vertical="center"/>
    </xf>
    <xf numFmtId="0" fontId="36" fillId="0" borderId="0" xfId="16" applyFont="1"/>
    <xf numFmtId="0" fontId="21" fillId="0" borderId="30" xfId="43" applyFont="1" applyFill="1" applyBorder="1" applyAlignment="1">
      <alignment horizontal="center" vertical="center" wrapText="1"/>
    </xf>
    <xf numFmtId="49" fontId="21" fillId="0" borderId="31" xfId="16" applyNumberFormat="1" applyFont="1" applyBorder="1" applyAlignment="1">
      <alignment horizontal="right" vertical="center" wrapText="1"/>
    </xf>
    <xf numFmtId="49" fontId="20" fillId="0" borderId="31" xfId="16" applyNumberFormat="1" applyFont="1" applyBorder="1" applyAlignment="1">
      <alignment horizontal="right" vertical="center" wrapText="1"/>
    </xf>
    <xf numFmtId="0" fontId="55" fillId="0" borderId="0" xfId="43" applyFont="1" applyBorder="1"/>
    <xf numFmtId="0" fontId="55" fillId="0" borderId="0" xfId="43" applyFont="1" applyFill="1"/>
    <xf numFmtId="0" fontId="55" fillId="0" borderId="0" xfId="43" applyFont="1" applyFill="1" applyAlignment="1">
      <alignment horizontal="left" vertical="top"/>
    </xf>
    <xf numFmtId="0" fontId="21" fillId="0" borderId="11" xfId="43" applyFont="1" applyFill="1" applyBorder="1" applyAlignment="1">
      <alignment horizontal="center" vertical="center" wrapText="1"/>
    </xf>
    <xf numFmtId="0" fontId="21" fillId="0" borderId="14" xfId="43" applyFont="1" applyFill="1" applyBorder="1" applyAlignment="1">
      <alignment horizontal="center" vertical="center" wrapText="1"/>
    </xf>
    <xf numFmtId="0" fontId="20" fillId="0" borderId="0" xfId="43" applyFont="1" applyFill="1" applyAlignment="1">
      <alignment wrapText="1"/>
    </xf>
    <xf numFmtId="0" fontId="20" fillId="0" borderId="31" xfId="43" applyFont="1" applyFill="1" applyBorder="1" applyAlignment="1">
      <alignment horizontal="center" vertical="center" wrapText="1"/>
    </xf>
    <xf numFmtId="0" fontId="20" fillId="0" borderId="30" xfId="43" applyFont="1" applyFill="1" applyBorder="1" applyAlignment="1">
      <alignment horizontal="center" vertical="center" wrapText="1"/>
    </xf>
    <xf numFmtId="0" fontId="20" fillId="0" borderId="30" xfId="43" applyFont="1" applyFill="1" applyBorder="1" applyAlignment="1">
      <alignment horizontal="center"/>
    </xf>
    <xf numFmtId="0" fontId="20" fillId="0" borderId="0" xfId="43" applyFont="1" applyFill="1"/>
    <xf numFmtId="0" fontId="21" fillId="0" borderId="30" xfId="43" applyFont="1" applyFill="1" applyBorder="1" applyAlignment="1">
      <alignment horizontal="left" vertical="center" wrapText="1"/>
    </xf>
    <xf numFmtId="3" fontId="21" fillId="0" borderId="30" xfId="43" applyNumberFormat="1" applyFont="1" applyFill="1" applyBorder="1" applyAlignment="1">
      <alignment horizontal="right" vertical="center"/>
    </xf>
    <xf numFmtId="0" fontId="21" fillId="0" borderId="0" xfId="43" applyFont="1" applyFill="1"/>
    <xf numFmtId="0" fontId="20" fillId="0" borderId="30" xfId="43" applyFont="1" applyFill="1" applyBorder="1" applyAlignment="1">
      <alignment horizontal="left" vertical="center" wrapText="1"/>
    </xf>
    <xf numFmtId="3" fontId="20" fillId="0" borderId="30" xfId="43" applyNumberFormat="1" applyFont="1" applyFill="1" applyBorder="1" applyAlignment="1">
      <alignment horizontal="right" vertical="center"/>
    </xf>
    <xf numFmtId="0" fontId="3" fillId="0" borderId="0" xfId="43" applyFont="1" applyFill="1" applyAlignment="1">
      <alignment vertical="top"/>
    </xf>
    <xf numFmtId="0" fontId="55" fillId="0" borderId="0" xfId="43" applyFont="1" applyFill="1" applyAlignment="1">
      <alignment vertical="top"/>
    </xf>
    <xf numFmtId="0" fontId="3" fillId="0" borderId="0" xfId="43" applyFont="1" applyBorder="1" applyAlignment="1">
      <alignment vertical="top"/>
    </xf>
    <xf numFmtId="3" fontId="56" fillId="0" borderId="0" xfId="43" applyNumberFormat="1" applyFont="1" applyBorder="1" applyAlignment="1">
      <alignment vertical="top"/>
    </xf>
    <xf numFmtId="0" fontId="55" fillId="0" borderId="0" xfId="43" applyFont="1" applyBorder="1" applyAlignment="1">
      <alignment vertical="top"/>
    </xf>
    <xf numFmtId="3" fontId="55" fillId="0" borderId="0" xfId="43" applyNumberFormat="1" applyFont="1" applyBorder="1" applyAlignment="1">
      <alignment vertical="top"/>
    </xf>
    <xf numFmtId="3" fontId="55" fillId="0" borderId="0" xfId="43" applyNumberFormat="1" applyFont="1" applyFill="1" applyAlignment="1">
      <alignment vertical="top"/>
    </xf>
    <xf numFmtId="3" fontId="56" fillId="0" borderId="0" xfId="43" applyNumberFormat="1" applyFont="1" applyFill="1" applyAlignment="1">
      <alignment vertical="top"/>
    </xf>
    <xf numFmtId="49" fontId="20" fillId="8" borderId="31" xfId="16" applyNumberFormat="1" applyFont="1" applyFill="1" applyBorder="1" applyAlignment="1">
      <alignment horizontal="right" vertical="center" wrapText="1"/>
    </xf>
    <xf numFmtId="0" fontId="20" fillId="8" borderId="30" xfId="43" applyFont="1" applyFill="1" applyBorder="1" applyAlignment="1">
      <alignment horizontal="left" vertical="center" wrapText="1"/>
    </xf>
    <xf numFmtId="3" fontId="20" fillId="8" borderId="30" xfId="43" applyNumberFormat="1" applyFont="1" applyFill="1" applyBorder="1" applyAlignment="1">
      <alignment horizontal="right" vertical="center"/>
    </xf>
    <xf numFmtId="0" fontId="20" fillId="8" borderId="0" xfId="43" applyFont="1" applyFill="1"/>
    <xf numFmtId="3" fontId="3" fillId="0" borderId="0" xfId="16" applyNumberFormat="1" applyFont="1" applyFill="1" applyAlignment="1"/>
    <xf numFmtId="2" fontId="6" fillId="0" borderId="0" xfId="44" applyNumberFormat="1" applyFont="1" applyFill="1" applyAlignment="1">
      <alignment vertical="center" wrapText="1"/>
    </xf>
    <xf numFmtId="168" fontId="4" fillId="0" borderId="0" xfId="44" applyNumberFormat="1" applyFont="1" applyFill="1" applyAlignment="1"/>
    <xf numFmtId="2" fontId="4" fillId="0" borderId="0" xfId="44" applyNumberFormat="1" applyFont="1" applyFill="1" applyAlignment="1"/>
    <xf numFmtId="2" fontId="3" fillId="0" borderId="0" xfId="16" applyNumberFormat="1" applyFont="1"/>
    <xf numFmtId="2" fontId="3" fillId="0" borderId="0" xfId="16" applyNumberFormat="1" applyFont="1" applyFill="1"/>
    <xf numFmtId="2" fontId="3" fillId="0" borderId="0" xfId="16" applyNumberFormat="1" applyFont="1" applyBorder="1"/>
    <xf numFmtId="3" fontId="3" fillId="0" borderId="0" xfId="16" applyNumberFormat="1" applyFont="1" applyFill="1"/>
    <xf numFmtId="2" fontId="4" fillId="0" borderId="0" xfId="44" applyNumberFormat="1" applyFont="1" applyFill="1" applyAlignment="1">
      <alignment horizontal="center"/>
    </xf>
    <xf numFmtId="2" fontId="4" fillId="0" borderId="0" xfId="44" applyNumberFormat="1" applyFont="1" applyFill="1" applyAlignment="1">
      <alignment horizontal="center" wrapText="1"/>
    </xf>
    <xf numFmtId="3" fontId="4" fillId="0" borderId="0" xfId="44" applyNumberFormat="1" applyFont="1" applyFill="1" applyAlignment="1">
      <alignment horizontal="center" wrapText="1"/>
    </xf>
    <xf numFmtId="2" fontId="58" fillId="0" borderId="0" xfId="44" applyNumberFormat="1" applyFont="1" applyFill="1" applyAlignment="1">
      <alignment horizontal="center" wrapText="1"/>
    </xf>
    <xf numFmtId="9" fontId="2" fillId="0" borderId="11" xfId="44" applyNumberFormat="1" applyFont="1" applyFill="1" applyBorder="1" applyAlignment="1">
      <alignment horizontal="center" wrapText="1"/>
    </xf>
    <xf numFmtId="3" fontId="58" fillId="0" borderId="0" xfId="44" applyNumberFormat="1" applyFont="1" applyFill="1" applyAlignment="1">
      <alignment horizontal="center" wrapText="1"/>
    </xf>
    <xf numFmtId="2" fontId="2" fillId="0" borderId="11" xfId="44" applyNumberFormat="1" applyFont="1" applyFill="1" applyBorder="1" applyAlignment="1">
      <alignment horizontal="center" vertical="center" wrapText="1"/>
    </xf>
    <xf numFmtId="3" fontId="47" fillId="0" borderId="11" xfId="44" applyNumberFormat="1" applyFont="1" applyFill="1" applyBorder="1" applyAlignment="1">
      <alignment horizontal="center"/>
    </xf>
    <xf numFmtId="2" fontId="47" fillId="0" borderId="11" xfId="44" applyNumberFormat="1" applyFont="1" applyFill="1" applyBorder="1" applyAlignment="1">
      <alignment horizontal="center" wrapText="1"/>
    </xf>
    <xf numFmtId="2" fontId="47" fillId="0" borderId="11" xfId="44" applyNumberFormat="1" applyFont="1" applyFill="1" applyBorder="1" applyAlignment="1">
      <alignment horizontal="left" wrapText="1"/>
    </xf>
    <xf numFmtId="1" fontId="47" fillId="0" borderId="11" xfId="44" applyNumberFormat="1" applyFont="1" applyFill="1" applyBorder="1" applyAlignment="1">
      <alignment horizontal="center" wrapText="1"/>
    </xf>
    <xf numFmtId="1" fontId="60" fillId="0" borderId="11" xfId="44" applyNumberFormat="1" applyFont="1" applyFill="1" applyBorder="1" applyAlignment="1">
      <alignment horizontal="center" wrapText="1"/>
    </xf>
    <xf numFmtId="2" fontId="47" fillId="0" borderId="11" xfId="16" applyNumberFormat="1" applyFont="1" applyFill="1" applyBorder="1"/>
    <xf numFmtId="2" fontId="47" fillId="0" borderId="0" xfId="16" applyNumberFormat="1" applyFont="1" applyBorder="1"/>
    <xf numFmtId="2" fontId="47" fillId="0" borderId="0" xfId="16" applyNumberFormat="1" applyFont="1"/>
    <xf numFmtId="2" fontId="2" fillId="0" borderId="11" xfId="44" applyNumberFormat="1" applyFont="1" applyFill="1" applyBorder="1" applyAlignment="1">
      <alignment horizontal="left" vertical="center" wrapText="1"/>
    </xf>
    <xf numFmtId="3" fontId="25" fillId="0" borderId="11" xfId="44" applyNumberFormat="1" applyFont="1" applyFill="1" applyBorder="1" applyAlignment="1">
      <alignment horizontal="center" vertical="center" wrapText="1"/>
    </xf>
    <xf numFmtId="3" fontId="61" fillId="0" borderId="11" xfId="44" applyNumberFormat="1" applyFont="1" applyFill="1" applyBorder="1" applyAlignment="1">
      <alignment horizontal="center" vertical="center" wrapText="1"/>
    </xf>
    <xf numFmtId="4" fontId="25" fillId="0" borderId="11" xfId="44" applyNumberFormat="1" applyFont="1" applyFill="1" applyBorder="1" applyAlignment="1">
      <alignment horizontal="center" vertical="center" wrapText="1"/>
    </xf>
    <xf numFmtId="9" fontId="25" fillId="0" borderId="11" xfId="44" applyNumberFormat="1" applyFont="1" applyFill="1" applyBorder="1" applyAlignment="1">
      <alignment horizontal="center" vertical="center" wrapText="1"/>
    </xf>
    <xf numFmtId="9" fontId="25" fillId="0" borderId="11" xfId="16" applyNumberFormat="1" applyFont="1" applyFill="1" applyBorder="1" applyAlignment="1">
      <alignment horizontal="right" vertical="center"/>
    </xf>
    <xf numFmtId="9" fontId="2" fillId="0" borderId="11" xfId="16" applyNumberFormat="1" applyFont="1" applyFill="1" applyBorder="1" applyAlignment="1">
      <alignment horizontal="right" vertical="center"/>
    </xf>
    <xf numFmtId="2" fontId="2" fillId="0" borderId="0" xfId="16" applyNumberFormat="1" applyFont="1" applyBorder="1" applyAlignment="1">
      <alignment horizontal="right" vertical="center"/>
    </xf>
    <xf numFmtId="2" fontId="2" fillId="0" borderId="0" xfId="16" applyNumberFormat="1" applyFont="1" applyAlignment="1">
      <alignment horizontal="right" vertical="center"/>
    </xf>
    <xf numFmtId="3" fontId="3" fillId="0" borderId="11" xfId="44" applyNumberFormat="1" applyFont="1" applyFill="1" applyBorder="1" applyAlignment="1">
      <alignment horizontal="center" vertical="center"/>
    </xf>
    <xf numFmtId="9" fontId="25" fillId="0" borderId="11" xfId="44" applyNumberFormat="1" applyFont="1" applyFill="1" applyBorder="1" applyAlignment="1">
      <alignment horizontal="right" vertical="center" wrapText="1"/>
    </xf>
    <xf numFmtId="9" fontId="2" fillId="0" borderId="11" xfId="44" applyNumberFormat="1" applyFont="1" applyFill="1" applyBorder="1" applyAlignment="1">
      <alignment horizontal="right" vertical="center" wrapText="1"/>
    </xf>
    <xf numFmtId="2" fontId="2" fillId="0" borderId="11" xfId="44" applyNumberFormat="1" applyFont="1" applyFill="1" applyBorder="1" applyAlignment="1">
      <alignment horizontal="left" vertical="center"/>
    </xf>
    <xf numFmtId="2" fontId="2" fillId="0" borderId="0" xfId="16" applyNumberFormat="1" applyFont="1" applyFill="1" applyBorder="1" applyAlignment="1">
      <alignment horizontal="right" vertical="center"/>
    </xf>
    <xf numFmtId="2" fontId="2" fillId="0" borderId="0" xfId="16" applyNumberFormat="1" applyFont="1" applyFill="1" applyAlignment="1">
      <alignment horizontal="right" vertical="center"/>
    </xf>
    <xf numFmtId="2" fontId="3" fillId="0" borderId="11" xfId="44" applyNumberFormat="1" applyFont="1" applyFill="1" applyBorder="1" applyAlignment="1">
      <alignment horizontal="left" vertical="center" wrapText="1"/>
    </xf>
    <xf numFmtId="3" fontId="26" fillId="0" borderId="11" xfId="45" applyNumberFormat="1" applyFont="1" applyFill="1" applyBorder="1" applyAlignment="1">
      <alignment horizontal="center" vertical="center"/>
    </xf>
    <xf numFmtId="3" fontId="62" fillId="0" borderId="11" xfId="45" applyNumberFormat="1" applyFont="1" applyFill="1" applyBorder="1" applyAlignment="1">
      <alignment horizontal="center" vertical="center"/>
    </xf>
    <xf numFmtId="4" fontId="26" fillId="0" borderId="11" xfId="45" applyNumberFormat="1" applyFont="1" applyFill="1" applyBorder="1" applyAlignment="1">
      <alignment horizontal="center" vertical="center"/>
    </xf>
    <xf numFmtId="2" fontId="3" fillId="0" borderId="0" xfId="16" applyNumberFormat="1" applyFont="1" applyFill="1" applyBorder="1" applyAlignment="1">
      <alignment vertical="center"/>
    </xf>
    <xf numFmtId="2" fontId="3" fillId="0" borderId="0" xfId="16" applyNumberFormat="1" applyFont="1" applyFill="1" applyAlignment="1">
      <alignment vertical="center"/>
    </xf>
    <xf numFmtId="3" fontId="26" fillId="0" borderId="11" xfId="44" applyNumberFormat="1" applyFont="1" applyFill="1" applyBorder="1" applyAlignment="1">
      <alignment horizontal="center" vertical="center"/>
    </xf>
    <xf numFmtId="3" fontId="62" fillId="0" borderId="11" xfId="44" applyNumberFormat="1" applyFont="1" applyFill="1" applyBorder="1" applyAlignment="1">
      <alignment horizontal="center" vertical="center"/>
    </xf>
    <xf numFmtId="4" fontId="26" fillId="0" borderId="11" xfId="44" applyNumberFormat="1" applyFont="1" applyFill="1" applyBorder="1" applyAlignment="1">
      <alignment horizontal="center" vertical="center"/>
    </xf>
    <xf numFmtId="2" fontId="2" fillId="17" borderId="0" xfId="16" applyNumberFormat="1" applyFont="1" applyFill="1" applyBorder="1" applyAlignment="1">
      <alignment horizontal="center" vertical="center" wrapText="1"/>
    </xf>
    <xf numFmtId="2" fontId="2" fillId="17" borderId="0" xfId="16" applyNumberFormat="1" applyFont="1" applyFill="1" applyAlignment="1">
      <alignment horizontal="center" vertical="center" wrapText="1"/>
    </xf>
    <xf numFmtId="169" fontId="25" fillId="0" borderId="11" xfId="44" applyNumberFormat="1" applyFont="1" applyFill="1" applyBorder="1" applyAlignment="1">
      <alignment horizontal="center" vertical="center" wrapText="1"/>
    </xf>
    <xf numFmtId="2" fontId="3" fillId="17" borderId="0" xfId="16" applyNumberFormat="1" applyFont="1" applyFill="1" applyBorder="1" applyAlignment="1">
      <alignment horizontal="center" vertical="center" wrapText="1"/>
    </xf>
    <xf numFmtId="2" fontId="3" fillId="17" borderId="0" xfId="16" applyNumberFormat="1" applyFont="1" applyFill="1" applyAlignment="1">
      <alignment horizontal="center" vertical="center" wrapText="1"/>
    </xf>
    <xf numFmtId="3" fontId="26" fillId="0" borderId="11" xfId="44" applyNumberFormat="1" applyFont="1" applyFill="1" applyBorder="1" applyAlignment="1">
      <alignment horizontal="center" vertical="center" wrapText="1"/>
    </xf>
    <xf numFmtId="3" fontId="62" fillId="0" borderId="11" xfId="44" applyNumberFormat="1" applyFont="1" applyFill="1" applyBorder="1" applyAlignment="1">
      <alignment horizontal="center" vertical="center" wrapText="1"/>
    </xf>
    <xf numFmtId="4" fontId="26" fillId="0" borderId="11" xfId="44" applyNumberFormat="1" applyFont="1" applyFill="1" applyBorder="1" applyAlignment="1">
      <alignment horizontal="center" vertical="center" wrapText="1"/>
    </xf>
    <xf numFmtId="169" fontId="26" fillId="0" borderId="11" xfId="44" applyNumberFormat="1" applyFont="1" applyFill="1" applyBorder="1" applyAlignment="1">
      <alignment horizontal="center" vertical="center" wrapText="1"/>
    </xf>
    <xf numFmtId="9" fontId="26" fillId="0" borderId="11" xfId="44" applyNumberFormat="1" applyFont="1" applyFill="1" applyBorder="1" applyAlignment="1">
      <alignment horizontal="right" vertical="center" wrapText="1"/>
    </xf>
    <xf numFmtId="9" fontId="3" fillId="0" borderId="11" xfId="44" applyNumberFormat="1" applyFont="1" applyFill="1" applyBorder="1" applyAlignment="1">
      <alignment horizontal="right" vertical="center" wrapText="1"/>
    </xf>
    <xf numFmtId="3" fontId="25" fillId="0" borderId="11" xfId="44" applyNumberFormat="1" applyFont="1" applyFill="1" applyBorder="1" applyAlignment="1">
      <alignment horizontal="center" vertical="center"/>
    </xf>
    <xf numFmtId="3" fontId="61" fillId="0" borderId="11" xfId="44" applyNumberFormat="1" applyFont="1" applyFill="1" applyBorder="1" applyAlignment="1">
      <alignment horizontal="center" vertical="center"/>
    </xf>
    <xf numFmtId="3" fontId="25" fillId="0" borderId="11" xfId="16" applyNumberFormat="1" applyFont="1" applyFill="1" applyBorder="1" applyAlignment="1">
      <alignment horizontal="center" vertical="center"/>
    </xf>
    <xf numFmtId="4" fontId="25" fillId="0" borderId="11" xfId="16" applyNumberFormat="1" applyFont="1" applyFill="1" applyBorder="1" applyAlignment="1">
      <alignment horizontal="center" vertical="center"/>
    </xf>
    <xf numFmtId="2" fontId="2" fillId="0" borderId="0" xfId="16" applyNumberFormat="1" applyFont="1" applyFill="1" applyBorder="1" applyAlignment="1">
      <alignment vertical="center"/>
    </xf>
    <xf numFmtId="2" fontId="2" fillId="0" borderId="0" xfId="16" applyNumberFormat="1" applyFont="1" applyFill="1" applyAlignment="1">
      <alignment vertical="center"/>
    </xf>
    <xf numFmtId="2" fontId="2" fillId="0" borderId="11" xfId="16" applyNumberFormat="1" applyFont="1" applyFill="1" applyBorder="1" applyAlignment="1">
      <alignment horizontal="left" vertical="center" wrapText="1"/>
    </xf>
    <xf numFmtId="2" fontId="2" fillId="0" borderId="11" xfId="16" applyNumberFormat="1" applyFont="1" applyFill="1" applyBorder="1" applyAlignment="1">
      <alignment horizontal="left" vertical="center"/>
    </xf>
    <xf numFmtId="170" fontId="25" fillId="0" borderId="11" xfId="16" applyNumberFormat="1" applyFont="1" applyFill="1" applyBorder="1" applyAlignment="1">
      <alignment horizontal="center" vertical="center"/>
    </xf>
    <xf numFmtId="2" fontId="2" fillId="0" borderId="0" xfId="16" applyNumberFormat="1" applyFont="1" applyBorder="1" applyAlignment="1">
      <alignment vertical="center"/>
    </xf>
    <xf numFmtId="2" fontId="2" fillId="0" borderId="0" xfId="16" applyNumberFormat="1" applyFont="1" applyAlignment="1">
      <alignment vertical="center"/>
    </xf>
    <xf numFmtId="4" fontId="26" fillId="0" borderId="11" xfId="13" applyNumberFormat="1" applyFont="1" applyFill="1" applyBorder="1" applyAlignment="1">
      <alignment horizontal="center" vertical="center"/>
    </xf>
    <xf numFmtId="170" fontId="25" fillId="0" borderId="11" xfId="41" applyNumberFormat="1" applyFont="1" applyFill="1" applyBorder="1" applyAlignment="1">
      <alignment horizontal="center" vertical="center"/>
    </xf>
    <xf numFmtId="2" fontId="3" fillId="0" borderId="0" xfId="16" applyNumberFormat="1" applyFont="1" applyBorder="1" applyAlignment="1">
      <alignment vertical="center"/>
    </xf>
    <xf numFmtId="2" fontId="3" fillId="0" borderId="0" xfId="16" applyNumberFormat="1" applyFont="1" applyAlignment="1">
      <alignment vertical="center"/>
    </xf>
    <xf numFmtId="2" fontId="2" fillId="0" borderId="11" xfId="13" applyNumberFormat="1" applyFont="1" applyFill="1" applyBorder="1" applyAlignment="1">
      <alignment horizontal="left" vertical="center" wrapText="1"/>
    </xf>
    <xf numFmtId="3" fontId="25" fillId="0" borderId="11" xfId="13" applyNumberFormat="1" applyFont="1" applyFill="1" applyBorder="1" applyAlignment="1">
      <alignment horizontal="center" vertical="center"/>
    </xf>
    <xf numFmtId="4" fontId="25" fillId="0" borderId="11" xfId="13" applyNumberFormat="1" applyFont="1" applyFill="1" applyBorder="1" applyAlignment="1">
      <alignment horizontal="center" vertical="center"/>
    </xf>
    <xf numFmtId="2" fontId="2" fillId="0" borderId="0" xfId="13" applyNumberFormat="1" applyFont="1" applyBorder="1" applyAlignment="1">
      <alignment vertical="center"/>
    </xf>
    <xf numFmtId="2" fontId="2" fillId="0" borderId="0" xfId="13" applyNumberFormat="1" applyFont="1" applyAlignment="1">
      <alignment vertical="center"/>
    </xf>
    <xf numFmtId="2" fontId="3" fillId="0" borderId="11" xfId="13" applyNumberFormat="1" applyFont="1" applyFill="1" applyBorder="1" applyAlignment="1">
      <alignment horizontal="left" vertical="center" wrapText="1"/>
    </xf>
    <xf numFmtId="3" fontId="26" fillId="0" borderId="11" xfId="13" applyNumberFormat="1" applyFont="1" applyFill="1" applyBorder="1" applyAlignment="1">
      <alignment horizontal="center" vertical="center"/>
    </xf>
    <xf numFmtId="170" fontId="26" fillId="0" borderId="11" xfId="13" applyNumberFormat="1" applyFont="1" applyFill="1" applyBorder="1" applyAlignment="1">
      <alignment horizontal="center" vertical="center"/>
    </xf>
    <xf numFmtId="2" fontId="3" fillId="0" borderId="0" xfId="13" applyNumberFormat="1" applyFont="1" applyBorder="1" applyAlignment="1">
      <alignment vertical="center"/>
    </xf>
    <xf numFmtId="2" fontId="3" fillId="0" borderId="0" xfId="13" applyNumberFormat="1" applyFont="1" applyAlignment="1">
      <alignment vertical="center"/>
    </xf>
    <xf numFmtId="3" fontId="62" fillId="0" borderId="11" xfId="13" applyNumberFormat="1" applyFont="1" applyFill="1" applyBorder="1" applyAlignment="1">
      <alignment horizontal="center" vertical="center"/>
    </xf>
    <xf numFmtId="3" fontId="61" fillId="0" borderId="11" xfId="16" applyNumberFormat="1" applyFont="1" applyFill="1" applyBorder="1" applyAlignment="1">
      <alignment horizontal="center" vertical="center"/>
    </xf>
    <xf numFmtId="3" fontId="26" fillId="0" borderId="11" xfId="16" applyNumberFormat="1" applyFont="1" applyFill="1" applyBorder="1" applyAlignment="1">
      <alignment horizontal="center" vertical="center"/>
    </xf>
    <xf numFmtId="3" fontId="62" fillId="0" borderId="11" xfId="16" applyNumberFormat="1" applyFont="1" applyFill="1" applyBorder="1" applyAlignment="1">
      <alignment horizontal="center" vertical="center"/>
    </xf>
    <xf numFmtId="4" fontId="26" fillId="0" borderId="11" xfId="16" applyNumberFormat="1" applyFont="1" applyFill="1" applyBorder="1" applyAlignment="1">
      <alignment horizontal="center" vertical="center"/>
    </xf>
    <xf numFmtId="2" fontId="2" fillId="0" borderId="11" xfId="46" applyNumberFormat="1" applyFont="1" applyFill="1" applyBorder="1" applyAlignment="1">
      <alignment horizontal="left" vertical="center"/>
    </xf>
    <xf numFmtId="3" fontId="25" fillId="0" borderId="11" xfId="47" applyNumberFormat="1" applyFont="1" applyFill="1" applyBorder="1" applyAlignment="1">
      <alignment horizontal="center" vertical="center"/>
    </xf>
    <xf numFmtId="3" fontId="61" fillId="0" borderId="11" xfId="47" applyNumberFormat="1" applyFont="1" applyFill="1" applyBorder="1" applyAlignment="1">
      <alignment horizontal="center" vertical="center"/>
    </xf>
    <xf numFmtId="4" fontId="25" fillId="0" borderId="11" xfId="47" applyNumberFormat="1" applyFont="1" applyFill="1" applyBorder="1" applyAlignment="1">
      <alignment horizontal="center" vertical="center"/>
    </xf>
    <xf numFmtId="2" fontId="2" fillId="0" borderId="0" xfId="47" applyNumberFormat="1" applyFont="1" applyFill="1" applyBorder="1" applyAlignment="1">
      <alignment vertical="center"/>
    </xf>
    <xf numFmtId="2" fontId="2" fillId="0" borderId="11" xfId="47" applyNumberFormat="1" applyFont="1" applyFill="1" applyBorder="1" applyAlignment="1">
      <alignment vertical="center"/>
    </xf>
    <xf numFmtId="2" fontId="3" fillId="0" borderId="11" xfId="46" applyNumberFormat="1" applyFont="1" applyFill="1" applyBorder="1" applyAlignment="1">
      <alignment horizontal="left" vertical="center" wrapText="1"/>
    </xf>
    <xf numFmtId="2" fontId="3" fillId="0" borderId="0" xfId="47" applyNumberFormat="1" applyFont="1" applyFill="1" applyBorder="1" applyAlignment="1">
      <alignment vertical="center"/>
    </xf>
    <xf numFmtId="2" fontId="3" fillId="0" borderId="11" xfId="47" applyNumberFormat="1" applyFont="1" applyFill="1" applyBorder="1" applyAlignment="1">
      <alignment vertical="center"/>
    </xf>
    <xf numFmtId="3" fontId="25" fillId="0" borderId="11" xfId="47" applyNumberFormat="1" applyFont="1" applyFill="1" applyBorder="1" applyAlignment="1">
      <alignment horizontal="center" vertical="center" wrapText="1"/>
    </xf>
    <xf numFmtId="3" fontId="61" fillId="0" borderId="11" xfId="47" applyNumberFormat="1" applyFont="1" applyFill="1" applyBorder="1" applyAlignment="1">
      <alignment horizontal="center" vertical="center" wrapText="1"/>
    </xf>
    <xf numFmtId="2" fontId="2" fillId="0" borderId="11" xfId="48" applyNumberFormat="1" applyFont="1" applyFill="1" applyBorder="1" applyAlignment="1">
      <alignment horizontal="left" vertical="center"/>
    </xf>
    <xf numFmtId="3" fontId="26" fillId="0" borderId="11" xfId="46" applyNumberFormat="1" applyFont="1" applyFill="1" applyBorder="1" applyAlignment="1">
      <alignment horizontal="center" vertical="center"/>
    </xf>
    <xf numFmtId="2" fontId="2" fillId="17" borderId="0" xfId="16" applyNumberFormat="1" applyFont="1" applyFill="1" applyBorder="1" applyAlignment="1">
      <alignment vertical="center"/>
    </xf>
    <xf numFmtId="2" fontId="2" fillId="17" borderId="0" xfId="16" applyNumberFormat="1" applyFont="1" applyFill="1" applyAlignment="1">
      <alignment vertical="center"/>
    </xf>
    <xf numFmtId="2" fontId="3" fillId="17" borderId="0" xfId="16" applyNumberFormat="1" applyFont="1" applyFill="1" applyBorder="1" applyAlignment="1">
      <alignment vertical="center"/>
    </xf>
    <xf numFmtId="2" fontId="3" fillId="17" borderId="0" xfId="16" applyNumberFormat="1" applyFont="1" applyFill="1" applyAlignment="1">
      <alignment vertical="center"/>
    </xf>
    <xf numFmtId="3" fontId="25" fillId="0" borderId="11" xfId="46" applyNumberFormat="1" applyFont="1" applyFill="1" applyBorder="1" applyAlignment="1">
      <alignment horizontal="center" vertical="center"/>
    </xf>
    <xf numFmtId="3" fontId="61" fillId="0" borderId="11" xfId="46" applyNumberFormat="1" applyFont="1" applyFill="1" applyBorder="1" applyAlignment="1">
      <alignment horizontal="center" vertical="center"/>
    </xf>
    <xf numFmtId="4" fontId="25" fillId="0" borderId="11" xfId="46" applyNumberFormat="1" applyFont="1" applyFill="1" applyBorder="1" applyAlignment="1">
      <alignment horizontal="center" vertical="center"/>
    </xf>
    <xf numFmtId="3" fontId="62" fillId="0" borderId="11" xfId="46" applyNumberFormat="1" applyFont="1" applyFill="1" applyBorder="1" applyAlignment="1">
      <alignment horizontal="center" vertical="center"/>
    </xf>
    <xf numFmtId="3" fontId="26" fillId="0" borderId="11" xfId="46" applyNumberFormat="1" applyFont="1" applyFill="1" applyBorder="1" applyAlignment="1">
      <alignment horizontal="center" vertical="center" wrapText="1"/>
    </xf>
    <xf numFmtId="2" fontId="3" fillId="0" borderId="11" xfId="46" applyNumberFormat="1" applyFont="1" applyFill="1" applyBorder="1" applyAlignment="1">
      <alignment horizontal="left" vertical="center"/>
    </xf>
    <xf numFmtId="3" fontId="25" fillId="0" borderId="11" xfId="16" applyNumberFormat="1" applyFont="1" applyFill="1" applyBorder="1" applyAlignment="1">
      <alignment horizontal="center" vertical="center" wrapText="1"/>
    </xf>
    <xf numFmtId="3" fontId="61" fillId="0" borderId="11" xfId="16" applyNumberFormat="1" applyFont="1" applyFill="1" applyBorder="1" applyAlignment="1">
      <alignment horizontal="center" vertical="center" wrapText="1"/>
    </xf>
    <xf numFmtId="4" fontId="25" fillId="0" borderId="11" xfId="16" applyNumberFormat="1" applyFont="1" applyFill="1" applyBorder="1" applyAlignment="1">
      <alignment horizontal="center" vertical="center" wrapText="1"/>
    </xf>
    <xf numFmtId="170" fontId="25" fillId="0" borderId="11" xfId="16" applyNumberFormat="1" applyFont="1" applyFill="1" applyBorder="1" applyAlignment="1">
      <alignment horizontal="center" vertical="center" wrapText="1"/>
    </xf>
    <xf numFmtId="2" fontId="2" fillId="0" borderId="11" xfId="11" applyNumberFormat="1" applyFont="1" applyFill="1" applyBorder="1" applyAlignment="1">
      <alignment horizontal="left" vertical="center"/>
    </xf>
    <xf numFmtId="3" fontId="25" fillId="0" borderId="11" xfId="49" applyNumberFormat="1" applyFont="1" applyFill="1" applyBorder="1" applyAlignment="1">
      <alignment horizontal="center" vertical="center"/>
    </xf>
    <xf numFmtId="3" fontId="61" fillId="0" borderId="11" xfId="49" applyNumberFormat="1" applyFont="1" applyFill="1" applyBorder="1" applyAlignment="1">
      <alignment horizontal="center" vertical="center"/>
    </xf>
    <xf numFmtId="4" fontId="25" fillId="0" borderId="11" xfId="49" applyNumberFormat="1" applyFont="1" applyFill="1" applyBorder="1" applyAlignment="1">
      <alignment horizontal="center" vertical="center"/>
    </xf>
    <xf numFmtId="2" fontId="2" fillId="0" borderId="0" xfId="11" applyNumberFormat="1" applyFont="1" applyFill="1" applyBorder="1" applyAlignment="1">
      <alignment vertical="center"/>
    </xf>
    <xf numFmtId="2" fontId="2" fillId="0" borderId="0" xfId="11" applyNumberFormat="1" applyFont="1" applyFill="1" applyAlignment="1">
      <alignment vertical="center"/>
    </xf>
    <xf numFmtId="2" fontId="3" fillId="0" borderId="11" xfId="11" applyNumberFormat="1" applyFont="1" applyFill="1" applyBorder="1" applyAlignment="1">
      <alignment horizontal="left" vertical="center"/>
    </xf>
    <xf numFmtId="3" fontId="26" fillId="0" borderId="11" xfId="11" applyNumberFormat="1" applyFont="1" applyFill="1" applyBorder="1" applyAlignment="1">
      <alignment horizontal="center" vertical="center"/>
    </xf>
    <xf numFmtId="3" fontId="62" fillId="0" borderId="11" xfId="11" applyNumberFormat="1" applyFont="1" applyFill="1" applyBorder="1" applyAlignment="1">
      <alignment horizontal="center" vertical="center"/>
    </xf>
    <xf numFmtId="4" fontId="26" fillId="0" borderId="11" xfId="11" applyNumberFormat="1" applyFont="1" applyFill="1" applyBorder="1" applyAlignment="1">
      <alignment horizontal="center" vertical="center"/>
    </xf>
    <xf numFmtId="2" fontId="3" fillId="0" borderId="0" xfId="11" applyNumberFormat="1" applyFont="1" applyBorder="1" applyAlignment="1">
      <alignment vertical="center"/>
    </xf>
    <xf numFmtId="2" fontId="3" fillId="0" borderId="0" xfId="11" applyNumberFormat="1" applyFont="1" applyAlignment="1">
      <alignment vertical="center"/>
    </xf>
    <xf numFmtId="2" fontId="2" fillId="0" borderId="11" xfId="51" applyNumberFormat="1" applyFont="1" applyFill="1" applyBorder="1" applyAlignment="1">
      <alignment horizontal="left" vertical="center" wrapText="1"/>
    </xf>
    <xf numFmtId="3" fontId="25" fillId="0" borderId="11" xfId="50" applyNumberFormat="1" applyFont="1" applyFill="1" applyBorder="1" applyAlignment="1">
      <alignment horizontal="center" vertical="center" wrapText="1"/>
    </xf>
    <xf numFmtId="3" fontId="61" fillId="0" borderId="11" xfId="50" applyNumberFormat="1" applyFont="1" applyFill="1" applyBorder="1" applyAlignment="1">
      <alignment horizontal="center" vertical="center" wrapText="1"/>
    </xf>
    <xf numFmtId="4" fontId="25" fillId="0" borderId="11" xfId="50" applyNumberFormat="1" applyFont="1" applyFill="1" applyBorder="1" applyAlignment="1">
      <alignment horizontal="center" vertical="center" wrapText="1"/>
    </xf>
    <xf numFmtId="2" fontId="2" fillId="0" borderId="0" xfId="51" applyNumberFormat="1" applyFont="1" applyFill="1" applyBorder="1" applyAlignment="1">
      <alignment vertical="center"/>
    </xf>
    <xf numFmtId="2" fontId="2" fillId="0" borderId="0" xfId="51" applyNumberFormat="1" applyFont="1" applyFill="1" applyAlignment="1">
      <alignment vertical="center"/>
    </xf>
    <xf numFmtId="3" fontId="25" fillId="0" borderId="11" xfId="12" applyNumberFormat="1" applyFont="1" applyFill="1" applyBorder="1" applyAlignment="1">
      <alignment horizontal="center" vertical="center"/>
    </xf>
    <xf numFmtId="3" fontId="61" fillId="0" borderId="11" xfId="12" applyNumberFormat="1" applyFont="1" applyFill="1" applyBorder="1" applyAlignment="1">
      <alignment horizontal="center" vertical="center"/>
    </xf>
    <xf numFmtId="4" fontId="25" fillId="0" borderId="11" xfId="12" applyNumberFormat="1" applyFont="1" applyFill="1" applyBorder="1" applyAlignment="1">
      <alignment horizontal="center" vertical="center"/>
    </xf>
    <xf numFmtId="2" fontId="2" fillId="0" borderId="0" xfId="52" applyNumberFormat="1" applyFont="1" applyFill="1" applyBorder="1" applyAlignment="1">
      <alignment vertical="center"/>
    </xf>
    <xf numFmtId="2" fontId="2" fillId="0" borderId="0" xfId="52" applyNumberFormat="1" applyFont="1" applyFill="1" applyAlignment="1">
      <alignment vertical="center"/>
    </xf>
    <xf numFmtId="3" fontId="26" fillId="0" borderId="11" xfId="12" applyNumberFormat="1" applyFont="1" applyFill="1" applyBorder="1" applyAlignment="1">
      <alignment horizontal="center" vertical="center"/>
    </xf>
    <xf numFmtId="3" fontId="62" fillId="0" borderId="11" xfId="12" applyNumberFormat="1" applyFont="1" applyFill="1" applyBorder="1" applyAlignment="1">
      <alignment horizontal="center" vertical="center"/>
    </xf>
    <xf numFmtId="4" fontId="26" fillId="0" borderId="11" xfId="12" applyNumberFormat="1" applyFont="1" applyFill="1" applyBorder="1" applyAlignment="1">
      <alignment horizontal="center" vertical="center"/>
    </xf>
    <xf numFmtId="2" fontId="3" fillId="0" borderId="0" xfId="52" applyNumberFormat="1" applyFont="1" applyFill="1" applyBorder="1" applyAlignment="1">
      <alignment vertical="center"/>
    </xf>
    <xf numFmtId="2" fontId="3" fillId="0" borderId="0" xfId="52" applyNumberFormat="1" applyFont="1" applyFill="1" applyAlignment="1">
      <alignment vertical="center"/>
    </xf>
    <xf numFmtId="2" fontId="3" fillId="0" borderId="11" xfId="12" applyNumberFormat="1" applyFont="1" applyFill="1" applyBorder="1" applyAlignment="1">
      <alignment horizontal="left" vertical="center" wrapText="1"/>
    </xf>
    <xf numFmtId="3" fontId="26" fillId="0" borderId="11" xfId="12" applyNumberFormat="1" applyFont="1" applyFill="1" applyBorder="1" applyAlignment="1">
      <alignment horizontal="center" vertical="center" wrapText="1"/>
    </xf>
    <xf numFmtId="3" fontId="62" fillId="0" borderId="11" xfId="12" applyNumberFormat="1" applyFont="1" applyFill="1" applyBorder="1" applyAlignment="1">
      <alignment horizontal="center" vertical="center" wrapText="1"/>
    </xf>
    <xf numFmtId="4" fontId="26" fillId="0" borderId="11" xfId="12" applyNumberFormat="1" applyFont="1" applyFill="1" applyBorder="1" applyAlignment="1">
      <alignment horizontal="center" vertical="center" wrapText="1"/>
    </xf>
    <xf numFmtId="4" fontId="26" fillId="0" borderId="11" xfId="46" applyNumberFormat="1" applyFont="1" applyFill="1" applyBorder="1" applyAlignment="1">
      <alignment horizontal="center" vertical="center"/>
    </xf>
    <xf numFmtId="2" fontId="47" fillId="0" borderId="11" xfId="46" applyNumberFormat="1" applyFont="1" applyFill="1" applyBorder="1" applyAlignment="1">
      <alignment horizontal="left" vertical="center" wrapText="1"/>
    </xf>
    <xf numFmtId="3" fontId="2" fillId="0" borderId="0" xfId="12" applyNumberFormat="1" applyFont="1" applyFill="1" applyBorder="1" applyAlignment="1">
      <alignment horizontal="center" vertical="center" wrapText="1"/>
    </xf>
    <xf numFmtId="2" fontId="2" fillId="0" borderId="0" xfId="12" applyNumberFormat="1" applyFont="1" applyFill="1" applyBorder="1" applyAlignment="1">
      <alignment horizontal="center" vertical="center" wrapText="1"/>
    </xf>
    <xf numFmtId="2" fontId="3" fillId="0" borderId="0" xfId="12" applyNumberFormat="1" applyFont="1" applyFill="1" applyBorder="1" applyAlignment="1">
      <alignment horizontal="left" wrapText="1"/>
    </xf>
    <xf numFmtId="2" fontId="3" fillId="0" borderId="0" xfId="12" applyNumberFormat="1" applyFont="1" applyFill="1" applyBorder="1" applyAlignment="1">
      <alignment horizontal="right" wrapText="1"/>
    </xf>
    <xf numFmtId="2" fontId="30" fillId="0" borderId="0" xfId="12" applyNumberFormat="1" applyFont="1" applyFill="1" applyBorder="1" applyAlignment="1">
      <alignment horizontal="right" wrapText="1"/>
    </xf>
    <xf numFmtId="2" fontId="2" fillId="0" borderId="0" xfId="44" applyNumberFormat="1" applyFont="1" applyBorder="1" applyAlignment="1">
      <alignment horizontal="right" wrapText="1"/>
    </xf>
    <xf numFmtId="2" fontId="3" fillId="0" borderId="25" xfId="12" applyNumberFormat="1" applyFont="1" applyFill="1" applyBorder="1" applyAlignment="1">
      <alignment horizontal="right" wrapText="1"/>
    </xf>
    <xf numFmtId="2" fontId="3" fillId="0" borderId="0" xfId="46" applyNumberFormat="1" applyFont="1" applyFill="1" applyBorder="1" applyAlignment="1">
      <alignment horizontal="right"/>
    </xf>
    <xf numFmtId="2" fontId="2" fillId="0" borderId="0" xfId="16" applyNumberFormat="1" applyFont="1" applyBorder="1" applyAlignment="1">
      <alignment horizontal="right"/>
    </xf>
    <xf numFmtId="2" fontId="2" fillId="0" borderId="0" xfId="52" applyNumberFormat="1" applyFont="1" applyFill="1" applyBorder="1"/>
    <xf numFmtId="2" fontId="2" fillId="0" borderId="0" xfId="52" applyNumberFormat="1" applyFont="1" applyFill="1"/>
    <xf numFmtId="3" fontId="3" fillId="0" borderId="0" xfId="16" applyNumberFormat="1" applyFont="1" applyBorder="1"/>
    <xf numFmtId="2" fontId="3" fillId="0" borderId="0" xfId="16" applyNumberFormat="1" applyFont="1" applyFill="1" applyBorder="1" applyAlignment="1"/>
    <xf numFmtId="2" fontId="30" fillId="0" borderId="0" xfId="16" applyNumberFormat="1" applyFont="1" applyFill="1" applyBorder="1" applyAlignment="1"/>
    <xf numFmtId="2" fontId="3" fillId="0" borderId="25" xfId="12" applyNumberFormat="1" applyFont="1" applyFill="1" applyBorder="1" applyAlignment="1">
      <alignment horizontal="right"/>
    </xf>
    <xf numFmtId="3" fontId="3" fillId="0" borderId="0" xfId="16" applyNumberFormat="1" applyFont="1"/>
    <xf numFmtId="2" fontId="3" fillId="0" borderId="0" xfId="16" applyNumberFormat="1" applyFont="1" applyFill="1" applyAlignment="1">
      <alignment horizontal="center"/>
    </xf>
    <xf numFmtId="2" fontId="3" fillId="0" borderId="0" xfId="16" applyNumberFormat="1" applyFont="1" applyAlignment="1">
      <alignment horizontal="left"/>
    </xf>
    <xf numFmtId="2" fontId="30" fillId="0" borderId="0" xfId="16" applyNumberFormat="1" applyFont="1"/>
    <xf numFmtId="2" fontId="3" fillId="4" borderId="0" xfId="16" applyNumberFormat="1" applyFont="1" applyFill="1"/>
    <xf numFmtId="0" fontId="0" fillId="0" borderId="0" xfId="0" applyBorder="1" applyAlignment="1">
      <alignment horizontal="center"/>
    </xf>
    <xf numFmtId="0" fontId="63" fillId="0" borderId="0" xfId="1" applyFont="1" applyFill="1" applyBorder="1" applyAlignment="1">
      <alignment horizontal="left" vertical="top" wrapText="1"/>
    </xf>
    <xf numFmtId="0" fontId="64" fillId="0" borderId="0" xfId="1" applyFont="1" applyFill="1" applyBorder="1" applyAlignment="1">
      <alignment horizontal="left" vertical="top" wrapText="1"/>
    </xf>
    <xf numFmtId="0" fontId="10" fillId="0" borderId="11" xfId="44" applyFont="1" applyFill="1" applyBorder="1" applyAlignment="1">
      <alignment horizontal="left" wrapText="1"/>
    </xf>
    <xf numFmtId="3" fontId="10" fillId="0" borderId="11" xfId="44" applyNumberFormat="1" applyFont="1" applyFill="1" applyBorder="1" applyAlignment="1">
      <alignment horizontal="center" vertical="center"/>
    </xf>
    <xf numFmtId="0" fontId="1" fillId="0" borderId="11" xfId="44" applyFont="1" applyFill="1" applyBorder="1" applyAlignment="1">
      <alignment horizontal="left" wrapText="1"/>
    </xf>
    <xf numFmtId="3" fontId="1" fillId="0" borderId="11" xfId="44" applyNumberFormat="1" applyFont="1" applyFill="1" applyBorder="1" applyAlignment="1">
      <alignment horizontal="center" vertical="center"/>
    </xf>
    <xf numFmtId="0" fontId="1" fillId="0" borderId="11" xfId="44" applyFont="1" applyFill="1" applyBorder="1" applyAlignment="1">
      <alignment horizontal="left" vertical="center" wrapText="1"/>
    </xf>
    <xf numFmtId="0" fontId="36" fillId="0" borderId="0" xfId="16"/>
    <xf numFmtId="3" fontId="65" fillId="0" borderId="0" xfId="44" applyNumberFormat="1" applyFont="1" applyAlignment="1"/>
    <xf numFmtId="0" fontId="65" fillId="0" borderId="0" xfId="44" applyFont="1" applyAlignment="1"/>
    <xf numFmtId="0" fontId="1" fillId="0" borderId="0" xfId="44"/>
    <xf numFmtId="3" fontId="1" fillId="0" borderId="0" xfId="44" applyNumberFormat="1"/>
    <xf numFmtId="4" fontId="1" fillId="0" borderId="0" xfId="44" applyNumberFormat="1"/>
    <xf numFmtId="0" fontId="19" fillId="0" borderId="11" xfId="2" applyFont="1" applyFill="1" applyBorder="1" applyAlignment="1">
      <alignment horizontal="left" vertical="top" wrapText="1"/>
    </xf>
    <xf numFmtId="0" fontId="18" fillId="0" borderId="11" xfId="2" applyFont="1" applyFill="1" applyBorder="1" applyAlignment="1">
      <alignment horizontal="left" vertical="top" wrapText="1"/>
    </xf>
    <xf numFmtId="0" fontId="18" fillId="0" borderId="11" xfId="2" applyFont="1" applyFill="1" applyBorder="1" applyAlignment="1">
      <alignment horizontal="right" vertical="top" wrapText="1"/>
    </xf>
    <xf numFmtId="0" fontId="20" fillId="0" borderId="11" xfId="2" applyFont="1" applyFill="1" applyBorder="1" applyAlignment="1">
      <alignment horizontal="left" vertical="top" wrapText="1"/>
    </xf>
    <xf numFmtId="0" fontId="10" fillId="0" borderId="32" xfId="44" applyFont="1" applyBorder="1" applyAlignment="1">
      <alignment horizontal="center" vertical="center" wrapText="1"/>
    </xf>
    <xf numFmtId="0" fontId="10" fillId="0" borderId="43" xfId="44" applyFont="1" applyBorder="1" applyAlignment="1">
      <alignment horizontal="center" vertical="center" wrapText="1"/>
    </xf>
    <xf numFmtId="0" fontId="10" fillId="0" borderId="43" xfId="44" applyFont="1" applyBorder="1" applyAlignment="1">
      <alignment horizontal="center" wrapText="1"/>
    </xf>
    <xf numFmtId="3" fontId="1" fillId="0" borderId="0" xfId="44" applyNumberFormat="1" applyFont="1" applyFill="1" applyBorder="1" applyAlignment="1">
      <alignment horizontal="center" vertical="center"/>
    </xf>
    <xf numFmtId="0" fontId="20" fillId="0" borderId="0" xfId="2" applyFont="1" applyFill="1" applyBorder="1" applyAlignment="1">
      <alignment vertical="top" wrapText="1"/>
    </xf>
    <xf numFmtId="0" fontId="22" fillId="0" borderId="0" xfId="2" applyFont="1" applyBorder="1" applyAlignment="1">
      <alignment vertical="top" wrapText="1"/>
    </xf>
    <xf numFmtId="0" fontId="17" fillId="0" borderId="0" xfId="2" applyFont="1" applyFill="1" applyBorder="1" applyAlignment="1">
      <alignment vertical="top" wrapText="1"/>
    </xf>
    <xf numFmtId="0" fontId="18" fillId="0" borderId="0" xfId="2" applyFont="1" applyFill="1" applyBorder="1" applyAlignment="1">
      <alignment vertical="top" wrapText="1"/>
    </xf>
    <xf numFmtId="0" fontId="22" fillId="0" borderId="0" xfId="2" applyFont="1" applyBorder="1" applyAlignment="1">
      <alignment vertical="top"/>
    </xf>
    <xf numFmtId="0" fontId="22" fillId="0" borderId="0" xfId="2" applyFont="1" applyFill="1" applyBorder="1" applyAlignment="1">
      <alignment vertical="top" wrapText="1"/>
    </xf>
    <xf numFmtId="0" fontId="21" fillId="0" borderId="0" xfId="2" applyFont="1" applyBorder="1" applyAlignment="1">
      <alignment vertical="top" wrapText="1"/>
    </xf>
    <xf numFmtId="0" fontId="20" fillId="0" borderId="0" xfId="2" applyFont="1" applyFill="1" applyBorder="1" applyAlignment="1">
      <alignment horizontal="left" vertical="top" wrapText="1"/>
    </xf>
    <xf numFmtId="0" fontId="21" fillId="0" borderId="0" xfId="2" applyFont="1" applyFill="1" applyBorder="1" applyAlignment="1">
      <alignment vertical="top" wrapText="1"/>
    </xf>
    <xf numFmtId="0" fontId="16" fillId="0" borderId="0" xfId="2" applyFont="1" applyFill="1" applyBorder="1" applyAlignment="1">
      <alignment vertical="top" wrapText="1"/>
    </xf>
    <xf numFmtId="0" fontId="1" fillId="0" borderId="11" xfId="44" applyFont="1" applyBorder="1" applyAlignment="1">
      <alignment horizontal="center" wrapText="1"/>
    </xf>
    <xf numFmtId="43" fontId="36" fillId="0" borderId="0" xfId="42" applyFont="1"/>
    <xf numFmtId="0" fontId="10" fillId="0" borderId="11" xfId="44" applyFont="1" applyFill="1" applyBorder="1" applyAlignment="1">
      <alignment horizontal="left"/>
    </xf>
    <xf numFmtId="9" fontId="10" fillId="0" borderId="11" xfId="41" applyFont="1" applyFill="1" applyBorder="1" applyAlignment="1">
      <alignment horizontal="center" vertical="center"/>
    </xf>
    <xf numFmtId="9" fontId="37" fillId="0" borderId="11" xfId="41" applyFont="1" applyFill="1" applyBorder="1"/>
    <xf numFmtId="0" fontId="37" fillId="0" borderId="0" xfId="16" applyFont="1" applyFill="1"/>
    <xf numFmtId="43" fontId="37" fillId="0" borderId="0" xfId="42" applyFont="1" applyFill="1"/>
    <xf numFmtId="3" fontId="67" fillId="0" borderId="11" xfId="45" applyNumberFormat="1" applyFont="1" applyFill="1" applyBorder="1" applyAlignment="1">
      <alignment horizontal="center" vertical="center"/>
    </xf>
    <xf numFmtId="9" fontId="67" fillId="0" borderId="11" xfId="41" applyFont="1" applyFill="1" applyBorder="1" applyAlignment="1">
      <alignment horizontal="center" vertical="center"/>
    </xf>
    <xf numFmtId="9" fontId="36" fillId="0" borderId="11" xfId="41" applyFont="1" applyFill="1" applyBorder="1"/>
    <xf numFmtId="0" fontId="36" fillId="0" borderId="0" xfId="16" applyFill="1"/>
    <xf numFmtId="43" fontId="0" fillId="0" borderId="0" xfId="42" applyFont="1" applyFill="1"/>
    <xf numFmtId="9" fontId="1" fillId="0" borderId="11" xfId="41" applyFont="1" applyFill="1" applyBorder="1" applyAlignment="1">
      <alignment horizontal="center" vertical="center"/>
    </xf>
    <xf numFmtId="43" fontId="1" fillId="0" borderId="11" xfId="42" applyFont="1" applyFill="1" applyBorder="1" applyAlignment="1">
      <alignment horizontal="center" vertical="center"/>
    </xf>
    <xf numFmtId="3" fontId="67" fillId="17" borderId="11" xfId="45" applyNumberFormat="1" applyFont="1" applyFill="1" applyBorder="1" applyAlignment="1">
      <alignment horizontal="center" vertical="center"/>
    </xf>
    <xf numFmtId="3" fontId="1" fillId="17" borderId="11" xfId="44" applyNumberFormat="1" applyFont="1" applyFill="1" applyBorder="1" applyAlignment="1">
      <alignment horizontal="center" vertical="center"/>
    </xf>
    <xf numFmtId="3" fontId="1" fillId="17" borderId="11" xfId="44" applyNumberFormat="1" applyFont="1" applyFill="1" applyBorder="1" applyAlignment="1">
      <alignment horizontal="center" vertical="center" wrapText="1"/>
    </xf>
    <xf numFmtId="3" fontId="1" fillId="0" borderId="11" xfId="44" applyNumberFormat="1" applyFont="1" applyFill="1" applyBorder="1" applyAlignment="1">
      <alignment horizontal="center" vertical="center" wrapText="1"/>
    </xf>
    <xf numFmtId="0" fontId="36" fillId="0" borderId="0" xfId="16" applyFont="1" applyFill="1"/>
    <xf numFmtId="3" fontId="1" fillId="0" borderId="11" xfId="45" applyNumberFormat="1" applyFont="1" applyFill="1" applyBorder="1" applyAlignment="1" applyProtection="1">
      <alignment horizontal="center" vertical="center"/>
    </xf>
    <xf numFmtId="43" fontId="0" fillId="0" borderId="0" xfId="42" applyFont="1"/>
    <xf numFmtId="171" fontId="0" fillId="0" borderId="0" xfId="42" applyNumberFormat="1" applyFont="1"/>
    <xf numFmtId="0" fontId="69" fillId="0" borderId="0" xfId="16" applyFont="1" applyFill="1"/>
    <xf numFmtId="0" fontId="10" fillId="17" borderId="16" xfId="44" applyFont="1" applyFill="1" applyBorder="1" applyAlignment="1">
      <alignment vertical="center" wrapText="1"/>
    </xf>
    <xf numFmtId="0" fontId="10" fillId="17" borderId="25" xfId="44" applyFont="1" applyFill="1" applyBorder="1" applyAlignment="1">
      <alignment vertical="center" wrapText="1"/>
    </xf>
    <xf numFmtId="0" fontId="1" fillId="17" borderId="11" xfId="44" applyFont="1" applyFill="1" applyBorder="1" applyAlignment="1">
      <alignment horizontal="left" vertical="center" wrapText="1"/>
    </xf>
    <xf numFmtId="172" fontId="0" fillId="0" borderId="0" xfId="42" applyNumberFormat="1" applyFont="1"/>
    <xf numFmtId="0" fontId="10" fillId="17" borderId="25" xfId="44" applyFont="1" applyFill="1" applyBorder="1" applyAlignment="1">
      <alignment horizontal="center" vertical="center" wrapText="1"/>
    </xf>
    <xf numFmtId="0" fontId="10" fillId="17" borderId="11" xfId="44" applyFont="1" applyFill="1" applyBorder="1" applyAlignment="1">
      <alignment horizontal="left" vertical="center" wrapText="1"/>
    </xf>
    <xf numFmtId="0" fontId="2" fillId="0" borderId="11" xfId="16" applyFont="1" applyFill="1" applyBorder="1" applyAlignment="1">
      <alignment horizontal="center" vertical="center" wrapText="1"/>
    </xf>
    <xf numFmtId="0" fontId="3" fillId="17" borderId="11" xfId="16" applyFont="1" applyFill="1" applyBorder="1" applyAlignment="1">
      <alignment horizontal="center" vertical="center" wrapText="1"/>
    </xf>
    <xf numFmtId="0" fontId="3" fillId="0" borderId="11" xfId="16" applyFont="1" applyFill="1" applyBorder="1" applyAlignment="1">
      <alignment horizontal="center" vertical="center" wrapText="1"/>
    </xf>
    <xf numFmtId="0" fontId="63" fillId="17" borderId="11" xfId="16" applyFont="1" applyFill="1" applyBorder="1" applyAlignment="1">
      <alignment horizontal="center" vertical="center"/>
    </xf>
    <xf numFmtId="0" fontId="2" fillId="17" borderId="11" xfId="16" applyFont="1" applyFill="1" applyBorder="1" applyAlignment="1">
      <alignment horizontal="center" vertical="center" wrapText="1"/>
    </xf>
    <xf numFmtId="0" fontId="63" fillId="0" borderId="11" xfId="16" applyFont="1" applyFill="1" applyBorder="1" applyAlignment="1">
      <alignment horizontal="center" vertical="center"/>
    </xf>
    <xf numFmtId="0" fontId="36" fillId="0" borderId="0" xfId="16" applyAlignment="1">
      <alignment wrapText="1"/>
    </xf>
    <xf numFmtId="3" fontId="71" fillId="0" borderId="11" xfId="12" applyNumberFormat="1" applyFont="1" applyFill="1" applyBorder="1" applyAlignment="1">
      <alignment horizontal="right"/>
    </xf>
    <xf numFmtId="0" fontId="1" fillId="0" borderId="11" xfId="12" applyFill="1" applyBorder="1" applyAlignment="1">
      <alignment wrapText="1"/>
    </xf>
    <xf numFmtId="3" fontId="1" fillId="0" borderId="11" xfId="46" applyNumberFormat="1" applyFont="1" applyFill="1" applyBorder="1" applyAlignment="1">
      <alignment horizontal="right"/>
    </xf>
    <xf numFmtId="3" fontId="10" fillId="0" borderId="11" xfId="46" applyNumberFormat="1" applyFont="1" applyFill="1" applyBorder="1" applyAlignment="1">
      <alignment horizontal="right"/>
    </xf>
    <xf numFmtId="0" fontId="1" fillId="0" borderId="11" xfId="12" applyFont="1" applyFill="1" applyBorder="1" applyAlignment="1">
      <alignment wrapText="1"/>
    </xf>
    <xf numFmtId="170" fontId="10" fillId="0" borderId="11" xfId="46" applyNumberFormat="1" applyFont="1" applyFill="1" applyBorder="1" applyAlignment="1">
      <alignment horizontal="right"/>
    </xf>
    <xf numFmtId="170" fontId="1" fillId="0" borderId="11" xfId="46" applyNumberFormat="1" applyFont="1" applyFill="1" applyBorder="1" applyAlignment="1">
      <alignment horizontal="right"/>
    </xf>
    <xf numFmtId="0" fontId="10" fillId="0" borderId="16" xfId="12" applyFont="1" applyFill="1" applyBorder="1" applyAlignment="1">
      <alignment horizontal="center" vertical="center" wrapText="1"/>
    </xf>
    <xf numFmtId="0" fontId="10" fillId="0" borderId="31" xfId="12" applyFont="1" applyFill="1" applyBorder="1" applyAlignment="1">
      <alignment horizontal="center" vertical="center" wrapText="1"/>
    </xf>
    <xf numFmtId="0" fontId="10" fillId="0" borderId="25" xfId="12" applyFont="1" applyFill="1" applyBorder="1" applyAlignment="1">
      <alignment horizontal="center" vertical="center" wrapText="1"/>
    </xf>
    <xf numFmtId="0" fontId="1" fillId="17" borderId="25" xfId="44" applyFont="1" applyFill="1" applyBorder="1" applyAlignment="1">
      <alignment horizontal="center" vertical="center" wrapText="1"/>
    </xf>
    <xf numFmtId="0" fontId="1" fillId="17" borderId="25" xfId="44" applyFont="1" applyFill="1" applyBorder="1" applyAlignment="1">
      <alignment horizontal="left" vertical="center" wrapText="1"/>
    </xf>
    <xf numFmtId="0" fontId="1" fillId="17" borderId="25" xfId="44" applyFill="1" applyBorder="1" applyAlignment="1">
      <alignment horizontal="center" vertical="center" wrapText="1"/>
    </xf>
    <xf numFmtId="0" fontId="10" fillId="0" borderId="31" xfId="44" applyFont="1" applyBorder="1" applyAlignment="1">
      <alignment horizontal="center" vertical="center" wrapText="1"/>
    </xf>
    <xf numFmtId="0" fontId="10" fillId="0" borderId="11" xfId="44" applyFont="1" applyBorder="1" applyAlignment="1">
      <alignment horizontal="center" vertical="center" wrapText="1"/>
    </xf>
    <xf numFmtId="0" fontId="10" fillId="0" borderId="35" xfId="44" applyFont="1" applyBorder="1" applyAlignment="1">
      <alignment horizontal="center" vertical="center" wrapText="1"/>
    </xf>
    <xf numFmtId="0" fontId="66" fillId="0" borderId="31" xfId="44" applyFont="1" applyBorder="1" applyAlignment="1">
      <alignment horizontal="center" vertical="center" wrapText="1"/>
    </xf>
    <xf numFmtId="43" fontId="20" fillId="0" borderId="0" xfId="2" applyNumberFormat="1" applyFont="1" applyFill="1" applyBorder="1" applyAlignment="1">
      <alignment vertical="top" wrapText="1"/>
    </xf>
    <xf numFmtId="172" fontId="0" fillId="0" borderId="0" xfId="0" applyNumberFormat="1"/>
    <xf numFmtId="172" fontId="0" fillId="0" borderId="0" xfId="0" applyNumberFormat="1" applyAlignment="1">
      <alignment horizontal="left"/>
    </xf>
    <xf numFmtId="172" fontId="0" fillId="0" borderId="0" xfId="39" applyNumberFormat="1" applyFont="1"/>
    <xf numFmtId="167" fontId="50" fillId="0" borderId="0" xfId="16" applyNumberFormat="1" applyFont="1" applyAlignment="1">
      <alignment horizontal="center" vertical="center"/>
    </xf>
    <xf numFmtId="49" fontId="47" fillId="18" borderId="0" xfId="16" applyNumberFormat="1" applyFont="1" applyFill="1" applyAlignment="1">
      <alignment vertical="center"/>
    </xf>
    <xf numFmtId="0" fontId="50" fillId="18" borderId="0" xfId="16" applyFont="1" applyFill="1" applyAlignment="1">
      <alignment vertical="center" wrapText="1"/>
    </xf>
    <xf numFmtId="167" fontId="47" fillId="18" borderId="0" xfId="16" applyNumberFormat="1" applyFont="1" applyFill="1" applyAlignment="1">
      <alignment vertical="center"/>
    </xf>
    <xf numFmtId="167" fontId="47" fillId="18" borderId="0" xfId="16" applyNumberFormat="1" applyFont="1" applyFill="1" applyAlignment="1">
      <alignment horizontal="center" vertical="center"/>
    </xf>
    <xf numFmtId="0" fontId="47" fillId="18" borderId="0" xfId="16" applyFont="1" applyFill="1" applyAlignment="1">
      <alignment vertical="center"/>
    </xf>
    <xf numFmtId="43" fontId="50" fillId="0" borderId="0" xfId="39" applyFont="1" applyAlignment="1">
      <alignment horizontal="center" vertical="center"/>
    </xf>
    <xf numFmtId="43" fontId="36" fillId="0" borderId="0" xfId="39" applyFont="1"/>
    <xf numFmtId="3" fontId="50" fillId="0" borderId="0" xfId="16" applyNumberFormat="1" applyFont="1" applyAlignment="1">
      <alignment horizontal="center" vertical="center"/>
    </xf>
    <xf numFmtId="43" fontId="47" fillId="0" borderId="0" xfId="16" applyNumberFormat="1" applyFont="1" applyAlignment="1">
      <alignment vertical="center"/>
    </xf>
    <xf numFmtId="172" fontId="36" fillId="10" borderId="11" xfId="39" applyNumberFormat="1" applyFont="1" applyFill="1" applyBorder="1"/>
    <xf numFmtId="172" fontId="36" fillId="11" borderId="11" xfId="39" applyNumberFormat="1" applyFont="1" applyFill="1" applyBorder="1"/>
    <xf numFmtId="172" fontId="36" fillId="12" borderId="11" xfId="39" applyNumberFormat="1" applyFont="1" applyFill="1" applyBorder="1"/>
    <xf numFmtId="9" fontId="0" fillId="0" borderId="0" xfId="54" applyFont="1"/>
    <xf numFmtId="43" fontId="0" fillId="0" borderId="0" xfId="39" applyFont="1"/>
    <xf numFmtId="43" fontId="50" fillId="0" borderId="0" xfId="16" applyNumberFormat="1" applyFont="1" applyAlignment="1">
      <alignment horizontal="center" vertical="center"/>
    </xf>
    <xf numFmtId="3" fontId="47" fillId="0" borderId="0" xfId="16" applyNumberFormat="1" applyFont="1"/>
    <xf numFmtId="43" fontId="10" fillId="0" borderId="14" xfId="39" applyFont="1" applyBorder="1" applyAlignment="1">
      <alignment horizontal="center" vertical="center" wrapText="1"/>
    </xf>
    <xf numFmtId="0" fontId="89" fillId="0" borderId="0" xfId="16" applyFont="1"/>
    <xf numFmtId="0" fontId="92" fillId="0" borderId="11" xfId="16" applyFont="1" applyBorder="1" applyAlignment="1">
      <alignment horizontal="center" vertical="center" wrapText="1"/>
    </xf>
    <xf numFmtId="0" fontId="92" fillId="0" borderId="14" xfId="16" applyFont="1" applyBorder="1" applyAlignment="1">
      <alignment horizontal="center" vertical="center" wrapText="1"/>
    </xf>
    <xf numFmtId="0" fontId="93" fillId="0" borderId="0" xfId="16" applyFont="1" applyAlignment="1">
      <alignment horizontal="left" wrapText="1"/>
    </xf>
    <xf numFmtId="173" fontId="93" fillId="0" borderId="0" xfId="16" applyNumberFormat="1" applyFont="1" applyAlignment="1"/>
    <xf numFmtId="0" fontId="93" fillId="0" borderId="0" xfId="16" applyFont="1" applyAlignment="1">
      <alignment wrapText="1"/>
    </xf>
    <xf numFmtId="0" fontId="94" fillId="0" borderId="0" xfId="16" applyFont="1"/>
    <xf numFmtId="0" fontId="90" fillId="0" borderId="0" xfId="16" applyFont="1" applyAlignment="1">
      <alignment horizontal="left" wrapText="1"/>
    </xf>
    <xf numFmtId="173" fontId="90" fillId="0" borderId="0" xfId="16" applyNumberFormat="1" applyFont="1" applyAlignment="1"/>
    <xf numFmtId="0" fontId="90" fillId="0" borderId="0" xfId="16" applyFont="1" applyAlignment="1">
      <alignment wrapText="1"/>
    </xf>
    <xf numFmtId="0" fontId="90" fillId="0" borderId="0" xfId="16" applyFont="1" applyAlignment="1">
      <alignment horizontal="left" wrapText="1" indent="1"/>
    </xf>
    <xf numFmtId="0" fontId="90" fillId="0" borderId="0" xfId="16" applyFont="1" applyAlignment="1">
      <alignment horizontal="left" wrapText="1" indent="2"/>
    </xf>
    <xf numFmtId="0" fontId="90" fillId="0" borderId="0" xfId="16" applyFont="1" applyAlignment="1">
      <alignment horizontal="right"/>
    </xf>
    <xf numFmtId="0" fontId="90" fillId="0" borderId="43" xfId="16" applyFont="1" applyBorder="1" applyAlignment="1">
      <alignment horizontal="left" wrapText="1"/>
    </xf>
    <xf numFmtId="173" fontId="90" fillId="0" borderId="43" xfId="16" applyNumberFormat="1" applyFont="1" applyBorder="1" applyAlignment="1"/>
    <xf numFmtId="0" fontId="90" fillId="0" borderId="43" xfId="16" applyFont="1" applyBorder="1" applyAlignment="1">
      <alignment wrapText="1"/>
    </xf>
    <xf numFmtId="0" fontId="36" fillId="0" borderId="0" xfId="16" applyAlignment="1">
      <alignment horizontal="left" wrapText="1"/>
    </xf>
    <xf numFmtId="0" fontId="90" fillId="5" borderId="0" xfId="16" applyFont="1" applyFill="1" applyAlignment="1">
      <alignment wrapText="1"/>
    </xf>
    <xf numFmtId="0" fontId="90" fillId="0" borderId="43" xfId="16" applyFont="1" applyBorder="1" applyAlignment="1">
      <alignment horizontal="right"/>
    </xf>
    <xf numFmtId="0" fontId="90" fillId="5" borderId="43" xfId="16" applyFont="1" applyFill="1" applyBorder="1" applyAlignment="1">
      <alignment wrapText="1"/>
    </xf>
    <xf numFmtId="0" fontId="93" fillId="0" borderId="0" xfId="16" applyFont="1" applyAlignment="1">
      <alignment horizontal="left" vertical="top" wrapText="1"/>
    </xf>
    <xf numFmtId="0" fontId="90" fillId="0" borderId="0" xfId="16" applyFont="1" applyAlignment="1">
      <alignment horizontal="left" vertical="top" wrapText="1"/>
    </xf>
    <xf numFmtId="0" fontId="90" fillId="0" borderId="0" xfId="16" applyFont="1" applyAlignment="1">
      <alignment horizontal="left" vertical="top" wrapText="1" indent="1"/>
    </xf>
    <xf numFmtId="0" fontId="90" fillId="0" borderId="0" xfId="16" applyFont="1" applyAlignment="1">
      <alignment horizontal="left" vertical="top" wrapText="1" indent="2"/>
    </xf>
    <xf numFmtId="0" fontId="90" fillId="5" borderId="0" xfId="16" applyFont="1" applyFill="1" applyAlignment="1">
      <alignment horizontal="left" vertical="top" wrapText="1"/>
    </xf>
    <xf numFmtId="0" fontId="90" fillId="5" borderId="43" xfId="16" applyFont="1" applyFill="1" applyBorder="1" applyAlignment="1">
      <alignment horizontal="left" vertical="top" wrapText="1"/>
    </xf>
    <xf numFmtId="173" fontId="93" fillId="0" borderId="0" xfId="16" applyNumberFormat="1" applyFont="1" applyBorder="1" applyAlignment="1">
      <alignment horizontal="right" wrapText="1"/>
    </xf>
    <xf numFmtId="173" fontId="90" fillId="0" borderId="0" xfId="16" applyNumberFormat="1" applyFont="1" applyBorder="1" applyAlignment="1">
      <alignment horizontal="right" wrapText="1"/>
    </xf>
    <xf numFmtId="173" fontId="90" fillId="5" borderId="0" xfId="16" applyNumberFormat="1" applyFont="1" applyFill="1" applyAlignment="1"/>
    <xf numFmtId="0" fontId="90" fillId="0" borderId="0" xfId="16" applyFont="1" applyBorder="1" applyAlignment="1">
      <alignment horizontal="right" wrapText="1"/>
    </xf>
    <xf numFmtId="173" fontId="90" fillId="0" borderId="43" xfId="16" applyNumberFormat="1" applyFont="1" applyBorder="1" applyAlignment="1">
      <alignment horizontal="right" wrapText="1"/>
    </xf>
    <xf numFmtId="173" fontId="94" fillId="0" borderId="0" xfId="16" applyNumberFormat="1" applyFont="1"/>
    <xf numFmtId="49" fontId="93" fillId="0" borderId="0" xfId="16" applyNumberFormat="1" applyFont="1" applyAlignment="1">
      <alignment horizontal="center"/>
    </xf>
    <xf numFmtId="0" fontId="93" fillId="0" borderId="0" xfId="16" applyFont="1" applyBorder="1" applyAlignment="1">
      <alignment wrapText="1"/>
    </xf>
    <xf numFmtId="0" fontId="37" fillId="0" borderId="0" xfId="16" applyFont="1"/>
    <xf numFmtId="49" fontId="90" fillId="0" borderId="0" xfId="16" applyNumberFormat="1" applyFont="1" applyAlignment="1">
      <alignment horizontal="center"/>
    </xf>
    <xf numFmtId="0" fontId="90" fillId="0" borderId="0" xfId="16" applyFont="1" applyBorder="1" applyAlignment="1">
      <alignment wrapText="1"/>
    </xf>
    <xf numFmtId="49" fontId="90" fillId="0" borderId="43" xfId="16" applyNumberFormat="1" applyFont="1" applyBorder="1" applyAlignment="1">
      <alignment horizontal="center"/>
    </xf>
    <xf numFmtId="173" fontId="90" fillId="8" borderId="0" xfId="16" applyNumberFormat="1" applyFont="1" applyFill="1" applyAlignment="1"/>
    <xf numFmtId="0" fontId="1" fillId="0" borderId="0" xfId="16" applyFont="1"/>
    <xf numFmtId="0" fontId="99" fillId="0" borderId="0" xfId="16" applyFont="1" applyBorder="1" applyAlignment="1">
      <alignment vertical="center" wrapText="1"/>
    </xf>
    <xf numFmtId="0" fontId="99" fillId="0" borderId="0" xfId="16" applyFont="1" applyAlignment="1">
      <alignment vertical="center"/>
    </xf>
    <xf numFmtId="0" fontId="97" fillId="0" borderId="0" xfId="16" applyFont="1" applyAlignment="1">
      <alignment vertical="center"/>
    </xf>
    <xf numFmtId="0" fontId="99" fillId="0" borderId="0" xfId="16" applyFont="1" applyBorder="1" applyAlignment="1">
      <alignment horizontal="right" vertical="center" wrapText="1"/>
    </xf>
    <xf numFmtId="0" fontId="99" fillId="0" borderId="0" xfId="16" applyFont="1"/>
    <xf numFmtId="0" fontId="97" fillId="0" borderId="43" xfId="16" applyFont="1" applyBorder="1" applyAlignment="1">
      <alignment vertical="center"/>
    </xf>
    <xf numFmtId="0" fontId="92" fillId="0" borderId="11" xfId="16" applyFont="1" applyFill="1" applyBorder="1" applyAlignment="1">
      <alignment horizontal="center" vertical="center" wrapText="1"/>
    </xf>
    <xf numFmtId="0" fontId="66" fillId="0" borderId="0" xfId="16" applyFont="1" applyBorder="1" applyAlignment="1">
      <alignment horizontal="left" wrapText="1"/>
    </xf>
    <xf numFmtId="174" fontId="99" fillId="0" borderId="44" xfId="16" applyNumberFormat="1" applyFont="1" applyBorder="1" applyAlignment="1">
      <alignment horizontal="right"/>
    </xf>
    <xf numFmtId="0" fontId="66" fillId="0" borderId="0" xfId="16" applyFont="1" applyAlignment="1">
      <alignment horizontal="left" wrapText="1" indent="1"/>
    </xf>
    <xf numFmtId="0" fontId="99" fillId="0" borderId="0" xfId="16" applyFont="1" applyBorder="1" applyAlignment="1">
      <alignment horizontal="left" wrapText="1"/>
    </xf>
    <xf numFmtId="174" fontId="99" fillId="0" borderId="0" xfId="16" applyNumberFormat="1" applyFont="1" applyBorder="1" applyAlignment="1">
      <alignment horizontal="right"/>
    </xf>
    <xf numFmtId="0" fontId="99" fillId="0" borderId="0" xfId="16" applyFont="1" applyAlignment="1">
      <alignment horizontal="left" wrapText="1" indent="1"/>
    </xf>
    <xf numFmtId="0" fontId="99" fillId="0" borderId="0" xfId="16" applyFont="1" applyBorder="1" applyAlignment="1">
      <alignment horizontal="left" wrapText="1" indent="1"/>
    </xf>
    <xf numFmtId="0" fontId="99" fillId="0" borderId="43" xfId="16" applyFont="1" applyBorder="1" applyAlignment="1">
      <alignment horizontal="left" wrapText="1"/>
    </xf>
    <xf numFmtId="174" fontId="99" fillId="0" borderId="43" xfId="16" applyNumberFormat="1" applyFont="1" applyBorder="1" applyAlignment="1">
      <alignment horizontal="right"/>
    </xf>
    <xf numFmtId="0" fontId="99" fillId="0" borderId="43" xfId="16" applyFont="1" applyBorder="1" applyAlignment="1">
      <alignment horizontal="left" wrapText="1" indent="1"/>
    </xf>
    <xf numFmtId="0" fontId="10" fillId="0" borderId="0" xfId="16" applyFont="1" applyBorder="1" applyAlignment="1">
      <alignment vertical="center" wrapText="1"/>
    </xf>
    <xf numFmtId="0" fontId="1" fillId="0" borderId="0" xfId="16" applyFont="1" applyBorder="1"/>
    <xf numFmtId="0" fontId="99" fillId="0" borderId="0" xfId="16" applyFont="1" applyBorder="1"/>
    <xf numFmtId="0" fontId="92" fillId="0" borderId="0" xfId="16" applyFont="1"/>
    <xf numFmtId="0" fontId="66" fillId="0" borderId="0" xfId="16" applyFont="1" applyBorder="1" applyAlignment="1">
      <alignment wrapText="1"/>
    </xf>
    <xf numFmtId="0" fontId="101" fillId="0" borderId="0" xfId="16" applyFont="1"/>
    <xf numFmtId="0" fontId="101" fillId="0" borderId="0" xfId="16" applyFont="1" applyBorder="1"/>
    <xf numFmtId="0" fontId="1" fillId="0" borderId="44" xfId="16" applyFont="1" applyBorder="1"/>
    <xf numFmtId="0" fontId="98" fillId="6" borderId="4" xfId="28" applyFont="1" applyFill="1" applyBorder="1"/>
    <xf numFmtId="3" fontId="36" fillId="6" borderId="5" xfId="16" applyNumberFormat="1" applyFill="1" applyBorder="1"/>
    <xf numFmtId="3" fontId="34" fillId="6" borderId="9" xfId="28" applyNumberFormat="1" applyFill="1" applyBorder="1" applyAlignment="1">
      <alignment wrapText="1"/>
    </xf>
    <xf numFmtId="3" fontId="34" fillId="0" borderId="0" xfId="28" applyNumberFormat="1" applyAlignment="1">
      <alignment wrapText="1"/>
    </xf>
    <xf numFmtId="0" fontId="34" fillId="0" borderId="0" xfId="28"/>
    <xf numFmtId="1" fontId="37" fillId="0" borderId="10" xfId="16" applyNumberFormat="1" applyFont="1" applyBorder="1"/>
    <xf numFmtId="3" fontId="36" fillId="0" borderId="11" xfId="16" applyNumberFormat="1" applyBorder="1"/>
    <xf numFmtId="3" fontId="34" fillId="0" borderId="12" xfId="28" applyNumberFormat="1" applyBorder="1" applyAlignment="1">
      <alignment wrapText="1"/>
    </xf>
    <xf numFmtId="0" fontId="92" fillId="0" borderId="11" xfId="16" applyFont="1" applyBorder="1" applyAlignment="1">
      <alignment vertical="center" wrapText="1"/>
    </xf>
    <xf numFmtId="0" fontId="99" fillId="0" borderId="11" xfId="16" applyFont="1" applyBorder="1" applyAlignment="1">
      <alignment horizontal="right"/>
    </xf>
    <xf numFmtId="0" fontId="34" fillId="0" borderId="11" xfId="28" applyFont="1" applyBorder="1"/>
    <xf numFmtId="3" fontId="34" fillId="0" borderId="10" xfId="28" applyNumberFormat="1" applyFont="1" applyBorder="1" applyAlignment="1">
      <alignment wrapText="1"/>
    </xf>
    <xf numFmtId="0" fontId="66" fillId="0" borderId="11" xfId="16" applyFont="1" applyBorder="1" applyAlignment="1">
      <alignment wrapText="1"/>
    </xf>
    <xf numFmtId="3" fontId="103" fillId="0" borderId="10" xfId="55" applyNumberFormat="1" applyBorder="1" applyAlignment="1" applyProtection="1">
      <alignment wrapText="1"/>
    </xf>
    <xf numFmtId="3" fontId="99" fillId="0" borderId="11" xfId="37" applyNumberFormat="1" applyFont="1" applyBorder="1" applyAlignment="1">
      <alignment horizontal="right"/>
    </xf>
    <xf numFmtId="0" fontId="104" fillId="0" borderId="11" xfId="16" applyFont="1" applyBorder="1" applyAlignment="1">
      <alignment horizontal="left" wrapText="1"/>
    </xf>
    <xf numFmtId="3" fontId="34" fillId="0" borderId="33" xfId="28" applyNumberFormat="1" applyBorder="1" applyAlignment="1">
      <alignment wrapText="1"/>
    </xf>
    <xf numFmtId="3" fontId="99" fillId="0" borderId="28" xfId="37" applyNumberFormat="1" applyFont="1" applyBorder="1" applyAlignment="1">
      <alignment horizontal="right"/>
    </xf>
    <xf numFmtId="3" fontId="34" fillId="0" borderId="34" xfId="28" applyNumberFormat="1" applyBorder="1" applyAlignment="1">
      <alignment wrapText="1"/>
    </xf>
    <xf numFmtId="0" fontId="34" fillId="0" borderId="0" xfId="28" applyFill="1"/>
    <xf numFmtId="3" fontId="99" fillId="0" borderId="0" xfId="37" applyNumberFormat="1" applyFont="1" applyBorder="1" applyAlignment="1">
      <alignment horizontal="right"/>
    </xf>
    <xf numFmtId="0" fontId="34" fillId="0" borderId="0" xfId="28" applyFill="1" applyBorder="1"/>
    <xf numFmtId="3" fontId="34" fillId="0" borderId="11" xfId="28" applyNumberFormat="1" applyFont="1" applyBorder="1" applyAlignment="1">
      <alignment horizontal="left" vertical="top" wrapText="1"/>
    </xf>
    <xf numFmtId="3" fontId="34" fillId="0" borderId="11" xfId="28" applyNumberFormat="1" applyFont="1" applyFill="1" applyBorder="1"/>
    <xf numFmtId="3" fontId="34" fillId="0" borderId="11" xfId="28" applyNumberFormat="1" applyBorder="1" applyAlignment="1">
      <alignment wrapText="1"/>
    </xf>
    <xf numFmtId="3" fontId="34" fillId="0" borderId="11" xfId="28" applyNumberFormat="1" applyBorder="1" applyAlignment="1">
      <alignment horizontal="left" vertical="top" wrapText="1"/>
    </xf>
    <xf numFmtId="3" fontId="105" fillId="0" borderId="11" xfId="37" applyNumberFormat="1" applyFont="1" applyBorder="1" applyAlignment="1">
      <alignment horizontal="right" vertical="top"/>
    </xf>
    <xf numFmtId="3" fontId="34" fillId="0" borderId="11" xfId="28" applyNumberFormat="1" applyFont="1" applyBorder="1" applyAlignment="1">
      <alignment wrapText="1"/>
    </xf>
    <xf numFmtId="3" fontId="92" fillId="0" borderId="11" xfId="16" applyNumberFormat="1" applyFont="1" applyBorder="1" applyAlignment="1">
      <alignment horizontal="right"/>
    </xf>
    <xf numFmtId="3" fontId="103" fillId="0" borderId="11" xfId="55" applyNumberFormat="1" applyBorder="1" applyAlignment="1" applyProtection="1">
      <alignment horizontal="left" vertical="top" wrapText="1"/>
    </xf>
    <xf numFmtId="0" fontId="34" fillId="0" borderId="0" xfId="28" applyBorder="1" applyAlignment="1">
      <alignment horizontal="left" vertical="top"/>
    </xf>
    <xf numFmtId="0" fontId="34" fillId="0" borderId="0" xfId="28" applyAlignment="1">
      <alignment horizontal="left" vertical="top"/>
    </xf>
    <xf numFmtId="3" fontId="106" fillId="0" borderId="11" xfId="28" applyNumberFormat="1" applyFont="1" applyBorder="1" applyAlignment="1">
      <alignment wrapText="1"/>
    </xf>
    <xf numFmtId="3" fontId="107" fillId="0" borderId="11" xfId="16" applyNumberFormat="1" applyFont="1" applyBorder="1" applyAlignment="1">
      <alignment horizontal="right"/>
    </xf>
    <xf numFmtId="3" fontId="34" fillId="0" borderId="0" xfId="28" applyNumberFormat="1" applyBorder="1" applyAlignment="1">
      <alignment wrapText="1"/>
    </xf>
    <xf numFmtId="0" fontId="108" fillId="0" borderId="11" xfId="16" applyFont="1" applyBorder="1" applyAlignment="1">
      <alignment horizontal="left" wrapText="1"/>
    </xf>
    <xf numFmtId="0" fontId="34" fillId="0" borderId="11" xfId="28" applyFont="1" applyFill="1" applyBorder="1"/>
    <xf numFmtId="0" fontId="34" fillId="0" borderId="11" xfId="28" applyFill="1" applyBorder="1"/>
    <xf numFmtId="0" fontId="34" fillId="19" borderId="0" xfId="28" applyFill="1"/>
    <xf numFmtId="4" fontId="98" fillId="19" borderId="0" xfId="28" applyNumberFormat="1" applyFont="1" applyFill="1"/>
    <xf numFmtId="0" fontId="34" fillId="9" borderId="0" xfId="28" applyFill="1"/>
    <xf numFmtId="4" fontId="98" fillId="9" borderId="0" xfId="28" applyNumberFormat="1" applyFont="1" applyFill="1"/>
    <xf numFmtId="3" fontId="34" fillId="0" borderId="0" xfId="28" applyNumberFormat="1" applyAlignment="1"/>
    <xf numFmtId="3" fontId="10" fillId="0" borderId="0" xfId="16" applyNumberFormat="1" applyFont="1" applyBorder="1" applyAlignment="1">
      <alignment vertical="center" wrapText="1"/>
    </xf>
    <xf numFmtId="0" fontId="99" fillId="0" borderId="0" xfId="16" applyFont="1" applyBorder="1" applyAlignment="1">
      <alignment wrapText="1"/>
    </xf>
    <xf numFmtId="0" fontId="100" fillId="0" borderId="0" xfId="16" applyFont="1" applyBorder="1" applyAlignment="1">
      <alignment wrapText="1"/>
    </xf>
    <xf numFmtId="0" fontId="34" fillId="0" borderId="0" xfId="28" applyBorder="1"/>
    <xf numFmtId="176" fontId="99" fillId="0" borderId="0" xfId="16" applyNumberFormat="1" applyFont="1" applyBorder="1" applyAlignment="1">
      <alignment horizontal="right"/>
    </xf>
    <xf numFmtId="174" fontId="99" fillId="0" borderId="0" xfId="16" applyNumberFormat="1" applyFont="1" applyFill="1" applyBorder="1" applyAlignment="1">
      <alignment horizontal="right"/>
    </xf>
    <xf numFmtId="0" fontId="99" fillId="0" borderId="0" xfId="16" applyFont="1" applyFill="1" applyBorder="1" applyAlignment="1">
      <alignment horizontal="left" wrapText="1"/>
    </xf>
    <xf numFmtId="3" fontId="34" fillId="0" borderId="0" xfId="28" applyNumberFormat="1" applyFill="1" applyBorder="1"/>
    <xf numFmtId="3" fontId="34" fillId="0" borderId="0" xfId="28" applyNumberFormat="1" applyBorder="1"/>
    <xf numFmtId="3" fontId="34" fillId="9" borderId="0" xfId="28" applyNumberFormat="1" applyFill="1" applyBorder="1"/>
    <xf numFmtId="3" fontId="36" fillId="0" borderId="0" xfId="16" applyNumberFormat="1"/>
    <xf numFmtId="3" fontId="34" fillId="0" borderId="0" xfId="28" applyNumberFormat="1"/>
    <xf numFmtId="3" fontId="34" fillId="9" borderId="0" xfId="28" applyNumberFormat="1" applyFill="1"/>
    <xf numFmtId="174" fontId="99" fillId="0" borderId="44" xfId="0" applyNumberFormat="1" applyFont="1" applyBorder="1" applyAlignment="1">
      <alignment horizontal="right"/>
    </xf>
    <xf numFmtId="174" fontId="99" fillId="0" borderId="0" xfId="0" applyNumberFormat="1" applyFont="1" applyBorder="1" applyAlignment="1">
      <alignment horizontal="right"/>
    </xf>
    <xf numFmtId="174" fontId="99" fillId="0" borderId="43" xfId="0" applyNumberFormat="1" applyFont="1" applyBorder="1" applyAlignment="1">
      <alignment horizontal="right"/>
    </xf>
    <xf numFmtId="0" fontId="92" fillId="0" borderId="43" xfId="16" applyFont="1" applyBorder="1" applyAlignment="1">
      <alignment wrapText="1"/>
    </xf>
    <xf numFmtId="0" fontId="92" fillId="0" borderId="0" xfId="16" applyFont="1" applyAlignment="1">
      <alignment horizontal="right"/>
    </xf>
    <xf numFmtId="0" fontId="92" fillId="0" borderId="0" xfId="16" applyFont="1" applyBorder="1"/>
    <xf numFmtId="0" fontId="99" fillId="0" borderId="0" xfId="16" applyFont="1" applyBorder="1" applyAlignment="1">
      <alignment horizontal="left" vertical="center" wrapText="1" indent="1"/>
    </xf>
    <xf numFmtId="0" fontId="99" fillId="0" borderId="0" xfId="16" applyFont="1" applyAlignment="1">
      <alignment horizontal="left" vertical="center" wrapText="1" indent="1"/>
    </xf>
    <xf numFmtId="0" fontId="99" fillId="0" borderId="43" xfId="16" applyFont="1" applyBorder="1" applyAlignment="1">
      <alignment horizontal="left" vertical="center" wrapText="1" indent="1"/>
    </xf>
    <xf numFmtId="0" fontId="0" fillId="0" borderId="0" xfId="28" applyFont="1"/>
    <xf numFmtId="9" fontId="34" fillId="0" borderId="0" xfId="54"/>
    <xf numFmtId="175" fontId="34" fillId="0" borderId="0" xfId="54" applyNumberFormat="1"/>
    <xf numFmtId="3" fontId="36" fillId="8" borderId="11" xfId="16" applyNumberFormat="1" applyFill="1" applyBorder="1" applyProtection="1"/>
    <xf numFmtId="3" fontId="10" fillId="0" borderId="11" xfId="16" applyNumberFormat="1" applyFont="1" applyFill="1" applyBorder="1" applyAlignment="1">
      <alignment vertical="center" wrapText="1"/>
    </xf>
    <xf numFmtId="3" fontId="10" fillId="9" borderId="11" xfId="16" applyNumberFormat="1" applyFont="1" applyFill="1" applyBorder="1" applyAlignment="1">
      <alignment vertical="center" wrapText="1"/>
    </xf>
    <xf numFmtId="3" fontId="36" fillId="9" borderId="11" xfId="16" applyNumberFormat="1" applyFill="1" applyBorder="1" applyProtection="1"/>
    <xf numFmtId="3" fontId="37" fillId="11" borderId="11" xfId="16" applyNumberFormat="1" applyFont="1" applyFill="1" applyBorder="1" applyProtection="1">
      <protection locked="0"/>
    </xf>
    <xf numFmtId="3" fontId="37" fillId="12" borderId="11" xfId="16" applyNumberFormat="1" applyFont="1" applyFill="1" applyBorder="1" applyProtection="1">
      <protection locked="0"/>
    </xf>
    <xf numFmtId="3" fontId="37" fillId="10" borderId="11" xfId="16" applyNumberFormat="1" applyFont="1" applyFill="1" applyBorder="1" applyProtection="1">
      <protection locked="0"/>
    </xf>
    <xf numFmtId="3" fontId="37" fillId="13" borderId="11" xfId="16" applyNumberFormat="1" applyFont="1" applyFill="1" applyBorder="1" applyProtection="1">
      <protection locked="0"/>
    </xf>
    <xf numFmtId="0" fontId="37" fillId="10" borderId="11" xfId="16" applyFont="1" applyFill="1" applyBorder="1" applyProtection="1">
      <protection locked="0"/>
    </xf>
    <xf numFmtId="172" fontId="19" fillId="0" borderId="11" xfId="39" applyNumberFormat="1" applyFont="1" applyBorder="1" applyAlignment="1">
      <alignment horizontal="left" vertical="top" wrapText="1"/>
    </xf>
    <xf numFmtId="172" fontId="20" fillId="0" borderId="11" xfId="39" applyNumberFormat="1" applyFont="1" applyBorder="1" applyAlignment="1">
      <alignment vertical="top" wrapText="1"/>
    </xf>
    <xf numFmtId="172" fontId="36" fillId="9" borderId="11" xfId="39" applyNumberFormat="1" applyFont="1" applyFill="1" applyBorder="1"/>
    <xf numFmtId="172" fontId="36" fillId="11" borderId="11" xfId="39" applyNumberFormat="1" applyFont="1" applyFill="1" applyBorder="1" applyProtection="1">
      <protection locked="0"/>
    </xf>
    <xf numFmtId="172" fontId="36" fillId="12" borderId="11" xfId="39" applyNumberFormat="1" applyFont="1" applyFill="1" applyBorder="1" applyProtection="1">
      <protection locked="0"/>
    </xf>
    <xf numFmtId="172" fontId="36" fillId="11" borderId="11" xfId="39" applyNumberFormat="1" applyFont="1" applyFill="1" applyBorder="1" applyAlignment="1"/>
    <xf numFmtId="172" fontId="36" fillId="0" borderId="11" xfId="39" applyNumberFormat="1" applyFont="1" applyFill="1" applyBorder="1"/>
    <xf numFmtId="172" fontId="25" fillId="10" borderId="11" xfId="39" applyNumberFormat="1" applyFont="1" applyFill="1" applyBorder="1" applyAlignment="1" applyProtection="1">
      <alignment vertical="top" wrapText="1"/>
    </xf>
    <xf numFmtId="172" fontId="37" fillId="12" borderId="11" xfId="39" applyNumberFormat="1" applyFont="1" applyFill="1" applyBorder="1" applyProtection="1">
      <protection locked="0"/>
    </xf>
    <xf numFmtId="172" fontId="80" fillId="0" borderId="11" xfId="39" applyNumberFormat="1" applyFont="1" applyBorder="1" applyAlignment="1">
      <alignment horizontal="left" vertical="top" wrapText="1"/>
    </xf>
    <xf numFmtId="172" fontId="36" fillId="12" borderId="0" xfId="39" applyNumberFormat="1" applyFont="1" applyFill="1" applyProtection="1">
      <protection locked="0"/>
    </xf>
    <xf numFmtId="172" fontId="76" fillId="11" borderId="11" xfId="39" applyNumberFormat="1" applyFont="1" applyFill="1" applyBorder="1" applyProtection="1">
      <protection locked="0"/>
    </xf>
    <xf numFmtId="172" fontId="76" fillId="12" borderId="11" xfId="39" applyNumberFormat="1" applyFont="1" applyFill="1" applyBorder="1" applyProtection="1">
      <protection locked="0"/>
    </xf>
    <xf numFmtId="172" fontId="76" fillId="13" borderId="11" xfId="39" applyNumberFormat="1" applyFont="1" applyFill="1" applyBorder="1" applyAlignment="1" applyProtection="1">
      <alignment wrapText="1"/>
      <protection locked="0"/>
    </xf>
    <xf numFmtId="172" fontId="76" fillId="13" borderId="11" xfId="39" applyNumberFormat="1" applyFont="1" applyFill="1" applyBorder="1" applyProtection="1">
      <protection locked="0"/>
    </xf>
    <xf numFmtId="172" fontId="86" fillId="0" borderId="11" xfId="39" applyNumberFormat="1" applyFont="1" applyBorder="1" applyProtection="1">
      <protection locked="0"/>
    </xf>
    <xf numFmtId="172" fontId="76" fillId="10" borderId="11" xfId="39" applyNumberFormat="1" applyFont="1" applyFill="1" applyBorder="1" applyProtection="1">
      <protection locked="0"/>
    </xf>
    <xf numFmtId="172" fontId="76" fillId="0" borderId="11" xfId="39" applyNumberFormat="1" applyFont="1" applyBorder="1" applyProtection="1">
      <protection locked="0"/>
    </xf>
    <xf numFmtId="172" fontId="84" fillId="3" borderId="11" xfId="39" applyNumberFormat="1" applyFont="1" applyFill="1" applyBorder="1" applyAlignment="1">
      <alignment horizontal="right" vertical="top"/>
    </xf>
    <xf numFmtId="172" fontId="36" fillId="13" borderId="0" xfId="39" applyNumberFormat="1" applyFont="1" applyFill="1" applyProtection="1">
      <protection locked="0"/>
    </xf>
    <xf numFmtId="172" fontId="17" fillId="0" borderId="11" xfId="39" applyNumberFormat="1" applyFont="1" applyBorder="1" applyAlignment="1">
      <alignment vertical="top" wrapText="1"/>
    </xf>
    <xf numFmtId="172" fontId="40" fillId="10" borderId="11" xfId="39" applyNumberFormat="1" applyFont="1" applyFill="1" applyBorder="1" applyAlignment="1" applyProtection="1">
      <alignment vertical="top" wrapText="1"/>
    </xf>
    <xf numFmtId="172" fontId="36" fillId="10" borderId="11" xfId="39" applyNumberFormat="1" applyFont="1" applyFill="1" applyBorder="1" applyProtection="1">
      <protection locked="0"/>
    </xf>
    <xf numFmtId="172" fontId="18" fillId="0" borderId="11" xfId="39" applyNumberFormat="1" applyFont="1" applyBorder="1" applyAlignment="1">
      <alignment horizontal="left" vertical="top" wrapText="1"/>
    </xf>
    <xf numFmtId="172" fontId="18" fillId="0" borderId="11" xfId="39" applyNumberFormat="1" applyFont="1" applyBorder="1" applyAlignment="1">
      <alignment vertical="top" wrapText="1"/>
    </xf>
    <xf numFmtId="172" fontId="18" fillId="0" borderId="11" xfId="39" applyNumberFormat="1" applyFont="1" applyBorder="1" applyAlignment="1">
      <alignment horizontal="center" vertical="top" wrapText="1"/>
    </xf>
    <xf numFmtId="172" fontId="19" fillId="0" borderId="11" xfId="39" applyNumberFormat="1" applyFont="1" applyBorder="1" applyAlignment="1">
      <alignment horizontal="center" vertical="top" wrapText="1"/>
    </xf>
    <xf numFmtId="172" fontId="19" fillId="0" borderId="11" xfId="39" applyNumberFormat="1" applyFont="1" applyBorder="1" applyAlignment="1">
      <alignment vertical="top" wrapText="1"/>
    </xf>
    <xf numFmtId="172" fontId="18" fillId="0" borderId="11" xfId="39" applyNumberFormat="1" applyFont="1" applyBorder="1" applyAlignment="1">
      <alignment horizontal="right" vertical="top" wrapText="1"/>
    </xf>
    <xf numFmtId="172" fontId="19" fillId="0" borderId="11" xfId="39" applyNumberFormat="1" applyFont="1" applyBorder="1" applyAlignment="1">
      <alignment horizontal="right" vertical="top" wrapText="1"/>
    </xf>
    <xf numFmtId="172" fontId="36" fillId="13" borderId="11" xfId="39" applyNumberFormat="1" applyFont="1" applyFill="1" applyBorder="1" applyProtection="1">
      <protection locked="0"/>
    </xf>
    <xf numFmtId="172" fontId="36" fillId="11" borderId="11" xfId="39" applyNumberFormat="1" applyFont="1" applyFill="1" applyBorder="1" applyAlignment="1" applyProtection="1">
      <protection locked="0"/>
    </xf>
    <xf numFmtId="172" fontId="36" fillId="0" borderId="11" xfId="39" applyNumberFormat="1" applyFont="1" applyFill="1" applyBorder="1" applyProtection="1">
      <protection locked="0"/>
    </xf>
    <xf numFmtId="172" fontId="36" fillId="11" borderId="11" xfId="39" applyNumberFormat="1" applyFont="1" applyFill="1" applyBorder="1" applyAlignment="1" applyProtection="1">
      <alignment horizontal="left"/>
      <protection locked="0"/>
    </xf>
    <xf numFmtId="172" fontId="16" fillId="0" borderId="11" xfId="39" applyNumberFormat="1" applyFont="1" applyFill="1" applyBorder="1" applyAlignment="1">
      <alignment vertical="top" wrapText="1"/>
    </xf>
    <xf numFmtId="172" fontId="22" fillId="0" borderId="11" xfId="39" applyNumberFormat="1" applyFont="1" applyFill="1" applyBorder="1" applyAlignment="1">
      <alignment vertical="top" wrapText="1"/>
    </xf>
    <xf numFmtId="172" fontId="36" fillId="0" borderId="11" xfId="39" applyNumberFormat="1" applyFont="1" applyBorder="1" applyProtection="1">
      <protection locked="0"/>
    </xf>
    <xf numFmtId="172" fontId="83" fillId="0" borderId="0" xfId="39" applyNumberFormat="1" applyFont="1" applyProtection="1">
      <protection locked="0"/>
    </xf>
    <xf numFmtId="172" fontId="36" fillId="11" borderId="0" xfId="39" applyNumberFormat="1" applyFont="1" applyFill="1" applyProtection="1">
      <protection locked="0"/>
    </xf>
    <xf numFmtId="172" fontId="109" fillId="12" borderId="11" xfId="39" applyNumberFormat="1" applyFont="1" applyFill="1" applyBorder="1" applyProtection="1">
      <protection locked="0"/>
    </xf>
    <xf numFmtId="173" fontId="90" fillId="8" borderId="43" xfId="16" applyNumberFormat="1" applyFont="1" applyFill="1" applyBorder="1" applyAlignment="1"/>
    <xf numFmtId="3" fontId="1" fillId="12" borderId="11" xfId="1" applyNumberFormat="1" applyFill="1" applyBorder="1"/>
    <xf numFmtId="0" fontId="37" fillId="0" borderId="11" xfId="16" applyFont="1" applyBorder="1"/>
    <xf numFmtId="0" fontId="36" fillId="0" borderId="11" xfId="16" applyBorder="1"/>
    <xf numFmtId="0" fontId="36" fillId="0" borderId="11" xfId="16" applyBorder="1" applyAlignment="1">
      <alignment vertical="top" wrapText="1"/>
    </xf>
    <xf numFmtId="3" fontId="1" fillId="0" borderId="11" xfId="16" applyNumberFormat="1" applyFont="1" applyBorder="1"/>
    <xf numFmtId="0" fontId="103" fillId="0" borderId="11" xfId="55" applyBorder="1" applyAlignment="1" applyProtection="1"/>
    <xf numFmtId="3" fontId="1" fillId="0" borderId="0" xfId="16" applyNumberFormat="1" applyFont="1"/>
    <xf numFmtId="4" fontId="10" fillId="8" borderId="11" xfId="16" applyNumberFormat="1" applyFont="1" applyFill="1" applyBorder="1" applyAlignment="1">
      <alignment vertical="center" wrapText="1"/>
    </xf>
    <xf numFmtId="4" fontId="36" fillId="5" borderId="11" xfId="16" applyNumberFormat="1" applyFill="1" applyBorder="1"/>
    <xf numFmtId="172" fontId="36" fillId="0" borderId="0" xfId="39" applyNumberFormat="1" applyFont="1" applyAlignment="1">
      <alignment horizontal="right" vertical="center"/>
    </xf>
    <xf numFmtId="3" fontId="36" fillId="0" borderId="0" xfId="16" applyNumberFormat="1" applyAlignment="1">
      <alignment horizontal="right" vertical="center"/>
    </xf>
    <xf numFmtId="0" fontId="36" fillId="0" borderId="0" xfId="16" applyAlignment="1">
      <alignment horizontal="right"/>
    </xf>
    <xf numFmtId="0" fontId="36" fillId="8" borderId="11" xfId="16" applyFill="1" applyBorder="1"/>
    <xf numFmtId="2" fontId="36" fillId="0" borderId="11" xfId="16" applyNumberFormat="1" applyBorder="1"/>
    <xf numFmtId="49" fontId="47" fillId="9" borderId="0" xfId="16" applyNumberFormat="1" applyFont="1" applyFill="1" applyAlignment="1">
      <alignment vertical="center"/>
    </xf>
    <xf numFmtId="0" fontId="50" fillId="9" borderId="0" xfId="16" applyFont="1" applyFill="1" applyAlignment="1">
      <alignment vertical="center" wrapText="1"/>
    </xf>
    <xf numFmtId="167" fontId="47" fillId="9" borderId="0" xfId="16" applyNumberFormat="1" applyFont="1" applyFill="1" applyAlignment="1">
      <alignment vertical="center"/>
    </xf>
    <xf numFmtId="167" fontId="47" fillId="9" borderId="0" xfId="16" applyNumberFormat="1" applyFont="1" applyFill="1" applyAlignment="1">
      <alignment horizontal="center" vertical="center"/>
    </xf>
    <xf numFmtId="0" fontId="3" fillId="9" borderId="11" xfId="16" applyFont="1" applyFill="1" applyBorder="1" applyAlignment="1">
      <alignment horizontal="center" vertical="center"/>
    </xf>
    <xf numFmtId="3" fontId="3" fillId="9" borderId="11" xfId="16" applyNumberFormat="1" applyFont="1" applyFill="1" applyBorder="1" applyAlignment="1">
      <alignment horizontal="center" vertical="center"/>
    </xf>
    <xf numFmtId="0" fontId="47" fillId="9" borderId="0" xfId="16" applyFont="1" applyFill="1" applyAlignment="1">
      <alignment vertical="center"/>
    </xf>
    <xf numFmtId="49" fontId="48" fillId="9" borderId="0" xfId="16" applyNumberFormat="1" applyFont="1" applyFill="1" applyAlignment="1">
      <alignment vertical="center"/>
    </xf>
    <xf numFmtId="0" fontId="48" fillId="9" borderId="0" xfId="16" applyFont="1" applyFill="1" applyAlignment="1">
      <alignment vertical="center" wrapText="1"/>
    </xf>
    <xf numFmtId="167" fontId="48" fillId="9" borderId="0" xfId="16" applyNumberFormat="1" applyFont="1" applyFill="1" applyAlignment="1">
      <alignment vertical="center"/>
    </xf>
    <xf numFmtId="0" fontId="0" fillId="0" borderId="0" xfId="28" applyFont="1" applyAlignment="1">
      <alignment horizontal="left" vertical="top"/>
    </xf>
    <xf numFmtId="177" fontId="36" fillId="0" borderId="0" xfId="16" applyNumberFormat="1"/>
    <xf numFmtId="3" fontId="1" fillId="11" borderId="11" xfId="1" applyNumberFormat="1" applyFill="1" applyBorder="1" applyAlignment="1">
      <alignment horizontal="right" wrapText="1"/>
    </xf>
    <xf numFmtId="3" fontId="1" fillId="10" borderId="11" xfId="1" applyNumberFormat="1" applyFill="1" applyBorder="1" applyAlignment="1">
      <alignment horizontal="right" wrapText="1"/>
    </xf>
    <xf numFmtId="3" fontId="1" fillId="10" borderId="11" xfId="1" applyNumberFormat="1" applyFill="1" applyBorder="1" applyAlignment="1">
      <alignment wrapText="1"/>
    </xf>
    <xf numFmtId="3" fontId="1" fillId="10" borderId="11" xfId="1" applyNumberFormat="1" applyFill="1" applyBorder="1" applyAlignment="1">
      <alignment horizontal="left" vertical="top" wrapText="1"/>
    </xf>
    <xf numFmtId="3" fontId="1" fillId="11" borderId="11" xfId="1" applyNumberFormat="1" applyFill="1" applyBorder="1" applyAlignment="1">
      <alignment wrapText="1"/>
    </xf>
    <xf numFmtId="3" fontId="1" fillId="11" borderId="11" xfId="1" applyNumberFormat="1" applyFill="1" applyBorder="1"/>
    <xf numFmtId="3" fontId="36" fillId="2" borderId="11" xfId="15" applyNumberFormat="1" applyFill="1" applyBorder="1" applyAlignment="1">
      <alignment horizontal="right"/>
    </xf>
    <xf numFmtId="3" fontId="1" fillId="2" borderId="11" xfId="1" applyNumberFormat="1" applyFill="1" applyBorder="1"/>
    <xf numFmtId="3" fontId="36" fillId="2" borderId="14" xfId="15" applyNumberFormat="1" applyFill="1" applyBorder="1" applyAlignment="1">
      <alignment horizontal="right"/>
    </xf>
    <xf numFmtId="3" fontId="1" fillId="2" borderId="11" xfId="1" applyNumberFormat="1" applyFill="1" applyBorder="1" applyAlignment="1">
      <alignment horizontal="right" wrapText="1"/>
    </xf>
    <xf numFmtId="3" fontId="1" fillId="2" borderId="14" xfId="1" applyNumberFormat="1" applyFill="1" applyBorder="1" applyAlignment="1">
      <alignment horizontal="right" wrapText="1"/>
    </xf>
    <xf numFmtId="0" fontId="36" fillId="8" borderId="0" xfId="16" applyFill="1"/>
    <xf numFmtId="0" fontId="42" fillId="0" borderId="0" xfId="16" applyFont="1"/>
    <xf numFmtId="0" fontId="36" fillId="7" borderId="0" xfId="16" applyFill="1"/>
    <xf numFmtId="172" fontId="17" fillId="0" borderId="11" xfId="39" applyNumberFormat="1" applyFont="1" applyBorder="1" applyAlignment="1">
      <alignment horizontal="left" vertical="center" wrapText="1"/>
    </xf>
    <xf numFmtId="172" fontId="18" fillId="0" borderId="11" xfId="39" applyNumberFormat="1" applyFont="1" applyBorder="1" applyAlignment="1">
      <alignment horizontal="left" vertical="center" wrapText="1"/>
    </xf>
    <xf numFmtId="172" fontId="19" fillId="0" borderId="11" xfId="39" applyNumberFormat="1" applyFont="1" applyBorder="1" applyAlignment="1">
      <alignment horizontal="left" vertical="center" wrapText="1"/>
    </xf>
    <xf numFmtId="172" fontId="20" fillId="0" borderId="11" xfId="39" applyNumberFormat="1" applyFont="1" applyBorder="1" applyAlignment="1">
      <alignment horizontal="left" vertical="center" wrapText="1"/>
    </xf>
    <xf numFmtId="0" fontId="66" fillId="0" borderId="0" xfId="0" applyFont="1" applyBorder="1" applyAlignment="1">
      <alignment wrapText="1"/>
    </xf>
    <xf numFmtId="0" fontId="99" fillId="0" borderId="0" xfId="0" applyFont="1" applyFill="1" applyAlignment="1">
      <alignment horizontal="left" wrapText="1"/>
    </xf>
    <xf numFmtId="0" fontId="99" fillId="0" borderId="0" xfId="0" applyFont="1" applyFill="1" applyBorder="1" applyAlignment="1">
      <alignment horizontal="left" wrapText="1"/>
    </xf>
    <xf numFmtId="0" fontId="99" fillId="0" borderId="43" xfId="0" applyFont="1" applyFill="1" applyBorder="1" applyAlignment="1">
      <alignment horizontal="left" wrapText="1"/>
    </xf>
    <xf numFmtId="0" fontId="99" fillId="0" borderId="43" xfId="0" applyFont="1" applyBorder="1" applyAlignment="1">
      <alignment wrapText="1"/>
    </xf>
    <xf numFmtId="0" fontId="99" fillId="0" borderId="0" xfId="0" applyFont="1" applyAlignment="1">
      <alignment horizontal="right"/>
    </xf>
    <xf numFmtId="0" fontId="92" fillId="0" borderId="11" xfId="0" applyFont="1" applyBorder="1" applyAlignment="1">
      <alignment horizontal="center" vertical="center" wrapText="1"/>
    </xf>
    <xf numFmtId="0" fontId="92" fillId="0" borderId="14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36" fillId="20" borderId="0" xfId="16" applyFill="1"/>
    <xf numFmtId="172" fontId="0" fillId="0" borderId="0" xfId="0" pivotButton="1" applyNumberFormat="1"/>
    <xf numFmtId="0" fontId="109" fillId="0" borderId="0" xfId="16" applyFont="1"/>
    <xf numFmtId="0" fontId="115" fillId="0" borderId="0" xfId="16" applyFont="1" applyAlignment="1">
      <alignment horizontal="center" vertical="top" wrapText="1"/>
    </xf>
    <xf numFmtId="0" fontId="115" fillId="0" borderId="0" xfId="16" applyFont="1" applyAlignment="1">
      <alignment vertical="top"/>
    </xf>
    <xf numFmtId="0" fontId="20" fillId="0" borderId="0" xfId="16" applyFont="1"/>
    <xf numFmtId="0" fontId="21" fillId="0" borderId="31" xfId="43" applyFont="1" applyFill="1" applyBorder="1" applyAlignment="1">
      <alignment horizontal="center" vertical="center" wrapText="1"/>
    </xf>
    <xf numFmtId="49" fontId="21" fillId="0" borderId="31" xfId="16" applyNumberFormat="1" applyFont="1" applyFill="1" applyBorder="1" applyAlignment="1">
      <alignment horizontal="right" vertical="center" wrapText="1"/>
    </xf>
    <xf numFmtId="0" fontId="21" fillId="0" borderId="30" xfId="16" applyFont="1" applyBorder="1" applyAlignment="1">
      <alignment horizontal="left" vertical="center" wrapText="1"/>
    </xf>
    <xf numFmtId="3" fontId="116" fillId="0" borderId="30" xfId="16" applyNumberFormat="1" applyFont="1" applyBorder="1" applyAlignment="1">
      <alignment horizontal="right" vertical="center"/>
    </xf>
    <xf numFmtId="0" fontId="87" fillId="0" borderId="0" xfId="16" applyFont="1"/>
    <xf numFmtId="49" fontId="20" fillId="0" borderId="31" xfId="16" applyNumberFormat="1" applyFont="1" applyFill="1" applyBorder="1" applyAlignment="1">
      <alignment horizontal="right" vertical="center" wrapText="1"/>
    </xf>
    <xf numFmtId="0" fontId="115" fillId="0" borderId="30" xfId="16" applyFont="1" applyBorder="1" applyAlignment="1">
      <alignment horizontal="left" vertical="center" wrapText="1"/>
    </xf>
    <xf numFmtId="3" fontId="55" fillId="0" borderId="30" xfId="16" applyNumberFormat="1" applyFont="1" applyBorder="1" applyAlignment="1">
      <alignment horizontal="right" vertical="center"/>
    </xf>
    <xf numFmtId="0" fontId="47" fillId="8" borderId="0" xfId="16" applyFont="1" applyFill="1" applyAlignment="1">
      <alignment horizontal="right" vertical="center"/>
    </xf>
    <xf numFmtId="9" fontId="0" fillId="0" borderId="0" xfId="0" applyNumberFormat="1"/>
    <xf numFmtId="164" fontId="0" fillId="0" borderId="0" xfId="0" applyNumberFormat="1"/>
    <xf numFmtId="178" fontId="0" fillId="0" borderId="0" xfId="0" applyNumberFormat="1"/>
    <xf numFmtId="179" fontId="34" fillId="21" borderId="0" xfId="28" applyNumberFormat="1" applyFill="1"/>
    <xf numFmtId="179" fontId="34" fillId="22" borderId="0" xfId="28" applyNumberFormat="1" applyFill="1"/>
    <xf numFmtId="179" fontId="34" fillId="23" borderId="0" xfId="28" applyNumberFormat="1" applyFill="1"/>
    <xf numFmtId="179" fontId="34" fillId="24" borderId="0" xfId="28" applyNumberFormat="1" applyFill="1"/>
    <xf numFmtId="179" fontId="34" fillId="24" borderId="0" xfId="28" applyNumberFormat="1" applyFill="1" applyAlignment="1">
      <alignment horizontal="left"/>
    </xf>
    <xf numFmtId="172" fontId="98" fillId="0" borderId="0" xfId="39" applyNumberFormat="1" applyFont="1"/>
    <xf numFmtId="172" fontId="98" fillId="0" borderId="0" xfId="28" applyNumberFormat="1" applyFont="1"/>
    <xf numFmtId="180" fontId="3" fillId="0" borderId="0" xfId="54" applyNumberFormat="1" applyFont="1"/>
    <xf numFmtId="172" fontId="19" fillId="2" borderId="11" xfId="39" applyNumberFormat="1" applyFont="1" applyFill="1" applyBorder="1" applyAlignment="1">
      <alignment vertical="top" wrapText="1"/>
    </xf>
    <xf numFmtId="172" fontId="19" fillId="0" borderId="11" xfId="39" applyNumberFormat="1" applyFont="1" applyFill="1" applyBorder="1" applyAlignment="1">
      <alignment horizontal="left" vertical="top" wrapText="1"/>
    </xf>
    <xf numFmtId="172" fontId="19" fillId="0" borderId="11" xfId="39" applyNumberFormat="1" applyFont="1" applyFill="1" applyBorder="1" applyAlignment="1">
      <alignment vertical="top" wrapText="1"/>
    </xf>
    <xf numFmtId="172" fontId="17" fillId="0" borderId="11" xfId="39" applyNumberFormat="1" applyFont="1" applyFill="1" applyBorder="1" applyAlignment="1">
      <alignment vertical="top" wrapText="1"/>
    </xf>
    <xf numFmtId="172" fontId="18" fillId="0" borderId="11" xfId="39" applyNumberFormat="1" applyFont="1" applyFill="1" applyBorder="1" applyAlignment="1">
      <alignment horizontal="left" vertical="top" wrapText="1"/>
    </xf>
    <xf numFmtId="172" fontId="18" fillId="0" borderId="11" xfId="39" applyNumberFormat="1" applyFont="1" applyFill="1" applyBorder="1" applyAlignment="1">
      <alignment vertical="top" wrapText="1"/>
    </xf>
    <xf numFmtId="172" fontId="18" fillId="0" borderId="11" xfId="39" applyNumberFormat="1" applyFont="1" applyFill="1" applyBorder="1" applyAlignment="1">
      <alignment horizontal="right" vertical="top" wrapText="1"/>
    </xf>
    <xf numFmtId="172" fontId="20" fillId="0" borderId="11" xfId="39" applyNumberFormat="1" applyFont="1" applyFill="1" applyBorder="1" applyAlignment="1">
      <alignment vertical="top" wrapText="1"/>
    </xf>
    <xf numFmtId="9" fontId="20" fillId="0" borderId="0" xfId="54" applyFont="1" applyBorder="1" applyAlignment="1">
      <alignment vertical="top" wrapText="1"/>
    </xf>
    <xf numFmtId="172" fontId="3" fillId="0" borderId="0" xfId="39" applyNumberFormat="1" applyFont="1"/>
    <xf numFmtId="0" fontId="5" fillId="0" borderId="11" xfId="2" applyFont="1" applyFill="1" applyBorder="1" applyAlignment="1">
      <alignment horizontal="left" vertical="top" indent="1"/>
    </xf>
    <xf numFmtId="0" fontId="5" fillId="0" borderId="11" xfId="2" applyFont="1" applyFill="1" applyBorder="1" applyAlignment="1">
      <alignment horizontal="right" vertical="top" indent="1"/>
    </xf>
    <xf numFmtId="49" fontId="76" fillId="7" borderId="0" xfId="16" applyNumberFormat="1" applyFont="1" applyFill="1" applyAlignment="1">
      <alignment vertical="center"/>
    </xf>
    <xf numFmtId="172" fontId="78" fillId="0" borderId="11" xfId="39" applyNumberFormat="1" applyFont="1" applyFill="1" applyBorder="1" applyAlignment="1">
      <alignment vertical="top" wrapText="1"/>
    </xf>
    <xf numFmtId="172" fontId="83" fillId="0" borderId="0" xfId="39" applyNumberFormat="1" applyFont="1" applyFill="1" applyAlignment="1" applyProtection="1">
      <alignment horizontal="left" vertical="top" wrapText="1"/>
      <protection locked="0"/>
    </xf>
    <xf numFmtId="3" fontId="3" fillId="0" borderId="11" xfId="14" applyNumberFormat="1" applyFont="1" applyFill="1" applyBorder="1" applyAlignment="1" applyProtection="1">
      <alignment vertical="top" wrapText="1"/>
      <protection locked="0"/>
    </xf>
    <xf numFmtId="3" fontId="3" fillId="0" borderId="11" xfId="14" applyNumberFormat="1" applyFont="1" applyFill="1" applyBorder="1" applyAlignment="1" applyProtection="1">
      <alignment horizontal="left" vertical="top" wrapText="1"/>
      <protection locked="0"/>
    </xf>
    <xf numFmtId="3" fontId="3" fillId="0" borderId="11" xfId="14" applyNumberFormat="1" applyFont="1" applyFill="1" applyBorder="1" applyAlignment="1" applyProtection="1">
      <alignment horizontal="center" vertical="center"/>
      <protection locked="0"/>
    </xf>
    <xf numFmtId="0" fontId="3" fillId="0" borderId="11" xfId="2" applyFont="1" applyFill="1" applyBorder="1" applyAlignment="1">
      <alignment horizontal="left" vertical="top" indent="1"/>
    </xf>
    <xf numFmtId="172" fontId="0" fillId="8" borderId="0" xfId="42" applyNumberFormat="1" applyFont="1" applyFill="1"/>
    <xf numFmtId="173" fontId="36" fillId="0" borderId="0" xfId="16" applyNumberFormat="1"/>
    <xf numFmtId="49" fontId="74" fillId="8" borderId="31" xfId="16" applyNumberFormat="1" applyFont="1" applyFill="1" applyBorder="1" applyAlignment="1">
      <alignment horizontal="right" vertical="center" wrapText="1"/>
    </xf>
    <xf numFmtId="0" fontId="120" fillId="8" borderId="30" xfId="16" applyFont="1" applyFill="1" applyBorder="1" applyAlignment="1">
      <alignment horizontal="left" vertical="center" wrapText="1"/>
    </xf>
    <xf numFmtId="3" fontId="120" fillId="8" borderId="30" xfId="16" applyNumberFormat="1" applyFont="1" applyFill="1" applyBorder="1" applyAlignment="1">
      <alignment horizontal="right" vertical="center"/>
    </xf>
    <xf numFmtId="0" fontId="76" fillId="8" borderId="0" xfId="16" applyFont="1" applyFill="1"/>
    <xf numFmtId="3" fontId="82" fillId="8" borderId="30" xfId="16" applyNumberFormat="1" applyFont="1" applyFill="1" applyBorder="1" applyAlignment="1">
      <alignment horizontal="right" vertical="center"/>
    </xf>
    <xf numFmtId="3" fontId="82" fillId="8" borderId="30" xfId="43" applyNumberFormat="1" applyFont="1" applyFill="1" applyBorder="1" applyAlignment="1">
      <alignment horizontal="right" vertical="center"/>
    </xf>
    <xf numFmtId="172" fontId="36" fillId="0" borderId="0" xfId="16" applyNumberFormat="1"/>
    <xf numFmtId="0" fontId="128" fillId="0" borderId="11" xfId="14" applyFont="1" applyFill="1" applyBorder="1" applyAlignment="1">
      <alignment horizontal="right" vertical="center"/>
    </xf>
    <xf numFmtId="0" fontId="128" fillId="0" borderId="11" xfId="14" applyFont="1" applyFill="1" applyBorder="1" applyAlignment="1">
      <alignment vertical="center" wrapText="1"/>
    </xf>
    <xf numFmtId="0" fontId="129" fillId="0" borderId="11" xfId="14" applyFont="1" applyFill="1" applyBorder="1" applyAlignment="1">
      <alignment horizontal="right" vertical="center"/>
    </xf>
    <xf numFmtId="0" fontId="130" fillId="0" borderId="11" xfId="14" applyFont="1" applyFill="1" applyBorder="1" applyAlignment="1">
      <alignment vertical="center" wrapText="1"/>
    </xf>
    <xf numFmtId="3" fontId="130" fillId="0" borderId="11" xfId="14" applyNumberFormat="1" applyFont="1" applyFill="1" applyBorder="1" applyAlignment="1" applyProtection="1">
      <alignment horizontal="center" vertical="center"/>
      <protection locked="0"/>
    </xf>
    <xf numFmtId="3" fontId="130" fillId="0" borderId="11" xfId="14" applyNumberFormat="1" applyFont="1" applyFill="1" applyBorder="1" applyAlignment="1" applyProtection="1">
      <alignment vertical="center" wrapText="1"/>
      <protection locked="0"/>
    </xf>
    <xf numFmtId="3" fontId="1" fillId="0" borderId="0" xfId="1" applyNumberFormat="1" applyFill="1" applyBorder="1"/>
    <xf numFmtId="3" fontId="1" fillId="0" borderId="0" xfId="1" applyNumberFormat="1" applyFill="1" applyBorder="1" applyAlignment="1">
      <alignment horizontal="left" vertical="top" wrapText="1"/>
    </xf>
    <xf numFmtId="3" fontId="1" fillId="0" borderId="0" xfId="1" applyNumberFormat="1" applyFill="1" applyBorder="1" applyAlignment="1">
      <alignment horizontal="right" wrapText="1"/>
    </xf>
    <xf numFmtId="3" fontId="1" fillId="0" borderId="0" xfId="1" applyNumberFormat="1" applyFill="1" applyBorder="1" applyAlignment="1">
      <alignment wrapText="1"/>
    </xf>
    <xf numFmtId="3" fontId="1" fillId="0" borderId="0" xfId="1" applyNumberFormat="1" applyFill="1" applyAlignment="1">
      <alignment horizontal="left" vertical="top" wrapText="1"/>
    </xf>
    <xf numFmtId="3" fontId="1" fillId="0" borderId="0" xfId="1" applyNumberFormat="1" applyFill="1" applyAlignment="1">
      <alignment horizontal="right" wrapText="1"/>
    </xf>
    <xf numFmtId="3" fontId="1" fillId="0" borderId="0" xfId="1" applyNumberFormat="1" applyFill="1" applyAlignment="1">
      <alignment wrapText="1"/>
    </xf>
    <xf numFmtId="3" fontId="10" fillId="0" borderId="0" xfId="1" applyNumberFormat="1" applyFont="1" applyFill="1" applyAlignment="1">
      <alignment horizontal="center" vertical="center"/>
    </xf>
    <xf numFmtId="3" fontId="1" fillId="0" borderId="16" xfId="1" applyNumberFormat="1" applyFill="1" applyBorder="1"/>
    <xf numFmtId="0" fontId="13" fillId="0" borderId="16" xfId="2" applyFont="1" applyFill="1" applyBorder="1" applyAlignment="1">
      <alignment vertical="top" wrapText="1"/>
    </xf>
    <xf numFmtId="3" fontId="36" fillId="12" borderId="16" xfId="15" applyNumberFormat="1" applyFill="1" applyBorder="1" applyAlignment="1">
      <alignment horizontal="right"/>
    </xf>
    <xf numFmtId="3" fontId="1" fillId="12" borderId="16" xfId="1" applyNumberFormat="1" applyFill="1" applyBorder="1" applyAlignment="1">
      <alignment horizontal="right" wrapText="1"/>
    </xf>
    <xf numFmtId="3" fontId="1" fillId="12" borderId="16" xfId="1" applyNumberFormat="1" applyFill="1" applyBorder="1" applyAlignment="1">
      <alignment wrapText="1"/>
    </xf>
    <xf numFmtId="3" fontId="1" fillId="12" borderId="16" xfId="1" applyNumberFormat="1" applyFill="1" applyBorder="1" applyAlignment="1">
      <alignment horizontal="left" vertical="top" wrapText="1"/>
    </xf>
    <xf numFmtId="3" fontId="1" fillId="12" borderId="16" xfId="1" applyNumberFormat="1" applyFill="1" applyBorder="1"/>
    <xf numFmtId="0" fontId="36" fillId="25" borderId="0" xfId="16" applyFill="1"/>
    <xf numFmtId="0" fontId="36" fillId="26" borderId="0" xfId="16" applyFill="1"/>
    <xf numFmtId="172" fontId="130" fillId="11" borderId="11" xfId="39" applyNumberFormat="1" applyFont="1" applyFill="1" applyBorder="1" applyAlignment="1" applyProtection="1">
      <alignment vertical="center"/>
      <protection locked="0"/>
    </xf>
    <xf numFmtId="172" fontId="130" fillId="11" borderId="11" xfId="39" applyNumberFormat="1" applyFont="1" applyFill="1" applyBorder="1" applyAlignment="1" applyProtection="1">
      <alignment horizontal="left" vertical="center"/>
      <protection locked="0"/>
    </xf>
    <xf numFmtId="0" fontId="36" fillId="0" borderId="0" xfId="16" applyAlignment="1">
      <alignment horizontal="left"/>
    </xf>
    <xf numFmtId="0" fontId="36" fillId="0" borderId="0" xfId="16" applyAlignment="1">
      <alignment horizontal="left" indent="1"/>
    </xf>
    <xf numFmtId="172" fontId="109" fillId="0" borderId="11" xfId="39" applyNumberFormat="1" applyFont="1" applyFill="1" applyBorder="1" applyProtection="1">
      <protection locked="0"/>
    </xf>
    <xf numFmtId="172" fontId="111" fillId="0" borderId="11" xfId="39" applyNumberFormat="1" applyFont="1" applyFill="1" applyBorder="1" applyAlignment="1">
      <alignment horizontal="right" vertical="top"/>
    </xf>
    <xf numFmtId="172" fontId="111" fillId="0" borderId="11" xfId="39" applyNumberFormat="1" applyFont="1" applyFill="1" applyBorder="1" applyAlignment="1">
      <alignment horizontal="left" vertical="top" wrapText="1"/>
    </xf>
    <xf numFmtId="172" fontId="87" fillId="0" borderId="11" xfId="39" applyNumberFormat="1" applyFont="1" applyFill="1" applyBorder="1" applyAlignment="1" applyProtection="1">
      <alignment wrapText="1"/>
      <protection locked="0"/>
    </xf>
    <xf numFmtId="172" fontId="36" fillId="0" borderId="11" xfId="39" applyNumberFormat="1" applyFont="1" applyFill="1" applyBorder="1" applyAlignment="1" applyProtection="1">
      <alignment horizontal="left"/>
      <protection locked="0"/>
    </xf>
    <xf numFmtId="172" fontId="17" fillId="0" borderId="11" xfId="39" applyNumberFormat="1" applyFont="1" applyFill="1" applyBorder="1" applyAlignment="1">
      <alignment horizontal="left" vertical="top" wrapText="1" indent="1"/>
    </xf>
    <xf numFmtId="172" fontId="18" fillId="0" borderId="11" xfId="39" applyNumberFormat="1" applyFont="1" applyFill="1" applyBorder="1" applyAlignment="1">
      <alignment horizontal="center" vertical="top" wrapText="1"/>
    </xf>
    <xf numFmtId="172" fontId="112" fillId="0" borderId="11" xfId="39" applyNumberFormat="1" applyFont="1" applyFill="1" applyBorder="1" applyAlignment="1">
      <alignment vertical="top" wrapText="1"/>
    </xf>
    <xf numFmtId="172" fontId="121" fillId="0" borderId="11" xfId="39" applyNumberFormat="1" applyFont="1" applyFill="1" applyBorder="1" applyAlignment="1">
      <alignment vertical="center" wrapText="1"/>
    </xf>
    <xf numFmtId="172" fontId="109" fillId="0" borderId="11" xfId="39" applyNumberFormat="1" applyFont="1" applyFill="1" applyBorder="1" applyAlignment="1" applyProtection="1">
      <alignment wrapText="1"/>
      <protection locked="0"/>
    </xf>
    <xf numFmtId="172" fontId="69" fillId="10" borderId="11" xfId="39" applyNumberFormat="1" applyFont="1" applyFill="1" applyBorder="1" applyAlignment="1" applyProtection="1">
      <alignment horizontal="right"/>
    </xf>
    <xf numFmtId="172" fontId="76" fillId="10" borderId="11" xfId="39" applyNumberFormat="1" applyFont="1" applyFill="1" applyBorder="1" applyAlignment="1">
      <alignment horizontal="right"/>
    </xf>
    <xf numFmtId="172" fontId="76" fillId="10" borderId="11" xfId="39" applyNumberFormat="1" applyFont="1" applyFill="1" applyBorder="1"/>
    <xf numFmtId="172" fontId="76" fillId="11" borderId="11" xfId="39" applyNumberFormat="1" applyFont="1" applyFill="1" applyBorder="1" applyAlignment="1" applyProtection="1">
      <alignment horizontal="right"/>
    </xf>
    <xf numFmtId="172" fontId="76" fillId="11" borderId="11" xfId="39" applyNumberFormat="1" applyFont="1" applyFill="1" applyBorder="1" applyAlignment="1">
      <alignment horizontal="right" wrapText="1"/>
    </xf>
    <xf numFmtId="172" fontId="76" fillId="11" borderId="11" xfId="39" applyNumberFormat="1" applyFont="1" applyFill="1" applyBorder="1" applyAlignment="1">
      <alignment horizontal="right"/>
    </xf>
    <xf numFmtId="172" fontId="76" fillId="11" borderId="11" xfId="39" applyNumberFormat="1" applyFont="1" applyFill="1" applyBorder="1"/>
    <xf numFmtId="172" fontId="76" fillId="12" borderId="11" xfId="39" applyNumberFormat="1" applyFont="1" applyFill="1" applyBorder="1" applyAlignment="1" applyProtection="1">
      <alignment horizontal="right"/>
    </xf>
    <xf numFmtId="172" fontId="76" fillId="12" borderId="11" xfId="39" applyNumberFormat="1" applyFont="1" applyFill="1" applyBorder="1" applyAlignment="1">
      <alignment horizontal="right"/>
    </xf>
    <xf numFmtId="172" fontId="76" fillId="12" borderId="11" xfId="39" applyNumberFormat="1" applyFont="1" applyFill="1" applyBorder="1" applyAlignment="1">
      <alignment horizontal="right" wrapText="1"/>
    </xf>
    <xf numFmtId="172" fontId="76" fillId="12" borderId="11" xfId="39" applyNumberFormat="1" applyFont="1" applyFill="1" applyBorder="1"/>
    <xf numFmtId="172" fontId="86" fillId="12" borderId="11" xfId="39" applyNumberFormat="1" applyFont="1" applyFill="1" applyBorder="1"/>
    <xf numFmtId="172" fontId="76" fillId="10" borderId="11" xfId="39" applyNumberFormat="1" applyFont="1" applyFill="1" applyBorder="1" applyAlignment="1" applyProtection="1">
      <alignment horizontal="right"/>
    </xf>
    <xf numFmtId="172" fontId="76" fillId="10" borderId="11" xfId="39" applyNumberFormat="1" applyFont="1" applyFill="1" applyBorder="1" applyAlignment="1">
      <alignment horizontal="right" wrapText="1"/>
    </xf>
    <xf numFmtId="172" fontId="76" fillId="13" borderId="11" xfId="39" applyNumberFormat="1" applyFont="1" applyFill="1" applyBorder="1" applyAlignment="1" applyProtection="1">
      <alignment horizontal="right"/>
    </xf>
    <xf numFmtId="172" fontId="76" fillId="13" borderId="11" xfId="39" applyNumberFormat="1" applyFont="1" applyFill="1" applyBorder="1" applyAlignment="1">
      <alignment horizontal="right" wrapText="1"/>
    </xf>
    <xf numFmtId="172" fontId="76" fillId="13" borderId="11" xfId="39" applyNumberFormat="1" applyFont="1" applyFill="1" applyBorder="1" applyAlignment="1">
      <alignment horizontal="right"/>
    </xf>
    <xf numFmtId="172" fontId="76" fillId="13" borderId="11" xfId="39" applyNumberFormat="1" applyFont="1" applyFill="1" applyBorder="1"/>
    <xf numFmtId="172" fontId="76" fillId="15" borderId="11" xfId="39" applyNumberFormat="1" applyFont="1" applyFill="1" applyBorder="1" applyAlignment="1">
      <alignment horizontal="right"/>
    </xf>
    <xf numFmtId="172" fontId="76" fillId="11" borderId="11" xfId="39" applyNumberFormat="1" applyFont="1" applyFill="1" applyBorder="1" applyAlignment="1">
      <alignment horizontal="left"/>
    </xf>
    <xf numFmtId="172" fontId="76" fillId="11" borderId="11" xfId="39" applyNumberFormat="1" applyFont="1" applyFill="1" applyBorder="1" applyAlignment="1" applyProtection="1">
      <alignment horizontal="left"/>
      <protection locked="0"/>
    </xf>
    <xf numFmtId="172" fontId="16" fillId="0" borderId="11" xfId="39" applyNumberFormat="1" applyFont="1" applyFill="1" applyBorder="1" applyAlignment="1">
      <alignment horizontal="left" vertical="center" wrapText="1"/>
    </xf>
    <xf numFmtId="172" fontId="22" fillId="0" borderId="11" xfId="39" applyNumberFormat="1" applyFont="1" applyFill="1" applyBorder="1" applyAlignment="1">
      <alignment horizontal="left" vertical="center" wrapText="1"/>
    </xf>
    <xf numFmtId="172" fontId="38" fillId="10" borderId="11" xfId="39" applyNumberFormat="1" applyFont="1" applyFill="1" applyBorder="1" applyAlignment="1" applyProtection="1">
      <alignment vertical="top" wrapText="1"/>
    </xf>
    <xf numFmtId="172" fontId="21" fillId="0" borderId="11" xfId="39" applyNumberFormat="1" applyFont="1" applyFill="1" applyBorder="1" applyAlignment="1">
      <alignment horizontal="left" vertical="center" wrapText="1"/>
    </xf>
    <xf numFmtId="172" fontId="76" fillId="10" borderId="11" xfId="39" applyNumberFormat="1" applyFont="1" applyFill="1" applyBorder="1" applyAlignment="1" applyProtection="1">
      <alignment wrapText="1"/>
      <protection locked="0"/>
    </xf>
    <xf numFmtId="172" fontId="86" fillId="10" borderId="11" xfId="39" applyNumberFormat="1" applyFont="1" applyFill="1" applyBorder="1" applyProtection="1">
      <protection locked="0"/>
    </xf>
    <xf numFmtId="172" fontId="20" fillId="0" borderId="11" xfId="39" applyNumberFormat="1" applyFont="1" applyFill="1" applyBorder="1" applyAlignment="1">
      <alignment horizontal="left" vertical="center" wrapText="1"/>
    </xf>
    <xf numFmtId="172" fontId="76" fillId="12" borderId="11" xfId="39" applyNumberFormat="1" applyFont="1" applyFill="1" applyBorder="1" applyAlignment="1" applyProtection="1">
      <alignment wrapText="1"/>
      <protection locked="0"/>
    </xf>
    <xf numFmtId="172" fontId="86" fillId="12" borderId="11" xfId="39" applyNumberFormat="1" applyFont="1" applyFill="1" applyBorder="1" applyProtection="1">
      <protection locked="0"/>
    </xf>
    <xf numFmtId="172" fontId="18" fillId="0" borderId="11" xfId="39" applyNumberFormat="1" applyFont="1" applyFill="1" applyBorder="1" applyAlignment="1">
      <alignment horizontal="left" vertical="center" wrapText="1"/>
    </xf>
    <xf numFmtId="172" fontId="109" fillId="0" borderId="11" xfId="39" applyNumberFormat="1" applyFont="1" applyBorder="1" applyAlignment="1" applyProtection="1">
      <alignment horizontal="left" vertical="center"/>
      <protection locked="0"/>
    </xf>
    <xf numFmtId="172" fontId="109" fillId="0" borderId="11" xfId="39" applyNumberFormat="1" applyFont="1" applyBorder="1" applyAlignment="1" applyProtection="1">
      <alignment horizontal="left" vertical="center" wrapText="1"/>
      <protection locked="0"/>
    </xf>
    <xf numFmtId="172" fontId="69" fillId="11" borderId="11" xfId="39" applyNumberFormat="1" applyFont="1" applyFill="1" applyBorder="1" applyProtection="1">
      <protection locked="0"/>
    </xf>
    <xf numFmtId="172" fontId="36" fillId="0" borderId="11" xfId="39" applyNumberFormat="1" applyFont="1" applyFill="1" applyBorder="1" applyAlignment="1" applyProtection="1">
      <protection locked="0"/>
    </xf>
    <xf numFmtId="172" fontId="19" fillId="0" borderId="11" xfId="39" applyNumberFormat="1" applyFont="1" applyFill="1" applyBorder="1" applyAlignment="1">
      <alignment horizontal="center" vertical="top" wrapText="1"/>
    </xf>
    <xf numFmtId="172" fontId="21" fillId="0" borderId="11" xfId="39" applyNumberFormat="1" applyFont="1" applyFill="1" applyBorder="1" applyAlignment="1">
      <alignment vertical="top"/>
    </xf>
    <xf numFmtId="172" fontId="22" fillId="0" borderId="11" xfId="39" applyNumberFormat="1" applyFont="1" applyFill="1" applyBorder="1" applyAlignment="1">
      <alignment vertical="top"/>
    </xf>
    <xf numFmtId="172" fontId="21" fillId="0" borderId="11" xfId="39" applyNumberFormat="1" applyFont="1" applyFill="1" applyBorder="1" applyAlignment="1">
      <alignment vertical="top" wrapText="1"/>
    </xf>
    <xf numFmtId="172" fontId="20" fillId="0" borderId="11" xfId="39" applyNumberFormat="1" applyFont="1" applyFill="1" applyBorder="1" applyAlignment="1">
      <alignment horizontal="left" vertical="top" wrapText="1"/>
    </xf>
    <xf numFmtId="172" fontId="109" fillId="10" borderId="11" xfId="39" applyNumberFormat="1" applyFont="1" applyFill="1" applyBorder="1"/>
    <xf numFmtId="172" fontId="109" fillId="10" borderId="11" xfId="39" applyNumberFormat="1" applyFont="1" applyFill="1" applyBorder="1" applyProtection="1"/>
    <xf numFmtId="172" fontId="109" fillId="10" borderId="11" xfId="39" applyNumberFormat="1" applyFont="1" applyFill="1" applyBorder="1" applyProtection="1">
      <protection locked="0"/>
    </xf>
    <xf numFmtId="172" fontId="109" fillId="11" borderId="11" xfId="39" applyNumberFormat="1" applyFont="1" applyFill="1" applyBorder="1"/>
    <xf numFmtId="172" fontId="109" fillId="11" borderId="11" xfId="39" applyNumberFormat="1" applyFont="1" applyFill="1" applyBorder="1" applyProtection="1">
      <protection locked="0"/>
    </xf>
    <xf numFmtId="172" fontId="109" fillId="12" borderId="11" xfId="39" applyNumberFormat="1" applyFont="1" applyFill="1" applyBorder="1"/>
    <xf numFmtId="172" fontId="109" fillId="12" borderId="11" xfId="39" applyNumberFormat="1" applyFont="1" applyFill="1" applyBorder="1" applyProtection="1"/>
    <xf numFmtId="172" fontId="110" fillId="12" borderId="11" xfId="39" applyNumberFormat="1" applyFont="1" applyFill="1" applyBorder="1" applyProtection="1"/>
    <xf numFmtId="172" fontId="109" fillId="11" borderId="11" xfId="39" applyNumberFormat="1" applyFont="1" applyFill="1" applyBorder="1" applyProtection="1"/>
    <xf numFmtId="172" fontId="109" fillId="11" borderId="11" xfId="39" applyNumberFormat="1" applyFont="1" applyFill="1" applyBorder="1" applyAlignment="1"/>
    <xf numFmtId="172" fontId="109" fillId="11" borderId="11" xfId="39" applyNumberFormat="1" applyFont="1" applyFill="1" applyBorder="1" applyAlignment="1" applyProtection="1"/>
    <xf numFmtId="172" fontId="87" fillId="12" borderId="11" xfId="39" applyNumberFormat="1" applyFont="1" applyFill="1" applyBorder="1" applyAlignment="1" applyProtection="1">
      <alignment horizontal="right"/>
    </xf>
    <xf numFmtId="172" fontId="3" fillId="0" borderId="11" xfId="39" applyNumberFormat="1" applyFont="1" applyFill="1" applyBorder="1" applyAlignment="1">
      <alignment vertical="top" wrapText="1"/>
    </xf>
    <xf numFmtId="172" fontId="118" fillId="11" borderId="11" xfId="39" applyNumberFormat="1" applyFont="1" applyFill="1" applyBorder="1"/>
    <xf numFmtId="172" fontId="118" fillId="11" borderId="11" xfId="39" applyNumberFormat="1" applyFont="1" applyFill="1" applyBorder="1" applyProtection="1"/>
    <xf numFmtId="172" fontId="119" fillId="11" borderId="11" xfId="39" applyNumberFormat="1" applyFont="1" applyFill="1" applyBorder="1" applyAlignment="1" applyProtection="1">
      <alignment vertical="top" wrapText="1"/>
    </xf>
    <xf numFmtId="172" fontId="4" fillId="0" borderId="11" xfId="39" applyNumberFormat="1" applyFont="1" applyFill="1" applyBorder="1" applyAlignment="1">
      <alignment vertical="top" wrapText="1"/>
    </xf>
    <xf numFmtId="172" fontId="5" fillId="0" borderId="11" xfId="39" applyNumberFormat="1" applyFont="1" applyFill="1" applyBorder="1" applyAlignment="1">
      <alignment vertical="top" wrapText="1"/>
    </xf>
    <xf numFmtId="172" fontId="5" fillId="0" borderId="11" xfId="39" applyNumberFormat="1" applyFont="1" applyFill="1" applyBorder="1" applyAlignment="1">
      <alignment vertical="center" wrapText="1"/>
    </xf>
    <xf numFmtId="172" fontId="17" fillId="0" borderId="11" xfId="39" applyNumberFormat="1" applyFont="1" applyFill="1" applyBorder="1" applyAlignment="1">
      <alignment horizontal="left" vertical="top"/>
    </xf>
    <xf numFmtId="172" fontId="17" fillId="0" borderId="11" xfId="39" applyNumberFormat="1" applyFont="1" applyFill="1" applyBorder="1" applyAlignment="1">
      <alignment horizontal="left" vertical="top" wrapText="1"/>
    </xf>
    <xf numFmtId="172" fontId="109" fillId="13" borderId="11" xfId="39" applyNumberFormat="1" applyFont="1" applyFill="1" applyBorder="1" applyProtection="1">
      <protection locked="0"/>
    </xf>
    <xf numFmtId="172" fontId="69" fillId="10" borderId="11" xfId="39" applyNumberFormat="1" applyFont="1" applyFill="1" applyBorder="1" applyProtection="1">
      <protection locked="0"/>
    </xf>
    <xf numFmtId="172" fontId="84" fillId="0" borderId="11" xfId="39" applyNumberFormat="1" applyFont="1" applyFill="1" applyBorder="1" applyAlignment="1">
      <alignment horizontal="left" vertical="top" wrapText="1"/>
    </xf>
    <xf numFmtId="172" fontId="36" fillId="0" borderId="0" xfId="39" applyNumberFormat="1" applyFont="1" applyFill="1" applyProtection="1">
      <protection locked="0"/>
    </xf>
    <xf numFmtId="172" fontId="109" fillId="12" borderId="11" xfId="39" applyNumberFormat="1" applyFont="1" applyFill="1" applyBorder="1" applyAlignment="1" applyProtection="1">
      <alignment horizontal="right"/>
    </xf>
    <xf numFmtId="172" fontId="109" fillId="12" borderId="11" xfId="39" applyNumberFormat="1" applyFont="1" applyFill="1" applyBorder="1" applyAlignment="1">
      <alignment horizontal="right"/>
    </xf>
    <xf numFmtId="172" fontId="109" fillId="12" borderId="11" xfId="39" applyNumberFormat="1" applyFont="1" applyFill="1" applyBorder="1" applyAlignment="1">
      <alignment horizontal="right" wrapText="1"/>
    </xf>
    <xf numFmtId="172" fontId="109" fillId="12" borderId="0" xfId="39" applyNumberFormat="1" applyFont="1" applyFill="1" applyProtection="1">
      <protection locked="0"/>
    </xf>
    <xf numFmtId="172" fontId="109" fillId="13" borderId="11" xfId="39" applyNumberFormat="1" applyFont="1" applyFill="1" applyBorder="1"/>
    <xf numFmtId="172" fontId="109" fillId="11" borderId="11" xfId="39" applyNumberFormat="1" applyFont="1" applyFill="1" applyBorder="1" applyAlignment="1">
      <alignment horizontal="left"/>
    </xf>
    <xf numFmtId="172" fontId="109" fillId="12" borderId="11" xfId="39" applyNumberFormat="1" applyFont="1" applyFill="1" applyBorder="1" applyAlignment="1">
      <alignment horizontal="left"/>
    </xf>
    <xf numFmtId="172" fontId="73" fillId="3" borderId="11" xfId="39" applyNumberFormat="1" applyFont="1" applyFill="1" applyBorder="1" applyAlignment="1">
      <alignment vertical="top" wrapText="1"/>
    </xf>
    <xf numFmtId="172" fontId="73" fillId="3" borderId="11" xfId="39" applyNumberFormat="1" applyFont="1" applyFill="1" applyBorder="1" applyAlignment="1">
      <alignment horizontal="left" vertical="top" wrapText="1" indent="1"/>
    </xf>
    <xf numFmtId="172" fontId="75" fillId="3" borderId="11" xfId="39" applyNumberFormat="1" applyFont="1" applyFill="1" applyBorder="1" applyAlignment="1">
      <alignment horizontal="left" vertical="top" wrapText="1" indent="1"/>
    </xf>
    <xf numFmtId="172" fontId="75" fillId="3" borderId="11" xfId="39" applyNumberFormat="1" applyFont="1" applyFill="1" applyBorder="1" applyAlignment="1">
      <alignment horizontal="left" vertical="top" wrapText="1" indent="2"/>
    </xf>
    <xf numFmtId="172" fontId="121" fillId="0" borderId="11" xfId="39" applyNumberFormat="1" applyFont="1" applyFill="1" applyBorder="1" applyAlignment="1">
      <alignment horizontal="left" vertical="center" wrapText="1"/>
    </xf>
    <xf numFmtId="172" fontId="122" fillId="0" borderId="11" xfId="39" applyNumberFormat="1" applyFont="1" applyFill="1" applyBorder="1" applyAlignment="1">
      <alignment horizontal="center" vertical="center" wrapText="1"/>
    </xf>
    <xf numFmtId="172" fontId="123" fillId="0" borderId="11" xfId="39" applyNumberFormat="1" applyFont="1" applyFill="1" applyBorder="1" applyAlignment="1">
      <alignment vertical="center" wrapText="1"/>
    </xf>
    <xf numFmtId="172" fontId="124" fillId="0" borderId="11" xfId="39" applyNumberFormat="1" applyFont="1" applyFill="1" applyBorder="1" applyAlignment="1">
      <alignment vertical="center" wrapText="1"/>
    </xf>
    <xf numFmtId="172" fontId="76" fillId="0" borderId="0" xfId="39" applyNumberFormat="1" applyFont="1" applyProtection="1">
      <protection locked="0"/>
    </xf>
    <xf numFmtId="172" fontId="73" fillId="0" borderId="11" xfId="39" applyNumberFormat="1" applyFont="1" applyFill="1" applyBorder="1" applyAlignment="1">
      <alignment vertical="top" wrapText="1"/>
    </xf>
    <xf numFmtId="172" fontId="75" fillId="0" borderId="11" xfId="39" applyNumberFormat="1" applyFont="1" applyFill="1" applyBorder="1" applyAlignment="1">
      <alignment vertical="top" wrapText="1"/>
    </xf>
    <xf numFmtId="172" fontId="85" fillId="0" borderId="11" xfId="39" applyNumberFormat="1" applyFont="1" applyFill="1" applyBorder="1" applyAlignment="1">
      <alignment vertical="top" wrapText="1"/>
    </xf>
    <xf numFmtId="172" fontId="122" fillId="0" borderId="11" xfId="39" applyNumberFormat="1" applyFont="1" applyFill="1" applyBorder="1" applyAlignment="1">
      <alignment vertical="center" wrapText="1"/>
    </xf>
    <xf numFmtId="172" fontId="69" fillId="0" borderId="0" xfId="39" applyNumberFormat="1" applyFont="1" applyFill="1" applyAlignment="1" applyProtection="1">
      <alignment wrapText="1"/>
      <protection locked="0"/>
    </xf>
    <xf numFmtId="172" fontId="76" fillId="0" borderId="0" xfId="39" applyNumberFormat="1" applyFont="1" applyFill="1" applyAlignment="1" applyProtection="1">
      <alignment wrapText="1"/>
      <protection locked="0"/>
    </xf>
    <xf numFmtId="172" fontId="77" fillId="0" borderId="11" xfId="39" applyNumberFormat="1" applyFont="1" applyBorder="1" applyAlignment="1">
      <alignment vertical="top" wrapText="1"/>
    </xf>
    <xf numFmtId="172" fontId="87" fillId="10" borderId="11" xfId="39" applyNumberFormat="1" applyFont="1" applyFill="1" applyBorder="1" applyAlignment="1" applyProtection="1">
      <alignment horizontal="right"/>
    </xf>
    <xf numFmtId="172" fontId="109" fillId="10" borderId="11" xfId="39" applyNumberFormat="1" applyFont="1" applyFill="1" applyBorder="1" applyAlignment="1">
      <alignment horizontal="right"/>
    </xf>
    <xf numFmtId="172" fontId="109" fillId="10" borderId="11" xfId="39" applyNumberFormat="1" applyFont="1" applyFill="1" applyBorder="1" applyAlignment="1">
      <alignment horizontal="right" wrapText="1"/>
    </xf>
    <xf numFmtId="172" fontId="36" fillId="0" borderId="0" xfId="39" applyNumberFormat="1" applyFont="1" applyProtection="1">
      <protection locked="0"/>
    </xf>
    <xf numFmtId="172" fontId="36" fillId="10" borderId="0" xfId="39" applyNumberFormat="1" applyFont="1" applyFill="1" applyProtection="1">
      <protection locked="0"/>
    </xf>
    <xf numFmtId="172" fontId="79" fillId="0" borderId="11" xfId="39" applyNumberFormat="1" applyFont="1" applyBorder="1" applyAlignment="1">
      <alignment horizontal="left" vertical="top" wrapText="1"/>
    </xf>
    <xf numFmtId="172" fontId="109" fillId="11" borderId="11" xfId="39" applyNumberFormat="1" applyFont="1" applyFill="1" applyBorder="1" applyAlignment="1" applyProtection="1">
      <alignment horizontal="right"/>
    </xf>
    <xf numFmtId="172" fontId="109" fillId="11" borderId="11" xfId="39" applyNumberFormat="1" applyFont="1" applyFill="1" applyBorder="1" applyAlignment="1">
      <alignment horizontal="right" wrapText="1"/>
    </xf>
    <xf numFmtId="172" fontId="109" fillId="11" borderId="11" xfId="39" applyNumberFormat="1" applyFont="1" applyFill="1" applyBorder="1" applyAlignment="1">
      <alignment horizontal="right"/>
    </xf>
    <xf numFmtId="172" fontId="109" fillId="11" borderId="0" xfId="39" applyNumberFormat="1" applyFont="1" applyFill="1" applyProtection="1">
      <protection locked="0"/>
    </xf>
    <xf numFmtId="172" fontId="139" fillId="12" borderId="11" xfId="39" applyNumberFormat="1" applyFont="1" applyFill="1" applyBorder="1"/>
    <xf numFmtId="172" fontId="81" fillId="0" borderId="11" xfId="39" applyNumberFormat="1" applyFont="1" applyBorder="1" applyAlignment="1">
      <alignment vertical="top" wrapText="1"/>
    </xf>
    <xf numFmtId="172" fontId="81" fillId="0" borderId="11" xfId="39" applyNumberFormat="1" applyFont="1" applyFill="1" applyBorder="1" applyAlignment="1">
      <alignment vertical="top" wrapText="1"/>
    </xf>
    <xf numFmtId="172" fontId="109" fillId="10" borderId="11" xfId="39" applyNumberFormat="1" applyFont="1" applyFill="1" applyBorder="1" applyAlignment="1" applyProtection="1">
      <alignment horizontal="right"/>
    </xf>
    <xf numFmtId="172" fontId="77" fillId="0" borderId="11" xfId="39" applyNumberFormat="1" applyFont="1" applyFill="1" applyBorder="1" applyAlignment="1">
      <alignment vertical="top" wrapText="1"/>
    </xf>
    <xf numFmtId="172" fontId="79" fillId="0" borderId="11" xfId="39" applyNumberFormat="1" applyFont="1" applyFill="1" applyBorder="1" applyAlignment="1">
      <alignment vertical="top" wrapText="1"/>
    </xf>
    <xf numFmtId="172" fontId="80" fillId="0" borderId="11" xfId="39" applyNumberFormat="1" applyFont="1" applyBorder="1" applyAlignment="1">
      <alignment vertical="top" wrapText="1"/>
    </xf>
    <xf numFmtId="172" fontId="81" fillId="0" borderId="11" xfId="39" applyNumberFormat="1" applyFont="1" applyFill="1" applyBorder="1" applyAlignment="1">
      <alignment vertical="top"/>
    </xf>
    <xf numFmtId="172" fontId="79" fillId="0" borderId="11" xfId="39" applyNumberFormat="1" applyFont="1" applyBorder="1" applyAlignment="1">
      <alignment horizontal="center" vertical="top" wrapText="1"/>
    </xf>
    <xf numFmtId="172" fontId="109" fillId="13" borderId="11" xfId="39" applyNumberFormat="1" applyFont="1" applyFill="1" applyBorder="1" applyAlignment="1" applyProtection="1">
      <alignment horizontal="right"/>
    </xf>
    <xf numFmtId="172" fontId="109" fillId="13" borderId="11" xfId="39" applyNumberFormat="1" applyFont="1" applyFill="1" applyBorder="1" applyAlignment="1">
      <alignment horizontal="right" wrapText="1"/>
    </xf>
    <xf numFmtId="172" fontId="109" fillId="13" borderId="11" xfId="39" applyNumberFormat="1" applyFont="1" applyFill="1" applyBorder="1" applyAlignment="1">
      <alignment horizontal="right"/>
    </xf>
    <xf numFmtId="172" fontId="109" fillId="15" borderId="11" xfId="39" applyNumberFormat="1" applyFont="1" applyFill="1" applyBorder="1" applyAlignment="1">
      <alignment horizontal="right"/>
    </xf>
    <xf numFmtId="172" fontId="80" fillId="0" borderId="11" xfId="39" applyNumberFormat="1" applyFont="1" applyBorder="1" applyAlignment="1">
      <alignment horizontal="center" vertical="top" wrapText="1"/>
    </xf>
    <xf numFmtId="172" fontId="82" fillId="0" borderId="11" xfId="39" applyNumberFormat="1" applyFont="1" applyFill="1" applyBorder="1" applyAlignment="1">
      <alignment vertical="top" wrapText="1"/>
    </xf>
    <xf numFmtId="172" fontId="78" fillId="0" borderId="11" xfId="39" applyNumberFormat="1" applyFont="1" applyFill="1" applyBorder="1" applyAlignment="1">
      <alignment horizontal="left" vertical="top" wrapText="1"/>
    </xf>
    <xf numFmtId="172" fontId="109" fillId="11" borderId="11" xfId="39" applyNumberFormat="1" applyFont="1" applyFill="1" applyBorder="1" applyAlignment="1" applyProtection="1">
      <alignment horizontal="left"/>
      <protection locked="0"/>
    </xf>
    <xf numFmtId="172" fontId="36" fillId="11" borderId="0" xfId="39" applyNumberFormat="1" applyFont="1" applyFill="1" applyAlignment="1" applyProtection="1">
      <alignment horizontal="left"/>
      <protection locked="0"/>
    </xf>
    <xf numFmtId="172" fontId="79" fillId="0" borderId="11" xfId="39" applyNumberFormat="1" applyFont="1" applyBorder="1" applyAlignment="1">
      <alignment horizontal="right" vertical="top" wrapText="1"/>
    </xf>
    <xf numFmtId="172" fontId="109" fillId="11" borderId="0" xfId="39" applyNumberFormat="1" applyFont="1" applyFill="1" applyAlignment="1" applyProtection="1">
      <alignment horizontal="left"/>
      <protection locked="0"/>
    </xf>
    <xf numFmtId="172" fontId="78" fillId="0" borderId="11" xfId="39" applyNumberFormat="1" applyFont="1" applyBorder="1" applyAlignment="1">
      <alignment vertical="top" wrapText="1"/>
    </xf>
    <xf numFmtId="172" fontId="122" fillId="0" borderId="11" xfId="39" applyNumberFormat="1" applyFont="1" applyBorder="1" applyAlignment="1">
      <alignment horizontal="left" vertical="center" wrapText="1"/>
    </xf>
    <xf numFmtId="172" fontId="136" fillId="0" borderId="11" xfId="39" applyNumberFormat="1" applyFont="1" applyFill="1" applyBorder="1" applyAlignment="1">
      <alignment vertical="center" wrapText="1"/>
    </xf>
    <xf numFmtId="172" fontId="137" fillId="0" borderId="11" xfId="39" applyNumberFormat="1" applyFont="1" applyFill="1" applyBorder="1" applyAlignment="1">
      <alignment vertical="center" wrapText="1"/>
    </xf>
    <xf numFmtId="172" fontId="82" fillId="0" borderId="11" xfId="39" applyNumberFormat="1" applyFont="1" applyFill="1" applyBorder="1" applyAlignment="1">
      <alignment vertical="top"/>
    </xf>
    <xf numFmtId="172" fontId="57" fillId="0" borderId="11" xfId="39" applyNumberFormat="1" applyFont="1" applyFill="1" applyBorder="1" applyAlignment="1">
      <alignment vertical="top" wrapText="1"/>
    </xf>
    <xf numFmtId="172" fontId="82" fillId="0" borderId="15" xfId="39" applyNumberFormat="1" applyFont="1" applyFill="1" applyBorder="1" applyAlignment="1" applyProtection="1">
      <alignment vertical="top" wrapText="1"/>
      <protection locked="0"/>
    </xf>
    <xf numFmtId="172" fontId="57" fillId="0" borderId="14" xfId="39" applyNumberFormat="1" applyFont="1" applyFill="1" applyBorder="1" applyAlignment="1" applyProtection="1">
      <alignment vertical="top" wrapText="1"/>
      <protection locked="0"/>
    </xf>
    <xf numFmtId="172" fontId="138" fillId="10" borderId="11" xfId="39" applyNumberFormat="1" applyFont="1" applyFill="1" applyBorder="1" applyProtection="1">
      <protection locked="0"/>
    </xf>
    <xf numFmtId="172" fontId="36" fillId="13" borderId="0" xfId="39" applyNumberFormat="1" applyFont="1" applyFill="1" applyAlignment="1" applyProtection="1">
      <alignment wrapText="1"/>
      <protection locked="0"/>
    </xf>
    <xf numFmtId="172" fontId="34" fillId="0" borderId="0" xfId="39" applyNumberFormat="1" applyProtection="1">
      <protection locked="0"/>
    </xf>
    <xf numFmtId="172" fontId="36" fillId="0" borderId="16" xfId="39" applyNumberFormat="1" applyFont="1" applyFill="1" applyBorder="1" applyProtection="1">
      <protection locked="0"/>
    </xf>
    <xf numFmtId="172" fontId="36" fillId="0" borderId="16" xfId="39" applyNumberFormat="1" applyFont="1" applyBorder="1" applyProtection="1">
      <protection locked="0"/>
    </xf>
    <xf numFmtId="172" fontId="109" fillId="0" borderId="31" xfId="39" applyNumberFormat="1" applyFont="1" applyBorder="1" applyAlignment="1" applyProtection="1">
      <alignment horizontal="left" vertical="center"/>
      <protection locked="0"/>
    </xf>
    <xf numFmtId="172" fontId="109" fillId="0" borderId="31" xfId="39" applyNumberFormat="1" applyFont="1" applyBorder="1" applyAlignment="1" applyProtection="1">
      <alignment horizontal="left" vertical="center" wrapText="1"/>
      <protection locked="0"/>
    </xf>
    <xf numFmtId="172" fontId="76" fillId="11" borderId="31" xfId="39" applyNumberFormat="1" applyFont="1" applyFill="1" applyBorder="1" applyProtection="1">
      <protection locked="0"/>
    </xf>
    <xf numFmtId="172" fontId="76" fillId="12" borderId="31" xfId="39" applyNumberFormat="1" applyFont="1" applyFill="1" applyBorder="1" applyProtection="1">
      <protection locked="0"/>
    </xf>
    <xf numFmtId="172" fontId="76" fillId="13" borderId="31" xfId="39" applyNumberFormat="1" applyFont="1" applyFill="1" applyBorder="1" applyAlignment="1" applyProtection="1">
      <alignment wrapText="1"/>
      <protection locked="0"/>
    </xf>
    <xf numFmtId="172" fontId="76" fillId="13" borderId="31" xfId="39" applyNumberFormat="1" applyFont="1" applyFill="1" applyBorder="1" applyProtection="1">
      <protection locked="0"/>
    </xf>
    <xf numFmtId="172" fontId="86" fillId="0" borderId="31" xfId="39" applyNumberFormat="1" applyFont="1" applyBorder="1" applyProtection="1">
      <protection locked="0"/>
    </xf>
    <xf numFmtId="172" fontId="76" fillId="10" borderId="31" xfId="39" applyNumberFormat="1" applyFont="1" applyFill="1" applyBorder="1" applyProtection="1">
      <protection locked="0"/>
    </xf>
    <xf numFmtId="172" fontId="76" fillId="0" borderId="31" xfId="39" applyNumberFormat="1" applyFont="1" applyBorder="1" applyProtection="1">
      <protection locked="0"/>
    </xf>
    <xf numFmtId="172" fontId="36" fillId="0" borderId="31" xfId="39" applyNumberFormat="1" applyFont="1" applyBorder="1" applyProtection="1">
      <protection locked="0"/>
    </xf>
    <xf numFmtId="172" fontId="36" fillId="0" borderId="31" xfId="39" applyNumberFormat="1" applyFont="1" applyFill="1" applyBorder="1" applyProtection="1">
      <protection locked="0"/>
    </xf>
    <xf numFmtId="172" fontId="109" fillId="0" borderId="0" xfId="39" applyNumberFormat="1" applyFont="1" applyFill="1" applyBorder="1" applyAlignment="1" applyProtection="1">
      <alignment horizontal="left" vertical="center"/>
      <protection locked="0"/>
    </xf>
    <xf numFmtId="172" fontId="109" fillId="0" borderId="0" xfId="39" applyNumberFormat="1" applyFont="1" applyFill="1" applyBorder="1" applyAlignment="1" applyProtection="1">
      <alignment horizontal="left" vertical="center" wrapText="1"/>
      <protection locked="0"/>
    </xf>
    <xf numFmtId="172" fontId="76" fillId="0" borderId="0" xfId="39" applyNumberFormat="1" applyFont="1" applyFill="1" applyBorder="1" applyProtection="1">
      <protection locked="0"/>
    </xf>
    <xf numFmtId="172" fontId="76" fillId="0" borderId="0" xfId="39" applyNumberFormat="1" applyFont="1" applyFill="1" applyBorder="1" applyAlignment="1" applyProtection="1">
      <alignment wrapText="1"/>
      <protection locked="0"/>
    </xf>
    <xf numFmtId="172" fontId="86" fillId="0" borderId="0" xfId="39" applyNumberFormat="1" applyFont="1" applyFill="1" applyBorder="1" applyProtection="1">
      <protection locked="0"/>
    </xf>
    <xf numFmtId="172" fontId="36" fillId="0" borderId="0" xfId="39" applyNumberFormat="1" applyFont="1" applyFill="1" applyBorder="1" applyProtection="1">
      <protection locked="0"/>
    </xf>
    <xf numFmtId="172" fontId="69" fillId="10" borderId="16" xfId="39" applyNumberFormat="1" applyFont="1" applyFill="1" applyBorder="1" applyProtection="1">
      <protection locked="0"/>
    </xf>
    <xf numFmtId="172" fontId="69" fillId="0" borderId="16" xfId="39" applyNumberFormat="1" applyFont="1" applyFill="1" applyBorder="1" applyProtection="1">
      <protection locked="0"/>
    </xf>
    <xf numFmtId="172" fontId="40" fillId="0" borderId="0" xfId="39" applyNumberFormat="1" applyFont="1" applyFill="1" applyBorder="1" applyAlignment="1" applyProtection="1">
      <alignment vertical="top" wrapText="1"/>
      <protection locked="0"/>
    </xf>
    <xf numFmtId="172" fontId="36" fillId="0" borderId="44" xfId="39" applyNumberFormat="1" applyFont="1" applyFill="1" applyBorder="1" applyProtection="1">
      <protection locked="0"/>
    </xf>
    <xf numFmtId="172" fontId="117" fillId="0" borderId="44" xfId="39" applyNumberFormat="1" applyFont="1" applyFill="1" applyBorder="1" applyProtection="1">
      <protection locked="0"/>
    </xf>
    <xf numFmtId="172" fontId="36" fillId="0" borderId="15" xfId="39" applyNumberFormat="1" applyFont="1" applyFill="1" applyBorder="1" applyProtection="1">
      <protection locked="0"/>
    </xf>
    <xf numFmtId="172" fontId="76" fillId="0" borderId="15" xfId="39" applyNumberFormat="1" applyFont="1" applyFill="1" applyBorder="1" applyProtection="1">
      <protection locked="0"/>
    </xf>
    <xf numFmtId="172" fontId="40" fillId="10" borderId="15" xfId="39" applyNumberFormat="1" applyFont="1" applyFill="1" applyBorder="1" applyAlignment="1" applyProtection="1">
      <alignment vertical="top" wrapText="1"/>
    </xf>
    <xf numFmtId="172" fontId="69" fillId="10" borderId="18" xfId="39" applyNumberFormat="1" applyFont="1" applyFill="1" applyBorder="1" applyProtection="1">
      <protection locked="0"/>
    </xf>
    <xf numFmtId="172" fontId="40" fillId="0" borderId="32" xfId="39" applyNumberFormat="1" applyFont="1" applyFill="1" applyBorder="1" applyAlignment="1" applyProtection="1">
      <alignment vertical="top" wrapText="1"/>
      <protection locked="0"/>
    </xf>
    <xf numFmtId="172" fontId="40" fillId="0" borderId="15" xfId="39" applyNumberFormat="1" applyFont="1" applyFill="1" applyBorder="1" applyAlignment="1" applyProtection="1">
      <alignment vertical="top" wrapText="1"/>
      <protection locked="0"/>
    </xf>
    <xf numFmtId="172" fontId="40" fillId="10" borderId="15" xfId="39" applyNumberFormat="1" applyFont="1" applyFill="1" applyBorder="1" applyAlignment="1" applyProtection="1">
      <alignment vertical="top" wrapText="1"/>
      <protection locked="0"/>
    </xf>
    <xf numFmtId="172" fontId="36" fillId="0" borderId="14" xfId="39" applyNumberFormat="1" applyFont="1" applyFill="1" applyBorder="1" applyProtection="1">
      <protection locked="0"/>
    </xf>
    <xf numFmtId="172" fontId="36" fillId="0" borderId="14" xfId="39" applyNumberFormat="1" applyFont="1" applyFill="1" applyBorder="1" applyAlignment="1" applyProtection="1">
      <protection locked="0"/>
    </xf>
    <xf numFmtId="172" fontId="69" fillId="0" borderId="17" xfId="39" applyNumberFormat="1" applyFont="1" applyFill="1" applyBorder="1" applyProtection="1">
      <protection locked="0"/>
    </xf>
    <xf numFmtId="172" fontId="36" fillId="0" borderId="30" xfId="39" applyNumberFormat="1" applyFont="1" applyFill="1" applyBorder="1" applyProtection="1">
      <protection locked="0"/>
    </xf>
    <xf numFmtId="172" fontId="36" fillId="0" borderId="0" xfId="39" applyNumberFormat="1" applyFont="1" applyFill="1" applyBorder="1" applyAlignment="1" applyProtection="1">
      <protection locked="0"/>
    </xf>
    <xf numFmtId="172" fontId="69" fillId="0" borderId="0" xfId="39" applyNumberFormat="1" applyFont="1" applyFill="1" applyBorder="1" applyProtection="1">
      <protection locked="0"/>
    </xf>
    <xf numFmtId="172" fontId="36" fillId="0" borderId="26" xfId="39" applyNumberFormat="1" applyFont="1" applyFill="1" applyBorder="1" applyProtection="1">
      <protection locked="0"/>
    </xf>
    <xf numFmtId="172" fontId="69" fillId="0" borderId="26" xfId="39" applyNumberFormat="1" applyFont="1" applyFill="1" applyBorder="1" applyProtection="1">
      <protection locked="0"/>
    </xf>
    <xf numFmtId="172" fontId="83" fillId="0" borderId="0" xfId="39" applyNumberFormat="1" applyFont="1" applyFill="1" applyProtection="1">
      <protection locked="0"/>
    </xf>
    <xf numFmtId="172" fontId="36" fillId="0" borderId="0" xfId="39" applyNumberFormat="1" applyFont="1" applyFill="1" applyAlignment="1" applyProtection="1">
      <alignment wrapText="1"/>
      <protection locked="0"/>
    </xf>
    <xf numFmtId="172" fontId="34" fillId="0" borderId="0" xfId="39" applyNumberFormat="1" applyFill="1" applyProtection="1">
      <protection locked="0"/>
    </xf>
    <xf numFmtId="172" fontId="76" fillId="0" borderId="0" xfId="39" applyNumberFormat="1" applyFont="1" applyFill="1" applyProtection="1">
      <protection locked="0"/>
    </xf>
    <xf numFmtId="172" fontId="36" fillId="0" borderId="0" xfId="39" applyNumberFormat="1" applyFont="1" applyFill="1" applyAlignment="1" applyProtection="1">
      <alignment horizontal="left"/>
      <protection locked="0"/>
    </xf>
    <xf numFmtId="3" fontId="35" fillId="19" borderId="11" xfId="1" applyNumberFormat="1" applyFont="1" applyFill="1" applyBorder="1" applyAlignment="1">
      <alignment horizontal="center"/>
    </xf>
    <xf numFmtId="3" fontId="1" fillId="0" borderId="0" xfId="1" applyNumberFormat="1" applyFill="1" applyAlignment="1">
      <alignment horizontal="center"/>
    </xf>
    <xf numFmtId="3" fontId="1" fillId="0" borderId="0" xfId="1" applyNumberFormat="1" applyAlignment="1">
      <alignment horizontal="center"/>
    </xf>
    <xf numFmtId="3" fontId="1" fillId="12" borderId="11" xfId="15" applyNumberFormat="1" applyFont="1" applyFill="1" applyBorder="1" applyAlignment="1">
      <alignment horizontal="center" vertical="center"/>
    </xf>
    <xf numFmtId="3" fontId="1" fillId="12" borderId="16" xfId="1" applyNumberFormat="1" applyFont="1" applyFill="1" applyBorder="1"/>
    <xf numFmtId="3" fontId="1" fillId="12" borderId="16" xfId="15" applyNumberFormat="1" applyFont="1" applyFill="1" applyBorder="1" applyAlignment="1">
      <alignment horizontal="center" vertical="center"/>
    </xf>
    <xf numFmtId="3" fontId="10" fillId="0" borderId="11" xfId="1" applyNumberFormat="1" applyFont="1" applyBorder="1" applyAlignment="1">
      <alignment horizontal="center"/>
    </xf>
    <xf numFmtId="3" fontId="10" fillId="11" borderId="11" xfId="1" applyNumberFormat="1" applyFont="1" applyFill="1" applyBorder="1" applyAlignment="1">
      <alignment horizontal="center" vertical="top" wrapText="1"/>
    </xf>
    <xf numFmtId="0" fontId="89" fillId="0" borderId="43" xfId="16" applyFont="1" applyBorder="1" applyAlignment="1">
      <alignment horizontal="center" wrapText="1"/>
    </xf>
    <xf numFmtId="0" fontId="95" fillId="0" borderId="0" xfId="16" applyFont="1" applyAlignment="1"/>
    <xf numFmtId="0" fontId="93" fillId="0" borderId="11" xfId="16" applyFont="1" applyFill="1" applyBorder="1" applyAlignment="1">
      <alignment horizontal="center" vertical="center" wrapText="1"/>
    </xf>
    <xf numFmtId="0" fontId="93" fillId="0" borderId="15" xfId="16" applyFont="1" applyFill="1" applyBorder="1" applyAlignment="1">
      <alignment horizontal="center" vertical="center" wrapText="1"/>
    </xf>
    <xf numFmtId="3" fontId="93" fillId="0" borderId="0" xfId="16" applyNumberFormat="1" applyFont="1" applyAlignment="1"/>
    <xf numFmtId="3" fontId="90" fillId="0" borderId="0" xfId="16" applyNumberFormat="1" applyFont="1" applyAlignment="1"/>
    <xf numFmtId="3" fontId="90" fillId="0" borderId="0" xfId="16" applyNumberFormat="1" applyFont="1" applyAlignment="1">
      <alignment horizontal="right"/>
    </xf>
    <xf numFmtId="3" fontId="90" fillId="0" borderId="43" xfId="16" applyNumberFormat="1" applyFont="1" applyBorder="1" applyAlignment="1"/>
    <xf numFmtId="0" fontId="89" fillId="0" borderId="0" xfId="16" applyFont="1" applyAlignment="1">
      <alignment horizontal="center"/>
    </xf>
    <xf numFmtId="0" fontId="96" fillId="0" borderId="0" xfId="16" applyFont="1" applyAlignment="1">
      <alignment horizontal="left" wrapText="1"/>
    </xf>
    <xf numFmtId="3" fontId="96" fillId="0" borderId="0" xfId="16" applyNumberFormat="1" applyFont="1" applyAlignment="1"/>
    <xf numFmtId="0" fontId="96" fillId="0" borderId="0" xfId="16" applyFont="1"/>
    <xf numFmtId="0" fontId="91" fillId="0" borderId="0" xfId="16" applyFont="1" applyAlignment="1">
      <alignment horizontal="left" wrapText="1"/>
    </xf>
    <xf numFmtId="3" fontId="91" fillId="0" borderId="0" xfId="16" applyNumberFormat="1" applyFont="1" applyAlignment="1"/>
    <xf numFmtId="0" fontId="91" fillId="0" borderId="0" xfId="16" applyFont="1"/>
    <xf numFmtId="0" fontId="91" fillId="0" borderId="0" xfId="16" applyFont="1" applyAlignment="1">
      <alignment horizontal="left" wrapText="1" indent="2"/>
    </xf>
    <xf numFmtId="0" fontId="91" fillId="0" borderId="0" xfId="16" applyFont="1" applyAlignment="1">
      <alignment horizontal="left" wrapText="1" indent="4"/>
    </xf>
    <xf numFmtId="3" fontId="91" fillId="0" borderId="0" xfId="16" applyNumberFormat="1" applyFont="1" applyAlignment="1">
      <alignment horizontal="right"/>
    </xf>
    <xf numFmtId="0" fontId="91" fillId="0" borderId="0" xfId="16" applyFont="1" applyAlignment="1">
      <alignment horizontal="left" indent="4"/>
    </xf>
    <xf numFmtId="0" fontId="91" fillId="0" borderId="0" xfId="16" applyFont="1" applyAlignment="1">
      <alignment horizontal="left" indent="2"/>
    </xf>
    <xf numFmtId="0" fontId="91" fillId="0" borderId="0" xfId="16" applyFont="1" applyAlignment="1">
      <alignment wrapText="1"/>
    </xf>
    <xf numFmtId="0" fontId="91" fillId="0" borderId="43" xfId="16" applyFont="1" applyBorder="1" applyAlignment="1">
      <alignment horizontal="left" wrapText="1"/>
    </xf>
    <xf numFmtId="3" fontId="91" fillId="0" borderId="43" xfId="16" applyNumberFormat="1" applyFont="1" applyBorder="1" applyAlignment="1"/>
    <xf numFmtId="3" fontId="91" fillId="0" borderId="43" xfId="16" applyNumberFormat="1" applyFont="1" applyBorder="1" applyAlignment="1">
      <alignment horizontal="right"/>
    </xf>
    <xf numFmtId="0" fontId="91" fillId="0" borderId="43" xfId="16" applyFont="1" applyBorder="1" applyAlignment="1">
      <alignment wrapText="1"/>
    </xf>
    <xf numFmtId="0" fontId="92" fillId="0" borderId="43" xfId="16" applyFont="1" applyBorder="1" applyAlignment="1">
      <alignment horizontal="left" indent="4"/>
    </xf>
    <xf numFmtId="0" fontId="92" fillId="0" borderId="0" xfId="16" applyFont="1" applyBorder="1" applyAlignment="1">
      <alignment horizontal="left" indent="4"/>
    </xf>
    <xf numFmtId="0" fontId="142" fillId="0" borderId="0" xfId="16" applyFont="1" applyAlignment="1">
      <alignment horizontal="left" wrapText="1"/>
    </xf>
    <xf numFmtId="3" fontId="142" fillId="0" borderId="0" xfId="16" applyNumberFormat="1" applyFont="1" applyBorder="1" applyAlignment="1">
      <alignment horizontal="right" wrapText="1"/>
    </xf>
    <xf numFmtId="3" fontId="142" fillId="0" borderId="0" xfId="16" applyNumberFormat="1" applyFont="1" applyAlignment="1">
      <alignment horizontal="right"/>
    </xf>
    <xf numFmtId="0" fontId="142" fillId="0" borderId="0" xfId="16" applyFont="1"/>
    <xf numFmtId="0" fontId="89" fillId="0" borderId="0" xfId="16" applyFont="1" applyAlignment="1">
      <alignment horizontal="left" wrapText="1"/>
    </xf>
    <xf numFmtId="3" fontId="89" fillId="0" borderId="0" xfId="16" applyNumberFormat="1" applyFont="1" applyBorder="1" applyAlignment="1">
      <alignment horizontal="right" wrapText="1"/>
    </xf>
    <xf numFmtId="3" fontId="89" fillId="0" borderId="0" xfId="16" applyNumberFormat="1" applyFont="1" applyAlignment="1">
      <alignment horizontal="right"/>
    </xf>
    <xf numFmtId="0" fontId="89" fillId="0" borderId="0" xfId="16" applyFont="1" applyAlignment="1">
      <alignment wrapText="1"/>
    </xf>
    <xf numFmtId="0" fontId="89" fillId="0" borderId="0" xfId="16" applyFont="1" applyAlignment="1">
      <alignment horizontal="left" wrapText="1" indent="1"/>
    </xf>
    <xf numFmtId="0" fontId="89" fillId="0" borderId="43" xfId="16" applyFont="1" applyBorder="1" applyAlignment="1">
      <alignment horizontal="left" wrapText="1"/>
    </xf>
    <xf numFmtId="3" fontId="89" fillId="0" borderId="43" xfId="16" applyNumberFormat="1" applyFont="1" applyBorder="1" applyAlignment="1">
      <alignment horizontal="right" wrapText="1"/>
    </xf>
    <xf numFmtId="3" fontId="89" fillId="0" borderId="43" xfId="16" applyNumberFormat="1" applyFont="1" applyBorder="1" applyAlignment="1">
      <alignment horizontal="right"/>
    </xf>
    <xf numFmtId="0" fontId="89" fillId="0" borderId="43" xfId="16" applyFont="1" applyBorder="1" applyAlignment="1">
      <alignment wrapText="1"/>
    </xf>
    <xf numFmtId="3" fontId="91" fillId="8" borderId="0" xfId="16" applyNumberFormat="1" applyFont="1" applyFill="1" applyAlignment="1"/>
    <xf numFmtId="3" fontId="89" fillId="8" borderId="0" xfId="16" applyNumberFormat="1" applyFont="1" applyFill="1" applyAlignment="1">
      <alignment horizontal="right"/>
    </xf>
    <xf numFmtId="3" fontId="93" fillId="8" borderId="0" xfId="16" applyNumberFormat="1" applyFont="1" applyFill="1" applyAlignment="1"/>
    <xf numFmtId="3" fontId="90" fillId="8" borderId="0" xfId="16" applyNumberFormat="1" applyFont="1" applyFill="1" applyAlignment="1"/>
    <xf numFmtId="0" fontId="0" fillId="0" borderId="0" xfId="0"/>
    <xf numFmtId="0" fontId="99" fillId="0" borderId="0" xfId="0" applyFont="1" applyBorder="1" applyAlignment="1">
      <alignment wrapText="1"/>
    </xf>
    <xf numFmtId="0" fontId="99" fillId="0" borderId="43" xfId="0" applyFont="1" applyBorder="1" applyAlignment="1">
      <alignment wrapText="1"/>
    </xf>
    <xf numFmtId="0" fontId="99" fillId="0" borderId="0" xfId="0" applyFont="1" applyBorder="1" applyAlignment="1">
      <alignment vertical="center" wrapText="1"/>
    </xf>
    <xf numFmtId="202" fontId="176" fillId="0" borderId="0" xfId="610" applyNumberFormat="1" applyFont="1" applyFill="1" applyBorder="1" applyAlignment="1">
      <alignment horizontal="right" vertical="top" wrapText="1"/>
    </xf>
    <xf numFmtId="202" fontId="43" fillId="0" borderId="0" xfId="610" applyNumberFormat="1" applyFont="1" applyFill="1" applyBorder="1" applyAlignment="1">
      <alignment horizontal="right" vertical="top" wrapText="1"/>
    </xf>
    <xf numFmtId="202" fontId="43" fillId="0" borderId="0" xfId="610" applyNumberFormat="1" applyFont="1" applyFill="1" applyBorder="1" applyAlignment="1">
      <alignment horizontal="right" vertical="center" wrapText="1"/>
    </xf>
    <xf numFmtId="202" fontId="176" fillId="0" borderId="0" xfId="610" applyNumberFormat="1" applyFont="1" applyFill="1" applyBorder="1" applyAlignment="1">
      <alignment horizontal="right" vertical="center" wrapText="1"/>
    </xf>
    <xf numFmtId="0" fontId="0" fillId="0" borderId="0" xfId="0" applyFill="1" applyBorder="1"/>
    <xf numFmtId="0" fontId="99" fillId="0" borderId="0" xfId="0" applyFont="1" applyBorder="1" applyAlignment="1">
      <alignment horizontal="left" wrapText="1" indent="1"/>
    </xf>
    <xf numFmtId="0" fontId="179" fillId="0" borderId="0" xfId="610" applyAlignment="1">
      <alignment wrapText="1"/>
    </xf>
    <xf numFmtId="0" fontId="185" fillId="0" borderId="0" xfId="610" applyFont="1" applyAlignment="1">
      <alignment wrapText="1"/>
    </xf>
    <xf numFmtId="202" fontId="43" fillId="0" borderId="11" xfId="610" applyNumberFormat="1" applyFont="1" applyBorder="1" applyAlignment="1">
      <alignment horizontal="right" vertical="center" wrapText="1"/>
    </xf>
    <xf numFmtId="174" fontId="99" fillId="0" borderId="11" xfId="0" applyNumberFormat="1" applyFont="1" applyBorder="1" applyAlignment="1">
      <alignment horizontal="right"/>
    </xf>
    <xf numFmtId="0" fontId="176" fillId="0" borderId="11" xfId="610" applyFont="1" applyBorder="1" applyAlignment="1">
      <alignment horizontal="center" vertical="center"/>
    </xf>
    <xf numFmtId="0" fontId="184" fillId="0" borderId="11" xfId="610" applyFont="1" applyBorder="1" applyAlignment="1">
      <alignment horizontal="center" vertical="center"/>
    </xf>
    <xf numFmtId="0" fontId="92" fillId="0" borderId="16" xfId="0" applyFont="1" applyBorder="1" applyAlignment="1">
      <alignment horizontal="center" vertical="center" wrapText="1"/>
    </xf>
    <xf numFmtId="0" fontId="92" fillId="0" borderId="18" xfId="0" applyFont="1" applyBorder="1" applyAlignment="1">
      <alignment horizontal="center" vertical="center" wrapText="1"/>
    </xf>
    <xf numFmtId="0" fontId="99" fillId="0" borderId="11" xfId="0" applyFont="1" applyBorder="1" applyAlignment="1">
      <alignment vertical="center" wrapText="1"/>
    </xf>
    <xf numFmtId="0" fontId="184" fillId="0" borderId="14" xfId="610" applyFont="1" applyBorder="1" applyAlignment="1">
      <alignment horizontal="center" vertical="center"/>
    </xf>
    <xf numFmtId="202" fontId="43" fillId="0" borderId="14" xfId="610" applyNumberFormat="1" applyFont="1" applyBorder="1" applyAlignment="1">
      <alignment horizontal="right" vertical="center" wrapText="1"/>
    </xf>
    <xf numFmtId="0" fontId="0" fillId="0" borderId="24" xfId="0" applyBorder="1"/>
    <xf numFmtId="0" fontId="99" fillId="0" borderId="26" xfId="0" applyFont="1" applyBorder="1" applyAlignment="1">
      <alignment wrapText="1"/>
    </xf>
    <xf numFmtId="0" fontId="92" fillId="0" borderId="26" xfId="0" applyFont="1" applyBorder="1" applyAlignment="1">
      <alignment wrapText="1"/>
    </xf>
    <xf numFmtId="49" fontId="47" fillId="70" borderId="0" xfId="16" applyNumberFormat="1" applyFont="1" applyFill="1" applyAlignment="1">
      <alignment vertical="center"/>
    </xf>
    <xf numFmtId="0" fontId="50" fillId="70" borderId="0" xfId="16" applyFont="1" applyFill="1" applyAlignment="1">
      <alignment vertical="center" wrapText="1"/>
    </xf>
    <xf numFmtId="167" fontId="47" fillId="70" borderId="0" xfId="16" applyNumberFormat="1" applyFont="1" applyFill="1" applyAlignment="1">
      <alignment vertical="center"/>
    </xf>
    <xf numFmtId="167" fontId="47" fillId="70" borderId="0" xfId="16" applyNumberFormat="1" applyFont="1" applyFill="1" applyAlignment="1">
      <alignment horizontal="center" vertical="center"/>
    </xf>
    <xf numFmtId="0" fontId="3" fillId="70" borderId="11" xfId="16" applyFont="1" applyFill="1" applyBorder="1" applyAlignment="1">
      <alignment horizontal="center" vertical="center"/>
    </xf>
    <xf numFmtId="3" fontId="3" fillId="70" borderId="11" xfId="16" applyNumberFormat="1" applyFont="1" applyFill="1" applyBorder="1" applyAlignment="1">
      <alignment horizontal="center" vertical="center"/>
    </xf>
    <xf numFmtId="0" fontId="47" fillId="70" borderId="0" xfId="16" applyFont="1" applyFill="1" applyAlignment="1">
      <alignment vertical="center"/>
    </xf>
    <xf numFmtId="49" fontId="48" fillId="3" borderId="0" xfId="16" applyNumberFormat="1" applyFont="1" applyFill="1" applyAlignment="1">
      <alignment vertical="center"/>
    </xf>
    <xf numFmtId="0" fontId="48" fillId="3" borderId="0" xfId="16" applyFont="1" applyFill="1" applyAlignment="1">
      <alignment vertical="center" wrapText="1"/>
    </xf>
    <xf numFmtId="167" fontId="48" fillId="3" borderId="0" xfId="16" applyNumberFormat="1" applyFont="1" applyFill="1" applyAlignment="1">
      <alignment vertical="center"/>
    </xf>
    <xf numFmtId="167" fontId="48" fillId="3" borderId="0" xfId="16" applyNumberFormat="1" applyFont="1" applyFill="1" applyAlignment="1">
      <alignment horizontal="center" vertical="center"/>
    </xf>
    <xf numFmtId="0" fontId="47" fillId="3" borderId="0" xfId="16" applyFont="1" applyFill="1" applyAlignment="1">
      <alignment vertical="center"/>
    </xf>
    <xf numFmtId="0" fontId="14" fillId="70" borderId="11" xfId="1" applyFont="1" applyFill="1" applyBorder="1" applyAlignment="1">
      <alignment horizontal="center" vertical="center"/>
    </xf>
    <xf numFmtId="0" fontId="90" fillId="70" borderId="0" xfId="16" applyFont="1" applyFill="1" applyAlignment="1">
      <alignment horizontal="left" wrapText="1"/>
    </xf>
    <xf numFmtId="173" fontId="90" fillId="70" borderId="0" xfId="16" applyNumberFormat="1" applyFont="1" applyFill="1" applyAlignment="1"/>
    <xf numFmtId="0" fontId="90" fillId="70" borderId="0" xfId="16" applyFont="1" applyFill="1" applyAlignment="1">
      <alignment wrapText="1"/>
    </xf>
    <xf numFmtId="0" fontId="36" fillId="70" borderId="0" xfId="16" applyFill="1"/>
    <xf numFmtId="0" fontId="63" fillId="0" borderId="0" xfId="9" applyFont="1" applyFill="1" applyBorder="1"/>
    <xf numFmtId="0" fontId="187" fillId="0" borderId="37" xfId="9" applyFont="1" applyFill="1" applyBorder="1" applyAlignment="1">
      <alignment horizontal="center" vertical="center"/>
    </xf>
    <xf numFmtId="1" fontId="187" fillId="0" borderId="37" xfId="9" applyNumberFormat="1" applyFont="1" applyFill="1" applyBorder="1" applyAlignment="1">
      <alignment horizontal="center" vertical="center"/>
    </xf>
    <xf numFmtId="1" fontId="187" fillId="0" borderId="2" xfId="9" applyNumberFormat="1" applyFont="1" applyFill="1" applyBorder="1" applyAlignment="1">
      <alignment horizontal="center" vertical="center"/>
    </xf>
    <xf numFmtId="1" fontId="187" fillId="0" borderId="1" xfId="9" applyNumberFormat="1" applyFont="1" applyFill="1" applyBorder="1" applyAlignment="1">
      <alignment horizontal="center"/>
    </xf>
    <xf numFmtId="1" fontId="187" fillId="0" borderId="37" xfId="9" applyNumberFormat="1" applyFont="1" applyFill="1" applyBorder="1" applyAlignment="1">
      <alignment horizontal="center"/>
    </xf>
    <xf numFmtId="0" fontId="187" fillId="0" borderId="0" xfId="9" applyFont="1" applyFill="1" applyBorder="1" applyAlignment="1">
      <alignment horizontal="center"/>
    </xf>
    <xf numFmtId="0" fontId="187" fillId="0" borderId="11" xfId="9" applyFont="1" applyFill="1" applyBorder="1" applyAlignment="1">
      <alignment horizontal="left" vertical="center" wrapText="1"/>
    </xf>
    <xf numFmtId="167" fontId="187" fillId="0" borderId="11" xfId="9" applyNumberFormat="1" applyFont="1" applyFill="1" applyBorder="1" applyAlignment="1">
      <alignment horizontal="right" wrapText="1"/>
    </xf>
    <xf numFmtId="167" fontId="187" fillId="0" borderId="31" xfId="9" applyNumberFormat="1" applyFont="1" applyFill="1" applyBorder="1" applyAlignment="1">
      <alignment horizontal="right" wrapText="1"/>
    </xf>
    <xf numFmtId="167" fontId="187" fillId="0" borderId="11" xfId="9" applyNumberFormat="1" applyFont="1" applyFill="1" applyBorder="1" applyAlignment="1">
      <alignment horizontal="right"/>
    </xf>
    <xf numFmtId="167" fontId="187" fillId="0" borderId="32" xfId="712" applyNumberFormat="1" applyFont="1" applyBorder="1" applyAlignment="1">
      <alignment horizontal="right"/>
    </xf>
    <xf numFmtId="0" fontId="187" fillId="0" borderId="31" xfId="9" applyFont="1" applyFill="1" applyBorder="1" applyAlignment="1">
      <alignment horizontal="left" vertical="center" wrapText="1"/>
    </xf>
    <xf numFmtId="167" fontId="187" fillId="0" borderId="15" xfId="712" applyNumberFormat="1" applyFont="1" applyBorder="1" applyAlignment="1">
      <alignment horizontal="right"/>
    </xf>
    <xf numFmtId="0" fontId="187" fillId="0" borderId="0" xfId="9" applyFont="1" applyFill="1" applyBorder="1"/>
    <xf numFmtId="0" fontId="63" fillId="0" borderId="31" xfId="9" applyFont="1" applyFill="1" applyBorder="1" applyAlignment="1">
      <alignment horizontal="left" vertical="center" wrapText="1"/>
    </xf>
    <xf numFmtId="167" fontId="63" fillId="0" borderId="11" xfId="9" applyNumberFormat="1" applyFont="1" applyFill="1" applyBorder="1" applyAlignment="1">
      <alignment horizontal="right" wrapText="1"/>
    </xf>
    <xf numFmtId="167" fontId="63" fillId="0" borderId="15" xfId="9" applyNumberFormat="1" applyFont="1" applyFill="1" applyBorder="1" applyAlignment="1">
      <alignment horizontal="right" wrapText="1"/>
    </xf>
    <xf numFmtId="167" fontId="63" fillId="0" borderId="0" xfId="9" applyNumberFormat="1" applyFont="1" applyFill="1" applyBorder="1"/>
    <xf numFmtId="167" fontId="64" fillId="0" borderId="11" xfId="9" applyNumberFormat="1" applyFont="1" applyFill="1" applyBorder="1" applyAlignment="1">
      <alignment horizontal="right" wrapText="1"/>
    </xf>
    <xf numFmtId="167" fontId="63" fillId="0" borderId="15" xfId="9" applyNumberFormat="1" applyFont="1" applyFill="1" applyBorder="1" applyAlignment="1">
      <alignment horizontal="right"/>
    </xf>
    <xf numFmtId="0" fontId="63" fillId="0" borderId="11" xfId="9" applyFont="1" applyFill="1" applyBorder="1"/>
    <xf numFmtId="167" fontId="63" fillId="0" borderId="0" xfId="9" applyNumberFormat="1" applyFont="1" applyFill="1" applyBorder="1" applyAlignment="1">
      <alignment horizontal="right"/>
    </xf>
    <xf numFmtId="0" fontId="63" fillId="0" borderId="11" xfId="9" applyFont="1" applyFill="1" applyBorder="1" applyAlignment="1">
      <alignment horizontal="left" vertical="center" wrapText="1"/>
    </xf>
    <xf numFmtId="167" fontId="63" fillId="0" borderId="31" xfId="9" applyNumberFormat="1" applyFont="1" applyFill="1" applyBorder="1" applyAlignment="1">
      <alignment horizontal="right" wrapText="1"/>
    </xf>
    <xf numFmtId="167" fontId="63" fillId="0" borderId="11" xfId="9" applyNumberFormat="1" applyFont="1" applyFill="1" applyBorder="1" applyAlignment="1">
      <alignment horizontal="right"/>
    </xf>
    <xf numFmtId="0" fontId="188" fillId="0" borderId="11" xfId="9" applyFont="1" applyFill="1" applyBorder="1" applyAlignment="1">
      <alignment horizontal="left" vertical="center" wrapText="1"/>
    </xf>
    <xf numFmtId="167" fontId="188" fillId="0" borderId="11" xfId="9" applyNumberFormat="1" applyFont="1" applyFill="1" applyBorder="1" applyAlignment="1">
      <alignment horizontal="right" wrapText="1"/>
    </xf>
    <xf numFmtId="167" fontId="188" fillId="0" borderId="31" xfId="9" applyNumberFormat="1" applyFont="1" applyFill="1" applyBorder="1" applyAlignment="1">
      <alignment horizontal="right" wrapText="1"/>
    </xf>
    <xf numFmtId="167" fontId="188" fillId="0" borderId="11" xfId="9" applyNumberFormat="1" applyFont="1" applyFill="1" applyBorder="1" applyAlignment="1">
      <alignment horizontal="right"/>
    </xf>
    <xf numFmtId="167" fontId="188" fillId="0" borderId="15" xfId="9" applyNumberFormat="1" applyFont="1" applyFill="1" applyBorder="1" applyAlignment="1">
      <alignment horizontal="right"/>
    </xf>
    <xf numFmtId="0" fontId="188" fillId="0" borderId="0" xfId="9" applyFont="1" applyFill="1" applyBorder="1"/>
    <xf numFmtId="167" fontId="189" fillId="0" borderId="0" xfId="9" applyNumberFormat="1" applyFont="1" applyAlignment="1">
      <alignment horizontal="right"/>
    </xf>
    <xf numFmtId="167" fontId="187" fillId="0" borderId="15" xfId="9" applyNumberFormat="1" applyFont="1" applyFill="1" applyBorder="1" applyAlignment="1">
      <alignment horizontal="right"/>
    </xf>
    <xf numFmtId="0" fontId="63" fillId="8" borderId="11" xfId="9" applyFont="1" applyFill="1" applyBorder="1" applyAlignment="1">
      <alignment horizontal="left" vertical="center" wrapText="1"/>
    </xf>
    <xf numFmtId="167" fontId="63" fillId="8" borderId="11" xfId="9" applyNumberFormat="1" applyFont="1" applyFill="1" applyBorder="1" applyAlignment="1">
      <alignment horizontal="right" wrapText="1"/>
    </xf>
    <xf numFmtId="167" fontId="63" fillId="8" borderId="31" xfId="9" applyNumberFormat="1" applyFont="1" applyFill="1" applyBorder="1" applyAlignment="1">
      <alignment horizontal="right" wrapText="1"/>
    </xf>
    <xf numFmtId="167" fontId="63" fillId="8" borderId="11" xfId="9" applyNumberFormat="1" applyFont="1" applyFill="1" applyBorder="1" applyAlignment="1">
      <alignment horizontal="right"/>
    </xf>
    <xf numFmtId="167" fontId="63" fillId="8" borderId="15" xfId="9" applyNumberFormat="1" applyFont="1" applyFill="1" applyBorder="1" applyAlignment="1">
      <alignment horizontal="right"/>
    </xf>
    <xf numFmtId="167" fontId="63" fillId="9" borderId="15" xfId="9" applyNumberFormat="1" applyFont="1" applyFill="1" applyBorder="1" applyAlignment="1">
      <alignment horizontal="right"/>
    </xf>
    <xf numFmtId="0" fontId="63" fillId="8" borderId="0" xfId="9" applyFont="1" applyFill="1" applyBorder="1"/>
    <xf numFmtId="174" fontId="189" fillId="0" borderId="0" xfId="9" applyNumberFormat="1" applyFont="1" applyFill="1" applyAlignment="1">
      <alignment horizontal="right"/>
    </xf>
    <xf numFmtId="167" fontId="63" fillId="0" borderId="15" xfId="9" applyNumberFormat="1" applyFont="1" applyFill="1" applyBorder="1"/>
    <xf numFmtId="4" fontId="63" fillId="0" borderId="11" xfId="9" applyNumberFormat="1" applyFont="1" applyFill="1" applyBorder="1"/>
    <xf numFmtId="167" fontId="187" fillId="0" borderId="0" xfId="9" applyNumberFormat="1" applyFont="1" applyFill="1" applyBorder="1" applyAlignment="1">
      <alignment horizontal="right"/>
    </xf>
    <xf numFmtId="167" fontId="63" fillId="0" borderId="0" xfId="9" applyNumberFormat="1" applyFont="1" applyFill="1" applyBorder="1" applyAlignment="1">
      <alignment horizontal="left"/>
    </xf>
    <xf numFmtId="0" fontId="63" fillId="0" borderId="0" xfId="9" applyFont="1" applyFill="1" applyBorder="1" applyAlignment="1">
      <alignment horizontal="left"/>
    </xf>
    <xf numFmtId="0" fontId="63" fillId="0" borderId="0" xfId="9" applyFont="1" applyFill="1" applyBorder="1" applyAlignment="1">
      <alignment horizontal="left" vertical="center"/>
    </xf>
    <xf numFmtId="3" fontId="63" fillId="0" borderId="0" xfId="9" applyNumberFormat="1" applyFont="1" applyFill="1" applyBorder="1" applyAlignment="1">
      <alignment horizontal="left" vertical="center"/>
    </xf>
    <xf numFmtId="0" fontId="63" fillId="0" borderId="0" xfId="9" applyFont="1" applyFill="1" applyBorder="1" applyAlignment="1">
      <alignment horizontal="right" vertical="center"/>
    </xf>
    <xf numFmtId="177" fontId="63" fillId="0" borderId="0" xfId="9" applyNumberFormat="1" applyFont="1" applyFill="1" applyBorder="1" applyAlignment="1">
      <alignment horizontal="right" vertical="center"/>
    </xf>
    <xf numFmtId="3" fontId="63" fillId="0" borderId="0" xfId="9" applyNumberFormat="1" applyFont="1" applyFill="1" applyBorder="1"/>
    <xf numFmtId="1" fontId="187" fillId="70" borderId="1" xfId="9" applyNumberFormat="1" applyFont="1" applyFill="1" applyBorder="1" applyAlignment="1">
      <alignment horizontal="center"/>
    </xf>
    <xf numFmtId="167" fontId="187" fillId="70" borderId="11" xfId="9" applyNumberFormat="1" applyFont="1" applyFill="1" applyBorder="1" applyAlignment="1">
      <alignment horizontal="right"/>
    </xf>
    <xf numFmtId="167" fontId="63" fillId="70" borderId="11" xfId="9" applyNumberFormat="1" applyFont="1" applyFill="1" applyBorder="1" applyAlignment="1">
      <alignment horizontal="right" wrapText="1"/>
    </xf>
    <xf numFmtId="167" fontId="63" fillId="70" borderId="11" xfId="9" applyNumberFormat="1" applyFont="1" applyFill="1" applyBorder="1" applyAlignment="1">
      <alignment horizontal="right"/>
    </xf>
    <xf numFmtId="167" fontId="63" fillId="70" borderId="31" xfId="9" applyNumberFormat="1" applyFont="1" applyFill="1" applyBorder="1" applyAlignment="1">
      <alignment horizontal="right" wrapText="1"/>
    </xf>
    <xf numFmtId="167" fontId="188" fillId="70" borderId="11" xfId="9" applyNumberFormat="1" applyFont="1" applyFill="1" applyBorder="1" applyAlignment="1">
      <alignment horizontal="right"/>
    </xf>
    <xf numFmtId="0" fontId="187" fillId="70" borderId="0" xfId="9" applyFont="1" applyFill="1" applyBorder="1"/>
    <xf numFmtId="0" fontId="63" fillId="70" borderId="0" xfId="9" applyFont="1" applyFill="1" applyBorder="1"/>
    <xf numFmtId="3" fontId="63" fillId="70" borderId="0" xfId="9" applyNumberFormat="1" applyFont="1" applyFill="1" applyBorder="1" applyAlignment="1">
      <alignment horizontal="left" vertical="center"/>
    </xf>
    <xf numFmtId="0" fontId="91" fillId="23" borderId="0" xfId="16" applyFont="1" applyFill="1" applyAlignment="1">
      <alignment horizontal="left" wrapText="1"/>
    </xf>
    <xf numFmtId="3" fontId="91" fillId="23" borderId="0" xfId="16" applyNumberFormat="1" applyFont="1" applyFill="1" applyAlignment="1"/>
    <xf numFmtId="0" fontId="91" fillId="23" borderId="0" xfId="16" applyFont="1" applyFill="1" applyAlignment="1">
      <alignment wrapText="1"/>
    </xf>
    <xf numFmtId="0" fontId="36" fillId="23" borderId="0" xfId="16" applyFill="1"/>
    <xf numFmtId="3" fontId="91" fillId="16" borderId="0" xfId="16" applyNumberFormat="1" applyFont="1" applyFill="1" applyAlignment="1"/>
    <xf numFmtId="172" fontId="0" fillId="0" borderId="0" xfId="665" applyNumberFormat="1" applyFont="1"/>
    <xf numFmtId="0" fontId="66" fillId="0" borderId="0" xfId="0" applyFont="1" applyBorder="1" applyAlignment="1">
      <alignment horizontal="left" wrapText="1" indent="1"/>
    </xf>
    <xf numFmtId="0" fontId="0" fillId="0" borderId="0" xfId="0" applyAlignment="1">
      <alignment vertical="center" wrapText="1"/>
    </xf>
    <xf numFmtId="0" fontId="99" fillId="0" borderId="0" xfId="0" applyFont="1" applyFill="1" applyAlignment="1">
      <alignment horizontal="left" wrapText="1" indent="1"/>
    </xf>
    <xf numFmtId="172" fontId="0" fillId="0" borderId="0" xfId="665" applyNumberFormat="1" applyFont="1" applyAlignment="1">
      <alignment vertical="center" wrapText="1"/>
    </xf>
    <xf numFmtId="0" fontId="99" fillId="0" borderId="0" xfId="0" applyFont="1" applyFill="1" applyBorder="1" applyAlignment="1">
      <alignment horizontal="left" wrapText="1" indent="1"/>
    </xf>
    <xf numFmtId="0" fontId="99" fillId="0" borderId="43" xfId="0" applyFont="1" applyFill="1" applyBorder="1" applyAlignment="1">
      <alignment horizontal="left" wrapText="1" indent="1"/>
    </xf>
    <xf numFmtId="0" fontId="0" fillId="0" borderId="11" xfId="0" applyBorder="1"/>
    <xf numFmtId="172" fontId="0" fillId="0" borderId="11" xfId="665" applyNumberFormat="1" applyFont="1" applyBorder="1"/>
    <xf numFmtId="0" fontId="66" fillId="0" borderId="11" xfId="0" applyFont="1" applyBorder="1" applyAlignment="1">
      <alignment wrapText="1"/>
    </xf>
    <xf numFmtId="0" fontId="99" fillId="0" borderId="11" xfId="0" applyFont="1" applyFill="1" applyBorder="1" applyAlignment="1">
      <alignment horizontal="left" wrapText="1"/>
    </xf>
    <xf numFmtId="0" fontId="0" fillId="0" borderId="11" xfId="0" applyBorder="1" applyAlignment="1">
      <alignment vertical="center" wrapText="1"/>
    </xf>
    <xf numFmtId="172" fontId="0" fillId="0" borderId="11" xfId="665" applyNumberFormat="1" applyFont="1" applyBorder="1" applyAlignment="1">
      <alignment vertical="center" wrapText="1"/>
    </xf>
    <xf numFmtId="172" fontId="0" fillId="0" borderId="11" xfId="39" applyNumberFormat="1" applyFont="1" applyBorder="1"/>
    <xf numFmtId="172" fontId="121" fillId="71" borderId="11" xfId="39" applyNumberFormat="1" applyFont="1" applyFill="1" applyBorder="1" applyAlignment="1">
      <alignment vertical="center" wrapText="1"/>
    </xf>
    <xf numFmtId="172" fontId="109" fillId="71" borderId="11" xfId="39" applyNumberFormat="1" applyFont="1" applyFill="1" applyBorder="1" applyProtection="1">
      <protection locked="0"/>
    </xf>
    <xf numFmtId="172" fontId="109" fillId="71" borderId="0" xfId="39" applyNumberFormat="1" applyFont="1" applyFill="1" applyProtection="1">
      <protection locked="0"/>
    </xf>
    <xf numFmtId="172" fontId="109" fillId="71" borderId="11" xfId="39" applyNumberFormat="1" applyFont="1" applyFill="1" applyBorder="1" applyAlignment="1" applyProtection="1">
      <alignment horizontal="left"/>
      <protection locked="0"/>
    </xf>
    <xf numFmtId="172" fontId="38" fillId="71" borderId="11" xfId="39" applyNumberFormat="1" applyFont="1" applyFill="1" applyBorder="1" applyAlignment="1" applyProtection="1">
      <alignment vertical="top" wrapText="1"/>
    </xf>
    <xf numFmtId="172" fontId="36" fillId="71" borderId="0" xfId="39" applyNumberFormat="1" applyFont="1" applyFill="1" applyProtection="1">
      <protection locked="0"/>
    </xf>
    <xf numFmtId="172" fontId="121" fillId="19" borderId="11" xfId="39" applyNumberFormat="1" applyFont="1" applyFill="1" applyBorder="1" applyAlignment="1">
      <alignment vertical="center" wrapText="1"/>
    </xf>
    <xf numFmtId="172" fontId="109" fillId="19" borderId="11" xfId="39" applyNumberFormat="1" applyFont="1" applyFill="1" applyBorder="1" applyProtection="1">
      <protection locked="0"/>
    </xf>
    <xf numFmtId="172" fontId="109" fillId="19" borderId="11" xfId="39" applyNumberFormat="1" applyFont="1" applyFill="1" applyBorder="1" applyAlignment="1" applyProtection="1">
      <alignment horizontal="left"/>
      <protection locked="0"/>
    </xf>
    <xf numFmtId="172" fontId="38" fillId="19" borderId="11" xfId="39" applyNumberFormat="1" applyFont="1" applyFill="1" applyBorder="1" applyAlignment="1" applyProtection="1">
      <alignment vertical="top" wrapText="1"/>
    </xf>
    <xf numFmtId="172" fontId="36" fillId="19" borderId="0" xfId="39" applyNumberFormat="1" applyFont="1" applyFill="1" applyProtection="1">
      <protection locked="0"/>
    </xf>
    <xf numFmtId="172" fontId="109" fillId="19" borderId="0" xfId="39" applyNumberFormat="1" applyFont="1" applyFill="1" applyProtection="1">
      <protection locked="0"/>
    </xf>
    <xf numFmtId="172" fontId="18" fillId="21" borderId="11" xfId="39" applyNumberFormat="1" applyFont="1" applyFill="1" applyBorder="1" applyAlignment="1">
      <alignment horizontal="left" vertical="top" wrapText="1" indent="2"/>
    </xf>
    <xf numFmtId="172" fontId="18" fillId="21" borderId="11" xfId="39" applyNumberFormat="1" applyFont="1" applyFill="1" applyBorder="1" applyAlignment="1">
      <alignment vertical="top" wrapText="1"/>
    </xf>
    <xf numFmtId="172" fontId="76" fillId="21" borderId="11" xfId="39" applyNumberFormat="1" applyFont="1" applyFill="1" applyBorder="1"/>
    <xf numFmtId="172" fontId="76" fillId="21" borderId="11" xfId="39" applyNumberFormat="1" applyFont="1" applyFill="1" applyBorder="1" applyAlignment="1">
      <alignment horizontal="left"/>
    </xf>
    <xf numFmtId="172" fontId="76" fillId="21" borderId="11" xfId="39" applyNumberFormat="1" applyFont="1" applyFill="1" applyBorder="1" applyProtection="1">
      <protection locked="0"/>
    </xf>
    <xf numFmtId="172" fontId="38" fillId="21" borderId="11" xfId="39" applyNumberFormat="1" applyFont="1" applyFill="1" applyBorder="1" applyAlignment="1" applyProtection="1">
      <alignment vertical="top" wrapText="1"/>
    </xf>
    <xf numFmtId="172" fontId="69" fillId="21" borderId="11" xfId="39" applyNumberFormat="1" applyFont="1" applyFill="1" applyBorder="1" applyProtection="1">
      <protection locked="0"/>
    </xf>
    <xf numFmtId="172" fontId="76" fillId="21" borderId="0" xfId="39" applyNumberFormat="1" applyFont="1" applyFill="1" applyBorder="1" applyProtection="1">
      <protection locked="0"/>
    </xf>
    <xf numFmtId="172" fontId="76" fillId="21" borderId="31" xfId="39" applyNumberFormat="1" applyFont="1" applyFill="1" applyBorder="1" applyProtection="1">
      <protection locked="0"/>
    </xf>
    <xf numFmtId="172" fontId="18" fillId="21" borderId="11" xfId="39" applyNumberFormat="1" applyFont="1" applyFill="1" applyBorder="1" applyAlignment="1">
      <alignment horizontal="left" vertical="top" wrapText="1" indent="1"/>
    </xf>
    <xf numFmtId="172" fontId="76" fillId="21" borderId="11" xfId="39" applyNumberFormat="1" applyFont="1" applyFill="1" applyBorder="1" applyAlignment="1">
      <alignment horizontal="right"/>
    </xf>
    <xf numFmtId="172" fontId="76" fillId="21" borderId="11" xfId="39" applyNumberFormat="1" applyFont="1" applyFill="1" applyBorder="1" applyAlignment="1">
      <alignment horizontal="right" wrapText="1"/>
    </xf>
    <xf numFmtId="172" fontId="74" fillId="21" borderId="11" xfId="39" applyNumberFormat="1" applyFont="1" applyFill="1" applyBorder="1" applyAlignment="1">
      <alignment vertical="center"/>
    </xf>
    <xf numFmtId="172" fontId="76" fillId="21" borderId="11" xfId="39" applyNumberFormat="1" applyFont="1" applyFill="1" applyBorder="1" applyAlignment="1" applyProtection="1">
      <alignment wrapText="1"/>
      <protection locked="0"/>
    </xf>
    <xf numFmtId="172" fontId="76" fillId="21" borderId="0" xfId="39" applyNumberFormat="1" applyFont="1" applyFill="1" applyBorder="1" applyAlignment="1" applyProtection="1">
      <alignment wrapText="1"/>
      <protection locked="0"/>
    </xf>
    <xf numFmtId="172" fontId="76" fillId="21" borderId="31" xfId="39" applyNumberFormat="1" applyFont="1" applyFill="1" applyBorder="1" applyAlignment="1" applyProtection="1">
      <alignment wrapText="1"/>
      <protection locked="0"/>
    </xf>
    <xf numFmtId="172" fontId="17" fillId="7" borderId="11" xfId="39" applyNumberFormat="1" applyFont="1" applyFill="1" applyBorder="1" applyAlignment="1">
      <alignment vertical="top" wrapText="1"/>
    </xf>
    <xf numFmtId="172" fontId="76" fillId="7" borderId="11" xfId="39" applyNumberFormat="1" applyFont="1" applyFill="1" applyBorder="1" applyAlignment="1">
      <alignment horizontal="right"/>
    </xf>
    <xf numFmtId="172" fontId="76" fillId="7" borderId="11" xfId="39" applyNumberFormat="1" applyFont="1" applyFill="1" applyBorder="1" applyProtection="1">
      <protection locked="0"/>
    </xf>
    <xf numFmtId="172" fontId="69" fillId="7" borderId="11" xfId="39" applyNumberFormat="1" applyFont="1" applyFill="1" applyBorder="1" applyProtection="1">
      <protection locked="0"/>
    </xf>
    <xf numFmtId="172" fontId="76" fillId="7" borderId="0" xfId="39" applyNumberFormat="1" applyFont="1" applyFill="1" applyBorder="1" applyProtection="1">
      <protection locked="0"/>
    </xf>
    <xf numFmtId="172" fontId="76" fillId="7" borderId="31" xfId="39" applyNumberFormat="1" applyFont="1" applyFill="1" applyBorder="1" applyProtection="1">
      <protection locked="0"/>
    </xf>
    <xf numFmtId="172" fontId="109" fillId="7" borderId="11" xfId="39" applyNumberFormat="1" applyFont="1" applyFill="1" applyBorder="1" applyProtection="1">
      <protection locked="0"/>
    </xf>
    <xf numFmtId="172" fontId="36" fillId="7" borderId="11" xfId="39" applyNumberFormat="1" applyFont="1" applyFill="1" applyBorder="1" applyProtection="1">
      <protection locked="0"/>
    </xf>
    <xf numFmtId="172" fontId="76" fillId="7" borderId="11" xfId="39" applyNumberFormat="1" applyFont="1" applyFill="1" applyBorder="1" applyAlignment="1" applyProtection="1">
      <alignment horizontal="left"/>
      <protection locked="0"/>
    </xf>
    <xf numFmtId="172" fontId="0" fillId="0" borderId="0" xfId="665" applyNumberFormat="1" applyFont="1" applyBorder="1"/>
    <xf numFmtId="172" fontId="0" fillId="0" borderId="0" xfId="39" applyNumberFormat="1" applyFont="1" applyBorder="1"/>
    <xf numFmtId="0" fontId="66" fillId="72" borderId="11" xfId="0" applyFont="1" applyFill="1" applyBorder="1" applyAlignment="1">
      <alignment vertical="center" wrapText="1"/>
    </xf>
    <xf numFmtId="174" fontId="92" fillId="72" borderId="11" xfId="0" applyNumberFormat="1" applyFont="1" applyFill="1" applyBorder="1" applyAlignment="1">
      <alignment horizontal="center" vertical="center" wrapText="1"/>
    </xf>
    <xf numFmtId="0" fontId="92" fillId="72" borderId="26" xfId="0" applyFont="1" applyFill="1" applyBorder="1" applyAlignment="1">
      <alignment horizontal="center" wrapText="1"/>
    </xf>
    <xf numFmtId="0" fontId="0" fillId="72" borderId="24" xfId="0" applyFill="1" applyBorder="1"/>
    <xf numFmtId="174" fontId="176" fillId="72" borderId="11" xfId="610" applyNumberFormat="1" applyFont="1" applyFill="1" applyBorder="1" applyAlignment="1">
      <alignment horizontal="right" vertical="center"/>
    </xf>
    <xf numFmtId="0" fontId="179" fillId="72" borderId="0" xfId="610" applyFill="1" applyAlignment="1">
      <alignment wrapText="1"/>
    </xf>
    <xf numFmtId="0" fontId="66" fillId="72" borderId="0" xfId="0" applyFont="1" applyFill="1" applyBorder="1" applyAlignment="1">
      <alignment wrapText="1"/>
    </xf>
    <xf numFmtId="0" fontId="0" fillId="72" borderId="0" xfId="0" applyFill="1"/>
    <xf numFmtId="174" fontId="66" fillId="72" borderId="11" xfId="0" applyNumberFormat="1" applyFont="1" applyFill="1" applyBorder="1" applyAlignment="1">
      <alignment horizontal="right"/>
    </xf>
    <xf numFmtId="0" fontId="66" fillId="72" borderId="26" xfId="0" applyFont="1" applyFill="1" applyBorder="1" applyAlignment="1">
      <alignment wrapText="1"/>
    </xf>
    <xf numFmtId="0" fontId="184" fillId="72" borderId="0" xfId="610" applyFont="1" applyFill="1" applyAlignment="1">
      <alignment wrapText="1"/>
    </xf>
    <xf numFmtId="202" fontId="176" fillId="72" borderId="11" xfId="610" applyNumberFormat="1" applyFont="1" applyFill="1" applyBorder="1" applyAlignment="1">
      <alignment horizontal="right" vertical="center" wrapText="1"/>
    </xf>
    <xf numFmtId="0" fontId="66" fillId="72" borderId="0" xfId="0" applyFont="1" applyFill="1" applyBorder="1" applyAlignment="1">
      <alignment vertical="center" wrapText="1"/>
    </xf>
    <xf numFmtId="202" fontId="43" fillId="72" borderId="11" xfId="610" applyNumberFormat="1" applyFont="1" applyFill="1" applyBorder="1" applyAlignment="1">
      <alignment horizontal="right" vertical="center" wrapText="1"/>
    </xf>
    <xf numFmtId="49" fontId="47" fillId="72" borderId="0" xfId="16" applyNumberFormat="1" applyFont="1" applyFill="1" applyAlignment="1">
      <alignment vertical="center"/>
    </xf>
    <xf numFmtId="0" fontId="50" fillId="72" borderId="0" xfId="16" applyFont="1" applyFill="1" applyAlignment="1">
      <alignment vertical="center" wrapText="1"/>
    </xf>
    <xf numFmtId="167" fontId="47" fillId="72" borderId="0" xfId="16" applyNumberFormat="1" applyFont="1" applyFill="1" applyAlignment="1">
      <alignment vertical="center"/>
    </xf>
    <xf numFmtId="167" fontId="47" fillId="72" borderId="0" xfId="16" applyNumberFormat="1" applyFont="1" applyFill="1" applyAlignment="1">
      <alignment horizontal="center" vertical="center"/>
    </xf>
    <xf numFmtId="0" fontId="3" fillId="72" borderId="11" xfId="16" applyFont="1" applyFill="1" applyBorder="1" applyAlignment="1">
      <alignment horizontal="center" vertical="center"/>
    </xf>
    <xf numFmtId="3" fontId="3" fillId="72" borderId="11" xfId="16" applyNumberFormat="1" applyFont="1" applyFill="1" applyBorder="1" applyAlignment="1">
      <alignment horizontal="center" vertical="center"/>
    </xf>
    <xf numFmtId="0" fontId="47" fillId="72" borderId="0" xfId="16" applyFont="1" applyFill="1" applyAlignment="1">
      <alignment vertical="center"/>
    </xf>
    <xf numFmtId="172" fontId="17" fillId="73" borderId="11" xfId="39" applyNumberFormat="1" applyFont="1" applyFill="1" applyBorder="1" applyAlignment="1">
      <alignment vertical="top" wrapText="1"/>
    </xf>
    <xf numFmtId="172" fontId="109" fillId="73" borderId="11" xfId="39" applyNumberFormat="1" applyFont="1" applyFill="1" applyBorder="1"/>
    <xf numFmtId="172" fontId="109" fillId="73" borderId="11" xfId="39" applyNumberFormat="1" applyFont="1" applyFill="1" applyBorder="1" applyAlignment="1"/>
    <xf numFmtId="172" fontId="118" fillId="73" borderId="11" xfId="39" applyNumberFormat="1" applyFont="1" applyFill="1" applyBorder="1"/>
    <xf numFmtId="172" fontId="119" fillId="73" borderId="11" xfId="39" applyNumberFormat="1" applyFont="1" applyFill="1" applyBorder="1" applyAlignment="1" applyProtection="1">
      <alignment vertical="top" wrapText="1"/>
    </xf>
    <xf numFmtId="172" fontId="109" fillId="73" borderId="11" xfId="39" applyNumberFormat="1" applyFont="1" applyFill="1" applyBorder="1" applyProtection="1">
      <protection locked="0"/>
    </xf>
    <xf numFmtId="172" fontId="69" fillId="73" borderId="16" xfId="39" applyNumberFormat="1" applyFont="1" applyFill="1" applyBorder="1" applyProtection="1">
      <protection locked="0"/>
    </xf>
    <xf numFmtId="172" fontId="36" fillId="73" borderId="44" xfId="39" applyNumberFormat="1" applyFont="1" applyFill="1" applyBorder="1" applyProtection="1">
      <protection locked="0"/>
    </xf>
    <xf numFmtId="172" fontId="36" fillId="73" borderId="0" xfId="39" applyNumberFormat="1" applyFont="1" applyFill="1" applyBorder="1" applyProtection="1">
      <protection locked="0"/>
    </xf>
    <xf numFmtId="172" fontId="36" fillId="73" borderId="31" xfId="39" applyNumberFormat="1" applyFont="1" applyFill="1" applyBorder="1" applyProtection="1">
      <protection locked="0"/>
    </xf>
    <xf numFmtId="172" fontId="36" fillId="73" borderId="11" xfId="39" applyNumberFormat="1" applyFont="1" applyFill="1" applyBorder="1" applyProtection="1">
      <protection locked="0"/>
    </xf>
    <xf numFmtId="172" fontId="18" fillId="74" borderId="11" xfId="39" applyNumberFormat="1" applyFont="1" applyFill="1" applyBorder="1" applyAlignment="1">
      <alignment horizontal="left" vertical="top" wrapText="1"/>
    </xf>
    <xf numFmtId="172" fontId="20" fillId="74" borderId="11" xfId="39" applyNumberFormat="1" applyFont="1" applyFill="1" applyBorder="1" applyAlignment="1">
      <alignment vertical="top" wrapText="1"/>
    </xf>
    <xf numFmtId="172" fontId="109" fillId="74" borderId="11" xfId="39" applyNumberFormat="1" applyFont="1" applyFill="1" applyBorder="1"/>
    <xf numFmtId="172" fontId="109" fillId="74" borderId="11" xfId="39" applyNumberFormat="1" applyFont="1" applyFill="1" applyBorder="1" applyProtection="1">
      <protection locked="0"/>
    </xf>
    <xf numFmtId="172" fontId="109" fillId="74" borderId="11" xfId="39" applyNumberFormat="1" applyFont="1" applyFill="1" applyBorder="1" applyAlignment="1"/>
    <xf numFmtId="172" fontId="118" fillId="74" borderId="11" xfId="39" applyNumberFormat="1" applyFont="1" applyFill="1" applyBorder="1"/>
    <xf numFmtId="172" fontId="119" fillId="74" borderId="11" xfId="39" applyNumberFormat="1" applyFont="1" applyFill="1" applyBorder="1" applyAlignment="1" applyProtection="1">
      <alignment vertical="top" wrapText="1"/>
    </xf>
    <xf numFmtId="172" fontId="69" fillId="74" borderId="16" xfId="39" applyNumberFormat="1" applyFont="1" applyFill="1" applyBorder="1" applyProtection="1">
      <protection locked="0"/>
    </xf>
    <xf numFmtId="172" fontId="36" fillId="74" borderId="44" xfId="39" applyNumberFormat="1" applyFont="1" applyFill="1" applyBorder="1" applyProtection="1">
      <protection locked="0"/>
    </xf>
    <xf numFmtId="172" fontId="36" fillId="74" borderId="0" xfId="39" applyNumberFormat="1" applyFont="1" applyFill="1" applyBorder="1" applyProtection="1">
      <protection locked="0"/>
    </xf>
    <xf numFmtId="172" fontId="36" fillId="74" borderId="31" xfId="39" applyNumberFormat="1" applyFont="1" applyFill="1" applyBorder="1" applyProtection="1">
      <protection locked="0"/>
    </xf>
    <xf numFmtId="172" fontId="36" fillId="74" borderId="11" xfId="39" applyNumberFormat="1" applyFont="1" applyFill="1" applyBorder="1" applyProtection="1">
      <protection locked="0"/>
    </xf>
    <xf numFmtId="172" fontId="17" fillId="74" borderId="11" xfId="39" applyNumberFormat="1" applyFont="1" applyFill="1" applyBorder="1" applyAlignment="1">
      <alignment vertical="top" wrapText="1"/>
    </xf>
    <xf numFmtId="172" fontId="109" fillId="74" borderId="11" xfId="39" applyNumberFormat="1" applyFont="1" applyFill="1" applyBorder="1" applyProtection="1"/>
    <xf numFmtId="172" fontId="40" fillId="74" borderId="15" xfId="39" applyNumberFormat="1" applyFont="1" applyFill="1" applyBorder="1" applyAlignment="1" applyProtection="1">
      <alignment vertical="top" wrapText="1"/>
    </xf>
    <xf numFmtId="172" fontId="36" fillId="74" borderId="26" xfId="39" applyNumberFormat="1" applyFont="1" applyFill="1" applyBorder="1" applyProtection="1">
      <protection locked="0"/>
    </xf>
    <xf numFmtId="172" fontId="36" fillId="74" borderId="14" xfId="39" applyNumberFormat="1" applyFont="1" applyFill="1" applyBorder="1" applyProtection="1">
      <protection locked="0"/>
    </xf>
    <xf numFmtId="172" fontId="37" fillId="74" borderId="44" xfId="39" applyNumberFormat="1" applyFont="1" applyFill="1" applyBorder="1" applyProtection="1">
      <protection locked="0"/>
    </xf>
    <xf numFmtId="172" fontId="109" fillId="74" borderId="11" xfId="39" applyNumberFormat="1" applyFont="1" applyFill="1" applyBorder="1" applyAlignment="1" applyProtection="1">
      <alignment wrapText="1"/>
    </xf>
    <xf numFmtId="172" fontId="109" fillId="73" borderId="11" xfId="39" applyNumberFormat="1" applyFont="1" applyFill="1" applyBorder="1" applyProtection="1"/>
    <xf numFmtId="172" fontId="109" fillId="73" borderId="11" xfId="39" applyNumberFormat="1" applyFont="1" applyFill="1" applyBorder="1" applyAlignment="1" applyProtection="1"/>
    <xf numFmtId="172" fontId="36" fillId="73" borderId="0" xfId="39" applyNumberFormat="1" applyFont="1" applyFill="1"/>
    <xf numFmtId="172" fontId="118" fillId="73" borderId="11" xfId="39" applyNumberFormat="1" applyFont="1" applyFill="1" applyBorder="1" applyProtection="1"/>
    <xf numFmtId="172" fontId="21" fillId="73" borderId="11" xfId="39" applyNumberFormat="1" applyFont="1" applyFill="1" applyBorder="1" applyAlignment="1">
      <alignment vertical="top" wrapText="1"/>
    </xf>
    <xf numFmtId="172" fontId="109" fillId="73" borderId="11" xfId="39" applyNumberFormat="1" applyFont="1" applyFill="1" applyBorder="1" applyAlignment="1" applyProtection="1">
      <alignment wrapText="1"/>
    </xf>
    <xf numFmtId="172" fontId="36" fillId="21" borderId="11" xfId="39" applyNumberFormat="1" applyFont="1" applyFill="1" applyBorder="1" applyProtection="1">
      <protection locked="0"/>
    </xf>
    <xf numFmtId="172" fontId="109" fillId="74" borderId="11" xfId="39" applyNumberFormat="1" applyFont="1" applyFill="1" applyBorder="1" applyAlignment="1" applyProtection="1"/>
    <xf numFmtId="172" fontId="118" fillId="74" borderId="11" xfId="39" applyNumberFormat="1" applyFont="1" applyFill="1" applyBorder="1" applyProtection="1"/>
    <xf numFmtId="0" fontId="99" fillId="8" borderId="11" xfId="0" applyFont="1" applyFill="1" applyBorder="1" applyAlignment="1">
      <alignment horizontal="left" wrapText="1"/>
    </xf>
    <xf numFmtId="174" fontId="99" fillId="8" borderId="11" xfId="0" applyNumberFormat="1" applyFont="1" applyFill="1" applyBorder="1" applyAlignment="1">
      <alignment horizontal="right"/>
    </xf>
    <xf numFmtId="172" fontId="0" fillId="8" borderId="11" xfId="39" applyNumberFormat="1" applyFont="1" applyFill="1" applyBorder="1"/>
    <xf numFmtId="172" fontId="0" fillId="8" borderId="0" xfId="39" applyNumberFormat="1" applyFont="1" applyFill="1" applyBorder="1"/>
    <xf numFmtId="172" fontId="109" fillId="5" borderId="11" xfId="39" applyNumberFormat="1" applyFont="1" applyFill="1" applyBorder="1" applyProtection="1"/>
    <xf numFmtId="172" fontId="76" fillId="5" borderId="11" xfId="39" applyNumberFormat="1" applyFont="1" applyFill="1" applyBorder="1" applyProtection="1">
      <protection locked="0"/>
    </xf>
    <xf numFmtId="172" fontId="109" fillId="5" borderId="11" xfId="39" applyNumberFormat="1" applyFont="1" applyFill="1" applyBorder="1"/>
    <xf numFmtId="172" fontId="109" fillId="5" borderId="11" xfId="39" applyNumberFormat="1" applyFont="1" applyFill="1" applyBorder="1" applyProtection="1">
      <protection locked="0"/>
    </xf>
    <xf numFmtId="0" fontId="14" fillId="5" borderId="11" xfId="1" applyFont="1" applyFill="1" applyBorder="1" applyAlignment="1">
      <alignment horizontal="center" vertical="center"/>
    </xf>
    <xf numFmtId="16" fontId="3" fillId="5" borderId="11" xfId="16" applyNumberFormat="1" applyFont="1" applyFill="1" applyBorder="1" applyAlignment="1">
      <alignment horizontal="center" vertical="center"/>
    </xf>
    <xf numFmtId="0" fontId="76" fillId="8" borderId="0" xfId="16" applyFont="1" applyFill="1" applyAlignment="1">
      <alignment wrapText="1"/>
    </xf>
    <xf numFmtId="3" fontId="76" fillId="8" borderId="0" xfId="16" applyNumberFormat="1" applyFont="1" applyFill="1"/>
    <xf numFmtId="172" fontId="17" fillId="21" borderId="11" xfId="39" applyNumberFormat="1" applyFont="1" applyFill="1" applyBorder="1" applyAlignment="1">
      <alignment horizontal="left" vertical="center" wrapText="1"/>
    </xf>
    <xf numFmtId="172" fontId="16" fillId="21" borderId="11" xfId="39" applyNumberFormat="1" applyFont="1" applyFill="1" applyBorder="1" applyAlignment="1">
      <alignment horizontal="left" vertical="center" wrapText="1"/>
    </xf>
    <xf numFmtId="172" fontId="40" fillId="21" borderId="11" xfId="39" applyNumberFormat="1" applyFont="1" applyFill="1" applyBorder="1" applyAlignment="1" applyProtection="1">
      <alignment vertical="top" wrapText="1"/>
    </xf>
    <xf numFmtId="172" fontId="21" fillId="21" borderId="11" xfId="39" applyNumberFormat="1" applyFont="1" applyFill="1" applyBorder="1" applyAlignment="1">
      <alignment horizontal="left" vertical="center" wrapText="1"/>
    </xf>
    <xf numFmtId="172" fontId="86" fillId="21" borderId="11" xfId="39" applyNumberFormat="1" applyFont="1" applyFill="1" applyBorder="1" applyProtection="1">
      <protection locked="0"/>
    </xf>
    <xf numFmtId="172" fontId="19" fillId="21" borderId="11" xfId="39" applyNumberFormat="1" applyFont="1" applyFill="1" applyBorder="1" applyAlignment="1">
      <alignment horizontal="left" vertical="center" wrapText="1"/>
    </xf>
    <xf numFmtId="174" fontId="92" fillId="75" borderId="11" xfId="0" applyNumberFormat="1" applyFont="1" applyFill="1" applyBorder="1" applyAlignment="1">
      <alignment horizontal="center" vertical="center" wrapText="1"/>
    </xf>
    <xf numFmtId="174" fontId="66" fillId="21" borderId="11" xfId="0" applyNumberFormat="1" applyFont="1" applyFill="1" applyBorder="1" applyAlignment="1">
      <alignment horizontal="right"/>
    </xf>
    <xf numFmtId="174" fontId="176" fillId="75" borderId="11" xfId="610" applyNumberFormat="1" applyFont="1" applyFill="1" applyBorder="1" applyAlignment="1">
      <alignment horizontal="right" vertical="center"/>
    </xf>
    <xf numFmtId="202" fontId="176" fillId="21" borderId="11" xfId="610" applyNumberFormat="1" applyFont="1" applyFill="1" applyBorder="1" applyAlignment="1">
      <alignment horizontal="right" vertical="center" wrapText="1"/>
    </xf>
    <xf numFmtId="3" fontId="190" fillId="2" borderId="11" xfId="1" applyNumberFormat="1" applyFont="1" applyFill="1" applyBorder="1" applyAlignment="1" applyProtection="1">
      <alignment horizontal="center" vertical="center"/>
      <protection locked="0"/>
    </xf>
    <xf numFmtId="3" fontId="190" fillId="2" borderId="11" xfId="1" applyNumberFormat="1" applyFont="1" applyFill="1" applyBorder="1" applyAlignment="1" applyProtection="1">
      <alignment horizontal="center" vertical="center" wrapText="1"/>
      <protection locked="0"/>
    </xf>
    <xf numFmtId="0" fontId="191" fillId="2" borderId="11" xfId="14" applyFont="1" applyFill="1" applyBorder="1" applyAlignment="1">
      <alignment horizontal="center" vertical="center" wrapText="1"/>
    </xf>
    <xf numFmtId="0" fontId="192" fillId="2" borderId="11" xfId="14" applyFont="1" applyFill="1" applyBorder="1" applyAlignment="1">
      <alignment horizontal="left" vertical="center" wrapText="1"/>
    </xf>
    <xf numFmtId="0" fontId="193" fillId="2" borderId="11" xfId="14" applyFont="1" applyFill="1" applyBorder="1" applyAlignment="1">
      <alignment horizontal="center" vertical="center"/>
    </xf>
    <xf numFmtId="0" fontId="89" fillId="2" borderId="0" xfId="608" applyFont="1" applyFill="1" applyBorder="1"/>
    <xf numFmtId="0" fontId="89" fillId="2" borderId="0" xfId="608" applyFont="1" applyFill="1"/>
    <xf numFmtId="0" fontId="193" fillId="2" borderId="11" xfId="14" applyFont="1" applyFill="1" applyBorder="1" applyAlignment="1">
      <alignment horizontal="center" vertical="center" wrapText="1"/>
    </xf>
    <xf numFmtId="0" fontId="194" fillId="2" borderId="11" xfId="14" applyFont="1" applyFill="1" applyBorder="1" applyAlignment="1">
      <alignment horizontal="left" vertical="center" wrapText="1"/>
    </xf>
    <xf numFmtId="3" fontId="195" fillId="14" borderId="11" xfId="1" applyNumberFormat="1" applyFont="1" applyFill="1" applyBorder="1" applyAlignment="1" applyProtection="1">
      <alignment horizontal="left" vertical="center"/>
      <protection locked="0"/>
    </xf>
    <xf numFmtId="172" fontId="195" fillId="14" borderId="11" xfId="14" applyNumberFormat="1" applyFont="1" applyFill="1" applyBorder="1" applyAlignment="1">
      <alignment horizontal="left" vertical="center" wrapText="1"/>
    </xf>
    <xf numFmtId="172" fontId="196" fillId="65" borderId="11" xfId="14" applyNumberFormat="1" applyFont="1" applyFill="1" applyBorder="1" applyAlignment="1">
      <alignment horizontal="right" vertical="center" wrapText="1"/>
    </xf>
    <xf numFmtId="172" fontId="197" fillId="65" borderId="11" xfId="14" applyNumberFormat="1" applyFont="1" applyFill="1" applyBorder="1" applyAlignment="1">
      <alignment horizontal="right" vertical="center" wrapText="1"/>
    </xf>
    <xf numFmtId="172" fontId="191" fillId="40" borderId="11" xfId="676" applyNumberFormat="1" applyFont="1" applyFill="1" applyBorder="1" applyAlignment="1">
      <alignment horizontal="left" vertical="center" wrapText="1"/>
    </xf>
    <xf numFmtId="172" fontId="193" fillId="40" borderId="11" xfId="14" applyNumberFormat="1" applyFont="1" applyFill="1" applyBorder="1" applyAlignment="1">
      <alignment horizontal="right" vertical="center" wrapText="1"/>
    </xf>
    <xf numFmtId="172" fontId="198" fillId="66" borderId="11" xfId="14" applyNumberFormat="1" applyFont="1" applyFill="1" applyBorder="1" applyAlignment="1">
      <alignment horizontal="right" vertical="center" wrapText="1"/>
    </xf>
    <xf numFmtId="172" fontId="89" fillId="2" borderId="0" xfId="608" applyNumberFormat="1" applyFont="1" applyFill="1" applyBorder="1" applyAlignment="1">
      <alignment vertical="center"/>
    </xf>
    <xf numFmtId="172" fontId="89" fillId="2" borderId="0" xfId="608" applyNumberFormat="1" applyFont="1" applyFill="1" applyBorder="1" applyAlignment="1">
      <alignment horizontal="right" vertical="center"/>
    </xf>
    <xf numFmtId="172" fontId="199" fillId="14" borderId="11" xfId="676" applyNumberFormat="1" applyFont="1" applyFill="1" applyBorder="1" applyAlignment="1">
      <alignment horizontal="left" vertical="center" wrapText="1"/>
    </xf>
    <xf numFmtId="172" fontId="192" fillId="10" borderId="11" xfId="676" applyNumberFormat="1" applyFont="1" applyFill="1" applyBorder="1" applyAlignment="1">
      <alignment horizontal="center" vertical="center" wrapText="1"/>
    </xf>
    <xf numFmtId="172" fontId="192" fillId="10" borderId="11" xfId="676" applyNumberFormat="1" applyFont="1" applyFill="1" applyBorder="1" applyAlignment="1">
      <alignment horizontal="left" vertical="center" wrapText="1"/>
    </xf>
    <xf numFmtId="172" fontId="194" fillId="10" borderId="11" xfId="14" applyNumberFormat="1" applyFont="1" applyFill="1" applyBorder="1" applyAlignment="1">
      <alignment horizontal="right" vertical="center" wrapText="1"/>
    </xf>
    <xf numFmtId="172" fontId="194" fillId="40" borderId="11" xfId="14" applyNumberFormat="1" applyFont="1" applyFill="1" applyBorder="1" applyAlignment="1">
      <alignment horizontal="right" vertical="center" wrapText="1"/>
    </xf>
    <xf numFmtId="172" fontId="200" fillId="67" borderId="11" xfId="14" applyNumberFormat="1" applyFont="1" applyFill="1" applyBorder="1" applyAlignment="1">
      <alignment horizontal="right" vertical="center" wrapText="1"/>
    </xf>
    <xf numFmtId="172" fontId="200" fillId="66" borderId="11" xfId="14" applyNumberFormat="1" applyFont="1" applyFill="1" applyBorder="1" applyAlignment="1">
      <alignment horizontal="right" vertical="center" wrapText="1"/>
    </xf>
    <xf numFmtId="172" fontId="192" fillId="10" borderId="11" xfId="665" applyNumberFormat="1" applyFont="1" applyFill="1" applyBorder="1" applyAlignment="1">
      <alignment horizontal="left" vertical="center" wrapText="1"/>
    </xf>
    <xf numFmtId="172" fontId="192" fillId="2" borderId="11" xfId="676" applyNumberFormat="1" applyFont="1" applyFill="1" applyBorder="1" applyAlignment="1">
      <alignment horizontal="right" vertical="center" wrapText="1"/>
    </xf>
    <xf numFmtId="172" fontId="192" fillId="2" borderId="11" xfId="676" applyNumberFormat="1" applyFont="1" applyFill="1" applyBorder="1" applyAlignment="1">
      <alignment horizontal="left" vertical="center" wrapText="1"/>
    </xf>
    <xf numFmtId="172" fontId="200" fillId="68" borderId="11" xfId="14" applyNumberFormat="1" applyFont="1" applyFill="1" applyBorder="1" applyAlignment="1">
      <alignment horizontal="right" vertical="center" wrapText="1"/>
    </xf>
    <xf numFmtId="172" fontId="192" fillId="2" borderId="11" xfId="665" applyNumberFormat="1" applyFont="1" applyFill="1" applyBorder="1" applyAlignment="1">
      <alignment horizontal="right" vertical="center" wrapText="1"/>
    </xf>
    <xf numFmtId="172" fontId="192" fillId="2" borderId="11" xfId="665" applyNumberFormat="1" applyFont="1" applyFill="1" applyBorder="1" applyAlignment="1">
      <alignment horizontal="left" vertical="center" wrapText="1"/>
    </xf>
    <xf numFmtId="172" fontId="200" fillId="0" borderId="11" xfId="14" applyNumberFormat="1" applyFont="1" applyFill="1" applyBorder="1" applyAlignment="1">
      <alignment horizontal="right" vertical="center" wrapText="1"/>
    </xf>
    <xf numFmtId="172" fontId="192" fillId="10" borderId="11" xfId="665" applyNumberFormat="1" applyFont="1" applyFill="1" applyBorder="1" applyAlignment="1">
      <alignment horizontal="center" vertical="center" wrapText="1"/>
    </xf>
    <xf numFmtId="172" fontId="199" fillId="14" borderId="11" xfId="665" applyNumberFormat="1" applyFont="1" applyFill="1" applyBorder="1" applyAlignment="1">
      <alignment horizontal="left" vertical="center" wrapText="1"/>
    </xf>
    <xf numFmtId="0" fontId="89" fillId="2" borderId="11" xfId="608" applyFont="1" applyFill="1" applyBorder="1"/>
    <xf numFmtId="0" fontId="191" fillId="40" borderId="15" xfId="6" applyFont="1" applyFill="1" applyBorder="1" applyAlignment="1">
      <alignment horizontal="left" vertical="center" wrapText="1"/>
    </xf>
    <xf numFmtId="0" fontId="191" fillId="40" borderId="11" xfId="6" applyFont="1" applyFill="1" applyBorder="1" applyAlignment="1">
      <alignment horizontal="left" vertical="center" wrapText="1"/>
    </xf>
    <xf numFmtId="0" fontId="89" fillId="0" borderId="0" xfId="608" applyFont="1"/>
    <xf numFmtId="172" fontId="201" fillId="0" borderId="0" xfId="16" applyNumberFormat="1" applyFont="1" applyFill="1" applyBorder="1" applyAlignment="1" applyProtection="1">
      <alignment vertical="center"/>
      <protection locked="0"/>
    </xf>
    <xf numFmtId="172" fontId="193" fillId="0" borderId="0" xfId="16" applyNumberFormat="1" applyFont="1" applyFill="1" applyBorder="1" applyAlignment="1" applyProtection="1">
      <alignment vertical="center"/>
      <protection locked="0"/>
    </xf>
    <xf numFmtId="0" fontId="201" fillId="0" borderId="0" xfId="16" applyFont="1" applyFill="1" applyBorder="1" applyAlignment="1" applyProtection="1">
      <alignment vertical="center"/>
      <protection locked="0"/>
    </xf>
    <xf numFmtId="172" fontId="89" fillId="0" borderId="0" xfId="608" applyNumberFormat="1" applyFont="1" applyBorder="1"/>
    <xf numFmtId="0" fontId="89" fillId="0" borderId="0" xfId="608" applyFont="1" applyBorder="1" applyAlignment="1">
      <alignment horizontal="right" vertical="center"/>
    </xf>
    <xf numFmtId="0" fontId="193" fillId="0" borderId="0" xfId="16" applyFont="1" applyFill="1" applyBorder="1" applyAlignment="1" applyProtection="1">
      <alignment vertical="center"/>
      <protection locked="0"/>
    </xf>
    <xf numFmtId="0" fontId="89" fillId="0" borderId="0" xfId="608" applyFont="1" applyBorder="1"/>
    <xf numFmtId="0" fontId="201" fillId="0" borderId="0" xfId="16" applyFont="1" applyFill="1" applyBorder="1" applyAlignment="1" applyProtection="1">
      <alignment vertical="center" wrapText="1"/>
      <protection locked="0"/>
    </xf>
    <xf numFmtId="0" fontId="89" fillId="0" borderId="0" xfId="608" applyFont="1" applyBorder="1" applyAlignment="1">
      <alignment vertical="center"/>
    </xf>
    <xf numFmtId="0" fontId="89" fillId="0" borderId="0" xfId="608" applyFont="1" applyAlignment="1">
      <alignment vertical="center"/>
    </xf>
    <xf numFmtId="0" fontId="201" fillId="0" borderId="11" xfId="14" applyFont="1" applyFill="1" applyBorder="1" applyAlignment="1">
      <alignment horizontal="left" vertical="center" wrapText="1"/>
    </xf>
    <xf numFmtId="0" fontId="191" fillId="0" borderId="11" xfId="14" applyFont="1" applyFill="1" applyBorder="1" applyAlignment="1">
      <alignment horizontal="center" vertical="center" wrapText="1"/>
    </xf>
    <xf numFmtId="0" fontId="192" fillId="2" borderId="11" xfId="14" applyFont="1" applyFill="1" applyBorder="1" applyAlignment="1">
      <alignment vertical="center" wrapText="1"/>
    </xf>
    <xf numFmtId="2" fontId="192" fillId="0" borderId="11" xfId="14" applyNumberFormat="1" applyFont="1" applyFill="1" applyBorder="1" applyAlignment="1">
      <alignment horizontal="left" vertical="center" wrapText="1"/>
    </xf>
    <xf numFmtId="0" fontId="191" fillId="2" borderId="31" xfId="14" applyFont="1" applyFill="1" applyBorder="1" applyAlignment="1">
      <alignment horizontal="center" vertical="center" wrapText="1"/>
    </xf>
    <xf numFmtId="172" fontId="202" fillId="14" borderId="11" xfId="665" applyNumberFormat="1" applyFont="1" applyFill="1" applyBorder="1" applyAlignment="1">
      <alignment horizontal="left" vertical="center" wrapText="1"/>
    </xf>
    <xf numFmtId="172" fontId="199" fillId="14" borderId="11" xfId="14" applyNumberFormat="1" applyFont="1" applyFill="1" applyBorder="1" applyAlignment="1">
      <alignment horizontal="left" vertical="center" wrapText="1"/>
    </xf>
    <xf numFmtId="172" fontId="199" fillId="14" borderId="11" xfId="14" applyNumberFormat="1" applyFont="1" applyFill="1" applyBorder="1" applyAlignment="1">
      <alignment horizontal="right" vertical="center" wrapText="1"/>
    </xf>
    <xf numFmtId="172" fontId="203" fillId="14" borderId="11" xfId="14" applyNumberFormat="1" applyFont="1" applyFill="1" applyBorder="1" applyAlignment="1">
      <alignment horizontal="right" vertical="center" wrapText="1"/>
    </xf>
    <xf numFmtId="0" fontId="204" fillId="2" borderId="0" xfId="608" applyFont="1" applyFill="1" applyBorder="1" applyAlignment="1">
      <alignment vertical="center"/>
    </xf>
    <xf numFmtId="0" fontId="204" fillId="2" borderId="0" xfId="608" applyFont="1" applyFill="1" applyAlignment="1">
      <alignment vertical="center"/>
    </xf>
    <xf numFmtId="172" fontId="205" fillId="40" borderId="11" xfId="665" applyNumberFormat="1" applyFont="1" applyFill="1" applyBorder="1" applyAlignment="1">
      <alignment horizontal="left" vertical="center" wrapText="1"/>
    </xf>
    <xf numFmtId="172" fontId="191" fillId="40" borderId="11" xfId="14" applyNumberFormat="1" applyFont="1" applyFill="1" applyBorder="1" applyAlignment="1">
      <alignment horizontal="right" vertical="center" wrapText="1"/>
    </xf>
    <xf numFmtId="172" fontId="190" fillId="40" borderId="11" xfId="14" applyNumberFormat="1" applyFont="1" applyFill="1" applyBorder="1" applyAlignment="1">
      <alignment horizontal="right" vertical="center" wrapText="1"/>
    </xf>
    <xf numFmtId="0" fontId="142" fillId="2" borderId="0" xfId="608" applyFont="1" applyFill="1" applyBorder="1" applyAlignment="1">
      <alignment vertical="center"/>
    </xf>
    <xf numFmtId="172" fontId="142" fillId="2" borderId="0" xfId="608" applyNumberFormat="1" applyFont="1" applyFill="1" applyBorder="1" applyAlignment="1">
      <alignment vertical="center"/>
    </xf>
    <xf numFmtId="0" fontId="142" fillId="2" borderId="0" xfId="608" applyFont="1" applyFill="1" applyAlignment="1">
      <alignment vertical="center"/>
    </xf>
    <xf numFmtId="172" fontId="206" fillId="14" borderId="11" xfId="14" applyNumberFormat="1" applyFont="1" applyFill="1" applyBorder="1" applyAlignment="1">
      <alignment horizontal="right" vertical="center" wrapText="1"/>
    </xf>
    <xf numFmtId="172" fontId="207" fillId="14" borderId="11" xfId="14" applyNumberFormat="1" applyFont="1" applyFill="1" applyBorder="1" applyAlignment="1">
      <alignment horizontal="right" vertical="center" wrapText="1"/>
    </xf>
    <xf numFmtId="172" fontId="208" fillId="10" borderId="11" xfId="665" applyNumberFormat="1" applyFont="1" applyFill="1" applyBorder="1" applyAlignment="1">
      <alignment horizontal="center" vertical="center" wrapText="1"/>
    </xf>
    <xf numFmtId="172" fontId="208" fillId="10" borderId="11" xfId="665" applyNumberFormat="1" applyFont="1" applyFill="1" applyBorder="1" applyAlignment="1">
      <alignment horizontal="left" vertical="center" wrapText="1"/>
    </xf>
    <xf numFmtId="172" fontId="201" fillId="40" borderId="11" xfId="14" applyNumberFormat="1" applyFont="1" applyFill="1" applyBorder="1" applyAlignment="1">
      <alignment horizontal="right" vertical="center" wrapText="1"/>
    </xf>
    <xf numFmtId="172" fontId="192" fillId="10" borderId="11" xfId="14" applyNumberFormat="1" applyFont="1" applyFill="1" applyBorder="1" applyAlignment="1">
      <alignment horizontal="right" vertical="center" wrapText="1"/>
    </xf>
    <xf numFmtId="0" fontId="89" fillId="2" borderId="0" xfId="608" applyFont="1" applyFill="1" applyBorder="1" applyAlignment="1">
      <alignment vertical="center"/>
    </xf>
    <xf numFmtId="201" fontId="89" fillId="2" borderId="0" xfId="608" applyNumberFormat="1" applyFont="1" applyFill="1" applyBorder="1" applyAlignment="1">
      <alignment vertical="center"/>
    </xf>
    <xf numFmtId="0" fontId="89" fillId="2" borderId="0" xfId="608" applyFont="1" applyFill="1" applyAlignment="1">
      <alignment vertical="center"/>
    </xf>
    <xf numFmtId="172" fontId="209" fillId="40" borderId="11" xfId="14" applyNumberFormat="1" applyFont="1" applyFill="1" applyBorder="1" applyAlignment="1">
      <alignment horizontal="right" vertical="center" wrapText="1"/>
    </xf>
    <xf numFmtId="175" fontId="210" fillId="2" borderId="0" xfId="41" applyNumberFormat="1" applyFont="1" applyFill="1" applyBorder="1" applyAlignment="1">
      <alignment vertical="center"/>
    </xf>
    <xf numFmtId="172" fontId="208" fillId="2" borderId="11" xfId="665" applyNumberFormat="1" applyFont="1" applyFill="1" applyBorder="1" applyAlignment="1">
      <alignment horizontal="right" vertical="center" wrapText="1"/>
    </xf>
    <xf numFmtId="172" fontId="208" fillId="2" borderId="11" xfId="665" applyNumberFormat="1" applyFont="1" applyFill="1" applyBorder="1" applyAlignment="1">
      <alignment horizontal="left" vertical="center" wrapText="1"/>
    </xf>
    <xf numFmtId="172" fontId="201" fillId="10" borderId="11" xfId="14" applyNumberFormat="1" applyFont="1" applyFill="1" applyBorder="1" applyAlignment="1">
      <alignment horizontal="right" vertical="center" wrapText="1"/>
    </xf>
    <xf numFmtId="172" fontId="192" fillId="2" borderId="11" xfId="14" applyNumberFormat="1" applyFont="1" applyFill="1" applyBorder="1" applyAlignment="1">
      <alignment horizontal="right" vertical="center" wrapText="1"/>
    </xf>
    <xf numFmtId="172" fontId="201" fillId="2" borderId="11" xfId="14" applyNumberFormat="1" applyFont="1" applyFill="1" applyBorder="1" applyAlignment="1">
      <alignment horizontal="right" vertical="center" wrapText="1"/>
    </xf>
    <xf numFmtId="172" fontId="190" fillId="10" borderId="11" xfId="14" applyNumberFormat="1" applyFont="1" applyFill="1" applyBorder="1" applyAlignment="1">
      <alignment horizontal="right" vertical="center" wrapText="1"/>
    </xf>
    <xf numFmtId="172" fontId="201" fillId="11" borderId="11" xfId="14" applyNumberFormat="1" applyFont="1" applyFill="1" applyBorder="1" applyAlignment="1">
      <alignment horizontal="right" vertical="center" wrapText="1"/>
    </xf>
    <xf numFmtId="0" fontId="201" fillId="0" borderId="0" xfId="16" applyFont="1" applyFill="1" applyBorder="1" applyAlignment="1" applyProtection="1">
      <alignment horizontal="left" vertical="center"/>
      <protection locked="0"/>
    </xf>
    <xf numFmtId="0" fontId="201" fillId="0" borderId="0" xfId="16" applyFont="1" applyFill="1" applyBorder="1" applyAlignment="1" applyProtection="1">
      <alignment horizontal="left" vertical="center" wrapText="1"/>
      <protection locked="0"/>
    </xf>
    <xf numFmtId="3" fontId="201" fillId="0" borderId="0" xfId="16" applyNumberFormat="1" applyFont="1" applyFill="1" applyBorder="1" applyAlignment="1" applyProtection="1">
      <alignment vertical="center"/>
      <protection locked="0"/>
    </xf>
    <xf numFmtId="172" fontId="190" fillId="0" borderId="0" xfId="665" applyNumberFormat="1" applyFont="1" applyFill="1" applyBorder="1" applyAlignment="1" applyProtection="1">
      <alignment vertical="center"/>
      <protection locked="0"/>
    </xf>
    <xf numFmtId="172" fontId="205" fillId="0" borderId="0" xfId="665" applyNumberFormat="1" applyFont="1" applyFill="1" applyBorder="1" applyAlignment="1">
      <alignment horizontal="right" vertical="center" wrapText="1"/>
    </xf>
    <xf numFmtId="172" fontId="201" fillId="0" borderId="0" xfId="665" applyNumberFormat="1" applyFont="1" applyFill="1" applyBorder="1" applyAlignment="1" applyProtection="1">
      <alignment vertical="center"/>
      <protection locked="0"/>
    </xf>
    <xf numFmtId="0" fontId="89" fillId="0" borderId="0" xfId="608" applyFont="1" applyFill="1" applyBorder="1" applyAlignment="1">
      <alignment vertical="center"/>
    </xf>
    <xf numFmtId="175" fontId="205" fillId="0" borderId="0" xfId="41" applyNumberFormat="1" applyFont="1" applyFill="1" applyBorder="1" applyAlignment="1">
      <alignment horizontal="right" vertical="center" wrapText="1"/>
    </xf>
    <xf numFmtId="9" fontId="89" fillId="0" borderId="0" xfId="41" applyFont="1" applyBorder="1" applyAlignment="1">
      <alignment vertical="center"/>
    </xf>
    <xf numFmtId="175" fontId="210" fillId="0" borderId="0" xfId="41" applyNumberFormat="1" applyFont="1" applyAlignment="1">
      <alignment vertical="center"/>
    </xf>
    <xf numFmtId="0" fontId="201" fillId="69" borderId="0" xfId="16" applyFont="1" applyFill="1" applyBorder="1" applyAlignment="1" applyProtection="1">
      <alignment vertical="center"/>
      <protection locked="0"/>
    </xf>
    <xf numFmtId="0" fontId="201" fillId="64" borderId="0" xfId="16" applyFont="1" applyFill="1" applyBorder="1" applyAlignment="1" applyProtection="1">
      <alignment vertical="center"/>
      <protection locked="0"/>
    </xf>
    <xf numFmtId="0" fontId="89" fillId="0" borderId="11" xfId="608" applyFont="1" applyFill="1" applyBorder="1" applyAlignment="1">
      <alignment vertical="center"/>
    </xf>
    <xf numFmtId="0" fontId="205" fillId="0" borderId="31" xfId="14" applyFont="1" applyFill="1" applyBorder="1" applyAlignment="1">
      <alignment horizontal="center" vertical="center" wrapText="1"/>
    </xf>
    <xf numFmtId="0" fontId="192" fillId="0" borderId="31" xfId="14" applyFont="1" applyFill="1" applyBorder="1" applyAlignment="1">
      <alignment horizontal="left" vertical="center" wrapText="1"/>
    </xf>
    <xf numFmtId="2" fontId="205" fillId="0" borderId="31" xfId="14" applyNumberFormat="1" applyFont="1" applyFill="1" applyBorder="1" applyAlignment="1">
      <alignment horizontal="center" vertical="center" wrapText="1"/>
    </xf>
    <xf numFmtId="2" fontId="192" fillId="0" borderId="31" xfId="14" applyNumberFormat="1" applyFont="1" applyFill="1" applyBorder="1" applyAlignment="1">
      <alignment horizontal="left" vertical="center" wrapText="1"/>
    </xf>
    <xf numFmtId="2" fontId="192" fillId="0" borderId="32" xfId="14" applyNumberFormat="1" applyFont="1" applyFill="1" applyBorder="1" applyAlignment="1">
      <alignment horizontal="left" vertical="center" wrapText="1"/>
    </xf>
    <xf numFmtId="0" fontId="89" fillId="0" borderId="0" xfId="608" applyFont="1" applyFill="1" applyAlignment="1">
      <alignment vertical="center"/>
    </xf>
    <xf numFmtId="0" fontId="205" fillId="0" borderId="11" xfId="14" applyFont="1" applyFill="1" applyBorder="1" applyAlignment="1">
      <alignment horizontal="center" vertical="center" wrapText="1"/>
    </xf>
    <xf numFmtId="0" fontId="192" fillId="0" borderId="11" xfId="14" applyFont="1" applyFill="1" applyBorder="1" applyAlignment="1">
      <alignment horizontal="left" vertical="center" wrapText="1"/>
    </xf>
    <xf numFmtId="2" fontId="205" fillId="0" borderId="11" xfId="14" applyNumberFormat="1" applyFont="1" applyFill="1" applyBorder="1" applyAlignment="1">
      <alignment horizontal="center" vertical="center" wrapText="1"/>
    </xf>
    <xf numFmtId="2" fontId="205" fillId="0" borderId="32" xfId="14" applyNumberFormat="1" applyFont="1" applyFill="1" applyBorder="1" applyAlignment="1">
      <alignment horizontal="center" vertical="center" wrapText="1"/>
    </xf>
    <xf numFmtId="0" fontId="205" fillId="40" borderId="11" xfId="14" applyFont="1" applyFill="1" applyBorder="1" applyAlignment="1">
      <alignment vertical="center" wrapText="1"/>
    </xf>
    <xf numFmtId="0" fontId="190" fillId="40" borderId="11" xfId="14" applyFont="1" applyFill="1" applyBorder="1" applyAlignment="1">
      <alignment vertical="center" wrapText="1"/>
    </xf>
    <xf numFmtId="172" fontId="191" fillId="40" borderId="11" xfId="665" applyNumberFormat="1" applyFont="1" applyFill="1" applyBorder="1" applyAlignment="1">
      <alignment horizontal="right" vertical="center" wrapText="1"/>
    </xf>
    <xf numFmtId="0" fontId="208" fillId="10" borderId="11" xfId="14" applyFont="1" applyFill="1" applyBorder="1" applyAlignment="1">
      <alignment horizontal="center" vertical="center" wrapText="1"/>
    </xf>
    <xf numFmtId="0" fontId="201" fillId="10" borderId="11" xfId="14" applyFont="1" applyFill="1" applyBorder="1" applyAlignment="1">
      <alignment vertical="center" wrapText="1"/>
    </xf>
    <xf numFmtId="172" fontId="192" fillId="40" borderId="11" xfId="665" applyNumberFormat="1" applyFont="1" applyFill="1" applyBorder="1" applyAlignment="1">
      <alignment horizontal="right" vertical="center" wrapText="1"/>
    </xf>
    <xf numFmtId="172" fontId="194" fillId="12" borderId="11" xfId="665" applyNumberFormat="1" applyFont="1" applyFill="1" applyBorder="1" applyAlignment="1">
      <alignment horizontal="right" vertical="center" wrapText="1"/>
    </xf>
    <xf numFmtId="172" fontId="192" fillId="10" borderId="11" xfId="665" applyNumberFormat="1" applyFont="1" applyFill="1" applyBorder="1" applyAlignment="1">
      <alignment horizontal="right" vertical="center" wrapText="1"/>
    </xf>
    <xf numFmtId="172" fontId="192" fillId="12" borderId="11" xfId="665" applyNumberFormat="1" applyFont="1" applyFill="1" applyBorder="1" applyAlignment="1">
      <alignment horizontal="right" vertical="center" wrapText="1"/>
    </xf>
    <xf numFmtId="0" fontId="208" fillId="10" borderId="11" xfId="14" applyFont="1" applyFill="1" applyBorder="1" applyAlignment="1">
      <alignment vertical="center" wrapText="1"/>
    </xf>
    <xf numFmtId="172" fontId="191" fillId="12" borderId="11" xfId="665" applyNumberFormat="1" applyFont="1" applyFill="1" applyBorder="1" applyAlignment="1">
      <alignment horizontal="right" vertical="center" wrapText="1"/>
    </xf>
    <xf numFmtId="172" fontId="191" fillId="10" borderId="11" xfId="665" applyNumberFormat="1" applyFont="1" applyFill="1" applyBorder="1" applyAlignment="1">
      <alignment horizontal="right" vertical="center" wrapText="1"/>
    </xf>
    <xf numFmtId="0" fontId="205" fillId="40" borderId="11" xfId="14" applyFont="1" applyFill="1" applyBorder="1" applyAlignment="1">
      <alignment horizontal="left" vertical="center" wrapText="1"/>
    </xf>
    <xf numFmtId="172" fontId="192" fillId="0" borderId="11" xfId="665" applyNumberFormat="1" applyFont="1" applyFill="1" applyBorder="1" applyAlignment="1">
      <alignment horizontal="right" vertical="center" wrapText="1"/>
    </xf>
    <xf numFmtId="172" fontId="191" fillId="0" borderId="11" xfId="665" applyNumberFormat="1" applyFont="1" applyFill="1" applyBorder="1" applyAlignment="1">
      <alignment horizontal="right" vertical="center" wrapText="1"/>
    </xf>
    <xf numFmtId="0" fontId="201" fillId="10" borderId="11" xfId="14" applyFont="1" applyFill="1" applyBorder="1" applyAlignment="1">
      <alignment horizontal="left" vertical="center" wrapText="1"/>
    </xf>
    <xf numFmtId="0" fontId="190" fillId="40" borderId="11" xfId="14" applyFont="1" applyFill="1" applyBorder="1" applyAlignment="1">
      <alignment vertical="center"/>
    </xf>
    <xf numFmtId="172" fontId="191" fillId="40" borderId="11" xfId="665" quotePrefix="1" applyNumberFormat="1" applyFont="1" applyFill="1" applyBorder="1" applyAlignment="1">
      <alignment horizontal="right" vertical="center" wrapText="1"/>
    </xf>
    <xf numFmtId="0" fontId="201" fillId="0" borderId="0" xfId="16" applyFont="1" applyFill="1" applyAlignment="1" applyProtection="1">
      <alignment vertical="center"/>
      <protection locked="0"/>
    </xf>
    <xf numFmtId="0" fontId="201" fillId="0" borderId="0" xfId="16" applyFont="1" applyFill="1" applyAlignment="1" applyProtection="1">
      <alignment horizontal="left" vertical="center" wrapText="1"/>
      <protection locked="0"/>
    </xf>
    <xf numFmtId="2" fontId="201" fillId="0" borderId="0" xfId="16" applyNumberFormat="1" applyFont="1" applyFill="1" applyAlignment="1" applyProtection="1">
      <alignment vertical="center"/>
      <protection locked="0"/>
    </xf>
    <xf numFmtId="2" fontId="201" fillId="69" borderId="0" xfId="16" applyNumberFormat="1" applyFont="1" applyFill="1" applyAlignment="1" applyProtection="1">
      <alignment vertical="center"/>
      <protection locked="0"/>
    </xf>
    <xf numFmtId="3" fontId="190" fillId="0" borderId="11" xfId="1" applyNumberFormat="1" applyFont="1" applyFill="1" applyBorder="1" applyAlignment="1" applyProtection="1">
      <alignment horizontal="center" vertical="center" wrapText="1"/>
      <protection locked="0"/>
    </xf>
    <xf numFmtId="0" fontId="89" fillId="11" borderId="0" xfId="16" applyFont="1" applyFill="1"/>
    <xf numFmtId="3" fontId="201" fillId="0" borderId="11" xfId="14" applyNumberFormat="1" applyFont="1" applyFill="1" applyBorder="1" applyAlignment="1" applyProtection="1">
      <alignment horizontal="left" vertical="center" wrapText="1"/>
      <protection locked="0"/>
    </xf>
    <xf numFmtId="3" fontId="193" fillId="0" borderId="11" xfId="14" applyNumberFormat="1" applyFont="1" applyFill="1" applyBorder="1" applyAlignment="1" applyProtection="1">
      <alignment horizontal="center" vertical="center" wrapText="1"/>
      <protection locked="0"/>
    </xf>
    <xf numFmtId="0" fontId="193" fillId="0" borderId="11" xfId="14" applyFont="1" applyFill="1" applyBorder="1" applyAlignment="1">
      <alignment horizontal="center" vertical="center" wrapText="1"/>
    </xf>
    <xf numFmtId="3" fontId="193" fillId="0" borderId="11" xfId="1" applyNumberFormat="1" applyFont="1" applyFill="1" applyBorder="1" applyAlignment="1" applyProtection="1">
      <alignment horizontal="center" vertical="center" wrapText="1"/>
      <protection locked="0"/>
    </xf>
    <xf numFmtId="3" fontId="193" fillId="2" borderId="11" xfId="1" applyNumberFormat="1" applyFont="1" applyFill="1" applyBorder="1" applyAlignment="1" applyProtection="1">
      <alignment horizontal="center" vertical="center" wrapText="1"/>
      <protection locked="0"/>
    </xf>
    <xf numFmtId="0" fontId="201" fillId="2" borderId="11" xfId="14" applyFont="1" applyFill="1" applyBorder="1" applyAlignment="1">
      <alignment horizontal="left" vertical="center" wrapText="1"/>
    </xf>
    <xf numFmtId="0" fontId="89" fillId="0" borderId="0" xfId="16" applyFont="1" applyFill="1"/>
    <xf numFmtId="172" fontId="191" fillId="40" borderId="11" xfId="42" applyNumberFormat="1" applyFont="1" applyFill="1" applyBorder="1" applyAlignment="1">
      <alignment horizontal="right" vertical="center" wrapText="1"/>
    </xf>
    <xf numFmtId="9" fontId="142" fillId="14" borderId="0" xfId="41" applyFont="1" applyFill="1"/>
    <xf numFmtId="0" fontId="142" fillId="14" borderId="0" xfId="16" applyFont="1" applyFill="1"/>
    <xf numFmtId="172" fontId="211" fillId="40" borderId="11" xfId="42" applyNumberFormat="1" applyFont="1" applyFill="1" applyBorder="1" applyAlignment="1">
      <alignment horizontal="right" vertical="center" wrapText="1"/>
    </xf>
    <xf numFmtId="172" fontId="212" fillId="10" borderId="11" xfId="42" applyNumberFormat="1" applyFont="1" applyFill="1" applyBorder="1" applyAlignment="1">
      <alignment horizontal="right" vertical="center" wrapText="1"/>
    </xf>
    <xf numFmtId="172" fontId="213" fillId="40" borderId="11" xfId="42" applyNumberFormat="1" applyFont="1" applyFill="1" applyBorder="1" applyAlignment="1">
      <alignment horizontal="right" vertical="center" wrapText="1"/>
    </xf>
    <xf numFmtId="172" fontId="192" fillId="10" borderId="11" xfId="42" applyNumberFormat="1" applyFont="1" applyFill="1" applyBorder="1" applyAlignment="1">
      <alignment horizontal="right" vertical="center" wrapText="1"/>
    </xf>
    <xf numFmtId="0" fontId="89" fillId="10" borderId="0" xfId="16" applyFont="1" applyFill="1"/>
    <xf numFmtId="172" fontId="211" fillId="40" borderId="11" xfId="42" applyNumberFormat="1" applyFont="1" applyFill="1" applyBorder="1" applyAlignment="1" applyProtection="1">
      <alignment horizontal="right" vertical="center" wrapText="1"/>
      <protection locked="0"/>
    </xf>
    <xf numFmtId="172" fontId="210" fillId="10" borderId="11" xfId="42" applyNumberFormat="1" applyFont="1" applyFill="1" applyBorder="1" applyAlignment="1" applyProtection="1">
      <alignment horizontal="right" vertical="center" wrapText="1"/>
      <protection locked="0"/>
    </xf>
    <xf numFmtId="172" fontId="193" fillId="40" borderId="11" xfId="42" applyNumberFormat="1" applyFont="1" applyFill="1" applyBorder="1" applyAlignment="1">
      <alignment horizontal="right" vertical="center" wrapText="1"/>
    </xf>
    <xf numFmtId="172" fontId="194" fillId="10" borderId="11" xfId="42" applyNumberFormat="1" applyFont="1" applyFill="1" applyBorder="1" applyAlignment="1">
      <alignment horizontal="right" vertical="center" wrapText="1"/>
    </xf>
    <xf numFmtId="3" fontId="201" fillId="0" borderId="0" xfId="1" applyNumberFormat="1" applyFont="1" applyFill="1" applyBorder="1" applyAlignment="1">
      <alignment wrapText="1"/>
    </xf>
    <xf numFmtId="3" fontId="201" fillId="0" borderId="0" xfId="1" applyNumberFormat="1" applyFont="1" applyFill="1" applyBorder="1" applyAlignment="1">
      <alignment horizontal="right" wrapText="1"/>
    </xf>
    <xf numFmtId="3" fontId="201" fillId="0" borderId="0" xfId="1" applyNumberFormat="1" applyFont="1" applyFill="1" applyBorder="1" applyAlignment="1">
      <alignment horizontal="right" vertical="top" wrapText="1"/>
    </xf>
    <xf numFmtId="3" fontId="201" fillId="0" borderId="0" xfId="1" applyNumberFormat="1" applyFont="1" applyFill="1" applyBorder="1" applyAlignment="1">
      <alignment horizontal="left" vertical="top" wrapText="1"/>
    </xf>
    <xf numFmtId="0" fontId="214" fillId="40" borderId="11" xfId="14" applyFont="1" applyFill="1" applyBorder="1" applyAlignment="1">
      <alignment vertical="center" wrapText="1"/>
    </xf>
    <xf numFmtId="0" fontId="215" fillId="10" borderId="11" xfId="14" applyFont="1" applyFill="1" applyBorder="1" applyAlignment="1">
      <alignment horizontal="center" vertical="center" wrapText="1"/>
    </xf>
    <xf numFmtId="0" fontId="215" fillId="10" borderId="11" xfId="14" applyFont="1" applyFill="1" applyBorder="1" applyAlignment="1">
      <alignment vertical="center" wrapText="1"/>
    </xf>
    <xf numFmtId="3" fontId="216" fillId="40" borderId="11" xfId="1" applyNumberFormat="1" applyFont="1" applyFill="1" applyBorder="1" applyAlignment="1" applyProtection="1">
      <alignment horizontal="left" vertical="center" wrapText="1"/>
      <protection locked="0"/>
    </xf>
    <xf numFmtId="3" fontId="217" fillId="10" borderId="11" xfId="1" applyNumberFormat="1" applyFont="1" applyFill="1" applyBorder="1" applyAlignment="1" applyProtection="1">
      <alignment horizontal="center" vertical="center" wrapText="1"/>
      <protection locked="0"/>
    </xf>
    <xf numFmtId="3" fontId="218" fillId="10" borderId="11" xfId="1" applyNumberFormat="1" applyFont="1" applyFill="1" applyBorder="1" applyAlignment="1">
      <alignment horizontal="center" vertical="center" wrapText="1"/>
    </xf>
    <xf numFmtId="3" fontId="219" fillId="40" borderId="11" xfId="1" applyNumberFormat="1" applyFont="1" applyFill="1" applyBorder="1" applyAlignment="1">
      <alignment vertical="center" wrapText="1"/>
    </xf>
    <xf numFmtId="2" fontId="214" fillId="40" borderId="11" xfId="14" applyNumberFormat="1" applyFont="1" applyFill="1" applyBorder="1" applyAlignment="1">
      <alignment vertical="center" wrapText="1"/>
    </xf>
    <xf numFmtId="3" fontId="190" fillId="0" borderId="15" xfId="1" applyNumberFormat="1" applyFont="1" applyFill="1" applyBorder="1" applyAlignment="1" applyProtection="1">
      <alignment horizontal="center" vertical="center" wrapText="1"/>
      <protection locked="0"/>
    </xf>
    <xf numFmtId="3" fontId="190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89" fillId="0" borderId="14" xfId="16" applyFont="1" applyBorder="1" applyAlignment="1">
      <alignment horizontal="center" vertical="center" wrapText="1"/>
    </xf>
    <xf numFmtId="3" fontId="190" fillId="0" borderId="11" xfId="1" applyNumberFormat="1" applyFont="1" applyFill="1" applyBorder="1" applyAlignment="1" applyProtection="1">
      <alignment horizontal="center" vertical="center" wrapText="1"/>
      <protection locked="0"/>
    </xf>
    <xf numFmtId="3" fontId="219" fillId="40" borderId="15" xfId="1" applyNumberFormat="1" applyFont="1" applyFill="1" applyBorder="1" applyAlignment="1">
      <alignment horizontal="center" vertical="center" wrapText="1"/>
    </xf>
    <xf numFmtId="3" fontId="219" fillId="40" borderId="14" xfId="1" applyNumberFormat="1" applyFont="1" applyFill="1" applyBorder="1" applyAlignment="1">
      <alignment horizontal="center" vertical="center" wrapText="1"/>
    </xf>
    <xf numFmtId="3" fontId="190" fillId="0" borderId="18" xfId="1" applyNumberFormat="1" applyFont="1" applyFill="1" applyBorder="1" applyAlignment="1" applyProtection="1">
      <alignment horizontal="center" vertical="center" wrapText="1"/>
      <protection locked="0"/>
    </xf>
    <xf numFmtId="3" fontId="190" fillId="0" borderId="17" xfId="1" applyNumberFormat="1" applyFont="1" applyFill="1" applyBorder="1" applyAlignment="1" applyProtection="1">
      <alignment horizontal="center" vertical="center" wrapText="1"/>
      <protection locked="0"/>
    </xf>
    <xf numFmtId="3" fontId="190" fillId="0" borderId="26" xfId="1" applyNumberFormat="1" applyFont="1" applyFill="1" applyBorder="1" applyAlignment="1" applyProtection="1">
      <alignment horizontal="center" vertical="center" wrapText="1"/>
      <protection locked="0"/>
    </xf>
    <xf numFmtId="3" fontId="190" fillId="0" borderId="24" xfId="1" applyNumberFormat="1" applyFont="1" applyFill="1" applyBorder="1" applyAlignment="1" applyProtection="1">
      <alignment horizontal="center" vertical="center" wrapText="1"/>
      <protection locked="0"/>
    </xf>
    <xf numFmtId="3" fontId="190" fillId="0" borderId="32" xfId="1" applyNumberFormat="1" applyFont="1" applyFill="1" applyBorder="1" applyAlignment="1" applyProtection="1">
      <alignment horizontal="center" vertical="center" wrapText="1"/>
      <protection locked="0"/>
    </xf>
    <xf numFmtId="3" fontId="190" fillId="0" borderId="30" xfId="1" applyNumberFormat="1" applyFont="1" applyFill="1" applyBorder="1" applyAlignment="1" applyProtection="1">
      <alignment horizontal="center" vertical="center" wrapText="1"/>
      <protection locked="0"/>
    </xf>
    <xf numFmtId="0" fontId="89" fillId="0" borderId="11" xfId="16" applyFont="1" applyBorder="1" applyAlignment="1">
      <alignment horizontal="center" vertical="center" wrapText="1"/>
    </xf>
    <xf numFmtId="0" fontId="89" fillId="0" borderId="35" xfId="16" applyFont="1" applyBorder="1" applyAlignment="1">
      <alignment horizontal="center" vertical="center" wrapText="1"/>
    </xf>
    <xf numFmtId="3" fontId="35" fillId="0" borderId="11" xfId="1" applyNumberFormat="1" applyFont="1" applyFill="1" applyBorder="1" applyAlignment="1" applyProtection="1">
      <alignment horizontal="center" vertical="center"/>
      <protection locked="0"/>
    </xf>
    <xf numFmtId="3" fontId="35" fillId="0" borderId="15" xfId="1" applyNumberFormat="1" applyFont="1" applyFill="1" applyBorder="1" applyAlignment="1" applyProtection="1">
      <alignment horizontal="center" vertical="center" wrapText="1"/>
      <protection locked="0"/>
    </xf>
    <xf numFmtId="3" fontId="35" fillId="0" borderId="35" xfId="1" applyNumberFormat="1" applyFont="1" applyFill="1" applyBorder="1" applyAlignment="1" applyProtection="1">
      <alignment horizontal="center" vertical="center" wrapText="1"/>
      <protection locked="0"/>
    </xf>
    <xf numFmtId="3" fontId="10" fillId="0" borderId="11" xfId="1" applyNumberFormat="1" applyFont="1" applyFill="1" applyBorder="1" applyAlignment="1" applyProtection="1">
      <alignment horizontal="center" vertical="center"/>
      <protection locked="0"/>
    </xf>
    <xf numFmtId="3" fontId="35" fillId="0" borderId="14" xfId="1" applyNumberFormat="1" applyFont="1" applyFill="1" applyBorder="1" applyAlignment="1" applyProtection="1">
      <alignment horizontal="center" vertical="center" wrapText="1"/>
      <protection locked="0"/>
    </xf>
    <xf numFmtId="3" fontId="127" fillId="0" borderId="15" xfId="1" applyNumberFormat="1" applyFont="1" applyFill="1" applyBorder="1" applyAlignment="1" applyProtection="1">
      <alignment horizontal="center" vertical="center" wrapText="1"/>
      <protection locked="0"/>
    </xf>
    <xf numFmtId="3" fontId="127" fillId="0" borderId="35" xfId="1" applyNumberFormat="1" applyFont="1" applyFill="1" applyBorder="1" applyAlignment="1" applyProtection="1">
      <alignment horizontal="center" vertical="center" wrapText="1"/>
      <protection locked="0"/>
    </xf>
    <xf numFmtId="3" fontId="127" fillId="0" borderId="14" xfId="1" applyNumberFormat="1" applyFont="1" applyFill="1" applyBorder="1" applyAlignment="1" applyProtection="1">
      <alignment horizontal="center" vertical="center" wrapText="1"/>
      <protection locked="0"/>
    </xf>
    <xf numFmtId="3" fontId="127" fillId="0" borderId="18" xfId="1" applyNumberFormat="1" applyFont="1" applyFill="1" applyBorder="1" applyAlignment="1" applyProtection="1">
      <alignment horizontal="center" vertical="center" wrapText="1"/>
      <protection locked="0"/>
    </xf>
    <xf numFmtId="3" fontId="127" fillId="0" borderId="44" xfId="1" applyNumberFormat="1" applyFont="1" applyFill="1" applyBorder="1" applyAlignment="1" applyProtection="1">
      <alignment horizontal="center" vertical="center" wrapText="1"/>
      <protection locked="0"/>
    </xf>
    <xf numFmtId="2" fontId="205" fillId="0" borderId="16" xfId="14" applyNumberFormat="1" applyFont="1" applyFill="1" applyBorder="1" applyAlignment="1">
      <alignment horizontal="center" vertical="center" wrapText="1"/>
    </xf>
    <xf numFmtId="0" fontId="89" fillId="0" borderId="31" xfId="608" applyFont="1" applyBorder="1" applyAlignment="1">
      <alignment horizontal="center" vertical="center"/>
    </xf>
    <xf numFmtId="2" fontId="190" fillId="0" borderId="16" xfId="16" applyNumberFormat="1" applyFont="1" applyFill="1" applyBorder="1" applyAlignment="1" applyProtection="1">
      <alignment horizontal="center" vertical="center" wrapText="1"/>
      <protection locked="0"/>
    </xf>
    <xf numFmtId="2" fontId="190" fillId="0" borderId="25" xfId="16" applyNumberFormat="1" applyFont="1" applyFill="1" applyBorder="1" applyAlignment="1" applyProtection="1">
      <alignment horizontal="center" vertical="center" wrapText="1"/>
      <protection locked="0"/>
    </xf>
    <xf numFmtId="2" fontId="190" fillId="0" borderId="31" xfId="16" applyNumberFormat="1" applyFont="1" applyFill="1" applyBorder="1" applyAlignment="1" applyProtection="1">
      <alignment horizontal="center" vertical="center" wrapText="1"/>
      <protection locked="0"/>
    </xf>
    <xf numFmtId="3" fontId="190" fillId="40" borderId="15" xfId="16" applyNumberFormat="1" applyFont="1" applyFill="1" applyBorder="1" applyAlignment="1" applyProtection="1">
      <alignment horizontal="center" vertical="center" wrapText="1"/>
      <protection locked="0"/>
    </xf>
    <xf numFmtId="3" fontId="190" fillId="40" borderId="14" xfId="16" applyNumberFormat="1" applyFont="1" applyFill="1" applyBorder="1" applyAlignment="1" applyProtection="1">
      <alignment horizontal="center" vertical="center" wrapText="1"/>
      <protection locked="0"/>
    </xf>
    <xf numFmtId="3" fontId="190" fillId="0" borderId="18" xfId="1" applyNumberFormat="1" applyFont="1" applyFill="1" applyBorder="1" applyAlignment="1" applyProtection="1">
      <alignment horizontal="center" vertical="center"/>
      <protection locked="0"/>
    </xf>
    <xf numFmtId="3" fontId="190" fillId="0" borderId="17" xfId="1" applyNumberFormat="1" applyFont="1" applyFill="1" applyBorder="1" applyAlignment="1" applyProtection="1">
      <alignment horizontal="center" vertical="center"/>
      <protection locked="0"/>
    </xf>
    <xf numFmtId="3" fontId="190" fillId="0" borderId="26" xfId="1" applyNumberFormat="1" applyFont="1" applyFill="1" applyBorder="1" applyAlignment="1" applyProtection="1">
      <alignment horizontal="center" vertical="center"/>
      <protection locked="0"/>
    </xf>
    <xf numFmtId="3" fontId="190" fillId="0" borderId="24" xfId="1" applyNumberFormat="1" applyFont="1" applyFill="1" applyBorder="1" applyAlignment="1" applyProtection="1">
      <alignment horizontal="center" vertical="center"/>
      <protection locked="0"/>
    </xf>
    <xf numFmtId="3" fontId="190" fillId="0" borderId="32" xfId="1" applyNumberFormat="1" applyFont="1" applyFill="1" applyBorder="1" applyAlignment="1" applyProtection="1">
      <alignment horizontal="center" vertical="center"/>
      <protection locked="0"/>
    </xf>
    <xf numFmtId="3" fontId="190" fillId="0" borderId="30" xfId="1" applyNumberFormat="1" applyFont="1" applyFill="1" applyBorder="1" applyAlignment="1" applyProtection="1">
      <alignment horizontal="center" vertical="center"/>
      <protection locked="0"/>
    </xf>
    <xf numFmtId="0" fontId="89" fillId="0" borderId="14" xfId="608" applyFont="1" applyBorder="1" applyAlignment="1">
      <alignment horizontal="center" vertical="center" wrapText="1"/>
    </xf>
    <xf numFmtId="2" fontId="190" fillId="0" borderId="15" xfId="1" applyNumberFormat="1" applyFont="1" applyFill="1" applyBorder="1" applyAlignment="1" applyProtection="1">
      <alignment horizontal="center" vertical="center" wrapText="1"/>
      <protection locked="0"/>
    </xf>
    <xf numFmtId="2" fontId="190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89" fillId="0" borderId="35" xfId="608" applyFont="1" applyBorder="1" applyAlignment="1">
      <alignment horizontal="center" vertical="center" wrapText="1"/>
    </xf>
    <xf numFmtId="2" fontId="201" fillId="0" borderId="15" xfId="16" applyNumberFormat="1" applyFont="1" applyFill="1" applyBorder="1" applyAlignment="1" applyProtection="1">
      <alignment horizontal="center" vertical="center"/>
      <protection locked="0"/>
    </xf>
    <xf numFmtId="2" fontId="201" fillId="0" borderId="35" xfId="16" applyNumberFormat="1" applyFont="1" applyFill="1" applyBorder="1" applyAlignment="1" applyProtection="1">
      <alignment horizontal="center" vertical="center"/>
      <protection locked="0"/>
    </xf>
    <xf numFmtId="172" fontId="35" fillId="0" borderId="11" xfId="39" applyNumberFormat="1" applyFont="1" applyBorder="1" applyAlignment="1" applyProtection="1">
      <alignment horizontal="center" vertical="center"/>
      <protection locked="0"/>
    </xf>
    <xf numFmtId="3" fontId="190" fillId="2" borderId="16" xfId="1" applyNumberFormat="1" applyFont="1" applyFill="1" applyBorder="1" applyAlignment="1" applyProtection="1">
      <alignment horizontal="center" vertical="center" wrapText="1"/>
      <protection locked="0"/>
    </xf>
    <xf numFmtId="3" fontId="190" fillId="2" borderId="31" xfId="1" applyNumberFormat="1" applyFont="1" applyFill="1" applyBorder="1" applyAlignment="1" applyProtection="1">
      <alignment horizontal="center" vertical="center" wrapText="1"/>
      <protection locked="0"/>
    </xf>
    <xf numFmtId="172" fontId="193" fillId="2" borderId="16" xfId="665" applyNumberFormat="1" applyFont="1" applyFill="1" applyBorder="1" applyAlignment="1" applyProtection="1">
      <alignment horizontal="center" vertical="center" wrapText="1"/>
      <protection locked="0"/>
    </xf>
    <xf numFmtId="172" fontId="193" fillId="2" borderId="25" xfId="665" applyNumberFormat="1" applyFont="1" applyFill="1" applyBorder="1" applyAlignment="1" applyProtection="1">
      <alignment horizontal="center" vertical="center" wrapText="1"/>
      <protection locked="0"/>
    </xf>
    <xf numFmtId="172" fontId="193" fillId="2" borderId="31" xfId="665" applyNumberFormat="1" applyFont="1" applyFill="1" applyBorder="1" applyAlignment="1" applyProtection="1">
      <alignment horizontal="center" vertical="center" wrapText="1"/>
      <protection locked="0"/>
    </xf>
    <xf numFmtId="0" fontId="190" fillId="40" borderId="15" xfId="16" applyFont="1" applyFill="1" applyBorder="1" applyAlignment="1" applyProtection="1">
      <alignment horizontal="center" vertical="center" wrapText="1"/>
      <protection locked="0"/>
    </xf>
    <xf numFmtId="0" fontId="190" fillId="40" borderId="14" xfId="16" applyFont="1" applyFill="1" applyBorder="1" applyAlignment="1" applyProtection="1">
      <alignment horizontal="center" vertical="center" wrapText="1"/>
      <protection locked="0"/>
    </xf>
    <xf numFmtId="3" fontId="190" fillId="2" borderId="15" xfId="1" applyNumberFormat="1" applyFont="1" applyFill="1" applyBorder="1" applyAlignment="1" applyProtection="1">
      <alignment horizontal="center" vertical="center" wrapText="1"/>
      <protection locked="0"/>
    </xf>
    <xf numFmtId="3" fontId="190" fillId="2" borderId="35" xfId="1" applyNumberFormat="1" applyFont="1" applyFill="1" applyBorder="1" applyAlignment="1" applyProtection="1">
      <alignment horizontal="center" vertical="center" wrapText="1"/>
      <protection locked="0"/>
    </xf>
    <xf numFmtId="3" fontId="190" fillId="2" borderId="14" xfId="1" applyNumberFormat="1" applyFont="1" applyFill="1" applyBorder="1" applyAlignment="1" applyProtection="1">
      <alignment horizontal="center" vertical="center" wrapText="1"/>
      <protection locked="0"/>
    </xf>
    <xf numFmtId="172" fontId="107" fillId="0" borderId="11" xfId="39" applyNumberFormat="1" applyFont="1" applyFill="1" applyBorder="1" applyAlignment="1" applyProtection="1">
      <alignment horizontal="left" vertical="center"/>
      <protection locked="0"/>
    </xf>
    <xf numFmtId="172" fontId="107" fillId="0" borderId="11" xfId="39" applyNumberFormat="1" applyFont="1" applyFill="1" applyBorder="1" applyAlignment="1" applyProtection="1">
      <alignment horizontal="center" vertical="center" wrapText="1"/>
      <protection locked="0"/>
    </xf>
    <xf numFmtId="172" fontId="107" fillId="0" borderId="15" xfId="39" applyNumberFormat="1" applyFont="1" applyFill="1" applyBorder="1" applyAlignment="1" applyProtection="1">
      <alignment horizontal="center" vertical="center" wrapText="1"/>
      <protection locked="0"/>
    </xf>
    <xf numFmtId="172" fontId="107" fillId="0" borderId="35" xfId="39" applyNumberFormat="1" applyFont="1" applyFill="1" applyBorder="1" applyAlignment="1" applyProtection="1">
      <alignment horizontal="center" vertical="center" wrapText="1"/>
      <protection locked="0"/>
    </xf>
    <xf numFmtId="172" fontId="107" fillId="0" borderId="14" xfId="39" applyNumberFormat="1" applyFont="1" applyFill="1" applyBorder="1" applyAlignment="1" applyProtection="1">
      <alignment horizontal="center" vertical="center" wrapText="1"/>
      <protection locked="0"/>
    </xf>
    <xf numFmtId="0" fontId="193" fillId="2" borderId="11" xfId="16" applyFont="1" applyFill="1" applyBorder="1" applyAlignment="1" applyProtection="1">
      <alignment horizontal="center" vertical="center"/>
      <protection locked="0"/>
    </xf>
    <xf numFmtId="0" fontId="191" fillId="40" borderId="15" xfId="6" applyFont="1" applyFill="1" applyBorder="1" applyAlignment="1">
      <alignment horizontal="center" vertical="center" wrapText="1"/>
    </xf>
    <xf numFmtId="0" fontId="191" fillId="40" borderId="14" xfId="6" applyFont="1" applyFill="1" applyBorder="1" applyAlignment="1">
      <alignment horizontal="center" vertical="center" wrapText="1"/>
    </xf>
    <xf numFmtId="172" fontId="10" fillId="0" borderId="11" xfId="39" applyNumberFormat="1" applyFont="1" applyFill="1" applyBorder="1" applyAlignment="1" applyProtection="1">
      <alignment horizontal="center" vertical="center"/>
      <protection locked="0"/>
    </xf>
    <xf numFmtId="0" fontId="93" fillId="0" borderId="14" xfId="16" applyFont="1" applyFill="1" applyBorder="1" applyAlignment="1">
      <alignment horizontal="center" vertical="center" wrapText="1"/>
    </xf>
    <xf numFmtId="0" fontId="93" fillId="0" borderId="11" xfId="16" applyFont="1" applyFill="1" applyBorder="1" applyAlignment="1">
      <alignment horizontal="center" vertical="center" wrapText="1"/>
    </xf>
    <xf numFmtId="0" fontId="93" fillId="0" borderId="11" xfId="16" applyFont="1" applyFill="1" applyBorder="1" applyAlignment="1">
      <alignment horizontal="center" vertical="center"/>
    </xf>
    <xf numFmtId="0" fontId="93" fillId="0" borderId="15" xfId="16" applyFont="1" applyFill="1" applyBorder="1" applyAlignment="1">
      <alignment horizontal="center" vertical="center"/>
    </xf>
    <xf numFmtId="0" fontId="140" fillId="0" borderId="0" xfId="16" applyFont="1" applyAlignment="1">
      <alignment horizontal="center"/>
    </xf>
    <xf numFmtId="0" fontId="36" fillId="0" borderId="0" xfId="16" applyAlignment="1">
      <alignment horizontal="center"/>
    </xf>
    <xf numFmtId="0" fontId="97" fillId="0" borderId="0" xfId="16" applyFont="1" applyAlignment="1">
      <alignment horizontal="center" wrapText="1"/>
    </xf>
    <xf numFmtId="0" fontId="97" fillId="0" borderId="0" xfId="16" applyFont="1" applyAlignment="1">
      <alignment horizontal="center"/>
    </xf>
    <xf numFmtId="0" fontId="97" fillId="0" borderId="43" xfId="16" applyFont="1" applyBorder="1" applyAlignment="1">
      <alignment horizontal="center"/>
    </xf>
    <xf numFmtId="0" fontId="90" fillId="0" borderId="17" xfId="16" applyFont="1" applyFill="1" applyBorder="1" applyAlignment="1">
      <alignment horizontal="center" wrapText="1"/>
    </xf>
    <xf numFmtId="0" fontId="90" fillId="0" borderId="24" xfId="16" applyFont="1" applyFill="1" applyBorder="1" applyAlignment="1">
      <alignment horizontal="center" wrapText="1"/>
    </xf>
    <xf numFmtId="0" fontId="90" fillId="0" borderId="24" xfId="16" applyFont="1" applyBorder="1" applyAlignment="1"/>
    <xf numFmtId="0" fontId="90" fillId="0" borderId="30" xfId="16" applyFont="1" applyBorder="1" applyAlignment="1"/>
    <xf numFmtId="0" fontId="90" fillId="0" borderId="18" xfId="16" applyFont="1" applyFill="1" applyBorder="1" applyAlignment="1"/>
    <xf numFmtId="0" fontId="90" fillId="0" borderId="26" xfId="16" applyFont="1" applyFill="1" applyBorder="1" applyAlignment="1"/>
    <xf numFmtId="0" fontId="90" fillId="0" borderId="26" xfId="16" applyFont="1" applyBorder="1" applyAlignment="1"/>
    <xf numFmtId="0" fontId="90" fillId="0" borderId="32" xfId="16" applyFont="1" applyBorder="1" applyAlignment="1"/>
    <xf numFmtId="0" fontId="90" fillId="0" borderId="17" xfId="16" applyFont="1" applyBorder="1" applyAlignment="1">
      <alignment horizontal="left" wrapText="1"/>
    </xf>
    <xf numFmtId="0" fontId="90" fillId="0" borderId="24" xfId="16" applyFont="1" applyBorder="1" applyAlignment="1">
      <alignment horizontal="left" wrapText="1"/>
    </xf>
    <xf numFmtId="0" fontId="90" fillId="0" borderId="30" xfId="16" applyFont="1" applyBorder="1" applyAlignment="1">
      <alignment horizontal="left" wrapText="1"/>
    </xf>
    <xf numFmtId="0" fontId="89" fillId="0" borderId="14" xfId="16" applyFont="1" applyFill="1" applyBorder="1" applyAlignment="1">
      <alignment horizontal="center" vertical="center" wrapText="1"/>
    </xf>
    <xf numFmtId="0" fontId="91" fillId="0" borderId="15" xfId="16" applyFont="1" applyBorder="1" applyAlignment="1">
      <alignment horizontal="center" vertical="center" wrapText="1"/>
    </xf>
    <xf numFmtId="0" fontId="91" fillId="0" borderId="35" xfId="16" applyFont="1" applyBorder="1" applyAlignment="1">
      <alignment horizontal="center" vertical="center" wrapText="1"/>
    </xf>
    <xf numFmtId="0" fontId="91" fillId="0" borderId="14" xfId="16" applyFont="1" applyBorder="1" applyAlignment="1">
      <alignment horizontal="center" vertical="center" wrapText="1"/>
    </xf>
    <xf numFmtId="0" fontId="91" fillId="0" borderId="17" xfId="16" applyFont="1" applyBorder="1" applyAlignment="1">
      <alignment horizontal="center" vertical="center" wrapText="1"/>
    </xf>
    <xf numFmtId="0" fontId="91" fillId="0" borderId="24" xfId="16" applyFont="1" applyBorder="1" applyAlignment="1">
      <alignment horizontal="center" vertical="center" wrapText="1"/>
    </xf>
    <xf numFmtId="0" fontId="91" fillId="0" borderId="30" xfId="16" applyFont="1" applyBorder="1" applyAlignment="1">
      <alignment horizontal="center" vertical="center" wrapText="1"/>
    </xf>
    <xf numFmtId="0" fontId="36" fillId="0" borderId="18" xfId="16" applyBorder="1"/>
    <xf numFmtId="0" fontId="36" fillId="0" borderId="26" xfId="16" applyBorder="1"/>
    <xf numFmtId="0" fontId="36" fillId="0" borderId="32" xfId="16" applyBorder="1"/>
    <xf numFmtId="0" fontId="91" fillId="0" borderId="16" xfId="16" applyFont="1" applyBorder="1" applyAlignment="1">
      <alignment horizontal="center" vertical="center" wrapText="1"/>
    </xf>
    <xf numFmtId="0" fontId="91" fillId="0" borderId="31" xfId="16" applyFont="1" applyBorder="1" applyAlignment="1">
      <alignment horizontal="center" vertical="center" wrapText="1"/>
    </xf>
    <xf numFmtId="0" fontId="91" fillId="0" borderId="11" xfId="16" applyFont="1" applyBorder="1" applyAlignment="1">
      <alignment horizontal="center" vertical="center" wrapText="1"/>
    </xf>
    <xf numFmtId="0" fontId="92" fillId="0" borderId="15" xfId="16" applyFont="1" applyBorder="1" applyAlignment="1">
      <alignment horizontal="center" vertical="center" wrapText="1"/>
    </xf>
    <xf numFmtId="0" fontId="92" fillId="0" borderId="35" xfId="16" applyFont="1" applyBorder="1" applyAlignment="1">
      <alignment horizontal="center" vertical="center" wrapText="1"/>
    </xf>
    <xf numFmtId="0" fontId="92" fillId="0" borderId="14" xfId="16" applyFont="1" applyBorder="1" applyAlignment="1">
      <alignment horizontal="center" vertical="center" wrapText="1"/>
    </xf>
    <xf numFmtId="0" fontId="92" fillId="0" borderId="16" xfId="16" applyFont="1" applyBorder="1" applyAlignment="1">
      <alignment horizontal="center" vertical="center" wrapText="1"/>
    </xf>
    <xf numFmtId="0" fontId="92" fillId="0" borderId="31" xfId="16" applyFont="1" applyBorder="1" applyAlignment="1">
      <alignment horizontal="center" vertical="center" wrapText="1"/>
    </xf>
    <xf numFmtId="0" fontId="89" fillId="0" borderId="43" xfId="16" applyFont="1" applyBorder="1" applyAlignment="1">
      <alignment horizontal="center" wrapText="1"/>
    </xf>
    <xf numFmtId="0" fontId="140" fillId="0" borderId="0" xfId="16" applyFont="1" applyAlignment="1">
      <alignment horizontal="center" wrapText="1"/>
    </xf>
    <xf numFmtId="0" fontId="90" fillId="0" borderId="0" xfId="16" applyFont="1" applyAlignment="1">
      <alignment horizontal="center"/>
    </xf>
    <xf numFmtId="0" fontId="90" fillId="0" borderId="0" xfId="16" applyFont="1" applyAlignment="1">
      <alignment horizontal="center" wrapText="1"/>
    </xf>
    <xf numFmtId="0" fontId="90" fillId="0" borderId="0" xfId="16" applyNumberFormat="1" applyFont="1" applyAlignment="1">
      <alignment horizontal="center" vertical="center" wrapText="1"/>
    </xf>
    <xf numFmtId="0" fontId="50" fillId="0" borderId="16" xfId="16" applyFont="1" applyBorder="1" applyAlignment="1">
      <alignment horizontal="center" vertical="center" wrapText="1"/>
    </xf>
    <xf numFmtId="0" fontId="50" fillId="0" borderId="31" xfId="16" applyFont="1" applyBorder="1" applyAlignment="1">
      <alignment horizontal="center" vertical="center" wrapText="1"/>
    </xf>
    <xf numFmtId="0" fontId="50" fillId="0" borderId="15" xfId="16" applyFont="1" applyBorder="1" applyAlignment="1">
      <alignment horizontal="center" vertical="center" wrapText="1"/>
    </xf>
    <xf numFmtId="0" fontId="50" fillId="0" borderId="14" xfId="16" applyFont="1" applyBorder="1" applyAlignment="1">
      <alignment horizontal="center" vertical="center" wrapText="1"/>
    </xf>
    <xf numFmtId="49" fontId="47" fillId="0" borderId="15" xfId="16" applyNumberFormat="1" applyFont="1" applyBorder="1" applyAlignment="1">
      <alignment horizontal="center" vertical="center"/>
    </xf>
    <xf numFmtId="49" fontId="47" fillId="0" borderId="35" xfId="16" applyNumberFormat="1" applyFont="1" applyBorder="1" applyAlignment="1">
      <alignment horizontal="center" vertical="center"/>
    </xf>
    <xf numFmtId="49" fontId="47" fillId="0" borderId="14" xfId="16" applyNumberFormat="1" applyFont="1" applyBorder="1" applyAlignment="1">
      <alignment horizontal="center" vertical="center"/>
    </xf>
    <xf numFmtId="49" fontId="50" fillId="0" borderId="18" xfId="16" applyNumberFormat="1" applyFont="1" applyBorder="1" applyAlignment="1">
      <alignment horizontal="center" vertical="center" wrapText="1"/>
    </xf>
    <xf numFmtId="49" fontId="50" fillId="0" borderId="44" xfId="16" applyNumberFormat="1" applyFont="1" applyBorder="1" applyAlignment="1">
      <alignment horizontal="center" vertical="center" wrapText="1"/>
    </xf>
    <xf numFmtId="49" fontId="50" fillId="0" borderId="17" xfId="16" applyNumberFormat="1" applyFont="1" applyBorder="1" applyAlignment="1">
      <alignment horizontal="center" vertical="center" wrapText="1"/>
    </xf>
    <xf numFmtId="49" fontId="50" fillId="0" borderId="32" xfId="16" applyNumberFormat="1" applyFont="1" applyBorder="1" applyAlignment="1">
      <alignment horizontal="center" vertical="center" wrapText="1"/>
    </xf>
    <xf numFmtId="49" fontId="50" fillId="0" borderId="43" xfId="16" applyNumberFormat="1" applyFont="1" applyBorder="1" applyAlignment="1">
      <alignment horizontal="center" vertical="center" wrapText="1"/>
    </xf>
    <xf numFmtId="49" fontId="50" fillId="0" borderId="30" xfId="16" applyNumberFormat="1" applyFont="1" applyBorder="1" applyAlignment="1">
      <alignment horizontal="center" vertical="center" wrapText="1"/>
    </xf>
    <xf numFmtId="0" fontId="50" fillId="0" borderId="11" xfId="16" applyFont="1" applyBorder="1" applyAlignment="1">
      <alignment horizontal="center" vertical="center" wrapText="1"/>
    </xf>
    <xf numFmtId="0" fontId="36" fillId="8" borderId="0" xfId="16" applyFill="1" applyAlignment="1">
      <alignment horizontal="center"/>
    </xf>
    <xf numFmtId="0" fontId="10" fillId="0" borderId="16" xfId="12" applyFont="1" applyFill="1" applyBorder="1" applyAlignment="1">
      <alignment horizontal="center" vertical="center" wrapText="1"/>
    </xf>
    <xf numFmtId="0" fontId="10" fillId="0" borderId="31" xfId="12" applyFont="1" applyFill="1" applyBorder="1" applyAlignment="1">
      <alignment horizontal="center" vertical="center" wrapText="1"/>
    </xf>
    <xf numFmtId="0" fontId="10" fillId="0" borderId="25" xfId="12" applyFont="1" applyFill="1" applyBorder="1" applyAlignment="1">
      <alignment horizontal="center" vertical="center" wrapText="1"/>
    </xf>
    <xf numFmtId="0" fontId="72" fillId="0" borderId="16" xfId="12" applyFont="1" applyFill="1" applyBorder="1" applyAlignment="1">
      <alignment horizontal="center" vertical="center" wrapText="1"/>
    </xf>
    <xf numFmtId="0" fontId="72" fillId="0" borderId="31" xfId="12" applyFont="1" applyFill="1" applyBorder="1" applyAlignment="1">
      <alignment horizontal="center" vertical="center" wrapText="1"/>
    </xf>
    <xf numFmtId="0" fontId="36" fillId="8" borderId="43" xfId="16" applyFill="1" applyBorder="1" applyAlignment="1">
      <alignment horizontal="center"/>
    </xf>
    <xf numFmtId="0" fontId="37" fillId="0" borderId="0" xfId="16" applyFont="1" applyAlignment="1">
      <alignment horizontal="center"/>
    </xf>
    <xf numFmtId="0" fontId="63" fillId="17" borderId="16" xfId="16" applyFont="1" applyFill="1" applyBorder="1" applyAlignment="1">
      <alignment horizontal="center" vertical="center"/>
    </xf>
    <xf numFmtId="0" fontId="63" fillId="17" borderId="25" xfId="16" applyFont="1" applyFill="1" applyBorder="1" applyAlignment="1">
      <alignment horizontal="center" vertical="center"/>
    </xf>
    <xf numFmtId="0" fontId="63" fillId="17" borderId="31" xfId="16" applyFont="1" applyFill="1" applyBorder="1" applyAlignment="1">
      <alignment horizontal="center" vertical="center"/>
    </xf>
    <xf numFmtId="0" fontId="3" fillId="17" borderId="16" xfId="16" applyFont="1" applyFill="1" applyBorder="1" applyAlignment="1">
      <alignment horizontal="center" vertical="center" wrapText="1"/>
    </xf>
    <xf numFmtId="0" fontId="3" fillId="17" borderId="25" xfId="16" applyFont="1" applyFill="1" applyBorder="1" applyAlignment="1">
      <alignment horizontal="center" vertical="center" wrapText="1"/>
    </xf>
    <xf numFmtId="0" fontId="3" fillId="17" borderId="31" xfId="16" applyFont="1" applyFill="1" applyBorder="1" applyAlignment="1">
      <alignment horizontal="center" vertical="center" wrapText="1"/>
    </xf>
    <xf numFmtId="0" fontId="70" fillId="0" borderId="0" xfId="16" applyFont="1" applyFill="1" applyBorder="1" applyAlignment="1">
      <alignment horizontal="center" vertical="center" wrapText="1"/>
    </xf>
    <xf numFmtId="0" fontId="3" fillId="8" borderId="0" xfId="16" applyFont="1" applyFill="1" applyBorder="1" applyAlignment="1">
      <alignment horizontal="center" vertical="center" wrapText="1"/>
    </xf>
    <xf numFmtId="0" fontId="63" fillId="0" borderId="16" xfId="16" applyFont="1" applyFill="1" applyBorder="1" applyAlignment="1">
      <alignment horizontal="center" vertical="center"/>
    </xf>
    <xf numFmtId="0" fontId="63" fillId="0" borderId="25" xfId="16" applyFont="1" applyFill="1" applyBorder="1" applyAlignment="1">
      <alignment horizontal="center" vertical="center"/>
    </xf>
    <xf numFmtId="0" fontId="63" fillId="0" borderId="31" xfId="16" applyFont="1" applyFill="1" applyBorder="1" applyAlignment="1">
      <alignment horizontal="center" vertical="center"/>
    </xf>
    <xf numFmtId="0" fontId="3" fillId="0" borderId="16" xfId="16" applyFont="1" applyFill="1" applyBorder="1" applyAlignment="1">
      <alignment horizontal="center" vertical="center" wrapText="1"/>
    </xf>
    <xf numFmtId="0" fontId="3" fillId="0" borderId="25" xfId="16" applyFont="1" applyFill="1" applyBorder="1" applyAlignment="1">
      <alignment horizontal="center" vertical="center" wrapText="1"/>
    </xf>
    <xf numFmtId="0" fontId="3" fillId="0" borderId="31" xfId="16" applyFont="1" applyFill="1" applyBorder="1" applyAlignment="1">
      <alignment horizontal="center" vertical="center" wrapText="1"/>
    </xf>
    <xf numFmtId="0" fontId="63" fillId="17" borderId="17" xfId="16" applyFont="1" applyFill="1" applyBorder="1" applyAlignment="1">
      <alignment horizontal="center" vertical="center"/>
    </xf>
    <xf numFmtId="0" fontId="63" fillId="17" borderId="24" xfId="16" applyFont="1" applyFill="1" applyBorder="1" applyAlignment="1">
      <alignment horizontal="center" vertical="center"/>
    </xf>
    <xf numFmtId="0" fontId="63" fillId="17" borderId="30" xfId="16" applyFont="1" applyFill="1" applyBorder="1" applyAlignment="1">
      <alignment horizontal="center" vertical="center"/>
    </xf>
    <xf numFmtId="0" fontId="3" fillId="17" borderId="16" xfId="16" applyFont="1" applyFill="1" applyBorder="1" applyAlignment="1" applyProtection="1">
      <alignment horizontal="center" vertical="center" wrapText="1"/>
      <protection locked="0"/>
    </xf>
    <xf numFmtId="0" fontId="3" fillId="17" borderId="25" xfId="16" applyFont="1" applyFill="1" applyBorder="1" applyAlignment="1" applyProtection="1">
      <alignment horizontal="center" vertical="center" wrapText="1"/>
      <protection locked="0"/>
    </xf>
    <xf numFmtId="0" fontId="3" fillId="17" borderId="31" xfId="16" applyFont="1" applyFill="1" applyBorder="1" applyAlignment="1" applyProtection="1">
      <alignment horizontal="center" vertical="center" wrapText="1"/>
      <protection locked="0"/>
    </xf>
    <xf numFmtId="0" fontId="36" fillId="0" borderId="24" xfId="16" applyFont="1" applyFill="1" applyBorder="1" applyAlignment="1">
      <alignment horizontal="center" vertical="center"/>
    </xf>
    <xf numFmtId="0" fontId="36" fillId="0" borderId="30" xfId="16" applyFont="1" applyFill="1" applyBorder="1" applyAlignment="1">
      <alignment horizontal="center" vertical="center"/>
    </xf>
    <xf numFmtId="0" fontId="36" fillId="0" borderId="17" xfId="16" applyFont="1" applyFill="1" applyBorder="1" applyAlignment="1">
      <alignment horizontal="center" vertical="center"/>
    </xf>
    <xf numFmtId="0" fontId="1" fillId="17" borderId="16" xfId="44" applyFont="1" applyFill="1" applyBorder="1" applyAlignment="1">
      <alignment horizontal="center" vertical="center" wrapText="1"/>
    </xf>
    <xf numFmtId="0" fontId="1" fillId="17" borderId="25" xfId="44" applyFont="1" applyFill="1" applyBorder="1" applyAlignment="1">
      <alignment horizontal="center" vertical="center" wrapText="1"/>
    </xf>
    <xf numFmtId="0" fontId="1" fillId="17" borderId="31" xfId="44" applyFont="1" applyFill="1" applyBorder="1" applyAlignment="1">
      <alignment horizontal="center" vertical="center" wrapText="1"/>
    </xf>
    <xf numFmtId="0" fontId="1" fillId="17" borderId="16" xfId="44" applyFont="1" applyFill="1" applyBorder="1" applyAlignment="1">
      <alignment horizontal="left" vertical="center" wrapText="1"/>
    </xf>
    <xf numFmtId="0" fontId="1" fillId="17" borderId="25" xfId="44" applyFont="1" applyFill="1" applyBorder="1" applyAlignment="1">
      <alignment horizontal="left" vertical="center" wrapText="1"/>
    </xf>
    <xf numFmtId="0" fontId="1" fillId="17" borderId="31" xfId="44" applyFont="1" applyFill="1" applyBorder="1" applyAlignment="1">
      <alignment horizontal="left" vertical="center" wrapText="1"/>
    </xf>
    <xf numFmtId="0" fontId="1" fillId="17" borderId="16" xfId="44" applyFont="1" applyFill="1" applyBorder="1" applyAlignment="1">
      <alignment vertical="center" wrapText="1"/>
    </xf>
    <xf numFmtId="0" fontId="1" fillId="17" borderId="25" xfId="44" applyFont="1" applyFill="1" applyBorder="1" applyAlignment="1">
      <alignment vertical="center" wrapText="1"/>
    </xf>
    <xf numFmtId="0" fontId="1" fillId="17" borderId="31" xfId="44" applyFont="1" applyFill="1" applyBorder="1" applyAlignment="1">
      <alignment vertical="center" wrapText="1"/>
    </xf>
    <xf numFmtId="0" fontId="63" fillId="0" borderId="11" xfId="53" applyFont="1" applyFill="1" applyBorder="1" applyAlignment="1">
      <alignment horizontal="left" vertical="top" wrapText="1"/>
    </xf>
    <xf numFmtId="0" fontId="64" fillId="0" borderId="11" xfId="53" applyFont="1" applyFill="1" applyBorder="1" applyAlignment="1">
      <alignment horizontal="left" vertical="top" wrapText="1"/>
    </xf>
    <xf numFmtId="0" fontId="1" fillId="17" borderId="16" xfId="44" applyFill="1" applyBorder="1" applyAlignment="1">
      <alignment horizontal="center" vertical="center" wrapText="1"/>
    </xf>
    <xf numFmtId="0" fontId="1" fillId="17" borderId="25" xfId="44" applyFill="1" applyBorder="1" applyAlignment="1">
      <alignment horizontal="center" vertical="center" wrapText="1"/>
    </xf>
    <xf numFmtId="172" fontId="0" fillId="0" borderId="26" xfId="42" applyNumberFormat="1" applyFont="1" applyBorder="1" applyAlignment="1">
      <alignment horizontal="center"/>
    </xf>
    <xf numFmtId="172" fontId="0" fillId="0" borderId="0" xfId="42" applyNumberFormat="1" applyFont="1" applyAlignment="1">
      <alignment horizontal="center"/>
    </xf>
    <xf numFmtId="0" fontId="10" fillId="17" borderId="26" xfId="44" applyFont="1" applyFill="1" applyBorder="1" applyAlignment="1">
      <alignment horizontal="center" vertical="center" wrapText="1"/>
    </xf>
    <xf numFmtId="0" fontId="10" fillId="17" borderId="0" xfId="44" applyFont="1" applyFill="1" applyBorder="1" applyAlignment="1">
      <alignment horizontal="center" vertical="center" wrapText="1"/>
    </xf>
    <xf numFmtId="0" fontId="63" fillId="0" borderId="16" xfId="53" applyFont="1" applyFill="1" applyBorder="1" applyAlignment="1">
      <alignment horizontal="left" vertical="top" wrapText="1"/>
    </xf>
    <xf numFmtId="0" fontId="63" fillId="0" borderId="25" xfId="53" applyFont="1" applyFill="1" applyBorder="1" applyAlignment="1">
      <alignment horizontal="left" vertical="top" wrapText="1"/>
    </xf>
    <xf numFmtId="0" fontId="63" fillId="0" borderId="31" xfId="53" applyFont="1" applyFill="1" applyBorder="1" applyAlignment="1">
      <alignment horizontal="left" vertical="top" wrapText="1"/>
    </xf>
    <xf numFmtId="0" fontId="1" fillId="0" borderId="11" xfId="44" applyFill="1" applyBorder="1" applyAlignment="1">
      <alignment horizontal="center" vertical="center"/>
    </xf>
    <xf numFmtId="0" fontId="36" fillId="8" borderId="0" xfId="16" applyFill="1" applyBorder="1" applyAlignment="1">
      <alignment horizontal="center"/>
    </xf>
    <xf numFmtId="0" fontId="36" fillId="0" borderId="44" xfId="16" applyBorder="1" applyAlignment="1">
      <alignment horizontal="left" wrapText="1"/>
    </xf>
    <xf numFmtId="0" fontId="1" fillId="0" borderId="16" xfId="44" applyFill="1" applyBorder="1" applyAlignment="1">
      <alignment horizontal="center" vertical="center"/>
    </xf>
    <xf numFmtId="0" fontId="1" fillId="0" borderId="25" xfId="44" applyFill="1" applyBorder="1" applyAlignment="1">
      <alignment horizontal="center" vertical="center"/>
    </xf>
    <xf numFmtId="0" fontId="1" fillId="0" borderId="31" xfId="44" applyFill="1" applyBorder="1" applyAlignment="1">
      <alignment horizontal="center" vertical="center"/>
    </xf>
    <xf numFmtId="0" fontId="1" fillId="8" borderId="15" xfId="44" applyFont="1" applyFill="1" applyBorder="1" applyAlignment="1">
      <alignment horizontal="center"/>
    </xf>
    <xf numFmtId="0" fontId="1" fillId="8" borderId="35" xfId="44" applyFont="1" applyFill="1" applyBorder="1" applyAlignment="1">
      <alignment horizontal="center"/>
    </xf>
    <xf numFmtId="0" fontId="1" fillId="8" borderId="14" xfId="44" applyFont="1" applyFill="1" applyBorder="1" applyAlignment="1">
      <alignment horizontal="center"/>
    </xf>
    <xf numFmtId="0" fontId="1" fillId="0" borderId="16" xfId="44" applyFill="1" applyBorder="1" applyAlignment="1">
      <alignment horizontal="center"/>
    </xf>
    <xf numFmtId="0" fontId="1" fillId="0" borderId="25" xfId="44" applyFill="1" applyBorder="1" applyAlignment="1">
      <alignment horizontal="center"/>
    </xf>
    <xf numFmtId="0" fontId="1" fillId="0" borderId="31" xfId="44" applyFill="1" applyBorder="1" applyAlignment="1">
      <alignment horizontal="center"/>
    </xf>
    <xf numFmtId="0" fontId="10" fillId="0" borderId="16" xfId="44" applyFont="1" applyFill="1" applyBorder="1" applyAlignment="1">
      <alignment horizontal="center" vertical="center" wrapText="1"/>
    </xf>
    <xf numFmtId="0" fontId="10" fillId="0" borderId="25" xfId="44" applyFont="1" applyFill="1" applyBorder="1" applyAlignment="1">
      <alignment horizontal="center" vertical="center" wrapText="1"/>
    </xf>
    <xf numFmtId="0" fontId="10" fillId="0" borderId="31" xfId="44" applyFont="1" applyFill="1" applyBorder="1" applyAlignment="1">
      <alignment horizontal="center" vertical="center" wrapText="1"/>
    </xf>
    <xf numFmtId="0" fontId="10" fillId="0" borderId="31" xfId="44" applyFont="1" applyBorder="1" applyAlignment="1">
      <alignment horizontal="center" vertical="center" wrapText="1"/>
    </xf>
    <xf numFmtId="0" fontId="10" fillId="0" borderId="11" xfId="44" applyFont="1" applyBorder="1" applyAlignment="1">
      <alignment horizontal="center" vertical="center" wrapText="1"/>
    </xf>
    <xf numFmtId="0" fontId="10" fillId="0" borderId="16" xfId="44" applyFont="1" applyBorder="1" applyAlignment="1">
      <alignment horizontal="center" vertical="center" wrapText="1"/>
    </xf>
    <xf numFmtId="0" fontId="10" fillId="0" borderId="15" xfId="44" applyFont="1" applyBorder="1" applyAlignment="1">
      <alignment horizontal="center" vertical="center" wrapText="1"/>
    </xf>
    <xf numFmtId="0" fontId="10" fillId="0" borderId="35" xfId="44" applyFont="1" applyBorder="1" applyAlignment="1">
      <alignment horizontal="center" vertical="center" wrapText="1"/>
    </xf>
    <xf numFmtId="0" fontId="10" fillId="0" borderId="14" xfId="44" applyFont="1" applyBorder="1" applyAlignment="1">
      <alignment horizontal="center" vertical="center" wrapText="1"/>
    </xf>
    <xf numFmtId="0" fontId="66" fillId="0" borderId="16" xfId="44" applyFont="1" applyBorder="1" applyAlignment="1">
      <alignment horizontal="center" vertical="center" wrapText="1"/>
    </xf>
    <xf numFmtId="0" fontId="66" fillId="0" borderId="31" xfId="44" applyFont="1" applyBorder="1" applyAlignment="1">
      <alignment horizontal="center" vertical="center" wrapText="1"/>
    </xf>
    <xf numFmtId="0" fontId="10" fillId="0" borderId="25" xfId="44" applyFont="1" applyBorder="1" applyAlignment="1">
      <alignment horizontal="center" vertical="center" wrapText="1"/>
    </xf>
    <xf numFmtId="0" fontId="10" fillId="0" borderId="16" xfId="44" applyFont="1" applyBorder="1" applyAlignment="1">
      <alignment horizontal="center" wrapText="1"/>
    </xf>
    <xf numFmtId="0" fontId="10" fillId="0" borderId="25" xfId="44" applyFont="1" applyBorder="1" applyAlignment="1">
      <alignment horizontal="center" wrapText="1"/>
    </xf>
    <xf numFmtId="0" fontId="10" fillId="0" borderId="31" xfId="44" applyFont="1" applyBorder="1" applyAlignment="1">
      <alignment horizontal="center" wrapText="1"/>
    </xf>
    <xf numFmtId="0" fontId="87" fillId="0" borderId="0" xfId="16" applyFont="1" applyAlignment="1">
      <alignment horizontal="center" wrapText="1"/>
    </xf>
    <xf numFmtId="0" fontId="87" fillId="0" borderId="0" xfId="16" applyFont="1" applyAlignment="1">
      <alignment horizontal="center"/>
    </xf>
    <xf numFmtId="0" fontId="88" fillId="0" borderId="0" xfId="16" applyFont="1" applyAlignment="1">
      <alignment horizontal="center" wrapText="1"/>
    </xf>
    <xf numFmtId="0" fontId="89" fillId="0" borderId="31" xfId="16" applyFont="1" applyBorder="1" applyAlignment="1">
      <alignment horizontal="center" vertical="center" wrapText="1"/>
    </xf>
    <xf numFmtId="0" fontId="10" fillId="0" borderId="0" xfId="16" applyFont="1" applyAlignment="1">
      <alignment horizontal="center"/>
    </xf>
    <xf numFmtId="0" fontId="10" fillId="0" borderId="0" xfId="16" applyFont="1" applyAlignment="1">
      <alignment horizontal="center" wrapText="1"/>
    </xf>
    <xf numFmtId="0" fontId="99" fillId="0" borderId="17" xfId="16" applyFont="1" applyFill="1" applyBorder="1" applyAlignment="1">
      <alignment horizontal="center" wrapText="1"/>
    </xf>
    <xf numFmtId="0" fontId="99" fillId="0" borderId="24" xfId="16" applyFont="1" applyFill="1" applyBorder="1" applyAlignment="1">
      <alignment horizontal="center" wrapText="1"/>
    </xf>
    <xf numFmtId="0" fontId="99" fillId="0" borderId="30" xfId="16" applyFont="1" applyFill="1" applyBorder="1" applyAlignment="1">
      <alignment horizontal="center" wrapText="1"/>
    </xf>
    <xf numFmtId="0" fontId="92" fillId="0" borderId="14" xfId="16" applyFont="1" applyFill="1" applyBorder="1" applyAlignment="1">
      <alignment horizontal="center" vertical="center" wrapText="1"/>
    </xf>
    <xf numFmtId="0" fontId="92" fillId="0" borderId="11" xfId="16" applyFont="1" applyFill="1" applyBorder="1" applyAlignment="1">
      <alignment horizontal="center" vertical="center" wrapText="1"/>
    </xf>
    <xf numFmtId="0" fontId="92" fillId="0" borderId="15" xfId="16" applyFont="1" applyFill="1" applyBorder="1" applyAlignment="1">
      <alignment horizontal="center" vertical="center" wrapText="1"/>
    </xf>
    <xf numFmtId="0" fontId="1" fillId="0" borderId="18" xfId="16" applyFont="1" applyFill="1" applyBorder="1" applyAlignment="1">
      <alignment horizontal="center"/>
    </xf>
    <xf numFmtId="0" fontId="1" fillId="0" borderId="26" xfId="16" applyFont="1" applyFill="1" applyBorder="1" applyAlignment="1">
      <alignment horizontal="center"/>
    </xf>
    <xf numFmtId="0" fontId="1" fillId="0" borderId="32" xfId="16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0" fillId="0" borderId="17" xfId="0" applyFont="1" applyBorder="1" applyAlignment="1">
      <alignment horizontal="center" wrapText="1"/>
    </xf>
    <xf numFmtId="0" fontId="100" fillId="0" borderId="24" xfId="0" applyFont="1" applyBorder="1" applyAlignment="1">
      <alignment horizontal="center" wrapText="1"/>
    </xf>
    <xf numFmtId="0" fontId="100" fillId="0" borderId="30" xfId="0" applyFont="1" applyBorder="1" applyAlignment="1">
      <alignment horizontal="center" wrapText="1"/>
    </xf>
    <xf numFmtId="0" fontId="92" fillId="0" borderId="18" xfId="0" applyFont="1" applyBorder="1" applyAlignment="1">
      <alignment horizontal="center" vertical="center" wrapText="1"/>
    </xf>
    <xf numFmtId="0" fontId="92" fillId="0" borderId="44" xfId="0" applyFont="1" applyBorder="1" applyAlignment="1">
      <alignment horizontal="center" vertical="center" wrapText="1"/>
    </xf>
    <xf numFmtId="0" fontId="92" fillId="0" borderId="17" xfId="0" applyFont="1" applyBorder="1" applyAlignment="1">
      <alignment horizontal="center" vertical="center" wrapText="1"/>
    </xf>
    <xf numFmtId="0" fontId="92" fillId="0" borderId="18" xfId="0" applyFont="1" applyBorder="1" applyAlignment="1">
      <alignment horizontal="center"/>
    </xf>
    <xf numFmtId="0" fontId="92" fillId="0" borderId="26" xfId="0" applyFont="1" applyBorder="1" applyAlignment="1">
      <alignment horizontal="center"/>
    </xf>
    <xf numFmtId="0" fontId="92" fillId="0" borderId="32" xfId="0" applyFont="1" applyBorder="1" applyAlignment="1">
      <alignment horizontal="center"/>
    </xf>
    <xf numFmtId="0" fontId="92" fillId="0" borderId="16" xfId="0" applyFont="1" applyBorder="1" applyAlignment="1">
      <alignment horizontal="center" vertical="center" wrapText="1"/>
    </xf>
    <xf numFmtId="0" fontId="92" fillId="0" borderId="31" xfId="0" applyFont="1" applyBorder="1" applyAlignment="1">
      <alignment horizontal="center" vertical="center" wrapText="1"/>
    </xf>
    <xf numFmtId="0" fontId="92" fillId="0" borderId="15" xfId="0" applyFont="1" applyBorder="1" applyAlignment="1">
      <alignment horizontal="center" vertical="center" wrapText="1"/>
    </xf>
    <xf numFmtId="0" fontId="92" fillId="0" borderId="14" xfId="0" applyFont="1" applyBorder="1" applyAlignment="1">
      <alignment horizontal="center" vertical="center" wrapText="1"/>
    </xf>
    <xf numFmtId="0" fontId="92" fillId="0" borderId="35" xfId="0" applyFont="1" applyBorder="1" applyAlignment="1">
      <alignment horizontal="center" vertical="center" wrapText="1"/>
    </xf>
    <xf numFmtId="0" fontId="10" fillId="0" borderId="0" xfId="16" applyFont="1" applyBorder="1" applyAlignment="1">
      <alignment horizontal="center" vertical="center" wrapText="1"/>
    </xf>
    <xf numFmtId="0" fontId="100" fillId="0" borderId="17" xfId="16" applyFont="1" applyBorder="1" applyAlignment="1">
      <alignment horizontal="center" wrapText="1"/>
    </xf>
    <xf numFmtId="0" fontId="100" fillId="0" borderId="24" xfId="16" applyFont="1" applyBorder="1" applyAlignment="1">
      <alignment horizontal="center" wrapText="1"/>
    </xf>
    <xf numFmtId="0" fontId="100" fillId="0" borderId="30" xfId="16" applyFont="1" applyBorder="1" applyAlignment="1">
      <alignment horizontal="center" wrapText="1"/>
    </xf>
    <xf numFmtId="0" fontId="92" fillId="0" borderId="18" xfId="16" applyFont="1" applyBorder="1" applyAlignment="1">
      <alignment horizontal="center" vertical="center" wrapText="1"/>
    </xf>
    <xf numFmtId="0" fontId="92" fillId="0" borderId="44" xfId="16" applyFont="1" applyBorder="1" applyAlignment="1">
      <alignment horizontal="center" vertical="center" wrapText="1"/>
    </xf>
    <xf numFmtId="0" fontId="92" fillId="0" borderId="17" xfId="16" applyFont="1" applyBorder="1" applyAlignment="1">
      <alignment horizontal="center" vertical="center" wrapText="1"/>
    </xf>
    <xf numFmtId="0" fontId="92" fillId="0" borderId="18" xfId="16" applyFont="1" applyBorder="1" applyAlignment="1">
      <alignment horizontal="center"/>
    </xf>
    <xf numFmtId="0" fontId="92" fillId="0" borderId="26" xfId="16" applyFont="1" applyBorder="1" applyAlignment="1">
      <alignment horizontal="center"/>
    </xf>
    <xf numFmtId="0" fontId="92" fillId="0" borderId="32" xfId="16" applyFont="1" applyBorder="1" applyAlignment="1">
      <alignment horizontal="center"/>
    </xf>
    <xf numFmtId="0" fontId="23" fillId="0" borderId="1" xfId="2" applyFont="1" applyFill="1" applyBorder="1" applyAlignment="1">
      <alignment horizontal="center" vertical="top" wrapText="1"/>
    </xf>
    <xf numFmtId="0" fontId="23" fillId="0" borderId="2" xfId="2" applyFont="1" applyFill="1" applyBorder="1" applyAlignment="1">
      <alignment horizontal="center" vertical="top" wrapText="1"/>
    </xf>
    <xf numFmtId="0" fontId="23" fillId="0" borderId="3" xfId="2" applyFont="1" applyFill="1" applyBorder="1" applyAlignment="1">
      <alignment horizontal="center" vertical="top" wrapText="1"/>
    </xf>
    <xf numFmtId="0" fontId="6" fillId="0" borderId="1" xfId="2" applyFont="1" applyFill="1" applyBorder="1" applyAlignment="1">
      <alignment horizontal="center" vertical="top"/>
    </xf>
    <xf numFmtId="0" fontId="6" fillId="0" borderId="2" xfId="2" applyFont="1" applyFill="1" applyBorder="1" applyAlignment="1">
      <alignment horizontal="center" vertical="top"/>
    </xf>
    <xf numFmtId="0" fontId="6" fillId="0" borderId="19" xfId="2" applyFont="1" applyFill="1" applyBorder="1" applyAlignment="1">
      <alignment horizontal="center" vertical="top" wrapText="1"/>
    </xf>
    <xf numFmtId="0" fontId="6" fillId="0" borderId="0" xfId="2" applyFont="1" applyFill="1" applyBorder="1" applyAlignment="1">
      <alignment horizontal="center" vertical="top" wrapText="1"/>
    </xf>
    <xf numFmtId="0" fontId="6" fillId="0" borderId="20" xfId="2" applyFont="1" applyFill="1" applyBorder="1" applyAlignment="1">
      <alignment horizontal="center" vertical="top" wrapText="1"/>
    </xf>
    <xf numFmtId="0" fontId="6" fillId="0" borderId="21" xfId="2" applyFont="1" applyFill="1" applyBorder="1" applyAlignment="1">
      <alignment horizontal="left" vertical="top" wrapText="1"/>
    </xf>
    <xf numFmtId="0" fontId="6" fillId="0" borderId="22" xfId="2" applyFont="1" applyFill="1" applyBorder="1" applyAlignment="1">
      <alignment horizontal="left" vertical="top" wrapText="1"/>
    </xf>
    <xf numFmtId="3" fontId="10" fillId="0" borderId="0" xfId="1" applyNumberFormat="1" applyFont="1" applyAlignment="1" applyProtection="1">
      <alignment horizontal="center" vertical="center"/>
      <protection locked="0"/>
    </xf>
    <xf numFmtId="3" fontId="10" fillId="0" borderId="24" xfId="1" applyNumberFormat="1" applyFont="1" applyBorder="1" applyAlignment="1" applyProtection="1">
      <alignment horizontal="center" vertical="center"/>
      <protection locked="0"/>
    </xf>
    <xf numFmtId="3" fontId="10" fillId="0" borderId="43" xfId="1" applyNumberFormat="1" applyFont="1" applyBorder="1" applyAlignment="1" applyProtection="1">
      <alignment horizontal="center" vertical="center"/>
      <protection locked="0"/>
    </xf>
    <xf numFmtId="3" fontId="10" fillId="0" borderId="30" xfId="1" applyNumberFormat="1" applyFont="1" applyBorder="1" applyAlignment="1" applyProtection="1">
      <alignment horizontal="center" vertical="center"/>
      <protection locked="0"/>
    </xf>
    <xf numFmtId="3" fontId="35" fillId="10" borderId="11" xfId="1" applyNumberFormat="1" applyFont="1" applyFill="1" applyBorder="1" applyAlignment="1" applyProtection="1">
      <alignment horizontal="center" vertical="center" wrapText="1"/>
      <protection locked="0"/>
    </xf>
    <xf numFmtId="3" fontId="35" fillId="10" borderId="15" xfId="1" applyNumberFormat="1" applyFont="1" applyFill="1" applyBorder="1" applyAlignment="1" applyProtection="1">
      <alignment horizontal="center" vertical="center" wrapText="1"/>
      <protection locked="0"/>
    </xf>
    <xf numFmtId="3" fontId="35" fillId="10" borderId="35" xfId="1" applyNumberFormat="1" applyFont="1" applyFill="1" applyBorder="1" applyAlignment="1" applyProtection="1">
      <alignment horizontal="center" vertical="center" wrapText="1"/>
      <protection locked="0"/>
    </xf>
    <xf numFmtId="3" fontId="35" fillId="10" borderId="14" xfId="1" applyNumberFormat="1" applyFont="1" applyFill="1" applyBorder="1" applyAlignment="1" applyProtection="1">
      <alignment horizontal="center" vertical="center" wrapText="1"/>
      <protection locked="0"/>
    </xf>
    <xf numFmtId="3" fontId="35" fillId="0" borderId="26" xfId="1" applyNumberFormat="1" applyFont="1" applyBorder="1" applyAlignment="1" applyProtection="1">
      <alignment horizontal="center" vertical="center"/>
      <protection locked="0"/>
    </xf>
    <xf numFmtId="3" fontId="35" fillId="0" borderId="18" xfId="1" applyNumberFormat="1" applyFont="1" applyBorder="1" applyAlignment="1" applyProtection="1">
      <alignment horizontal="center" vertical="center"/>
      <protection locked="0"/>
    </xf>
    <xf numFmtId="3" fontId="35" fillId="0" borderId="17" xfId="1" applyNumberFormat="1" applyFont="1" applyBorder="1" applyAlignment="1" applyProtection="1">
      <alignment horizontal="center" vertical="center"/>
      <protection locked="0"/>
    </xf>
    <xf numFmtId="3" fontId="10" fillId="0" borderId="11" xfId="1" applyNumberFormat="1" applyFont="1" applyBorder="1" applyAlignment="1" applyProtection="1">
      <alignment horizontal="center" vertical="center"/>
      <protection locked="0"/>
    </xf>
    <xf numFmtId="0" fontId="95" fillId="0" borderId="0" xfId="16" applyFont="1" applyAlignment="1">
      <alignment horizontal="center" wrapText="1"/>
    </xf>
    <xf numFmtId="0" fontId="95" fillId="0" borderId="0" xfId="16" applyFont="1" applyAlignment="1">
      <alignment horizontal="center"/>
    </xf>
    <xf numFmtId="0" fontId="88" fillId="0" borderId="0" xfId="16" applyFont="1" applyAlignment="1">
      <alignment horizontal="center"/>
    </xf>
    <xf numFmtId="0" fontId="3" fillId="0" borderId="0" xfId="43" applyFont="1" applyBorder="1" applyAlignment="1">
      <alignment horizontal="left"/>
    </xf>
    <xf numFmtId="0" fontId="33" fillId="0" borderId="0" xfId="43" applyFont="1" applyBorder="1" applyAlignment="1">
      <alignment horizontal="center" vertical="top" wrapText="1"/>
    </xf>
    <xf numFmtId="0" fontId="55" fillId="0" borderId="43" xfId="43" applyFont="1" applyBorder="1" applyAlignment="1">
      <alignment horizontal="right"/>
    </xf>
    <xf numFmtId="0" fontId="3" fillId="0" borderId="0" xfId="16" applyFont="1" applyAlignment="1">
      <alignment horizontal="left" vertical="top" wrapText="1"/>
    </xf>
    <xf numFmtId="0" fontId="21" fillId="0" borderId="16" xfId="43" applyFont="1" applyFill="1" applyBorder="1" applyAlignment="1">
      <alignment horizontal="center" vertical="center" wrapText="1"/>
    </xf>
    <xf numFmtId="0" fontId="21" fillId="0" borderId="25" xfId="43" applyFont="1" applyFill="1" applyBorder="1" applyAlignment="1">
      <alignment horizontal="center" vertical="center" wrapText="1"/>
    </xf>
    <xf numFmtId="0" fontId="21" fillId="0" borderId="46" xfId="43" applyFont="1" applyFill="1" applyBorder="1" applyAlignment="1">
      <alignment horizontal="center" vertical="center" wrapText="1"/>
    </xf>
    <xf numFmtId="0" fontId="21" fillId="0" borderId="11" xfId="43" applyFont="1" applyFill="1" applyBorder="1" applyAlignment="1">
      <alignment horizontal="center" vertical="center" wrapText="1"/>
    </xf>
    <xf numFmtId="0" fontId="21" fillId="0" borderId="16" xfId="43" applyFont="1" applyBorder="1" applyAlignment="1">
      <alignment horizontal="center" vertical="center" wrapText="1"/>
    </xf>
    <xf numFmtId="0" fontId="21" fillId="0" borderId="25" xfId="43" applyFont="1" applyBorder="1" applyAlignment="1">
      <alignment horizontal="center" vertical="center" wrapText="1"/>
    </xf>
    <xf numFmtId="0" fontId="21" fillId="0" borderId="46" xfId="43" applyFont="1" applyBorder="1" applyAlignment="1">
      <alignment horizontal="center" vertical="center" wrapText="1"/>
    </xf>
    <xf numFmtId="0" fontId="21" fillId="0" borderId="11" xfId="43" applyFont="1" applyFill="1" applyBorder="1" applyAlignment="1">
      <alignment horizontal="center" vertical="center"/>
    </xf>
    <xf numFmtId="0" fontId="113" fillId="0" borderId="0" xfId="16" applyFont="1" applyAlignment="1">
      <alignment horizontal="center"/>
    </xf>
    <xf numFmtId="0" fontId="114" fillId="0" borderId="0" xfId="16" applyFont="1" applyAlignment="1">
      <alignment horizontal="center" vertical="top" wrapText="1"/>
    </xf>
    <xf numFmtId="0" fontId="113" fillId="0" borderId="0" xfId="16" applyFont="1" applyAlignment="1">
      <alignment horizontal="center" vertical="top" wrapText="1"/>
    </xf>
    <xf numFmtId="0" fontId="55" fillId="0" borderId="43" xfId="16" applyFont="1" applyBorder="1" applyAlignment="1">
      <alignment horizontal="right"/>
    </xf>
    <xf numFmtId="0" fontId="21" fillId="0" borderId="17" xfId="43" applyFont="1" applyFill="1" applyBorder="1" applyAlignment="1">
      <alignment horizontal="center" vertical="center" wrapText="1"/>
    </xf>
    <xf numFmtId="0" fontId="21" fillId="0" borderId="24" xfId="43" applyFont="1" applyFill="1" applyBorder="1" applyAlignment="1">
      <alignment horizontal="center" vertical="center" wrapText="1"/>
    </xf>
    <xf numFmtId="0" fontId="21" fillId="0" borderId="47" xfId="43" applyFont="1" applyFill="1" applyBorder="1" applyAlignment="1">
      <alignment horizontal="center" vertical="center" wrapText="1"/>
    </xf>
    <xf numFmtId="0" fontId="64" fillId="0" borderId="11" xfId="1" applyFont="1" applyFill="1" applyBorder="1" applyAlignment="1">
      <alignment horizontal="left" vertical="top" wrapText="1"/>
    </xf>
    <xf numFmtId="0" fontId="63" fillId="0" borderId="11" xfId="1" applyFont="1" applyFill="1" applyBorder="1" applyAlignment="1">
      <alignment horizontal="left" vertical="top" wrapText="1"/>
    </xf>
    <xf numFmtId="0" fontId="63" fillId="0" borderId="16" xfId="1" applyFont="1" applyFill="1" applyBorder="1" applyAlignment="1">
      <alignment horizontal="left" vertical="top" wrapText="1"/>
    </xf>
    <xf numFmtId="0" fontId="63" fillId="0" borderId="25" xfId="1" applyFont="1" applyFill="1" applyBorder="1" applyAlignment="1">
      <alignment horizontal="left" vertical="top" wrapText="1"/>
    </xf>
    <xf numFmtId="0" fontId="63" fillId="0" borderId="31" xfId="1" applyFont="1" applyFill="1" applyBorder="1" applyAlignment="1">
      <alignment horizontal="left" vertical="top" wrapText="1"/>
    </xf>
    <xf numFmtId="0" fontId="0" fillId="0" borderId="44" xfId="0" applyBorder="1" applyAlignment="1">
      <alignment horizontal="center"/>
    </xf>
    <xf numFmtId="0" fontId="64" fillId="0" borderId="16" xfId="1" applyFont="1" applyFill="1" applyBorder="1" applyAlignment="1">
      <alignment horizontal="left" vertical="top" wrapText="1"/>
    </xf>
    <xf numFmtId="0" fontId="64" fillId="0" borderId="31" xfId="1" applyFont="1" applyFill="1" applyBorder="1" applyAlignment="1">
      <alignment horizontal="left" vertical="top" wrapText="1"/>
    </xf>
    <xf numFmtId="3" fontId="2" fillId="0" borderId="11" xfId="50" applyNumberFormat="1" applyFont="1" applyFill="1" applyBorder="1" applyAlignment="1">
      <alignment horizontal="center" vertical="center"/>
    </xf>
    <xf numFmtId="2" fontId="2" fillId="0" borderId="11" xfId="51" applyNumberFormat="1" applyFont="1" applyFill="1" applyBorder="1" applyAlignment="1">
      <alignment horizontal="center" vertical="center" wrapText="1"/>
    </xf>
    <xf numFmtId="3" fontId="2" fillId="0" borderId="11" xfId="12" applyNumberFormat="1" applyFont="1" applyFill="1" applyBorder="1" applyAlignment="1">
      <alignment horizontal="center" vertical="center" wrapText="1"/>
    </xf>
    <xf numFmtId="2" fontId="2" fillId="0" borderId="11" xfId="12" applyNumberFormat="1" applyFont="1" applyFill="1" applyBorder="1" applyAlignment="1">
      <alignment horizontal="center" vertical="center" wrapText="1"/>
    </xf>
    <xf numFmtId="3" fontId="3" fillId="0" borderId="11" xfId="46" applyNumberFormat="1" applyFont="1" applyFill="1" applyBorder="1" applyAlignment="1">
      <alignment horizontal="center" vertical="center"/>
    </xf>
    <xf numFmtId="2" fontId="2" fillId="0" borderId="11" xfId="46" applyNumberFormat="1" applyFont="1" applyFill="1" applyBorder="1" applyAlignment="1">
      <alignment horizontal="center" vertical="center" wrapText="1"/>
    </xf>
    <xf numFmtId="3" fontId="3" fillId="0" borderId="11" xfId="46" applyNumberFormat="1" applyFont="1" applyFill="1" applyBorder="1" applyAlignment="1">
      <alignment horizontal="center" vertical="center" wrapText="1"/>
    </xf>
    <xf numFmtId="2" fontId="2" fillId="0" borderId="11" xfId="46" applyNumberFormat="1" applyFont="1" applyFill="1" applyBorder="1" applyAlignment="1">
      <alignment horizontal="center" vertical="center"/>
    </xf>
    <xf numFmtId="3" fontId="2" fillId="0" borderId="11" xfId="16" applyNumberFormat="1" applyFont="1" applyFill="1" applyBorder="1" applyAlignment="1">
      <alignment horizontal="center" vertical="center"/>
    </xf>
    <xf numFmtId="2" fontId="2" fillId="0" borderId="11" xfId="16" applyNumberFormat="1" applyFont="1" applyFill="1" applyBorder="1" applyAlignment="1">
      <alignment horizontal="center" vertical="center" wrapText="1"/>
    </xf>
    <xf numFmtId="3" fontId="3" fillId="0" borderId="11" xfId="11" applyNumberFormat="1" applyFont="1" applyFill="1" applyBorder="1" applyAlignment="1">
      <alignment horizontal="center" vertical="center"/>
    </xf>
    <xf numFmtId="2" fontId="2" fillId="0" borderId="11" xfId="11" applyNumberFormat="1" applyFont="1" applyFill="1" applyBorder="1" applyAlignment="1">
      <alignment horizontal="center" vertical="center" wrapText="1"/>
    </xf>
    <xf numFmtId="2" fontId="3" fillId="0" borderId="11" xfId="11" applyNumberFormat="1" applyFont="1" applyFill="1" applyBorder="1" applyAlignment="1">
      <alignment horizontal="center" vertical="center" wrapText="1"/>
    </xf>
    <xf numFmtId="2" fontId="3" fillId="0" borderId="11" xfId="11" applyNumberFormat="1" applyFont="1" applyFill="1" applyBorder="1" applyAlignment="1">
      <alignment horizontal="center" vertical="center"/>
    </xf>
    <xf numFmtId="3" fontId="2" fillId="0" borderId="11" xfId="48" applyNumberFormat="1" applyFont="1" applyFill="1" applyBorder="1" applyAlignment="1">
      <alignment horizontal="center" vertical="center"/>
    </xf>
    <xf numFmtId="2" fontId="2" fillId="0" borderId="11" xfId="48" applyNumberFormat="1" applyFont="1" applyFill="1" applyBorder="1" applyAlignment="1">
      <alignment horizontal="center" vertical="center" wrapText="1"/>
    </xf>
    <xf numFmtId="3" fontId="3" fillId="0" borderId="11" xfId="44" applyNumberFormat="1" applyFont="1" applyFill="1" applyBorder="1" applyAlignment="1">
      <alignment horizontal="center" vertical="center"/>
    </xf>
    <xf numFmtId="2" fontId="2" fillId="0" borderId="11" xfId="44" applyNumberFormat="1" applyFont="1" applyFill="1" applyBorder="1" applyAlignment="1">
      <alignment horizontal="center" vertical="center" wrapText="1"/>
    </xf>
    <xf numFmtId="3" fontId="2" fillId="0" borderId="11" xfId="13" applyNumberFormat="1" applyFont="1" applyFill="1" applyBorder="1" applyAlignment="1">
      <alignment horizontal="center" vertical="center"/>
    </xf>
    <xf numFmtId="2" fontId="4" fillId="0" borderId="11" xfId="13" applyNumberFormat="1" applyFont="1" applyFill="1" applyBorder="1" applyAlignment="1">
      <alignment horizontal="center" vertical="center" wrapText="1"/>
    </xf>
    <xf numFmtId="3" fontId="2" fillId="0" borderId="11" xfId="44" applyNumberFormat="1" applyFont="1" applyFill="1" applyBorder="1" applyAlignment="1">
      <alignment horizontal="center" vertical="center" wrapText="1"/>
    </xf>
    <xf numFmtId="3" fontId="3" fillId="0" borderId="11" xfId="44" applyNumberFormat="1" applyFont="1" applyFill="1" applyBorder="1" applyAlignment="1">
      <alignment horizontal="center" vertical="center" wrapText="1"/>
    </xf>
    <xf numFmtId="3" fontId="3" fillId="0" borderId="11" xfId="16" applyNumberFormat="1" applyFont="1" applyFill="1" applyBorder="1" applyAlignment="1">
      <alignment horizontal="center" vertical="center"/>
    </xf>
    <xf numFmtId="2" fontId="2" fillId="0" borderId="11" xfId="16" applyNumberFormat="1" applyFont="1" applyFill="1" applyBorder="1" applyAlignment="1">
      <alignment horizontal="center" vertical="center"/>
    </xf>
    <xf numFmtId="2" fontId="51" fillId="0" borderId="15" xfId="44" applyNumberFormat="1" applyFont="1" applyFill="1" applyBorder="1" applyAlignment="1">
      <alignment horizontal="left" vertical="center" wrapText="1"/>
    </xf>
    <xf numFmtId="2" fontId="51" fillId="0" borderId="14" xfId="44" applyNumberFormat="1" applyFont="1" applyFill="1" applyBorder="1" applyAlignment="1">
      <alignment horizontal="left" vertical="center" wrapText="1"/>
    </xf>
    <xf numFmtId="2" fontId="59" fillId="0" borderId="11" xfId="44" applyNumberFormat="1" applyFont="1" applyFill="1" applyBorder="1" applyAlignment="1">
      <alignment horizontal="center" vertical="center" wrapText="1"/>
    </xf>
    <xf numFmtId="2" fontId="57" fillId="0" borderId="0" xfId="44" applyNumberFormat="1" applyFont="1" applyFill="1" applyAlignment="1">
      <alignment horizontal="center" vertical="center"/>
    </xf>
    <xf numFmtId="2" fontId="2" fillId="0" borderId="11" xfId="44" applyNumberFormat="1" applyFont="1" applyFill="1" applyBorder="1" applyAlignment="1">
      <alignment horizontal="left" wrapText="1"/>
    </xf>
    <xf numFmtId="0" fontId="179" fillId="0" borderId="11" xfId="610" applyBorder="1" applyAlignment="1">
      <alignment horizontal="center"/>
    </xf>
    <xf numFmtId="0" fontId="0" fillId="0" borderId="43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92" fillId="0" borderId="25" xfId="0" applyFont="1" applyBorder="1" applyAlignment="1">
      <alignment horizontal="center" vertical="center" wrapText="1"/>
    </xf>
    <xf numFmtId="0" fontId="92" fillId="0" borderId="35" xfId="0" applyFont="1" applyBorder="1" applyAlignment="1">
      <alignment horizontal="center" vertical="center"/>
    </xf>
    <xf numFmtId="0" fontId="184" fillId="0" borderId="11" xfId="610" applyFont="1" applyFill="1" applyBorder="1" applyAlignment="1">
      <alignment horizontal="center" vertical="center"/>
    </xf>
    <xf numFmtId="0" fontId="102" fillId="0" borderId="45" xfId="28" applyFont="1" applyBorder="1" applyAlignment="1">
      <alignment horizontal="center" wrapText="1"/>
    </xf>
    <xf numFmtId="0" fontId="102" fillId="0" borderId="36" xfId="28" applyFont="1" applyBorder="1" applyAlignment="1">
      <alignment horizontal="center" wrapText="1"/>
    </xf>
    <xf numFmtId="0" fontId="102" fillId="0" borderId="6" xfId="28" applyFont="1" applyBorder="1" applyAlignment="1">
      <alignment horizontal="center" wrapText="1"/>
    </xf>
    <xf numFmtId="3" fontId="98" fillId="6" borderId="11" xfId="28" applyNumberFormat="1" applyFont="1" applyFill="1" applyBorder="1" applyAlignment="1">
      <alignment horizontal="left" wrapText="1"/>
    </xf>
    <xf numFmtId="0" fontId="186" fillId="0" borderId="0" xfId="9" applyFont="1" applyFill="1" applyBorder="1" applyAlignment="1">
      <alignment horizontal="center" wrapText="1"/>
    </xf>
    <xf numFmtId="0" fontId="63" fillId="0" borderId="22" xfId="9" applyFont="1" applyFill="1" applyBorder="1" applyAlignment="1">
      <alignment horizontal="right" vertical="center" wrapText="1"/>
    </xf>
    <xf numFmtId="0" fontId="63" fillId="0" borderId="26" xfId="9" applyFont="1" applyFill="1" applyBorder="1" applyAlignment="1">
      <alignment horizontal="left" vertical="center" wrapText="1"/>
    </xf>
    <xf numFmtId="0" fontId="63" fillId="0" borderId="0" xfId="9" applyFont="1" applyFill="1" applyBorder="1" applyAlignment="1">
      <alignment horizontal="left" vertical="center" wrapText="1"/>
    </xf>
    <xf numFmtId="0" fontId="141" fillId="0" borderId="0" xfId="16" applyFont="1" applyAlignment="1">
      <alignment horizontal="center" wrapText="1"/>
    </xf>
    <xf numFmtId="0" fontId="141" fillId="0" borderId="0" xfId="16" applyFont="1" applyAlignment="1">
      <alignment horizontal="center"/>
    </xf>
    <xf numFmtId="0" fontId="97" fillId="0" borderId="0" xfId="16" applyNumberFormat="1" applyFont="1" applyAlignment="1">
      <alignment horizontal="center" vertical="center" wrapText="1"/>
    </xf>
  </cellXfs>
  <cellStyles count="715">
    <cellStyle name="?’һғһ‚›ү" xfId="83"/>
    <cellStyle name="?’һғһ‚›ү 10" xfId="84"/>
    <cellStyle name="?’һғһ‚›ү 11" xfId="85"/>
    <cellStyle name="?’һғһ‚›ү 12" xfId="86"/>
    <cellStyle name="?’һғһ‚›ү 13" xfId="87"/>
    <cellStyle name="?’һғһ‚›ү 14" xfId="88"/>
    <cellStyle name="?’һғһ‚›ү 15" xfId="89"/>
    <cellStyle name="?’һғһ‚›ү 2" xfId="90"/>
    <cellStyle name="?’һғһ‚›ү 3" xfId="91"/>
    <cellStyle name="?’һғһ‚›ү 4" xfId="92"/>
    <cellStyle name="?’һғһ‚›ү 5" xfId="93"/>
    <cellStyle name="?’һғһ‚›ү 6" xfId="94"/>
    <cellStyle name="?’һғһ‚›ү 7" xfId="95"/>
    <cellStyle name="?’һғһ‚›ү 8" xfId="96"/>
    <cellStyle name="?’һғһ‚›ү 9" xfId="97"/>
    <cellStyle name="?’ћѓћ‚›‰" xfId="68"/>
    <cellStyle name="?’ћѓћ‚›‰ 10" xfId="69"/>
    <cellStyle name="?’ћѓћ‚›‰ 11" xfId="70"/>
    <cellStyle name="?’ћѓћ‚›‰ 12" xfId="71"/>
    <cellStyle name="?’ћѓћ‚›‰ 13" xfId="72"/>
    <cellStyle name="?’ћѓћ‚›‰ 14" xfId="73"/>
    <cellStyle name="?’ћѓћ‚›‰ 15" xfId="74"/>
    <cellStyle name="?’ћѓћ‚›‰ 2" xfId="75"/>
    <cellStyle name="?’ћѓћ‚›‰ 3" xfId="76"/>
    <cellStyle name="?’ћѓћ‚›‰ 4" xfId="77"/>
    <cellStyle name="?’ћѓћ‚›‰ 5" xfId="78"/>
    <cellStyle name="?’ћѓћ‚›‰ 6" xfId="79"/>
    <cellStyle name="?’ћѓћ‚›‰ 7" xfId="80"/>
    <cellStyle name="?’ћѓћ‚›‰ 8" xfId="81"/>
    <cellStyle name="?’ћѓћ‚›‰ 9" xfId="82"/>
    <cellStyle name="_001 План ГЗ 201109 (информатизация)" xfId="98"/>
    <cellStyle name="_001-002 ОК" xfId="99"/>
    <cellStyle name="_001-002 ОК_Павл" xfId="100"/>
    <cellStyle name="_001-002 ОК_Павлодар" xfId="101"/>
    <cellStyle name="_007 рай.цент ПФЗОЖ 2008 нор" xfId="102"/>
    <cellStyle name="_007 рай.цент ПФЗОЖ 2008 норм" xfId="103"/>
    <cellStyle name="_040 повыш" xfId="104"/>
    <cellStyle name="_040 повыш 07" xfId="105"/>
    <cellStyle name="_1 гор.бол 2008-2010" xfId="106"/>
    <cellStyle name="_26.12.08 кап.ремонт 2009" xfId="107"/>
    <cellStyle name="_Акмо фин" xfId="108"/>
    <cellStyle name="_Бюджет_2009_все" xfId="109"/>
    <cellStyle name="_Бюджет_2010_2012" xfId="110"/>
    <cellStyle name="_Бюро расходы (измен)" xfId="111"/>
    <cellStyle name="_Бюро расходы МТО (Сауле)" xfId="112"/>
    <cellStyle name="_ГОБМП-2. Формы Минэкономики" xfId="113"/>
    <cellStyle name="_гор.пол в 19 мкр 2010" xfId="114"/>
    <cellStyle name="_Гульназ" xfId="115"/>
    <cellStyle name="_Гульназ_Павл" xfId="116"/>
    <cellStyle name="_Гульназ_Павлодар" xfId="117"/>
    <cellStyle name="_ДОГОВОРА" xfId="118"/>
    <cellStyle name="_доуком 2008" xfId="119"/>
    <cellStyle name="_доукомп ПМСП и узкие" xfId="120"/>
    <cellStyle name="_жум.туб 2008-2010" xfId="121"/>
    <cellStyle name="_Закуп 017_ККСОМУ" xfId="122"/>
    <cellStyle name="_зарплаты 2008-018 МИАЦ 011" xfId="123"/>
    <cellStyle name="_Заявка КОМУ" xfId="124"/>
    <cellStyle name="_Информация по трансфертам на 01 января 2010гАктобе" xfId="125"/>
    <cellStyle name="_кап ремонт 2007" xfId="126"/>
    <cellStyle name="_кап.рем 2004-2007 СКО" xfId="127"/>
    <cellStyle name="_ККСОМУ" xfId="128"/>
    <cellStyle name="_ККСОМУ (лимиты)" xfId="129"/>
    <cellStyle name="_ККСОМУ (прил 46) КОНЕЦ" xfId="130"/>
    <cellStyle name="_ККСОМУ 2010-2012 (расчеты)" xfId="131"/>
    <cellStyle name="_ККСОМУ_015" xfId="132"/>
    <cellStyle name="_ККСОМУ_Павл" xfId="133"/>
    <cellStyle name="_ККСОМУ_Павлодар" xfId="134"/>
    <cellStyle name="_КОМУ (прил 46) 283" xfId="135"/>
    <cellStyle name="_КОМУ доп потребность" xfId="136"/>
    <cellStyle name="_мат.тех оснащ 2007" xfId="137"/>
    <cellStyle name="_мат.тех оснащ 2007 урезанный" xfId="138"/>
    <cellStyle name="_Месячная разбивка госзаказа" xfId="139"/>
    <cellStyle name="_МЗ РК НПА" xfId="140"/>
    <cellStyle name="_обл.туб 2008-2010" xfId="141"/>
    <cellStyle name="_Освоение" xfId="142"/>
    <cellStyle name="_Отчет трансферты МЗ 2009 года Атырауской области" xfId="143"/>
    <cellStyle name="_Передвижка" xfId="144"/>
    <cellStyle name="_Передвижка 015" xfId="145"/>
    <cellStyle name="_Передвижка_август (платежи)" xfId="146"/>
    <cellStyle name="_Передвижка_апрель" xfId="147"/>
    <cellStyle name="_Передвижка_июль" xfId="148"/>
    <cellStyle name="_Передвижка_июнь" xfId="149"/>
    <cellStyle name="_Передвижка_июнь (платежи)" xfId="150"/>
    <cellStyle name="_Передвижка_май (платежи)" xfId="151"/>
    <cellStyle name="_Передвижка_март" xfId="152"/>
    <cellStyle name="_Передвижка_октябрь (платежи)" xfId="153"/>
    <cellStyle name="_Передвижка_сентябрь (платежи)" xfId="154"/>
    <cellStyle name="_Передвижка_февраль" xfId="155"/>
    <cellStyle name="_План закуп_ККСОМУ_2009" xfId="156"/>
    <cellStyle name="_План финансирования РБ 2009" xfId="157"/>
    <cellStyle name="_Платежи_ККСОМУ" xfId="158"/>
    <cellStyle name="_полик Аккайын 2010" xfId="159"/>
    <cellStyle name="_Приложения для ОДЗ1" xfId="160"/>
    <cellStyle name="_Приложения для ОДЗ1 привезла" xfId="161"/>
    <cellStyle name="_проект 2006 шаблон" xfId="162"/>
    <cellStyle name="_разбивка ЦТТ платежи и обяз-ва" xfId="163"/>
    <cellStyle name="_Расходы РИАЦ" xfId="164"/>
    <cellStyle name="_Резерв МЗ" xfId="165"/>
    <cellStyle name="_Свод" xfId="166"/>
    <cellStyle name="_СВОД размещение" xfId="167"/>
    <cellStyle name="_свод РБ 2008-2010" xfId="168"/>
    <cellStyle name="_свод РБ 2008-2010 СКО ЦЕЛ ТРАНС" xfId="169"/>
    <cellStyle name="_СВОД_платежи_ККСОМУ" xfId="170"/>
    <cellStyle name="_СВОД_платежи_ККСОМУ_Павл" xfId="171"/>
    <cellStyle name="_СВОД_платежи_ККСОМУ_Павлодар" xfId="172"/>
    <cellStyle name="_согласов" xfId="173"/>
    <cellStyle name="_Согласование 85 ед" xfId="174"/>
    <cellStyle name="_среднесрочн 21.09.05г. инвест" xfId="175"/>
    <cellStyle name="_стац ЦРБ Акжар 2008" xfId="176"/>
    <cellStyle name="_строит 269-019-011" xfId="177"/>
    <cellStyle name="_ТРАНСФ ДЛЯ   Л Н" xfId="178"/>
    <cellStyle name="_туб Муср 2010" xfId="179"/>
    <cellStyle name="_формы по среднесроч плану" xfId="180"/>
    <cellStyle name="_ФОТ КОМУ 85" xfId="181"/>
    <cellStyle name="_центр крови 2010" xfId="182"/>
    <cellStyle name="_Шаблон бюджетки" xfId="183"/>
    <cellStyle name="_Шаблон бюджетки_Павл" xfId="184"/>
    <cellStyle name="_Шаблон бюджетки_Павлодар" xfId="185"/>
    <cellStyle name="”?ќђќ‘ћ‚›‰" xfId="186"/>
    <cellStyle name="”?ќђќ‘ћ‚›‰ 10" xfId="187"/>
    <cellStyle name="”?ќђќ‘ћ‚›‰ 11" xfId="188"/>
    <cellStyle name="”?ќђќ‘ћ‚›‰ 12" xfId="189"/>
    <cellStyle name="”?ќђќ‘ћ‚›‰ 13" xfId="190"/>
    <cellStyle name="”?ќђќ‘ћ‚›‰ 14" xfId="191"/>
    <cellStyle name="”?ќђќ‘ћ‚›‰ 15" xfId="192"/>
    <cellStyle name="”?ќђќ‘ћ‚›‰ 2" xfId="193"/>
    <cellStyle name="”?ќђќ‘ћ‚›‰ 3" xfId="194"/>
    <cellStyle name="”?ќђќ‘ћ‚›‰ 4" xfId="195"/>
    <cellStyle name="”?ќђќ‘ћ‚›‰ 5" xfId="196"/>
    <cellStyle name="”?ќђќ‘ћ‚›‰ 6" xfId="197"/>
    <cellStyle name="”?ќђќ‘ћ‚›‰ 7" xfId="198"/>
    <cellStyle name="”?ќђќ‘ћ‚›‰ 8" xfId="199"/>
    <cellStyle name="”?ќђќ‘ћ‚›‰ 9" xfId="200"/>
    <cellStyle name="”?қђқ‘һ‚›ү" xfId="201"/>
    <cellStyle name="”?қђқ‘һ‚›ү 10" xfId="202"/>
    <cellStyle name="”?қђқ‘һ‚›ү 11" xfId="203"/>
    <cellStyle name="”?қђқ‘һ‚›ү 12" xfId="204"/>
    <cellStyle name="”?қђқ‘һ‚›ү 13" xfId="205"/>
    <cellStyle name="”?қђқ‘һ‚›ү 14" xfId="206"/>
    <cellStyle name="”?қђқ‘һ‚›ү 15" xfId="207"/>
    <cellStyle name="”?қђқ‘һ‚›ү 2" xfId="208"/>
    <cellStyle name="”?қђқ‘һ‚›ү 3" xfId="209"/>
    <cellStyle name="”?қђқ‘һ‚›ү 4" xfId="210"/>
    <cellStyle name="”?қђқ‘һ‚›ү 5" xfId="211"/>
    <cellStyle name="”?қђқ‘һ‚›ү 6" xfId="212"/>
    <cellStyle name="”?қђқ‘һ‚›ү 7" xfId="213"/>
    <cellStyle name="”?қђқ‘һ‚›ү 8" xfId="214"/>
    <cellStyle name="”?қђқ‘һ‚›ү 9" xfId="215"/>
    <cellStyle name="”?љ‘?ђһ‚ђққ›ү" xfId="231"/>
    <cellStyle name="”?љ‘?ђһ‚ђққ›ү 10" xfId="232"/>
    <cellStyle name="”?љ‘?ђһ‚ђққ›ү 11" xfId="233"/>
    <cellStyle name="”?љ‘?ђһ‚ђққ›ү 12" xfId="234"/>
    <cellStyle name="”?љ‘?ђһ‚ђққ›ү 13" xfId="235"/>
    <cellStyle name="”?љ‘?ђһ‚ђққ›ү 14" xfId="236"/>
    <cellStyle name="”?љ‘?ђһ‚ђққ›ү 15" xfId="237"/>
    <cellStyle name="”?љ‘?ђһ‚ђққ›ү 2" xfId="238"/>
    <cellStyle name="”?љ‘?ђһ‚ђққ›ү 3" xfId="239"/>
    <cellStyle name="”?љ‘?ђһ‚ђққ›ү 4" xfId="240"/>
    <cellStyle name="”?љ‘?ђһ‚ђққ›ү 5" xfId="241"/>
    <cellStyle name="”?љ‘?ђһ‚ђққ›ү 6" xfId="242"/>
    <cellStyle name="”?љ‘?ђһ‚ђққ›ү 7" xfId="243"/>
    <cellStyle name="”?љ‘?ђһ‚ђққ›ү 8" xfId="244"/>
    <cellStyle name="”?љ‘?ђһ‚ђққ›ү 9" xfId="245"/>
    <cellStyle name="”?љ‘?ђћ‚ђќќ›‰" xfId="216"/>
    <cellStyle name="”?љ‘?ђћ‚ђќќ›‰ 10" xfId="217"/>
    <cellStyle name="”?љ‘?ђћ‚ђќќ›‰ 11" xfId="218"/>
    <cellStyle name="”?љ‘?ђћ‚ђќќ›‰ 12" xfId="219"/>
    <cellStyle name="”?љ‘?ђћ‚ђќќ›‰ 13" xfId="220"/>
    <cellStyle name="”?љ‘?ђћ‚ђќќ›‰ 14" xfId="221"/>
    <cellStyle name="”?љ‘?ђћ‚ђќќ›‰ 15" xfId="222"/>
    <cellStyle name="”?љ‘?ђћ‚ђќќ›‰ 2" xfId="223"/>
    <cellStyle name="”?љ‘?ђћ‚ђќќ›‰ 3" xfId="224"/>
    <cellStyle name="”?љ‘?ђћ‚ђќќ›‰ 4" xfId="225"/>
    <cellStyle name="”?љ‘?ђћ‚ђќќ›‰ 5" xfId="226"/>
    <cellStyle name="”?љ‘?ђћ‚ђќќ›‰ 6" xfId="227"/>
    <cellStyle name="”?љ‘?ђћ‚ђќќ›‰ 7" xfId="228"/>
    <cellStyle name="”?љ‘?ђћ‚ђќќ›‰ 8" xfId="229"/>
    <cellStyle name="”?љ‘?ђћ‚ђќќ›‰ 9" xfId="230"/>
    <cellStyle name="”€ќђќ‘ћ‚›‰" xfId="246"/>
    <cellStyle name="”€ќђќ‘ћ‚›‰ 10" xfId="247"/>
    <cellStyle name="”€ќђќ‘ћ‚›‰ 11" xfId="248"/>
    <cellStyle name="”€ќђќ‘ћ‚›‰ 12" xfId="249"/>
    <cellStyle name="”€ќђќ‘ћ‚›‰ 13" xfId="250"/>
    <cellStyle name="”€ќђќ‘ћ‚›‰ 14" xfId="251"/>
    <cellStyle name="”€ќђќ‘ћ‚›‰ 15" xfId="252"/>
    <cellStyle name="”€ќђќ‘ћ‚›‰ 2" xfId="253"/>
    <cellStyle name="”€ќђќ‘ћ‚›‰ 3" xfId="254"/>
    <cellStyle name="”€ќђќ‘ћ‚›‰ 4" xfId="255"/>
    <cellStyle name="”€ќђќ‘ћ‚›‰ 5" xfId="256"/>
    <cellStyle name="”€ќђќ‘ћ‚›‰ 6" xfId="257"/>
    <cellStyle name="”€ќђќ‘ћ‚›‰ 7" xfId="258"/>
    <cellStyle name="”€ќђќ‘ћ‚›‰ 8" xfId="259"/>
    <cellStyle name="”€ќђќ‘ћ‚›‰ 9" xfId="260"/>
    <cellStyle name="”€қђқ‘һ‚›ү" xfId="261"/>
    <cellStyle name="”€қђқ‘һ‚›ү 10" xfId="262"/>
    <cellStyle name="”€қђқ‘һ‚›ү 11" xfId="263"/>
    <cellStyle name="”€қђқ‘һ‚›ү 12" xfId="264"/>
    <cellStyle name="”€қђқ‘һ‚›ү 13" xfId="265"/>
    <cellStyle name="”€қђқ‘һ‚›ү 14" xfId="266"/>
    <cellStyle name="”€қђқ‘һ‚›ү 15" xfId="267"/>
    <cellStyle name="”€қђқ‘һ‚›ү 2" xfId="268"/>
    <cellStyle name="”€қђқ‘һ‚›ү 3" xfId="269"/>
    <cellStyle name="”€қђқ‘һ‚›ү 4" xfId="270"/>
    <cellStyle name="”€қђқ‘һ‚›ү 5" xfId="271"/>
    <cellStyle name="”€қђқ‘һ‚›ү 6" xfId="272"/>
    <cellStyle name="”€қђқ‘һ‚›ү 7" xfId="273"/>
    <cellStyle name="”€қђқ‘һ‚›ү 8" xfId="274"/>
    <cellStyle name="”€қђқ‘һ‚›ү 9" xfId="275"/>
    <cellStyle name="”€љ‘€ђһ‚ђққ›ү" xfId="291"/>
    <cellStyle name="”€љ‘€ђһ‚ђққ›ү 10" xfId="292"/>
    <cellStyle name="”€љ‘€ђһ‚ђққ›ү 11" xfId="293"/>
    <cellStyle name="”€љ‘€ђһ‚ђққ›ү 12" xfId="294"/>
    <cellStyle name="”€љ‘€ђһ‚ђққ›ү 13" xfId="295"/>
    <cellStyle name="”€љ‘€ђһ‚ђққ›ү 14" xfId="296"/>
    <cellStyle name="”€љ‘€ђһ‚ђққ›ү 15" xfId="297"/>
    <cellStyle name="”€љ‘€ђһ‚ђққ›ү 2" xfId="298"/>
    <cellStyle name="”€љ‘€ђһ‚ђққ›ү 3" xfId="299"/>
    <cellStyle name="”€љ‘€ђһ‚ђққ›ү 4" xfId="300"/>
    <cellStyle name="”€љ‘€ђһ‚ђққ›ү 5" xfId="301"/>
    <cellStyle name="”€љ‘€ђһ‚ђққ›ү 6" xfId="302"/>
    <cellStyle name="”€љ‘€ђһ‚ђққ›ү 7" xfId="303"/>
    <cellStyle name="”€љ‘€ђһ‚ђққ›ү 8" xfId="304"/>
    <cellStyle name="”€љ‘€ђһ‚ђққ›ү 9" xfId="305"/>
    <cellStyle name="”€љ‘€ђћ‚ђќќ›‰" xfId="276"/>
    <cellStyle name="”€љ‘€ђћ‚ђќќ›‰ 10" xfId="277"/>
    <cellStyle name="”€љ‘€ђћ‚ђќќ›‰ 11" xfId="278"/>
    <cellStyle name="”€љ‘€ђћ‚ђќќ›‰ 12" xfId="279"/>
    <cellStyle name="”€љ‘€ђћ‚ђќќ›‰ 13" xfId="280"/>
    <cellStyle name="”€љ‘€ђћ‚ђќќ›‰ 14" xfId="281"/>
    <cellStyle name="”€љ‘€ђћ‚ђќќ›‰ 15" xfId="282"/>
    <cellStyle name="”€љ‘€ђћ‚ђќќ›‰ 2" xfId="283"/>
    <cellStyle name="”€љ‘€ђћ‚ђќќ›‰ 3" xfId="284"/>
    <cellStyle name="”€љ‘€ђћ‚ђќќ›‰ 4" xfId="285"/>
    <cellStyle name="”€љ‘€ђћ‚ђќќ›‰ 5" xfId="286"/>
    <cellStyle name="”€љ‘€ђћ‚ђќќ›‰ 6" xfId="287"/>
    <cellStyle name="”€љ‘€ђћ‚ђќќ›‰ 7" xfId="288"/>
    <cellStyle name="”€љ‘€ђћ‚ђќќ›‰ 8" xfId="289"/>
    <cellStyle name="”€љ‘€ђћ‚ђќќ›‰ 9" xfId="290"/>
    <cellStyle name="”ќђќ‘ћ‚›‰" xfId="306"/>
    <cellStyle name="”ќђќ‘ћ‚›‰ 10" xfId="307"/>
    <cellStyle name="”ќђќ‘ћ‚›‰ 11" xfId="308"/>
    <cellStyle name="”ќђќ‘ћ‚›‰ 12" xfId="309"/>
    <cellStyle name="”ќђќ‘ћ‚›‰ 13" xfId="310"/>
    <cellStyle name="”ќђќ‘ћ‚›‰ 14" xfId="311"/>
    <cellStyle name="”ќђќ‘ћ‚›‰ 15" xfId="312"/>
    <cellStyle name="”ќђќ‘ћ‚›‰ 2" xfId="313"/>
    <cellStyle name="”ќђќ‘ћ‚›‰ 3" xfId="314"/>
    <cellStyle name="”ќђќ‘ћ‚›‰ 4" xfId="315"/>
    <cellStyle name="”ќђќ‘ћ‚›‰ 5" xfId="316"/>
    <cellStyle name="”ќђќ‘ћ‚›‰ 6" xfId="317"/>
    <cellStyle name="”ќђќ‘ћ‚›‰ 7" xfId="318"/>
    <cellStyle name="”ќђќ‘ћ‚›‰ 8" xfId="319"/>
    <cellStyle name="”ќђќ‘ћ‚›‰ 9" xfId="320"/>
    <cellStyle name="”љ‘ђћ‚ђќќ›‰" xfId="321"/>
    <cellStyle name="”љ‘ђћ‚ђќќ›‰ 10" xfId="322"/>
    <cellStyle name="”љ‘ђћ‚ђќќ›‰ 11" xfId="323"/>
    <cellStyle name="”љ‘ђћ‚ђќќ›‰ 12" xfId="324"/>
    <cellStyle name="”љ‘ђћ‚ђќќ›‰ 13" xfId="325"/>
    <cellStyle name="”љ‘ђћ‚ђќќ›‰ 14" xfId="326"/>
    <cellStyle name="”љ‘ђћ‚ђќќ›‰ 15" xfId="327"/>
    <cellStyle name="”љ‘ђћ‚ђќќ›‰ 2" xfId="328"/>
    <cellStyle name="”љ‘ђћ‚ђќќ›‰ 3" xfId="329"/>
    <cellStyle name="”љ‘ђћ‚ђќќ›‰ 4" xfId="330"/>
    <cellStyle name="”љ‘ђћ‚ђќќ›‰ 5" xfId="331"/>
    <cellStyle name="”љ‘ђћ‚ђќќ›‰ 6" xfId="332"/>
    <cellStyle name="”љ‘ђћ‚ђќќ›‰ 7" xfId="333"/>
    <cellStyle name="”љ‘ђћ‚ђќќ›‰ 8" xfId="334"/>
    <cellStyle name="”љ‘ђћ‚ђќќ›‰ 9" xfId="335"/>
    <cellStyle name="„…ќ…†ќ›‰" xfId="336"/>
    <cellStyle name="„…ќ…†ќ›‰ 10" xfId="337"/>
    <cellStyle name="„…ќ…†ќ›‰ 11" xfId="338"/>
    <cellStyle name="„…ќ…†ќ›‰ 12" xfId="339"/>
    <cellStyle name="„…ќ…†ќ›‰ 13" xfId="340"/>
    <cellStyle name="„…ќ…†ќ›‰ 14" xfId="341"/>
    <cellStyle name="„…ќ…†ќ›‰ 15" xfId="342"/>
    <cellStyle name="„…ќ…†ќ›‰ 2" xfId="343"/>
    <cellStyle name="„…ќ…†ќ›‰ 3" xfId="344"/>
    <cellStyle name="„…ќ…†ќ›‰ 4" xfId="345"/>
    <cellStyle name="„…ќ…†ќ›‰ 5" xfId="346"/>
    <cellStyle name="„…ќ…†ќ›‰ 6" xfId="347"/>
    <cellStyle name="„…ќ…†ќ›‰ 7" xfId="348"/>
    <cellStyle name="„…ќ…†ќ›‰ 8" xfId="349"/>
    <cellStyle name="„…ќ…†ќ›‰ 9" xfId="350"/>
    <cellStyle name="„…қ…†қ›ү" xfId="351"/>
    <cellStyle name="„…қ…†қ›ү 10" xfId="352"/>
    <cellStyle name="„…қ…†қ›ү 11" xfId="353"/>
    <cellStyle name="„…қ…†қ›ү 12" xfId="354"/>
    <cellStyle name="„…қ…†қ›ү 13" xfId="355"/>
    <cellStyle name="„…қ…†қ›ү 14" xfId="356"/>
    <cellStyle name="„…қ…†қ›ү 15" xfId="357"/>
    <cellStyle name="„…қ…†қ›ү 2" xfId="358"/>
    <cellStyle name="„…қ…†қ›ү 3" xfId="359"/>
    <cellStyle name="„…қ…†қ›ү 4" xfId="360"/>
    <cellStyle name="„…қ…†қ›ү 5" xfId="361"/>
    <cellStyle name="„…қ…†қ›ү 6" xfId="362"/>
    <cellStyle name="„…қ…†қ›ү 7" xfId="363"/>
    <cellStyle name="„…қ…†қ›ү 8" xfId="364"/>
    <cellStyle name="„…қ…†қ›ү 9" xfId="365"/>
    <cellStyle name="€’һғһ‚›ү" xfId="381"/>
    <cellStyle name="€’һғһ‚›ү 10" xfId="382"/>
    <cellStyle name="€’һғһ‚›ү 11" xfId="383"/>
    <cellStyle name="€’һғһ‚›ү 12" xfId="384"/>
    <cellStyle name="€’һғһ‚›ү 13" xfId="385"/>
    <cellStyle name="€’һғһ‚›ү 14" xfId="386"/>
    <cellStyle name="€’һғһ‚›ү 15" xfId="387"/>
    <cellStyle name="€’һғһ‚›ү 2" xfId="388"/>
    <cellStyle name="€’һғһ‚›ү 3" xfId="389"/>
    <cellStyle name="€’һғһ‚›ү 4" xfId="390"/>
    <cellStyle name="€’һғһ‚›ү 5" xfId="391"/>
    <cellStyle name="€’һғһ‚›ү 6" xfId="392"/>
    <cellStyle name="€’һғһ‚›ү 7" xfId="393"/>
    <cellStyle name="€’һғһ‚›ү 8" xfId="394"/>
    <cellStyle name="€’һғһ‚›ү 9" xfId="395"/>
    <cellStyle name="€’ћѓћ‚›‰" xfId="366"/>
    <cellStyle name="€’ћѓћ‚›‰ 10" xfId="367"/>
    <cellStyle name="€’ћѓћ‚›‰ 11" xfId="368"/>
    <cellStyle name="€’ћѓћ‚›‰ 12" xfId="369"/>
    <cellStyle name="€’ћѓћ‚›‰ 13" xfId="370"/>
    <cellStyle name="€’ћѓћ‚›‰ 14" xfId="371"/>
    <cellStyle name="€’ћѓћ‚›‰ 15" xfId="372"/>
    <cellStyle name="€’ћѓћ‚›‰ 2" xfId="373"/>
    <cellStyle name="€’ћѓћ‚›‰ 3" xfId="374"/>
    <cellStyle name="€’ћѓћ‚›‰ 4" xfId="375"/>
    <cellStyle name="€’ћѓћ‚›‰ 5" xfId="376"/>
    <cellStyle name="€’ћѓћ‚›‰ 6" xfId="377"/>
    <cellStyle name="€’ћѓћ‚›‰ 7" xfId="378"/>
    <cellStyle name="€’ћѓћ‚›‰ 8" xfId="379"/>
    <cellStyle name="€’ћѓћ‚›‰ 9" xfId="380"/>
    <cellStyle name="‡ђѓћ‹ћ‚ћљ1" xfId="396"/>
    <cellStyle name="‡ђѓћ‹ћ‚ћљ1 10" xfId="397"/>
    <cellStyle name="‡ђѓћ‹ћ‚ћљ1 11" xfId="398"/>
    <cellStyle name="‡ђѓћ‹ћ‚ћљ1 12" xfId="399"/>
    <cellStyle name="‡ђѓћ‹ћ‚ћљ1 13" xfId="400"/>
    <cellStyle name="‡ђѓћ‹ћ‚ћљ1 14" xfId="401"/>
    <cellStyle name="‡ђѓћ‹ћ‚ћљ1 15" xfId="402"/>
    <cellStyle name="‡ђѓћ‹ћ‚ћљ1 2" xfId="403"/>
    <cellStyle name="‡ђѓћ‹ћ‚ћљ1 3" xfId="404"/>
    <cellStyle name="‡ђѓћ‹ћ‚ћљ1 4" xfId="405"/>
    <cellStyle name="‡ђѓћ‹ћ‚ћљ1 5" xfId="406"/>
    <cellStyle name="‡ђѓћ‹ћ‚ћљ1 6" xfId="407"/>
    <cellStyle name="‡ђѓћ‹ћ‚ћљ1 7" xfId="408"/>
    <cellStyle name="‡ђѓћ‹ћ‚ћљ1 8" xfId="409"/>
    <cellStyle name="‡ђѓћ‹ћ‚ћљ1 9" xfId="410"/>
    <cellStyle name="‡ђѓћ‹ћ‚ћљ2" xfId="411"/>
    <cellStyle name="‡ђѓћ‹ћ‚ћљ2 10" xfId="412"/>
    <cellStyle name="‡ђѓћ‹ћ‚ћљ2 11" xfId="413"/>
    <cellStyle name="‡ђѓћ‹ћ‚ћљ2 12" xfId="414"/>
    <cellStyle name="‡ђѓћ‹ћ‚ћљ2 13" xfId="415"/>
    <cellStyle name="‡ђѓћ‹ћ‚ћљ2 14" xfId="416"/>
    <cellStyle name="‡ђѓћ‹ћ‚ћљ2 15" xfId="417"/>
    <cellStyle name="‡ђѓћ‹ћ‚ћљ2 2" xfId="418"/>
    <cellStyle name="‡ђѓћ‹ћ‚ћљ2 3" xfId="419"/>
    <cellStyle name="‡ђѓћ‹ћ‚ћљ2 4" xfId="420"/>
    <cellStyle name="‡ђѓћ‹ћ‚ћљ2 5" xfId="421"/>
    <cellStyle name="‡ђѓћ‹ћ‚ћљ2 6" xfId="422"/>
    <cellStyle name="‡ђѓћ‹ћ‚ћљ2 7" xfId="423"/>
    <cellStyle name="‡ђѓћ‹ћ‚ћљ2 8" xfId="424"/>
    <cellStyle name="‡ђѓћ‹ћ‚ћљ2 9" xfId="425"/>
    <cellStyle name="’ћѓћ‚›‰" xfId="426"/>
    <cellStyle name="’ћѓћ‚›‰ 10" xfId="427"/>
    <cellStyle name="’ћѓћ‚›‰ 11" xfId="428"/>
    <cellStyle name="’ћѓћ‚›‰ 12" xfId="429"/>
    <cellStyle name="’ћѓћ‚›‰ 13" xfId="430"/>
    <cellStyle name="’ћѓћ‚›‰ 14" xfId="431"/>
    <cellStyle name="’ћѓћ‚›‰ 15" xfId="432"/>
    <cellStyle name="’ћѓћ‚›‰ 2" xfId="433"/>
    <cellStyle name="’ћѓћ‚›‰ 3" xfId="434"/>
    <cellStyle name="’ћѓћ‚›‰ 4" xfId="435"/>
    <cellStyle name="’ћѓћ‚›‰ 5" xfId="436"/>
    <cellStyle name="’ћѓћ‚›‰ 6" xfId="437"/>
    <cellStyle name="’ћѓћ‚›‰ 7" xfId="438"/>
    <cellStyle name="’ћѓћ‚›‰ 8" xfId="439"/>
    <cellStyle name="’ћѓћ‚›‰ 9" xfId="440"/>
    <cellStyle name="20% - Accent1" xfId="441"/>
    <cellStyle name="20% - Accent1 2" xfId="442"/>
    <cellStyle name="20% - Accent2" xfId="443"/>
    <cellStyle name="20% - Accent2 2" xfId="444"/>
    <cellStyle name="20% - Accent3" xfId="445"/>
    <cellStyle name="20% - Accent3 2" xfId="446"/>
    <cellStyle name="20% - Accent4" xfId="447"/>
    <cellStyle name="20% - Accent4 2" xfId="448"/>
    <cellStyle name="20% - Accent5" xfId="449"/>
    <cellStyle name="20% - Accent5 2" xfId="450"/>
    <cellStyle name="20% - Accent6" xfId="451"/>
    <cellStyle name="20% - Accent6 2" xfId="452"/>
    <cellStyle name="20% - Акцент1 2" xfId="453"/>
    <cellStyle name="20% - Акцент1 3" xfId="454"/>
    <cellStyle name="20% - Акцент1 4" xfId="455"/>
    <cellStyle name="20% - Акцент2 2" xfId="456"/>
    <cellStyle name="20% - Акцент2 3" xfId="457"/>
    <cellStyle name="20% - Акцент2 4" xfId="458"/>
    <cellStyle name="20% - Акцент3 2" xfId="459"/>
    <cellStyle name="20% - Акцент3 3" xfId="460"/>
    <cellStyle name="20% - Акцент3 4" xfId="461"/>
    <cellStyle name="20% - Акцент4 2" xfId="462"/>
    <cellStyle name="20% - Акцент4 3" xfId="463"/>
    <cellStyle name="20% - Акцент4 4" xfId="464"/>
    <cellStyle name="20% - Акцент5 2" xfId="465"/>
    <cellStyle name="20% - Акцент5 3" xfId="466"/>
    <cellStyle name="20% - Акцент5 4" xfId="467"/>
    <cellStyle name="20% - Акцент6 2" xfId="468"/>
    <cellStyle name="20% - Акцент6 3" xfId="469"/>
    <cellStyle name="20% - Акцент6 4" xfId="470"/>
    <cellStyle name="40% - Accent1" xfId="471"/>
    <cellStyle name="40% - Accent1 2" xfId="472"/>
    <cellStyle name="40% - Accent2" xfId="473"/>
    <cellStyle name="40% - Accent2 2" xfId="474"/>
    <cellStyle name="40% - Accent3" xfId="475"/>
    <cellStyle name="40% - Accent3 2" xfId="476"/>
    <cellStyle name="40% - Accent4" xfId="477"/>
    <cellStyle name="40% - Accent4 2" xfId="478"/>
    <cellStyle name="40% - Accent5" xfId="479"/>
    <cellStyle name="40% - Accent5 2" xfId="480"/>
    <cellStyle name="40% - Accent6" xfId="481"/>
    <cellStyle name="40% - Accent6 2" xfId="482"/>
    <cellStyle name="40% - Акцент1 2" xfId="483"/>
    <cellStyle name="40% - Акцент1 3" xfId="484"/>
    <cellStyle name="40% - Акцент1 4" xfId="485"/>
    <cellStyle name="40% - Акцент2 2" xfId="486"/>
    <cellStyle name="40% - Акцент2 3" xfId="487"/>
    <cellStyle name="40% - Акцент2 4" xfId="488"/>
    <cellStyle name="40% - Акцент3 2" xfId="489"/>
    <cellStyle name="40% - Акцент3 3" xfId="490"/>
    <cellStyle name="40% - Акцент3 4" xfId="491"/>
    <cellStyle name="40% - Акцент4 2" xfId="492"/>
    <cellStyle name="40% - Акцент4 3" xfId="493"/>
    <cellStyle name="40% - Акцент4 4" xfId="494"/>
    <cellStyle name="40% - Акцент5 2" xfId="495"/>
    <cellStyle name="40% - Акцент5 3" xfId="496"/>
    <cellStyle name="40% - Акцент5 4" xfId="497"/>
    <cellStyle name="40% - Акцент6 2" xfId="498"/>
    <cellStyle name="40% - Акцент6 3" xfId="499"/>
    <cellStyle name="40% - Акцент6 4" xfId="500"/>
    <cellStyle name="60% - Accent1" xfId="501"/>
    <cellStyle name="60% - Accent2" xfId="502"/>
    <cellStyle name="60% - Accent3" xfId="503"/>
    <cellStyle name="60% - Accent4" xfId="504"/>
    <cellStyle name="60% - Accent5" xfId="505"/>
    <cellStyle name="60% - Accent6" xfId="506"/>
    <cellStyle name="Aaia?iue_laroux" xfId="507"/>
    <cellStyle name="Accent1" xfId="508"/>
    <cellStyle name="Accent2" xfId="509"/>
    <cellStyle name="Accent3" xfId="510"/>
    <cellStyle name="Accent4" xfId="511"/>
    <cellStyle name="Accent5" xfId="512"/>
    <cellStyle name="Accent6" xfId="513"/>
    <cellStyle name="Bad" xfId="514"/>
    <cellStyle name="Calc Currency (0)" xfId="515"/>
    <cellStyle name="Calc Currency (2)" xfId="516"/>
    <cellStyle name="Calc Percent (0)" xfId="517"/>
    <cellStyle name="Calc Percent (1)" xfId="518"/>
    <cellStyle name="Calc Percent (2)" xfId="519"/>
    <cellStyle name="Calc Units (0)" xfId="520"/>
    <cellStyle name="Calc Units (1)" xfId="521"/>
    <cellStyle name="Calc Units (2)" xfId="522"/>
    <cellStyle name="Calculation" xfId="523"/>
    <cellStyle name="Cell5" xfId="524"/>
    <cellStyle name="Check Cell" xfId="525"/>
    <cellStyle name="Comma [0]_#6 Temps &amp; Contractors" xfId="526"/>
    <cellStyle name="Comma [00]" xfId="527"/>
    <cellStyle name="Comma_#6 Temps &amp; Contractors" xfId="528"/>
    <cellStyle name="Currency [0]_#6 Temps &amp; Contractors" xfId="529"/>
    <cellStyle name="Currency [00]" xfId="530"/>
    <cellStyle name="Currency_#6 Temps &amp; Contractors" xfId="531"/>
    <cellStyle name="Date Short" xfId="532"/>
    <cellStyle name="DELTA" xfId="533"/>
    <cellStyle name="deutsch" xfId="534"/>
    <cellStyle name="Enter Currency (0)" xfId="535"/>
    <cellStyle name="Enter Currency (2)" xfId="536"/>
    <cellStyle name="Enter Units (0)" xfId="537"/>
    <cellStyle name="Enter Units (1)" xfId="538"/>
    <cellStyle name="Enter Units (2)" xfId="539"/>
    <cellStyle name="Euro" xfId="540"/>
    <cellStyle name="Excel Built-in Normal" xfId="541"/>
    <cellStyle name="Excel Built-in Normal 2" xfId="542"/>
    <cellStyle name="Explanatory Text" xfId="543"/>
    <cellStyle name="Flag" xfId="544"/>
    <cellStyle name="Good" xfId="545"/>
    <cellStyle name="Header1" xfId="546"/>
    <cellStyle name="Header2" xfId="547"/>
    <cellStyle name="Heading 1" xfId="548"/>
    <cellStyle name="Heading 2" xfId="549"/>
    <cellStyle name="Heading 3" xfId="550"/>
    <cellStyle name="Heading 4" xfId="551"/>
    <cellStyle name="Heading1" xfId="552"/>
    <cellStyle name="Heading2" xfId="553"/>
    <cellStyle name="Heading3" xfId="554"/>
    <cellStyle name="Heading4" xfId="555"/>
    <cellStyle name="Heading5" xfId="556"/>
    <cellStyle name="Heading6" xfId="557"/>
    <cellStyle name="Horizontal" xfId="558"/>
    <cellStyle name="Hyperlink" xfId="559"/>
    <cellStyle name="Hyperlink 2" xfId="56"/>
    <cellStyle name="Iau?iue_23_1 " xfId="560"/>
    <cellStyle name="Input" xfId="561"/>
    <cellStyle name="Link Currency (0)" xfId="562"/>
    <cellStyle name="Link Currency (2)" xfId="563"/>
    <cellStyle name="Link Units (0)" xfId="564"/>
    <cellStyle name="Link Units (1)" xfId="565"/>
    <cellStyle name="Link Units (2)" xfId="566"/>
    <cellStyle name="Linked Cell" xfId="567"/>
    <cellStyle name="Matrix" xfId="568"/>
    <cellStyle name="Name2" xfId="569"/>
    <cellStyle name="Name4" xfId="570"/>
    <cellStyle name="Name5" xfId="571"/>
    <cellStyle name="Neutral" xfId="572"/>
    <cellStyle name="Normal" xfId="573"/>
    <cellStyle name="Normal 2" xfId="57"/>
    <cellStyle name="Normal 3" xfId="58"/>
    <cellStyle name="Normal 3 2" xfId="714"/>
    <cellStyle name="Normal 4" xfId="59"/>
    <cellStyle name="Normal 5" xfId="60"/>
    <cellStyle name="Normal_# 41-Market &amp;Trends" xfId="574"/>
    <cellStyle name="normбlnм_laroux" xfId="575"/>
    <cellStyle name="Note" xfId="576"/>
    <cellStyle name="Oeiainiaue [0]_laroux" xfId="577"/>
    <cellStyle name="Oeiainiaue_laroux" xfId="578"/>
    <cellStyle name="Option" xfId="579"/>
    <cellStyle name="OptionHeading" xfId="580"/>
    <cellStyle name="Output" xfId="581"/>
    <cellStyle name="Percent [0]" xfId="582"/>
    <cellStyle name="Percent [00]" xfId="583"/>
    <cellStyle name="Percent_#6 Temps &amp; Contractors" xfId="584"/>
    <cellStyle name="PrePop Currency (0)" xfId="585"/>
    <cellStyle name="PrePop Currency (2)" xfId="586"/>
    <cellStyle name="PrePop Units (0)" xfId="587"/>
    <cellStyle name="PrePop Units (1)" xfId="588"/>
    <cellStyle name="PrePop Units (2)" xfId="589"/>
    <cellStyle name="Price" xfId="590"/>
    <cellStyle name="S13" xfId="591"/>
    <cellStyle name="S14" xfId="592"/>
    <cellStyle name="S4" xfId="593"/>
    <cellStyle name="Standard_crs++_debtDR_VOR" xfId="61"/>
    <cellStyle name="Text Indent A" xfId="594"/>
    <cellStyle name="Text Indent B" xfId="595"/>
    <cellStyle name="Text Indent C" xfId="596"/>
    <cellStyle name="Title" xfId="597"/>
    <cellStyle name="Total" xfId="598"/>
    <cellStyle name="Unit" xfId="599"/>
    <cellStyle name="Vertical" xfId="600"/>
    <cellStyle name="Warning Text" xfId="601"/>
    <cellStyle name="Виталий" xfId="602"/>
    <cellStyle name="Гиперссылка" xfId="55" builtinId="8"/>
    <cellStyle name="Гиперссылка 2" xfId="62"/>
    <cellStyle name="Денежный [0] 2" xfId="603"/>
    <cellStyle name="Денежный 2" xfId="40"/>
    <cellStyle name="Обычный" xfId="0" builtinId="0"/>
    <cellStyle name="Обычный 10" xfId="2"/>
    <cellStyle name="Обычный 10 2" xfId="14"/>
    <cellStyle name="Обычный 10 3" xfId="604"/>
    <cellStyle name="Обычный 11" xfId="3"/>
    <cellStyle name="Обычный 110" xfId="18"/>
    <cellStyle name="Обычный 12" xfId="4"/>
    <cellStyle name="Обычный 12 2" xfId="605"/>
    <cellStyle name="Обычный 12 3" xfId="606"/>
    <cellStyle name="Обычный 13" xfId="5"/>
    <cellStyle name="Обычный 14" xfId="19"/>
    <cellStyle name="Обычный 15" xfId="20"/>
    <cellStyle name="Обычный 16" xfId="21"/>
    <cellStyle name="Обычный 17" xfId="22"/>
    <cellStyle name="Обычный 18" xfId="23"/>
    <cellStyle name="Обычный 19" xfId="24"/>
    <cellStyle name="Обычный 2" xfId="1"/>
    <cellStyle name="Обычный 2 2" xfId="6"/>
    <cellStyle name="Обычный 2 2 2" xfId="63"/>
    <cellStyle name="Обычный 2 2 2 2" xfId="607"/>
    <cellStyle name="Обычный 2 2 3" xfId="608"/>
    <cellStyle name="Обычный 2 3" xfId="16"/>
    <cellStyle name="Обычный 2 3 2" xfId="609"/>
    <cellStyle name="Обычный 2 4" xfId="25"/>
    <cellStyle name="Обычный 2 5" xfId="53"/>
    <cellStyle name="Обычный 2 6" xfId="610"/>
    <cellStyle name="Обычный 2_010 по напавлениям" xfId="611"/>
    <cellStyle name="Обычный 20" xfId="26"/>
    <cellStyle name="Обычный 21" xfId="27"/>
    <cellStyle name="Обычный 22" xfId="28"/>
    <cellStyle name="Обычный 23" xfId="29"/>
    <cellStyle name="Обычный 24" xfId="17"/>
    <cellStyle name="Обычный 25" xfId="64"/>
    <cellStyle name="Обычный 256" xfId="30"/>
    <cellStyle name="Обычный 26" xfId="65"/>
    <cellStyle name="Обычный 27" xfId="612"/>
    <cellStyle name="Обычный 28" xfId="613"/>
    <cellStyle name="Обычный 29" xfId="614"/>
    <cellStyle name="Обычный 3" xfId="7"/>
    <cellStyle name="Обычный 3 2" xfId="15"/>
    <cellStyle name="Обычный 3 2 2" xfId="615"/>
    <cellStyle name="Обычный 3 3" xfId="616"/>
    <cellStyle name="Обычный 30" xfId="617"/>
    <cellStyle name="Обычный 31" xfId="618"/>
    <cellStyle name="Обычный 32" xfId="619"/>
    <cellStyle name="Обычный 33" xfId="620"/>
    <cellStyle name="Обычный 34" xfId="621"/>
    <cellStyle name="Обычный 34 2" xfId="622"/>
    <cellStyle name="Обычный 35" xfId="623"/>
    <cellStyle name="Обычный 35 2" xfId="624"/>
    <cellStyle name="Обычный 36" xfId="625"/>
    <cellStyle name="Обычный 37" xfId="626"/>
    <cellStyle name="Обычный 38" xfId="627"/>
    <cellStyle name="Обычный 4" xfId="8"/>
    <cellStyle name="Обычный 4 2" xfId="31"/>
    <cellStyle name="Обычный 4 3" xfId="32"/>
    <cellStyle name="Обычный 4 4" xfId="711"/>
    <cellStyle name="Обычный 5" xfId="9"/>
    <cellStyle name="Обычный 5 2" xfId="52"/>
    <cellStyle name="Обычный 6" xfId="10"/>
    <cellStyle name="Обычный 6 2" xfId="713"/>
    <cellStyle name="Обычный 7" xfId="11"/>
    <cellStyle name="Обычный 8" xfId="12"/>
    <cellStyle name="Обычный 9" xfId="13"/>
    <cellStyle name="Обычный 9 2" xfId="51"/>
    <cellStyle name="Обычный_Xl0000316" xfId="47"/>
    <cellStyle name="Обычный_Исполнение за февраль (прогноз)" xfId="48"/>
    <cellStyle name="Обычный_Лист1" xfId="44"/>
    <cellStyle name="Обычный_Лист1 2" xfId="50"/>
    <cellStyle name="Обычный_Лист1_исполн в КОМУ_март" xfId="46"/>
    <cellStyle name="Обычный_отклонение" xfId="45"/>
    <cellStyle name="Обычный_Прилож. к форме №2" xfId="43"/>
    <cellStyle name="Примечание 2" xfId="628"/>
    <cellStyle name="Примечание 3" xfId="629"/>
    <cellStyle name="Примечание 4" xfId="630"/>
    <cellStyle name="Процентный" xfId="54" builtinId="5"/>
    <cellStyle name="Процентный 2" xfId="33"/>
    <cellStyle name="Процентный 2 2" xfId="631"/>
    <cellStyle name="Процентный 3" xfId="41"/>
    <cellStyle name="Стиль 1" xfId="34"/>
    <cellStyle name="Стиль 1 2" xfId="35"/>
    <cellStyle name="Стиль 1 21" xfId="632"/>
    <cellStyle name="Тысячи [0]_96111" xfId="633"/>
    <cellStyle name="Тысячи_96111" xfId="634"/>
    <cellStyle name="Үђғһ‹һ‚һљ1" xfId="635"/>
    <cellStyle name="Үђғһ‹һ‚һљ1 10" xfId="636"/>
    <cellStyle name="Үђғһ‹һ‚һљ1 11" xfId="637"/>
    <cellStyle name="Үђғһ‹һ‚һљ1 12" xfId="638"/>
    <cellStyle name="Үђғһ‹һ‚һљ1 13" xfId="639"/>
    <cellStyle name="Үђғһ‹һ‚һљ1 14" xfId="640"/>
    <cellStyle name="Үђғһ‹һ‚һљ1 15" xfId="641"/>
    <cellStyle name="Үђғһ‹һ‚һљ1 2" xfId="642"/>
    <cellStyle name="Үђғһ‹һ‚һљ1 3" xfId="643"/>
    <cellStyle name="Үђғһ‹һ‚һљ1 4" xfId="644"/>
    <cellStyle name="Үђғһ‹һ‚һљ1 5" xfId="645"/>
    <cellStyle name="Үђғһ‹һ‚һљ1 6" xfId="646"/>
    <cellStyle name="Үђғһ‹һ‚һљ1 7" xfId="647"/>
    <cellStyle name="Үђғһ‹һ‚һљ1 8" xfId="648"/>
    <cellStyle name="Үђғһ‹һ‚һљ1 9" xfId="649"/>
    <cellStyle name="Үђғһ‹һ‚һљ2" xfId="650"/>
    <cellStyle name="Үђғһ‹һ‚һљ2 10" xfId="651"/>
    <cellStyle name="Үђғһ‹һ‚һљ2 11" xfId="652"/>
    <cellStyle name="Үђғһ‹һ‚һљ2 12" xfId="653"/>
    <cellStyle name="Үђғһ‹һ‚һљ2 13" xfId="654"/>
    <cellStyle name="Үђғһ‹һ‚һљ2 14" xfId="655"/>
    <cellStyle name="Үђғһ‹һ‚һљ2 15" xfId="656"/>
    <cellStyle name="Үђғһ‹һ‚һљ2 2" xfId="657"/>
    <cellStyle name="Үђғһ‹һ‚һљ2 3" xfId="658"/>
    <cellStyle name="Үђғһ‹һ‚һљ2 4" xfId="659"/>
    <cellStyle name="Үђғһ‹һ‚һљ2 5" xfId="660"/>
    <cellStyle name="Үђғһ‹һ‚һљ2 6" xfId="661"/>
    <cellStyle name="Үђғһ‹һ‚һљ2 7" xfId="662"/>
    <cellStyle name="Үђғһ‹һ‚һљ2 8" xfId="663"/>
    <cellStyle name="Үђғһ‹һ‚һљ2 9" xfId="664"/>
    <cellStyle name="Финансовый" xfId="39" builtinId="3"/>
    <cellStyle name="Финансовый 10" xfId="665"/>
    <cellStyle name="Финансовый 2" xfId="36"/>
    <cellStyle name="Финансовый 2 2" xfId="666"/>
    <cellStyle name="Финансовый 2 3" xfId="667"/>
    <cellStyle name="Финансовый 2 4" xfId="668"/>
    <cellStyle name="Финансовый 2 5" xfId="669"/>
    <cellStyle name="Финансовый 2 6" xfId="712"/>
    <cellStyle name="Финансовый 3" xfId="37"/>
    <cellStyle name="Финансовый 3 2" xfId="670"/>
    <cellStyle name="Финансовый 3 2 2" xfId="671"/>
    <cellStyle name="Финансовый 3 3" xfId="672"/>
    <cellStyle name="Финансовый 3 4" xfId="673"/>
    <cellStyle name="Финансовый 3 5" xfId="674"/>
    <cellStyle name="Финансовый 3 6" xfId="675"/>
    <cellStyle name="Финансовый 4" xfId="38"/>
    <cellStyle name="Финансовый 4 2" xfId="49"/>
    <cellStyle name="Финансовый 5" xfId="42"/>
    <cellStyle name="Финансовый 5 2" xfId="676"/>
    <cellStyle name="Финансовый 5 2 2" xfId="677"/>
    <cellStyle name="Финансовый 5 2 3" xfId="678"/>
    <cellStyle name="Финансовый 5 2 4" xfId="679"/>
    <cellStyle name="Финансовый 6" xfId="66"/>
    <cellStyle name="Финансовый 6 2" xfId="680"/>
    <cellStyle name="Финансовый 7" xfId="67"/>
    <cellStyle name="Џђһ–…қ’қ›ү" xfId="696"/>
    <cellStyle name="Џђһ–…қ’қ›ү 10" xfId="697"/>
    <cellStyle name="Џђһ–…қ’қ›ү 11" xfId="698"/>
    <cellStyle name="Џђһ–…қ’қ›ү 12" xfId="699"/>
    <cellStyle name="Џђһ–…қ’қ›ү 13" xfId="700"/>
    <cellStyle name="Џђһ–…қ’қ›ү 14" xfId="701"/>
    <cellStyle name="Џђһ–…қ’қ›ү 15" xfId="702"/>
    <cellStyle name="Џђһ–…қ’қ›ү 2" xfId="703"/>
    <cellStyle name="Џђһ–…қ’қ›ү 3" xfId="704"/>
    <cellStyle name="Џђһ–…қ’қ›ү 4" xfId="705"/>
    <cellStyle name="Џђһ–…қ’қ›ү 5" xfId="706"/>
    <cellStyle name="Џђһ–…қ’қ›ү 6" xfId="707"/>
    <cellStyle name="Џђһ–…қ’қ›ү 7" xfId="708"/>
    <cellStyle name="Џђһ–…қ’қ›ү 8" xfId="709"/>
    <cellStyle name="Џђһ–…қ’қ›ү 9" xfId="710"/>
    <cellStyle name="Џђћ–…ќ’ќ›‰" xfId="681"/>
    <cellStyle name="Џђћ–…ќ’ќ›‰ 10" xfId="682"/>
    <cellStyle name="Џђћ–…ќ’ќ›‰ 11" xfId="683"/>
    <cellStyle name="Џђћ–…ќ’ќ›‰ 12" xfId="684"/>
    <cellStyle name="Џђћ–…ќ’ќ›‰ 13" xfId="685"/>
    <cellStyle name="Џђћ–…ќ’ќ›‰ 14" xfId="686"/>
    <cellStyle name="Џђћ–…ќ’ќ›‰ 15" xfId="687"/>
    <cellStyle name="Џђћ–…ќ’ќ›‰ 2" xfId="688"/>
    <cellStyle name="Џђћ–…ќ’ќ›‰ 3" xfId="689"/>
    <cellStyle name="Џђћ–…ќ’ќ›‰ 4" xfId="690"/>
    <cellStyle name="Џђћ–…ќ’ќ›‰ 5" xfId="691"/>
    <cellStyle name="Џђћ–…ќ’ќ›‰ 6" xfId="692"/>
    <cellStyle name="Џђћ–…ќ’ќ›‰ 7" xfId="693"/>
    <cellStyle name="Џђћ–…ќ’ќ›‰ 8" xfId="694"/>
    <cellStyle name="Џђћ–…ќ’ќ›‰ 9" xfId="695"/>
  </cellStyles>
  <dxfs count="14">
    <dxf>
      <numFmt numFmtId="172" formatCode="_-* #,##0_р_._-;\-* #,##0_р_._-;_-* &quot;-&quot;??_р_._-;_-@_-"/>
    </dxf>
    <dxf>
      <numFmt numFmtId="172" formatCode="_-* #,##0_р_._-;\-* #,##0_р_._-;_-* &quot;-&quot;??_р_._-;_-@_-"/>
    </dxf>
    <dxf>
      <numFmt numFmtId="172" formatCode="_-* #,##0_р_._-;\-* #,##0_р_._-;_-* &quot;-&quot;??_р_._-;_-@_-"/>
    </dxf>
    <dxf>
      <numFmt numFmtId="172" formatCode="_-* #,##0_р_._-;\-* #,##0_р_._-;_-* &quot;-&quot;??_р_._-;_-@_-"/>
    </dxf>
    <dxf>
      <numFmt numFmtId="172" formatCode="_-* #,##0_р_._-;\-* #,##0_р_._-;_-* &quot;-&quot;??_р_._-;_-@_-"/>
    </dxf>
    <dxf>
      <numFmt numFmtId="172" formatCode="_-* #,##0_р_._-;\-* #,##0_р_._-;_-* &quot;-&quot;??_р_._-;_-@_-"/>
    </dxf>
    <dxf>
      <numFmt numFmtId="172" formatCode="_-* #,##0_р_._-;\-* #,##0_р_._-;_-* &quot;-&quot;??_р_._-;_-@_-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pivotCacheDefinition" Target="pivotCache/pivotCacheDefinition2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2</xdr:col>
      <xdr:colOff>31750</xdr:colOff>
      <xdr:row>3</xdr:row>
      <xdr:rowOff>0</xdr:rowOff>
    </xdr:to>
    <xdr:cxnSp macro="">
      <xdr:nvCxnSpPr>
        <xdr:cNvPr id="2" name="Прямая соединительная линия 1"/>
        <xdr:cNvCxnSpPr/>
      </xdr:nvCxnSpPr>
      <xdr:spPr>
        <a:xfrm>
          <a:off x="38100" y="38100"/>
          <a:ext cx="7756525" cy="28670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3550285</xdr:colOff>
      <xdr:row>1</xdr:row>
      <xdr:rowOff>128905</xdr:rowOff>
    </xdr:from>
    <xdr:to>
      <xdr:col>1</xdr:col>
      <xdr:colOff>5252310</xdr:colOff>
      <xdr:row>2</xdr:row>
      <xdr:rowOff>52794</xdr:rowOff>
    </xdr:to>
    <xdr:sp macro="" textlink="">
      <xdr:nvSpPr>
        <xdr:cNvPr id="3" name="Прямоугольник 2"/>
        <xdr:cNvSpPr/>
      </xdr:nvSpPr>
      <xdr:spPr>
        <a:xfrm>
          <a:off x="4931410" y="367030"/>
          <a:ext cx="1702025" cy="19058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200">
              <a:solidFill>
                <a:sysClr val="windowText" lastClr="000000"/>
              </a:solidFill>
            </a:rPr>
            <a:t>Доходы</a:t>
          </a:r>
          <a:r>
            <a:rPr lang="ru-RU" sz="1200" baseline="0">
              <a:solidFill>
                <a:sysClr val="windowText" lastClr="000000"/>
              </a:solidFill>
            </a:rPr>
            <a:t> схем финансирования</a:t>
          </a:r>
          <a:endParaRPr lang="tr-TR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1</xdr:row>
      <xdr:rowOff>96520</xdr:rowOff>
    </xdr:from>
    <xdr:to>
      <xdr:col>1</xdr:col>
      <xdr:colOff>436024</xdr:colOff>
      <xdr:row>2</xdr:row>
      <xdr:rowOff>357188</xdr:rowOff>
    </xdr:to>
    <xdr:sp macro="" textlink="">
      <xdr:nvSpPr>
        <xdr:cNvPr id="4" name="Прямоугольник 3"/>
        <xdr:cNvSpPr/>
      </xdr:nvSpPr>
      <xdr:spPr>
        <a:xfrm>
          <a:off x="0" y="239395"/>
          <a:ext cx="1134524" cy="40354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500" baseline="0">
              <a:solidFill>
                <a:sysClr val="windowText" lastClr="000000"/>
              </a:solidFill>
            </a:rPr>
            <a:t>Схемы финансирования</a:t>
          </a:r>
          <a:endParaRPr lang="tr-TR" sz="5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206374</xdr:colOff>
      <xdr:row>1</xdr:row>
      <xdr:rowOff>952499</xdr:rowOff>
    </xdr:from>
    <xdr:to>
      <xdr:col>1</xdr:col>
      <xdr:colOff>1254125</xdr:colOff>
      <xdr:row>1</xdr:row>
      <xdr:rowOff>1539874</xdr:rowOff>
    </xdr:to>
    <xdr:sp macro="" textlink="">
      <xdr:nvSpPr>
        <xdr:cNvPr id="2" name="TextBox 1"/>
        <xdr:cNvSpPr txBox="1"/>
      </xdr:nvSpPr>
      <xdr:spPr>
        <a:xfrm>
          <a:off x="206374" y="1142999"/>
          <a:ext cx="1657351" cy="587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/>
          <a:r>
            <a:rPr lang="ru-RU" sz="1400">
              <a:solidFill>
                <a:schemeClr val="dk1"/>
              </a:solidFill>
              <a:latin typeface="+mj-lt"/>
              <a:ea typeface="+mn-ea"/>
              <a:cs typeface="Aharoni" pitchFamily="2" charset="-79"/>
            </a:rPr>
            <a:t>Функции здравоохранения</a:t>
          </a:r>
        </a:p>
      </xdr:txBody>
    </xdr:sp>
    <xdr:clientData/>
  </xdr:twoCellAnchor>
  <xdr:twoCellAnchor>
    <xdr:from>
      <xdr:col>0</xdr:col>
      <xdr:colOff>31750</xdr:colOff>
      <xdr:row>0</xdr:row>
      <xdr:rowOff>0</xdr:rowOff>
    </xdr:from>
    <xdr:to>
      <xdr:col>2</xdr:col>
      <xdr:colOff>0</xdr:colOff>
      <xdr:row>1</xdr:row>
      <xdr:rowOff>1984375</xdr:rowOff>
    </xdr:to>
    <xdr:cxnSp macro="">
      <xdr:nvCxnSpPr>
        <xdr:cNvPr id="3" name="Прямая соединительная линия 2"/>
        <xdr:cNvCxnSpPr/>
      </xdr:nvCxnSpPr>
      <xdr:spPr>
        <a:xfrm>
          <a:off x="31750" y="0"/>
          <a:ext cx="2806700" cy="2174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523875</xdr:colOff>
      <xdr:row>1</xdr:row>
      <xdr:rowOff>269875</xdr:rowOff>
    </xdr:from>
    <xdr:to>
      <xdr:col>1</xdr:col>
      <xdr:colOff>1920875</xdr:colOff>
      <xdr:row>1</xdr:row>
      <xdr:rowOff>682625</xdr:rowOff>
    </xdr:to>
    <xdr:sp macro="" textlink="">
      <xdr:nvSpPr>
        <xdr:cNvPr id="4" name="TextBox 3"/>
        <xdr:cNvSpPr txBox="1"/>
      </xdr:nvSpPr>
      <xdr:spPr>
        <a:xfrm>
          <a:off x="1133475" y="460375"/>
          <a:ext cx="1397000" cy="412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400">
              <a:latin typeface="+mj-lt"/>
              <a:cs typeface="Aharoni" pitchFamily="2" charset="-79"/>
            </a:rPr>
            <a:t>Поставщики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206374</xdr:colOff>
      <xdr:row>1</xdr:row>
      <xdr:rowOff>952499</xdr:rowOff>
    </xdr:from>
    <xdr:to>
      <xdr:col>1</xdr:col>
      <xdr:colOff>1254125</xdr:colOff>
      <xdr:row>1</xdr:row>
      <xdr:rowOff>1539874</xdr:rowOff>
    </xdr:to>
    <xdr:sp macro="" textlink="">
      <xdr:nvSpPr>
        <xdr:cNvPr id="2" name="TextBox 1"/>
        <xdr:cNvSpPr txBox="1"/>
      </xdr:nvSpPr>
      <xdr:spPr>
        <a:xfrm>
          <a:off x="206374" y="1142999"/>
          <a:ext cx="1657351" cy="587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/>
          <a:r>
            <a:rPr lang="ru-RU" sz="1400">
              <a:solidFill>
                <a:schemeClr val="dk1"/>
              </a:solidFill>
              <a:latin typeface="+mj-lt"/>
              <a:ea typeface="+mn-ea"/>
              <a:cs typeface="Aharoni" pitchFamily="2" charset="-79"/>
            </a:rPr>
            <a:t>Функции здравоохранения</a:t>
          </a:r>
        </a:p>
      </xdr:txBody>
    </xdr:sp>
    <xdr:clientData/>
  </xdr:twoCellAnchor>
  <xdr:twoCellAnchor>
    <xdr:from>
      <xdr:col>0</xdr:col>
      <xdr:colOff>31750</xdr:colOff>
      <xdr:row>0</xdr:row>
      <xdr:rowOff>0</xdr:rowOff>
    </xdr:from>
    <xdr:to>
      <xdr:col>2</xdr:col>
      <xdr:colOff>0</xdr:colOff>
      <xdr:row>1</xdr:row>
      <xdr:rowOff>1984375</xdr:rowOff>
    </xdr:to>
    <xdr:cxnSp macro="">
      <xdr:nvCxnSpPr>
        <xdr:cNvPr id="3" name="Прямая соединительная линия 2"/>
        <xdr:cNvCxnSpPr/>
      </xdr:nvCxnSpPr>
      <xdr:spPr>
        <a:xfrm>
          <a:off x="31750" y="0"/>
          <a:ext cx="2808432" cy="2174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523875</xdr:colOff>
      <xdr:row>1</xdr:row>
      <xdr:rowOff>269875</xdr:rowOff>
    </xdr:from>
    <xdr:to>
      <xdr:col>1</xdr:col>
      <xdr:colOff>1920875</xdr:colOff>
      <xdr:row>1</xdr:row>
      <xdr:rowOff>682625</xdr:rowOff>
    </xdr:to>
    <xdr:sp macro="" textlink="">
      <xdr:nvSpPr>
        <xdr:cNvPr id="4" name="TextBox 3"/>
        <xdr:cNvSpPr txBox="1"/>
      </xdr:nvSpPr>
      <xdr:spPr>
        <a:xfrm>
          <a:off x="1133475" y="460375"/>
          <a:ext cx="1397000" cy="412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400">
              <a:latin typeface="+mj-lt"/>
              <a:cs typeface="Aharoni" pitchFamily="2" charset="-79"/>
            </a:rPr>
            <a:t>Поставщики 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206374</xdr:colOff>
      <xdr:row>1</xdr:row>
      <xdr:rowOff>952499</xdr:rowOff>
    </xdr:from>
    <xdr:to>
      <xdr:col>1</xdr:col>
      <xdr:colOff>1254125</xdr:colOff>
      <xdr:row>1</xdr:row>
      <xdr:rowOff>1539874</xdr:rowOff>
    </xdr:to>
    <xdr:sp macro="" textlink="">
      <xdr:nvSpPr>
        <xdr:cNvPr id="20" name="TextBox 19"/>
        <xdr:cNvSpPr txBox="1"/>
      </xdr:nvSpPr>
      <xdr:spPr>
        <a:xfrm>
          <a:off x="206374" y="1142999"/>
          <a:ext cx="1657351" cy="587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/>
          <a:r>
            <a:rPr lang="ru-RU" sz="1400">
              <a:solidFill>
                <a:schemeClr val="dk1"/>
              </a:solidFill>
              <a:latin typeface="+mj-lt"/>
              <a:ea typeface="+mn-ea"/>
              <a:cs typeface="Aharoni" pitchFamily="2" charset="-79"/>
            </a:rPr>
            <a:t>Функции здравоохранения</a:t>
          </a:r>
        </a:p>
      </xdr:txBody>
    </xdr:sp>
    <xdr:clientData/>
  </xdr:twoCellAnchor>
  <xdr:twoCellAnchor>
    <xdr:from>
      <xdr:col>1</xdr:col>
      <xdr:colOff>523875</xdr:colOff>
      <xdr:row>1</xdr:row>
      <xdr:rowOff>269875</xdr:rowOff>
    </xdr:from>
    <xdr:to>
      <xdr:col>1</xdr:col>
      <xdr:colOff>1920875</xdr:colOff>
      <xdr:row>1</xdr:row>
      <xdr:rowOff>682625</xdr:rowOff>
    </xdr:to>
    <xdr:sp macro="" textlink="">
      <xdr:nvSpPr>
        <xdr:cNvPr id="22" name="TextBox 21"/>
        <xdr:cNvSpPr txBox="1"/>
      </xdr:nvSpPr>
      <xdr:spPr>
        <a:xfrm>
          <a:off x="1133475" y="460375"/>
          <a:ext cx="1397000" cy="412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400">
              <a:latin typeface="+mj-lt"/>
              <a:cs typeface="Aharoni" pitchFamily="2" charset="-79"/>
            </a:rPr>
            <a:t>Поставщики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63500</xdr:rowOff>
    </xdr:from>
    <xdr:to>
      <xdr:col>1</xdr:col>
      <xdr:colOff>3746500</xdr:colOff>
      <xdr:row>2</xdr:row>
      <xdr:rowOff>1111250</xdr:rowOff>
    </xdr:to>
    <xdr:cxnSp macro="">
      <xdr:nvCxnSpPr>
        <xdr:cNvPr id="2" name="Прямая соединительная линия 1"/>
        <xdr:cNvCxnSpPr/>
      </xdr:nvCxnSpPr>
      <xdr:spPr>
        <a:xfrm>
          <a:off x="31750" y="63500"/>
          <a:ext cx="4791075" cy="18573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158750</xdr:colOff>
      <xdr:row>2</xdr:row>
      <xdr:rowOff>365125</xdr:rowOff>
    </xdr:from>
    <xdr:to>
      <xdr:col>1</xdr:col>
      <xdr:colOff>1936750</xdr:colOff>
      <xdr:row>2</xdr:row>
      <xdr:rowOff>682625</xdr:rowOff>
    </xdr:to>
    <xdr:sp macro="" textlink="">
      <xdr:nvSpPr>
        <xdr:cNvPr id="3" name="TextBox 2"/>
        <xdr:cNvSpPr txBox="1"/>
      </xdr:nvSpPr>
      <xdr:spPr>
        <a:xfrm>
          <a:off x="158750" y="1317625"/>
          <a:ext cx="2854325" cy="317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/>
          <a:r>
            <a:rPr lang="ru-RU" sz="1400">
              <a:solidFill>
                <a:schemeClr val="dk1"/>
              </a:solidFill>
              <a:latin typeface="+mj-lt"/>
              <a:ea typeface="+mn-ea"/>
              <a:cs typeface="Aharoni" pitchFamily="2" charset="-79"/>
            </a:rPr>
            <a:t>Финансирующие организации</a:t>
          </a:r>
        </a:p>
      </xdr:txBody>
    </xdr:sp>
    <xdr:clientData/>
  </xdr:twoCellAnchor>
  <xdr:twoCellAnchor>
    <xdr:from>
      <xdr:col>1</xdr:col>
      <xdr:colOff>682625</xdr:colOff>
      <xdr:row>0</xdr:row>
      <xdr:rowOff>301625</xdr:rowOff>
    </xdr:from>
    <xdr:to>
      <xdr:col>1</xdr:col>
      <xdr:colOff>3540125</xdr:colOff>
      <xdr:row>1</xdr:row>
      <xdr:rowOff>142875</xdr:rowOff>
    </xdr:to>
    <xdr:sp macro="" textlink="">
      <xdr:nvSpPr>
        <xdr:cNvPr id="4" name="TextBox 3"/>
        <xdr:cNvSpPr txBox="1"/>
      </xdr:nvSpPr>
      <xdr:spPr>
        <a:xfrm>
          <a:off x="1758950" y="301625"/>
          <a:ext cx="2857500" cy="317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400">
              <a:latin typeface="+mj-lt"/>
              <a:cs typeface="Aharoni" pitchFamily="2" charset="-79"/>
            </a:rPr>
            <a:t>Источники финансирования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49530</xdr:rowOff>
    </xdr:from>
    <xdr:to>
      <xdr:col>1</xdr:col>
      <xdr:colOff>6295876</xdr:colOff>
      <xdr:row>3</xdr:row>
      <xdr:rowOff>7650</xdr:rowOff>
    </xdr:to>
    <xdr:cxnSp macro="">
      <xdr:nvCxnSpPr>
        <xdr:cNvPr id="2" name="Прямая соединительная линия 1"/>
        <xdr:cNvCxnSpPr/>
      </xdr:nvCxnSpPr>
      <xdr:spPr>
        <a:xfrm>
          <a:off x="38100" y="49530"/>
          <a:ext cx="7638901" cy="287277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3703320</xdr:colOff>
      <xdr:row>0</xdr:row>
      <xdr:rowOff>582930</xdr:rowOff>
    </xdr:from>
    <xdr:to>
      <xdr:col>1</xdr:col>
      <xdr:colOff>5671091</xdr:colOff>
      <xdr:row>1</xdr:row>
      <xdr:rowOff>202228</xdr:rowOff>
    </xdr:to>
    <xdr:sp macro="" textlink="">
      <xdr:nvSpPr>
        <xdr:cNvPr id="3" name="Прямоугольник 2"/>
        <xdr:cNvSpPr/>
      </xdr:nvSpPr>
      <xdr:spPr>
        <a:xfrm>
          <a:off x="5084445" y="240030"/>
          <a:ext cx="1967771" cy="20032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200" baseline="0">
              <a:solidFill>
                <a:sysClr val="windowText" lastClr="000000"/>
              </a:solidFill>
            </a:rPr>
            <a:t>Схемы финансирования</a:t>
          </a:r>
          <a:endParaRPr lang="tr-TR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438150</xdr:colOff>
      <xdr:row>2</xdr:row>
      <xdr:rowOff>1638300</xdr:rowOff>
    </xdr:from>
    <xdr:to>
      <xdr:col>1</xdr:col>
      <xdr:colOff>432503</xdr:colOff>
      <xdr:row>2</xdr:row>
      <xdr:rowOff>2015744</xdr:rowOff>
    </xdr:to>
    <xdr:sp macro="" textlink="">
      <xdr:nvSpPr>
        <xdr:cNvPr id="4" name="Прямоугольник 3"/>
        <xdr:cNvSpPr/>
      </xdr:nvSpPr>
      <xdr:spPr>
        <a:xfrm>
          <a:off x="438150" y="2152650"/>
          <a:ext cx="1375478" cy="37744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200" baseline="0">
              <a:solidFill>
                <a:sysClr val="windowText" lastClr="000000"/>
              </a:solidFill>
            </a:rPr>
            <a:t>Поставщики</a:t>
          </a:r>
          <a:endParaRPr lang="tr-TR" sz="12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0</xdr:rowOff>
    </xdr:from>
    <xdr:to>
      <xdr:col>2</xdr:col>
      <xdr:colOff>13607</xdr:colOff>
      <xdr:row>1</xdr:row>
      <xdr:rowOff>2258786</xdr:rowOff>
    </xdr:to>
    <xdr:cxnSp macro="">
      <xdr:nvCxnSpPr>
        <xdr:cNvPr id="2" name="Прямая соединительная линия 1"/>
        <xdr:cNvCxnSpPr/>
      </xdr:nvCxnSpPr>
      <xdr:spPr>
        <a:xfrm>
          <a:off x="31750" y="63500"/>
          <a:ext cx="3248932" cy="253818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308428</xdr:colOff>
      <xdr:row>0</xdr:row>
      <xdr:rowOff>217713</xdr:rowOff>
    </xdr:from>
    <xdr:to>
      <xdr:col>1</xdr:col>
      <xdr:colOff>2041071</xdr:colOff>
      <xdr:row>1</xdr:row>
      <xdr:rowOff>451303</xdr:rowOff>
    </xdr:to>
    <xdr:sp macro="" textlink="">
      <xdr:nvSpPr>
        <xdr:cNvPr id="3" name="TextBox 2"/>
        <xdr:cNvSpPr txBox="1"/>
      </xdr:nvSpPr>
      <xdr:spPr>
        <a:xfrm>
          <a:off x="1245053" y="217713"/>
          <a:ext cx="1732643" cy="4875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/>
          <a:r>
            <a:rPr lang="ru-RU" sz="1400">
              <a:solidFill>
                <a:schemeClr val="dk1"/>
              </a:solidFill>
              <a:latin typeface="+mj-lt"/>
              <a:ea typeface="+mn-ea"/>
              <a:cs typeface="Aharoni" pitchFamily="2" charset="-79"/>
            </a:rPr>
            <a:t>Финансирующие</a:t>
          </a:r>
        </a:p>
        <a:p>
          <a:pPr marL="0" indent="0"/>
          <a:r>
            <a:rPr lang="ru-RU" sz="1400">
              <a:solidFill>
                <a:schemeClr val="dk1"/>
              </a:solidFill>
              <a:latin typeface="+mj-lt"/>
              <a:ea typeface="+mn-ea"/>
              <a:cs typeface="Aharoni" pitchFamily="2" charset="-79"/>
            </a:rPr>
            <a:t> </a:t>
          </a:r>
          <a:r>
            <a:rPr lang="en-US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ru-RU" sz="1400">
              <a:solidFill>
                <a:schemeClr val="dk1"/>
              </a:solidFill>
              <a:latin typeface="+mj-lt"/>
              <a:ea typeface="+mn-ea"/>
              <a:cs typeface="Aharoni" pitchFamily="2" charset="-79"/>
            </a:rPr>
            <a:t>организации</a:t>
          </a:r>
        </a:p>
      </xdr:txBody>
    </xdr:sp>
    <xdr:clientData/>
  </xdr:twoCellAnchor>
  <xdr:twoCellAnchor>
    <xdr:from>
      <xdr:col>0</xdr:col>
      <xdr:colOff>328840</xdr:colOff>
      <xdr:row>1</xdr:row>
      <xdr:rowOff>1090840</xdr:rowOff>
    </xdr:from>
    <xdr:to>
      <xdr:col>1</xdr:col>
      <xdr:colOff>938893</xdr:colOff>
      <xdr:row>1</xdr:row>
      <xdr:rowOff>1918608</xdr:rowOff>
    </xdr:to>
    <xdr:sp macro="" textlink="">
      <xdr:nvSpPr>
        <xdr:cNvPr id="4" name="TextBox 3"/>
        <xdr:cNvSpPr txBox="1"/>
      </xdr:nvSpPr>
      <xdr:spPr>
        <a:xfrm>
          <a:off x="328840" y="1909990"/>
          <a:ext cx="1543503" cy="6944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400">
              <a:latin typeface="+mj-lt"/>
              <a:cs typeface="Aharoni" pitchFamily="2" charset="-79"/>
            </a:rPr>
            <a:t>Поставщики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49530</xdr:rowOff>
    </xdr:from>
    <xdr:to>
      <xdr:col>2</xdr:col>
      <xdr:colOff>714</xdr:colOff>
      <xdr:row>3</xdr:row>
      <xdr:rowOff>0</xdr:rowOff>
    </xdr:to>
    <xdr:cxnSp macro="">
      <xdr:nvCxnSpPr>
        <xdr:cNvPr id="2" name="Прямая соединительная линия 1"/>
        <xdr:cNvCxnSpPr/>
      </xdr:nvCxnSpPr>
      <xdr:spPr>
        <a:xfrm>
          <a:off x="76200" y="49530"/>
          <a:ext cx="7687389" cy="365569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3208972</xdr:colOff>
      <xdr:row>1</xdr:row>
      <xdr:rowOff>63500</xdr:rowOff>
    </xdr:from>
    <xdr:to>
      <xdr:col>1</xdr:col>
      <xdr:colOff>5220844</xdr:colOff>
      <xdr:row>1</xdr:row>
      <xdr:rowOff>476250</xdr:rowOff>
    </xdr:to>
    <xdr:sp macro="" textlink="">
      <xdr:nvSpPr>
        <xdr:cNvPr id="3" name="Прямоугольник 2"/>
        <xdr:cNvSpPr/>
      </xdr:nvSpPr>
      <xdr:spPr>
        <a:xfrm>
          <a:off x="4590097" y="301625"/>
          <a:ext cx="2011872" cy="203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200" baseline="0">
              <a:solidFill>
                <a:sysClr val="windowText" lastClr="000000"/>
              </a:solidFill>
            </a:rPr>
            <a:t>Схемы финансирования</a:t>
          </a:r>
          <a:endParaRPr lang="tr-TR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162560</xdr:colOff>
      <xdr:row>2</xdr:row>
      <xdr:rowOff>413807</xdr:rowOff>
    </xdr:from>
    <xdr:to>
      <xdr:col>1</xdr:col>
      <xdr:colOff>342875</xdr:colOff>
      <xdr:row>2</xdr:row>
      <xdr:rowOff>687916</xdr:rowOff>
    </xdr:to>
    <xdr:sp macro="" textlink="">
      <xdr:nvSpPr>
        <xdr:cNvPr id="4" name="Прямоугольник 3"/>
        <xdr:cNvSpPr/>
      </xdr:nvSpPr>
      <xdr:spPr>
        <a:xfrm>
          <a:off x="162560" y="805390"/>
          <a:ext cx="1005815" cy="27410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200" baseline="0">
              <a:solidFill>
                <a:sysClr val="windowText" lastClr="000000"/>
              </a:solidFill>
            </a:rPr>
            <a:t>Функции</a:t>
          </a:r>
          <a:endParaRPr lang="tr-TR" sz="12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63500</xdr:rowOff>
    </xdr:from>
    <xdr:to>
      <xdr:col>2</xdr:col>
      <xdr:colOff>13607</xdr:colOff>
      <xdr:row>2</xdr:row>
      <xdr:rowOff>2258786</xdr:rowOff>
    </xdr:to>
    <xdr:cxnSp macro="">
      <xdr:nvCxnSpPr>
        <xdr:cNvPr id="2" name="Прямая соединительная линия 1"/>
        <xdr:cNvCxnSpPr/>
      </xdr:nvCxnSpPr>
      <xdr:spPr>
        <a:xfrm>
          <a:off x="31750" y="63500"/>
          <a:ext cx="3248932" cy="301443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308428</xdr:colOff>
      <xdr:row>1</xdr:row>
      <xdr:rowOff>11338</xdr:rowOff>
    </xdr:from>
    <xdr:to>
      <xdr:col>1</xdr:col>
      <xdr:colOff>2041071</xdr:colOff>
      <xdr:row>2</xdr:row>
      <xdr:rowOff>244928</xdr:rowOff>
    </xdr:to>
    <xdr:sp macro="" textlink="">
      <xdr:nvSpPr>
        <xdr:cNvPr id="3" name="TextBox 2"/>
        <xdr:cNvSpPr txBox="1"/>
      </xdr:nvSpPr>
      <xdr:spPr>
        <a:xfrm>
          <a:off x="1241878" y="573313"/>
          <a:ext cx="1732643" cy="4907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/>
          <a:r>
            <a:rPr lang="ru-RU" sz="1400">
              <a:solidFill>
                <a:schemeClr val="dk1"/>
              </a:solidFill>
              <a:latin typeface="+mj-lt"/>
              <a:ea typeface="+mn-ea"/>
              <a:cs typeface="Aharoni" pitchFamily="2" charset="-79"/>
            </a:rPr>
            <a:t>Финансирующие</a:t>
          </a:r>
        </a:p>
        <a:p>
          <a:pPr marL="0" indent="0"/>
          <a:r>
            <a:rPr lang="ru-RU" sz="1400">
              <a:solidFill>
                <a:schemeClr val="dk1"/>
              </a:solidFill>
              <a:latin typeface="+mj-lt"/>
              <a:ea typeface="+mn-ea"/>
              <a:cs typeface="Aharoni" pitchFamily="2" charset="-79"/>
            </a:rPr>
            <a:t> </a:t>
          </a:r>
          <a:r>
            <a:rPr lang="en-US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ru-RU" sz="1400">
              <a:solidFill>
                <a:schemeClr val="dk1"/>
              </a:solidFill>
              <a:latin typeface="+mj-lt"/>
              <a:ea typeface="+mn-ea"/>
              <a:cs typeface="Aharoni" pitchFamily="2" charset="-79"/>
            </a:rPr>
            <a:t>организации</a:t>
          </a:r>
        </a:p>
      </xdr:txBody>
    </xdr:sp>
    <xdr:clientData/>
  </xdr:twoCellAnchor>
  <xdr:twoCellAnchor>
    <xdr:from>
      <xdr:col>0</xdr:col>
      <xdr:colOff>328840</xdr:colOff>
      <xdr:row>2</xdr:row>
      <xdr:rowOff>1090840</xdr:rowOff>
    </xdr:from>
    <xdr:to>
      <xdr:col>1</xdr:col>
      <xdr:colOff>938893</xdr:colOff>
      <xdr:row>2</xdr:row>
      <xdr:rowOff>1918608</xdr:rowOff>
    </xdr:to>
    <xdr:sp macro="" textlink="">
      <xdr:nvSpPr>
        <xdr:cNvPr id="4" name="TextBox 3"/>
        <xdr:cNvSpPr txBox="1"/>
      </xdr:nvSpPr>
      <xdr:spPr>
        <a:xfrm>
          <a:off x="328840" y="1909990"/>
          <a:ext cx="1543503" cy="8277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400">
              <a:latin typeface="+mj-lt"/>
              <a:cs typeface="Aharoni" pitchFamily="2" charset="-79"/>
            </a:rPr>
            <a:t>Поставщики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11430</xdr:rowOff>
    </xdr:from>
    <xdr:to>
      <xdr:col>2</xdr:col>
      <xdr:colOff>0</xdr:colOff>
      <xdr:row>2</xdr:row>
      <xdr:rowOff>0</xdr:rowOff>
    </xdr:to>
    <xdr:cxnSp macro="">
      <xdr:nvCxnSpPr>
        <xdr:cNvPr id="2" name="Прямая соединительная линия 1"/>
        <xdr:cNvCxnSpPr/>
      </xdr:nvCxnSpPr>
      <xdr:spPr>
        <a:xfrm>
          <a:off x="38100" y="11430"/>
          <a:ext cx="5705475" cy="372237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327660</xdr:colOff>
      <xdr:row>1</xdr:row>
      <xdr:rowOff>1878330</xdr:rowOff>
    </xdr:from>
    <xdr:to>
      <xdr:col>1</xdr:col>
      <xdr:colOff>1187495</xdr:colOff>
      <xdr:row>1</xdr:row>
      <xdr:rowOff>2324167</xdr:rowOff>
    </xdr:to>
    <xdr:sp macro="" textlink="">
      <xdr:nvSpPr>
        <xdr:cNvPr id="3" name="Прямоугольник 2"/>
        <xdr:cNvSpPr/>
      </xdr:nvSpPr>
      <xdr:spPr>
        <a:xfrm>
          <a:off x="327660" y="2145030"/>
          <a:ext cx="2240960" cy="4458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200" baseline="0">
              <a:solidFill>
                <a:sysClr val="windowText" lastClr="000000"/>
              </a:solidFill>
            </a:rPr>
            <a:t>Функции</a:t>
          </a:r>
          <a:endParaRPr lang="tr-TR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2099310</xdr:colOff>
      <xdr:row>1</xdr:row>
      <xdr:rowOff>28575</xdr:rowOff>
    </xdr:from>
    <xdr:to>
      <xdr:col>1</xdr:col>
      <xdr:colOff>3699859</xdr:colOff>
      <xdr:row>1</xdr:row>
      <xdr:rowOff>370205</xdr:rowOff>
    </xdr:to>
    <xdr:sp macro="" textlink="">
      <xdr:nvSpPr>
        <xdr:cNvPr id="4" name="Прямоугольник 3"/>
        <xdr:cNvSpPr/>
      </xdr:nvSpPr>
      <xdr:spPr>
        <a:xfrm>
          <a:off x="3480435" y="295275"/>
          <a:ext cx="1600549" cy="34163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200" baseline="0">
              <a:solidFill>
                <a:sysClr val="windowText" lastClr="000000"/>
              </a:solidFill>
            </a:rPr>
            <a:t>Поставщики</a:t>
          </a:r>
          <a:endParaRPr lang="tr-TR" sz="12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206374</xdr:colOff>
      <xdr:row>1</xdr:row>
      <xdr:rowOff>952499</xdr:rowOff>
    </xdr:from>
    <xdr:to>
      <xdr:col>1</xdr:col>
      <xdr:colOff>1254125</xdr:colOff>
      <xdr:row>1</xdr:row>
      <xdr:rowOff>1539874</xdr:rowOff>
    </xdr:to>
    <xdr:sp macro="" textlink="">
      <xdr:nvSpPr>
        <xdr:cNvPr id="2" name="TextBox 1"/>
        <xdr:cNvSpPr txBox="1"/>
      </xdr:nvSpPr>
      <xdr:spPr>
        <a:xfrm>
          <a:off x="206374" y="1142999"/>
          <a:ext cx="1657351" cy="587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/>
          <a:r>
            <a:rPr lang="ru-RU" sz="1400">
              <a:solidFill>
                <a:schemeClr val="dk1"/>
              </a:solidFill>
              <a:latin typeface="+mj-lt"/>
              <a:ea typeface="+mn-ea"/>
              <a:cs typeface="Aharoni" pitchFamily="2" charset="-79"/>
            </a:rPr>
            <a:t>Функции здравоохранения</a:t>
          </a:r>
        </a:p>
      </xdr:txBody>
    </xdr:sp>
    <xdr:clientData/>
  </xdr:twoCellAnchor>
  <xdr:twoCellAnchor>
    <xdr:from>
      <xdr:col>0</xdr:col>
      <xdr:colOff>31750</xdr:colOff>
      <xdr:row>0</xdr:row>
      <xdr:rowOff>0</xdr:rowOff>
    </xdr:from>
    <xdr:to>
      <xdr:col>2</xdr:col>
      <xdr:colOff>0</xdr:colOff>
      <xdr:row>1</xdr:row>
      <xdr:rowOff>1984375</xdr:rowOff>
    </xdr:to>
    <xdr:cxnSp macro="">
      <xdr:nvCxnSpPr>
        <xdr:cNvPr id="3" name="Прямая соединительная линия 2"/>
        <xdr:cNvCxnSpPr/>
      </xdr:nvCxnSpPr>
      <xdr:spPr>
        <a:xfrm>
          <a:off x="31750" y="0"/>
          <a:ext cx="2806700" cy="2174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646339</xdr:colOff>
      <xdr:row>1</xdr:row>
      <xdr:rowOff>52161</xdr:rowOff>
    </xdr:from>
    <xdr:to>
      <xdr:col>1</xdr:col>
      <xdr:colOff>2043339</xdr:colOff>
      <xdr:row>1</xdr:row>
      <xdr:rowOff>464911</xdr:rowOff>
    </xdr:to>
    <xdr:sp macro="" textlink="">
      <xdr:nvSpPr>
        <xdr:cNvPr id="4" name="TextBox 3"/>
        <xdr:cNvSpPr txBox="1"/>
      </xdr:nvSpPr>
      <xdr:spPr>
        <a:xfrm>
          <a:off x="2115910" y="650875"/>
          <a:ext cx="1397000" cy="412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400">
              <a:latin typeface="+mj-lt"/>
              <a:cs typeface="Aharoni" pitchFamily="2" charset="-79"/>
            </a:rPr>
            <a:t>Поставщики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63500</xdr:rowOff>
    </xdr:from>
    <xdr:to>
      <xdr:col>1</xdr:col>
      <xdr:colOff>3746500</xdr:colOff>
      <xdr:row>2</xdr:row>
      <xdr:rowOff>1111250</xdr:rowOff>
    </xdr:to>
    <xdr:cxnSp macro="">
      <xdr:nvCxnSpPr>
        <xdr:cNvPr id="2" name="Прямая соединительная линия 1"/>
        <xdr:cNvCxnSpPr/>
      </xdr:nvCxnSpPr>
      <xdr:spPr>
        <a:xfrm>
          <a:off x="31750" y="63500"/>
          <a:ext cx="4791075" cy="18573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158750</xdr:colOff>
      <xdr:row>2</xdr:row>
      <xdr:rowOff>365125</xdr:rowOff>
    </xdr:from>
    <xdr:to>
      <xdr:col>1</xdr:col>
      <xdr:colOff>1936750</xdr:colOff>
      <xdr:row>2</xdr:row>
      <xdr:rowOff>682625</xdr:rowOff>
    </xdr:to>
    <xdr:sp macro="" textlink="">
      <xdr:nvSpPr>
        <xdr:cNvPr id="3" name="TextBox 2"/>
        <xdr:cNvSpPr txBox="1"/>
      </xdr:nvSpPr>
      <xdr:spPr>
        <a:xfrm>
          <a:off x="158750" y="1317625"/>
          <a:ext cx="2854325" cy="317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/>
          <a:r>
            <a:rPr lang="ru-RU" sz="1400">
              <a:solidFill>
                <a:schemeClr val="dk1"/>
              </a:solidFill>
              <a:latin typeface="+mj-lt"/>
              <a:ea typeface="+mn-ea"/>
              <a:cs typeface="Aharoni" pitchFamily="2" charset="-79"/>
            </a:rPr>
            <a:t>Финансирующие организации</a:t>
          </a:r>
        </a:p>
      </xdr:txBody>
    </xdr:sp>
    <xdr:clientData/>
  </xdr:twoCellAnchor>
  <xdr:twoCellAnchor>
    <xdr:from>
      <xdr:col>1</xdr:col>
      <xdr:colOff>682625</xdr:colOff>
      <xdr:row>0</xdr:row>
      <xdr:rowOff>301625</xdr:rowOff>
    </xdr:from>
    <xdr:to>
      <xdr:col>1</xdr:col>
      <xdr:colOff>3540125</xdr:colOff>
      <xdr:row>1</xdr:row>
      <xdr:rowOff>142875</xdr:rowOff>
    </xdr:to>
    <xdr:sp macro="" textlink="">
      <xdr:nvSpPr>
        <xdr:cNvPr id="4" name="TextBox 3"/>
        <xdr:cNvSpPr txBox="1"/>
      </xdr:nvSpPr>
      <xdr:spPr>
        <a:xfrm>
          <a:off x="1758950" y="301625"/>
          <a:ext cx="2857500" cy="317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400">
              <a:latin typeface="+mj-lt"/>
              <a:cs typeface="Aharoni" pitchFamily="2" charset="-79"/>
            </a:rPr>
            <a:t>Источники финансирования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D/GOOGLE%20DRIVE%20SYNC/Work/&#1052;&#1047;/2.%20&#1053;&#1057;&#1047;/2016/2014-T16-KA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georgegotsadze\George\Consultancy\Past%20Assignments\CIC%20Folder\2010%20Kazakhstan\2nd%20Mission%20Sept%202010\2007-2010%20Data%20for%20NHA\2007-2010%20Republican%20Budget%20Da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eta\c\SPRMAIL\FROM_ALM.BIN\04_16_97\IKVAR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EXEN~1/AppData/Local/Temp/Rar$DIa0.753/&#1053;&#1057;&#1047;%202012%20&#1089;%20&#1092;&#1086;&#1088;&#1084;&#1091;&#1083;&#1072;&#1084;&#1080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3;&#1057;&#1047;%20&#1076;&#1083;&#1103;%20&#1082;&#1086;&#1088;&#1088;&#1077;&#1082;&#1090;/2012/&#1053;&#1057;&#1047;%202016%20corrected%20v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7;&#1083;&#1072;&#1085;%20&#1085;&#1086;&#1074;&#1072;&#1103;%20&#1092;&#1086;&#1088;&#1084;&#1072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&#1086;&#1083;%20&#1074;&#1086;&#1088;&#1082;/&#1057;&#1042;&#1054;&#1044;%20&#1080;&#1089;&#1087;&#1086;&#1083;&#1085;&#1077;&#1085;&#1080;&#1103;%20&#1079;&#1072;%202012%20&#1075;&#1086;&#107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Preliminary estimates"/>
      <sheetName val="HCxHF"/>
      <sheetName val="HCxHP"/>
      <sheetName val="HPxHF"/>
      <sheetName val="HFxFS"/>
      <sheetName val="HPxFP"/>
      <sheetName val="HKxHP"/>
      <sheetName val="Repor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2010Anlz"/>
      <sheetName val="2009ANlz"/>
      <sheetName val="2008Anlz"/>
      <sheetName val="2007Anlz"/>
      <sheetName val="2007"/>
      <sheetName val="2008"/>
      <sheetName val="2009"/>
      <sheetName val="Total Budget"/>
      <sheetName val="Rep Budget"/>
      <sheetName val="Analysis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дры1кв"/>
      <sheetName val="Стац1кв"/>
      <sheetName val="Пол1кв"/>
      <sheetName val="Заксл1кв"/>
      <sheetName val="рстр_янв"/>
    </sheetNames>
    <sheetDataSet>
      <sheetData sheetId="0"/>
      <sheetData sheetId="1"/>
      <sheetData sheetId="2"/>
      <sheetData sheetId="3"/>
      <sheetData sheetId="4">
        <row r="12">
          <cell r="K12">
            <v>151238.39999999999</v>
          </cell>
          <cell r="S12">
            <v>251196</v>
          </cell>
          <cell r="AA12">
            <v>24182.5</v>
          </cell>
          <cell r="AI12">
            <v>23766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C-HP"/>
      <sheetName val="HP-HC2"/>
      <sheetName val="HF-HP"/>
      <sheetName val="HF-HP2"/>
      <sheetName val="HF-HC"/>
      <sheetName val="HF-HC "/>
      <sheetName val="FS-HF"/>
      <sheetName val="FS-HF2"/>
      <sheetName val="Соцфин 9.1"/>
      <sheetName val="Соцфин 3.1"/>
      <sheetName val="Соцфин 2.1"/>
      <sheetName val="Отчет"/>
      <sheetName val="Дэф"/>
      <sheetName val="Pivot_Donor"/>
      <sheetName val="Соцфин 2.5"/>
      <sheetName val="ДХ_расходы"/>
      <sheetName val="ДХ_здрав_структ"/>
      <sheetName val="ДХ_расх"/>
      <sheetName val="HP"/>
      <sheetName val="FS-HF "/>
      <sheetName val="ввп"/>
      <sheetName val="Домохоз"/>
      <sheetName val="Лист1"/>
      <sheetName val="Лист2"/>
      <sheetName val="009"/>
      <sheetName val="HP-HC2 (3)"/>
      <sheetName val="036 гобм"/>
      <sheetName val="Соцфин 3.5"/>
      <sheetName val="Соцфин 3.4"/>
      <sheetName val="Соцфин 2.4"/>
      <sheetName val="АФН страх"/>
      <sheetName val="Афн премии"/>
      <sheetName val="HP-HC2 (2)"/>
      <sheetName val="Лист4"/>
      <sheetName val="СВОД"/>
      <sheetName val="ОДХ"/>
      <sheetName val="Розница ЛС"/>
      <sheetName val="ОУ2012"/>
    </sheetNames>
    <sheetDataSet>
      <sheetData sheetId="0" refreshError="1"/>
      <sheetData sheetId="1" refreshError="1">
        <row r="7">
          <cell r="E7">
            <v>12944299.657420222</v>
          </cell>
        </row>
        <row r="98">
          <cell r="BX98">
            <v>2461264.4221000001</v>
          </cell>
        </row>
      </sheetData>
      <sheetData sheetId="2" refreshError="1">
        <row r="38">
          <cell r="D38">
            <v>641979939.20587623</v>
          </cell>
        </row>
      </sheetData>
      <sheetData sheetId="3" refreshError="1">
        <row r="4">
          <cell r="D4">
            <v>171737785.53884125</v>
          </cell>
          <cell r="AD4">
            <v>81786</v>
          </cell>
        </row>
        <row r="8">
          <cell r="D8">
            <v>16742686.853129506</v>
          </cell>
        </row>
        <row r="11">
          <cell r="D11">
            <v>143124994.59814468</v>
          </cell>
        </row>
        <row r="29">
          <cell r="D29">
            <v>3307099</v>
          </cell>
        </row>
        <row r="30">
          <cell r="D30">
            <v>161467818.77266294</v>
          </cell>
        </row>
        <row r="35">
          <cell r="AA35">
            <v>1814689</v>
          </cell>
        </row>
        <row r="36">
          <cell r="AA36">
            <v>3295343</v>
          </cell>
        </row>
        <row r="48">
          <cell r="C48">
            <v>26491571.493299607</v>
          </cell>
        </row>
        <row r="50">
          <cell r="C50">
            <v>17757010</v>
          </cell>
        </row>
        <row r="52">
          <cell r="D52">
            <v>37086094</v>
          </cell>
        </row>
        <row r="57">
          <cell r="D57">
            <v>4976244</v>
          </cell>
          <cell r="AF57">
            <v>501242.59221841913</v>
          </cell>
        </row>
        <row r="58">
          <cell r="Z58">
            <v>4658843</v>
          </cell>
        </row>
        <row r="59">
          <cell r="D59">
            <v>24790893.700000003</v>
          </cell>
        </row>
        <row r="72">
          <cell r="D72">
            <v>2557219</v>
          </cell>
        </row>
      </sheetData>
      <sheetData sheetId="4" refreshError="1"/>
      <sheetData sheetId="5" refreshError="1">
        <row r="5">
          <cell r="D5">
            <v>313585957.33487129</v>
          </cell>
        </row>
        <row r="8">
          <cell r="D8">
            <v>20586158.889774613</v>
          </cell>
        </row>
        <row r="12">
          <cell r="D12">
            <v>144733158.80000001</v>
          </cell>
        </row>
        <row r="17">
          <cell r="D17">
            <v>5307875</v>
          </cell>
        </row>
        <row r="31">
          <cell r="D31">
            <v>26491571.493299607</v>
          </cell>
        </row>
        <row r="32">
          <cell r="D32">
            <v>1030982</v>
          </cell>
        </row>
        <row r="33">
          <cell r="D33">
            <v>9872814</v>
          </cell>
        </row>
        <row r="36">
          <cell r="D36">
            <v>42122496</v>
          </cell>
        </row>
        <row r="47">
          <cell r="D47">
            <v>2722409</v>
          </cell>
          <cell r="AI47">
            <v>20990.122240000001</v>
          </cell>
        </row>
        <row r="48">
          <cell r="D48">
            <v>11213467.5</v>
          </cell>
        </row>
        <row r="55">
          <cell r="D55">
            <v>14687897.600000001</v>
          </cell>
        </row>
      </sheetData>
      <sheetData sheetId="6" refreshError="1"/>
      <sheetData sheetId="7" refreshError="1"/>
      <sheetData sheetId="8" refreshError="1">
        <row r="12">
          <cell r="F12">
            <v>32851381</v>
          </cell>
        </row>
      </sheetData>
      <sheetData sheetId="9" refreshError="1">
        <row r="15">
          <cell r="I15">
            <v>109038</v>
          </cell>
        </row>
      </sheetData>
      <sheetData sheetId="10" refreshError="1">
        <row r="14">
          <cell r="I14">
            <v>1554168</v>
          </cell>
        </row>
        <row r="18">
          <cell r="C18">
            <v>53847</v>
          </cell>
        </row>
      </sheetData>
      <sheetData sheetId="11" refreshError="1">
        <row r="11">
          <cell r="P11">
            <v>99.39966422096424</v>
          </cell>
        </row>
        <row r="12">
          <cell r="P12">
            <v>99.999989038551433</v>
          </cell>
        </row>
        <row r="15">
          <cell r="P15">
            <v>99.999981407812712</v>
          </cell>
        </row>
        <row r="16">
          <cell r="P16">
            <v>99.999941598363606</v>
          </cell>
        </row>
        <row r="19">
          <cell r="P19">
            <v>99.999999099833019</v>
          </cell>
        </row>
        <row r="28">
          <cell r="P28">
            <v>99.641091707261936</v>
          </cell>
        </row>
        <row r="30">
          <cell r="P30">
            <v>99.259901795805391</v>
          </cell>
        </row>
        <row r="34">
          <cell r="P34">
            <v>99.999960141403889</v>
          </cell>
        </row>
        <row r="35">
          <cell r="P35">
            <v>99.999960141403889</v>
          </cell>
        </row>
        <row r="38">
          <cell r="P38">
            <v>99.998315337568329</v>
          </cell>
        </row>
        <row r="39">
          <cell r="P39">
            <v>100</v>
          </cell>
        </row>
        <row r="41">
          <cell r="P41">
            <v>99.999563817025631</v>
          </cell>
        </row>
        <row r="51">
          <cell r="P51">
            <v>0</v>
          </cell>
        </row>
        <row r="52">
          <cell r="P52">
            <v>99.999964973985882</v>
          </cell>
        </row>
        <row r="54">
          <cell r="P54">
            <v>99.999941598806032</v>
          </cell>
        </row>
        <row r="55">
          <cell r="P55">
            <v>99.999941597080436</v>
          </cell>
        </row>
        <row r="57">
          <cell r="P57">
            <v>99.793284732501704</v>
          </cell>
        </row>
        <row r="58">
          <cell r="P58">
            <v>99.61337842275168</v>
          </cell>
        </row>
        <row r="61">
          <cell r="P61">
            <v>94.967265350877199</v>
          </cell>
        </row>
        <row r="62">
          <cell r="P62">
            <v>99.30713497417959</v>
          </cell>
        </row>
        <row r="64">
          <cell r="P64">
            <v>100</v>
          </cell>
        </row>
        <row r="65">
          <cell r="P65">
            <v>100</v>
          </cell>
        </row>
        <row r="67">
          <cell r="P67">
            <v>99.436820356460444</v>
          </cell>
        </row>
        <row r="68">
          <cell r="P68">
            <v>98.283865847459893</v>
          </cell>
        </row>
        <row r="70">
          <cell r="P70">
            <v>99.895159420289858</v>
          </cell>
        </row>
        <row r="72">
          <cell r="P72">
            <v>99.941115164147988</v>
          </cell>
        </row>
        <row r="74">
          <cell r="P74">
            <v>100</v>
          </cell>
        </row>
        <row r="76">
          <cell r="P76">
            <v>100</v>
          </cell>
        </row>
        <row r="77">
          <cell r="P77">
            <v>100</v>
          </cell>
        </row>
        <row r="81">
          <cell r="P81">
            <v>99.998337182312056</v>
          </cell>
        </row>
        <row r="82">
          <cell r="P82">
            <v>99.981849318713714</v>
          </cell>
        </row>
        <row r="84">
          <cell r="P84">
            <v>99.993039036021287</v>
          </cell>
        </row>
        <row r="85">
          <cell r="P85">
            <v>99.992907465251392</v>
          </cell>
        </row>
        <row r="87">
          <cell r="P87">
            <v>99.962070024750801</v>
          </cell>
        </row>
        <row r="88">
          <cell r="P88">
            <v>99.962043956995018</v>
          </cell>
        </row>
        <row r="90">
          <cell r="P90">
            <v>99.984740727924475</v>
          </cell>
        </row>
        <row r="91">
          <cell r="P91">
            <v>99.979874461158005</v>
          </cell>
        </row>
        <row r="93">
          <cell r="P93">
            <v>99.918200585854422</v>
          </cell>
        </row>
        <row r="94">
          <cell r="P94">
            <v>99.920726713618109</v>
          </cell>
        </row>
        <row r="96">
          <cell r="P96">
            <v>99.78275703474138</v>
          </cell>
        </row>
        <row r="97">
          <cell r="P97">
            <v>99.864519066232717</v>
          </cell>
        </row>
        <row r="99">
          <cell r="P99">
            <v>99.923037788398631</v>
          </cell>
        </row>
        <row r="100">
          <cell r="P100">
            <v>99.922942083868747</v>
          </cell>
        </row>
        <row r="102">
          <cell r="P102">
            <v>99.993523509852906</v>
          </cell>
        </row>
        <row r="104">
          <cell r="P104">
            <v>99.993130754240752</v>
          </cell>
        </row>
        <row r="105">
          <cell r="P105">
            <v>99.993886837633667</v>
          </cell>
        </row>
        <row r="106">
          <cell r="P106">
            <v>99.993886837633667</v>
          </cell>
        </row>
        <row r="107">
          <cell r="P107">
            <v>99.999975053907292</v>
          </cell>
        </row>
        <row r="108">
          <cell r="P108">
            <v>99.999998959558184</v>
          </cell>
        </row>
        <row r="111">
          <cell r="P111">
            <v>99.999970480208916</v>
          </cell>
        </row>
        <row r="112">
          <cell r="P112">
            <v>99.999569374652395</v>
          </cell>
        </row>
        <row r="114">
          <cell r="P114">
            <v>99.986888892270372</v>
          </cell>
        </row>
        <row r="116">
          <cell r="P116">
            <v>99.999993832051388</v>
          </cell>
        </row>
        <row r="118">
          <cell r="P118">
            <v>99.916984540921987</v>
          </cell>
        </row>
        <row r="120">
          <cell r="P120">
            <v>99.776860920050439</v>
          </cell>
        </row>
        <row r="121">
          <cell r="P121">
            <v>99.968382546489593</v>
          </cell>
        </row>
        <row r="123">
          <cell r="P123">
            <v>99.960323916006246</v>
          </cell>
        </row>
        <row r="125">
          <cell r="P125">
            <v>99.99996707294693</v>
          </cell>
        </row>
        <row r="126">
          <cell r="P126">
            <v>99.999871629207533</v>
          </cell>
        </row>
        <row r="128">
          <cell r="P128">
            <v>99.844825560182571</v>
          </cell>
        </row>
        <row r="129">
          <cell r="P129">
            <v>99.81309596414772</v>
          </cell>
        </row>
        <row r="138">
          <cell r="P138">
            <v>100</v>
          </cell>
        </row>
        <row r="139">
          <cell r="P139">
            <v>99.94970877010779</v>
          </cell>
        </row>
        <row r="141">
          <cell r="P141">
            <v>99.978627678721708</v>
          </cell>
        </row>
        <row r="142">
          <cell r="P142">
            <v>99.880004519776477</v>
          </cell>
        </row>
        <row r="143">
          <cell r="P143">
            <v>99.999121198360257</v>
          </cell>
        </row>
        <row r="144">
          <cell r="P144">
            <v>99.731874665905508</v>
          </cell>
        </row>
        <row r="146">
          <cell r="P146">
            <v>98.775877580127315</v>
          </cell>
        </row>
        <row r="147">
          <cell r="P147">
            <v>99.921091657702547</v>
          </cell>
        </row>
        <row r="150">
          <cell r="P150">
            <v>99.880796355926165</v>
          </cell>
        </row>
        <row r="151">
          <cell r="P151">
            <v>99.98786474110041</v>
          </cell>
        </row>
        <row r="153">
          <cell r="P153">
            <v>99.959006366062908</v>
          </cell>
        </row>
        <row r="154">
          <cell r="P154">
            <v>99.74411606740297</v>
          </cell>
        </row>
        <row r="156">
          <cell r="P156">
            <v>99.999976251653223</v>
          </cell>
        </row>
        <row r="157">
          <cell r="P157">
            <v>99.999988815113838</v>
          </cell>
        </row>
        <row r="161">
          <cell r="P161">
            <v>99.999977846565386</v>
          </cell>
        </row>
        <row r="162">
          <cell r="P162">
            <v>99.978096001815175</v>
          </cell>
        </row>
        <row r="165">
          <cell r="P165">
            <v>99.999865992535703</v>
          </cell>
        </row>
        <row r="166">
          <cell r="P166">
            <v>98.918219542577091</v>
          </cell>
        </row>
        <row r="169">
          <cell r="P169">
            <v>99.999984732556371</v>
          </cell>
        </row>
        <row r="173">
          <cell r="P173">
            <v>80.675216345402859</v>
          </cell>
        </row>
        <row r="192">
          <cell r="J192">
            <v>2557219</v>
          </cell>
        </row>
        <row r="197">
          <cell r="P197">
            <v>100</v>
          </cell>
        </row>
        <row r="199">
          <cell r="P199">
            <v>99.999670249452521</v>
          </cell>
        </row>
        <row r="200">
          <cell r="P200">
            <v>98.459565023055887</v>
          </cell>
        </row>
        <row r="201">
          <cell r="P201">
            <v>99.95115493762043</v>
          </cell>
        </row>
        <row r="202">
          <cell r="P202">
            <v>99.749448237490938</v>
          </cell>
        </row>
        <row r="203">
          <cell r="P203">
            <v>99.130391917966705</v>
          </cell>
        </row>
        <row r="204">
          <cell r="P204">
            <v>99.937792320818858</v>
          </cell>
        </row>
        <row r="205">
          <cell r="P205">
            <v>99.999486757541206</v>
          </cell>
        </row>
        <row r="206">
          <cell r="P206">
            <v>94.038876889848808</v>
          </cell>
        </row>
        <row r="208">
          <cell r="P208">
            <v>99.999999798155955</v>
          </cell>
        </row>
        <row r="209">
          <cell r="P209">
            <v>100</v>
          </cell>
        </row>
        <row r="210">
          <cell r="P210">
            <v>99.112490444097858</v>
          </cell>
        </row>
        <row r="211">
          <cell r="P211">
            <v>98.21983012592905</v>
          </cell>
        </row>
        <row r="212">
          <cell r="P212">
            <v>98.666902204660417</v>
          </cell>
        </row>
        <row r="213">
          <cell r="P213">
            <v>97.987585313645809</v>
          </cell>
        </row>
        <row r="216">
          <cell r="P216">
            <v>60.425689929911229</v>
          </cell>
        </row>
        <row r="217">
          <cell r="P217">
            <v>99.999954727030627</v>
          </cell>
        </row>
        <row r="219">
          <cell r="P219">
            <v>92.103881440712911</v>
          </cell>
        </row>
        <row r="220">
          <cell r="P220">
            <v>92.958825546287287</v>
          </cell>
        </row>
        <row r="223">
          <cell r="P223">
            <v>93.519231900023442</v>
          </cell>
        </row>
        <row r="224">
          <cell r="P224">
            <v>93.900752188333485</v>
          </cell>
        </row>
        <row r="226">
          <cell r="P226">
            <v>99.239186848885723</v>
          </cell>
        </row>
        <row r="228">
          <cell r="P228">
            <v>96.621976523919599</v>
          </cell>
        </row>
        <row r="229">
          <cell r="P229">
            <v>98.17726403033889</v>
          </cell>
        </row>
        <row r="230">
          <cell r="P230">
            <v>99.78766761081296</v>
          </cell>
        </row>
        <row r="231">
          <cell r="P231">
            <v>99.999879337120007</v>
          </cell>
        </row>
        <row r="232">
          <cell r="P232">
            <v>99.994302932904787</v>
          </cell>
        </row>
        <row r="234">
          <cell r="P234">
            <v>99.999555496762753</v>
          </cell>
        </row>
        <row r="235">
          <cell r="P235">
            <v>99.601017550079774</v>
          </cell>
        </row>
        <row r="236">
          <cell r="P236">
            <v>100</v>
          </cell>
        </row>
        <row r="238">
          <cell r="P238">
            <v>100</v>
          </cell>
        </row>
        <row r="239">
          <cell r="P239">
            <v>98.997105966162053</v>
          </cell>
        </row>
        <row r="242">
          <cell r="P242">
            <v>99.748434308248918</v>
          </cell>
        </row>
        <row r="243">
          <cell r="P243">
            <v>97.351584913646548</v>
          </cell>
        </row>
        <row r="245">
          <cell r="P245">
            <v>98.371391322913851</v>
          </cell>
        </row>
        <row r="246">
          <cell r="P246">
            <v>97.84326923947819</v>
          </cell>
        </row>
        <row r="248">
          <cell r="P248">
            <v>99.822894079949805</v>
          </cell>
        </row>
        <row r="249">
          <cell r="P249">
            <v>99.82080702179374</v>
          </cell>
        </row>
        <row r="251">
          <cell r="P251">
            <v>98.541193734139881</v>
          </cell>
        </row>
        <row r="253">
          <cell r="P253">
            <v>92.542421766875748</v>
          </cell>
        </row>
        <row r="274">
          <cell r="P274">
            <v>99.949008891375996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4">
          <cell r="T24">
            <v>10216773</v>
          </cell>
        </row>
      </sheetData>
      <sheetData sheetId="31" refreshError="1">
        <row r="29">
          <cell r="Q29">
            <v>14770958</v>
          </cell>
        </row>
      </sheetData>
      <sheetData sheetId="32" refreshError="1"/>
      <sheetData sheetId="33" refreshError="1"/>
      <sheetData sheetId="34" refreshError="1"/>
      <sheetData sheetId="35" refreshError="1">
        <row r="8">
          <cell r="C8">
            <v>32179038610</v>
          </cell>
        </row>
        <row r="11">
          <cell r="C11">
            <v>5802230796</v>
          </cell>
        </row>
      </sheetData>
      <sheetData sheetId="36" refreshError="1">
        <row r="26">
          <cell r="J26">
            <v>118698.7</v>
          </cell>
        </row>
        <row r="27">
          <cell r="J27">
            <v>32128.1</v>
          </cell>
        </row>
      </sheetData>
      <sheetData sheetId="37" refreshError="1">
        <row r="5">
          <cell r="D5">
            <v>76818666</v>
          </cell>
        </row>
        <row r="12">
          <cell r="D12">
            <v>469</v>
          </cell>
        </row>
        <row r="13">
          <cell r="D13">
            <v>10581</v>
          </cell>
        </row>
        <row r="14">
          <cell r="D14">
            <v>97051</v>
          </cell>
        </row>
        <row r="17">
          <cell r="D17">
            <v>18074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ы 2016"/>
      <sheetName val="FS-HF"/>
      <sheetName val="HF-HP"/>
      <sheetName val="HF-HC"/>
      <sheetName val="HC-HP"/>
      <sheetName val="ОУ"/>
      <sheetName val="РБ 2016"/>
      <sheetName val="ГБ 2016"/>
      <sheetName val="МБ 2016"/>
      <sheetName val="КОМУ 2016"/>
      <sheetName val="ДФ 2016"/>
      <sheetName val="009 2016"/>
      <sheetName val="039 2016"/>
      <sheetName val="Нб прем 16"/>
      <sheetName val="Нб выпл 16"/>
      <sheetName val="предпр 16"/>
      <sheetName val="ОДХ"/>
      <sheetName val="Розница ЛС"/>
      <sheetName val="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Y8">
            <v>0</v>
          </cell>
          <cell r="AA8">
            <v>0</v>
          </cell>
        </row>
      </sheetData>
      <sheetData sheetId="10" refreshError="1"/>
      <sheetData sheetId="11" refreshError="1"/>
      <sheetData sheetId="12" refreshError="1">
        <row r="7">
          <cell r="M7">
            <v>1257968.0809901292</v>
          </cell>
        </row>
      </sheetData>
      <sheetData sheetId="13" refreshError="1"/>
      <sheetData sheetId="14" refreshError="1"/>
      <sheetData sheetId="15" refreshError="1">
        <row r="19">
          <cell r="F19">
            <v>4589621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Акмол"/>
      <sheetName val="Акт обл"/>
      <sheetName val="Алматинск обл"/>
      <sheetName val="Атырау"/>
      <sheetName val=" ВКО"/>
      <sheetName val="Жамбулск"/>
      <sheetName val="ЗКО"/>
      <sheetName val="Караганда"/>
      <sheetName val="Костанай"/>
      <sheetName val="КЗО"/>
      <sheetName val="Мангистау"/>
      <sheetName val="Павлодар"/>
      <sheetName val="СКО"/>
      <sheetName val="ЮКО"/>
      <sheetName val="Алмата"/>
      <sheetName val="Астана"/>
      <sheetName val="Лист1"/>
      <sheetName val="Лист2"/>
      <sheetName val="Лист3"/>
      <sheetName val="аоб"/>
    </sheetNames>
    <sheetDataSet>
      <sheetData sheetId="0" refreshError="1"/>
      <sheetData sheetId="1" refreshError="1">
        <row r="6">
          <cell r="C6" t="str">
            <v>С</v>
          </cell>
        </row>
        <row r="9">
          <cell r="C9" t="str">
            <v>ВСМП</v>
          </cell>
        </row>
        <row r="10">
          <cell r="C10" t="str">
            <v>СЗП</v>
          </cell>
        </row>
        <row r="11">
          <cell r="C11" t="str">
            <v>Лизинг</v>
          </cell>
        </row>
        <row r="12">
          <cell r="C12" t="str">
            <v>ИТОГО</v>
          </cell>
        </row>
        <row r="13">
          <cell r="C13" t="str">
            <v>СМП</v>
          </cell>
        </row>
        <row r="14">
          <cell r="C14" t="str">
            <v>ВСМП</v>
          </cell>
        </row>
        <row r="15">
          <cell r="C15" t="str">
            <v>СЗП</v>
          </cell>
        </row>
        <row r="16">
          <cell r="C16" t="str">
            <v>ИТОГО</v>
          </cell>
        </row>
        <row r="17">
          <cell r="C17" t="str">
            <v>СМП</v>
          </cell>
        </row>
        <row r="18">
          <cell r="C18" t="str">
            <v>ВСМП</v>
          </cell>
        </row>
        <row r="19">
          <cell r="C19" t="str">
            <v>СЗП</v>
          </cell>
        </row>
        <row r="20">
          <cell r="C20" t="str">
            <v>ИТОГО</v>
          </cell>
        </row>
        <row r="21">
          <cell r="C21" t="str">
            <v>СМП</v>
          </cell>
        </row>
        <row r="22">
          <cell r="C22" t="str">
            <v>СЗП</v>
          </cell>
        </row>
        <row r="23">
          <cell r="C23" t="str">
            <v>ИТОГО</v>
          </cell>
        </row>
        <row r="24">
          <cell r="C24" t="str">
            <v>СМП</v>
          </cell>
        </row>
        <row r="25">
          <cell r="C25" t="str">
            <v>СЗП</v>
          </cell>
        </row>
        <row r="27">
          <cell r="C27" t="str">
            <v>СМП</v>
          </cell>
        </row>
        <row r="28">
          <cell r="C28" t="str">
            <v>ИТОГО</v>
          </cell>
        </row>
        <row r="29">
          <cell r="C29" t="str">
            <v>СМП</v>
          </cell>
        </row>
        <row r="30">
          <cell r="C30" t="str">
            <v>СЗП</v>
          </cell>
        </row>
        <row r="31">
          <cell r="C31" t="str">
            <v>Лизинг</v>
          </cell>
        </row>
        <row r="32">
          <cell r="C32" t="str">
            <v>ИТОГО</v>
          </cell>
        </row>
        <row r="33">
          <cell r="C33" t="str">
            <v>СМП</v>
          </cell>
        </row>
        <row r="34">
          <cell r="C34" t="str">
            <v>СЗП</v>
          </cell>
        </row>
        <row r="35">
          <cell r="C35" t="str">
            <v>ИТОГО</v>
          </cell>
        </row>
        <row r="36">
          <cell r="C36" t="str">
            <v>СМП</v>
          </cell>
        </row>
        <row r="37">
          <cell r="C37" t="str">
            <v>СЗП</v>
          </cell>
        </row>
        <row r="38">
          <cell r="C38" t="str">
            <v>ИТОГО</v>
          </cell>
        </row>
        <row r="39">
          <cell r="C39" t="str">
            <v>СЗП</v>
          </cell>
        </row>
        <row r="40">
          <cell r="C40" t="str">
            <v>ИТОГО</v>
          </cell>
        </row>
        <row r="41">
          <cell r="C41" t="str">
            <v>СЗП</v>
          </cell>
        </row>
        <row r="42">
          <cell r="C42" t="str">
            <v>ИТОГО</v>
          </cell>
        </row>
        <row r="43">
          <cell r="C43" t="str">
            <v>СЗП</v>
          </cell>
        </row>
        <row r="44">
          <cell r="C44" t="str">
            <v>ИТОГО</v>
          </cell>
        </row>
        <row r="45">
          <cell r="C45" t="str">
            <v>СЗП</v>
          </cell>
        </row>
        <row r="46">
          <cell r="C46" t="str">
            <v>ИТОГО</v>
          </cell>
        </row>
        <row r="47">
          <cell r="C47" t="str">
            <v>СМП</v>
          </cell>
        </row>
        <row r="48">
          <cell r="C48" t="str">
            <v>СЗП</v>
          </cell>
        </row>
        <row r="49">
          <cell r="C49" t="str">
            <v>ИТОГО</v>
          </cell>
        </row>
        <row r="50">
          <cell r="C50" t="str">
            <v>СЗП</v>
          </cell>
        </row>
        <row r="51">
          <cell r="C51" t="str">
            <v>ИТОГО</v>
          </cell>
        </row>
        <row r="52">
          <cell r="C52" t="str">
            <v>СМП</v>
          </cell>
        </row>
        <row r="53">
          <cell r="C53" t="str">
            <v>СЗП</v>
          </cell>
        </row>
        <row r="54">
          <cell r="C54" t="str">
            <v>ИТОГО</v>
          </cell>
        </row>
        <row r="55">
          <cell r="C55" t="str">
            <v>СМП</v>
          </cell>
        </row>
        <row r="56">
          <cell r="C56" t="str">
            <v>СЗП</v>
          </cell>
        </row>
        <row r="57">
          <cell r="C57" t="str">
            <v>ИТОГО</v>
          </cell>
        </row>
        <row r="58">
          <cell r="C58" t="str">
            <v>СМП</v>
          </cell>
        </row>
        <row r="59">
          <cell r="C59" t="str">
            <v>СЗП</v>
          </cell>
        </row>
        <row r="60">
          <cell r="C60" t="str">
            <v>ИТОГО</v>
          </cell>
        </row>
        <row r="61">
          <cell r="C61" t="str">
            <v>СМП</v>
          </cell>
        </row>
        <row r="62">
          <cell r="C62" t="str">
            <v>СЗП</v>
          </cell>
        </row>
        <row r="63">
          <cell r="C63" t="str">
            <v>ИТОГО</v>
          </cell>
        </row>
        <row r="64">
          <cell r="C64" t="str">
            <v>СМП</v>
          </cell>
        </row>
        <row r="65">
          <cell r="C65" t="str">
            <v>СЗП</v>
          </cell>
        </row>
        <row r="66">
          <cell r="C66" t="str">
            <v>ИТОГО</v>
          </cell>
        </row>
        <row r="67">
          <cell r="C67" t="str">
            <v>СМП</v>
          </cell>
        </row>
        <row r="68">
          <cell r="C68" t="str">
            <v>СЗП</v>
          </cell>
        </row>
        <row r="69">
          <cell r="C69" t="str">
            <v>ИТОГО</v>
          </cell>
        </row>
        <row r="70">
          <cell r="C70" t="str">
            <v>СЗП</v>
          </cell>
        </row>
        <row r="71">
          <cell r="C71" t="str">
            <v>ИТОГО</v>
          </cell>
        </row>
        <row r="72">
          <cell r="C72" t="str">
            <v>СМП</v>
          </cell>
        </row>
        <row r="73">
          <cell r="C73" t="str">
            <v>СЗП</v>
          </cell>
        </row>
        <row r="74">
          <cell r="C74" t="str">
            <v>ИТОГО</v>
          </cell>
        </row>
        <row r="75">
          <cell r="C75" t="str">
            <v>СМП</v>
          </cell>
        </row>
        <row r="76">
          <cell r="C76" t="str">
            <v>СЗП</v>
          </cell>
        </row>
        <row r="77">
          <cell r="C77" t="str">
            <v>ИТОГО</v>
          </cell>
        </row>
        <row r="78">
          <cell r="C78" t="str">
            <v>СМП</v>
          </cell>
        </row>
        <row r="79">
          <cell r="C79" t="str">
            <v>СЗП</v>
          </cell>
        </row>
        <row r="80">
          <cell r="C80" t="str">
            <v>ИТОГО</v>
          </cell>
        </row>
        <row r="81">
          <cell r="C81" t="str">
            <v>СМП</v>
          </cell>
        </row>
        <row r="82">
          <cell r="C82" t="str">
            <v>СЗП</v>
          </cell>
        </row>
        <row r="83">
          <cell r="C83" t="str">
            <v>ИТОГО</v>
          </cell>
        </row>
        <row r="84">
          <cell r="C84" t="str">
            <v>СМП</v>
          </cell>
        </row>
        <row r="85">
          <cell r="C85" t="str">
            <v>СЗП</v>
          </cell>
        </row>
        <row r="86">
          <cell r="C86" t="str">
            <v>ИТОГО</v>
          </cell>
        </row>
        <row r="87">
          <cell r="C87" t="str">
            <v>СМП</v>
          </cell>
        </row>
        <row r="88">
          <cell r="C88" t="str">
            <v>СЗП</v>
          </cell>
        </row>
        <row r="89">
          <cell r="C89" t="str">
            <v>ИТОГО</v>
          </cell>
        </row>
        <row r="90">
          <cell r="C90" t="str">
            <v>СМП</v>
          </cell>
        </row>
        <row r="91">
          <cell r="C91" t="str">
            <v>СЗП</v>
          </cell>
        </row>
        <row r="92">
          <cell r="C92" t="str">
            <v>ИТОГО</v>
          </cell>
        </row>
        <row r="93">
          <cell r="C93" t="str">
            <v>СМП</v>
          </cell>
        </row>
        <row r="94">
          <cell r="C94" t="str">
            <v>СЗП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9">
          <cell r="C9" t="str">
            <v>ИТОГО</v>
          </cell>
        </row>
        <row r="10">
          <cell r="C10" t="str">
            <v>СМП</v>
          </cell>
        </row>
        <row r="11">
          <cell r="C11" t="str">
            <v>ВСМП</v>
          </cell>
        </row>
        <row r="12">
          <cell r="C12" t="str">
            <v>СЗП</v>
          </cell>
        </row>
        <row r="13">
          <cell r="C13" t="str">
            <v>ИТОГО</v>
          </cell>
        </row>
        <row r="14">
          <cell r="C14" t="str">
            <v>СМП</v>
          </cell>
        </row>
        <row r="15">
          <cell r="C15" t="str">
            <v>ВСМП</v>
          </cell>
        </row>
        <row r="16">
          <cell r="C16" t="str">
            <v>СЗП</v>
          </cell>
        </row>
        <row r="17">
          <cell r="C17" t="str">
            <v>ИТОГО</v>
          </cell>
        </row>
        <row r="18">
          <cell r="C18" t="str">
            <v>СМП</v>
          </cell>
        </row>
        <row r="19">
          <cell r="C19" t="str">
            <v>СЗП</v>
          </cell>
        </row>
        <row r="20">
          <cell r="C20" t="str">
            <v>ИТОГО</v>
          </cell>
        </row>
        <row r="21">
          <cell r="C21" t="str">
            <v>СМП</v>
          </cell>
        </row>
        <row r="22">
          <cell r="C22" t="str">
            <v>СЗП</v>
          </cell>
        </row>
        <row r="23">
          <cell r="C23" t="str">
            <v>ИТОГО</v>
          </cell>
        </row>
        <row r="24">
          <cell r="C24" t="str">
            <v>СМП</v>
          </cell>
        </row>
        <row r="25">
          <cell r="C25" t="str">
            <v>ИТОГО</v>
          </cell>
        </row>
        <row r="26">
          <cell r="C26" t="str">
            <v>СМП</v>
          </cell>
        </row>
        <row r="27">
          <cell r="C27" t="str">
            <v>СЗП</v>
          </cell>
        </row>
        <row r="28">
          <cell r="C28" t="str">
            <v>ИТОГО</v>
          </cell>
        </row>
        <row r="29">
          <cell r="C29" t="str">
            <v>СМП</v>
          </cell>
        </row>
        <row r="30">
          <cell r="C30" t="str">
            <v>СЗП</v>
          </cell>
        </row>
        <row r="31">
          <cell r="C31" t="str">
            <v>ИТОГО</v>
          </cell>
        </row>
        <row r="32">
          <cell r="C32" t="str">
            <v>СМП</v>
          </cell>
        </row>
        <row r="33">
          <cell r="C33" t="str">
            <v>СЗП</v>
          </cell>
        </row>
        <row r="34">
          <cell r="C34" t="str">
            <v>ИТОГО</v>
          </cell>
        </row>
        <row r="35">
          <cell r="C35" t="str">
            <v>СЗП</v>
          </cell>
        </row>
        <row r="36">
          <cell r="C36" t="str">
            <v>ИТОГО</v>
          </cell>
        </row>
        <row r="37">
          <cell r="C37" t="str">
            <v>СЗП</v>
          </cell>
        </row>
        <row r="38">
          <cell r="C38" t="str">
            <v>ИТОГО</v>
          </cell>
        </row>
        <row r="39">
          <cell r="C39" t="str">
            <v>СЗП</v>
          </cell>
        </row>
        <row r="40">
          <cell r="C40" t="str">
            <v>ИТОГО</v>
          </cell>
        </row>
        <row r="41">
          <cell r="C41" t="str">
            <v>СЗП</v>
          </cell>
        </row>
        <row r="42">
          <cell r="C42" t="str">
            <v>ИТОГО</v>
          </cell>
        </row>
        <row r="43">
          <cell r="C43" t="str">
            <v>СМП</v>
          </cell>
        </row>
        <row r="44">
          <cell r="C44" t="str">
            <v>СЗП</v>
          </cell>
        </row>
        <row r="45">
          <cell r="C45" t="str">
            <v>ИТОГО</v>
          </cell>
        </row>
        <row r="46">
          <cell r="C46" t="str">
            <v>СЗП</v>
          </cell>
        </row>
        <row r="47">
          <cell r="C47" t="str">
            <v>ИТОГО</v>
          </cell>
        </row>
        <row r="48">
          <cell r="C48" t="str">
            <v>СМП</v>
          </cell>
        </row>
        <row r="49">
          <cell r="C49" t="str">
            <v>СЗП</v>
          </cell>
        </row>
        <row r="50">
          <cell r="C50" t="str">
            <v>ИТОГО</v>
          </cell>
        </row>
        <row r="51">
          <cell r="C51" t="str">
            <v>СМП</v>
          </cell>
        </row>
        <row r="52">
          <cell r="C52" t="str">
            <v>СЗП</v>
          </cell>
        </row>
        <row r="53">
          <cell r="C53" t="str">
            <v>ИТОГО</v>
          </cell>
        </row>
        <row r="54">
          <cell r="C54" t="str">
            <v>СМП</v>
          </cell>
        </row>
        <row r="55">
          <cell r="C55" t="str">
            <v>СЗП</v>
          </cell>
        </row>
        <row r="56">
          <cell r="C56" t="str">
            <v>ИТОГО</v>
          </cell>
        </row>
        <row r="57">
          <cell r="C57" t="str">
            <v>СМП</v>
          </cell>
        </row>
        <row r="58">
          <cell r="C58" t="str">
            <v>СЗП</v>
          </cell>
        </row>
        <row r="59">
          <cell r="C59" t="str">
            <v>ИТОГО</v>
          </cell>
        </row>
        <row r="60">
          <cell r="C60" t="str">
            <v>СМП</v>
          </cell>
        </row>
        <row r="61">
          <cell r="C61" t="str">
            <v>СЗП</v>
          </cell>
        </row>
        <row r="62">
          <cell r="C62" t="str">
            <v>ИТОГО</v>
          </cell>
        </row>
        <row r="63">
          <cell r="C63" t="str">
            <v>СМП</v>
          </cell>
        </row>
        <row r="64">
          <cell r="C64" t="str">
            <v>СЗП</v>
          </cell>
        </row>
        <row r="65">
          <cell r="C65" t="str">
            <v>ИТОГО</v>
          </cell>
        </row>
        <row r="66">
          <cell r="C66" t="str">
            <v>СЗП</v>
          </cell>
        </row>
        <row r="67">
          <cell r="C67" t="str">
            <v>ИТОГО</v>
          </cell>
        </row>
        <row r="68">
          <cell r="C68" t="str">
            <v>СМП</v>
          </cell>
        </row>
        <row r="69">
          <cell r="C69" t="str">
            <v>СЗП</v>
          </cell>
        </row>
        <row r="70">
          <cell r="C70" t="str">
            <v>ИТОГО</v>
          </cell>
        </row>
        <row r="71">
          <cell r="C71" t="str">
            <v>СМП</v>
          </cell>
        </row>
        <row r="72">
          <cell r="C72" t="str">
            <v>СЗП</v>
          </cell>
        </row>
        <row r="73">
          <cell r="C73" t="str">
            <v>ИТОГО</v>
          </cell>
        </row>
        <row r="74">
          <cell r="C74" t="str">
            <v>СМП</v>
          </cell>
        </row>
        <row r="75">
          <cell r="C75" t="str">
            <v>СЗП</v>
          </cell>
        </row>
        <row r="76">
          <cell r="C76" t="str">
            <v>ИТОГО</v>
          </cell>
        </row>
        <row r="77">
          <cell r="C77" t="str">
            <v>СМП</v>
          </cell>
        </row>
        <row r="78">
          <cell r="C78" t="str">
            <v>СЗП</v>
          </cell>
        </row>
        <row r="79">
          <cell r="C79" t="str">
            <v>ИТОГО</v>
          </cell>
        </row>
        <row r="80">
          <cell r="C80" t="str">
            <v>СМП</v>
          </cell>
        </row>
        <row r="81">
          <cell r="C81" t="str">
            <v>СЗП</v>
          </cell>
        </row>
        <row r="82">
          <cell r="C82" t="str">
            <v>ИТОГО</v>
          </cell>
        </row>
        <row r="83">
          <cell r="C83" t="str">
            <v>СМП</v>
          </cell>
        </row>
        <row r="84">
          <cell r="C84" t="str">
            <v>СЗП</v>
          </cell>
        </row>
        <row r="85">
          <cell r="C85" t="str">
            <v>ИТОГО</v>
          </cell>
        </row>
        <row r="86">
          <cell r="C86" t="str">
            <v>СМП</v>
          </cell>
        </row>
        <row r="87">
          <cell r="C87" t="str">
            <v>СЗП</v>
          </cell>
        </row>
        <row r="88">
          <cell r="C88" t="str">
            <v>ИТОГО</v>
          </cell>
        </row>
        <row r="89">
          <cell r="C89" t="str">
            <v>СМП</v>
          </cell>
        </row>
        <row r="90">
          <cell r="C90" t="str">
            <v>СЗП</v>
          </cell>
        </row>
        <row r="91">
          <cell r="C91" t="str">
            <v>ИТОГО</v>
          </cell>
        </row>
        <row r="92">
          <cell r="C92" t="str">
            <v>СМП</v>
          </cell>
        </row>
        <row r="93">
          <cell r="C93" t="str">
            <v>СЗП</v>
          </cell>
        </row>
        <row r="94">
          <cell r="C94" t="str">
            <v>ИТОГО</v>
          </cell>
        </row>
        <row r="95">
          <cell r="C95" t="str">
            <v>СМП</v>
          </cell>
        </row>
        <row r="96">
          <cell r="C96" t="str">
            <v>СЗП</v>
          </cell>
        </row>
        <row r="97">
          <cell r="C97" t="str">
            <v>ИТОГО</v>
          </cell>
        </row>
        <row r="98">
          <cell r="C98" t="str">
            <v>СЗП</v>
          </cell>
        </row>
        <row r="99">
          <cell r="C99" t="str">
            <v>ИТОГО</v>
          </cell>
        </row>
        <row r="100">
          <cell r="C100" t="str">
            <v>СМП</v>
          </cell>
        </row>
        <row r="101">
          <cell r="C101" t="str">
            <v>ИТОГО</v>
          </cell>
        </row>
        <row r="102">
          <cell r="C102" t="str">
            <v>СМП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Акмол"/>
      <sheetName val="Акт обл"/>
      <sheetName val="Алматинск обл"/>
      <sheetName val="Атырау"/>
      <sheetName val=" ВКО"/>
      <sheetName val="Жамбулск"/>
      <sheetName val="ЗКО"/>
      <sheetName val="Караганда"/>
      <sheetName val="Костанай"/>
      <sheetName val="КЗО"/>
      <sheetName val="Мангистау"/>
      <sheetName val="Павлодар"/>
      <sheetName val="СКО"/>
      <sheetName val="ЮКО"/>
      <sheetName val="Алмата"/>
      <sheetName val="Астана"/>
    </sheetNames>
    <sheetDataSet>
      <sheetData sheetId="0" refreshError="1"/>
      <sheetData sheetId="1">
        <row r="15">
          <cell r="P15">
            <v>467903.1779999999</v>
          </cell>
        </row>
        <row r="19">
          <cell r="P19">
            <v>-975.94400000000019</v>
          </cell>
        </row>
      </sheetData>
      <sheetData sheetId="2">
        <row r="13">
          <cell r="U13">
            <v>675.79300000000001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675.79300000000001</v>
          </cell>
          <cell r="AB13">
            <v>675.79300000000001</v>
          </cell>
          <cell r="AC13">
            <v>0</v>
          </cell>
          <cell r="AD13">
            <v>0</v>
          </cell>
          <cell r="AE13">
            <v>675.79300000000001</v>
          </cell>
          <cell r="AF13">
            <v>675.79300000000001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8">
          <cell r="E8">
            <v>5210391.9000000004</v>
          </cell>
          <cell r="F8">
            <v>198266.50880000001</v>
          </cell>
        </row>
        <row r="9">
          <cell r="E9">
            <v>3103323.3</v>
          </cell>
          <cell r="F9">
            <v>216876.44399999999</v>
          </cell>
        </row>
        <row r="10">
          <cell r="E10">
            <v>253790.4</v>
          </cell>
          <cell r="F10">
            <v>0</v>
          </cell>
        </row>
        <row r="11">
          <cell r="E11">
            <v>379081.19999999995</v>
          </cell>
          <cell r="F11">
            <v>0</v>
          </cell>
        </row>
        <row r="12">
          <cell r="E12">
            <v>362411.39999999997</v>
          </cell>
          <cell r="F12">
            <v>0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Dell/Desktop/&#1086;&#1083;%20&#1074;&#1086;&#1088;&#1082;/&#1053;&#1057;&#1047;/2012/3.&#1053;&#1057;&#1047;/&#1053;&#1057;&#1047;_2011/&#1058;&#1091;&#1073;,%20&#1087;&#1089;&#1080;&#1093;,%20&#1085;&#1072;&#1088;&#1082;2%20-%20&#1082;&#1086;&#1087;&#1080;&#1103;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&#1053;&#1057;&#1047;%20&#1076;&#1083;&#1103;%20&#1082;&#1086;&#1088;&#1088;&#1077;&#1082;&#1090;/2012/SHA_2011_&#1086;&#1090;%2024.09.14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1530.479443518518" createdVersion="5" refreshedVersion="5" minRefreshableVersion="3" recordCount="390">
  <cacheSource type="worksheet">
    <worksheetSource ref="A1:E391" sheet="Свод" r:id="rId2"/>
  </cacheSource>
  <cacheFields count="5">
    <cacheField name="Область" numFmtId="0">
      <sharedItems count="16">
        <s v="Актюбинская область"/>
        <s v="Алматинская область"/>
        <s v="Астана"/>
        <s v="Атырауская область"/>
        <s v="ВКО"/>
        <s v="ЗКО"/>
        <s v="Карагандинская область"/>
        <s v="Костанайская область"/>
        <s v="Кызылординская область"/>
        <s v="Мангистау"/>
        <s v="Павлодарская область"/>
        <s v="СКО"/>
        <s v="ЮКО"/>
        <s v="Жамбылская область"/>
        <s v="Алматы"/>
        <s v="Акмолинская обл"/>
      </sharedItems>
    </cacheField>
    <cacheField name="Наименование бюджетной программы" numFmtId="0">
      <sharedItems count="7">
        <s v="Нарко"/>
        <s v="непонятные"/>
        <s v="Туб"/>
        <s v="Тубдиспансер"/>
        <s v="Псих"/>
        <s v="Инфекц"/>
        <s v="онко"/>
      </sharedItems>
    </cacheField>
    <cacheField name="Наименование медицинских организации" numFmtId="0">
      <sharedItems count="371">
        <s v="«Ақтөбе облыстық наркологиялық диспансері» МКҚК"/>
        <s v="«Әйтеке би орталық аудандық ауруханасы» МКҚК "/>
        <s v="«Алға орталық аудандық ауруханасы» МКК "/>
        <s v="«Байғанин аудандық орталық ауруханасы» МКҚК "/>
        <s v=" «Ырғыз орталық аудандық ауруханасы» МКҚК"/>
        <s v="«Қарғалы орталық аудандық ауруханасы» МКК "/>
        <s v="«Қобда аудандық орталық ауруханасы» МКҚК "/>
        <s v="«Мәртөк аудандық орталық ауруханасы» МКҚК "/>
        <s v="«Мұғалжар аудандық ауруханасы» МКҚК "/>
        <s v="«Темір аудандық орталық ауруханасы» МКҚК "/>
        <s v="«Ойыл орталық аудандық ауруханасы» МКҚК "/>
        <s v="«Хромтау орталық аудандық аурухана» МКК "/>
        <s v="«Шалқар аудандық ауруханасы»  МКҚК "/>
        <s v="«Ембі аудандық ауруханасы»  МКҚК "/>
        <s v="«Әйтекеби аудандық туберкулез ауруханасы» МКҚК"/>
        <s v="«Шалкар аудандық туберкулез ауруханасы» МКҚК"/>
        <s v="«Темир аудандық туберкулез ауруханасы» МКҚК"/>
        <s v="«Мұғалжар аудандық туберкулез ауруханасы» МКҚК"/>
        <s v="«Ырғыз  аудандық туберкулез ауруханасы» МКҚК"/>
        <s v="«Ақтөбе облыстық туберкулезге қарсы диспансері» МКҚК"/>
        <s v=" «Ақтөбе облыстық балалар сүйек-өкпе туберкулезінің «Шағала» санаториясы» МКҚК "/>
        <s v="«Бершүгір түбіркүлезге қарсы санаториясы» МКҚК "/>
        <s v="«Ақтөбе облысының психоневрологиялық диспансері» МКҚК"/>
        <s v=" «Ақтөбе облыстық наркологиялық диспансері» МКҚК"/>
        <s v="«Облыстық клиникалық инфекциялық ауруханасы» МКҚК"/>
        <s v="«Мамандандырылған емдеу-профилактикалық кәсіпорыны» МКҚК"/>
        <s v="«Облыстық  ЖИТС  алдын  алу  және  оған  қарсы  күрес  жөніндегі  орталығы»  МКҚК  "/>
        <s v="ГККП Областной наркологический диспансер г. Талдыкорган"/>
        <s v="ГККП Уйгурская центральная районная больница ГУ Управления здравоохранения Алматинской области акимата Алматинской области"/>
        <s v="ГККП Жамбылская центральная районная больница ГУ Управления здравоохранения Алматинской области акимата Алматинской области"/>
        <s v="ГККП Коксуская центральная районная больница ГУ Управления здравоохранения Алматинской области акимата Алматинской области"/>
        <s v="ГККП Саркандская центральная районная больница ГУ Управления здравоохранения Алматинской области акимата Алматинской области"/>
        <s v="ГККП Алакольская центральная районная больница ГУ Управления здравоохранения Алматинской области акимата Алматинской области"/>
        <s v="ГКП на ПХВ Капчагайская городская больница ГУ Управления здравоохранения Алматинской области акимата Алматинской области"/>
        <s v="ГКП Городская больница г.Текели"/>
        <s v="ГККП Аксуская ЦРБ ГУ Управления здравоохранения Алматинской области акимата Алматинской области"/>
        <s v="ГККП Кербулакская центральная районная больница ГУ Управления здравоохранения Алматинской области акимата Алматинской области"/>
        <s v="ГКП центральная районная больница Каратальского района"/>
        <s v="ГККП Сельская больница с.Шелек Енбекшиказахского района"/>
        <s v="ГККП Сельская больница        с.Нарынкол Райымбекского района"/>
        <s v="ГККП Райымбекская центральная районная больница ГУ Управления здравоохранения Алматинской области акимата Алматинской области"/>
        <s v="ГККП Сельская больница с.Кабанбай Алакольского района"/>
        <s v="ГКП на ПХВ Енбекшиказахская центральная районная больница ГУ Управления здравоохранения Алматинской области акимата Алматинской области"/>
        <s v="ГККП  &quot;Противотуберкулезный диспансер&quot; ГУ &quot;Управление здравоохранения города Астаны&quot;"/>
        <s v="ГККП &quot;Городская  инфекционная больница&quot; ГУ &quot;Управление здравоохранения города Астаны&quot;"/>
        <s v="ГККП &quot;Городская детская инфекционная больница&quot; ГУ &quot;Управление здравоохранения города Астаны&quot;"/>
        <s v="ГККП &quot;Медицинский центр проблем психического здоровья&quot; ГУ &quot;Управление здравоохранения города Астаны&quot;"/>
        <s v="ГКП на праве хоз.ведения &quot;Центр медико-социальной реабилитации&quot; Управления  здравоохранения г. Астаны"/>
        <s v="КГКП &quot;Атырауский областной противотуберкулезный_x000a_диспансер&quot;"/>
        <s v="КГКП &quot;Жылыойская  районная туберкулезная больница&quot;"/>
        <s v="КГКП Махамбетская  районная туберкулезная больница&quot;"/>
        <s v="КГКП &quot;Макатская противотуберкулезная больница&quot;"/>
        <s v="КГКП &quot;Индерский районный туберкулезный диспансер&quot;"/>
        <s v="КГКП &quot;Исатайский районный туберкулезный диспансер&quot;"/>
        <s v="КГКП &quot;Курмангазинская районная туберкулезная _x000a_больница имени М. Гилаева&quot;"/>
        <s v="КГКП &quot;Кзылкугинская  районная туберкулезная больница&quot;"/>
        <s v="КГКП &quot;Атырауский областной противотуберкулезный_x000a_санаторий&quot;"/>
        <s v="КГКП &quot;Атырауский областной детский противотуберкулезный санатории&quot;"/>
        <s v="КГКП &quot;Атырауская областная психо-неврологическая_x000a_больница&quot;"/>
        <s v="КГКП &quot;Атырауская областная инфекционная больница&quot;"/>
        <s v="КГКП &quot;Атырауский областной наркологический_x000a_диспансер&quot;"/>
        <s v="КГП на ПХВ &quot;Махамбетская центральная районная _x000a_больница&quot;"/>
        <s v="КГП на ПХВ &quot;Макатская центральная районная _x000a_больница&quot;"/>
        <s v="КГП на ПХВ &quot;Индерская центральная районная _x000a_больница&quot;"/>
        <s v="КГП на ПХВ &quot;Исатайская центральная районная _x000a_больница&quot;"/>
        <s v="КГП на ПХВ &quot;Кызылкогинская центральная районная _x000a_больница&quot;"/>
        <s v="КГП на ПХВ &quot;Жылыойская центральная районная _x000a_больница&quot;"/>
        <s v="КГП на ПХВ &quot;Курмангазинская центральная районная _x000a_больница&quot;"/>
        <s v="ГУ &quot;Областной центр по профилактике и борьбе с синдромом приобретенного иммунодефицита (СПИД)&quot;"/>
        <s v="КГКП &quot;ВКО наркологический диспансер&quot;Управления здравоохранения ВКО акимата "/>
        <s v="КГКП &quot;Восточно-Казахстанская областная психиатрическая больница села Ново-Канайка&quot; Управления здравоохранения Восточно-Казахстанского областного акимата&quot;"/>
        <s v="КГКП  Восточно-Казахстанский областной противотуберкулезный диспансер Управления здравоохранения Восточно-Казахстанского областного акимата&quot;"/>
        <s v="КГКП &quot;Восточно-Казахстанский областной психоневрологический дспансер&quot; Управления здравоохранения Восточно-Казахстанского областного акимата&quot;"/>
        <s v="КГКП «Региональный противотуберкулезный диспансер города Семей»  Управления здравоохранения Восточно-Казахстанского областного акимата "/>
        <s v="КГКП &quot;Областной детский туберкулезный санаторий Сосна&quot; Управления здравоохранения Восточно-Казахстанского областного акимата"/>
        <s v="КГКП &quot;Областной туберкулезный санаторий &quot;Березовка&quot; Управления здравоохранения Восточно-Казахстанского областного акимата&quot;"/>
        <s v="КГКП &quot;Первомайский туберкулезный детский санаторий&quot; Управления здравоохранения Восточно-Казахстанского областного акимата"/>
        <s v="КГКП Психиатрическая больница п.Шульбинск Управления здравоохранения Восточно-Казахстанского областного акимата&quot;"/>
        <s v="КГП  на ПХВ &quot;Усть-Каменогорская городская больница № 1&quot; Управления здравоохранения ВКО акимата"/>
        <s v="ТОО &quot;Медико-санитарная часть-2&quot; "/>
        <s v="КГКП &quot;Риддерская городская больница&quot; Управления здравоохранения ВКО акимта"/>
        <s v="КГКП &quot;Противотуберкулезный диспансер города Риддер&quot; Управления здравоохранения Восточно-Казахстанского областного акимата"/>
        <s v="КГКП &quot;Психоневрологический диспансер города Риддер&quot; Управления здравоохранения Восточно-Казахстанского областного акимата"/>
        <s v="КГКП &quot;Медицинское объединение №3 г.Серебрянска Зыряновского района&quot; Управление здравоохранения ВКО акимата"/>
        <s v="КГКП &quot;Психоневрологический диспансер Зыряновского района&quot; Управления здравоохранения Восточно-Казахстанского областного акимата"/>
        <s v="КГКП &quot;Противотуберкулезный  диспансер Зыряновского района&quot; Управления здравоохранения Восточно-Казахстанского областного акимата"/>
        <s v="КГКП &quot;Инфекционная больница Зыряновского района&quot; Управления здравоохранения Восточно-Казахстанского областного акимата"/>
        <s v="КГКП &quot;Медицинское объединение Глубоковского района&quot; Управления здравоохранения Восточно-Казахстанского областного акимата"/>
        <s v="КГКП &quot;Медицинское объединение Зайсанского района&quot; Управления здравоохранения Восточно-Казахстанского областного акимата"/>
        <s v="КГКП &quot;Противотуберкулезная  больница&quot; Управления здравоохранения Восточно-Казахстанского областного акимата"/>
        <s v="КГКП &quot;Медицинское объединение №1 Катон-Карагайского района&quot; Управления здравоохранения Восточно-Казахстанского областного акимата"/>
        <s v="КГКП &quot;Медицинское объединение №2 Катон-Карагайского района&quot; Управления здравоохранения Восточно-Казахстанского областного акимата"/>
        <s v="КГКП &quot;Медицинское объединение №1 Курчумского района&quot; Управления здравоохранения Восточно-Казахстанского областного акимата"/>
        <s v="КГКП &quot;Медицинское объединение №2 Курчумского района&quot; Управления здравоохранения Восточно-Казахстанского областного акимата"/>
        <s v="КГКП &quot;Медицинское объединение №1 Кокпектинского района&quot; Управление здравоохранения ВКО акимата"/>
        <s v="КГКП &quot;Медицинское объединение №2 Кокпектинского района&quot; Управление здравоохранения ВКО акимата"/>
        <s v="КГКП&quot;Противотуберкулезная  больница Кокпектинского  района&quot; Управление здравоохранения ВКО акимата"/>
        <s v="КГКП &quot;Медицинское объединение №1 Тарбагатайского района&quot; Управление здравоохранения ВКО акимата"/>
        <s v="КГКП &quot;Медицинское объединение №2 Тарбагатайского района&quot; Управление здравоохранения ВКО акимата"/>
        <s v="КГКП&quot;Межрайонная  противотуберкулезная больница &quot;Управления здравоохранения Восточно-Казахстанского областного акимата"/>
        <s v="КГКП &quot;Медицинское объединение Уланского района&quot; Управление здравоохранения ВКО акимата"/>
        <s v="КГКП &quot;Медицинское объединение Шемонаихинского района&quot; Управления здравоохранения ВКО акимата"/>
        <s v="КГКП &quot;Наркологический диспансер г.Семей&quot;Управления здравоохранения ВКО акимата"/>
        <s v="КГКП &quot;Инфекционная больница города Семей&quot; Управления здравоохранения Восточно-Казахстанского областного акимата"/>
        <s v="КГКП  &quot;Центр психического здоровья города Семей&quot; Управления здравоохранения Восточно-Казахстанского областного акимата"/>
        <s v=" КГКП &quot;Курчатовская городская больница&quot; Управления здравоохранения Восточно-Казахстанского областного акимата"/>
        <s v="КГКП &quot;Медицинское объединение Абайского района&quot; Управления здравоохранения Восточно-Казахстанского областного акимата"/>
        <s v="КГКП &quot;Медицинское объединение Аягозского района&quot; Управления здравоохранения Восточно-Казахстанского областного акимата"/>
        <s v="КГКП &quot;Противотуберкулезный диспансер Аягозского района Управления здравоохранения Восточно-Казахстанского областного акимата"/>
        <s v="КГКП &quot;Медицинское объединение Бескарагайского района&quot; Управление здравоохранения ВКО акимата"/>
        <s v="КГКП &quot;Медицинское объединение Бородулихинского района&quot; Управления здравоохранения ВКОакимата"/>
        <s v="КГКП &quot;Медицинское объединение №1 Жарминского района&quot; Управления здравоохранения Восточно-Казахстанского областного акимата"/>
        <s v="КГКП &quot;Противотуберкулезная больница Жарминского района&quot; Управления здравоохранения Восточно-Казахстанского областного акимата"/>
        <s v="КГКП &quot;Медицинское объединение №1 Урджарского района&quot; Управления здравоохранения Восточно-Казахстанского областного акимата"/>
        <s v="КГКП &quot;Противотуберкулезная больница Урджарского района&quot; Управления здравоохранения Восточно-Казахстанского областного акимата"/>
        <s v="КГКП &quot;Специализированное лечебно-профилактическое предприятие&quot;Управления здравоохранения ВКО акимата "/>
        <s v="ГУ &quot;ОБЛАСТНОЙ ЦЕНТР ПО ПРОФИЛАКТИКЕ И БОРЬБЕ СО СПИД&quot;"/>
        <s v="ГУ &quot;МЕЖРАЙОННАЯ ПРОТИВОТУБЕРКУЛЕЗНАЯ БОЛЬНИЦА &quot;ОРАЛ&quot;  "/>
        <s v="ГУ &quot;ОБЛАСТНОЙ ПРОТИВОТУБЕРКУЛЕЗНЫЙ ДИСПАНСЕР&quot; "/>
        <s v="ГУ&quot;ГОРОДСКАЯ ИНФЕКЦИОННАЯ БОЛЬНИЦА&quot; "/>
        <s v="ГУ &quot;ОБЛАСТНОЙ ДЕТСКИЙ ТУБЕРКУЛЕЗНЫЙ САНАТОРИЙ &quot;ИВУШКА&quot; "/>
        <s v="Государственное учреждение &quot;Туберкулезная больница Акжаикского района&quot; управления здравоохранения Западно - Казахстанской области"/>
        <s v="Государственное учреждение &quot;Туберкулезная больница Бокейординского района&quot; управления здравоохранения Западно - Казахстанской области"/>
        <s v="Государственное учреждение &quot;Туберкулезная больница Джангалинского района&quot; управления здравоохранения Западно - Казахстанской области"/>
        <s v="Государственное учреждение &quot;Туберкулезная больница Жанибекского района&quot; управления здравоохранения Западно - Казахстанской области"/>
        <s v="Государственное учреждение &quot;Туберкулезная больница Казталовского  района&quot; управления здравоохранения Западно - Казахстанской области"/>
        <s v="Государственное учреждение &quot;Туберкулезная больница Сырымского  района&quot; управления здравоохранения Западно - Казахстанской области"/>
        <s v="Государственное учреждение &quot;Туберкулезная больница Теректинского  района&quot; управления здравоохранения Западно - Казахстанской области"/>
        <s v="Государственное учреждение &quot;Областной туберкулезный санаторий &quot;Қарағайлы&quot; управления здравоохранения Западно - Казахстанской          (Тубсанаторий &quot;Қарағайлы&quot;)."/>
        <s v="Государственное учреждение &quot;Межрайонная противотуберкулезная больница &quot;Бөрлі&quot;  управления здравоохранения Западно - Казахстанской     (ГУ &quot;МПТББ&quot;)"/>
        <s v="ГКП на ПХВ &quot;Акжаикская центральная районная больница&quot;"/>
        <s v="ГККП &quot;Акжаикская  районная больница&quot;"/>
        <s v="ГККП &quot;Бокейординская центральная районная больница&quot;"/>
        <s v="ГКП на ПХВ &quot;Бурлинская центральная районная больница&quot;"/>
        <s v="ГККП &quot;Джангалинская центральная районная больница&quot;"/>
        <s v="ГКП на ПХВ &quot;Жанибекская центральная районная больница&quot;"/>
        <s v="ГКП на ПХВ &quot;Зеленовская районная больница&quot;"/>
        <s v="ГКП на ПХВ &quot;Казталовская центральная районная больница&quot;"/>
        <s v="ГККП &quot;Казталовская районная больница&quot;"/>
        <s v="ГККП &quot;Каратюбинская центральная районная больница&quot;"/>
        <s v="ГКП на ПХВ &quot;Таскалинская центральная районная больница&quot;"/>
        <s v="ГКП на ПХВ &quot;Теректинская центральная районная больница&quot;"/>
        <s v="ГККП &quot;Чингирлауская центральная районная больница&quot;"/>
        <s v="ГККП &quot;Областной центр психического здоровья&quot;"/>
        <s v="ГККП  &quot;Областной наркологический диспансер  управления здравоохранения акимата ЗКО&quot;"/>
        <s v="СК &quot;Фармация&quot;"/>
        <s v="ТОО СК Фармация"/>
        <s v="ГККП &quot;Областной наркологический диспансер&quot;"/>
        <s v="ГККП &quot;Областное наркологическое специализированное  лечебно - профилактическое учреждение&quot;"/>
        <s v="КГП  &quot;Областной наркологический диспансер&quot; "/>
        <s v="КГКП &quot;Областное специализированное лечебно-профилактическое учреждение&quot;  "/>
        <s v="КГКП &quot;Наркологический диспансер города Жезказган&quot; "/>
        <s v="КГП  &quot;Наркологический диспансер города Темиртау&quot;  "/>
        <s v="КГКП &quot;Специализированное лечебно-профилактическое учреждение города Жезказган &quot;"/>
        <s v="КГП &quot;Наркологический диспансер г.Балхаш&quot; "/>
        <s v="КГП &quot;Областной наркологический диспансер &quot; "/>
        <s v="КГКП «Областной психоневрологический диспансер» "/>
        <s v="КГКП «Областной детский психоневрологический диспансер» "/>
        <s v="КГП  &quot;Наркологический диспансер города Темиртау&quot; "/>
        <s v="КГКП &quot;Психиатрический диспансер города Темиртау&quot; "/>
        <s v="КГП &quot;Центральная  больница г. Балхаш&quot; "/>
        <s v="КГП &quot;Детская больница  города Балхаш&quot; "/>
        <s v="КГКП «Психоневрологический диспансер города Балхаш» "/>
        <s v="КГКП &quot;Наркологический диспансер города Жезказган&quot;"/>
        <s v="КГКП «Психоневрологический диспансер города Жезказган» "/>
        <s v="КГП &quot;Детская  больница города Жезказган&quot;  "/>
        <s v="КГКП&quot;Центральная  больница №1 г. Сатпаев&quot; "/>
        <s v="КГКП &quot;Больница поселка Жайрем&quot; "/>
        <s v="КГП &quot;Центральная  больница г Шахтинск&quot; "/>
        <s v="КГП&quot; Центральная районная больница Абайского района&quot;  "/>
        <s v="КГКП &quot;Центральная районная больница Актогайского района&quot;  "/>
        <s v="КГКП  &quot;Центральная районная больница Жанааркинского района&quot; "/>
        <s v="КГКП &quot;Центральная районная больница  Каркаралинского района&quot; "/>
        <s v="КГП &quot;Центральная районная больница Нуринского района&quot; "/>
        <s v="КГП &quot;Центральная районная больница Осакаровского района&quot; "/>
        <s v="КГКП &quot; Центральная районная больница Шетского района&quot; "/>
        <s v="ГККП &quot;Костанайская городская детская больница&quot;"/>
        <s v="ГКП на ПХВ&quot;Костанайский областной наркодиспансер&quot;"/>
        <s v="ГККП &quot;Рудненская городская детская больница&quot;"/>
        <s v="ГККП &quot;Костанайская городская больница&quot;"/>
        <s v="ГККП &quot;Аркалыкская региональная больница&quot;"/>
        <s v="ГККП &quot;Лисаковская городская больница&quot;"/>
        <s v="ГККП &quot;Житикаринская ЦРБ&quot;"/>
        <s v="ГККП &quot;Амангельдинская ЦРБ&quot;"/>
        <s v="ГКП на ПХВ &quot;Аулиекольская ЦРБ&quot;"/>
        <s v="ГККП &quot;Денисовская ЦРБ&quot;"/>
        <s v="ГККП &quot;Джангельдинская ЦРБ&quot;"/>
        <s v="ГККП &quot;Камыстинская ЦРБ&quot;"/>
        <s v="ГККП &quot;Карабалыкская ЦРБ&quot;"/>
        <s v="ГККП &quot;Карасуская ЦРБ&quot;"/>
        <s v="ГККП &quot;Мендыгаринская ЦРБ&quot;"/>
        <s v="ГККП &quot;Наурзумская ЦРБ&quot;"/>
        <s v="ГККП &quot;Сарыкольская ЦРБ&quot;"/>
        <s v="ГККП &quot;Тарановская ЦРБ&quot;"/>
        <s v="ГККП &quot;Узункольская ЦРБ&quot;"/>
        <s v="ГККП &quot;Федоровская ЦРБ&quot;"/>
        <s v="ГККП&quot; Областной наркологический центр&quot;"/>
        <s v="ФГБУЗ &quot;Центральная медико-санитарная часть №1 ФМБА России.г Байконур "/>
        <s v="ГКП на ПХВ&quot; Аральская ЦРБ&quot;"/>
        <s v="ГКП на ПХВ &quot;Жалагашская ЦРБ&quot;"/>
        <s v="ГККП&quot;Жанакурганская ЦРБ&quot;"/>
        <s v="ГККп&quot;Казалинская районная больница&quot;"/>
        <s v="ГККП&quot;Кармакшинская ЦРБ&quot;"/>
        <s v="ГККП &quot;Сырдарьинская ЦРБ&quot;"/>
        <s v="ГККП&quot;Шиелийская РБ&quot;"/>
        <s v="Полевое Учреждение  Банка России №25631 "/>
        <s v="ГККП &quot;Специализированное лечебно-профилактическое утверждение&quot;"/>
        <s v="ГККП &quot;Областная инфекционная больница&quot;"/>
        <s v="ГККП &quot;Мангистауский областной противотуберкулезный диспансер&quot;"/>
        <s v="ГККП &quot;Мангистауский областной психоневрологический диспансер&quot;"/>
        <s v="ГККП &quot;Областной центр по профилактике и борьбе со СПИД&quot;"/>
        <s v="ГККП &quot;Мунайлинская центральная районная больница&quot;"/>
        <s v="ГККП &quot;Мангистауская центральная районная больница&quot;"/>
        <s v="ГККП &quot;Бейнеуская центральная районная больница&quot;"/>
        <s v="ГККП &quot;Каракиянская центральная районная больница&quot;"/>
        <s v="ГККП &quot;Жетыбайская центральная районная больница&quot;"/>
        <s v="ГККП &quot;Тупкараганская центральная районная больница&quot;"/>
        <s v="СЭОО &quot;Солярис&quot;"/>
        <s v="КГП на ПХВ  &quot;Железинская ЦРБ &quot; "/>
        <s v="КГКП  &quot;Иртышская ЦРБ &quot; "/>
        <s v="КГКП  &quot;Баянаульская ЦРБ &quot; "/>
        <s v="КГП на ПХВ  &quot;Аксуская ЦБ &quot; "/>
        <s v="КГКП  &quot;Качирская ЦРБ &quot; "/>
        <s v="КГКП  &quot;Майская ЦРБ &quot; "/>
        <s v="КГП  на ПХВ  &quot;Павлодарский областной центр по профилактике и лечению зависимых заболеваний&quot;"/>
        <s v="КГП на ПХВ  &quot;Экибастузский наркологический диспансер&quot; "/>
        <s v="КГКП &quot;Актогайская  ЦРБ&quot; "/>
        <s v="КГП на ПХВ &quot;Экибастузская городская больница&quot;"/>
        <s v="КГКП &quot;Павлодарский областной противотуберкулезный диспансер&quot;"/>
        <s v="КГКП &quot;Экибастузская противотуберкулезная больница&quot;"/>
        <s v="КГКП &quot;Павлодарский областной психоневрологический диспансер&quot;"/>
        <s v="КГКП &quot;Экибастузский психоневрологический диспансер&quot;"/>
        <s v="КГКП &quot;Аксуская противотуберкулезная больница&quot;"/>
        <s v="Негосударственное медицинское учреждение «Детский санаторий Солнечный» "/>
        <s v="КГП  на ПХВ «Областной наркологический центр акимата СКО МЗ РК&quot;"/>
        <s v="КГКП «Областное специализированное лечебно-профилактическое учреждение, хоспис» акимата СКО МЗ РК"/>
        <s v="ГУ &quot;Областной центр СПИД&quot;"/>
        <s v="КГП  на ПХВ &quot;1-я городская больница акимата СКО МЗ РК&quot;"/>
        <s v=" КГП на ПХВ &quot;3-я городская больница&quot; акимата СКО МЗ РК"/>
        <s v="КГП  на ПХВ «Психоневрологический диспансер&quot; акимата СКО МЗ РК"/>
        <s v="КГКП «Областной противотуберкулезный диспансер» акимата СКО МЗ РК"/>
        <s v="КГП на ПХВ &quot;Айыртауская  центральная районная больница акимата  СКО МЗ РК&quot;"/>
        <s v="КГП на ПХВ &quot;Акжарская  центральная районная больница акимата  СКО МЗ РК&quot;"/>
        <s v="КГП на ПХВ &quot;Аккаинская  центральная районная больница акимата  СКО МЗ РК&quot;"/>
        <s v="КГП на ПХВ &quot;Явленская  центральная районная больница акимата  СКО МЗ РК&quot;"/>
        <s v="КГП на ПХВ &quot;Жамбылская  центральная районная больница акимата  СКО МЗ РК&quot;"/>
        <s v="КГП на ПХВ  «Центральная районная больница района имени М. Жумабаева акимата СКО МЗ РК»"/>
        <s v="КГП на ПХВ  «Центральная районная больница района имени Г.Мусрепова акимата СКО МЗ РК»"/>
        <s v="КГП на ПХВ &quot;Тайыншинская центральная районная больница акимата  СКО МЗ РК&quot;"/>
        <s v="КГП на ПХВ &quot;Тимирязевская центральная районная больница акимата  СКО МЗ РК&quot;"/>
        <s v="КГП на ПХВ &quot;Уалихановская центральная районная больница акимата  СКО МЗ РК&quot;"/>
        <s v="КГП на ПХВ &quot;Центральная районная больница р-на Шал Акына акимата  СКО МЗ РК&quot;"/>
        <s v="КГКП &quot;Межрайонный противотуберкулезный диспансер района Магжана Жумабаева акимата СКО МЗ РК&quot;"/>
        <s v="КГКП &quot;Жамбылский межрайонный противотуберкулезный диспансер акимата СКО МЗ РК&quot;"/>
        <s v="КГКП &quot;Тайыншинский межрайонный противотуберкулезный диспансер акимата СКО МЗ РК&quot;"/>
        <s v="КГКП &quot;Межрайонный противотуберкулезный диспансер района имени Г. Мусрепова акимата СКО МЗ РК&quot;"/>
        <s v="2533503 ГУ &quot;Шымкентская городская инфекционная больница&quot;"/>
        <s v="2533505 ГУ &quot;Отрарская районная противотуберкулезная больница&quot;"/>
        <s v="2533506 ГУ &quot;Казыгуртская районная противотуберкулезная больница&quot;"/>
        <s v="2533507 ГУ &quot;Областная противотуберкулезная больница&quot;"/>
        <s v="2533515 ГУ &quot;Областной противотуберкулезный диспансер&quot;"/>
        <s v="2533516 ГУ &quot;Шымкентский городской противотуберкулезный диспансер&quot;"/>
        <s v="2533517 ГУ &quot;Противотуберкулезный диспансер&quot; г. Туркестан"/>
        <s v="2533518 ГУ &quot;Противотуберкулезный диспансер&quot; г.Кентау"/>
        <s v="2533519 ГУ &quot;Толебийский районный противотуберкулезный диспансер&quot;"/>
        <s v="2533520 ГУ &quot;Противотуберкулезный диспансер&quot; Сарыагашский район"/>
        <s v="2533521 ГУ  &quot;Арысский городской противотуберкулезный диспансер&quot;"/>
        <s v="2533522 ГУ &quot;Противотуберкулезный диспансер Ордабасинского района&quot;"/>
        <s v="2533523 ГУ &quot;Сайрамский районный противотуберкулезный диспансер&quot;"/>
        <s v="2533524 ГУ &quot;Противотуберкулезный диспансер&quot; Сузакский район"/>
        <s v="2533525 ГУ &quot;Противотуберкулезный диспансер&quot; Шардаринский район"/>
        <s v="2533526 ГУ  &quot;Противотуберкулезный диспансер района Байдибек&quot;"/>
        <s v="2533527 ГУ &quot;Мактааральский районный противотуберкулезный диспансер&quot;"/>
        <s v="2533528 ГУ &quot;Тюлькубасский районный противотуберкулезный диспансер&quot;"/>
        <s v="2533529 ГУ &quot;Областной психоневрологический диспансер&quot;"/>
        <s v="2533535 ГУ &quot;Областной детский противотуберкулезный санаторий &quot;Жансая&quot;"/>
        <s v="2533536 ГУ &quot;Областной детский противотуберкулезный санаторий &quot;Ак-булак&quot;"/>
        <s v="2533537 ГУ &quot;Областная костно-туберкулезная больница &quot;Балыкши&quot;"/>
        <s v="2533538 ГУ &quot;Городской детский противотуберкулезный санаторий &quot;Карлыгаш&quot;"/>
        <s v="Областной наркологический больница &quot;ОБЛ ЛПУ)"/>
        <s v="Областной наркологический центр&quot; (диспансер)"/>
        <s v="Областной онкологический диспансер"/>
        <s v="Областной дермато-венеролог.д-р"/>
        <s v="Мактааральская центральная  районная больница"/>
        <s v="Сайрамская центральная районная больница"/>
        <s v="Сарыагашская центральная  районная больница"/>
        <s v="Тюлькубасская центральная районная больница"/>
        <s v="Кентауская центральная городская больница"/>
        <s v="Туркестанская городская центральная больница "/>
        <s v="Арысская центральная районная больница "/>
        <s v="Байдибекская центральная  районная больница"/>
        <s v="Казыгуртская центральная  районная больница"/>
        <s v="Ордабасинская центральная  районная больница "/>
        <s v="Отрарская центральная  районная больница"/>
        <s v="Сайрамская районная больница Карабулак "/>
        <s v="Сайрамская районная больница Сайрам"/>
        <s v="Сарыагашская районная больница Абай"/>
        <s v="Сузакская центральная  районная больница"/>
        <s v="Мактааральская  районная больница Асыката"/>
        <s v="Мактааральская  районная больница Мырзакент"/>
        <s v="Толебийская районная больница"/>
        <s v="Ленгерская городская больница"/>
        <s v="Шардаринская центральная районная больница"/>
        <s v="ЖОӘДСБ Жамбыл облыстық психикалық диспансері КММ"/>
        <s v="ЖОӘДСБ Жамбыл облыстық туберкулезге қарсы балалар ауруханасы КММ"/>
        <s v=" ЖОӘДСБ Жамбыл облыстық балалар жұқпалы аурулар ауруханасы КММ"/>
        <s v=" ЖОӘДСБ Жамбыл Облыстық туберкулезге қарсы балалар санаториі КММ"/>
        <s v=" ЖОӘДСБ Жамбыл аудандық туберкулезге қарсы диспансері КММ"/>
        <s v=" ЖОӘДСБ Жуалы аудандық туберкулезге қарсы диспансері КММ"/>
        <s v=" ЖОӘДСБ Сарысу аудандық туберкулезге қарсы диспансері КММ"/>
        <s v=" ЖОӘДСБ Талас аудандық туберкулезге қарсы диспансері КММ"/>
        <s v=" ЖОӘДСБ Байзақ аудандық туберкулезге қарсы диспансері КММ"/>
        <s v=" ЖОӘДСБ Т. Рысқұлов аудандық туберкулезге қарсы диспансері КММ"/>
        <s v=" ЖОӘДСБ Меркі аудандық туберкулезге қарсы диспансері КММ"/>
        <s v=" ЖОӘДСБ Шу аудандық туберкулезге қарсы диспансері КММ"/>
        <s v=" ЖОӘДСБ Қордай аудандық туберкулезге қарсы диспансері КММ"/>
        <s v=" ЖОӘДСБ Мойынқұм аудандық туберкулезге қарсы диспансері КММ"/>
        <s v=" ЖОӘДСБ Жамбыл облыстық жұқтырылған иммун тапшылығы синдромын алдын алу және онымен күрес жүргізу орталығы КММ"/>
        <s v=" ЖОӘДСБ Жамбыл ауданының орталық аудандық ауруханасы КМҚК"/>
        <s v=" ЖОӘДСБ Жуалы ауданының орталық аудандық ауруханасы КМҚК"/>
        <s v=" ЖОӘДСБ Қордай ауданының орталық аудандық ауруханасы ШЖҚ МҚК"/>
        <s v=" ЖОӘДСБ Т. Рысқұлов ауданының орталық аудандық ауруханасы КМҚК"/>
        <s v=" ЖОӘДСБ Мерке ауданының орталық аудандық ауруханасы КМҚК"/>
        <s v=" ЖОӘДСБ Мойынқұм ауданының орталық аудандық ауруханасы ШЖҚ МҚК"/>
        <s v=" ЖОӘДСБ Талас ауданының орталық аудандық ауруханасы ШЖҚ МҚК"/>
        <s v=" ЖОӘДСБ Шу ауданының орталық аудандық ауруханасы КМҚК"/>
        <s v=" ЖОӘДСБ Сарысу ауданының орталық аудандық ауруханасы КМҚК"/>
        <s v=" ЖОӘДСБ Байзақ ауданының орталық аудандық ауруханасы КМҚК"/>
        <s v="ЖОӘДСБ Жамбыл облыстық наркологиялық диспансері ШЖҚ МҚК"/>
        <s v="Жамбыл облысы әкімдігінің денсаулық сақтау басқармасы Жамбыл облыстық жұқтырылған иммун тапшылығы синдромының алдын алу және онымен күрес жүргізу орталығы КММ"/>
        <s v="ҚР Тараз қаласы Дәрігер Ю.В. Лукьяненко"/>
        <s v="ЖОӘДСБ &quot;Жамбыл облыстық наркологиялық диспансері&quot; ШЖҚ МКК"/>
        <s v="ГККП «Городской наркологический центр медико-социальной коррекции» Управления здравоохранения г.Алматы"/>
        <s v="ГККП «Центр по профилактике и борьбе со СПИД», Управления здравоохранения г.Алматы"/>
        <s v="ГККП«Кожно-венерологический диспансер» Управления здравоохранения города Алматы"/>
        <s v="ГКП на ПХВ «Алматинский онкологический центр» Управления здравоохранения г.Алматы"/>
        <s v="ГККП «Городской противотуберкулезный диспансер Ауэзовского района» Управления здравоохранения г.Алматы"/>
        <s v="ГККП Городской противотуберкулезный диспансер Медеуского района» Управления здравоохранения г.Алматы"/>
        <s v="ГККП «Межрайонный противотуберкулезный диспансер» Управления здравоохранения г.Алматы"/>
        <s v="ГККП «Городской противотуберкулезный диспансер Турксибского района» Управления здравоохранения г.Алматы"/>
        <s v="ГККП «Противотуберкулезный санаторий «Каменское плато» Управления здравоохранения города Алматы"/>
        <s v="ГККП «Детский противотуберкулезный санаторий №1» Управления здравоохранения города Алматы"/>
        <s v="ГККП Детская городская клиническая инфекционная больница» Управления здравоохранения г.Алматы"/>
        <s v="ГККП «Городская клиническая инфекционная больница имени Изатимы Жекеновой» Управления здравоохранения г.Алматы»"/>
        <s v="ГККП «Центр психического здоровья» Управления здравоохранения г.Алматы"/>
        <s v="ГККП «Центр по профилактике и борьбе со СПИД» Управления здравоохранения г.Алматы"/>
        <s v="Щучинский тубдиспансер"/>
        <s v="Атбасарский тубдиспансер"/>
        <s v="Степногорская региональная психбольница"/>
        <s v="Степногорский тубдиспансер"/>
        <s v="Аккольская ЦРБ"/>
        <s v="Астраханская ЦРБ"/>
        <s v="Ерементауская ЦРБ"/>
        <s v="Есильская ЦРБ"/>
        <s v="Жаркаинская ЦРБ"/>
        <s v="Зерендинская ЦРБ"/>
        <s v="Бурабайская ЦРБ"/>
        <s v="Аршалынская ЦРБ"/>
        <s v="Областной тубдиспансер"/>
        <s v="Атбасарская ЦРБ"/>
        <s v="Степногорская ЦРБ"/>
        <s v="Акмолинская областная психиатрическая больница"/>
        <s v="Акмолинский областной наркологический центр"/>
        <s v="Областная детская больница"/>
        <s v="Кокшетауская горбольница №1"/>
        <s v="Областная больница №2"/>
        <s v="ГУ Акмолинский областной психоневрологический диспансер"/>
        <s v="Областной санаторий для детей с заболеванием бронхолегочной системы"/>
        <s v="Мариновский межрайонный противотубдиспансер"/>
        <s v="ГККП Областная наркологическая больница для принудительного лечения"/>
        <s v="ГККП Областной наркологический реабилитационный центр"/>
      </sharedItems>
    </cacheField>
    <cacheField name="мб" numFmtId="0">
      <sharedItems containsString="0" containsBlank="1" containsNumber="1" minValue="0" maxValue="1058970.2" count="352">
        <n v="238170.2"/>
        <n v="2108"/>
        <n v="23496.799999999999"/>
        <n v="25596.799999999999"/>
        <n v="16556"/>
        <n v="67256.2"/>
        <n v="123531.8"/>
        <n v="124904.4"/>
        <n v="42089.4"/>
        <n v="863751.3"/>
        <n v="314941.09999999998"/>
        <n v="67485.5"/>
        <n v="357036.7"/>
        <n v="28000"/>
        <n v="215670"/>
        <n v="31139.4"/>
        <n v="112877.5"/>
        <n v="174055"/>
        <n v="74615"/>
        <n v="22805"/>
        <n v="41073"/>
        <n v="40045"/>
        <n v="39564"/>
        <n v="23116"/>
        <n v="26665"/>
        <n v="48423"/>
        <n v="44870"/>
        <n v="26370"/>
        <n v="37006"/>
        <n v="35262"/>
        <n v="52565"/>
        <n v="21387"/>
        <n v="19600"/>
        <n v="18196"/>
        <n v="114587"/>
        <n v="1058970.2"/>
        <n v="530299"/>
        <n v="671345.4"/>
        <n v="786932.2"/>
        <n v="24254.2"/>
        <n v="784916"/>
        <n v="120616"/>
        <n v="153813"/>
        <n v="125488"/>
        <n v="25490"/>
        <n v="25760"/>
        <n v="177864"/>
        <n v="84885"/>
        <n v="105459"/>
        <n v="64092"/>
        <n v="232837.80776"/>
        <n v="241064"/>
        <n v="38076"/>
        <n v="15892"/>
        <n v="13440"/>
        <n v="14916"/>
        <n v="10998"/>
        <n v="14160"/>
        <n v="32012"/>
        <n v="18531"/>
        <n v="75271.887279999995"/>
        <n v="151423.6"/>
        <n v="245774.6"/>
        <n v="769025.69"/>
        <n v="389223.89"/>
        <n v="795183.61699999997"/>
        <n v="100165.268"/>
        <n v="61741.37"/>
        <n v="80047.436000000002"/>
        <n v="276454.89899999998"/>
        <n v="93867.14"/>
        <n v="84367.255999999994"/>
        <n v="56410.258000000002"/>
        <n v="72544.338000000003"/>
        <n v="76921.906000000003"/>
        <n v="9237.4709999999995"/>
        <n v="88864.142000000007"/>
        <n v="105809.61599999999"/>
        <n v="95185.814280000006"/>
        <n v="12907.257"/>
        <n v="34965.919999999998"/>
        <n v="5331.9279999999999"/>
        <n v="11178.405000000001"/>
        <n v="16072.683999999999"/>
        <n v="10935.392"/>
        <n v="7877.1"/>
        <n v="4778.7120000000004"/>
        <n v="9406.6740000000009"/>
        <n v="46852.648999999998"/>
        <n v="10764.995000000001"/>
        <n v="15313.431"/>
        <n v="165370.69399999999"/>
        <n v="9914.6579999999994"/>
        <n v="38996.987999999998"/>
        <n v="128431.5"/>
        <n v="243103.2"/>
        <n v="357879.19699999999"/>
        <n v="2887.5590000000002"/>
        <n v="3670.7"/>
        <n v="19952.116999999998"/>
        <n v="65913.888000000006"/>
        <n v="13627.2"/>
        <n v="10271.508"/>
        <n v="8510"/>
        <n v="52428.976000000002"/>
        <n v="15838.323"/>
        <n v="44386.701000000001"/>
        <n v="116311.00089"/>
        <n v="93681.138999999996"/>
        <n v="165336.356"/>
        <n v="781616.95299999998"/>
        <n v="353850.99800000002"/>
        <n v="120954.735"/>
        <n v="79099.263999999996"/>
        <n v="22768.617999999999"/>
        <n v="36944.586000000003"/>
        <n v="46486.294999999998"/>
        <n v="68024.301000000007"/>
        <n v="60124.677000000003"/>
        <n v="50946.118999999999"/>
        <n v="98850.396999999997"/>
        <n v="85704.547000000006"/>
        <n v="17076"/>
        <n v="12025"/>
        <n v="5412"/>
        <n v="25132"/>
        <n v="7937"/>
        <n v="4630"/>
        <n v="15031"/>
        <n v="15573"/>
        <n v="6915"/>
        <n v="11544"/>
        <n v="2165"/>
        <n v="11604"/>
        <n v="516758"/>
        <n v="117011.5"/>
        <n v="20618.812999999998"/>
        <m/>
        <n v="55264.86"/>
        <n v="475311.33799999999"/>
        <n v="209954.84899999999"/>
        <n v="17946"/>
        <n v="91589.161999999997"/>
        <n v="39971.06"/>
        <n v="58504.66"/>
        <n v="93321.047000000006"/>
        <n v="10528.8"/>
        <n v="30751.617999999999"/>
        <n v="189911.2"/>
        <n v="63612.921000000002"/>
        <n v="43549.199000000001"/>
        <n v="7618.4250000000002"/>
        <n v="20899.321"/>
        <n v="29101.264999999999"/>
        <n v="4607.4669999999996"/>
        <n v="13388.263000000001"/>
        <n v="3235.03"/>
        <n v="10115.887000000001"/>
        <n v="3925.9169999999999"/>
        <n v="3211.6889999999999"/>
        <n v="130498"/>
        <n v="36546"/>
        <n v="98474"/>
        <n v="23333"/>
        <n v="16850"/>
        <n v="30265"/>
        <n v="40936"/>
        <n v="7288"/>
        <n v="28758"/>
        <n v="10475"/>
        <n v="15486"/>
        <n v="2490"/>
        <n v="1822"/>
        <n v="9260"/>
        <n v="39954"/>
        <n v="1742"/>
        <n v="1905"/>
        <n v="14808"/>
        <n v="4894"/>
        <n v="11503"/>
        <n v="305530"/>
        <n v="97971.008000000002"/>
        <n v="130197"/>
        <n v="28945"/>
        <n v="29274"/>
        <n v="31735"/>
        <n v="27643"/>
        <n v="15149"/>
        <n v="23528.999"/>
        <n v="42145"/>
        <n v="6270.8275199999998"/>
        <n v="66743"/>
        <n v="19688"/>
        <n v="388868.804"/>
        <n v="219065.31899999999"/>
        <n v="25407.571499999998"/>
        <n v="28805"/>
        <n v="92876"/>
        <n v="44140"/>
        <n v="24000"/>
        <n v="21060"/>
        <n v="43769.4545"/>
        <n v="17160"/>
        <n v="12000"/>
        <n v="948"/>
        <n v="4806"/>
        <n v="9085"/>
        <n v="8708"/>
        <n v="34052"/>
        <n v="5360"/>
        <n v="8200"/>
        <n v="59900"/>
        <n v="17711"/>
        <n v="4164"/>
        <n v="38984"/>
        <n v="165750"/>
        <n v="24300"/>
        <n v="256766"/>
        <n v="36348"/>
        <n v="8676"/>
        <n v="75377.3"/>
        <n v="83063"/>
        <n v="184747"/>
        <n v="459737"/>
        <n v="738494"/>
        <n v="33763"/>
        <n v="87785"/>
        <n v="44445"/>
        <n v="45636"/>
        <n v="31546"/>
        <n v="21640"/>
        <n v="13329"/>
        <n v="20426"/>
        <n v="0"/>
        <n v="12862"/>
        <n v="30271"/>
        <n v="59024"/>
        <n v="87253"/>
        <n v="161008"/>
        <n v="71934"/>
        <n v="84460"/>
        <n v="57600"/>
        <n v="648388"/>
        <n v="116472"/>
        <n v="74138"/>
        <n v="296658"/>
        <n v="718597"/>
        <n v="450100"/>
        <n v="127817"/>
        <n v="60813"/>
        <n v="83847"/>
        <n v="201594"/>
        <n v="170118"/>
        <n v="121446"/>
        <n v="89720"/>
        <n v="168143"/>
        <n v="64881"/>
        <n v="74850"/>
        <n v="56776"/>
        <n v="114770"/>
        <n v="114370"/>
        <n v="90729"/>
        <n v="852568"/>
        <n v="134312"/>
        <n v="372301"/>
        <n v="206065"/>
        <n v="291056"/>
        <n v="105716"/>
        <n v="80809.24028682537"/>
        <n v="96774.772474910336"/>
        <n v="100658.09655642915"/>
        <n v="32309.03653672908"/>
        <n v="69436.83414436951"/>
        <n v="43219.079036729076"/>
        <n v="51788.359902546814"/>
        <n v="113319.99235382021"/>
        <n v="79388.171920911351"/>
        <n v="37679.256436729083"/>
        <n v="18285.101999999999"/>
        <n v="29366.982000000004"/>
        <n v="43311.680999999997"/>
        <n v="39932.667500000003"/>
        <n v="28782.105000000003"/>
        <n v="20316.78"/>
        <n v="26089.457000000009"/>
        <n v="20258.524000000001"/>
        <n v="27089.040000000001"/>
        <n v="22585.487100000002"/>
        <n v="24718.749000000003"/>
        <n v="28658.972999999998"/>
        <n v="20860.613000000001"/>
        <n v="398277.81920000003"/>
        <n v="231320.85522"/>
        <n v="541269.00155000004"/>
        <n v="89648.999649999998"/>
        <n v="33281.104570000003"/>
        <n v="41897.999900000003"/>
        <n v="114295"/>
        <n v="71747.956319999998"/>
        <n v="128640.48927999999"/>
        <n v="124212"/>
        <n v="56280.172100000003"/>
        <n v="145590.99989000001"/>
        <n v="117398.15399999999"/>
        <n v="121715"/>
        <n v="97887.946490000002"/>
        <n v="22843"/>
        <n v="20541"/>
        <n v="32140"/>
        <n v="26945"/>
        <n v="34938"/>
        <n v="25507"/>
        <n v="17731"/>
        <n v="33814"/>
        <n v="31138"/>
        <n v="23052"/>
        <n v="23254"/>
        <n v="134701.98800000001"/>
        <n v="184020"/>
        <n v="106000"/>
        <n v="170000"/>
        <n v="987220.28"/>
        <n v="211957.32199999999"/>
        <n v="170121.52100000001"/>
        <n v="257831.52499999999"/>
        <n v="728002.5"/>
        <n v="458886.58"/>
        <n v="879637.5"/>
        <n v="280609.31099999999"/>
        <n v="145377"/>
        <n v="415885"/>
        <n v="20253"/>
        <n v="154505"/>
        <n v="20706"/>
        <n v="13683"/>
        <n v="12363"/>
        <n v="15341"/>
        <n v="6252"/>
        <n v="1547"/>
        <n v="13287"/>
        <n v="13905"/>
        <n v="625275"/>
        <n v="30566"/>
        <n v="21296"/>
        <n v="496600"/>
        <n v="26205"/>
        <n v="37392"/>
        <n v="21901"/>
        <n v="18454"/>
        <n v="36766"/>
        <n v="108197"/>
        <n v="13955"/>
      </sharedItems>
    </cacheField>
    <cacheField name="рб" numFmtId="0">
      <sharedItems containsString="0" containsBlank="1" containsNumber="1" minValue="1766.258" maxValue="491661" count="26">
        <m/>
        <n v="163771.07500000001"/>
        <n v="62967"/>
        <n v="207706"/>
        <n v="2868"/>
        <n v="145198.52299999999"/>
        <n v="187076.864"/>
        <n v="22734.916000000001"/>
        <n v="30181.126"/>
        <n v="68200.308000000005"/>
        <n v="15932.499"/>
        <n v="270679"/>
        <n v="33857"/>
        <n v="50797"/>
        <n v="100736"/>
        <n v="181941"/>
        <n v="346743"/>
        <n v="157809"/>
        <n v="276310"/>
        <n v="39228.323400000001"/>
        <n v="12230"/>
        <n v="249120"/>
        <n v="491661"/>
        <n v="1766.258"/>
        <n v="145357"/>
        <n v="1053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Автор" refreshedDate="41892.617825694448" createdVersion="3" refreshedVersion="3" minRefreshableVersion="3" recordCount="296">
  <cacheSource type="worksheet">
    <worksheetSource ref="A1:AW297" sheet="Donor funding" r:id="rId2"/>
  </cacheSource>
  <cacheFields count="49">
    <cacheField name="Year" numFmtId="0">
      <sharedItems containsSemiMixedTypes="0" containsString="0" containsNumber="1" containsInteger="1" minValue="2010" maxValue="2012" count="3">
        <n v="2011"/>
        <n v="2010"/>
        <n v="2012"/>
      </sharedItems>
    </cacheField>
    <cacheField name="donorcode" numFmtId="0">
      <sharedItems containsSemiMixedTypes="0" containsString="0" containsNumber="1" containsInteger="1" minValue="1" maxValue="1312"/>
    </cacheField>
    <cacheField name="donorname" numFmtId="0">
      <sharedItems/>
    </cacheField>
    <cacheField name="FS" numFmtId="0">
      <sharedItems count="2">
        <s v="FS.7.1.2"/>
        <s v="FS.7.1.1"/>
      </sharedItems>
    </cacheField>
    <cacheField name="HF" numFmtId="0">
      <sharedItems count="2">
        <s v="HF.4.2.2.3"/>
        <s v="HF.4.2.2.1 "/>
      </sharedItems>
    </cacheField>
    <cacheField name="agencycode" numFmtId="0">
      <sharedItems containsSemiMixedTypes="0" containsString="0" containsNumber="1" containsInteger="1" minValue="1" maxValue="99"/>
    </cacheField>
    <cacheField name="agencyname" numFmtId="0">
      <sharedItems/>
    </cacheField>
    <cacheField name="crsid" numFmtId="0">
      <sharedItems containsMixedTypes="1" containsNumber="1" containsInteger="1" minValue="2009008778" maxValue="2010000337011"/>
    </cacheField>
    <cacheField name="projectnumber" numFmtId="0">
      <sharedItems containsBlank="1" containsMixedTypes="1" containsNumber="1" containsInteger="1" minValue="891" maxValue="2012130065252"/>
    </cacheField>
    <cacheField name="initialreport" numFmtId="0">
      <sharedItems containsSemiMixedTypes="0" containsString="0" containsNumber="1" containsInteger="1" minValue="1" maxValue="8"/>
    </cacheField>
    <cacheField name="recipientcode" numFmtId="0">
      <sharedItems containsSemiMixedTypes="0" containsString="0" containsNumber="1" containsInteger="1" minValue="613" maxValue="613"/>
    </cacheField>
    <cacheField name="recipientname" numFmtId="0">
      <sharedItems/>
    </cacheField>
    <cacheField name="regioncode" numFmtId="0">
      <sharedItems containsNonDate="0" containsString="0" containsBlank="1"/>
    </cacheField>
    <cacheField name="regionname" numFmtId="0">
      <sharedItems containsNonDate="0" containsString="0" containsBlank="1"/>
    </cacheField>
    <cacheField name="incomegroupcode" numFmtId="0">
      <sharedItems containsSemiMixedTypes="0" containsString="0" containsNumber="1" containsInteger="1" minValue="10019" maxValue="10019"/>
    </cacheField>
    <cacheField name="incomegroupname" numFmtId="0">
      <sharedItems/>
    </cacheField>
    <cacheField name="flowcode" numFmtId="0">
      <sharedItems containsSemiMixedTypes="0" containsString="0" containsNumber="1" containsInteger="1" minValue="11" maxValue="99"/>
    </cacheField>
    <cacheField name="flowname" numFmtId="0">
      <sharedItems containsBlank="1"/>
    </cacheField>
    <cacheField name="bi_multi" numFmtId="0">
      <sharedItems containsSemiMixedTypes="0" containsString="0" containsNumber="1" containsInteger="1" minValue="1" maxValue="6"/>
    </cacheField>
    <cacheField name="category" numFmtId="0">
      <sharedItems containsSemiMixedTypes="0" containsString="0" containsNumber="1" containsInteger="1" minValue="10" maxValue="30"/>
    </cacheField>
    <cacheField name="finance_t" numFmtId="0">
      <sharedItems containsSemiMixedTypes="0" containsString="0" containsNumber="1" containsInteger="1" minValue="110" maxValue="110"/>
    </cacheField>
    <cacheField name="aid_t" numFmtId="0">
      <sharedItems containsBlank="1"/>
    </cacheField>
    <cacheField name="usd_commitment" numFmtId="0">
      <sharedItems containsString="0" containsBlank="1" containsNumber="1" minValue="-1.79733191" maxValue="14.4849999999999"/>
    </cacheField>
    <cacheField name="usd_disbursement" numFmtId="0">
      <sharedItems containsString="0" containsBlank="1" containsNumber="1" minValue="-4.1301999999999901E-2" maxValue="14.321325"/>
    </cacheField>
    <cacheField name="тыс.тенге" numFmtId="0">
      <sharedItems containsSemiMixedTypes="0" containsString="0" containsNumber="1" minValue="-6158.5412199999855" maxValue="2110390.452"/>
    </cacheField>
    <cacheField name="usd_received" numFmtId="0">
      <sharedItems containsString="0" containsBlank="1" containsNumber="1" minValue="0" maxValue="8.7048000000000004E-3"/>
    </cacheField>
    <cacheField name="usd_commitment_defl" numFmtId="0">
      <sharedItems containsString="0" containsBlank="1" containsNumber="1" minValue="-1.79733191" maxValue="14.804789523675"/>
    </cacheField>
    <cacheField name="usd_disbursement_defl" numFmtId="0">
      <sharedItems containsString="0" containsBlank="1" containsNumber="1" minValue="-4.0552109180471398E-2" maxValue="15.256645718524201"/>
    </cacheField>
    <cacheField name="usd_received_defl" numFmtId="0">
      <sharedItems containsString="0" containsBlank="1" containsNumber="1" minValue="0" maxValue="9.2733074384255508E-3"/>
    </cacheField>
    <cacheField name="usd_adjustment" numFmtId="0">
      <sharedItems containsString="0" containsBlank="1" containsNumber="1" minValue="-4.5250000000000004E-3" maxValue="-1.9999999999999902E-6"/>
    </cacheField>
    <cacheField name="usd_adjustment_defl" numFmtId="0">
      <sharedItems containsString="0" containsBlank="1" containsNumber="1" minValue="-4.4428428173365203E-3" maxValue="-1.9636874330769102E-6"/>
    </cacheField>
    <cacheField name="usd_amountuntied" numFmtId="0">
      <sharedItems containsString="0" containsBlank="1" containsNumber="1" minValue="0" maxValue="1.1000000000000001"/>
    </cacheField>
    <cacheField name="usd_amountpartialtied" numFmtId="0">
      <sharedItems containsString="0" containsBlank="1" containsNumber="1" containsInteger="1" minValue="0" maxValue="0"/>
    </cacheField>
    <cacheField name="usd_amounttied" numFmtId="0">
      <sharedItems containsString="0" containsBlank="1" containsNumber="1" minValue="0" maxValue="1.4446749999999899"/>
    </cacheField>
    <cacheField name="usd_amountuntied_defl" numFmtId="0">
      <sharedItems containsString="0" containsBlank="1" containsNumber="1" minValue="0" maxValue="1.0800280881922999"/>
    </cacheField>
    <cacheField name="usd_amountpartialtied_defl" numFmtId="0">
      <sharedItems containsString="0" containsBlank="1" containsNumber="1" containsInteger="1" minValue="0" maxValue="0"/>
    </cacheField>
    <cacheField name="usd_amounttied_defl" numFmtId="0">
      <sharedItems containsString="0" containsBlank="1" containsNumber="1" minValue="0" maxValue="1.4754719807291199"/>
    </cacheField>
    <cacheField name="usd_IRTC" numFmtId="0">
      <sharedItems containsString="0" containsBlank="1" containsNumber="1" containsInteger="1" minValue="0" maxValue="0"/>
    </cacheField>
    <cacheField name="usd_expert_commitment" numFmtId="0">
      <sharedItems containsString="0" containsBlank="1" containsNumber="1" containsInteger="1" minValue="0" maxValue="0"/>
    </cacheField>
    <cacheField name="usd_expert_extended" numFmtId="0">
      <sharedItems containsNonDate="0" containsString="0" containsBlank="1"/>
    </cacheField>
    <cacheField name="usd_export_credit" numFmtId="0">
      <sharedItems containsString="0" containsBlank="1" containsNumber="1" containsInteger="1" minValue="0" maxValue="0"/>
    </cacheField>
    <cacheField name="currencycode" numFmtId="0">
      <sharedItems containsSemiMixedTypes="0" containsString="0" containsNumber="1" containsInteger="1" minValue="3" maxValue="918"/>
    </cacheField>
    <cacheField name="commitment_national" numFmtId="0">
      <sharedItems containsString="0" containsBlank="1" containsNumber="1" minValue="-1.79733191" maxValue="14.4849999999999"/>
    </cacheField>
    <cacheField name="disbursement_national" numFmtId="0">
      <sharedItems containsString="0" containsBlank="1" containsNumber="1" minValue="-4.1301999999999901E-2" maxValue="14.321325"/>
    </cacheField>
    <cacheField name="shortdescription" numFmtId="0">
      <sharedItems/>
    </cacheField>
    <cacheField name="projecttitle" numFmtId="0">
      <sharedItems containsBlank="1"/>
    </cacheField>
    <cacheField name="HP" numFmtId="0">
      <sharedItems count="6">
        <s v="HP.2.9.1 "/>
        <s v="HP.6 "/>
        <s v="HP.7 "/>
        <s v="HP.11"/>
        <s v="HP.8.2.1 "/>
        <s v="HP.1 "/>
      </sharedItems>
    </cacheField>
    <cacheField name="HC: purposecode" numFmtId="1">
      <sharedItems containsSemiMixedTypes="0" containsString="0" containsNumber="1" containsInteger="1" minValue="12110" maxValue="14081"/>
    </cacheField>
    <cacheField name="НС" numFmtId="0">
      <sharedItems count="13">
        <s v="HC.RI.3.1"/>
        <s v="HC.6.2"/>
        <s v="HC.7"/>
        <s v="HC.RI.3.3"/>
        <s v="HC.RI.3.4"/>
        <s v="HC.RI.5"/>
        <s v="HC.9"/>
        <s v="HC.RI.4"/>
        <s v="HC.1"/>
        <s v="HC.RI.6"/>
        <s v="HC.RI.8"/>
        <s v="HC.RI.7"/>
        <s v="HC.6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0">
  <r>
    <x v="0"/>
    <x v="0"/>
    <x v="0"/>
    <x v="0"/>
    <x v="0"/>
  </r>
  <r>
    <x v="0"/>
    <x v="1"/>
    <x v="1"/>
    <x v="1"/>
    <x v="0"/>
  </r>
  <r>
    <x v="0"/>
    <x v="1"/>
    <x v="2"/>
    <x v="1"/>
    <x v="0"/>
  </r>
  <r>
    <x v="0"/>
    <x v="1"/>
    <x v="3"/>
    <x v="1"/>
    <x v="0"/>
  </r>
  <r>
    <x v="0"/>
    <x v="1"/>
    <x v="4"/>
    <x v="1"/>
    <x v="0"/>
  </r>
  <r>
    <x v="0"/>
    <x v="1"/>
    <x v="5"/>
    <x v="2"/>
    <x v="0"/>
  </r>
  <r>
    <x v="0"/>
    <x v="1"/>
    <x v="6"/>
    <x v="1"/>
    <x v="0"/>
  </r>
  <r>
    <x v="0"/>
    <x v="1"/>
    <x v="7"/>
    <x v="1"/>
    <x v="0"/>
  </r>
  <r>
    <x v="0"/>
    <x v="1"/>
    <x v="8"/>
    <x v="3"/>
    <x v="0"/>
  </r>
  <r>
    <x v="0"/>
    <x v="1"/>
    <x v="9"/>
    <x v="1"/>
    <x v="0"/>
  </r>
  <r>
    <x v="0"/>
    <x v="1"/>
    <x v="10"/>
    <x v="1"/>
    <x v="0"/>
  </r>
  <r>
    <x v="0"/>
    <x v="1"/>
    <x v="11"/>
    <x v="1"/>
    <x v="0"/>
  </r>
  <r>
    <x v="0"/>
    <x v="1"/>
    <x v="12"/>
    <x v="4"/>
    <x v="0"/>
  </r>
  <r>
    <x v="0"/>
    <x v="1"/>
    <x v="13"/>
    <x v="1"/>
    <x v="0"/>
  </r>
  <r>
    <x v="0"/>
    <x v="2"/>
    <x v="14"/>
    <x v="5"/>
    <x v="0"/>
  </r>
  <r>
    <x v="0"/>
    <x v="2"/>
    <x v="15"/>
    <x v="6"/>
    <x v="0"/>
  </r>
  <r>
    <x v="0"/>
    <x v="2"/>
    <x v="16"/>
    <x v="6"/>
    <x v="0"/>
  </r>
  <r>
    <x v="0"/>
    <x v="2"/>
    <x v="17"/>
    <x v="7"/>
    <x v="0"/>
  </r>
  <r>
    <x v="0"/>
    <x v="2"/>
    <x v="18"/>
    <x v="8"/>
    <x v="0"/>
  </r>
  <r>
    <x v="0"/>
    <x v="3"/>
    <x v="19"/>
    <x v="9"/>
    <x v="0"/>
  </r>
  <r>
    <x v="0"/>
    <x v="2"/>
    <x v="20"/>
    <x v="10"/>
    <x v="0"/>
  </r>
  <r>
    <x v="0"/>
    <x v="2"/>
    <x v="21"/>
    <x v="11"/>
    <x v="0"/>
  </r>
  <r>
    <x v="0"/>
    <x v="4"/>
    <x v="22"/>
    <x v="12"/>
    <x v="0"/>
  </r>
  <r>
    <x v="0"/>
    <x v="0"/>
    <x v="23"/>
    <x v="13"/>
    <x v="0"/>
  </r>
  <r>
    <x v="0"/>
    <x v="5"/>
    <x v="24"/>
    <x v="14"/>
    <x v="0"/>
  </r>
  <r>
    <x v="0"/>
    <x v="5"/>
    <x v="25"/>
    <x v="15"/>
    <x v="0"/>
  </r>
  <r>
    <x v="0"/>
    <x v="5"/>
    <x v="26"/>
    <x v="16"/>
    <x v="0"/>
  </r>
  <r>
    <x v="1"/>
    <x v="0"/>
    <x v="27"/>
    <x v="17"/>
    <x v="0"/>
  </r>
  <r>
    <x v="1"/>
    <x v="0"/>
    <x v="27"/>
    <x v="18"/>
    <x v="0"/>
  </r>
  <r>
    <x v="1"/>
    <x v="1"/>
    <x v="28"/>
    <x v="19"/>
    <x v="0"/>
  </r>
  <r>
    <x v="1"/>
    <x v="1"/>
    <x v="29"/>
    <x v="20"/>
    <x v="0"/>
  </r>
  <r>
    <x v="1"/>
    <x v="1"/>
    <x v="30"/>
    <x v="21"/>
    <x v="0"/>
  </r>
  <r>
    <x v="1"/>
    <x v="1"/>
    <x v="31"/>
    <x v="22"/>
    <x v="0"/>
  </r>
  <r>
    <x v="1"/>
    <x v="1"/>
    <x v="32"/>
    <x v="23"/>
    <x v="0"/>
  </r>
  <r>
    <x v="1"/>
    <x v="1"/>
    <x v="33"/>
    <x v="24"/>
    <x v="0"/>
  </r>
  <r>
    <x v="1"/>
    <x v="1"/>
    <x v="34"/>
    <x v="25"/>
    <x v="0"/>
  </r>
  <r>
    <x v="1"/>
    <x v="1"/>
    <x v="35"/>
    <x v="26"/>
    <x v="0"/>
  </r>
  <r>
    <x v="1"/>
    <x v="1"/>
    <x v="36"/>
    <x v="27"/>
    <x v="0"/>
  </r>
  <r>
    <x v="1"/>
    <x v="1"/>
    <x v="28"/>
    <x v="28"/>
    <x v="0"/>
  </r>
  <r>
    <x v="1"/>
    <x v="1"/>
    <x v="37"/>
    <x v="29"/>
    <x v="0"/>
  </r>
  <r>
    <x v="1"/>
    <x v="1"/>
    <x v="38"/>
    <x v="30"/>
    <x v="0"/>
  </r>
  <r>
    <x v="1"/>
    <x v="1"/>
    <x v="39"/>
    <x v="31"/>
    <x v="0"/>
  </r>
  <r>
    <x v="1"/>
    <x v="1"/>
    <x v="40"/>
    <x v="32"/>
    <x v="0"/>
  </r>
  <r>
    <x v="1"/>
    <x v="1"/>
    <x v="41"/>
    <x v="33"/>
    <x v="0"/>
  </r>
  <r>
    <x v="1"/>
    <x v="1"/>
    <x v="42"/>
    <x v="34"/>
    <x v="0"/>
  </r>
  <r>
    <x v="2"/>
    <x v="3"/>
    <x v="43"/>
    <x v="35"/>
    <x v="0"/>
  </r>
  <r>
    <x v="2"/>
    <x v="5"/>
    <x v="44"/>
    <x v="36"/>
    <x v="0"/>
  </r>
  <r>
    <x v="2"/>
    <x v="5"/>
    <x v="45"/>
    <x v="37"/>
    <x v="0"/>
  </r>
  <r>
    <x v="2"/>
    <x v="4"/>
    <x v="46"/>
    <x v="38"/>
    <x v="0"/>
  </r>
  <r>
    <x v="2"/>
    <x v="1"/>
    <x v="47"/>
    <x v="39"/>
    <x v="0"/>
  </r>
  <r>
    <x v="3"/>
    <x v="3"/>
    <x v="48"/>
    <x v="40"/>
    <x v="0"/>
  </r>
  <r>
    <x v="3"/>
    <x v="2"/>
    <x v="49"/>
    <x v="41"/>
    <x v="0"/>
  </r>
  <r>
    <x v="3"/>
    <x v="2"/>
    <x v="50"/>
    <x v="42"/>
    <x v="0"/>
  </r>
  <r>
    <x v="3"/>
    <x v="2"/>
    <x v="51"/>
    <x v="43"/>
    <x v="0"/>
  </r>
  <r>
    <x v="3"/>
    <x v="3"/>
    <x v="52"/>
    <x v="44"/>
    <x v="0"/>
  </r>
  <r>
    <x v="3"/>
    <x v="3"/>
    <x v="53"/>
    <x v="45"/>
    <x v="0"/>
  </r>
  <r>
    <x v="3"/>
    <x v="2"/>
    <x v="54"/>
    <x v="46"/>
    <x v="0"/>
  </r>
  <r>
    <x v="3"/>
    <x v="2"/>
    <x v="55"/>
    <x v="47"/>
    <x v="0"/>
  </r>
  <r>
    <x v="3"/>
    <x v="2"/>
    <x v="56"/>
    <x v="48"/>
    <x v="0"/>
  </r>
  <r>
    <x v="3"/>
    <x v="2"/>
    <x v="57"/>
    <x v="49"/>
    <x v="0"/>
  </r>
  <r>
    <x v="3"/>
    <x v="4"/>
    <x v="58"/>
    <x v="50"/>
    <x v="0"/>
  </r>
  <r>
    <x v="3"/>
    <x v="5"/>
    <x v="59"/>
    <x v="51"/>
    <x v="0"/>
  </r>
  <r>
    <x v="3"/>
    <x v="0"/>
    <x v="60"/>
    <x v="52"/>
    <x v="0"/>
  </r>
  <r>
    <x v="3"/>
    <x v="1"/>
    <x v="61"/>
    <x v="53"/>
    <x v="0"/>
  </r>
  <r>
    <x v="3"/>
    <x v="1"/>
    <x v="62"/>
    <x v="54"/>
    <x v="0"/>
  </r>
  <r>
    <x v="3"/>
    <x v="1"/>
    <x v="63"/>
    <x v="55"/>
    <x v="0"/>
  </r>
  <r>
    <x v="3"/>
    <x v="1"/>
    <x v="64"/>
    <x v="56"/>
    <x v="0"/>
  </r>
  <r>
    <x v="3"/>
    <x v="1"/>
    <x v="65"/>
    <x v="57"/>
    <x v="0"/>
  </r>
  <r>
    <x v="3"/>
    <x v="1"/>
    <x v="66"/>
    <x v="58"/>
    <x v="0"/>
  </r>
  <r>
    <x v="3"/>
    <x v="1"/>
    <x v="67"/>
    <x v="59"/>
    <x v="0"/>
  </r>
  <r>
    <x v="3"/>
    <x v="5"/>
    <x v="68"/>
    <x v="60"/>
    <x v="0"/>
  </r>
  <r>
    <x v="4"/>
    <x v="0"/>
    <x v="69"/>
    <x v="61"/>
    <x v="0"/>
  </r>
  <r>
    <x v="4"/>
    <x v="4"/>
    <x v="70"/>
    <x v="62"/>
    <x v="0"/>
  </r>
  <r>
    <x v="4"/>
    <x v="3"/>
    <x v="71"/>
    <x v="63"/>
    <x v="0"/>
  </r>
  <r>
    <x v="4"/>
    <x v="4"/>
    <x v="72"/>
    <x v="64"/>
    <x v="0"/>
  </r>
  <r>
    <x v="4"/>
    <x v="3"/>
    <x v="73"/>
    <x v="65"/>
    <x v="0"/>
  </r>
  <r>
    <x v="4"/>
    <x v="2"/>
    <x v="74"/>
    <x v="66"/>
    <x v="0"/>
  </r>
  <r>
    <x v="4"/>
    <x v="2"/>
    <x v="75"/>
    <x v="67"/>
    <x v="0"/>
  </r>
  <r>
    <x v="4"/>
    <x v="2"/>
    <x v="76"/>
    <x v="68"/>
    <x v="0"/>
  </r>
  <r>
    <x v="4"/>
    <x v="4"/>
    <x v="77"/>
    <x v="69"/>
    <x v="0"/>
  </r>
  <r>
    <x v="4"/>
    <x v="1"/>
    <x v="78"/>
    <x v="70"/>
    <x v="0"/>
  </r>
  <r>
    <x v="4"/>
    <x v="1"/>
    <x v="79"/>
    <x v="71"/>
    <x v="0"/>
  </r>
  <r>
    <x v="4"/>
    <x v="1"/>
    <x v="80"/>
    <x v="72"/>
    <x v="0"/>
  </r>
  <r>
    <x v="4"/>
    <x v="3"/>
    <x v="81"/>
    <x v="73"/>
    <x v="0"/>
  </r>
  <r>
    <x v="4"/>
    <x v="4"/>
    <x v="82"/>
    <x v="74"/>
    <x v="0"/>
  </r>
  <r>
    <x v="4"/>
    <x v="1"/>
    <x v="83"/>
    <x v="75"/>
    <x v="0"/>
  </r>
  <r>
    <x v="4"/>
    <x v="4"/>
    <x v="84"/>
    <x v="76"/>
    <x v="0"/>
  </r>
  <r>
    <x v="4"/>
    <x v="3"/>
    <x v="85"/>
    <x v="77"/>
    <x v="0"/>
  </r>
  <r>
    <x v="4"/>
    <x v="5"/>
    <x v="86"/>
    <x v="78"/>
    <x v="0"/>
  </r>
  <r>
    <x v="4"/>
    <x v="1"/>
    <x v="87"/>
    <x v="79"/>
    <x v="0"/>
  </r>
  <r>
    <x v="4"/>
    <x v="1"/>
    <x v="88"/>
    <x v="80"/>
    <x v="0"/>
  </r>
  <r>
    <x v="4"/>
    <x v="2"/>
    <x v="89"/>
    <x v="81"/>
    <x v="0"/>
  </r>
  <r>
    <x v="4"/>
    <x v="1"/>
    <x v="90"/>
    <x v="82"/>
    <x v="0"/>
  </r>
  <r>
    <x v="4"/>
    <x v="1"/>
    <x v="91"/>
    <x v="83"/>
    <x v="0"/>
  </r>
  <r>
    <x v="4"/>
    <x v="1"/>
    <x v="92"/>
    <x v="84"/>
    <x v="0"/>
  </r>
  <r>
    <x v="4"/>
    <x v="1"/>
    <x v="93"/>
    <x v="85"/>
    <x v="0"/>
  </r>
  <r>
    <x v="4"/>
    <x v="1"/>
    <x v="94"/>
    <x v="86"/>
    <x v="0"/>
  </r>
  <r>
    <x v="4"/>
    <x v="1"/>
    <x v="95"/>
    <x v="87"/>
    <x v="0"/>
  </r>
  <r>
    <x v="4"/>
    <x v="2"/>
    <x v="96"/>
    <x v="88"/>
    <x v="0"/>
  </r>
  <r>
    <x v="4"/>
    <x v="1"/>
    <x v="97"/>
    <x v="89"/>
    <x v="0"/>
  </r>
  <r>
    <x v="4"/>
    <x v="1"/>
    <x v="98"/>
    <x v="90"/>
    <x v="0"/>
  </r>
  <r>
    <x v="4"/>
    <x v="2"/>
    <x v="99"/>
    <x v="91"/>
    <x v="0"/>
  </r>
  <r>
    <x v="4"/>
    <x v="1"/>
    <x v="100"/>
    <x v="92"/>
    <x v="0"/>
  </r>
  <r>
    <x v="4"/>
    <x v="1"/>
    <x v="101"/>
    <x v="93"/>
    <x v="0"/>
  </r>
  <r>
    <x v="4"/>
    <x v="1"/>
    <x v="102"/>
    <x v="94"/>
    <x v="0"/>
  </r>
  <r>
    <x v="4"/>
    <x v="5"/>
    <x v="103"/>
    <x v="95"/>
    <x v="0"/>
  </r>
  <r>
    <x v="4"/>
    <x v="4"/>
    <x v="104"/>
    <x v="96"/>
    <x v="0"/>
  </r>
  <r>
    <x v="4"/>
    <x v="1"/>
    <x v="105"/>
    <x v="97"/>
    <x v="0"/>
  </r>
  <r>
    <x v="4"/>
    <x v="1"/>
    <x v="106"/>
    <x v="98"/>
    <x v="0"/>
  </r>
  <r>
    <x v="4"/>
    <x v="1"/>
    <x v="107"/>
    <x v="99"/>
    <x v="0"/>
  </r>
  <r>
    <x v="4"/>
    <x v="3"/>
    <x v="108"/>
    <x v="100"/>
    <x v="0"/>
  </r>
  <r>
    <x v="4"/>
    <x v="1"/>
    <x v="109"/>
    <x v="101"/>
    <x v="0"/>
  </r>
  <r>
    <x v="4"/>
    <x v="1"/>
    <x v="110"/>
    <x v="102"/>
    <x v="0"/>
  </r>
  <r>
    <x v="4"/>
    <x v="1"/>
    <x v="111"/>
    <x v="103"/>
    <x v="0"/>
  </r>
  <r>
    <x v="4"/>
    <x v="2"/>
    <x v="112"/>
    <x v="104"/>
    <x v="0"/>
  </r>
  <r>
    <x v="4"/>
    <x v="1"/>
    <x v="113"/>
    <x v="105"/>
    <x v="0"/>
  </r>
  <r>
    <x v="4"/>
    <x v="2"/>
    <x v="114"/>
    <x v="106"/>
    <x v="0"/>
  </r>
  <r>
    <x v="4"/>
    <x v="1"/>
    <x v="115"/>
    <x v="107"/>
    <x v="0"/>
  </r>
  <r>
    <x v="5"/>
    <x v="5"/>
    <x v="116"/>
    <x v="108"/>
    <x v="0"/>
  </r>
  <r>
    <x v="5"/>
    <x v="2"/>
    <x v="117"/>
    <x v="109"/>
    <x v="0"/>
  </r>
  <r>
    <x v="5"/>
    <x v="3"/>
    <x v="118"/>
    <x v="110"/>
    <x v="0"/>
  </r>
  <r>
    <x v="5"/>
    <x v="5"/>
    <x v="119"/>
    <x v="111"/>
    <x v="0"/>
  </r>
  <r>
    <x v="5"/>
    <x v="2"/>
    <x v="120"/>
    <x v="112"/>
    <x v="0"/>
  </r>
  <r>
    <x v="5"/>
    <x v="2"/>
    <x v="121"/>
    <x v="113"/>
    <x v="0"/>
  </r>
  <r>
    <x v="5"/>
    <x v="2"/>
    <x v="122"/>
    <x v="114"/>
    <x v="0"/>
  </r>
  <r>
    <x v="5"/>
    <x v="2"/>
    <x v="123"/>
    <x v="115"/>
    <x v="0"/>
  </r>
  <r>
    <x v="5"/>
    <x v="2"/>
    <x v="124"/>
    <x v="116"/>
    <x v="0"/>
  </r>
  <r>
    <x v="5"/>
    <x v="2"/>
    <x v="125"/>
    <x v="117"/>
    <x v="0"/>
  </r>
  <r>
    <x v="5"/>
    <x v="2"/>
    <x v="126"/>
    <x v="118"/>
    <x v="0"/>
  </r>
  <r>
    <x v="5"/>
    <x v="2"/>
    <x v="127"/>
    <x v="119"/>
    <x v="0"/>
  </r>
  <r>
    <x v="5"/>
    <x v="2"/>
    <x v="128"/>
    <x v="120"/>
    <x v="0"/>
  </r>
  <r>
    <x v="5"/>
    <x v="2"/>
    <x v="129"/>
    <x v="121"/>
    <x v="0"/>
  </r>
  <r>
    <x v="5"/>
    <x v="1"/>
    <x v="130"/>
    <x v="122"/>
    <x v="0"/>
  </r>
  <r>
    <x v="5"/>
    <x v="1"/>
    <x v="131"/>
    <x v="123"/>
    <x v="0"/>
  </r>
  <r>
    <x v="5"/>
    <x v="1"/>
    <x v="132"/>
    <x v="124"/>
    <x v="0"/>
  </r>
  <r>
    <x v="5"/>
    <x v="1"/>
    <x v="133"/>
    <x v="125"/>
    <x v="0"/>
  </r>
  <r>
    <x v="5"/>
    <x v="1"/>
    <x v="134"/>
    <x v="126"/>
    <x v="0"/>
  </r>
  <r>
    <x v="5"/>
    <x v="1"/>
    <x v="135"/>
    <x v="127"/>
    <x v="0"/>
  </r>
  <r>
    <x v="5"/>
    <x v="1"/>
    <x v="136"/>
    <x v="128"/>
    <x v="0"/>
  </r>
  <r>
    <x v="5"/>
    <x v="1"/>
    <x v="137"/>
    <x v="129"/>
    <x v="0"/>
  </r>
  <r>
    <x v="5"/>
    <x v="1"/>
    <x v="138"/>
    <x v="130"/>
    <x v="0"/>
  </r>
  <r>
    <x v="5"/>
    <x v="1"/>
    <x v="139"/>
    <x v="131"/>
    <x v="0"/>
  </r>
  <r>
    <x v="5"/>
    <x v="1"/>
    <x v="140"/>
    <x v="132"/>
    <x v="0"/>
  </r>
  <r>
    <x v="5"/>
    <x v="1"/>
    <x v="141"/>
    <x v="130"/>
    <x v="0"/>
  </r>
  <r>
    <x v="5"/>
    <x v="1"/>
    <x v="142"/>
    <x v="133"/>
    <x v="0"/>
  </r>
  <r>
    <x v="5"/>
    <x v="4"/>
    <x v="143"/>
    <x v="134"/>
    <x v="0"/>
  </r>
  <r>
    <x v="5"/>
    <x v="0"/>
    <x v="144"/>
    <x v="135"/>
    <x v="0"/>
  </r>
  <r>
    <x v="5"/>
    <x v="1"/>
    <x v="145"/>
    <x v="136"/>
    <x v="0"/>
  </r>
  <r>
    <x v="5"/>
    <x v="1"/>
    <x v="146"/>
    <x v="137"/>
    <x v="1"/>
  </r>
  <r>
    <x v="5"/>
    <x v="0"/>
    <x v="147"/>
    <x v="137"/>
    <x v="2"/>
  </r>
  <r>
    <x v="5"/>
    <x v="0"/>
    <x v="148"/>
    <x v="137"/>
    <x v="3"/>
  </r>
  <r>
    <x v="5"/>
    <x v="5"/>
    <x v="116"/>
    <x v="137"/>
    <x v="4"/>
  </r>
  <r>
    <x v="6"/>
    <x v="0"/>
    <x v="149"/>
    <x v="137"/>
    <x v="5"/>
  </r>
  <r>
    <x v="6"/>
    <x v="1"/>
    <x v="150"/>
    <x v="137"/>
    <x v="6"/>
  </r>
  <r>
    <x v="6"/>
    <x v="0"/>
    <x v="151"/>
    <x v="137"/>
    <x v="7"/>
  </r>
  <r>
    <x v="6"/>
    <x v="0"/>
    <x v="152"/>
    <x v="137"/>
    <x v="8"/>
  </r>
  <r>
    <x v="6"/>
    <x v="1"/>
    <x v="153"/>
    <x v="137"/>
    <x v="9"/>
  </r>
  <r>
    <x v="6"/>
    <x v="0"/>
    <x v="154"/>
    <x v="137"/>
    <x v="10"/>
  </r>
  <r>
    <x v="6"/>
    <x v="0"/>
    <x v="155"/>
    <x v="138"/>
    <x v="0"/>
  </r>
  <r>
    <x v="6"/>
    <x v="4"/>
    <x v="156"/>
    <x v="139"/>
    <x v="0"/>
  </r>
  <r>
    <x v="6"/>
    <x v="4"/>
    <x v="157"/>
    <x v="140"/>
    <x v="0"/>
  </r>
  <r>
    <x v="6"/>
    <x v="0"/>
    <x v="158"/>
    <x v="141"/>
    <x v="0"/>
  </r>
  <r>
    <x v="6"/>
    <x v="4"/>
    <x v="159"/>
    <x v="142"/>
    <x v="0"/>
  </r>
  <r>
    <x v="6"/>
    <x v="1"/>
    <x v="160"/>
    <x v="143"/>
    <x v="0"/>
  </r>
  <r>
    <x v="6"/>
    <x v="1"/>
    <x v="161"/>
    <x v="144"/>
    <x v="0"/>
  </r>
  <r>
    <x v="6"/>
    <x v="4"/>
    <x v="162"/>
    <x v="145"/>
    <x v="0"/>
  </r>
  <r>
    <x v="6"/>
    <x v="0"/>
    <x v="154"/>
    <x v="146"/>
    <x v="0"/>
  </r>
  <r>
    <x v="6"/>
    <x v="0"/>
    <x v="163"/>
    <x v="147"/>
    <x v="0"/>
  </r>
  <r>
    <x v="6"/>
    <x v="4"/>
    <x v="164"/>
    <x v="148"/>
    <x v="0"/>
  </r>
  <r>
    <x v="6"/>
    <x v="1"/>
    <x v="165"/>
    <x v="149"/>
    <x v="0"/>
  </r>
  <r>
    <x v="6"/>
    <x v="1"/>
    <x v="166"/>
    <x v="150"/>
    <x v="0"/>
  </r>
  <r>
    <x v="6"/>
    <x v="1"/>
    <x v="167"/>
    <x v="151"/>
    <x v="0"/>
  </r>
  <r>
    <x v="6"/>
    <x v="1"/>
    <x v="168"/>
    <x v="152"/>
    <x v="0"/>
  </r>
  <r>
    <x v="6"/>
    <x v="1"/>
    <x v="169"/>
    <x v="153"/>
    <x v="0"/>
  </r>
  <r>
    <x v="6"/>
    <x v="1"/>
    <x v="170"/>
    <x v="154"/>
    <x v="0"/>
  </r>
  <r>
    <x v="6"/>
    <x v="1"/>
    <x v="171"/>
    <x v="155"/>
    <x v="0"/>
  </r>
  <r>
    <x v="6"/>
    <x v="1"/>
    <x v="172"/>
    <x v="156"/>
    <x v="0"/>
  </r>
  <r>
    <x v="6"/>
    <x v="1"/>
    <x v="173"/>
    <x v="157"/>
    <x v="0"/>
  </r>
  <r>
    <x v="6"/>
    <x v="1"/>
    <x v="174"/>
    <x v="158"/>
    <x v="0"/>
  </r>
  <r>
    <x v="6"/>
    <x v="1"/>
    <x v="175"/>
    <x v="159"/>
    <x v="0"/>
  </r>
  <r>
    <x v="7"/>
    <x v="1"/>
    <x v="176"/>
    <x v="160"/>
    <x v="0"/>
  </r>
  <r>
    <x v="7"/>
    <x v="0"/>
    <x v="177"/>
    <x v="161"/>
    <x v="0"/>
  </r>
  <r>
    <x v="7"/>
    <x v="1"/>
    <x v="178"/>
    <x v="162"/>
    <x v="0"/>
  </r>
  <r>
    <x v="7"/>
    <x v="1"/>
    <x v="179"/>
    <x v="163"/>
    <x v="0"/>
  </r>
  <r>
    <x v="7"/>
    <x v="1"/>
    <x v="180"/>
    <x v="164"/>
    <x v="0"/>
  </r>
  <r>
    <x v="7"/>
    <x v="1"/>
    <x v="181"/>
    <x v="165"/>
    <x v="0"/>
  </r>
  <r>
    <x v="7"/>
    <x v="1"/>
    <x v="182"/>
    <x v="166"/>
    <x v="0"/>
  </r>
  <r>
    <x v="7"/>
    <x v="1"/>
    <x v="183"/>
    <x v="167"/>
    <x v="0"/>
  </r>
  <r>
    <x v="7"/>
    <x v="1"/>
    <x v="184"/>
    <x v="168"/>
    <x v="0"/>
  </r>
  <r>
    <x v="7"/>
    <x v="1"/>
    <x v="185"/>
    <x v="169"/>
    <x v="0"/>
  </r>
  <r>
    <x v="7"/>
    <x v="1"/>
    <x v="186"/>
    <x v="170"/>
    <x v="0"/>
  </r>
  <r>
    <x v="7"/>
    <x v="1"/>
    <x v="187"/>
    <x v="171"/>
    <x v="0"/>
  </r>
  <r>
    <x v="7"/>
    <x v="1"/>
    <x v="188"/>
    <x v="172"/>
    <x v="0"/>
  </r>
  <r>
    <x v="7"/>
    <x v="1"/>
    <x v="189"/>
    <x v="173"/>
    <x v="0"/>
  </r>
  <r>
    <x v="7"/>
    <x v="1"/>
    <x v="190"/>
    <x v="174"/>
    <x v="0"/>
  </r>
  <r>
    <x v="7"/>
    <x v="1"/>
    <x v="191"/>
    <x v="175"/>
    <x v="0"/>
  </r>
  <r>
    <x v="7"/>
    <x v="1"/>
    <x v="192"/>
    <x v="176"/>
    <x v="0"/>
  </r>
  <r>
    <x v="7"/>
    <x v="1"/>
    <x v="193"/>
    <x v="177"/>
    <x v="0"/>
  </r>
  <r>
    <x v="7"/>
    <x v="1"/>
    <x v="194"/>
    <x v="178"/>
    <x v="0"/>
  </r>
  <r>
    <x v="7"/>
    <x v="1"/>
    <x v="195"/>
    <x v="179"/>
    <x v="0"/>
  </r>
  <r>
    <x v="8"/>
    <x v="0"/>
    <x v="196"/>
    <x v="180"/>
    <x v="0"/>
  </r>
  <r>
    <x v="8"/>
    <x v="1"/>
    <x v="197"/>
    <x v="181"/>
    <x v="0"/>
  </r>
  <r>
    <x v="8"/>
    <x v="1"/>
    <x v="198"/>
    <x v="182"/>
    <x v="0"/>
  </r>
  <r>
    <x v="8"/>
    <x v="1"/>
    <x v="199"/>
    <x v="183"/>
    <x v="0"/>
  </r>
  <r>
    <x v="8"/>
    <x v="1"/>
    <x v="200"/>
    <x v="184"/>
    <x v="0"/>
  </r>
  <r>
    <x v="8"/>
    <x v="1"/>
    <x v="201"/>
    <x v="185"/>
    <x v="0"/>
  </r>
  <r>
    <x v="8"/>
    <x v="1"/>
    <x v="202"/>
    <x v="186"/>
    <x v="0"/>
  </r>
  <r>
    <x v="8"/>
    <x v="0"/>
    <x v="196"/>
    <x v="187"/>
    <x v="0"/>
  </r>
  <r>
    <x v="8"/>
    <x v="1"/>
    <x v="203"/>
    <x v="188"/>
    <x v="0"/>
  </r>
  <r>
    <x v="8"/>
    <x v="1"/>
    <x v="204"/>
    <x v="189"/>
    <x v="0"/>
  </r>
  <r>
    <x v="8"/>
    <x v="1"/>
    <x v="205"/>
    <x v="190"/>
    <x v="0"/>
  </r>
  <r>
    <x v="9"/>
    <x v="0"/>
    <x v="147"/>
    <x v="191"/>
    <x v="0"/>
  </r>
  <r>
    <x v="9"/>
    <x v="1"/>
    <x v="206"/>
    <x v="191"/>
    <x v="0"/>
  </r>
  <r>
    <x v="9"/>
    <x v="5"/>
    <x v="207"/>
    <x v="192"/>
    <x v="0"/>
  </r>
  <r>
    <x v="9"/>
    <x v="2"/>
    <x v="208"/>
    <x v="193"/>
    <x v="0"/>
  </r>
  <r>
    <x v="9"/>
    <x v="4"/>
    <x v="209"/>
    <x v="194"/>
    <x v="0"/>
  </r>
  <r>
    <x v="9"/>
    <x v="0"/>
    <x v="147"/>
    <x v="195"/>
    <x v="0"/>
  </r>
  <r>
    <x v="9"/>
    <x v="1"/>
    <x v="206"/>
    <x v="196"/>
    <x v="0"/>
  </r>
  <r>
    <x v="9"/>
    <x v="5"/>
    <x v="207"/>
    <x v="197"/>
    <x v="0"/>
  </r>
  <r>
    <x v="9"/>
    <x v="5"/>
    <x v="210"/>
    <x v="198"/>
    <x v="0"/>
  </r>
  <r>
    <x v="9"/>
    <x v="1"/>
    <x v="211"/>
    <x v="199"/>
    <x v="0"/>
  </r>
  <r>
    <x v="9"/>
    <x v="1"/>
    <x v="212"/>
    <x v="200"/>
    <x v="0"/>
  </r>
  <r>
    <x v="9"/>
    <x v="1"/>
    <x v="213"/>
    <x v="199"/>
    <x v="0"/>
  </r>
  <r>
    <x v="9"/>
    <x v="1"/>
    <x v="214"/>
    <x v="201"/>
    <x v="0"/>
  </r>
  <r>
    <x v="9"/>
    <x v="1"/>
    <x v="215"/>
    <x v="202"/>
    <x v="0"/>
  </r>
  <r>
    <x v="9"/>
    <x v="1"/>
    <x v="216"/>
    <x v="203"/>
    <x v="0"/>
  </r>
  <r>
    <x v="10"/>
    <x v="1"/>
    <x v="217"/>
    <x v="204"/>
    <x v="0"/>
  </r>
  <r>
    <x v="10"/>
    <x v="1"/>
    <x v="218"/>
    <x v="205"/>
    <x v="0"/>
  </r>
  <r>
    <x v="10"/>
    <x v="1"/>
    <x v="219"/>
    <x v="206"/>
    <x v="0"/>
  </r>
  <r>
    <x v="10"/>
    <x v="1"/>
    <x v="220"/>
    <x v="207"/>
    <x v="0"/>
  </r>
  <r>
    <x v="10"/>
    <x v="1"/>
    <x v="221"/>
    <x v="208"/>
    <x v="0"/>
  </r>
  <r>
    <x v="10"/>
    <x v="1"/>
    <x v="222"/>
    <x v="209"/>
    <x v="0"/>
  </r>
  <r>
    <x v="10"/>
    <x v="1"/>
    <x v="223"/>
    <x v="210"/>
    <x v="0"/>
  </r>
  <r>
    <x v="10"/>
    <x v="0"/>
    <x v="224"/>
    <x v="137"/>
    <x v="11"/>
  </r>
  <r>
    <x v="10"/>
    <x v="0"/>
    <x v="224"/>
    <x v="211"/>
    <x v="0"/>
  </r>
  <r>
    <x v="10"/>
    <x v="0"/>
    <x v="225"/>
    <x v="137"/>
    <x v="12"/>
  </r>
  <r>
    <x v="10"/>
    <x v="0"/>
    <x v="225"/>
    <x v="212"/>
    <x v="0"/>
  </r>
  <r>
    <x v="10"/>
    <x v="1"/>
    <x v="226"/>
    <x v="213"/>
    <x v="0"/>
  </r>
  <r>
    <x v="10"/>
    <x v="1"/>
    <x v="227"/>
    <x v="214"/>
    <x v="0"/>
  </r>
  <r>
    <x v="10"/>
    <x v="3"/>
    <x v="228"/>
    <x v="215"/>
    <x v="0"/>
  </r>
  <r>
    <x v="10"/>
    <x v="2"/>
    <x v="229"/>
    <x v="216"/>
    <x v="0"/>
  </r>
  <r>
    <x v="10"/>
    <x v="4"/>
    <x v="230"/>
    <x v="217"/>
    <x v="0"/>
  </r>
  <r>
    <x v="10"/>
    <x v="4"/>
    <x v="231"/>
    <x v="218"/>
    <x v="0"/>
  </r>
  <r>
    <x v="10"/>
    <x v="2"/>
    <x v="232"/>
    <x v="219"/>
    <x v="0"/>
  </r>
  <r>
    <x v="11"/>
    <x v="1"/>
    <x v="233"/>
    <x v="137"/>
    <x v="13"/>
  </r>
  <r>
    <x v="11"/>
    <x v="0"/>
    <x v="234"/>
    <x v="137"/>
    <x v="14"/>
  </r>
  <r>
    <x v="11"/>
    <x v="1"/>
    <x v="235"/>
    <x v="137"/>
    <x v="15"/>
  </r>
  <r>
    <x v="11"/>
    <x v="5"/>
    <x v="236"/>
    <x v="220"/>
    <x v="0"/>
  </r>
  <r>
    <x v="11"/>
    <x v="1"/>
    <x v="237"/>
    <x v="221"/>
    <x v="0"/>
  </r>
  <r>
    <x v="11"/>
    <x v="1"/>
    <x v="238"/>
    <x v="222"/>
    <x v="0"/>
  </r>
  <r>
    <x v="11"/>
    <x v="4"/>
    <x v="239"/>
    <x v="223"/>
    <x v="0"/>
  </r>
  <r>
    <x v="11"/>
    <x v="3"/>
    <x v="240"/>
    <x v="224"/>
    <x v="0"/>
  </r>
  <r>
    <x v="11"/>
    <x v="0"/>
    <x v="234"/>
    <x v="225"/>
    <x v="0"/>
  </r>
  <r>
    <x v="11"/>
    <x v="1"/>
    <x v="241"/>
    <x v="226"/>
    <x v="0"/>
  </r>
  <r>
    <x v="11"/>
    <x v="1"/>
    <x v="242"/>
    <x v="227"/>
    <x v="0"/>
  </r>
  <r>
    <x v="11"/>
    <x v="1"/>
    <x v="243"/>
    <x v="228"/>
    <x v="0"/>
  </r>
  <r>
    <x v="11"/>
    <x v="1"/>
    <x v="244"/>
    <x v="229"/>
    <x v="0"/>
  </r>
  <r>
    <x v="11"/>
    <x v="1"/>
    <x v="245"/>
    <x v="230"/>
    <x v="0"/>
  </r>
  <r>
    <x v="11"/>
    <x v="1"/>
    <x v="246"/>
    <x v="231"/>
    <x v="0"/>
  </r>
  <r>
    <x v="11"/>
    <x v="1"/>
    <x v="247"/>
    <x v="232"/>
    <x v="0"/>
  </r>
  <r>
    <x v="11"/>
    <x v="1"/>
    <x v="248"/>
    <x v="233"/>
    <x v="0"/>
  </r>
  <r>
    <x v="11"/>
    <x v="1"/>
    <x v="249"/>
    <x v="234"/>
    <x v="0"/>
  </r>
  <r>
    <x v="11"/>
    <x v="1"/>
    <x v="250"/>
    <x v="235"/>
    <x v="0"/>
  </r>
  <r>
    <x v="11"/>
    <x v="1"/>
    <x v="251"/>
    <x v="236"/>
    <x v="0"/>
  </r>
  <r>
    <x v="11"/>
    <x v="3"/>
    <x v="252"/>
    <x v="237"/>
    <x v="0"/>
  </r>
  <r>
    <x v="11"/>
    <x v="3"/>
    <x v="253"/>
    <x v="238"/>
    <x v="0"/>
  </r>
  <r>
    <x v="11"/>
    <x v="3"/>
    <x v="254"/>
    <x v="239"/>
    <x v="0"/>
  </r>
  <r>
    <x v="11"/>
    <x v="3"/>
    <x v="255"/>
    <x v="240"/>
    <x v="0"/>
  </r>
  <r>
    <x v="11"/>
    <x v="1"/>
    <x v="235"/>
    <x v="241"/>
    <x v="0"/>
  </r>
  <r>
    <x v="12"/>
    <x v="5"/>
    <x v="256"/>
    <x v="137"/>
    <x v="16"/>
  </r>
  <r>
    <x v="12"/>
    <x v="5"/>
    <x v="256"/>
    <x v="242"/>
    <x v="0"/>
  </r>
  <r>
    <x v="12"/>
    <x v="2"/>
    <x v="257"/>
    <x v="243"/>
    <x v="0"/>
  </r>
  <r>
    <x v="12"/>
    <x v="2"/>
    <x v="258"/>
    <x v="244"/>
    <x v="0"/>
  </r>
  <r>
    <x v="12"/>
    <x v="2"/>
    <x v="259"/>
    <x v="245"/>
    <x v="0"/>
  </r>
  <r>
    <x v="12"/>
    <x v="3"/>
    <x v="260"/>
    <x v="246"/>
    <x v="0"/>
  </r>
  <r>
    <x v="12"/>
    <x v="3"/>
    <x v="261"/>
    <x v="247"/>
    <x v="0"/>
  </r>
  <r>
    <x v="12"/>
    <x v="3"/>
    <x v="262"/>
    <x v="248"/>
    <x v="0"/>
  </r>
  <r>
    <x v="12"/>
    <x v="3"/>
    <x v="263"/>
    <x v="249"/>
    <x v="0"/>
  </r>
  <r>
    <x v="12"/>
    <x v="3"/>
    <x v="264"/>
    <x v="250"/>
    <x v="0"/>
  </r>
  <r>
    <x v="12"/>
    <x v="3"/>
    <x v="265"/>
    <x v="251"/>
    <x v="0"/>
  </r>
  <r>
    <x v="12"/>
    <x v="3"/>
    <x v="265"/>
    <x v="252"/>
    <x v="0"/>
  </r>
  <r>
    <x v="12"/>
    <x v="3"/>
    <x v="266"/>
    <x v="253"/>
    <x v="0"/>
  </r>
  <r>
    <x v="12"/>
    <x v="3"/>
    <x v="267"/>
    <x v="254"/>
    <x v="0"/>
  </r>
  <r>
    <x v="12"/>
    <x v="3"/>
    <x v="268"/>
    <x v="255"/>
    <x v="0"/>
  </r>
  <r>
    <x v="12"/>
    <x v="3"/>
    <x v="269"/>
    <x v="256"/>
    <x v="0"/>
  </r>
  <r>
    <x v="12"/>
    <x v="3"/>
    <x v="270"/>
    <x v="257"/>
    <x v="0"/>
  </r>
  <r>
    <x v="12"/>
    <x v="3"/>
    <x v="271"/>
    <x v="258"/>
    <x v="0"/>
  </r>
  <r>
    <x v="12"/>
    <x v="3"/>
    <x v="272"/>
    <x v="259"/>
    <x v="0"/>
  </r>
  <r>
    <x v="12"/>
    <x v="3"/>
    <x v="272"/>
    <x v="260"/>
    <x v="0"/>
  </r>
  <r>
    <x v="12"/>
    <x v="3"/>
    <x v="273"/>
    <x v="261"/>
    <x v="0"/>
  </r>
  <r>
    <x v="12"/>
    <x v="4"/>
    <x v="274"/>
    <x v="262"/>
    <x v="0"/>
  </r>
  <r>
    <x v="12"/>
    <x v="2"/>
    <x v="275"/>
    <x v="263"/>
    <x v="0"/>
  </r>
  <r>
    <x v="12"/>
    <x v="2"/>
    <x v="276"/>
    <x v="264"/>
    <x v="0"/>
  </r>
  <r>
    <x v="12"/>
    <x v="2"/>
    <x v="276"/>
    <x v="265"/>
    <x v="0"/>
  </r>
  <r>
    <x v="12"/>
    <x v="2"/>
    <x v="277"/>
    <x v="266"/>
    <x v="0"/>
  </r>
  <r>
    <x v="12"/>
    <x v="2"/>
    <x v="278"/>
    <x v="267"/>
    <x v="0"/>
  </r>
  <r>
    <x v="12"/>
    <x v="0"/>
    <x v="279"/>
    <x v="137"/>
    <x v="17"/>
  </r>
  <r>
    <x v="12"/>
    <x v="0"/>
    <x v="280"/>
    <x v="137"/>
    <x v="18"/>
  </r>
  <r>
    <x v="12"/>
    <x v="6"/>
    <x v="281"/>
    <x v="268"/>
    <x v="0"/>
  </r>
  <r>
    <x v="12"/>
    <x v="0"/>
    <x v="280"/>
    <x v="269"/>
    <x v="0"/>
  </r>
  <r>
    <x v="12"/>
    <x v="5"/>
    <x v="282"/>
    <x v="270"/>
    <x v="0"/>
  </r>
  <r>
    <x v="12"/>
    <x v="1"/>
    <x v="283"/>
    <x v="271"/>
    <x v="0"/>
  </r>
  <r>
    <x v="12"/>
    <x v="1"/>
    <x v="284"/>
    <x v="272"/>
    <x v="0"/>
  </r>
  <r>
    <x v="12"/>
    <x v="1"/>
    <x v="285"/>
    <x v="273"/>
    <x v="0"/>
  </r>
  <r>
    <x v="12"/>
    <x v="1"/>
    <x v="286"/>
    <x v="274"/>
    <x v="0"/>
  </r>
  <r>
    <x v="12"/>
    <x v="1"/>
    <x v="287"/>
    <x v="275"/>
    <x v="0"/>
  </r>
  <r>
    <x v="12"/>
    <x v="1"/>
    <x v="288"/>
    <x v="276"/>
    <x v="0"/>
  </r>
  <r>
    <x v="12"/>
    <x v="1"/>
    <x v="289"/>
    <x v="277"/>
    <x v="0"/>
  </r>
  <r>
    <x v="12"/>
    <x v="1"/>
    <x v="290"/>
    <x v="278"/>
    <x v="0"/>
  </r>
  <r>
    <x v="12"/>
    <x v="1"/>
    <x v="291"/>
    <x v="279"/>
    <x v="0"/>
  </r>
  <r>
    <x v="12"/>
    <x v="1"/>
    <x v="292"/>
    <x v="280"/>
    <x v="0"/>
  </r>
  <r>
    <x v="12"/>
    <x v="1"/>
    <x v="293"/>
    <x v="281"/>
    <x v="0"/>
  </r>
  <r>
    <x v="12"/>
    <x v="1"/>
    <x v="294"/>
    <x v="282"/>
    <x v="0"/>
  </r>
  <r>
    <x v="12"/>
    <x v="1"/>
    <x v="295"/>
    <x v="283"/>
    <x v="0"/>
  </r>
  <r>
    <x v="12"/>
    <x v="1"/>
    <x v="296"/>
    <x v="284"/>
    <x v="0"/>
  </r>
  <r>
    <x v="12"/>
    <x v="1"/>
    <x v="297"/>
    <x v="285"/>
    <x v="0"/>
  </r>
  <r>
    <x v="12"/>
    <x v="1"/>
    <x v="298"/>
    <x v="286"/>
    <x v="0"/>
  </r>
  <r>
    <x v="12"/>
    <x v="1"/>
    <x v="299"/>
    <x v="287"/>
    <x v="0"/>
  </r>
  <r>
    <x v="12"/>
    <x v="1"/>
    <x v="300"/>
    <x v="288"/>
    <x v="0"/>
  </r>
  <r>
    <x v="12"/>
    <x v="1"/>
    <x v="301"/>
    <x v="289"/>
    <x v="0"/>
  </r>
  <r>
    <x v="12"/>
    <x v="1"/>
    <x v="302"/>
    <x v="290"/>
    <x v="0"/>
  </r>
  <r>
    <x v="13"/>
    <x v="4"/>
    <x v="303"/>
    <x v="291"/>
    <x v="0"/>
  </r>
  <r>
    <x v="13"/>
    <x v="2"/>
    <x v="304"/>
    <x v="292"/>
    <x v="0"/>
  </r>
  <r>
    <x v="13"/>
    <x v="1"/>
    <x v="305"/>
    <x v="293"/>
    <x v="0"/>
  </r>
  <r>
    <x v="13"/>
    <x v="2"/>
    <x v="306"/>
    <x v="294"/>
    <x v="0"/>
  </r>
  <r>
    <x v="13"/>
    <x v="3"/>
    <x v="307"/>
    <x v="295"/>
    <x v="0"/>
  </r>
  <r>
    <x v="13"/>
    <x v="3"/>
    <x v="308"/>
    <x v="296"/>
    <x v="0"/>
  </r>
  <r>
    <x v="13"/>
    <x v="3"/>
    <x v="309"/>
    <x v="297"/>
    <x v="0"/>
  </r>
  <r>
    <x v="13"/>
    <x v="3"/>
    <x v="310"/>
    <x v="298"/>
    <x v="0"/>
  </r>
  <r>
    <x v="13"/>
    <x v="3"/>
    <x v="311"/>
    <x v="299"/>
    <x v="0"/>
  </r>
  <r>
    <x v="13"/>
    <x v="3"/>
    <x v="312"/>
    <x v="300"/>
    <x v="0"/>
  </r>
  <r>
    <x v="13"/>
    <x v="3"/>
    <x v="313"/>
    <x v="301"/>
    <x v="0"/>
  </r>
  <r>
    <x v="13"/>
    <x v="3"/>
    <x v="314"/>
    <x v="302"/>
    <x v="0"/>
  </r>
  <r>
    <x v="13"/>
    <x v="3"/>
    <x v="315"/>
    <x v="303"/>
    <x v="0"/>
  </r>
  <r>
    <x v="13"/>
    <x v="3"/>
    <x v="316"/>
    <x v="304"/>
    <x v="0"/>
  </r>
  <r>
    <x v="13"/>
    <x v="5"/>
    <x v="317"/>
    <x v="305"/>
    <x v="0"/>
  </r>
  <r>
    <x v="13"/>
    <x v="1"/>
    <x v="318"/>
    <x v="306"/>
    <x v="0"/>
  </r>
  <r>
    <x v="13"/>
    <x v="1"/>
    <x v="319"/>
    <x v="307"/>
    <x v="0"/>
  </r>
  <r>
    <x v="13"/>
    <x v="1"/>
    <x v="320"/>
    <x v="308"/>
    <x v="0"/>
  </r>
  <r>
    <x v="13"/>
    <x v="1"/>
    <x v="321"/>
    <x v="309"/>
    <x v="0"/>
  </r>
  <r>
    <x v="13"/>
    <x v="1"/>
    <x v="322"/>
    <x v="310"/>
    <x v="0"/>
  </r>
  <r>
    <x v="13"/>
    <x v="1"/>
    <x v="323"/>
    <x v="311"/>
    <x v="0"/>
  </r>
  <r>
    <x v="13"/>
    <x v="1"/>
    <x v="324"/>
    <x v="312"/>
    <x v="0"/>
  </r>
  <r>
    <x v="13"/>
    <x v="1"/>
    <x v="325"/>
    <x v="313"/>
    <x v="0"/>
  </r>
  <r>
    <x v="13"/>
    <x v="1"/>
    <x v="326"/>
    <x v="314"/>
    <x v="0"/>
  </r>
  <r>
    <x v="13"/>
    <x v="1"/>
    <x v="327"/>
    <x v="315"/>
    <x v="0"/>
  </r>
  <r>
    <x v="13"/>
    <x v="0"/>
    <x v="328"/>
    <x v="316"/>
    <x v="0"/>
  </r>
  <r>
    <x v="13"/>
    <x v="5"/>
    <x v="329"/>
    <x v="137"/>
    <x v="19"/>
  </r>
  <r>
    <x v="13"/>
    <x v="1"/>
    <x v="330"/>
    <x v="137"/>
    <x v="20"/>
  </r>
  <r>
    <x v="13"/>
    <x v="0"/>
    <x v="331"/>
    <x v="137"/>
    <x v="21"/>
  </r>
  <r>
    <x v="14"/>
    <x v="0"/>
    <x v="332"/>
    <x v="137"/>
    <x v="22"/>
  </r>
  <r>
    <x v="14"/>
    <x v="5"/>
    <x v="333"/>
    <x v="137"/>
    <x v="23"/>
  </r>
  <r>
    <x v="14"/>
    <x v="0"/>
    <x v="332"/>
    <x v="317"/>
    <x v="0"/>
  </r>
  <r>
    <x v="14"/>
    <x v="5"/>
    <x v="334"/>
    <x v="318"/>
    <x v="0"/>
  </r>
  <r>
    <x v="14"/>
    <x v="6"/>
    <x v="335"/>
    <x v="233"/>
    <x v="0"/>
  </r>
  <r>
    <x v="14"/>
    <x v="3"/>
    <x v="336"/>
    <x v="319"/>
    <x v="0"/>
  </r>
  <r>
    <x v="14"/>
    <x v="3"/>
    <x v="337"/>
    <x v="320"/>
    <x v="0"/>
  </r>
  <r>
    <x v="14"/>
    <x v="3"/>
    <x v="338"/>
    <x v="321"/>
    <x v="0"/>
  </r>
  <r>
    <x v="14"/>
    <x v="3"/>
    <x v="339"/>
    <x v="322"/>
    <x v="0"/>
  </r>
  <r>
    <x v="14"/>
    <x v="2"/>
    <x v="340"/>
    <x v="323"/>
    <x v="0"/>
  </r>
  <r>
    <x v="14"/>
    <x v="2"/>
    <x v="341"/>
    <x v="324"/>
    <x v="0"/>
  </r>
  <r>
    <x v="14"/>
    <x v="5"/>
    <x v="342"/>
    <x v="325"/>
    <x v="0"/>
  </r>
  <r>
    <x v="14"/>
    <x v="5"/>
    <x v="343"/>
    <x v="326"/>
    <x v="0"/>
  </r>
  <r>
    <x v="14"/>
    <x v="4"/>
    <x v="344"/>
    <x v="327"/>
    <x v="0"/>
  </r>
  <r>
    <x v="14"/>
    <x v="5"/>
    <x v="345"/>
    <x v="328"/>
    <x v="0"/>
  </r>
  <r>
    <x v="15"/>
    <x v="3"/>
    <x v="346"/>
    <x v="329"/>
    <x v="0"/>
  </r>
  <r>
    <x v="15"/>
    <x v="3"/>
    <x v="347"/>
    <x v="330"/>
    <x v="0"/>
  </r>
  <r>
    <x v="15"/>
    <x v="4"/>
    <x v="348"/>
    <x v="331"/>
    <x v="0"/>
  </r>
  <r>
    <x v="15"/>
    <x v="3"/>
    <x v="349"/>
    <x v="332"/>
    <x v="0"/>
  </r>
  <r>
    <x v="15"/>
    <x v="1"/>
    <x v="350"/>
    <x v="333"/>
    <x v="0"/>
  </r>
  <r>
    <x v="15"/>
    <x v="1"/>
    <x v="351"/>
    <x v="334"/>
    <x v="0"/>
  </r>
  <r>
    <x v="15"/>
    <x v="1"/>
    <x v="352"/>
    <x v="335"/>
    <x v="0"/>
  </r>
  <r>
    <x v="15"/>
    <x v="1"/>
    <x v="353"/>
    <x v="336"/>
    <x v="0"/>
  </r>
  <r>
    <x v="15"/>
    <x v="1"/>
    <x v="354"/>
    <x v="337"/>
    <x v="0"/>
  </r>
  <r>
    <x v="15"/>
    <x v="1"/>
    <x v="355"/>
    <x v="338"/>
    <x v="0"/>
  </r>
  <r>
    <x v="15"/>
    <x v="1"/>
    <x v="356"/>
    <x v="339"/>
    <x v="0"/>
  </r>
  <r>
    <x v="15"/>
    <x v="1"/>
    <x v="357"/>
    <x v="340"/>
    <x v="0"/>
  </r>
  <r>
    <x v="15"/>
    <x v="3"/>
    <x v="358"/>
    <x v="341"/>
    <x v="0"/>
  </r>
  <r>
    <x v="15"/>
    <x v="1"/>
    <x v="359"/>
    <x v="342"/>
    <x v="0"/>
  </r>
  <r>
    <x v="15"/>
    <x v="1"/>
    <x v="360"/>
    <x v="343"/>
    <x v="0"/>
  </r>
  <r>
    <x v="15"/>
    <x v="4"/>
    <x v="361"/>
    <x v="344"/>
    <x v="0"/>
  </r>
  <r>
    <x v="15"/>
    <x v="0"/>
    <x v="362"/>
    <x v="345"/>
    <x v="0"/>
  </r>
  <r>
    <x v="15"/>
    <x v="1"/>
    <x v="363"/>
    <x v="346"/>
    <x v="0"/>
  </r>
  <r>
    <x v="15"/>
    <x v="1"/>
    <x v="364"/>
    <x v="347"/>
    <x v="0"/>
  </r>
  <r>
    <x v="15"/>
    <x v="1"/>
    <x v="365"/>
    <x v="348"/>
    <x v="0"/>
  </r>
  <r>
    <x v="15"/>
    <x v="4"/>
    <x v="366"/>
    <x v="349"/>
    <x v="0"/>
  </r>
  <r>
    <x v="15"/>
    <x v="1"/>
    <x v="367"/>
    <x v="350"/>
    <x v="0"/>
  </r>
  <r>
    <x v="15"/>
    <x v="3"/>
    <x v="368"/>
    <x v="351"/>
    <x v="0"/>
  </r>
  <r>
    <x v="15"/>
    <x v="0"/>
    <x v="369"/>
    <x v="137"/>
    <x v="24"/>
  </r>
  <r>
    <x v="15"/>
    <x v="0"/>
    <x v="370"/>
    <x v="137"/>
    <x v="2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6">
  <r>
    <x v="0"/>
    <n v="974"/>
    <s v="UNFPA"/>
    <x v="0"/>
    <x v="0"/>
    <n v="1"/>
    <s v="UNFPA"/>
    <n v="2011100435"/>
    <s v="KAZ3R41A"/>
    <n v="1"/>
    <n v="613"/>
    <s v="Kazakhstan"/>
    <m/>
    <m/>
    <n v="10019"/>
    <s v="UMICs"/>
    <n v="11"/>
    <s v="ODA Grants"/>
    <n v="4"/>
    <n v="10"/>
    <n v="110"/>
    <s v="C01"/>
    <n v="1.3310000000000001E-2"/>
    <n v="1.3310000000000001E-2"/>
    <n v="1951.5122000000003"/>
    <m/>
    <n v="1.3310000000000001E-2"/>
    <n v="1.3310000000000001E-2"/>
    <m/>
    <m/>
    <m/>
    <m/>
    <m/>
    <m/>
    <m/>
    <m/>
    <m/>
    <m/>
    <m/>
    <m/>
    <m/>
    <n v="302"/>
    <n v="1.3310000000000001E-2"/>
    <n v="1.3310000000000001E-2"/>
    <s v="ACCESS OF YOUNG TO SEXUAL AND REPRODUCTIVE HEALTH &amp; GENDER"/>
    <s v="Access of Young to Sexual and Reproductive Health &amp; Gender"/>
    <x v="0"/>
    <n v="13020"/>
    <x v="0"/>
  </r>
  <r>
    <x v="0"/>
    <n v="974"/>
    <s v="UNFPA"/>
    <x v="0"/>
    <x v="0"/>
    <n v="1"/>
    <s v="UNFPA"/>
    <n v="2011100434"/>
    <s v="KAZ3R21A"/>
    <n v="1"/>
    <n v="613"/>
    <s v="Kazakhstan"/>
    <m/>
    <m/>
    <n v="10019"/>
    <s v="UMICs"/>
    <n v="11"/>
    <s v="ODA Grants"/>
    <n v="4"/>
    <n v="10"/>
    <n v="110"/>
    <s v="C01"/>
    <n v="3.4880000000000001E-2"/>
    <n v="3.4880000000000001E-2"/>
    <n v="5114.1055999999999"/>
    <m/>
    <n v="3.4880000000000001E-2"/>
    <n v="3.4880000000000001E-2"/>
    <m/>
    <m/>
    <m/>
    <m/>
    <m/>
    <m/>
    <m/>
    <m/>
    <m/>
    <m/>
    <m/>
    <m/>
    <m/>
    <n v="302"/>
    <n v="3.4880000000000001E-2"/>
    <n v="3.4880000000000001E-2"/>
    <s v="ACCESS OF YOUNG TO SEXUAL AND REPRODUCTIVE HEALTH &amp; GENDER"/>
    <s v="Access of Young to Sexual and Reproductive Health &amp; Gender"/>
    <x v="0"/>
    <n v="13020"/>
    <x v="0"/>
  </r>
  <r>
    <x v="1"/>
    <n v="974"/>
    <s v="UNFPA"/>
    <x v="0"/>
    <x v="0"/>
    <n v="1"/>
    <s v="UNFPA"/>
    <n v="2010100423"/>
    <s v="KAZ3R51A"/>
    <n v="1"/>
    <n v="613"/>
    <s v="Kazakhstan"/>
    <m/>
    <m/>
    <n v="10019"/>
    <s v="UMICs"/>
    <n v="11"/>
    <s v="ODA Grants"/>
    <n v="4"/>
    <n v="10"/>
    <n v="110"/>
    <s v="C01"/>
    <n v="2.1399999999999898E-2"/>
    <n v="2.1399999999999898E-2"/>
    <n v="3153.5039999999854"/>
    <n v="0"/>
    <n v="2.2797626502884201E-2"/>
    <n v="2.2797626502884201E-2"/>
    <n v="0"/>
    <m/>
    <m/>
    <m/>
    <m/>
    <m/>
    <m/>
    <m/>
    <m/>
    <m/>
    <m/>
    <m/>
    <m/>
    <n v="302"/>
    <n v="2.1399999999999898E-2"/>
    <n v="2.1399999999999898E-2"/>
    <s v="ACCESS OF YOUNG TO SEXUAL AND REPRODUCTIVE HEALTH &amp; GENDER"/>
    <s v="Access of Young to Sexual and Reproductive Health &amp; Gender"/>
    <x v="0"/>
    <n v="13020"/>
    <x v="0"/>
  </r>
  <r>
    <x v="0"/>
    <n v="974"/>
    <s v="UNFPA"/>
    <x v="0"/>
    <x v="0"/>
    <n v="1"/>
    <s v="UNFPA"/>
    <n v="2011100433"/>
    <s v="KAZ3P31A"/>
    <n v="3"/>
    <n v="613"/>
    <s v="Kazakhstan"/>
    <m/>
    <m/>
    <n v="10019"/>
    <s v="UMICs"/>
    <n v="11"/>
    <s v="ODA Grants"/>
    <n v="4"/>
    <n v="10"/>
    <n v="110"/>
    <s v="C01"/>
    <m/>
    <m/>
    <n v="0"/>
    <n v="1.8599999999999899E-4"/>
    <m/>
    <m/>
    <n v="1.8599999999999899E-4"/>
    <m/>
    <m/>
    <m/>
    <m/>
    <m/>
    <m/>
    <m/>
    <m/>
    <m/>
    <m/>
    <m/>
    <m/>
    <n v="302"/>
    <m/>
    <m/>
    <s v="ACCESS OF YOUNG TO SEXUAL AND REPRODUCTIVE HEALTH &amp; GENDER"/>
    <s v="Access of Young to Sexual and Reproductive Health &amp; Gender"/>
    <x v="0"/>
    <n v="13020"/>
    <x v="0"/>
  </r>
  <r>
    <x v="1"/>
    <n v="974"/>
    <s v="UNFPA"/>
    <x v="0"/>
    <x v="0"/>
    <n v="1"/>
    <s v="UNFPA"/>
    <n v="2010100421"/>
    <s v="KAZ3R21A"/>
    <n v="1"/>
    <n v="613"/>
    <s v="Kazakhstan"/>
    <m/>
    <m/>
    <n v="10019"/>
    <s v="UMICs"/>
    <n v="11"/>
    <s v="ODA Grants"/>
    <n v="4"/>
    <n v="10"/>
    <n v="110"/>
    <s v="C01"/>
    <n v="8.2099999999999895E-2"/>
    <n v="8.2099999999999895E-2"/>
    <n v="12098.255999999985"/>
    <n v="0"/>
    <n v="8.7461922237700801E-2"/>
    <n v="8.7461922237700801E-2"/>
    <n v="0"/>
    <m/>
    <m/>
    <m/>
    <m/>
    <m/>
    <m/>
    <m/>
    <m/>
    <m/>
    <m/>
    <m/>
    <m/>
    <n v="302"/>
    <n v="8.2099999999999895E-2"/>
    <n v="8.2099999999999895E-2"/>
    <s v="ACCESS TO REPRODUCTIVE HEALTH SERVICES INCREASED"/>
    <s v="Access to Reproductive Health Services Increased"/>
    <x v="0"/>
    <n v="13020"/>
    <x v="0"/>
  </r>
  <r>
    <x v="0"/>
    <n v="5"/>
    <s v="Germany"/>
    <x v="1"/>
    <x v="1"/>
    <n v="1"/>
    <s v="BMZ"/>
    <n v="2011003012"/>
    <n v="2011980000000"/>
    <n v="8"/>
    <n v="613"/>
    <s v="Kazakhstan"/>
    <m/>
    <m/>
    <n v="10019"/>
    <s v="UMICs"/>
    <n v="11"/>
    <s v="ODA Grants"/>
    <n v="1"/>
    <n v="10"/>
    <n v="110"/>
    <s v="D02"/>
    <n v="9.9922369999999899E-2"/>
    <n v="9.9922369999999899E-2"/>
    <n v="14650.617889399986"/>
    <n v="0"/>
    <n v="9.9922369999999899E-2"/>
    <n v="9.9922369999999899E-2"/>
    <n v="0"/>
    <m/>
    <m/>
    <n v="2.80965E-2"/>
    <m/>
    <n v="7.1825879999999898E-2"/>
    <n v="2.80965E-2"/>
    <m/>
    <n v="7.1825879999999898E-2"/>
    <n v="0"/>
    <n v="0"/>
    <m/>
    <n v="0"/>
    <n v="302"/>
    <n v="9.9922369999999899E-2"/>
    <n v="9.9922369999999899E-2"/>
    <s v="ADAPTED STRATEGIES FOR PREVENTION AND THE FIGHT AGAINST HIV AND AIDS"/>
    <s v="Adapted strategies for prevention and the fight against HIV and AIDS"/>
    <x v="1"/>
    <n v="13040"/>
    <x v="1"/>
  </r>
  <r>
    <x v="1"/>
    <n v="5"/>
    <s v="Germany"/>
    <x v="1"/>
    <x v="1"/>
    <n v="1"/>
    <s v="BMZ"/>
    <n v="2010007851"/>
    <s v="ST1011766"/>
    <n v="8"/>
    <n v="613"/>
    <s v="Kazakhstan"/>
    <m/>
    <m/>
    <n v="10019"/>
    <s v="UMICs"/>
    <n v="11"/>
    <s v="ODA Grants"/>
    <n v="1"/>
    <n v="10"/>
    <n v="110"/>
    <s v="D02"/>
    <n v="1.510596E-2"/>
    <n v="1.510596E-2"/>
    <n v="2226.0142656000003"/>
    <n v="0"/>
    <n v="1.5986864024916201E-2"/>
    <n v="1.5986864024916201E-2"/>
    <n v="0"/>
    <m/>
    <m/>
    <n v="5.1360299999999902E-3"/>
    <m/>
    <n v="9.9699300000000001E-3"/>
    <n v="5.4355375784055299E-3"/>
    <m/>
    <n v="1.05513264465107E-2"/>
    <n v="0"/>
    <m/>
    <m/>
    <n v="0"/>
    <n v="302"/>
    <n v="1.510596E-2"/>
    <n v="1.510596E-2"/>
    <s v="ADAPTED STRATEGIES FOR PREVENTION AND THE FIGHT AGAINST HIV AND AIDS"/>
    <s v="Adapted strategies for prevention and the fight against HIV and AIDS"/>
    <x v="1"/>
    <n v="13040"/>
    <x v="1"/>
  </r>
  <r>
    <x v="2"/>
    <n v="974"/>
    <s v="UNFPA"/>
    <x v="0"/>
    <x v="0"/>
    <n v="1"/>
    <s v="UNFPA"/>
    <n v="2012001385"/>
    <m/>
    <n v="1"/>
    <n v="613"/>
    <s v="Kazakhstan"/>
    <m/>
    <m/>
    <n v="10019"/>
    <s v="UMICs"/>
    <n v="11"/>
    <s v="ODA Grants"/>
    <n v="4"/>
    <n v="10"/>
    <n v="110"/>
    <s v="C01"/>
    <n v="1.4928E-2"/>
    <n v="1.4928E-2"/>
    <n v="2225.9140800000005"/>
    <n v="0"/>
    <n v="1.5257569762473E-2"/>
    <n v="1.5257569762473E-2"/>
    <n v="0"/>
    <m/>
    <m/>
    <m/>
    <m/>
    <m/>
    <m/>
    <m/>
    <m/>
    <m/>
    <m/>
    <m/>
    <m/>
    <n v="302"/>
    <n v="1.4928E-2"/>
    <n v="1.4928E-2"/>
    <s v="AGENCY ON STATISTICS OF THE RE - DATA"/>
    <s v="Agency on Statistics of the Re - Data"/>
    <x v="2"/>
    <n v="13010"/>
    <x v="2"/>
  </r>
  <r>
    <x v="0"/>
    <n v="302"/>
    <s v="United States"/>
    <x v="1"/>
    <x v="1"/>
    <n v="14"/>
    <s v="HHS"/>
    <n v="2011055812"/>
    <s v="34_553"/>
    <n v="1"/>
    <n v="613"/>
    <s v="Kazakhstan"/>
    <m/>
    <m/>
    <n v="10019"/>
    <s v="UMICs"/>
    <n v="11"/>
    <s v="ODA Grants"/>
    <n v="1"/>
    <n v="10"/>
    <n v="110"/>
    <s v="C01"/>
    <n v="0.1711"/>
    <n v="0.151585"/>
    <n v="22225.3927"/>
    <m/>
    <n v="0.1711"/>
    <n v="0.151585"/>
    <m/>
    <m/>
    <m/>
    <m/>
    <m/>
    <n v="0.1711"/>
    <m/>
    <m/>
    <n v="0.1711"/>
    <m/>
    <m/>
    <m/>
    <m/>
    <n v="302"/>
    <n v="0.1711"/>
    <n v="0.151585"/>
    <s v="CDC: (POST HELD) RAPID OUTBREAK RESPONSE"/>
    <s v="CDC: (POST HELD) RAPID OUTBREAK RESPONSE"/>
    <x v="1"/>
    <n v="12250"/>
    <x v="3"/>
  </r>
  <r>
    <x v="0"/>
    <n v="302"/>
    <s v="United States"/>
    <x v="1"/>
    <x v="1"/>
    <n v="14"/>
    <s v="HHS"/>
    <n v="2011055935"/>
    <s v="34_712"/>
    <n v="1"/>
    <n v="613"/>
    <s v="Kazakhstan"/>
    <m/>
    <m/>
    <n v="10019"/>
    <s v="UMICs"/>
    <n v="11"/>
    <s v="ODA Grants"/>
    <n v="1"/>
    <n v="10"/>
    <n v="110"/>
    <s v="C01"/>
    <n v="1.2838559999999899"/>
    <n v="0.36918099999999898"/>
    <n v="54129.318219999856"/>
    <m/>
    <n v="1.2838559999999899"/>
    <n v="0.36918099999999898"/>
    <m/>
    <m/>
    <m/>
    <m/>
    <m/>
    <n v="1.2838559999999899"/>
    <m/>
    <m/>
    <n v="1.2838559999999899"/>
    <m/>
    <m/>
    <m/>
    <m/>
    <n v="302"/>
    <n v="1.2838559999999899"/>
    <n v="0.36918099999999898"/>
    <s v="CDC: GLOBAL DISEASE DETECTION"/>
    <s v="CDC: Global Disease Detection"/>
    <x v="1"/>
    <n v="12250"/>
    <x v="3"/>
  </r>
  <r>
    <x v="0"/>
    <n v="302"/>
    <s v="United States"/>
    <x v="1"/>
    <x v="1"/>
    <n v="14"/>
    <s v="HHS"/>
    <n v="2011055891"/>
    <s v="34_622"/>
    <n v="1"/>
    <n v="613"/>
    <s v="Kazakhstan"/>
    <m/>
    <m/>
    <n v="10019"/>
    <s v="UMICs"/>
    <n v="11"/>
    <s v="ODA Grants"/>
    <n v="1"/>
    <n v="10"/>
    <n v="110"/>
    <s v="C01"/>
    <n v="0.23055099999999901"/>
    <n v="0.18439"/>
    <n v="27035.2618"/>
    <m/>
    <n v="0.23055099999999901"/>
    <n v="0.18439"/>
    <m/>
    <m/>
    <m/>
    <m/>
    <m/>
    <n v="0.23055099999999901"/>
    <m/>
    <m/>
    <n v="0.23055099999999901"/>
    <m/>
    <m/>
    <m/>
    <m/>
    <n v="302"/>
    <n v="0.23055099999999901"/>
    <n v="0.18439"/>
    <s v="CDC: GLOBAL DISEASE DETECTION (POST HELD)"/>
    <s v="CDC: GLOBAL DISEASE DETECTION (POST HELD)"/>
    <x v="1"/>
    <n v="12250"/>
    <x v="3"/>
  </r>
  <r>
    <x v="2"/>
    <n v="302"/>
    <s v="United States"/>
    <x v="1"/>
    <x v="1"/>
    <n v="14"/>
    <s v="HHS"/>
    <n v="2012058802"/>
    <s v="34_107"/>
    <n v="1"/>
    <n v="613"/>
    <s v="Kazakhstan"/>
    <m/>
    <m/>
    <n v="10019"/>
    <s v="UMICs"/>
    <n v="11"/>
    <s v="ODA Grants"/>
    <n v="1"/>
    <n v="10"/>
    <n v="110"/>
    <s v="C01"/>
    <n v="0.67928200000000005"/>
    <n v="8.2128999999999994E-2"/>
    <n v="12246.25519"/>
    <m/>
    <n v="0.66694876345767695"/>
    <n v="8.0637842595587095E-2"/>
    <m/>
    <m/>
    <m/>
    <m/>
    <m/>
    <n v="0.67928200000000005"/>
    <m/>
    <m/>
    <n v="0.66694876345767695"/>
    <m/>
    <m/>
    <m/>
    <m/>
    <n v="302"/>
    <n v="0.67928200000000005"/>
    <n v="8.2128999999999994E-2"/>
    <s v="CDC: GLOBAL DISEASE DETECTION AND EMERGENCY RESPONSE PROGRAM (GDDER)"/>
    <s v="CDC: Global Disease Detection and Emergency Response Program (GDDER)"/>
    <x v="1"/>
    <n v="12250"/>
    <x v="3"/>
  </r>
  <r>
    <x v="0"/>
    <n v="302"/>
    <s v="United States"/>
    <x v="1"/>
    <x v="1"/>
    <n v="14"/>
    <s v="HHS"/>
    <n v="2011055914"/>
    <s v="34_646"/>
    <n v="1"/>
    <n v="613"/>
    <s v="Kazakhstan"/>
    <m/>
    <m/>
    <n v="10019"/>
    <s v="UMICs"/>
    <n v="11"/>
    <s v="ODA Grants"/>
    <n v="1"/>
    <n v="10"/>
    <n v="110"/>
    <s v="D01"/>
    <n v="0.62634500000000004"/>
    <n v="0.53051000000000004"/>
    <n v="77783.376200000013"/>
    <m/>
    <n v="0.62634500000000004"/>
    <n v="0.53051000000000004"/>
    <m/>
    <m/>
    <m/>
    <m/>
    <m/>
    <n v="0.62634500000000004"/>
    <m/>
    <m/>
    <n v="0.62634500000000004"/>
    <m/>
    <m/>
    <m/>
    <m/>
    <n v="302"/>
    <n v="0.62634500000000004"/>
    <n v="0.53051000000000004"/>
    <s v="CDC: GLOBAL HEALTH FEDERAL REIMBURSABLE ACTIVITY (POST)"/>
    <s v="CDC: GLOBAL HEALTH FEDERAL REIMBURSABLE ACTIVITY (POST)"/>
    <x v="2"/>
    <n v="12110"/>
    <x v="2"/>
  </r>
  <r>
    <x v="2"/>
    <n v="302"/>
    <s v="United States"/>
    <x v="1"/>
    <x v="1"/>
    <n v="14"/>
    <s v="HHS"/>
    <n v="2012058826"/>
    <s v="34_227"/>
    <n v="1"/>
    <n v="613"/>
    <s v="Kazakhstan"/>
    <m/>
    <m/>
    <n v="10019"/>
    <s v="UMICs"/>
    <n v="11"/>
    <s v="ODA Grants"/>
    <n v="1"/>
    <n v="10"/>
    <n v="110"/>
    <s v="C01"/>
    <n v="1.6902999999999901E-2"/>
    <m/>
    <n v="0"/>
    <m/>
    <n v="1.6596104340649499E-2"/>
    <m/>
    <m/>
    <m/>
    <m/>
    <m/>
    <m/>
    <n v="1.6902999999999901E-2"/>
    <m/>
    <m/>
    <n v="1.6596104340649499E-2"/>
    <m/>
    <m/>
    <m/>
    <m/>
    <n v="302"/>
    <n v="1.6902999999999901E-2"/>
    <m/>
    <s v="CDC: GLOBAL HEALTH PROGRAMS (UNSPECIFIED, FEDERAL REIMBURSABLE ACTIVITY)"/>
    <s v="CDC: Global Health Programs (Unspecified, Federal Reimbursable Activity)"/>
    <x v="2"/>
    <n v="12110"/>
    <x v="2"/>
  </r>
  <r>
    <x v="0"/>
    <n v="302"/>
    <s v="United States"/>
    <x v="1"/>
    <x v="1"/>
    <n v="14"/>
    <s v="HHS"/>
    <n v="2011056022"/>
    <s v="34_798"/>
    <n v="1"/>
    <n v="613"/>
    <s v="Kazakhstan"/>
    <m/>
    <m/>
    <n v="10019"/>
    <s v="UMICs"/>
    <n v="11"/>
    <s v="ODA Grants"/>
    <n v="1"/>
    <n v="10"/>
    <n v="110"/>
    <s v="C01"/>
    <n v="2.5000000000000001E-2"/>
    <n v="2.4229000000000001E-2"/>
    <n v="3552.4559800000002"/>
    <m/>
    <n v="2.5000000000000001E-2"/>
    <n v="2.4229000000000001E-2"/>
    <m/>
    <m/>
    <m/>
    <m/>
    <m/>
    <n v="2.5000000000000001E-2"/>
    <m/>
    <m/>
    <n v="2.5000000000000001E-2"/>
    <m/>
    <m/>
    <m/>
    <m/>
    <n v="302"/>
    <n v="2.5000000000000001E-2"/>
    <n v="2.4229000000000001E-2"/>
    <s v="CDC: INTERNATIONAL SURVEILLANCE (POST HELD)"/>
    <s v="CDC: INTERNATIONAL SURVEILLANCE (POST HELD)"/>
    <x v="1"/>
    <n v="12250"/>
    <x v="3"/>
  </r>
  <r>
    <x v="0"/>
    <n v="302"/>
    <s v="United States"/>
    <x v="1"/>
    <x v="1"/>
    <n v="14"/>
    <s v="HHS"/>
    <n v="2011056164"/>
    <s v="34_979"/>
    <n v="1"/>
    <n v="613"/>
    <s v="Kazakhstan"/>
    <m/>
    <m/>
    <n v="10019"/>
    <s v="UMICs"/>
    <n v="11"/>
    <s v="ODA Grants"/>
    <n v="1"/>
    <n v="10"/>
    <n v="110"/>
    <s v="C01"/>
    <n v="0.239205"/>
    <n v="1.42569999999999E-2"/>
    <n v="2090.3613399999854"/>
    <m/>
    <n v="0.239205"/>
    <n v="1.42569999999999E-2"/>
    <m/>
    <m/>
    <m/>
    <m/>
    <m/>
    <n v="0.239205"/>
    <m/>
    <m/>
    <n v="0.239205"/>
    <m/>
    <m/>
    <m/>
    <m/>
    <n v="302"/>
    <n v="0.239205"/>
    <n v="1.42569999999999E-2"/>
    <s v="CDC: RAPID OUTBREAK RESPONSE"/>
    <s v="CDC: Rapid Outbreak Response"/>
    <x v="1"/>
    <n v="12250"/>
    <x v="3"/>
  </r>
  <r>
    <x v="2"/>
    <n v="302"/>
    <s v="United States"/>
    <x v="1"/>
    <x v="1"/>
    <n v="14"/>
    <s v="HHS"/>
    <n v="2012058876"/>
    <s v="34_708"/>
    <n v="1"/>
    <n v="613"/>
    <s v="Kazakhstan"/>
    <m/>
    <m/>
    <n v="10019"/>
    <s v="UMICs"/>
    <n v="11"/>
    <s v="ODA Grants"/>
    <n v="1"/>
    <n v="10"/>
    <n v="110"/>
    <s v="C01"/>
    <n v="0.25689800000000002"/>
    <n v="9.2769999999999901E-3"/>
    <n v="1383.2934699999985"/>
    <m/>
    <n v="0.25223368709129701"/>
    <n v="9.1085641583272797E-3"/>
    <m/>
    <m/>
    <m/>
    <m/>
    <m/>
    <n v="0.25689800000000002"/>
    <m/>
    <m/>
    <n v="0.25223368709129701"/>
    <m/>
    <m/>
    <m/>
    <m/>
    <n v="302"/>
    <n v="0.25689800000000002"/>
    <n v="9.2769999999999901E-3"/>
    <s v="CDC: RAPID OUTBREAK RESPONSE (PANDEMIC INFLUENZA)"/>
    <s v="CDC: Rapid Outbreak Response (Pandemic Influenza)"/>
    <x v="1"/>
    <n v="12250"/>
    <x v="3"/>
  </r>
  <r>
    <x v="0"/>
    <n v="302"/>
    <s v="United States"/>
    <x v="1"/>
    <x v="1"/>
    <n v="14"/>
    <s v="HHS"/>
    <n v="2011056155"/>
    <s v="34_968"/>
    <n v="1"/>
    <n v="613"/>
    <s v="Kazakhstan"/>
    <m/>
    <m/>
    <n v="10019"/>
    <s v="UMICs"/>
    <n v="11"/>
    <s v="ODA Grants"/>
    <n v="1"/>
    <n v="10"/>
    <n v="110"/>
    <s v="C01"/>
    <n v="4.2000000000000003E-2"/>
    <m/>
    <n v="0"/>
    <m/>
    <n v="4.2000000000000003E-2"/>
    <m/>
    <m/>
    <m/>
    <m/>
    <m/>
    <m/>
    <n v="4.2000000000000003E-2"/>
    <m/>
    <m/>
    <n v="4.2000000000000003E-2"/>
    <m/>
    <m/>
    <m/>
    <m/>
    <n v="302"/>
    <n v="4.2000000000000003E-2"/>
    <m/>
    <s v="CDC: RAPID OUTBREAK RESPONSE (POST HELD)"/>
    <s v="CDC: RAPID OUTBREAK RESPONSE (Post Held)"/>
    <x v="1"/>
    <n v="12250"/>
    <x v="3"/>
  </r>
  <r>
    <x v="0"/>
    <n v="302"/>
    <s v="United States"/>
    <x v="1"/>
    <x v="1"/>
    <n v="14"/>
    <s v="HHS"/>
    <n v="2011055790"/>
    <s v="34_1068"/>
    <n v="1"/>
    <n v="613"/>
    <s v="Kazakhstan"/>
    <m/>
    <m/>
    <n v="10019"/>
    <s v="UMICs"/>
    <n v="11"/>
    <s v="ODA Grants"/>
    <n v="1"/>
    <n v="10"/>
    <n v="110"/>
    <s v="D01"/>
    <n v="0.12820099999999901"/>
    <n v="0.11163099999999899"/>
    <n v="16367.337219999854"/>
    <m/>
    <n v="0.12820099999999901"/>
    <n v="0.11163099999999899"/>
    <m/>
    <m/>
    <m/>
    <m/>
    <m/>
    <n v="0.12820099999999901"/>
    <m/>
    <m/>
    <n v="0.12820099999999901"/>
    <m/>
    <m/>
    <m/>
    <m/>
    <n v="302"/>
    <n v="0.12820099999999901"/>
    <n v="0.11163099999999899"/>
    <s v="CDC: UPGRADING CDC CAPACITY (POST HELD)"/>
    <s v="CDC: UPGRADING CDC CAPACITY (POST HELD)"/>
    <x v="2"/>
    <n v="12110"/>
    <x v="2"/>
  </r>
  <r>
    <x v="1"/>
    <n v="1312"/>
    <s v="Global Fund"/>
    <x v="0"/>
    <x v="0"/>
    <n v="1"/>
    <s v="Global Fund"/>
    <n v="2010000271"/>
    <s v="KAZ-809-G04-T"/>
    <n v="3"/>
    <n v="613"/>
    <s v="Kazakhstan"/>
    <m/>
    <m/>
    <n v="10019"/>
    <s v="UMICs"/>
    <n v="11"/>
    <s v="ODA Grants"/>
    <n v="4"/>
    <n v="10"/>
    <n v="110"/>
    <s v="C01"/>
    <m/>
    <n v="14.321325"/>
    <n v="2110390.452"/>
    <m/>
    <m/>
    <n v="15.256645718524201"/>
    <m/>
    <m/>
    <m/>
    <m/>
    <m/>
    <m/>
    <m/>
    <m/>
    <m/>
    <m/>
    <m/>
    <m/>
    <m/>
    <n v="302"/>
    <m/>
    <n v="14.321325"/>
    <s v="DECREASE OF TB BURDEN IN KAZAKHSTAN THROUGH STRENGTHENING OF MULTI-DRUG RESISTANT (MDR-TB) TB MANAGEMENT"/>
    <s v="Decrease of TB Burden in Kazakhstan through Strengthening of Multi-Drug Resistant (MDR-TB) TB Management"/>
    <x v="1"/>
    <n v="12263"/>
    <x v="4"/>
  </r>
  <r>
    <x v="1"/>
    <n v="1312"/>
    <s v="Global Fund"/>
    <x v="0"/>
    <x v="0"/>
    <n v="1"/>
    <s v="Global Fund"/>
    <n v="2010000269"/>
    <s v="KAZ-607-G02-T"/>
    <n v="3"/>
    <n v="613"/>
    <s v="Kazakhstan"/>
    <m/>
    <m/>
    <n v="10019"/>
    <s v="UMICs"/>
    <n v="11"/>
    <s v="ODA Grants"/>
    <n v="4"/>
    <n v="10"/>
    <n v="110"/>
    <s v="C01"/>
    <m/>
    <n v="1.61232199999999"/>
    <n v="237591.76991999854"/>
    <m/>
    <m/>
    <n v="1.7176221849711799"/>
    <m/>
    <m/>
    <m/>
    <m/>
    <m/>
    <m/>
    <m/>
    <m/>
    <m/>
    <m/>
    <m/>
    <m/>
    <m/>
    <n v="302"/>
    <m/>
    <n v="1.61232199999999"/>
    <s v="DECREASE TUBERCULOSIS (TB) BURDEN IN KAZAKHSTAN"/>
    <s v="Decrease Tuberculosis (TB) Burden in Kazakhstan"/>
    <x v="1"/>
    <n v="12263"/>
    <x v="4"/>
  </r>
  <r>
    <x v="1"/>
    <n v="974"/>
    <s v="UNFPA"/>
    <x v="0"/>
    <x v="0"/>
    <n v="1"/>
    <s v="UNFPA"/>
    <n v="2010100422"/>
    <s v="KAZ3R41A"/>
    <n v="1"/>
    <n v="613"/>
    <s v="Kazakhstan"/>
    <m/>
    <m/>
    <n v="10019"/>
    <s v="UMICs"/>
    <n v="11"/>
    <s v="ODA Grants"/>
    <n v="4"/>
    <n v="10"/>
    <n v="110"/>
    <s v="C01"/>
    <n v="1.4E-2"/>
    <n v="1.4E-2"/>
    <n v="2063.0400000000004"/>
    <n v="0"/>
    <n v="1.4914335095344801E-2"/>
    <n v="1.4914335095344801E-2"/>
    <n v="0"/>
    <m/>
    <m/>
    <m/>
    <m/>
    <m/>
    <m/>
    <m/>
    <m/>
    <m/>
    <m/>
    <m/>
    <m/>
    <n v="302"/>
    <n v="1.4E-2"/>
    <n v="1.4E-2"/>
    <s v="DEMAND FOR HIV &amp; SEXUALLY TRANSMITTED INFECTION SERVICES"/>
    <s v="Demand for HIV &amp; Sexually Transmitted Infection Services"/>
    <x v="1"/>
    <n v="13040"/>
    <x v="1"/>
  </r>
  <r>
    <x v="1"/>
    <n v="302"/>
    <s v="United States"/>
    <x v="1"/>
    <x v="1"/>
    <n v="7"/>
    <s v="DOD"/>
    <n v="2010049383"/>
    <s v="HIV00001"/>
    <n v="3"/>
    <n v="613"/>
    <s v="Kazakhstan"/>
    <m/>
    <m/>
    <n v="10019"/>
    <s v="UMICs"/>
    <n v="11"/>
    <s v="ODA Grants"/>
    <n v="1"/>
    <n v="10"/>
    <n v="110"/>
    <s v="C01"/>
    <m/>
    <n v="1.9918999999999899E-2"/>
    <n v="2935.2638399999855"/>
    <m/>
    <m/>
    <n v="2.0343624956577398E-2"/>
    <m/>
    <m/>
    <m/>
    <m/>
    <m/>
    <m/>
    <m/>
    <m/>
    <m/>
    <m/>
    <m/>
    <m/>
    <m/>
    <n v="302"/>
    <m/>
    <n v="1.9918999999999899E-2"/>
    <s v="DOD HIV/AIDS PREVENTION PROGRAM (DHAPP) - COUNTRY PROGRAMS"/>
    <s v="DOD HIV/AIDS Prevention Program (DHAPP) - Country Programs"/>
    <x v="1"/>
    <n v="13040"/>
    <x v="1"/>
  </r>
  <r>
    <x v="2"/>
    <n v="302"/>
    <s v="United States"/>
    <x v="1"/>
    <x v="1"/>
    <n v="7"/>
    <s v="DOD"/>
    <n v="2012052095"/>
    <s v="35_119"/>
    <n v="1"/>
    <n v="613"/>
    <s v="Kazakhstan"/>
    <m/>
    <m/>
    <n v="10019"/>
    <s v="UMICs"/>
    <n v="11"/>
    <s v="ODA Grants"/>
    <n v="1"/>
    <n v="10"/>
    <n v="110"/>
    <s v="C01"/>
    <n v="0.01"/>
    <m/>
    <n v="0"/>
    <m/>
    <n v="9.8184371653845907E-3"/>
    <m/>
    <m/>
    <m/>
    <m/>
    <n v="0.01"/>
    <m/>
    <m/>
    <n v="9.8184371653845907E-3"/>
    <m/>
    <m/>
    <m/>
    <m/>
    <m/>
    <m/>
    <n v="302"/>
    <n v="0.01"/>
    <m/>
    <s v="DOD HIV/AIDS PREVENTION PROGRAM (DHAPP) - F OPERATIONAL PLAN PROGRAMS"/>
    <s v="DOD HIV/AIDS Prevention Program (DHAPP) - F Operational Plan Programs"/>
    <x v="1"/>
    <n v="13040"/>
    <x v="1"/>
  </r>
  <r>
    <x v="1"/>
    <n v="918"/>
    <s v="EU Institutions"/>
    <x v="1"/>
    <x v="1"/>
    <n v="2"/>
    <s v="EDF"/>
    <n v="2007200071001"/>
    <s v="SCR.CTR.208727"/>
    <n v="3"/>
    <n v="613"/>
    <s v="Kazakhstan"/>
    <m/>
    <m/>
    <n v="10019"/>
    <s v="UMICs"/>
    <n v="11"/>
    <s v="ODA Grants"/>
    <n v="1"/>
    <n v="10"/>
    <n v="110"/>
    <s v="C01"/>
    <n v="0"/>
    <n v="0.105417218543046"/>
    <n v="15534.281324503259"/>
    <n v="0"/>
    <n v="0"/>
    <n v="0.11199390017982901"/>
    <n v="0"/>
    <m/>
    <m/>
    <n v="0"/>
    <n v="0"/>
    <n v="0"/>
    <n v="0"/>
    <n v="0"/>
    <n v="0"/>
    <n v="0"/>
    <n v="0"/>
    <m/>
    <n v="0"/>
    <n v="918"/>
    <n v="0"/>
    <n v="7.9589999999999994E-2"/>
    <s v="HEALTH POLICY &amp; ADMIN. MANAGEMENT"/>
    <s v="Health sector assessment and supporting reforms to health sector in Kazakhstan"/>
    <x v="2"/>
    <n v="12110"/>
    <x v="2"/>
  </r>
  <r>
    <x v="1"/>
    <n v="302"/>
    <s v="United States"/>
    <x v="1"/>
    <x v="1"/>
    <n v="1"/>
    <s v="AID"/>
    <n v="2010031317"/>
    <s v="UEJ36510"/>
    <n v="3"/>
    <n v="613"/>
    <s v="Kazakhstan"/>
    <m/>
    <m/>
    <n v="10019"/>
    <s v="UMICs"/>
    <n v="11"/>
    <s v="ODA Grants"/>
    <n v="1"/>
    <n v="10"/>
    <n v="110"/>
    <s v="C01"/>
    <m/>
    <n v="3.6240000000000001E-3"/>
    <n v="534.03264000000001"/>
    <m/>
    <m/>
    <n v="3.7012549245763601E-3"/>
    <m/>
    <m/>
    <m/>
    <m/>
    <m/>
    <m/>
    <m/>
    <m/>
    <m/>
    <m/>
    <m/>
    <m/>
    <m/>
    <n v="302"/>
    <m/>
    <n v="3.6240000000000001E-3"/>
    <s v="HIV/AIDS - ASSISTANCE FOR HIV/AIDS"/>
    <s v="HIV/AIDS - Assistance for HIV/AIDS"/>
    <x v="1"/>
    <n v="13040"/>
    <x v="1"/>
  </r>
  <r>
    <x v="1"/>
    <n v="302"/>
    <s v="United States"/>
    <x v="1"/>
    <x v="1"/>
    <n v="1"/>
    <s v="AID"/>
    <n v="2010031316"/>
    <s v="UEJ36508"/>
    <n v="3"/>
    <n v="613"/>
    <s v="Kazakhstan"/>
    <m/>
    <m/>
    <n v="10019"/>
    <s v="UMICs"/>
    <n v="11"/>
    <s v="ODA Grants"/>
    <n v="1"/>
    <n v="10"/>
    <n v="110"/>
    <s v="C01"/>
    <m/>
    <n v="1.7309999999999999E-3"/>
    <n v="255.08016000000001"/>
    <m/>
    <m/>
    <n v="1.76790073798059E-3"/>
    <m/>
    <m/>
    <m/>
    <m/>
    <m/>
    <m/>
    <m/>
    <m/>
    <m/>
    <m/>
    <m/>
    <m/>
    <m/>
    <n v="302"/>
    <m/>
    <n v="1.7309999999999999E-3"/>
    <s v="HIV/AIDS - ASSISTANCE FOR HIV/AIDS"/>
    <s v="HIV/AIDS - Assistance for HIV/AIDS"/>
    <x v="1"/>
    <n v="13040"/>
    <x v="1"/>
  </r>
  <r>
    <x v="1"/>
    <n v="302"/>
    <s v="United States"/>
    <x v="1"/>
    <x v="1"/>
    <n v="1"/>
    <s v="AID"/>
    <n v="2010031318"/>
    <s v="UEJ36511"/>
    <n v="3"/>
    <n v="613"/>
    <s v="Kazakhstan"/>
    <m/>
    <m/>
    <n v="10019"/>
    <s v="UMICs"/>
    <n v="11"/>
    <s v="ODA Grants"/>
    <n v="1"/>
    <n v="10"/>
    <n v="110"/>
    <s v="C01"/>
    <m/>
    <n v="3.3000000000000002E-2"/>
    <n v="4862.88"/>
    <m/>
    <m/>
    <n v="3.37034802734602E-2"/>
    <m/>
    <m/>
    <m/>
    <m/>
    <m/>
    <m/>
    <m/>
    <m/>
    <m/>
    <m/>
    <m/>
    <m/>
    <m/>
    <n v="302"/>
    <m/>
    <n v="3.3000000000000002E-2"/>
    <s v="HIV/AIDS - ASSISTANCE FOR HIV/AIDS"/>
    <s v="HIV/AIDS - Assistance for HIV/AIDS"/>
    <x v="1"/>
    <n v="13040"/>
    <x v="1"/>
  </r>
  <r>
    <x v="2"/>
    <n v="302"/>
    <s v="United States"/>
    <x v="1"/>
    <x v="1"/>
    <n v="1"/>
    <s v="AID"/>
    <n v="2012035987"/>
    <s v="76_2060833"/>
    <n v="1"/>
    <n v="613"/>
    <s v="Kazakhstan"/>
    <m/>
    <m/>
    <n v="10019"/>
    <s v="UMICs"/>
    <n v="11"/>
    <s v="ODA Grants"/>
    <n v="1"/>
    <n v="10"/>
    <n v="110"/>
    <s v="C01"/>
    <m/>
    <m/>
    <n v="0"/>
    <m/>
    <m/>
    <m/>
    <m/>
    <n v="-1.121E-3"/>
    <n v="-1.1006468062396101E-3"/>
    <m/>
    <m/>
    <m/>
    <m/>
    <m/>
    <m/>
    <m/>
    <m/>
    <m/>
    <m/>
    <n v="302"/>
    <m/>
    <m/>
    <s v="KAZ SO 3.2 HEALTH - ASSISTANCE FOR HIV/AIDS"/>
    <s v="KAZ SO 3.2 HEALTH - Assistance for HIV/AIDS"/>
    <x v="1"/>
    <n v="13040"/>
    <x v="1"/>
  </r>
  <r>
    <x v="0"/>
    <n v="302"/>
    <s v="United States"/>
    <x v="1"/>
    <x v="1"/>
    <n v="1"/>
    <s v="AID"/>
    <n v="2011019128"/>
    <s v="76_147565"/>
    <n v="3"/>
    <n v="613"/>
    <s v="Kazakhstan"/>
    <m/>
    <m/>
    <n v="10019"/>
    <s v="UMICs"/>
    <n v="11"/>
    <s v="ODA Grants"/>
    <n v="1"/>
    <n v="10"/>
    <n v="110"/>
    <s v="C01"/>
    <m/>
    <n v="3.2779999999999997E-2"/>
    <n v="4806.2035999999998"/>
    <m/>
    <m/>
    <n v="3.2779999999999997E-2"/>
    <m/>
    <m/>
    <m/>
    <m/>
    <m/>
    <m/>
    <m/>
    <m/>
    <m/>
    <m/>
    <m/>
    <m/>
    <m/>
    <n v="302"/>
    <m/>
    <n v="3.2779999999999997E-2"/>
    <s v="KAZ SO 3.2 HEALTH - AVIAN FLU"/>
    <s v="KAZ SO 3.2 HEALTH - Avian Flu"/>
    <x v="1"/>
    <n v="12250"/>
    <x v="3"/>
  </r>
  <r>
    <x v="1"/>
    <n v="974"/>
    <s v="UNFPA"/>
    <x v="0"/>
    <x v="0"/>
    <n v="1"/>
    <s v="UNFPA"/>
    <n v="2010100420"/>
    <s v="KAZ3P31A"/>
    <n v="1"/>
    <n v="613"/>
    <s v="Kazakhstan"/>
    <m/>
    <m/>
    <n v="10019"/>
    <s v="UMICs"/>
    <n v="11"/>
    <s v="ODA Grants"/>
    <n v="4"/>
    <n v="10"/>
    <n v="110"/>
    <s v="C01"/>
    <n v="7.5600000000000001E-2"/>
    <n v="7.5600000000000001E-2"/>
    <n v="11140.416000000001"/>
    <n v="0"/>
    <n v="8.0537409514862102E-2"/>
    <n v="8.0537409514862102E-2"/>
    <n v="0"/>
    <m/>
    <m/>
    <m/>
    <m/>
    <m/>
    <m/>
    <m/>
    <m/>
    <m/>
    <m/>
    <m/>
    <m/>
    <n v="302"/>
    <n v="7.5600000000000001E-2"/>
    <n v="7.5600000000000001E-2"/>
    <s v="POPULATION, GENDER AND SEXUAL AND REPRODUCTIVE HEALTH DATA FOR DEVELOPMENT"/>
    <s v="Population, Gender and Sexual and Reproductive Health Data for Development"/>
    <x v="2"/>
    <n v="13010"/>
    <x v="2"/>
  </r>
  <r>
    <x v="0"/>
    <n v="302"/>
    <s v="United States"/>
    <x v="1"/>
    <x v="1"/>
    <n v="10"/>
    <s v="PEACE"/>
    <n v="2011051082"/>
    <s v="35_130"/>
    <n v="1"/>
    <n v="613"/>
    <s v="Kazakhstan"/>
    <m/>
    <m/>
    <n v="10019"/>
    <s v="UMICs"/>
    <n v="11"/>
    <s v="ODA Grants"/>
    <n v="1"/>
    <n v="10"/>
    <n v="110"/>
    <s v="D01"/>
    <n v="6.7100000000000005E-4"/>
    <m/>
    <n v="0"/>
    <m/>
    <n v="6.7100000000000005E-4"/>
    <m/>
    <m/>
    <m/>
    <m/>
    <n v="6.7100000000000005E-4"/>
    <m/>
    <m/>
    <n v="6.7100000000000005E-4"/>
    <m/>
    <m/>
    <m/>
    <m/>
    <m/>
    <m/>
    <n v="302"/>
    <n v="6.7100000000000005E-4"/>
    <m/>
    <s v="PRESIDENT'S EMERGENCY PLAN FOR AIDS RELIEF - F OPERATIONAL PLAN PROGRAMS"/>
    <s v="President's Emergency Plan for AIDS Relief - F Operational Plan Programs"/>
    <x v="1"/>
    <n v="13040"/>
    <x v="1"/>
  </r>
  <r>
    <x v="2"/>
    <n v="5"/>
    <s v="Germany"/>
    <x v="1"/>
    <x v="1"/>
    <n v="1"/>
    <s v="BMZ"/>
    <n v="2012000353"/>
    <n v="199966508"/>
    <n v="3"/>
    <n v="613"/>
    <s v="Kazakhstan"/>
    <m/>
    <m/>
    <n v="10019"/>
    <s v="UMICs"/>
    <n v="11"/>
    <s v="ODA Grants"/>
    <n v="1"/>
    <n v="10"/>
    <n v="110"/>
    <s v="C01"/>
    <n v="0"/>
    <n v="4.9164520000000003E-2"/>
    <n v="7330.9215772000016"/>
    <n v="0"/>
    <n v="0"/>
    <n v="5.2475368356346898E-2"/>
    <n v="0"/>
    <m/>
    <m/>
    <n v="0"/>
    <m/>
    <n v="0"/>
    <n v="0"/>
    <m/>
    <n v="0"/>
    <m/>
    <m/>
    <m/>
    <m/>
    <n v="302"/>
    <n v="0"/>
    <n v="4.9164520000000003E-2"/>
    <s v="PROGRAMME TO COMBAT TUBERCULOSIS"/>
    <s v="Programme to Combat Tuberculosis"/>
    <x v="1"/>
    <n v="12263"/>
    <x v="4"/>
  </r>
  <r>
    <x v="0"/>
    <n v="5"/>
    <s v="Germany"/>
    <x v="1"/>
    <x v="1"/>
    <n v="1"/>
    <s v="BMZ"/>
    <n v="2011000409"/>
    <n v="199966508"/>
    <n v="3"/>
    <n v="613"/>
    <s v="Kazakhstan"/>
    <m/>
    <m/>
    <n v="10019"/>
    <s v="UMICs"/>
    <n v="11"/>
    <s v="ODA Grants"/>
    <n v="1"/>
    <n v="10"/>
    <n v="110"/>
    <s v="C01"/>
    <n v="0"/>
    <n v="1.9671553399999899"/>
    <n v="288424.31595079851"/>
    <n v="0"/>
    <n v="0"/>
    <n v="1.9671553399999899"/>
    <n v="0"/>
    <m/>
    <m/>
    <n v="0"/>
    <m/>
    <n v="0"/>
    <n v="0"/>
    <m/>
    <n v="0"/>
    <n v="0"/>
    <n v="0"/>
    <m/>
    <n v="0"/>
    <n v="302"/>
    <n v="0"/>
    <n v="1.9671553399999899"/>
    <s v="PROGRAMME TO COMBAT TUBERCULOSIS"/>
    <s v="Programme to Combat Tuberculosis"/>
    <x v="1"/>
    <n v="12263"/>
    <x v="4"/>
  </r>
  <r>
    <x v="1"/>
    <n v="1312"/>
    <s v="Global Fund"/>
    <x v="0"/>
    <x v="0"/>
    <n v="1"/>
    <s v="Global Fund"/>
    <n v="2010000268"/>
    <s v="KAZ-202-G01-H-00"/>
    <n v="3"/>
    <n v="613"/>
    <s v="Kazakhstan"/>
    <m/>
    <m/>
    <n v="10019"/>
    <s v="UMICs"/>
    <n v="11"/>
    <s v="ODA Grants"/>
    <n v="4"/>
    <n v="10"/>
    <n v="110"/>
    <s v="C01"/>
    <m/>
    <m/>
    <n v="0"/>
    <n v="8.7048000000000004E-3"/>
    <m/>
    <m/>
    <n v="9.2733074384255508E-3"/>
    <m/>
    <m/>
    <m/>
    <m/>
    <m/>
    <m/>
    <m/>
    <m/>
    <m/>
    <m/>
    <m/>
    <m/>
    <n v="302"/>
    <m/>
    <m/>
    <s v="PROMOTION OF AND SUPPORT TO SAFER BEHAVIOR CHOICES AMONG TARGET POPULATION GROUPS (INJECTING DRUG USERS, COMMERCIAL SEX WORKERS, YOUTH)."/>
    <s v="Promotion of and support to safer behavior choices among target population groups (injecting drug users, commercial sex workers, youth); provision of care and support to people with HIV/AIDS"/>
    <x v="1"/>
    <n v="13040"/>
    <x v="1"/>
  </r>
  <r>
    <x v="2"/>
    <n v="974"/>
    <s v="UNFPA"/>
    <x v="0"/>
    <x v="0"/>
    <n v="1"/>
    <s v="UNFPA"/>
    <n v="2012000211"/>
    <m/>
    <n v="1"/>
    <n v="613"/>
    <s v="Kazakhstan"/>
    <m/>
    <m/>
    <n v="10019"/>
    <s v="UMICs"/>
    <n v="11"/>
    <s v="ODA Grants"/>
    <n v="4"/>
    <n v="10"/>
    <n v="110"/>
    <s v="C01"/>
    <n v="0"/>
    <n v="0"/>
    <n v="0"/>
    <n v="4.95E-4"/>
    <n v="0"/>
    <n v="0"/>
    <n v="5.0592825779904502E-4"/>
    <m/>
    <m/>
    <m/>
    <m/>
    <m/>
    <m/>
    <m/>
    <m/>
    <m/>
    <m/>
    <m/>
    <m/>
    <n v="302"/>
    <n v="0"/>
    <n v="0"/>
    <s v="RESEARCH CENTRE FOR OBSTETRICS - MATERNAL &amp; NEWBORN HEALTH"/>
    <s v="Research Centre for Obstetrics - Maternal &amp; Newborn Health"/>
    <x v="0"/>
    <n v="13020"/>
    <x v="0"/>
  </r>
  <r>
    <x v="1"/>
    <n v="1312"/>
    <s v="Global Fund"/>
    <x v="0"/>
    <x v="0"/>
    <n v="1"/>
    <s v="Global Fund"/>
    <n v="2010000270"/>
    <s v="KAZ-708-G03-H"/>
    <n v="3"/>
    <n v="613"/>
    <s v="Kazakhstan"/>
    <m/>
    <m/>
    <n v="10019"/>
    <s v="UMICs"/>
    <n v="11"/>
    <s v="ODA Grants"/>
    <n v="4"/>
    <n v="10"/>
    <n v="110"/>
    <s v="C01"/>
    <m/>
    <n v="3.0007979999999899"/>
    <n v="442197.59327999857"/>
    <m/>
    <m/>
    <n v="3.1967790661028999"/>
    <m/>
    <m/>
    <m/>
    <m/>
    <m/>
    <m/>
    <m/>
    <m/>
    <m/>
    <m/>
    <m/>
    <m/>
    <m/>
    <n v="302"/>
    <m/>
    <n v="3.0007979999999899"/>
    <s v="SCALING-UP ACCESS TO HIV PREVENTION TREATMENT, CARE AND SUPPORT SERVICES, PARTICULARLY FOR VULNERABLE GROUPS."/>
    <s v="Scaling-up access to HIV prevention treatment, care and support services, particularly for vulnerable groups through enhanced and expanded governmental/NGO/private partnerships"/>
    <x v="1"/>
    <n v="13040"/>
    <x v="1"/>
  </r>
  <r>
    <x v="2"/>
    <n v="918"/>
    <s v="EU Institutions"/>
    <x v="1"/>
    <x v="1"/>
    <n v="2"/>
    <s v="EDF"/>
    <n v="2007200071005"/>
    <s v="SCR.CTR.242779.01.1"/>
    <n v="3"/>
    <n v="613"/>
    <s v="Kazakhstan"/>
    <m/>
    <m/>
    <n v="10019"/>
    <s v="UMICs"/>
    <n v="11"/>
    <s v="ODA Grants"/>
    <n v="1"/>
    <n v="10"/>
    <n v="110"/>
    <s v="C01"/>
    <n v="0"/>
    <n v="0.171669871465295"/>
    <n v="25597.694534190141"/>
    <n v="0"/>
    <n v="0"/>
    <n v="0.183474815388464"/>
    <n v="0"/>
    <m/>
    <m/>
    <n v="0"/>
    <n v="0"/>
    <n v="0"/>
    <n v="0"/>
    <n v="0"/>
    <n v="0"/>
    <m/>
    <m/>
    <m/>
    <m/>
    <n v="918"/>
    <n v="0"/>
    <n v="0.13355915999999901"/>
    <s v="SCALING-UP HIV AND TB SERVICES FOR MOST AT RISK POPULATIONS IN KAZAKHSTAN"/>
    <m/>
    <x v="1"/>
    <n v="13040"/>
    <x v="1"/>
  </r>
  <r>
    <x v="0"/>
    <n v="918"/>
    <s v="EU Institutions"/>
    <x v="1"/>
    <x v="1"/>
    <n v="2"/>
    <s v="EDF"/>
    <n v="2007200071005"/>
    <s v="SCR.CTR.242779.01.1"/>
    <n v="3"/>
    <n v="613"/>
    <s v="Kazakhstan"/>
    <m/>
    <m/>
    <n v="10019"/>
    <s v="UMICs"/>
    <n v="11"/>
    <s v="ODA Grants"/>
    <n v="1"/>
    <n v="10"/>
    <n v="110"/>
    <s v="C01"/>
    <n v="0"/>
    <n v="0.152170063959955"/>
    <n v="22311.174777808603"/>
    <n v="0"/>
    <n v="0"/>
    <n v="0.152170063959955"/>
    <n v="0"/>
    <m/>
    <m/>
    <n v="0"/>
    <n v="0"/>
    <n v="0"/>
    <n v="0"/>
    <n v="0"/>
    <n v="0"/>
    <m/>
    <m/>
    <m/>
    <m/>
    <n v="918"/>
    <n v="0"/>
    <n v="0.10944071"/>
    <s v="SCALING-UP HIV AND TB SERVICES FOR MOST AT RISK POPULATIONS IN KAZAKHSTAN"/>
    <s v="Scaling-up HIV and TB services for most at risk populations in Kazakhstan"/>
    <x v="1"/>
    <n v="13040"/>
    <x v="1"/>
  </r>
  <r>
    <x v="1"/>
    <n v="918"/>
    <s v="EU Institutions"/>
    <x v="1"/>
    <x v="1"/>
    <n v="2"/>
    <s v="EDF"/>
    <n v="2005105792003"/>
    <s v="SCR.640968"/>
    <n v="3"/>
    <n v="613"/>
    <s v="Kazakhstan"/>
    <m/>
    <m/>
    <n v="10019"/>
    <s v="UMICs"/>
    <n v="11"/>
    <s v="ODA Grants"/>
    <n v="1"/>
    <n v="10"/>
    <n v="110"/>
    <s v="C01"/>
    <n v="0"/>
    <n v="2.6463576158940301E-2"/>
    <n v="3899.672582781443"/>
    <n v="0"/>
    <n v="0"/>
    <n v="2.8114563708920601E-2"/>
    <n v="0"/>
    <m/>
    <m/>
    <n v="0"/>
    <n v="0"/>
    <n v="0"/>
    <n v="0"/>
    <n v="0"/>
    <n v="0"/>
    <n v="0"/>
    <n v="0"/>
    <m/>
    <n v="0"/>
    <n v="918"/>
    <n v="0"/>
    <n v="1.9980000000000001E-2"/>
    <s v="STD CONTROL INCLUDING HIV/AIDS"/>
    <s v="Empowering community-based organisations and the social integration of people living with HIV (PLHIV) in Kazakhstan"/>
    <x v="1"/>
    <n v="13040"/>
    <x v="1"/>
  </r>
  <r>
    <x v="2"/>
    <n v="302"/>
    <s v="United States"/>
    <x v="1"/>
    <x v="1"/>
    <n v="1"/>
    <s v="AID"/>
    <n v="2012048355"/>
    <s v="76_2078963"/>
    <n v="1"/>
    <n v="613"/>
    <s v="Kazakhstan"/>
    <m/>
    <m/>
    <n v="10019"/>
    <s v="UMICs"/>
    <n v="11"/>
    <s v="ODA Grants"/>
    <n v="1"/>
    <n v="10"/>
    <n v="110"/>
    <s v="C01"/>
    <m/>
    <m/>
    <n v="0"/>
    <m/>
    <m/>
    <m/>
    <m/>
    <n v="-3.4499999999999999E-3"/>
    <n v="-3.38736082205768E-3"/>
    <m/>
    <m/>
    <m/>
    <m/>
    <m/>
    <m/>
    <m/>
    <m/>
    <m/>
    <m/>
    <n v="302"/>
    <m/>
    <m/>
    <s v="TUBERCULOSIS"/>
    <s v="Tuberculosis"/>
    <x v="1"/>
    <n v="12263"/>
    <x v="4"/>
  </r>
  <r>
    <x v="2"/>
    <n v="302"/>
    <s v="United States"/>
    <x v="1"/>
    <x v="1"/>
    <n v="1"/>
    <s v="AID"/>
    <n v="2012048353"/>
    <s v="76_2078963"/>
    <n v="1"/>
    <n v="613"/>
    <s v="Kazakhstan"/>
    <m/>
    <m/>
    <n v="10019"/>
    <s v="UMICs"/>
    <n v="11"/>
    <s v="ODA Grants"/>
    <n v="1"/>
    <n v="10"/>
    <n v="110"/>
    <s v="C01"/>
    <m/>
    <m/>
    <n v="0"/>
    <m/>
    <m/>
    <m/>
    <m/>
    <n v="-4.5250000000000004E-3"/>
    <n v="-4.4428428173365203E-3"/>
    <m/>
    <m/>
    <m/>
    <m/>
    <m/>
    <m/>
    <m/>
    <m/>
    <m/>
    <m/>
    <n v="302"/>
    <m/>
    <m/>
    <s v="TUBERCULOSIS"/>
    <s v="Tuberculosis"/>
    <x v="1"/>
    <n v="12263"/>
    <x v="4"/>
  </r>
  <r>
    <x v="0"/>
    <n v="5"/>
    <s v="Germany"/>
    <x v="1"/>
    <x v="1"/>
    <n v="1"/>
    <s v="BMZ"/>
    <n v="2011000450"/>
    <n v="200065821"/>
    <n v="3"/>
    <n v="613"/>
    <s v="Kazakhstan"/>
    <m/>
    <m/>
    <n v="10019"/>
    <s v="UMICs"/>
    <n v="11"/>
    <s v="ODA Grants"/>
    <n v="1"/>
    <n v="10"/>
    <n v="110"/>
    <s v="C01"/>
    <n v="0"/>
    <n v="9.3617909999999901E-2"/>
    <n v="13726.257964199986"/>
    <n v="0"/>
    <n v="0"/>
    <n v="9.3617909999999901E-2"/>
    <n v="0"/>
    <m/>
    <m/>
    <n v="0"/>
    <m/>
    <n v="0"/>
    <n v="0"/>
    <m/>
    <n v="0"/>
    <n v="0"/>
    <n v="0"/>
    <m/>
    <n v="0"/>
    <n v="302"/>
    <n v="0"/>
    <n v="9.3617909999999901E-2"/>
    <s v="TUBERCULOSIS CONTROL PROGRAMME II"/>
    <s v="Tuberculosis Control Programme II"/>
    <x v="1"/>
    <n v="12250"/>
    <x v="3"/>
  </r>
  <r>
    <x v="0"/>
    <n v="22"/>
    <s v="Luxembourg"/>
    <x v="1"/>
    <x v="1"/>
    <n v="2"/>
    <s v="MFA"/>
    <n v="2011000891"/>
    <n v="891"/>
    <n v="8"/>
    <n v="613"/>
    <s v="Kazakhstan"/>
    <m/>
    <m/>
    <n v="10019"/>
    <s v="UMICs"/>
    <n v="11"/>
    <s v="ODA Grants"/>
    <n v="1"/>
    <n v="10"/>
    <n v="110"/>
    <s v="C01"/>
    <n v="1.9422003128476001E-2"/>
    <n v="1.9422003128476001E-2"/>
    <n v="2847.6540986971513"/>
    <m/>
    <n v="1.9422003128476001E-2"/>
    <n v="1.9422003128476001E-2"/>
    <m/>
    <m/>
    <m/>
    <n v="1.9422003128476001E-2"/>
    <m/>
    <n v="0"/>
    <n v="1.9422003128476001E-2"/>
    <m/>
    <n v="0"/>
    <m/>
    <m/>
    <m/>
    <m/>
    <n v="918"/>
    <n v="1.3968304650000001E-2"/>
    <n v="1.3968304650000001E-2"/>
    <s v="BASIC HEALTH INFRASTRUCTURE"/>
    <s v="Université nationale de Medecine du Kazakhstan"/>
    <x v="3"/>
    <n v="12230"/>
    <x v="5"/>
  </r>
  <r>
    <x v="1"/>
    <n v="742"/>
    <s v="Korea"/>
    <x v="1"/>
    <x v="1"/>
    <n v="4"/>
    <s v="KOICA"/>
    <n v="2010023246"/>
    <n v="2010130023850"/>
    <n v="8"/>
    <n v="613"/>
    <s v="Kazakhstan"/>
    <m/>
    <m/>
    <n v="10019"/>
    <s v="UMICs"/>
    <n v="11"/>
    <s v="ODA Grants"/>
    <n v="1"/>
    <n v="10"/>
    <n v="110"/>
    <s v="D01"/>
    <n v="3.0868E-2"/>
    <n v="3.0868E-2"/>
    <n v="4548.7084800000002"/>
    <n v="0"/>
    <n v="3.2771682455052097E-2"/>
    <n v="3.2771682455052097E-2"/>
    <n v="0"/>
    <m/>
    <m/>
    <n v="0"/>
    <n v="0"/>
    <n v="3.0868E-2"/>
    <n v="0"/>
    <n v="0"/>
    <n v="3.2771682455052097E-2"/>
    <m/>
    <m/>
    <m/>
    <m/>
    <n v="302"/>
    <n v="3.0868E-2"/>
    <n v="3.0868E-2"/>
    <s v="DISPATCH OF VOLUNTEERS"/>
    <s v="Dispatch of Volunteers"/>
    <x v="3"/>
    <n v="12220"/>
    <x v="6"/>
  </r>
  <r>
    <x v="1"/>
    <n v="742"/>
    <s v="Korea"/>
    <x v="1"/>
    <x v="1"/>
    <n v="4"/>
    <s v="KOICA"/>
    <n v="2010023269"/>
    <n v="2010130023873"/>
    <n v="8"/>
    <n v="613"/>
    <s v="Kazakhstan"/>
    <m/>
    <m/>
    <n v="10019"/>
    <s v="UMICs"/>
    <n v="11"/>
    <s v="ODA Grants"/>
    <n v="1"/>
    <n v="10"/>
    <n v="110"/>
    <s v="D01"/>
    <n v="2.8867999999999901E-2"/>
    <n v="2.8867999999999901E-2"/>
    <n v="4253.9884799999863"/>
    <n v="0"/>
    <n v="3.06483390278749E-2"/>
    <n v="3.06483390278749E-2"/>
    <n v="0"/>
    <m/>
    <m/>
    <n v="0"/>
    <n v="0"/>
    <n v="2.8867999999999901E-2"/>
    <n v="0"/>
    <n v="0"/>
    <n v="3.06483390278749E-2"/>
    <m/>
    <m/>
    <m/>
    <m/>
    <n v="302"/>
    <n v="2.8867999999999901E-2"/>
    <n v="2.8867999999999901E-2"/>
    <s v="DISPATCH OF VOLUNTEERS"/>
    <s v="Dispatch of Volunteers"/>
    <x v="3"/>
    <n v="12220"/>
    <x v="6"/>
  </r>
  <r>
    <x v="1"/>
    <n v="742"/>
    <s v="Korea"/>
    <x v="1"/>
    <x v="1"/>
    <n v="4"/>
    <s v="KOICA"/>
    <n v="2010023212"/>
    <n v="2010130023814"/>
    <n v="8"/>
    <n v="613"/>
    <s v="Kazakhstan"/>
    <m/>
    <m/>
    <n v="10019"/>
    <s v="UMICs"/>
    <n v="11"/>
    <s v="ODA Grants"/>
    <n v="1"/>
    <n v="10"/>
    <n v="110"/>
    <s v="D01"/>
    <n v="3.8868E-2"/>
    <n v="3.8868E-2"/>
    <n v="5727.5884800000003"/>
    <n v="0"/>
    <n v="4.1265056163760701E-2"/>
    <n v="4.1265056163760701E-2"/>
    <n v="0"/>
    <m/>
    <m/>
    <n v="0"/>
    <n v="0"/>
    <n v="3.8868E-2"/>
    <n v="0"/>
    <n v="0"/>
    <n v="4.1265056163760701E-2"/>
    <m/>
    <m/>
    <m/>
    <m/>
    <n v="302"/>
    <n v="3.8868E-2"/>
    <n v="3.8868E-2"/>
    <s v="DISPATCH OF VOLUNTEERS"/>
    <s v="Dispatch of Volunteers"/>
    <x v="3"/>
    <n v="12220"/>
    <x v="6"/>
  </r>
  <r>
    <x v="1"/>
    <n v="742"/>
    <s v="Korea"/>
    <x v="1"/>
    <x v="1"/>
    <n v="4"/>
    <s v="KOICA"/>
    <n v="2010023214"/>
    <n v="2010130023816"/>
    <n v="8"/>
    <n v="613"/>
    <s v="Kazakhstan"/>
    <m/>
    <m/>
    <n v="10019"/>
    <s v="UMICs"/>
    <n v="11"/>
    <s v="ODA Grants"/>
    <n v="1"/>
    <n v="10"/>
    <n v="110"/>
    <s v="D01"/>
    <n v="2.8867999999999901E-2"/>
    <n v="2.8867999999999901E-2"/>
    <n v="4253.9884799999863"/>
    <n v="0"/>
    <n v="3.06483390278749E-2"/>
    <n v="3.06483390278749E-2"/>
    <n v="0"/>
    <m/>
    <m/>
    <n v="0"/>
    <n v="0"/>
    <n v="2.8867999999999901E-2"/>
    <n v="0"/>
    <n v="0"/>
    <n v="3.06483390278749E-2"/>
    <m/>
    <m/>
    <m/>
    <m/>
    <n v="302"/>
    <n v="2.8867999999999901E-2"/>
    <n v="2.8867999999999901E-2"/>
    <s v="DISPATCH OF VOLUNTEERS"/>
    <s v="Dispatch of Volunteers"/>
    <x v="3"/>
    <n v="12220"/>
    <x v="6"/>
  </r>
  <r>
    <x v="1"/>
    <n v="742"/>
    <s v="Korea"/>
    <x v="1"/>
    <x v="1"/>
    <n v="4"/>
    <s v="KOICA"/>
    <n v="2010021061"/>
    <n v="2010110024822"/>
    <n v="8"/>
    <n v="613"/>
    <s v="Kazakhstan"/>
    <m/>
    <m/>
    <n v="10019"/>
    <s v="UMICs"/>
    <n v="11"/>
    <s v="ODA Grants"/>
    <n v="1"/>
    <n v="10"/>
    <n v="110"/>
    <s v="D01"/>
    <n v="2.4339E-2"/>
    <n v="2.4339E-2"/>
    <n v="3586.5950400000002"/>
    <n v="0"/>
    <n v="2.5840027837032299E-2"/>
    <n v="2.5840027837032299E-2"/>
    <n v="0"/>
    <m/>
    <m/>
    <n v="0"/>
    <n v="0"/>
    <n v="2.4339E-2"/>
    <n v="0"/>
    <n v="0"/>
    <n v="2.5840027837032299E-2"/>
    <m/>
    <m/>
    <m/>
    <m/>
    <n v="302"/>
    <n v="2.4339E-2"/>
    <n v="2.4339E-2"/>
    <s v="DISPATCH OF VOLUNTEERS"/>
    <s v="Dispatch of Volunteers"/>
    <x v="4"/>
    <n v="12281"/>
    <x v="7"/>
  </r>
  <r>
    <x v="0"/>
    <n v="742"/>
    <s v="Korea"/>
    <x v="1"/>
    <x v="1"/>
    <n v="4"/>
    <s v="KOICA"/>
    <n v="2011021202"/>
    <n v="2011130045952"/>
    <n v="8"/>
    <n v="613"/>
    <s v="Kazakhstan"/>
    <m/>
    <m/>
    <n v="10019"/>
    <s v="UMICs"/>
    <n v="11"/>
    <s v="ODA Grants"/>
    <n v="1"/>
    <n v="10"/>
    <n v="110"/>
    <s v="D01"/>
    <n v="4.0182000000000002E-2"/>
    <n v="4.0182000000000002E-2"/>
    <n v="5891.4848400000001"/>
    <m/>
    <n v="4.0182000000000002E-2"/>
    <n v="4.0182000000000002E-2"/>
    <m/>
    <m/>
    <m/>
    <n v="0"/>
    <n v="0"/>
    <n v="4.0182000000000002E-2"/>
    <n v="0"/>
    <n v="0"/>
    <n v="4.0182000000000002E-2"/>
    <m/>
    <m/>
    <m/>
    <m/>
    <n v="302"/>
    <n v="4.0182000000000002E-2"/>
    <n v="4.0182000000000002E-2"/>
    <s v="DISPATCH OF VOLUNTEERS"/>
    <s v="Dispatch of Volunteers"/>
    <x v="5"/>
    <n v="12191"/>
    <x v="8"/>
  </r>
  <r>
    <x v="0"/>
    <n v="742"/>
    <s v="Korea"/>
    <x v="1"/>
    <x v="1"/>
    <n v="4"/>
    <s v="KOICA"/>
    <n v="2011021200"/>
    <n v="2011130045945"/>
    <n v="8"/>
    <n v="613"/>
    <s v="Kazakhstan"/>
    <m/>
    <m/>
    <n v="10019"/>
    <s v="UMICs"/>
    <n v="11"/>
    <s v="ODA Grants"/>
    <n v="1"/>
    <n v="10"/>
    <n v="110"/>
    <s v="D01"/>
    <n v="1.0114E-2"/>
    <n v="1.0114E-2"/>
    <n v="1482.9146799999999"/>
    <m/>
    <n v="1.0114E-2"/>
    <n v="1.0114E-2"/>
    <m/>
    <m/>
    <m/>
    <n v="0"/>
    <n v="0"/>
    <n v="1.0114E-2"/>
    <n v="0"/>
    <n v="0"/>
    <n v="1.0114E-2"/>
    <m/>
    <m/>
    <m/>
    <m/>
    <n v="302"/>
    <n v="1.0114E-2"/>
    <n v="1.0114E-2"/>
    <s v="DISPATCH OF VOLUNTEERS"/>
    <s v="Dispatch of Volunteers"/>
    <x v="5"/>
    <n v="12191"/>
    <x v="8"/>
  </r>
  <r>
    <x v="0"/>
    <n v="742"/>
    <s v="Korea"/>
    <x v="1"/>
    <x v="1"/>
    <n v="4"/>
    <s v="KOICA"/>
    <n v="2011020932"/>
    <n v="2011130045951"/>
    <n v="8"/>
    <n v="613"/>
    <s v="Kazakhstan"/>
    <m/>
    <m/>
    <n v="10019"/>
    <s v="UMICs"/>
    <n v="11"/>
    <s v="ODA Grants"/>
    <n v="1"/>
    <n v="10"/>
    <n v="110"/>
    <s v="D01"/>
    <n v="3.0341E-2"/>
    <n v="3.0341E-2"/>
    <n v="4448.5974200000001"/>
    <m/>
    <n v="3.0341E-2"/>
    <n v="3.0341E-2"/>
    <m/>
    <m/>
    <m/>
    <n v="0"/>
    <n v="0"/>
    <n v="3.0341E-2"/>
    <n v="0"/>
    <n v="0"/>
    <n v="3.0341E-2"/>
    <m/>
    <m/>
    <m/>
    <m/>
    <n v="302"/>
    <n v="3.0341E-2"/>
    <n v="3.0341E-2"/>
    <s v="DISPATCH OF VOLUNTEERS"/>
    <s v="Dispatch of Volunteers"/>
    <x v="5"/>
    <n v="12191"/>
    <x v="8"/>
  </r>
  <r>
    <x v="0"/>
    <n v="742"/>
    <s v="Korea"/>
    <x v="1"/>
    <x v="1"/>
    <n v="4"/>
    <s v="KOICA"/>
    <n v="2011020929"/>
    <n v="2011130045944"/>
    <n v="8"/>
    <n v="613"/>
    <s v="Kazakhstan"/>
    <m/>
    <m/>
    <n v="10019"/>
    <s v="UMICs"/>
    <n v="11"/>
    <s v="ODA Grants"/>
    <n v="1"/>
    <n v="10"/>
    <n v="110"/>
    <s v="D01"/>
    <n v="1.0114E-2"/>
    <n v="1.0114E-2"/>
    <n v="1482.9146799999999"/>
    <m/>
    <n v="1.0114E-2"/>
    <n v="1.0114E-2"/>
    <m/>
    <m/>
    <m/>
    <n v="0"/>
    <n v="0"/>
    <n v="1.0114E-2"/>
    <n v="0"/>
    <n v="0"/>
    <n v="1.0114E-2"/>
    <m/>
    <m/>
    <m/>
    <m/>
    <n v="302"/>
    <n v="1.0114E-2"/>
    <n v="1.0114E-2"/>
    <s v="DISPATCH OF VOLUNTEERS"/>
    <s v="Dispatch of Volunteers"/>
    <x v="5"/>
    <n v="12191"/>
    <x v="8"/>
  </r>
  <r>
    <x v="1"/>
    <n v="742"/>
    <s v="Korea"/>
    <x v="1"/>
    <x v="1"/>
    <n v="4"/>
    <s v="KOICA"/>
    <n v="2010023974"/>
    <n v="2010070022711"/>
    <n v="8"/>
    <n v="613"/>
    <s v="Kazakhstan"/>
    <m/>
    <m/>
    <n v="10019"/>
    <s v="UMICs"/>
    <n v="11"/>
    <s v="ODA Grants"/>
    <n v="1"/>
    <n v="10"/>
    <n v="110"/>
    <s v="D02"/>
    <n v="1.7405999999999901E-2"/>
    <n v="1.7405999999999901E-2"/>
    <n v="2564.9481599999854"/>
    <n v="0"/>
    <n v="1.84794578467227E-2"/>
    <n v="1.84794578467227E-2"/>
    <n v="0"/>
    <m/>
    <m/>
    <n v="0"/>
    <n v="0"/>
    <n v="1.7405999999999901E-2"/>
    <n v="0"/>
    <n v="0"/>
    <n v="1.84794578467227E-2"/>
    <m/>
    <m/>
    <m/>
    <m/>
    <n v="302"/>
    <n v="1.7405999999999901E-2"/>
    <n v="1.7405999999999901E-2"/>
    <s v="HEALTH POLICY PLANNING"/>
    <s v="Health Policy Planning"/>
    <x v="2"/>
    <n v="12110"/>
    <x v="2"/>
  </r>
  <r>
    <x v="1"/>
    <n v="742"/>
    <s v="Korea"/>
    <x v="1"/>
    <x v="1"/>
    <n v="4"/>
    <s v="KOICA"/>
    <n v="2009008778"/>
    <n v="2009010001410"/>
    <n v="3"/>
    <n v="613"/>
    <s v="Kazakhstan"/>
    <m/>
    <m/>
    <n v="10019"/>
    <s v="UMICs"/>
    <n v="11"/>
    <s v="ODA Grants"/>
    <n v="1"/>
    <n v="10"/>
    <n v="110"/>
    <s v="D02"/>
    <n v="0"/>
    <n v="1.2621020000000001"/>
    <n v="185983.35072000005"/>
    <n v="0"/>
    <n v="0"/>
    <n v="1.33993799306356"/>
    <n v="0"/>
    <m/>
    <m/>
    <n v="0"/>
    <n v="0"/>
    <n v="0"/>
    <n v="0"/>
    <n v="0"/>
    <n v="0"/>
    <m/>
    <m/>
    <m/>
    <m/>
    <n v="302"/>
    <n v="0"/>
    <n v="1.2621020000000001"/>
    <s v="IMPROVEMENT OF ONCOLOGY HEALTH CARE SERVICE FOR INHABITANTS OF THE TERRITORY OF SEMIPALATINSK REGION"/>
    <s v="Improvement of Oncology Health Care Service for Inhabitants of the territory of Semipalatinsk Region"/>
    <x v="5"/>
    <n v="12191"/>
    <x v="8"/>
  </r>
  <r>
    <x v="0"/>
    <n v="40"/>
    <s v="Greece"/>
    <x v="1"/>
    <x v="1"/>
    <n v="10"/>
    <s v="MHSS"/>
    <n v="2011000125"/>
    <s v="MHSS-DPNP-S-2011-6"/>
    <n v="8"/>
    <n v="613"/>
    <s v="Kazakhstan"/>
    <m/>
    <m/>
    <n v="10019"/>
    <s v="UMICs"/>
    <n v="11"/>
    <s v="ODA Grants"/>
    <n v="1"/>
    <n v="10"/>
    <n v="110"/>
    <s v="E01"/>
    <n v="7.3448275862068903E-3"/>
    <n v="7.3448275862068903E-3"/>
    <n v="1076.8986206896543"/>
    <m/>
    <n v="7.3448275862068903E-3"/>
    <n v="7.3448275862068903E-3"/>
    <m/>
    <m/>
    <m/>
    <n v="0"/>
    <n v="0"/>
    <n v="7.3448275862068903E-3"/>
    <n v="0"/>
    <n v="0"/>
    <n v="7.3448275862068903E-3"/>
    <n v="0"/>
    <m/>
    <m/>
    <m/>
    <n v="918"/>
    <n v="5.2823999999999901E-3"/>
    <n v="5.2823999999999901E-3"/>
    <s v="MEDICAL EDUCATION &amp; TRAINING"/>
    <s v="MEDICAL EDUCATION &amp; TRAINING"/>
    <x v="4"/>
    <n v="12181"/>
    <x v="7"/>
  </r>
  <r>
    <x v="2"/>
    <n v="742"/>
    <s v="Korea"/>
    <x v="1"/>
    <x v="1"/>
    <n v="4"/>
    <s v="KOICA"/>
    <n v="2012015509"/>
    <n v="2012070062747"/>
    <n v="8"/>
    <n v="613"/>
    <s v="Kazakhstan"/>
    <m/>
    <m/>
    <n v="10019"/>
    <s v="UMICs"/>
    <n v="11"/>
    <s v="ODA Grants"/>
    <n v="1"/>
    <n v="10"/>
    <n v="110"/>
    <s v="D02"/>
    <n v="8.5620000000000002E-3"/>
    <n v="8.5620000000000002E-3"/>
    <n v="1276.6798200000003"/>
    <n v="0"/>
    <n v="8.5967124934430202E-3"/>
    <n v="8.5967124934430202E-3"/>
    <n v="0"/>
    <m/>
    <m/>
    <n v="0"/>
    <n v="0"/>
    <n v="8.5620000000000002E-3"/>
    <n v="0"/>
    <n v="0"/>
    <n v="8.5967124934430202E-3"/>
    <m/>
    <m/>
    <m/>
    <m/>
    <n v="302"/>
    <n v="8.5620000000000002E-3"/>
    <n v="8.5620000000000002E-3"/>
    <s v="MEDICAL RESEARCH"/>
    <s v="Modernization of Traditional Medicine (Asia-Pacific)"/>
    <x v="4"/>
    <n v="12182"/>
    <x v="9"/>
  </r>
  <r>
    <x v="2"/>
    <n v="742"/>
    <s v="Korea"/>
    <x v="1"/>
    <x v="1"/>
    <n v="4"/>
    <s v="KOICA"/>
    <n v="2012013391"/>
    <n v="2012130065252"/>
    <n v="8"/>
    <n v="613"/>
    <s v="Kazakhstan"/>
    <m/>
    <m/>
    <n v="10019"/>
    <s v="UMICs"/>
    <n v="11"/>
    <s v="ODA Grants"/>
    <n v="1"/>
    <n v="10"/>
    <n v="110"/>
    <s v="D01"/>
    <n v="1.7173999999999901E-2"/>
    <n v="1.7173999999999901E-2"/>
    <n v="2560.8151399999856"/>
    <n v="0"/>
    <n v="1.7243627699414898E-2"/>
    <n v="1.7243627699414898E-2"/>
    <n v="0"/>
    <m/>
    <m/>
    <n v="0"/>
    <n v="0"/>
    <n v="1.7173999999999901E-2"/>
    <n v="0"/>
    <n v="0"/>
    <n v="1.7243627699414898E-2"/>
    <m/>
    <m/>
    <m/>
    <m/>
    <n v="302"/>
    <n v="1.7173999999999901E-2"/>
    <n v="1.7173999999999901E-2"/>
    <s v="MEDICAL SERVICES"/>
    <s v="??? ??"/>
    <x v="5"/>
    <n v="12191"/>
    <x v="8"/>
  </r>
  <r>
    <x v="2"/>
    <n v="742"/>
    <s v="Korea"/>
    <x v="1"/>
    <x v="1"/>
    <n v="4"/>
    <s v="KOICA"/>
    <n v="2012013390"/>
    <n v="2012130065251"/>
    <n v="8"/>
    <n v="613"/>
    <s v="Kazakhstan"/>
    <m/>
    <m/>
    <n v="10019"/>
    <s v="UMICs"/>
    <n v="11"/>
    <s v="ODA Grants"/>
    <n v="1"/>
    <n v="10"/>
    <n v="110"/>
    <s v="D01"/>
    <n v="1.7173999999999901E-2"/>
    <n v="1.7173999999999901E-2"/>
    <n v="2560.8151399999856"/>
    <n v="0"/>
    <n v="1.7243627699414898E-2"/>
    <n v="1.7243627699414898E-2"/>
    <n v="0"/>
    <m/>
    <m/>
    <n v="0"/>
    <n v="0"/>
    <n v="1.7173999999999901E-2"/>
    <n v="0"/>
    <n v="0"/>
    <n v="1.7243627699414898E-2"/>
    <m/>
    <m/>
    <m/>
    <m/>
    <n v="302"/>
    <n v="1.7173999999999901E-2"/>
    <n v="1.7173999999999901E-2"/>
    <s v="MEDICAL SERVICES"/>
    <s v="??? ??"/>
    <x v="5"/>
    <n v="12191"/>
    <x v="8"/>
  </r>
  <r>
    <x v="0"/>
    <n v="742"/>
    <s v="Korea"/>
    <x v="1"/>
    <x v="1"/>
    <n v="4"/>
    <s v="KOICA"/>
    <n v="2011025024"/>
    <n v="2011070044105"/>
    <n v="8"/>
    <n v="613"/>
    <s v="Kazakhstan"/>
    <m/>
    <m/>
    <n v="10019"/>
    <s v="UMICs"/>
    <n v="11"/>
    <s v="ODA Grants"/>
    <n v="1"/>
    <n v="10"/>
    <n v="110"/>
    <s v="D02"/>
    <n v="1.5155999999999999E-2"/>
    <n v="1.5155999999999999E-2"/>
    <n v="2222.17272"/>
    <m/>
    <n v="1.5155999999999999E-2"/>
    <n v="1.5155999999999999E-2"/>
    <m/>
    <m/>
    <m/>
    <n v="0"/>
    <n v="0"/>
    <n v="1.5155999999999999E-2"/>
    <n v="0"/>
    <n v="0"/>
    <n v="1.5155999999999999E-2"/>
    <m/>
    <m/>
    <m/>
    <m/>
    <n v="302"/>
    <n v="1.5155999999999999E-2"/>
    <n v="1.5155999999999999E-2"/>
    <s v="MODERNIZATION OF TRADITIONAL MEDICINE"/>
    <s v="Modernization of Traditional Medicine"/>
    <x v="4"/>
    <n v="12182"/>
    <x v="9"/>
  </r>
  <r>
    <x v="1"/>
    <n v="742"/>
    <s v="Korea"/>
    <x v="1"/>
    <x v="1"/>
    <n v="4"/>
    <s v="KOICA"/>
    <n v="2010023708"/>
    <n v="2010070022682"/>
    <n v="8"/>
    <n v="613"/>
    <s v="Kazakhstan"/>
    <m/>
    <m/>
    <n v="10019"/>
    <s v="UMICs"/>
    <n v="11"/>
    <s v="ODA Grants"/>
    <n v="1"/>
    <n v="10"/>
    <n v="110"/>
    <s v="D02"/>
    <n v="1.0461E-2"/>
    <n v="1.0461E-2"/>
    <n v="1541.53296"/>
    <n v="0"/>
    <n v="1.1106147795850001E-2"/>
    <n v="1.1106147795850001E-2"/>
    <n v="0"/>
    <m/>
    <m/>
    <n v="0"/>
    <n v="0"/>
    <n v="1.0461E-2"/>
    <n v="0"/>
    <n v="0"/>
    <n v="1.1106147795850001E-2"/>
    <m/>
    <m/>
    <m/>
    <m/>
    <n v="302"/>
    <n v="1.0461E-2"/>
    <n v="1.0461E-2"/>
    <s v="MODERNIZATION OF TRADITIONAL MEDICINE"/>
    <s v="Modernization of Traditional Medicine"/>
    <x v="4"/>
    <n v="12182"/>
    <x v="9"/>
  </r>
  <r>
    <x v="0"/>
    <n v="4"/>
    <s v="France"/>
    <x v="0"/>
    <x v="0"/>
    <n v="17"/>
    <s v="MEN"/>
    <n v="2011203662"/>
    <m/>
    <n v="8"/>
    <n v="613"/>
    <s v="Kazakhstan"/>
    <m/>
    <m/>
    <n v="10019"/>
    <s v="UMICs"/>
    <n v="11"/>
    <s v="ODA Grants"/>
    <n v="1"/>
    <n v="10"/>
    <n v="110"/>
    <s v="D02"/>
    <n v="5.0013904338153496E-3"/>
    <n v="5.0013904338153496E-3"/>
    <n v="733.30386540600659"/>
    <n v="0"/>
    <n v="5.0013904338153496E-3"/>
    <n v="5.0013904338153496E-3"/>
    <n v="0"/>
    <m/>
    <m/>
    <n v="5.0013904338153496E-3"/>
    <n v="0"/>
    <n v="0"/>
    <n v="5.0013904338153496E-3"/>
    <n v="0"/>
    <n v="0"/>
    <n v="0"/>
    <m/>
    <m/>
    <m/>
    <n v="918"/>
    <n v="3.59699999999999E-3"/>
    <n v="3.59699999999999E-3"/>
    <s v="RECHERCHE MÉDICALE"/>
    <s v="Recherche médicale"/>
    <x v="4"/>
    <n v="12182"/>
    <x v="9"/>
  </r>
  <r>
    <x v="2"/>
    <n v="918"/>
    <s v="EU Institutions"/>
    <x v="1"/>
    <x v="1"/>
    <n v="2"/>
    <s v="EDF"/>
    <n v="2007200071007"/>
    <s v="SCR.CTR.264698.01.1"/>
    <n v="3"/>
    <n v="613"/>
    <s v="Kazakhstan"/>
    <m/>
    <m/>
    <n v="10019"/>
    <s v="UMICs"/>
    <n v="11"/>
    <s v="ODA Grants"/>
    <n v="1"/>
    <n v="10"/>
    <n v="110"/>
    <s v="D02"/>
    <n v="0"/>
    <n v="0.65111712082262196"/>
    <n v="97088.073885861158"/>
    <n v="0"/>
    <n v="0"/>
    <n v="0.69589143697442102"/>
    <n v="0"/>
    <m/>
    <m/>
    <n v="0"/>
    <n v="0"/>
    <n v="0"/>
    <n v="0"/>
    <n v="0"/>
    <n v="0"/>
    <m/>
    <m/>
    <m/>
    <m/>
    <n v="918"/>
    <n v="0"/>
    <n v="0.50656911999999898"/>
    <s v="SUPPORT TO CAPACITY DEVELOPMENT FOR THE MINISTRY OF HEALTH TO IMPLEMENT THE STATE PROGRAMME ON HEALTH CARE REFORM AND DEVELOPMENT (STARTING 2010)"/>
    <m/>
    <x v="2"/>
    <n v="12110"/>
    <x v="2"/>
  </r>
  <r>
    <x v="1"/>
    <n v="742"/>
    <s v="Korea"/>
    <x v="1"/>
    <x v="1"/>
    <n v="4"/>
    <s v="KOICA"/>
    <n v="2010024065"/>
    <n v="2010070022720"/>
    <n v="8"/>
    <n v="613"/>
    <s v="Kazakhstan"/>
    <m/>
    <m/>
    <n v="10019"/>
    <s v="UMICs"/>
    <n v="11"/>
    <s v="ODA Grants"/>
    <n v="1"/>
    <n v="10"/>
    <n v="110"/>
    <s v="D02"/>
    <n v="5.692E-3"/>
    <n v="5.692E-3"/>
    <n v="838.77312000000006"/>
    <n v="0"/>
    <n v="6.0430353937461602E-3"/>
    <n v="6.0430353937461602E-3"/>
    <n v="0"/>
    <m/>
    <m/>
    <n v="0"/>
    <n v="0"/>
    <n v="5.692E-3"/>
    <n v="0"/>
    <n v="0"/>
    <n v="6.0430353937461602E-3"/>
    <m/>
    <m/>
    <m/>
    <m/>
    <n v="302"/>
    <n v="5.692E-3"/>
    <n v="5.692E-3"/>
    <s v="SYSTEM OF HEALTH ACCOUNTS (SHA)"/>
    <s v="System of Health Accounts (SHA)"/>
    <x v="4"/>
    <n v="12181"/>
    <x v="7"/>
  </r>
  <r>
    <x v="0"/>
    <n v="1312"/>
    <s v="Global Fund"/>
    <x v="0"/>
    <x v="0"/>
    <n v="1"/>
    <s v="Global Fund"/>
    <n v="2011000300"/>
    <s v="KAZ-708-G03-H"/>
    <n v="3"/>
    <n v="613"/>
    <s v="Kazakhstan"/>
    <m/>
    <m/>
    <n v="10019"/>
    <s v="UMICs"/>
    <n v="11"/>
    <s v="ODA Grants"/>
    <n v="4"/>
    <n v="10"/>
    <n v="110"/>
    <s v="C01"/>
    <n v="5.22917101"/>
    <n v="5.6922179999999898"/>
    <n v="834593.00315999845"/>
    <m/>
    <n v="5.22917101"/>
    <n v="5.6922179999999898"/>
    <m/>
    <m/>
    <m/>
    <m/>
    <m/>
    <m/>
    <m/>
    <m/>
    <m/>
    <m/>
    <m/>
    <m/>
    <m/>
    <n v="302"/>
    <n v="5.22917101"/>
    <n v="5.6922179999999898"/>
    <s v="DECREASE TUBERCULOSIS (TB) BURDEN IN KAZAKHSTAN"/>
    <s v="Decrease Tuberculosis (TB) Burden in Kazakhstan"/>
    <x v="1"/>
    <n v="13040"/>
    <x v="1"/>
  </r>
  <r>
    <x v="0"/>
    <n v="701"/>
    <s v="Japan"/>
    <x v="1"/>
    <x v="1"/>
    <n v="8"/>
    <s v="JICA"/>
    <n v="2011954268"/>
    <m/>
    <n v="1"/>
    <n v="613"/>
    <s v="Kazakhstan"/>
    <m/>
    <m/>
    <n v="10019"/>
    <s v="UMICs"/>
    <n v="11"/>
    <s v="ODA Grants"/>
    <n v="1"/>
    <n v="10"/>
    <n v="110"/>
    <s v="C01"/>
    <n v="0.110911896977422"/>
    <n v="0.109212764782929"/>
    <n v="16012.77557247305"/>
    <m/>
    <n v="0.110911896977422"/>
    <n v="0.109212764782929"/>
    <m/>
    <m/>
    <m/>
    <m/>
    <m/>
    <m/>
    <m/>
    <m/>
    <m/>
    <m/>
    <m/>
    <m/>
    <m/>
    <n v="701"/>
    <n v="8.8404323899999894E-3"/>
    <n v="8.7049999999999992E-3"/>
    <s v="HEALTH POLICY &amp; ADMIN. MANAGEMENT"/>
    <s v="TC AGGREGATED ACTIVITIES"/>
    <x v="2"/>
    <n v="12110"/>
    <x v="2"/>
  </r>
  <r>
    <x v="0"/>
    <n v="1312"/>
    <s v="Global Fund"/>
    <x v="0"/>
    <x v="0"/>
    <n v="1"/>
    <s v="Global Fund"/>
    <n v="2011000299"/>
    <s v="KAZ-202-G01-H-00"/>
    <n v="3"/>
    <n v="613"/>
    <s v="Kazakhstan"/>
    <m/>
    <m/>
    <n v="10019"/>
    <s v="UMICs"/>
    <n v="11"/>
    <s v="ODA Grants"/>
    <n v="4"/>
    <n v="10"/>
    <n v="110"/>
    <s v="C01"/>
    <n v="-1.79733191"/>
    <m/>
    <n v="0"/>
    <m/>
    <n v="-1.79733191"/>
    <m/>
    <m/>
    <m/>
    <m/>
    <m/>
    <m/>
    <m/>
    <m/>
    <m/>
    <m/>
    <m/>
    <m/>
    <m/>
    <m/>
    <n v="302"/>
    <n v="-1.79733191"/>
    <m/>
    <s v="MAINTAINING LOW HIV PREVALENCE AMONG THE POPULATION AND ALL VULNERABLE SUBPOPULATIONS IT JORDAN"/>
    <s v="Maintaining low HIV prevalence among the population and all vulnerable subpopulations it Jordan"/>
    <x v="1"/>
    <n v="13040"/>
    <x v="1"/>
  </r>
  <r>
    <x v="2"/>
    <n v="1312"/>
    <s v="Global Fund"/>
    <x v="0"/>
    <x v="0"/>
    <n v="1"/>
    <s v="Global Fund"/>
    <n v="2012000218"/>
    <s v="KAZ-607-G02-T"/>
    <n v="3"/>
    <n v="613"/>
    <s v="Kazakhstan"/>
    <m/>
    <m/>
    <n v="10019"/>
    <s v="UMICs"/>
    <n v="11"/>
    <s v="ODA Grants"/>
    <n v="4"/>
    <n v="10"/>
    <n v="110"/>
    <s v="C01"/>
    <n v="0"/>
    <n v="0.26900000000000002"/>
    <n v="40110.590000000011"/>
    <m/>
    <n v="0"/>
    <n v="0.27493879060190501"/>
    <m/>
    <m/>
    <m/>
    <m/>
    <m/>
    <m/>
    <m/>
    <m/>
    <m/>
    <m/>
    <m/>
    <m/>
    <m/>
    <n v="302"/>
    <n v="0"/>
    <n v="0.26900000000000002"/>
    <s v="PROMOTION OF AND SUPPORT TO SAFER BEHAVIOR CHOICES AMONG TARGET POPULATION GROUPS"/>
    <s v="Promotion of and support to safer behavior choices among target population groups (injecting drug users, commercial sex workers, youth); provision of care and support to people with HIV/AIDS"/>
    <x v="1"/>
    <n v="12263"/>
    <x v="4"/>
  </r>
  <r>
    <x v="2"/>
    <n v="1312"/>
    <s v="Global Fund"/>
    <x v="0"/>
    <x v="0"/>
    <n v="1"/>
    <s v="Global Fund"/>
    <n v="2012000219"/>
    <s v="KAZ-809-G04-T"/>
    <n v="3"/>
    <n v="613"/>
    <s v="Kazakhstan"/>
    <m/>
    <m/>
    <n v="10019"/>
    <s v="UMICs"/>
    <n v="11"/>
    <s v="ODA Grants"/>
    <n v="4"/>
    <n v="10"/>
    <n v="110"/>
    <s v="C01"/>
    <n v="14.4849999999999"/>
    <n v="9.7579999999999902"/>
    <n v="1455015.3799999987"/>
    <m/>
    <n v="14.804789523675"/>
    <n v="9.9734301810163206"/>
    <m/>
    <m/>
    <m/>
    <m/>
    <m/>
    <m/>
    <m/>
    <m/>
    <m/>
    <m/>
    <m/>
    <m/>
    <m/>
    <n v="302"/>
    <n v="14.4849999999999"/>
    <n v="9.7579999999999902"/>
    <s v="SCALING-UP ACCESS TO HIV PREVENTION TREATMENT"/>
    <s v="Scaling-up access to HIV prevention treatment, care and support services, particularly for vulnerable groups through enhanced and expanded governmental/NGO/private partnerships"/>
    <x v="1"/>
    <n v="12263"/>
    <x v="4"/>
  </r>
  <r>
    <x v="0"/>
    <n v="1312"/>
    <s v="Global Fund"/>
    <x v="0"/>
    <x v="0"/>
    <n v="1"/>
    <s v="Global Fund"/>
    <n v="2011000301"/>
    <s v="KAZ-809-G04-T"/>
    <n v="3"/>
    <n v="613"/>
    <s v="Kazakhstan"/>
    <m/>
    <m/>
    <n v="10019"/>
    <s v="UMICs"/>
    <n v="11"/>
    <s v="ODA Grants"/>
    <n v="4"/>
    <n v="10"/>
    <n v="110"/>
    <s v="C01"/>
    <n v="5.2544420000000001"/>
    <n v="13.587662"/>
    <n v="1992223.0024400002"/>
    <m/>
    <n v="5.2544420000000001"/>
    <n v="13.587662"/>
    <m/>
    <m/>
    <m/>
    <m/>
    <m/>
    <m/>
    <m/>
    <m/>
    <m/>
    <m/>
    <m/>
    <m/>
    <m/>
    <n v="302"/>
    <n v="5.2544420000000001"/>
    <n v="13.587662"/>
    <s v="SCALING-UP ACCESS TO HIV PREVENTION TREATMENT, CARE AND SUPPORT SERVICES, PARTICULARLY FOR VULNERABLE GROUPS."/>
    <s v="Scaling-up access to HIV prevention treatment, care and support services, particularly for vulnerable groups through enhanced and expanded governmental/NGO/private partnerships"/>
    <x v="1"/>
    <n v="12263"/>
    <x v="4"/>
  </r>
  <r>
    <x v="2"/>
    <n v="1312"/>
    <s v="Global Fund"/>
    <x v="0"/>
    <x v="0"/>
    <n v="1"/>
    <s v="Global Fund"/>
    <n v="2012000220"/>
    <s v="KAZ-H-RAC"/>
    <n v="3"/>
    <n v="613"/>
    <s v="Kazakhstan"/>
    <m/>
    <m/>
    <n v="10019"/>
    <s v="UMICs"/>
    <n v="11"/>
    <s v="ODA Grants"/>
    <n v="4"/>
    <n v="10"/>
    <n v="110"/>
    <s v="C01"/>
    <n v="0"/>
    <n v="7.4119999999999902"/>
    <n v="1105203.3199999987"/>
    <m/>
    <n v="0"/>
    <n v="7.57563686223539"/>
    <m/>
    <m/>
    <m/>
    <m/>
    <m/>
    <m/>
    <m/>
    <m/>
    <m/>
    <m/>
    <m/>
    <m/>
    <m/>
    <n v="302"/>
    <n v="0"/>
    <n v="7.4119999999999902"/>
    <s v="SCALING-UP ACCESS TO HIV PREVENTION, TREATMENT, CARE AND SUPPORT SERVICES FOR VULNERABLE GROUPS"/>
    <s v="scaling-up access to HIV prevention, treatment, care and support services for vulnerable groups in the civilian and penitentiary sectors through enhanced and expanded governmental/NGO/private parnerships"/>
    <x v="1"/>
    <n v="13040"/>
    <x v="1"/>
  </r>
  <r>
    <x v="0"/>
    <n v="1312"/>
    <s v="Global Fund"/>
    <x v="0"/>
    <x v="0"/>
    <n v="1"/>
    <s v="Global Fund"/>
    <n v="2011000302"/>
    <s v="KAZ-H-RAC"/>
    <n v="1"/>
    <n v="613"/>
    <s v="Kazakhstan"/>
    <m/>
    <m/>
    <n v="10019"/>
    <s v="UMICs"/>
    <n v="11"/>
    <s v="ODA Grants"/>
    <n v="4"/>
    <n v="10"/>
    <n v="110"/>
    <s v="C01"/>
    <n v="7.9477609999999999"/>
    <m/>
    <n v="0"/>
    <m/>
    <n v="7.9477609999999999"/>
    <m/>
    <m/>
    <m/>
    <m/>
    <m/>
    <m/>
    <m/>
    <m/>
    <m/>
    <m/>
    <m/>
    <m/>
    <m/>
    <m/>
    <n v="302"/>
    <n v="7.9477609999999999"/>
    <m/>
    <s v="SCALING-UP ACCESS TO HIV PREVENTION, TREATMENT, CARE AND SUPPORT SERVICES FOR VULNERABLE GROUPS IN THE CIVILIAN AND PENITENTIARY SECTORS."/>
    <s v="scaling-up access to HIV prevention, treatment, care and support services for vulnerable groups in the civilian and penitentiary sectors through enhanced and expanded governmental/NGO/private parnerships"/>
    <x v="1"/>
    <n v="13040"/>
    <x v="1"/>
  </r>
  <r>
    <x v="2"/>
    <n v="701"/>
    <s v="Japan"/>
    <x v="1"/>
    <x v="1"/>
    <n v="8"/>
    <s v="JICA"/>
    <n v="2012203777"/>
    <n v="1003500"/>
    <n v="1"/>
    <n v="613"/>
    <s v="Kazakhstan"/>
    <m/>
    <m/>
    <n v="10019"/>
    <s v="UMICs"/>
    <n v="11"/>
    <s v="ODA Grants"/>
    <n v="1"/>
    <n v="10"/>
    <n v="110"/>
    <s v="C01"/>
    <n v="1.9312703687090899E-2"/>
    <n v="1.9132077741136799E-2"/>
    <n v="2852.7841119809082"/>
    <m/>
    <n v="1.9511029004495199E-2"/>
    <n v="1.9328548181117299E-2"/>
    <m/>
    <m/>
    <m/>
    <m/>
    <m/>
    <m/>
    <m/>
    <m/>
    <m/>
    <m/>
    <m/>
    <m/>
    <m/>
    <n v="701"/>
    <n v="1.541416407E-3"/>
    <n v="1.52699999999999E-3"/>
    <s v="TC AGGREGATED ACTIVITIES"/>
    <s v="TC AGGREGATED ACTIVITIES"/>
    <x v="2"/>
    <n v="12110"/>
    <x v="2"/>
  </r>
  <r>
    <x v="1"/>
    <n v="701"/>
    <s v="Japan"/>
    <x v="1"/>
    <x v="1"/>
    <n v="8"/>
    <s v="JICA"/>
    <n v="2010954924"/>
    <n v="984077"/>
    <n v="1"/>
    <n v="613"/>
    <s v="Kazakhstan"/>
    <m/>
    <m/>
    <n v="10019"/>
    <s v="UMICs"/>
    <n v="11"/>
    <s v="ODA Grants"/>
    <n v="1"/>
    <n v="10"/>
    <n v="110"/>
    <s v="C01"/>
    <n v="3.0358334924784E-2"/>
    <n v="2.99906791886108E-2"/>
    <n v="4419.4264852336873"/>
    <m/>
    <n v="3.2728210149729799E-2"/>
    <n v="3.2331853952130701E-2"/>
    <m/>
    <m/>
    <m/>
    <m/>
    <m/>
    <m/>
    <m/>
    <m/>
    <m/>
    <m/>
    <m/>
    <m/>
    <m/>
    <n v="701"/>
    <n v="2.6642656880000001E-3"/>
    <n v="2.6319999999999998E-3"/>
    <s v="TC AGGREGATED ACTIVITIES"/>
    <s v="TC AGGREGATED ACTIVITIES"/>
    <x v="2"/>
    <n v="12110"/>
    <x v="2"/>
  </r>
  <r>
    <x v="2"/>
    <n v="918"/>
    <s v="EU Institutions"/>
    <x v="1"/>
    <x v="1"/>
    <n v="2"/>
    <s v="EDF"/>
    <n v="2007200071003"/>
    <s v="SCR.CTR.242774.01.1"/>
    <n v="3"/>
    <n v="613"/>
    <s v="Kazakhstan"/>
    <m/>
    <m/>
    <n v="10019"/>
    <s v="UMICs"/>
    <n v="11"/>
    <s v="ODA Grants"/>
    <n v="1"/>
    <n v="10"/>
    <n v="110"/>
    <s v="C01"/>
    <n v="0"/>
    <n v="0.14083444730077099"/>
    <n v="20999.824437017964"/>
    <n v="0"/>
    <n v="0"/>
    <n v="0.15051898156788099"/>
    <n v="0"/>
    <m/>
    <m/>
    <n v="0"/>
    <n v="0"/>
    <n v="0"/>
    <n v="0"/>
    <n v="0"/>
    <n v="0"/>
    <m/>
    <m/>
    <m/>
    <m/>
    <n v="918"/>
    <n v="0"/>
    <n v="0.10956919999999901"/>
    <s v="A MODEL PROGRAMME AGAINST THE SPREAD OF HIV/AIDS AND TB IN WOMEN PRISONS."/>
    <m/>
    <x v="1"/>
    <n v="13040"/>
    <x v="1"/>
  </r>
  <r>
    <x v="0"/>
    <n v="974"/>
    <s v="UNFPA"/>
    <x v="0"/>
    <x v="0"/>
    <n v="1"/>
    <s v="UNFPA"/>
    <n v="2011101218"/>
    <s v="KAZ3R51A"/>
    <n v="1"/>
    <n v="613"/>
    <s v="Kazakhstan"/>
    <m/>
    <m/>
    <n v="10019"/>
    <s v="UMICs"/>
    <n v="11"/>
    <s v="ODA Grants"/>
    <n v="4"/>
    <n v="10"/>
    <n v="110"/>
    <s v="C01"/>
    <n v="2.844E-2"/>
    <n v="2.844E-2"/>
    <n v="4169.8728000000001"/>
    <m/>
    <n v="2.844E-2"/>
    <n v="2.844E-2"/>
    <m/>
    <m/>
    <m/>
    <m/>
    <m/>
    <m/>
    <m/>
    <m/>
    <m/>
    <m/>
    <m/>
    <m/>
    <m/>
    <n v="302"/>
    <n v="2.844E-2"/>
    <n v="2.844E-2"/>
    <s v="ACCESS OF YOUNG TO SEXUAL AND REPRODUCTIVE HEALTH &amp; GENDER"/>
    <s v="Access of Young to Sexual and Reproductive Health &amp; Gender"/>
    <x v="0"/>
    <n v="13020"/>
    <x v="0"/>
  </r>
  <r>
    <x v="0"/>
    <n v="974"/>
    <s v="UNFPA"/>
    <x v="0"/>
    <x v="0"/>
    <n v="1"/>
    <s v="UNFPA"/>
    <n v="2011101217"/>
    <s v="KAZ3R31A"/>
    <n v="1"/>
    <n v="613"/>
    <s v="Kazakhstan"/>
    <m/>
    <m/>
    <n v="10019"/>
    <s v="UMICs"/>
    <n v="11"/>
    <s v="ODA Grants"/>
    <n v="4"/>
    <n v="10"/>
    <n v="110"/>
    <s v="C01"/>
    <n v="1.489E-2"/>
    <n v="1.489E-2"/>
    <n v="2183.1718000000001"/>
    <m/>
    <n v="1.489E-2"/>
    <n v="1.489E-2"/>
    <m/>
    <m/>
    <m/>
    <m/>
    <m/>
    <m/>
    <m/>
    <m/>
    <m/>
    <m/>
    <m/>
    <m/>
    <m/>
    <n v="302"/>
    <n v="1.489E-2"/>
    <n v="1.489E-2"/>
    <s v="ACCESS OF YOUNG TO SEXUAL AND REPRODUCTIVE HEALTH &amp; GENDER"/>
    <s v="Access of Young to Sexual and Reproductive Health &amp; Gender"/>
    <x v="0"/>
    <n v="13020"/>
    <x v="0"/>
  </r>
  <r>
    <x v="0"/>
    <n v="974"/>
    <s v="UNFPA"/>
    <x v="0"/>
    <x v="0"/>
    <n v="1"/>
    <s v="UNFPA"/>
    <n v="2011101216"/>
    <s v="KAZ3P41A"/>
    <n v="1"/>
    <n v="613"/>
    <s v="Kazakhstan"/>
    <m/>
    <m/>
    <n v="10019"/>
    <s v="UMICs"/>
    <n v="11"/>
    <s v="ODA Grants"/>
    <n v="4"/>
    <n v="10"/>
    <n v="110"/>
    <s v="C01"/>
    <n v="3.8449999999999998E-2"/>
    <n v="3.8449999999999998E-2"/>
    <n v="5637.5390000000007"/>
    <m/>
    <n v="3.8449999999999998E-2"/>
    <n v="3.8449999999999998E-2"/>
    <m/>
    <m/>
    <m/>
    <m/>
    <m/>
    <m/>
    <m/>
    <m/>
    <m/>
    <m/>
    <m/>
    <m/>
    <m/>
    <n v="302"/>
    <n v="3.8449999999999998E-2"/>
    <n v="3.8449999999999998E-2"/>
    <s v="ACCESS OF YOUNG TO SEXUAL AND REPRODUCTIVE HEALTH &amp; GENDER"/>
    <s v="Access of Young to Sexual and Reproductive Health &amp; Gender"/>
    <x v="0"/>
    <n v="13020"/>
    <x v="0"/>
  </r>
  <r>
    <x v="0"/>
    <n v="974"/>
    <s v="UNFPA"/>
    <x v="0"/>
    <x v="0"/>
    <n v="1"/>
    <s v="UNFPA"/>
    <n v="2011101215"/>
    <s v="KAZ3P31A"/>
    <n v="1"/>
    <n v="613"/>
    <s v="Kazakhstan"/>
    <m/>
    <m/>
    <n v="10019"/>
    <s v="UMICs"/>
    <n v="11"/>
    <s v="ODA Grants"/>
    <n v="4"/>
    <n v="10"/>
    <n v="110"/>
    <s v="C01"/>
    <n v="1.128E-2"/>
    <n v="1.128E-2"/>
    <n v="1653.8736000000001"/>
    <m/>
    <n v="1.128E-2"/>
    <n v="1.128E-2"/>
    <m/>
    <m/>
    <m/>
    <m/>
    <m/>
    <m/>
    <m/>
    <m/>
    <m/>
    <m/>
    <m/>
    <m/>
    <m/>
    <n v="302"/>
    <n v="1.128E-2"/>
    <n v="1.128E-2"/>
    <s v="ACCESS OF YOUNG TO SEXUAL AND REPRODUCTIVE HEALTH &amp; GENDER"/>
    <s v="Access of Young to Sexual and Reproductive Health &amp; Gender"/>
    <x v="0"/>
    <n v="13020"/>
    <x v="0"/>
  </r>
  <r>
    <x v="0"/>
    <n v="974"/>
    <s v="UNFPA"/>
    <x v="0"/>
    <x v="0"/>
    <n v="1"/>
    <s v="UNFPA"/>
    <n v="2011101214"/>
    <s v="KAZ3G41A"/>
    <n v="1"/>
    <n v="613"/>
    <s v="Kazakhstan"/>
    <m/>
    <m/>
    <n v="10019"/>
    <s v="UMICs"/>
    <n v="11"/>
    <s v="ODA Grants"/>
    <n v="4"/>
    <n v="10"/>
    <n v="110"/>
    <s v="C01"/>
    <n v="1.95599999999999E-2"/>
    <n v="1.95599999999999E-2"/>
    <n v="2867.8871999999856"/>
    <m/>
    <n v="1.95599999999999E-2"/>
    <n v="1.95599999999999E-2"/>
    <m/>
    <m/>
    <m/>
    <m/>
    <m/>
    <m/>
    <m/>
    <m/>
    <m/>
    <m/>
    <m/>
    <m/>
    <m/>
    <n v="302"/>
    <n v="1.95599999999999E-2"/>
    <n v="1.95599999999999E-2"/>
    <s v="ACCESS OF YOUNG TO SEXUAL AND REPRODUCTIVE HEALTH &amp; GENDER"/>
    <s v="Access of Young to Sexual and Reproductive Health &amp; Gender"/>
    <x v="0"/>
    <n v="13020"/>
    <x v="0"/>
  </r>
  <r>
    <x v="1"/>
    <n v="974"/>
    <s v="UNFPA"/>
    <x v="0"/>
    <x v="0"/>
    <n v="1"/>
    <s v="UNFPA"/>
    <n v="2010101188"/>
    <s v="KAZ3R51A"/>
    <n v="1"/>
    <n v="613"/>
    <s v="Kazakhstan"/>
    <m/>
    <m/>
    <n v="10019"/>
    <s v="UMICs"/>
    <n v="11"/>
    <s v="ODA Grants"/>
    <n v="4"/>
    <n v="10"/>
    <n v="110"/>
    <s v="C01"/>
    <n v="6.1530000000000001E-2"/>
    <n v="6.1530000000000001E-2"/>
    <n v="9067.0608000000011"/>
    <n v="0"/>
    <n v="6.5548502744040504E-2"/>
    <n v="6.5548502744040504E-2"/>
    <n v="0"/>
    <m/>
    <m/>
    <m/>
    <m/>
    <m/>
    <m/>
    <m/>
    <m/>
    <m/>
    <m/>
    <m/>
    <m/>
    <n v="302"/>
    <n v="6.1530000000000001E-2"/>
    <n v="6.1530000000000001E-2"/>
    <s v="ACCESS OF YOUNG TO SEXUAL AND REPRODUCTIVE HEALTH &amp; GENDER"/>
    <s v="Access of Young to Sexual and Reproductive Health &amp; Gender"/>
    <x v="0"/>
    <n v="13020"/>
    <x v="0"/>
  </r>
  <r>
    <x v="1"/>
    <n v="974"/>
    <s v="UNFPA"/>
    <x v="0"/>
    <x v="0"/>
    <n v="1"/>
    <s v="UNFPA"/>
    <n v="2010101183"/>
    <s v="KAZ2R51A"/>
    <n v="3"/>
    <n v="613"/>
    <s v="Kazakhstan"/>
    <m/>
    <m/>
    <n v="10019"/>
    <s v="UMICs"/>
    <n v="11"/>
    <s v="ODA Grants"/>
    <n v="4"/>
    <n v="10"/>
    <n v="110"/>
    <s v="C01"/>
    <n v="0"/>
    <m/>
    <n v="0"/>
    <n v="1.2E-5"/>
    <n v="0"/>
    <m/>
    <n v="1.27837157960098E-5"/>
    <m/>
    <m/>
    <m/>
    <m/>
    <m/>
    <m/>
    <m/>
    <m/>
    <m/>
    <m/>
    <m/>
    <m/>
    <n v="302"/>
    <n v="0"/>
    <m/>
    <s v="ACCESS OF YOUNG TO SEXUAL AND REPRODUCTIVE HEALTH &amp; GENDER"/>
    <s v="Access of Young to Sexual and Reproductive Health &amp; Gender"/>
    <x v="0"/>
    <n v="13020"/>
    <x v="0"/>
  </r>
  <r>
    <x v="1"/>
    <n v="974"/>
    <s v="UNFPA"/>
    <x v="0"/>
    <x v="0"/>
    <n v="1"/>
    <s v="UNFPA"/>
    <n v="2010101186"/>
    <s v="KAZ3R21A"/>
    <n v="1"/>
    <n v="613"/>
    <s v="Kazakhstan"/>
    <m/>
    <m/>
    <n v="10019"/>
    <s v="UMICs"/>
    <n v="11"/>
    <s v="ODA Grants"/>
    <n v="4"/>
    <n v="10"/>
    <n v="110"/>
    <s v="C01"/>
    <n v="5.5100000000000001E-3"/>
    <n v="5.5100000000000001E-3"/>
    <n v="811.95360000000005"/>
    <n v="0"/>
    <n v="5.8698561696678602E-3"/>
    <n v="5.8698561696678602E-3"/>
    <n v="0"/>
    <m/>
    <m/>
    <m/>
    <m/>
    <m/>
    <m/>
    <m/>
    <m/>
    <m/>
    <m/>
    <m/>
    <m/>
    <n v="302"/>
    <n v="5.5100000000000001E-3"/>
    <n v="5.5100000000000001E-3"/>
    <s v="ACCESS TO REPRODUCTIVE HEALTH SERVICES INCREASED"/>
    <s v="Access to Reproductive Health Services Increased"/>
    <x v="0"/>
    <n v="13020"/>
    <x v="0"/>
  </r>
  <r>
    <x v="1"/>
    <n v="974"/>
    <s v="UNFPA"/>
    <x v="0"/>
    <x v="0"/>
    <n v="1"/>
    <s v="UNFPA"/>
    <n v="2010101182"/>
    <s v="KAZ2R21A"/>
    <n v="3"/>
    <n v="613"/>
    <s v="Kazakhstan"/>
    <m/>
    <m/>
    <n v="10019"/>
    <s v="UMICs"/>
    <n v="11"/>
    <s v="ODA Grants"/>
    <n v="4"/>
    <n v="10"/>
    <n v="110"/>
    <s v="C01"/>
    <n v="0"/>
    <n v="0"/>
    <n v="0"/>
    <n v="0"/>
    <n v="0"/>
    <n v="0"/>
    <n v="0"/>
    <m/>
    <m/>
    <m/>
    <m/>
    <m/>
    <m/>
    <m/>
    <m/>
    <m/>
    <m/>
    <m/>
    <m/>
    <n v="302"/>
    <n v="0"/>
    <n v="0"/>
    <s v="ACCESS TO REPRODUCTIVE HEALTH SERVICES INCREASED"/>
    <s v="Access to Reproductive Health Services Increased"/>
    <x v="0"/>
    <n v="13020"/>
    <x v="0"/>
  </r>
  <r>
    <x v="2"/>
    <n v="974"/>
    <s v="UNFPA"/>
    <x v="0"/>
    <x v="0"/>
    <n v="1"/>
    <s v="UNFPA"/>
    <n v="2012001967"/>
    <m/>
    <n v="1"/>
    <n v="613"/>
    <s v="Kazakhstan"/>
    <m/>
    <m/>
    <n v="10019"/>
    <s v="UMICs"/>
    <n v="11"/>
    <s v="ODA Grants"/>
    <n v="4"/>
    <n v="10"/>
    <n v="110"/>
    <s v="C01"/>
    <n v="4.7032999999999901E-2"/>
    <n v="4.7032999999999901E-2"/>
    <n v="7013.0906299999851"/>
    <n v="0"/>
    <n v="4.8071361109217101E-2"/>
    <n v="4.8071361109217101E-2"/>
    <n v="0"/>
    <m/>
    <m/>
    <m/>
    <m/>
    <m/>
    <m/>
    <m/>
    <m/>
    <m/>
    <m/>
    <m/>
    <m/>
    <n v="302"/>
    <n v="4.7032999999999901E-2"/>
    <n v="4.7032999999999901E-2"/>
    <s v="CENTER OF CIVIL  INITIATIVES - FAMILY PLANNING"/>
    <s v="CENTER OF CIVIL  INITIATIVES - Family Planning"/>
    <x v="0"/>
    <n v="13030"/>
    <x v="0"/>
  </r>
  <r>
    <x v="1"/>
    <n v="974"/>
    <s v="UNFPA"/>
    <x v="0"/>
    <x v="0"/>
    <n v="1"/>
    <s v="UNFPA"/>
    <n v="2010101184"/>
    <s v="KAZ3G41A"/>
    <n v="1"/>
    <n v="613"/>
    <s v="Kazakhstan"/>
    <m/>
    <m/>
    <n v="10019"/>
    <s v="UMICs"/>
    <n v="11"/>
    <s v="ODA Grants"/>
    <n v="4"/>
    <n v="10"/>
    <n v="110"/>
    <s v="C01"/>
    <n v="7.28E-3"/>
    <n v="7.28E-3"/>
    <n v="1072.7808"/>
    <n v="0"/>
    <n v="7.7554542495793096E-3"/>
    <n v="7.7554542495793096E-3"/>
    <n v="0"/>
    <m/>
    <m/>
    <m/>
    <m/>
    <m/>
    <m/>
    <m/>
    <m/>
    <m/>
    <m/>
    <m/>
    <m/>
    <n v="302"/>
    <n v="7.28E-3"/>
    <n v="7.28E-3"/>
    <s v="DEMAND FOR HIV &amp; SEXUALLY TRANSMITTED INFECTION SERVICES"/>
    <s v="Demand for HIV &amp; Sexually Transmitted Infection Services"/>
    <x v="1"/>
    <n v="13040"/>
    <x v="1"/>
  </r>
  <r>
    <x v="1"/>
    <n v="974"/>
    <s v="UNFPA"/>
    <x v="0"/>
    <x v="0"/>
    <n v="1"/>
    <s v="UNFPA"/>
    <n v="2010101187"/>
    <s v="KAZ3R31A"/>
    <n v="1"/>
    <n v="613"/>
    <s v="Kazakhstan"/>
    <m/>
    <m/>
    <n v="10019"/>
    <s v="UMICs"/>
    <n v="11"/>
    <s v="ODA Grants"/>
    <n v="4"/>
    <n v="10"/>
    <n v="110"/>
    <s v="C01"/>
    <n v="2.0299999999999999E-2"/>
    <n v="2.0299999999999999E-2"/>
    <n v="2991.4080000000004"/>
    <n v="0"/>
    <n v="2.1625785888249999E-2"/>
    <n v="2.1625785888249999E-2"/>
    <n v="0"/>
    <m/>
    <m/>
    <m/>
    <m/>
    <m/>
    <m/>
    <m/>
    <m/>
    <m/>
    <m/>
    <m/>
    <m/>
    <n v="302"/>
    <n v="2.0299999999999999E-2"/>
    <n v="2.0299999999999999E-2"/>
    <s v="DEMAND FOR REPRODUCTIVE HEALTH STRENGTHENED"/>
    <s v="Demand for Reproductive Health Strengthened"/>
    <x v="0"/>
    <n v="13020"/>
    <x v="0"/>
  </r>
  <r>
    <x v="1"/>
    <n v="974"/>
    <s v="UNFPA"/>
    <x v="0"/>
    <x v="0"/>
    <n v="1"/>
    <s v="UNFPA"/>
    <n v="2010101185"/>
    <s v="KAZ3P41A"/>
    <n v="1"/>
    <n v="613"/>
    <s v="Kazakhstan"/>
    <m/>
    <m/>
    <n v="10019"/>
    <s v="UMICs"/>
    <n v="11"/>
    <s v="ODA Grants"/>
    <n v="4"/>
    <n v="10"/>
    <n v="110"/>
    <s v="C01"/>
    <n v="4.9459999999999997E-2"/>
    <n v="4.9459999999999997E-2"/>
    <n v="7288.4256000000005"/>
    <n v="0"/>
    <n v="5.2690215272553902E-2"/>
    <n v="5.2690215272553902E-2"/>
    <n v="0"/>
    <m/>
    <m/>
    <m/>
    <m/>
    <m/>
    <m/>
    <m/>
    <m/>
    <m/>
    <m/>
    <m/>
    <m/>
    <n v="302"/>
    <n v="4.9459999999999997E-2"/>
    <n v="4.9459999999999997E-2"/>
    <s v="EMERGING POPULATION ISSUES IN DEVELOPMENT"/>
    <s v="Emerging Population Issues in Development"/>
    <x v="2"/>
    <n v="13010"/>
    <x v="2"/>
  </r>
  <r>
    <x v="2"/>
    <n v="974"/>
    <s v="UNFPA"/>
    <x v="0"/>
    <x v="0"/>
    <n v="1"/>
    <s v="UNFPA"/>
    <n v="2012001792"/>
    <m/>
    <n v="1"/>
    <n v="613"/>
    <s v="Kazakhstan"/>
    <m/>
    <m/>
    <n v="10019"/>
    <s v="UMICs"/>
    <n v="11"/>
    <s v="ODA Grants"/>
    <n v="4"/>
    <n v="10"/>
    <n v="110"/>
    <s v="C01"/>
    <n v="3.5549999999999901E-2"/>
    <n v="3.5549999999999901E-2"/>
    <n v="5300.8604999999852"/>
    <n v="0"/>
    <n v="3.6334847605567697E-2"/>
    <n v="3.6334847605567697E-2"/>
    <n v="0"/>
    <m/>
    <m/>
    <m/>
    <m/>
    <m/>
    <m/>
    <m/>
    <m/>
    <m/>
    <m/>
    <m/>
    <m/>
    <n v="302"/>
    <n v="3.5549999999999901E-2"/>
    <n v="3.5549999999999901E-2"/>
    <s v="KAZAJSTANI ASSOCIATION ON KAZ - FAMILY PLANNING"/>
    <s v="KAZAJSTANI ASSOCIATION ON KAZ - Family Planning"/>
    <x v="0"/>
    <n v="13030"/>
    <x v="0"/>
  </r>
  <r>
    <x v="2"/>
    <n v="974"/>
    <s v="UNFPA"/>
    <x v="0"/>
    <x v="0"/>
    <n v="1"/>
    <s v="UNFPA"/>
    <n v="2012001682"/>
    <m/>
    <n v="1"/>
    <n v="613"/>
    <s v="Kazakhstan"/>
    <m/>
    <m/>
    <n v="10019"/>
    <s v="UMICs"/>
    <n v="11"/>
    <s v="ODA Grants"/>
    <n v="4"/>
    <n v="10"/>
    <n v="110"/>
    <s v="C01"/>
    <n v="2.9217E-2"/>
    <n v="2.9217E-2"/>
    <n v="4356.546870000001"/>
    <n v="0"/>
    <n v="2.9862032137605399E-2"/>
    <n v="2.9862032137605399E-2"/>
    <n v="0"/>
    <m/>
    <m/>
    <m/>
    <m/>
    <m/>
    <m/>
    <m/>
    <m/>
    <m/>
    <m/>
    <m/>
    <m/>
    <n v="302"/>
    <n v="2.9217E-2"/>
    <n v="2.9217E-2"/>
    <s v="KAZAKHSTAN CENTRE FOR SOCIAL T - YOUNG PEOPLE'S SRH"/>
    <s v="Kazakhstan Centre for social T - Young People's SRH"/>
    <x v="2"/>
    <n v="13010"/>
    <x v="2"/>
  </r>
  <r>
    <x v="2"/>
    <n v="974"/>
    <s v="UNFPA"/>
    <x v="0"/>
    <x v="0"/>
    <n v="1"/>
    <s v="UNFPA"/>
    <n v="2012001452"/>
    <m/>
    <n v="1"/>
    <n v="613"/>
    <s v="Kazakhstan"/>
    <m/>
    <m/>
    <n v="10019"/>
    <s v="UMICs"/>
    <n v="11"/>
    <s v="ODA Grants"/>
    <n v="4"/>
    <n v="10"/>
    <n v="110"/>
    <s v="C01"/>
    <n v="1.7691999999999899E-2"/>
    <n v="1.7691999999999899E-2"/>
    <n v="2638.0541199999848"/>
    <n v="0"/>
    <n v="1.80825913878398E-2"/>
    <n v="1.80825913878398E-2"/>
    <n v="0"/>
    <m/>
    <m/>
    <m/>
    <m/>
    <m/>
    <m/>
    <m/>
    <m/>
    <m/>
    <m/>
    <m/>
    <m/>
    <n v="302"/>
    <n v="1.7691999999999899E-2"/>
    <n v="1.7691999999999899E-2"/>
    <s v="NGO AMAN-SAULYK - GENDER EQUALITY &amp; RR"/>
    <s v="NGO Aman-Saulyk - Gender Equality &amp; RR"/>
    <x v="2"/>
    <n v="13010"/>
    <x v="2"/>
  </r>
  <r>
    <x v="2"/>
    <n v="974"/>
    <s v="UNFPA"/>
    <x v="0"/>
    <x v="0"/>
    <n v="1"/>
    <s v="UNFPA"/>
    <n v="2012001266"/>
    <m/>
    <n v="1"/>
    <n v="613"/>
    <s v="Kazakhstan"/>
    <m/>
    <m/>
    <n v="10019"/>
    <s v="UMICs"/>
    <n v="11"/>
    <s v="ODA Grants"/>
    <n v="4"/>
    <n v="10"/>
    <n v="110"/>
    <s v="C01"/>
    <n v="1.15E-2"/>
    <n v="1.15E-2"/>
    <n v="1714.7650000000001"/>
    <n v="0"/>
    <n v="1.1753888817553499E-2"/>
    <n v="1.1753888817553499E-2"/>
    <n v="0"/>
    <m/>
    <m/>
    <m/>
    <m/>
    <m/>
    <m/>
    <m/>
    <m/>
    <m/>
    <m/>
    <m/>
    <m/>
    <n v="302"/>
    <n v="1.15E-2"/>
    <n v="1.15E-2"/>
    <s v="NGO FAKEL - HIV &amp; STI PREVENTION"/>
    <s v="NGO FAKEL - HIV &amp; STI Prevention"/>
    <x v="1"/>
    <n v="13040"/>
    <x v="1"/>
  </r>
  <r>
    <x v="0"/>
    <n v="302"/>
    <s v="United States"/>
    <x v="1"/>
    <x v="1"/>
    <n v="1"/>
    <s v="AID"/>
    <n v="2011023353"/>
    <s v="76_237415"/>
    <n v="1"/>
    <n v="613"/>
    <s v="Kazakhstan"/>
    <m/>
    <m/>
    <n v="10019"/>
    <s v="UMICs"/>
    <n v="11"/>
    <s v="ODA Grants"/>
    <n v="1"/>
    <n v="10"/>
    <n v="110"/>
    <s v="C01"/>
    <n v="0.12"/>
    <m/>
    <n v="0"/>
    <m/>
    <n v="0.12"/>
    <m/>
    <m/>
    <m/>
    <m/>
    <n v="0.12"/>
    <m/>
    <m/>
    <n v="0.12"/>
    <m/>
    <m/>
    <m/>
    <m/>
    <m/>
    <m/>
    <n v="302"/>
    <n v="0.12"/>
    <m/>
    <s v="OTHER PUBLIC HEALTH THREATS"/>
    <s v="Other Public Health Threats"/>
    <x v="3"/>
    <n v="12220"/>
    <x v="6"/>
  </r>
  <r>
    <x v="2"/>
    <n v="302"/>
    <s v="United States"/>
    <x v="1"/>
    <x v="1"/>
    <n v="1"/>
    <s v="AID"/>
    <n v="2012040433"/>
    <s v="76_2066599"/>
    <n v="3"/>
    <n v="613"/>
    <s v="Kazakhstan"/>
    <m/>
    <m/>
    <n v="10019"/>
    <s v="UMICs"/>
    <n v="11"/>
    <s v="ODA Grants"/>
    <n v="1"/>
    <n v="10"/>
    <n v="110"/>
    <s v="C01"/>
    <m/>
    <n v="0.119811"/>
    <n v="17865.018210000002"/>
    <m/>
    <m/>
    <n v="0.11763567752218899"/>
    <m/>
    <m/>
    <m/>
    <m/>
    <m/>
    <m/>
    <m/>
    <m/>
    <m/>
    <m/>
    <m/>
    <m/>
    <m/>
    <n v="302"/>
    <m/>
    <n v="0.119811"/>
    <s v="OTHER PUBLIC HEALTH THREATS"/>
    <s v="Other Public Health Threats"/>
    <x v="3"/>
    <n v="12220"/>
    <x v="6"/>
  </r>
  <r>
    <x v="1"/>
    <n v="918"/>
    <s v="EU Institutions"/>
    <x v="1"/>
    <x v="1"/>
    <n v="2"/>
    <s v="EDF"/>
    <n v="2006200349032"/>
    <s v="SCR.666118"/>
    <n v="3"/>
    <n v="613"/>
    <s v="Kazakhstan"/>
    <m/>
    <m/>
    <n v="10019"/>
    <s v="UMICs"/>
    <n v="11"/>
    <s v="ODA Grants"/>
    <n v="1"/>
    <n v="10"/>
    <n v="110"/>
    <s v="C01"/>
    <n v="0"/>
    <n v="1.78080794701986E-2"/>
    <n v="2624.1985907284661"/>
    <n v="0"/>
    <n v="0"/>
    <n v="1.8919075101241599E-2"/>
    <n v="0"/>
    <m/>
    <m/>
    <n v="0"/>
    <n v="0"/>
    <n v="0"/>
    <n v="0"/>
    <n v="0"/>
    <n v="0"/>
    <n v="0"/>
    <n v="0"/>
    <m/>
    <n v="0"/>
    <n v="918"/>
    <n v="0"/>
    <n v="1.34451E-2"/>
    <s v="STD CONTROL INCLUDING HIV/AIDS"/>
    <s v="Initiatives aimed at the HIV/AIDS sensitization of at-risk adolescents coming from orphanages, boarding schools and reformatories in the city of Almaty, Karaganda and Temirtau"/>
    <x v="1"/>
    <n v="13040"/>
    <x v="1"/>
  </r>
  <r>
    <x v="1"/>
    <n v="918"/>
    <s v="EU Institutions"/>
    <x v="1"/>
    <x v="1"/>
    <n v="2"/>
    <s v="EDF"/>
    <n v="2007200071003"/>
    <s v="SCR.CTR.242774"/>
    <n v="3"/>
    <n v="613"/>
    <s v="Kazakhstan"/>
    <m/>
    <m/>
    <n v="10019"/>
    <s v="UMICs"/>
    <n v="11"/>
    <s v="ODA Grants"/>
    <n v="1"/>
    <n v="10"/>
    <n v="110"/>
    <s v="C01"/>
    <n v="0"/>
    <n v="0.12672627814569501"/>
    <n v="18674.384347549618"/>
    <n v="0"/>
    <n v="0"/>
    <n v="0.13463237164633399"/>
    <n v="0"/>
    <m/>
    <m/>
    <n v="0"/>
    <n v="0"/>
    <n v="0"/>
    <n v="0"/>
    <n v="0"/>
    <n v="0"/>
    <n v="0"/>
    <n v="0"/>
    <m/>
    <n v="0"/>
    <n v="918"/>
    <n v="0"/>
    <n v="9.5678340000000001E-2"/>
    <s v="STD CONTROL INCLUDING HIV/AIDS"/>
    <s v="A model programme against the spread of HIV/AIDS and TB in women prisons."/>
    <x v="1"/>
    <n v="13040"/>
    <x v="1"/>
  </r>
  <r>
    <x v="0"/>
    <n v="918"/>
    <s v="EU Institutions"/>
    <x v="1"/>
    <x v="1"/>
    <n v="2"/>
    <s v="EDF"/>
    <n v="2007200071007"/>
    <s v="SCR.CTR.264772.01.1"/>
    <n v="3"/>
    <n v="613"/>
    <s v="Kazakhstan"/>
    <m/>
    <m/>
    <n v="10019"/>
    <s v="UMICs"/>
    <n v="11"/>
    <s v="ODA Grants"/>
    <n v="1"/>
    <n v="10"/>
    <n v="110"/>
    <s v="C01"/>
    <n v="0"/>
    <n v="8.1786429365962102E-2"/>
    <n v="11991.526273637364"/>
    <n v="0"/>
    <n v="0"/>
    <n v="8.1786429365962102E-2"/>
    <n v="0"/>
    <m/>
    <m/>
    <n v="0"/>
    <n v="0"/>
    <n v="0"/>
    <n v="0"/>
    <n v="0"/>
    <n v="0"/>
    <m/>
    <m/>
    <m/>
    <m/>
    <n v="918"/>
    <n v="0"/>
    <n v="5.8820799999999902E-2"/>
    <s v="?PREVENTION OF TB AND HIV IN KAZAKHSTAN?"/>
    <s v="?PREVENTION OF TB AND HIV IN KAZAKHSTAN?"/>
    <x v="1"/>
    <n v="12250"/>
    <x v="3"/>
  </r>
  <r>
    <x v="1"/>
    <n v="302"/>
    <s v="United States"/>
    <x v="1"/>
    <x v="1"/>
    <n v="1"/>
    <s v="AID"/>
    <n v="2010028398"/>
    <s v="UEJ33035"/>
    <n v="1"/>
    <n v="613"/>
    <s v="Kazakhstan"/>
    <m/>
    <m/>
    <n v="10019"/>
    <s v="UMICs"/>
    <n v="11"/>
    <s v="ODA Grants"/>
    <n v="1"/>
    <n v="10"/>
    <n v="110"/>
    <s v="C01"/>
    <n v="0.17999999999999899"/>
    <m/>
    <n v="0"/>
    <m/>
    <n v="0.183837165127964"/>
    <m/>
    <m/>
    <m/>
    <m/>
    <n v="0.17999999999999899"/>
    <m/>
    <m/>
    <n v="0.183837165127964"/>
    <m/>
    <m/>
    <m/>
    <m/>
    <m/>
    <m/>
    <n v="302"/>
    <n v="0.17999999999999899"/>
    <m/>
    <s v="HIV/AIDS"/>
    <s v="HIV/AIDS"/>
    <x v="1"/>
    <n v="13040"/>
    <x v="1"/>
  </r>
  <r>
    <x v="0"/>
    <n v="302"/>
    <s v="United States"/>
    <x v="1"/>
    <x v="1"/>
    <n v="1"/>
    <s v="AID"/>
    <n v="2011013303"/>
    <s v="76_133993"/>
    <n v="3"/>
    <n v="613"/>
    <s v="Kazakhstan"/>
    <m/>
    <m/>
    <n v="10019"/>
    <s v="UMICs"/>
    <n v="11"/>
    <s v="ODA Grants"/>
    <n v="1"/>
    <n v="10"/>
    <n v="110"/>
    <s v="C01"/>
    <m/>
    <n v="0.17999999999999899"/>
    <n v="26391.599999999853"/>
    <m/>
    <m/>
    <n v="0.17999999999999899"/>
    <m/>
    <m/>
    <m/>
    <m/>
    <m/>
    <m/>
    <m/>
    <m/>
    <m/>
    <m/>
    <m/>
    <m/>
    <m/>
    <n v="302"/>
    <m/>
    <n v="0.17999999999999899"/>
    <s v="HIV/AIDS"/>
    <s v="HIV/AIDS"/>
    <x v="1"/>
    <n v="13040"/>
    <x v="1"/>
  </r>
  <r>
    <x v="1"/>
    <n v="302"/>
    <s v="United States"/>
    <x v="1"/>
    <x v="1"/>
    <n v="1"/>
    <s v="AID"/>
    <n v="2010028305"/>
    <s v="UEJ32938"/>
    <n v="3"/>
    <n v="613"/>
    <s v="Kazakhstan"/>
    <m/>
    <m/>
    <n v="10019"/>
    <s v="UMICs"/>
    <n v="11"/>
    <s v="ODA Grants"/>
    <n v="1"/>
    <n v="10"/>
    <n v="110"/>
    <s v="C01"/>
    <m/>
    <n v="8.8999999999999899E-2"/>
    <n v="13115.039999999986"/>
    <m/>
    <m/>
    <n v="9.0897264979938205E-2"/>
    <m/>
    <m/>
    <m/>
    <m/>
    <m/>
    <m/>
    <m/>
    <m/>
    <m/>
    <m/>
    <m/>
    <m/>
    <m/>
    <n v="302"/>
    <m/>
    <n v="8.8999999999999899E-2"/>
    <s v="HIV/AIDS"/>
    <s v="HIV/AIDS"/>
    <x v="1"/>
    <n v="13040"/>
    <x v="1"/>
  </r>
  <r>
    <x v="1"/>
    <n v="302"/>
    <s v="United States"/>
    <x v="1"/>
    <x v="1"/>
    <n v="1"/>
    <s v="AID"/>
    <n v="2010030855"/>
    <s v="UEJ35997"/>
    <n v="3"/>
    <n v="613"/>
    <s v="Kazakhstan"/>
    <m/>
    <m/>
    <n v="10019"/>
    <s v="UMICs"/>
    <n v="11"/>
    <s v="ODA Grants"/>
    <n v="1"/>
    <n v="10"/>
    <n v="110"/>
    <s v="C01"/>
    <m/>
    <n v="0.17199999999999899"/>
    <n v="25345.919999999853"/>
    <m/>
    <m/>
    <n v="0.17566662445560999"/>
    <m/>
    <m/>
    <m/>
    <m/>
    <m/>
    <m/>
    <m/>
    <m/>
    <m/>
    <m/>
    <m/>
    <m/>
    <m/>
    <n v="302"/>
    <m/>
    <n v="0.17199999999999899"/>
    <s v="HIV/AIDS - ASSISTANCE FOR HIV/AIDS"/>
    <s v="HIV/AIDS - Assistance for HIV/AIDS"/>
    <x v="1"/>
    <n v="13040"/>
    <x v="1"/>
  </r>
  <r>
    <x v="2"/>
    <n v="302"/>
    <s v="United States"/>
    <x v="1"/>
    <x v="1"/>
    <n v="1"/>
    <s v="AID"/>
    <n v="2012047500"/>
    <s v="76_2077782"/>
    <n v="3"/>
    <n v="613"/>
    <s v="Kazakhstan"/>
    <m/>
    <m/>
    <n v="10019"/>
    <s v="UMICs"/>
    <n v="11"/>
    <s v="ODA Grants"/>
    <n v="1"/>
    <n v="10"/>
    <n v="110"/>
    <s v="C01"/>
    <m/>
    <n v="0.30401799999999901"/>
    <n v="45332.123979999858"/>
    <m/>
    <m/>
    <n v="0.29849816301458898"/>
    <m/>
    <m/>
    <m/>
    <m/>
    <m/>
    <m/>
    <m/>
    <m/>
    <m/>
    <m/>
    <m/>
    <m/>
    <m/>
    <n v="302"/>
    <m/>
    <n v="0.30401799999999901"/>
    <s v="THE HEALTH OUTREACH PROGRAM - TUBERCULOSIS"/>
    <s v="The Health Outreach Program - Tuberculosis"/>
    <x v="1"/>
    <n v="12263"/>
    <x v="4"/>
  </r>
  <r>
    <x v="0"/>
    <n v="302"/>
    <s v="United States"/>
    <x v="1"/>
    <x v="1"/>
    <n v="1"/>
    <s v="AID"/>
    <n v="2011029446"/>
    <s v="76_254625"/>
    <n v="1"/>
    <n v="613"/>
    <s v="Kazakhstan"/>
    <m/>
    <m/>
    <n v="10019"/>
    <s v="UMICs"/>
    <n v="11"/>
    <s v="ODA Grants"/>
    <n v="1"/>
    <n v="10"/>
    <n v="110"/>
    <s v="C01"/>
    <n v="0.40100000000000002"/>
    <n v="0.132797"/>
    <n v="19470.69614"/>
    <m/>
    <n v="0.40100000000000002"/>
    <n v="0.132797"/>
    <m/>
    <m/>
    <m/>
    <n v="0.40100000000000002"/>
    <m/>
    <m/>
    <n v="0.40100000000000002"/>
    <m/>
    <m/>
    <m/>
    <m/>
    <m/>
    <m/>
    <n v="302"/>
    <n v="0.40100000000000002"/>
    <n v="0.132797"/>
    <s v="TUBERCULOSIS"/>
    <s v="Tuberculosis"/>
    <x v="1"/>
    <n v="12263"/>
    <x v="4"/>
  </r>
  <r>
    <x v="1"/>
    <n v="302"/>
    <s v="United States"/>
    <x v="1"/>
    <x v="1"/>
    <n v="1"/>
    <s v="AID"/>
    <n v="2010045785"/>
    <s v="UEJ98094"/>
    <n v="1"/>
    <n v="613"/>
    <s v="Kazakhstan"/>
    <m/>
    <m/>
    <n v="10019"/>
    <s v="UMICs"/>
    <n v="11"/>
    <s v="ODA Grants"/>
    <n v="1"/>
    <n v="10"/>
    <n v="110"/>
    <s v="C01"/>
    <n v="0.20100000000000001"/>
    <n v="0.15199599999999999"/>
    <n v="22398.130560000001"/>
    <m/>
    <n v="0.20528483439289399"/>
    <n v="0.155236187504389"/>
    <m/>
    <m/>
    <m/>
    <n v="0.20100000000000001"/>
    <m/>
    <m/>
    <n v="0.20528483439289399"/>
    <m/>
    <m/>
    <m/>
    <m/>
    <m/>
    <m/>
    <n v="302"/>
    <n v="0.20100000000000001"/>
    <n v="0.15199599999999999"/>
    <s v="TUBERCULOSIS"/>
    <s v="Tuberculosis"/>
    <x v="1"/>
    <n v="12263"/>
    <x v="4"/>
  </r>
  <r>
    <x v="1"/>
    <n v="302"/>
    <s v="United States"/>
    <x v="1"/>
    <x v="1"/>
    <n v="1"/>
    <s v="AID"/>
    <n v="2010046064"/>
    <s v="UEJ98414"/>
    <n v="3"/>
    <n v="613"/>
    <s v="Kazakhstan"/>
    <m/>
    <m/>
    <n v="10019"/>
    <s v="UMICs"/>
    <n v="11"/>
    <s v="ODA Grants"/>
    <n v="1"/>
    <n v="10"/>
    <n v="110"/>
    <s v="C01"/>
    <m/>
    <n v="3.5906E-2"/>
    <n v="5291.1081600000007"/>
    <m/>
    <m/>
    <n v="3.6671429172692803E-2"/>
    <m/>
    <m/>
    <m/>
    <m/>
    <m/>
    <m/>
    <m/>
    <m/>
    <m/>
    <m/>
    <m/>
    <m/>
    <m/>
    <n v="302"/>
    <m/>
    <n v="3.5906E-2"/>
    <s v="TUBERCULOSIS"/>
    <s v="Tuberculosis"/>
    <x v="1"/>
    <n v="12263"/>
    <x v="4"/>
  </r>
  <r>
    <x v="2"/>
    <n v="302"/>
    <s v="United States"/>
    <x v="1"/>
    <x v="1"/>
    <n v="1"/>
    <s v="AID"/>
    <n v="2012025973"/>
    <s v="76_2044205"/>
    <n v="1"/>
    <n v="613"/>
    <s v="Kazakhstan"/>
    <m/>
    <m/>
    <n v="10019"/>
    <s v="UMICs"/>
    <n v="11"/>
    <s v="ODA Grants"/>
    <n v="1"/>
    <n v="10"/>
    <n v="110"/>
    <s v="C01"/>
    <n v="0.16122900000000001"/>
    <n v="0.159882"/>
    <n v="23840.005020000004"/>
    <m/>
    <n v="0.158301680573779"/>
    <n v="0.156979137087601"/>
    <m/>
    <m/>
    <m/>
    <n v="0.16122900000000001"/>
    <m/>
    <m/>
    <n v="0.158301680573779"/>
    <m/>
    <m/>
    <m/>
    <m/>
    <m/>
    <m/>
    <n v="302"/>
    <n v="0.16122900000000001"/>
    <n v="0.159882"/>
    <s v="ASSISTANCE FOR HIV/AIDS"/>
    <s v="Assistance for HIV/AIDS"/>
    <x v="1"/>
    <n v="13040"/>
    <x v="1"/>
  </r>
  <r>
    <x v="0"/>
    <n v="576"/>
    <s v="United Arab Emirates"/>
    <x v="1"/>
    <x v="1"/>
    <n v="17"/>
    <s v="KZF"/>
    <n v="20112005041"/>
    <s v="KBZ-2011-012"/>
    <n v="3"/>
    <n v="613"/>
    <s v="Kazakhstan"/>
    <m/>
    <m/>
    <n v="10019"/>
    <s v="UMICs"/>
    <n v="11"/>
    <s v="ODA Grants"/>
    <n v="1"/>
    <n v="10"/>
    <n v="110"/>
    <s v="C01"/>
    <n v="0.54953580179999895"/>
    <n v="0.54953580179999895"/>
    <n v="80572.939259915845"/>
    <m/>
    <n v="0.54953580179999895"/>
    <n v="0.54953580179999895"/>
    <m/>
    <m/>
    <m/>
    <m/>
    <m/>
    <m/>
    <m/>
    <m/>
    <m/>
    <m/>
    <m/>
    <m/>
    <m/>
    <n v="302"/>
    <n v="0.54953580179999895"/>
    <n v="0.54953580179999895"/>
    <s v="BUILDING CLINICS + PROVISION (50) AN AMBULANCE AND THE PROVISION OF MEDICAL EQUIPMENT"/>
    <s v="Building clinics + provision (50) an ambulance and the provision of medical equipment"/>
    <x v="5"/>
    <n v="12191"/>
    <x v="8"/>
  </r>
  <r>
    <x v="2"/>
    <n v="576"/>
    <s v="United Arab Emirates"/>
    <x v="1"/>
    <x v="1"/>
    <n v="17"/>
    <s v="KZF"/>
    <n v="2012000237"/>
    <s v="KBZ-2012-025"/>
    <n v="3"/>
    <n v="613"/>
    <s v="Kazakhstan"/>
    <m/>
    <m/>
    <n v="10019"/>
    <s v="UMICs"/>
    <n v="11"/>
    <s v="ODA Grants"/>
    <n v="1"/>
    <n v="10"/>
    <n v="110"/>
    <s v="C01"/>
    <n v="0.14021236049999899"/>
    <n v="0.14021236049999899"/>
    <n v="20907.065074154849"/>
    <m/>
    <n v="0.143307869231629"/>
    <n v="0.143307869231629"/>
    <m/>
    <m/>
    <m/>
    <m/>
    <m/>
    <m/>
    <m/>
    <m/>
    <m/>
    <m/>
    <m/>
    <m/>
    <m/>
    <n v="302"/>
    <n v="0.14021236049999899"/>
    <n v="0.14021236049999899"/>
    <s v="CONTRIBUTIONS TO THE CONSTRUCTION OF CLINICS AND MEDICAL CENTRES"/>
    <s v="Contributions to the construction of clinics and medical centres"/>
    <x v="3"/>
    <n v="12230"/>
    <x v="5"/>
  </r>
  <r>
    <x v="2"/>
    <n v="576"/>
    <s v="United Arab Emirates"/>
    <x v="1"/>
    <x v="1"/>
    <n v="17"/>
    <s v="KZF"/>
    <n v="2012000233"/>
    <s v="KBZ-2012-019"/>
    <n v="3"/>
    <n v="613"/>
    <s v="Kazakhstan"/>
    <m/>
    <m/>
    <n v="10019"/>
    <s v="UMICs"/>
    <n v="11"/>
    <s v="ODA Grants"/>
    <n v="1"/>
    <n v="10"/>
    <n v="110"/>
    <s v="C01"/>
    <n v="2.0187857340000002"/>
    <n v="2.0187857340000002"/>
    <n v="301021.14079674002"/>
    <m/>
    <n v="2.0633550490347199"/>
    <n v="2.0633550490347199"/>
    <m/>
    <m/>
    <m/>
    <m/>
    <m/>
    <m/>
    <m/>
    <m/>
    <m/>
    <m/>
    <m/>
    <m/>
    <m/>
    <n v="302"/>
    <n v="2.0187857340000002"/>
    <n v="2.0187857340000002"/>
    <s v="CONTRIBUTIONS TO THE CONSTRUCTION OF HOSPITALS AND MEDICAL CENTRES, AND PROVISION OF MEDICAL SUPPLIES"/>
    <s v="Contributions to the construction of hospitals and medical centres, and provision of medical supplies"/>
    <x v="5"/>
    <n v="12191"/>
    <x v="8"/>
  </r>
  <r>
    <x v="0"/>
    <n v="302"/>
    <s v="United States"/>
    <x v="1"/>
    <x v="1"/>
    <n v="1"/>
    <s v="AID"/>
    <n v="2011019127"/>
    <s v="76_147564"/>
    <n v="3"/>
    <n v="613"/>
    <s v="Kazakhstan"/>
    <m/>
    <m/>
    <n v="10019"/>
    <s v="UMICs"/>
    <n v="11"/>
    <s v="ODA Grants"/>
    <n v="1"/>
    <n v="10"/>
    <n v="110"/>
    <s v="C01"/>
    <m/>
    <n v="2.98E-3"/>
    <n v="436.92760000000004"/>
    <m/>
    <m/>
    <n v="2.98E-3"/>
    <m/>
    <m/>
    <m/>
    <m/>
    <m/>
    <m/>
    <m/>
    <m/>
    <m/>
    <m/>
    <m/>
    <m/>
    <m/>
    <n v="302"/>
    <m/>
    <n v="2.98E-3"/>
    <s v="KAZ SO 3.2 HEALTH - ASSISTANCE FOR HIV/AIDS - ASSISTANCE FOR HIV/AIDS"/>
    <s v="KAZ SO 3.2 HEALTH - Assistance for HIV/AIDS - Assistance for HIV/AIDS"/>
    <x v="1"/>
    <n v="13040"/>
    <x v="1"/>
  </r>
  <r>
    <x v="1"/>
    <n v="302"/>
    <s v="United States"/>
    <x v="1"/>
    <x v="1"/>
    <n v="1"/>
    <s v="AID"/>
    <n v="2010033660"/>
    <s v="UEJ39874"/>
    <n v="3"/>
    <n v="613"/>
    <s v="Kazakhstan"/>
    <m/>
    <m/>
    <n v="10019"/>
    <s v="UMICs"/>
    <n v="11"/>
    <s v="ODA Grants"/>
    <n v="1"/>
    <n v="10"/>
    <n v="110"/>
    <s v="C01"/>
    <m/>
    <n v="1.256E-3"/>
    <n v="185.08416"/>
    <m/>
    <m/>
    <n v="1.2827748855595701E-3"/>
    <m/>
    <m/>
    <m/>
    <m/>
    <m/>
    <m/>
    <m/>
    <m/>
    <m/>
    <m/>
    <m/>
    <m/>
    <m/>
    <n v="302"/>
    <m/>
    <n v="1.256E-3"/>
    <s v="KAZ SO 3.2 HEALTH - ASSISTANCE FOR HIV/AIDS - ASSISTANCE FOR HIV/AIDS"/>
    <s v="KAZ SO 3.2 HEALTH - Assistance for HIV/AIDS - Assistance for HIV/AIDS"/>
    <x v="1"/>
    <n v="13040"/>
    <x v="1"/>
  </r>
  <r>
    <x v="0"/>
    <n v="1"/>
    <s v="Austria"/>
    <x v="1"/>
    <x v="1"/>
    <n v="99"/>
    <s v="MISC"/>
    <n v="2011797183"/>
    <s v="NGO-2011/183"/>
    <n v="3"/>
    <n v="613"/>
    <s v="Kazakhstan"/>
    <m/>
    <m/>
    <n v="10019"/>
    <s v="UMICs"/>
    <n v="99"/>
    <m/>
    <n v="6"/>
    <n v="30"/>
    <n v="110"/>
    <m/>
    <m/>
    <n v="6.9521690767519401E-3"/>
    <n v="1019.3270300333694"/>
    <m/>
    <m/>
    <n v="6.9521690767519401E-3"/>
    <m/>
    <m/>
    <m/>
    <m/>
    <m/>
    <m/>
    <m/>
    <m/>
    <m/>
    <m/>
    <m/>
    <m/>
    <m/>
    <n v="918"/>
    <m/>
    <n v="5.0000000000000001E-3"/>
    <s v="SEMI-AGGREGATE FOR PRIVATE NGO GRANTS TO GIVEN RECIPIENT COUNTRY FOR GIVEN DAC5 SECTOR"/>
    <s v="Semi-aggregate for private NGO grants to given recipient country for given DAC5 Sector"/>
    <x v="2"/>
    <n v="12110"/>
    <x v="2"/>
  </r>
  <r>
    <x v="1"/>
    <n v="3"/>
    <s v="Denmark"/>
    <x v="1"/>
    <x v="1"/>
    <n v="1"/>
    <s v="MFA"/>
    <s v="2010001002cn"/>
    <s v="104.N.139.a."/>
    <n v="1"/>
    <n v="613"/>
    <s v="Kazakhstan"/>
    <m/>
    <m/>
    <n v="10019"/>
    <s v="UMICs"/>
    <n v="11"/>
    <s v="ODA Grants"/>
    <n v="3"/>
    <n v="10"/>
    <n v="110"/>
    <s v="B01"/>
    <n v="4.1902371126685302E-2"/>
    <n v="4.1902371126685302E-2"/>
    <n v="6174.7334092283472"/>
    <n v="0"/>
    <n v="4.42160488386482E-2"/>
    <n v="4.42160488386482E-2"/>
    <n v="0"/>
    <m/>
    <m/>
    <n v="4.1902371126685302E-2"/>
    <m/>
    <m/>
    <n v="4.42160488386482E-2"/>
    <m/>
    <m/>
    <m/>
    <m/>
    <m/>
    <m/>
    <n v="3"/>
    <n v="0.23556674999999999"/>
    <n v="0.23556674999999999"/>
    <s v="STD CONTROL INCLUDING HIV/AIDS"/>
    <m/>
    <x v="1"/>
    <n v="13040"/>
    <x v="1"/>
  </r>
  <r>
    <x v="2"/>
    <n v="5"/>
    <s v="Germany"/>
    <x v="1"/>
    <x v="1"/>
    <n v="16"/>
    <s v="Fed.Min."/>
    <n v="2012010361"/>
    <n v="2012004"/>
    <n v="8"/>
    <n v="613"/>
    <s v="Kazakhstan"/>
    <m/>
    <m/>
    <n v="10019"/>
    <s v="UMICs"/>
    <n v="11"/>
    <s v="ODA Grants"/>
    <n v="1"/>
    <n v="10"/>
    <n v="110"/>
    <s v="D02"/>
    <n v="2.498715E-2"/>
    <n v="2.498715E-2"/>
    <n v="3725.8339365000002"/>
    <n v="0"/>
    <n v="2.6669840373206001E-2"/>
    <n v="2.6669840373206001E-2"/>
    <n v="0"/>
    <m/>
    <m/>
    <n v="0"/>
    <m/>
    <n v="2.498715E-2"/>
    <n v="0"/>
    <m/>
    <n v="2.6669840373206001E-2"/>
    <m/>
    <m/>
    <m/>
    <m/>
    <n v="302"/>
    <n v="2.498715E-2"/>
    <n v="2.498715E-2"/>
    <s v="SUPPORT TO WELFARE CENTERS IN KAZAKHSTAN"/>
    <s v="support to welfare centers in Kazakhstan"/>
    <x v="3"/>
    <n v="12230"/>
    <x v="5"/>
  </r>
  <r>
    <x v="0"/>
    <n v="302"/>
    <s v="United States"/>
    <x v="1"/>
    <x v="1"/>
    <n v="1"/>
    <s v="AID"/>
    <n v="2011029350"/>
    <s v="76_254376"/>
    <n v="1"/>
    <n v="613"/>
    <s v="Kazakhstan"/>
    <m/>
    <m/>
    <n v="10019"/>
    <s v="UMICs"/>
    <n v="11"/>
    <s v="ODA Grants"/>
    <n v="1"/>
    <n v="10"/>
    <n v="110"/>
    <s v="C01"/>
    <n v="0.80336699999999905"/>
    <n v="0.80336699999999905"/>
    <n v="117789.66953999986"/>
    <m/>
    <n v="0.80336699999999905"/>
    <n v="0.80336699999999905"/>
    <m/>
    <m/>
    <m/>
    <n v="0.80336699999999905"/>
    <m/>
    <m/>
    <n v="0.80336699999999905"/>
    <m/>
    <m/>
    <m/>
    <m/>
    <m/>
    <m/>
    <n v="302"/>
    <n v="0.80336699999999905"/>
    <n v="0.80336699999999905"/>
    <s v="TUBERCULOSIS"/>
    <s v="Tuberculosis"/>
    <x v="1"/>
    <n v="12263"/>
    <x v="4"/>
  </r>
  <r>
    <x v="0"/>
    <n v="302"/>
    <s v="United States"/>
    <x v="1"/>
    <x v="1"/>
    <n v="1"/>
    <s v="AID"/>
    <n v="2011029347"/>
    <s v="76_254376"/>
    <n v="1"/>
    <n v="613"/>
    <s v="Kazakhstan"/>
    <m/>
    <m/>
    <n v="10019"/>
    <s v="UMICs"/>
    <n v="11"/>
    <s v="ODA Grants"/>
    <n v="1"/>
    <n v="10"/>
    <n v="110"/>
    <s v="C01"/>
    <n v="0.605325"/>
    <m/>
    <n v="0"/>
    <m/>
    <n v="0.605325"/>
    <m/>
    <m/>
    <m/>
    <m/>
    <n v="0.605325"/>
    <m/>
    <m/>
    <n v="0.605325"/>
    <m/>
    <m/>
    <m/>
    <m/>
    <m/>
    <m/>
    <n v="302"/>
    <n v="0.605325"/>
    <m/>
    <s v="TUBERCULOSIS"/>
    <s v="Tuberculosis"/>
    <x v="1"/>
    <n v="12263"/>
    <x v="4"/>
  </r>
  <r>
    <x v="0"/>
    <n v="302"/>
    <s v="United States"/>
    <x v="1"/>
    <x v="1"/>
    <n v="1"/>
    <s v="AID"/>
    <n v="2011029345"/>
    <s v="76_254375"/>
    <n v="3"/>
    <n v="613"/>
    <s v="Kazakhstan"/>
    <m/>
    <m/>
    <n v="10019"/>
    <s v="UMICs"/>
    <n v="11"/>
    <s v="ODA Grants"/>
    <n v="1"/>
    <n v="10"/>
    <n v="110"/>
    <s v="C01"/>
    <m/>
    <n v="0.33600000000000002"/>
    <n v="49264.320000000007"/>
    <m/>
    <m/>
    <n v="0.33600000000000002"/>
    <m/>
    <m/>
    <m/>
    <m/>
    <m/>
    <m/>
    <m/>
    <m/>
    <m/>
    <m/>
    <m/>
    <m/>
    <m/>
    <n v="302"/>
    <m/>
    <n v="0.33600000000000002"/>
    <s v="TUBERCULOSIS"/>
    <s v="Tuberculosis"/>
    <x v="1"/>
    <n v="12263"/>
    <x v="4"/>
  </r>
  <r>
    <x v="1"/>
    <n v="302"/>
    <s v="United States"/>
    <x v="1"/>
    <x v="1"/>
    <n v="1"/>
    <s v="AID"/>
    <n v="2010045841"/>
    <s v="UEJ98146"/>
    <n v="3"/>
    <n v="613"/>
    <s v="Kazakhstan"/>
    <m/>
    <m/>
    <n v="10019"/>
    <s v="UMICs"/>
    <n v="11"/>
    <s v="ODA Grants"/>
    <n v="1"/>
    <n v="10"/>
    <n v="110"/>
    <s v="C01"/>
    <m/>
    <n v="0.34741699999999898"/>
    <n v="51195.36911999985"/>
    <m/>
    <m/>
    <n v="0.35482309109589999"/>
    <m/>
    <m/>
    <m/>
    <m/>
    <m/>
    <m/>
    <m/>
    <m/>
    <m/>
    <m/>
    <m/>
    <m/>
    <m/>
    <n v="302"/>
    <m/>
    <n v="0.34741699999999898"/>
    <s v="TUBERCULOSIS"/>
    <s v="Tuberculosis"/>
    <x v="1"/>
    <n v="12263"/>
    <x v="4"/>
  </r>
  <r>
    <x v="1"/>
    <n v="302"/>
    <s v="United States"/>
    <x v="1"/>
    <x v="1"/>
    <n v="1"/>
    <s v="AID"/>
    <n v="2010046075"/>
    <s v="UEJ98429"/>
    <n v="3"/>
    <n v="613"/>
    <s v="Kazakhstan"/>
    <m/>
    <m/>
    <n v="10019"/>
    <s v="UMICs"/>
    <n v="11"/>
    <s v="ODA Grants"/>
    <n v="1"/>
    <n v="10"/>
    <n v="110"/>
    <s v="C01"/>
    <m/>
    <n v="0.04"/>
    <n v="5894.4000000000005"/>
    <m/>
    <m/>
    <n v="4.0852703361769903E-2"/>
    <m/>
    <m/>
    <m/>
    <m/>
    <m/>
    <m/>
    <m/>
    <m/>
    <m/>
    <m/>
    <m/>
    <m/>
    <m/>
    <n v="302"/>
    <m/>
    <n v="0.04"/>
    <s v="TUBERCULOSIS"/>
    <s v="Tuberculosis"/>
    <x v="1"/>
    <n v="12263"/>
    <x v="4"/>
  </r>
  <r>
    <x v="2"/>
    <n v="302"/>
    <s v="United States"/>
    <x v="1"/>
    <x v="1"/>
    <n v="1"/>
    <s v="AID"/>
    <n v="2012048460"/>
    <s v="76_2079085"/>
    <n v="1"/>
    <n v="613"/>
    <s v="Kazakhstan"/>
    <m/>
    <m/>
    <n v="10019"/>
    <s v="UMICs"/>
    <n v="11"/>
    <s v="ODA Grants"/>
    <n v="1"/>
    <n v="10"/>
    <n v="110"/>
    <s v="C01"/>
    <n v="1.1000000000000001"/>
    <n v="1.705325"/>
    <n v="254281.01075000002"/>
    <m/>
    <n v="1.0800280881922999"/>
    <n v="1.67436263590594"/>
    <m/>
    <m/>
    <m/>
    <n v="1.1000000000000001"/>
    <m/>
    <m/>
    <n v="1.0800280881922999"/>
    <m/>
    <m/>
    <m/>
    <m/>
    <m/>
    <m/>
    <n v="302"/>
    <n v="1.1000000000000001"/>
    <n v="1.705325"/>
    <s v="TUBERCULOSIS C.A.R.E. - TUBERCULOSIS"/>
    <s v="Tuberculosis C.A.R.E. - Tuberculosis"/>
    <x v="1"/>
    <n v="12263"/>
    <x v="4"/>
  </r>
  <r>
    <x v="1"/>
    <n v="742"/>
    <s v="Korea"/>
    <x v="1"/>
    <x v="1"/>
    <n v="99"/>
    <s v="MISC"/>
    <n v="2010000098"/>
    <n v="20101590002"/>
    <n v="8"/>
    <n v="613"/>
    <s v="Kazakhstan"/>
    <m/>
    <m/>
    <n v="10019"/>
    <s v="UMICs"/>
    <n v="11"/>
    <s v="ODA Grants"/>
    <n v="1"/>
    <n v="10"/>
    <n v="110"/>
    <s v="D02"/>
    <n v="1.5579000000000001E-2"/>
    <n v="1.5579000000000001E-2"/>
    <n v="2295.7214400000003"/>
    <n v="0"/>
    <n v="1.6539783625996399E-2"/>
    <n v="1.6539783625996399E-2"/>
    <n v="0"/>
    <m/>
    <m/>
    <n v="0"/>
    <n v="0"/>
    <n v="1.5579000000000001E-2"/>
    <n v="0"/>
    <n v="0"/>
    <n v="1.6539783625996399E-2"/>
    <m/>
    <m/>
    <m/>
    <m/>
    <n v="302"/>
    <n v="1.5579000000000001E-2"/>
    <n v="1.5579000000000001E-2"/>
    <s v="VOLUNTEER MEDICAL SERVICES IN ALMATY CITY, KAZAKHSTAN"/>
    <s v="Volunteer medical services in Almaty City, Kazakhstan"/>
    <x v="5"/>
    <n v="12191"/>
    <x v="8"/>
  </r>
  <r>
    <x v="2"/>
    <n v="918"/>
    <s v="EU Institutions"/>
    <x v="1"/>
    <x v="1"/>
    <n v="2"/>
    <s v="EDF"/>
    <n v="2007200071004"/>
    <s v="SCR.CTR.242776.01.1"/>
    <n v="3"/>
    <n v="613"/>
    <s v="Kazakhstan"/>
    <m/>
    <m/>
    <n v="10019"/>
    <s v="UMICs"/>
    <n v="11"/>
    <s v="ODA Grants"/>
    <n v="1"/>
    <n v="10"/>
    <n v="110"/>
    <s v="C01"/>
    <n v="0"/>
    <n v="5.5220154241645197E-2"/>
    <n v="8233.877198971717"/>
    <n v="0"/>
    <n v="0"/>
    <n v="5.9017389124430698E-2"/>
    <n v="0"/>
    <m/>
    <m/>
    <n v="0"/>
    <n v="0"/>
    <n v="0"/>
    <n v="0"/>
    <n v="0"/>
    <n v="0"/>
    <m/>
    <m/>
    <m/>
    <m/>
    <n v="918"/>
    <n v="0"/>
    <n v="4.2961279999999998E-2"/>
    <s v="OUR POSITIVE IN THE ACTIVITY"/>
    <m/>
    <x v="1"/>
    <n v="13040"/>
    <x v="1"/>
  </r>
  <r>
    <x v="0"/>
    <n v="918"/>
    <s v="EU Institutions"/>
    <x v="1"/>
    <x v="1"/>
    <n v="2"/>
    <s v="EDF"/>
    <n v="2007200071004"/>
    <s v="SCR.CTR.242776.01.1"/>
    <n v="3"/>
    <n v="613"/>
    <s v="Kazakhstan"/>
    <m/>
    <m/>
    <n v="10019"/>
    <s v="UMICs"/>
    <n v="11"/>
    <s v="ODA Grants"/>
    <n v="1"/>
    <n v="10"/>
    <n v="110"/>
    <s v="C01"/>
    <n v="0"/>
    <n v="7.9461290322580605E-2"/>
    <n v="11650.614387096768"/>
    <n v="0"/>
    <n v="0"/>
    <n v="7.9461290322580605E-2"/>
    <n v="0"/>
    <m/>
    <m/>
    <n v="0"/>
    <n v="0"/>
    <n v="0"/>
    <n v="0"/>
    <n v="0"/>
    <n v="0"/>
    <m/>
    <m/>
    <m/>
    <m/>
    <n v="918"/>
    <n v="0"/>
    <n v="5.7148560000000001E-2"/>
    <s v="OUR POSITIVE IN THE ACTIVITY"/>
    <s v="Our positive in the activity"/>
    <x v="1"/>
    <n v="13040"/>
    <x v="1"/>
  </r>
  <r>
    <x v="2"/>
    <n v="701"/>
    <s v="Japan"/>
    <x v="1"/>
    <x v="1"/>
    <n v="2"/>
    <s v="MOFA"/>
    <n v="2012605351"/>
    <m/>
    <n v="8"/>
    <n v="613"/>
    <s v="Kazakhstan"/>
    <m/>
    <m/>
    <n v="10019"/>
    <s v="UMICs"/>
    <n v="11"/>
    <s v="ODA Grants"/>
    <n v="3"/>
    <n v="10"/>
    <n v="110"/>
    <s v="B01"/>
    <n v="5.78635595938536E-2"/>
    <n v="5.78635595938536E-2"/>
    <n v="8628.0353710395102"/>
    <m/>
    <n v="5.84577699648368E-2"/>
    <n v="5.84577699648368E-2"/>
    <m/>
    <m/>
    <m/>
    <n v="5.78635595938536E-2"/>
    <m/>
    <m/>
    <n v="5.84577699648368E-2"/>
    <m/>
    <m/>
    <m/>
    <m/>
    <m/>
    <m/>
    <n v="701"/>
    <n v="4.6182990000000002E-3"/>
    <n v="4.6182990000000002E-3"/>
    <s v="THE PROJECT FOR INSTALLATION OF WATER TOWER FOR AKSHY VILLAGE HOSPITAL AND ILY TUBERCULOSIS HOSPITAL IN AKSHY VILLAGE"/>
    <s v="The Project for Installation of Water Tower for Akshy Village Hospital and Ily Tuberculosis Hospital in Akshy Village"/>
    <x v="1"/>
    <n v="14031"/>
    <x v="10"/>
  </r>
  <r>
    <x v="0"/>
    <n v="701"/>
    <s v="Japan"/>
    <x v="1"/>
    <x v="1"/>
    <n v="2"/>
    <s v="MOFA"/>
    <n v="2011605325"/>
    <s v="MOFA2011605325"/>
    <n v="8"/>
    <n v="613"/>
    <s v="Kazakhstan"/>
    <m/>
    <m/>
    <n v="10019"/>
    <s v="UMICs"/>
    <n v="11"/>
    <s v="ODA Grants"/>
    <n v="3"/>
    <n v="10"/>
    <n v="110"/>
    <s v="B01"/>
    <n v="0.117931042269919"/>
    <n v="0.117931042269919"/>
    <n v="17291.049417615526"/>
    <m/>
    <n v="0.117931042269919"/>
    <n v="0.117931042269919"/>
    <m/>
    <m/>
    <m/>
    <n v="0.117931042269919"/>
    <m/>
    <m/>
    <n v="0.117931042269919"/>
    <m/>
    <m/>
    <m/>
    <m/>
    <m/>
    <m/>
    <n v="701"/>
    <n v="9.3999059999999909E-3"/>
    <n v="9.3999059999999909E-3"/>
    <s v="THE PROJECT FOR RESTORATION OF NURSE HOSPITAL IN KARAGANDA"/>
    <s v="The Project for Restoration of Nurse Hospital in Karaganda"/>
    <x v="3"/>
    <n v="12230"/>
    <x v="5"/>
  </r>
  <r>
    <x v="0"/>
    <n v="974"/>
    <s v="UNFPA"/>
    <x v="0"/>
    <x v="0"/>
    <n v="1"/>
    <s v="UNFPA"/>
    <n v="2011102102"/>
    <s v="KAZ3G41A"/>
    <n v="1"/>
    <n v="613"/>
    <s v="Kazakhstan"/>
    <m/>
    <m/>
    <n v="10019"/>
    <s v="UMICs"/>
    <n v="11"/>
    <s v="ODA Grants"/>
    <n v="4"/>
    <n v="10"/>
    <n v="110"/>
    <s v="C01"/>
    <n v="1.6420000000000001E-2"/>
    <n v="1.6420000000000001E-2"/>
    <n v="2407.5003999999999"/>
    <m/>
    <n v="1.6420000000000001E-2"/>
    <n v="1.6420000000000001E-2"/>
    <m/>
    <m/>
    <m/>
    <m/>
    <m/>
    <m/>
    <m/>
    <m/>
    <m/>
    <m/>
    <m/>
    <m/>
    <m/>
    <n v="302"/>
    <n v="1.6420000000000001E-2"/>
    <n v="1.6420000000000001E-2"/>
    <s v="ACCESS OF YOUNG TO SEXUAL AND REPRODUCTIVE HEALTH &amp; GENDER"/>
    <s v="Access of Young to Sexual and Reproductive Health &amp; Gender"/>
    <x v="0"/>
    <n v="13020"/>
    <x v="0"/>
  </r>
  <r>
    <x v="0"/>
    <n v="974"/>
    <s v="UNFPA"/>
    <x v="0"/>
    <x v="0"/>
    <n v="1"/>
    <s v="UNFPA"/>
    <n v="2011102108"/>
    <s v="KAZ3R51A"/>
    <n v="1"/>
    <n v="613"/>
    <s v="Kazakhstan"/>
    <m/>
    <m/>
    <n v="10019"/>
    <s v="UMICs"/>
    <n v="11"/>
    <s v="ODA Grants"/>
    <n v="4"/>
    <n v="10"/>
    <n v="110"/>
    <s v="C01"/>
    <n v="3.671E-2"/>
    <n v="3.671E-2"/>
    <n v="5382.4202000000005"/>
    <m/>
    <n v="3.671E-2"/>
    <n v="3.671E-2"/>
    <m/>
    <m/>
    <m/>
    <m/>
    <m/>
    <m/>
    <m/>
    <m/>
    <m/>
    <m/>
    <m/>
    <m/>
    <m/>
    <n v="302"/>
    <n v="3.671E-2"/>
    <n v="3.671E-2"/>
    <s v="ACCESS OF YOUNG TO SEXUAL AND REPRODUCTIVE HEALTH &amp; GENDER"/>
    <s v="Access of Young to Sexual and Reproductive Health &amp; Gender"/>
    <x v="0"/>
    <n v="13020"/>
    <x v="0"/>
  </r>
  <r>
    <x v="0"/>
    <n v="974"/>
    <s v="UNFPA"/>
    <x v="0"/>
    <x v="0"/>
    <n v="1"/>
    <s v="UNFPA"/>
    <n v="2011102107"/>
    <s v="KAZ3R41A"/>
    <n v="1"/>
    <n v="613"/>
    <s v="Kazakhstan"/>
    <m/>
    <m/>
    <n v="10019"/>
    <s v="UMICs"/>
    <n v="11"/>
    <s v="ODA Grants"/>
    <n v="4"/>
    <n v="10"/>
    <n v="110"/>
    <s v="C01"/>
    <n v="1.8329999999999898E-2"/>
    <n v="1.8329999999999898E-2"/>
    <n v="2687.5445999999852"/>
    <m/>
    <n v="1.8329999999999898E-2"/>
    <n v="1.8329999999999898E-2"/>
    <m/>
    <m/>
    <m/>
    <m/>
    <m/>
    <m/>
    <m/>
    <m/>
    <m/>
    <m/>
    <m/>
    <m/>
    <m/>
    <n v="302"/>
    <n v="1.8329999999999898E-2"/>
    <n v="1.8329999999999898E-2"/>
    <s v="ACCESS OF YOUNG TO SEXUAL AND REPRODUCTIVE HEALTH &amp; GENDER"/>
    <s v="Access of Young to Sexual and Reproductive Health &amp; Gender"/>
    <x v="0"/>
    <n v="13020"/>
    <x v="0"/>
  </r>
  <r>
    <x v="0"/>
    <n v="974"/>
    <s v="UNFPA"/>
    <x v="0"/>
    <x v="0"/>
    <n v="1"/>
    <s v="UNFPA"/>
    <n v="2011102106"/>
    <s v="KAZ3R31A"/>
    <n v="1"/>
    <n v="613"/>
    <s v="Kazakhstan"/>
    <m/>
    <m/>
    <n v="10019"/>
    <s v="UMICs"/>
    <n v="11"/>
    <s v="ODA Grants"/>
    <n v="4"/>
    <n v="10"/>
    <n v="110"/>
    <s v="C01"/>
    <n v="5.8869999999999902E-2"/>
    <n v="5.8869999999999902E-2"/>
    <n v="8631.5193999999865"/>
    <m/>
    <n v="5.8869999999999902E-2"/>
    <n v="5.8869999999999902E-2"/>
    <m/>
    <m/>
    <m/>
    <m/>
    <m/>
    <m/>
    <m/>
    <m/>
    <m/>
    <m/>
    <m/>
    <m/>
    <m/>
    <n v="302"/>
    <n v="5.8869999999999902E-2"/>
    <n v="5.8869999999999902E-2"/>
    <s v="ACCESS OF YOUNG TO SEXUAL AND REPRODUCTIVE HEALTH &amp; GENDER"/>
    <s v="Access of Young to Sexual and Reproductive Health &amp; Gender"/>
    <x v="0"/>
    <n v="13020"/>
    <x v="0"/>
  </r>
  <r>
    <x v="0"/>
    <n v="974"/>
    <s v="UNFPA"/>
    <x v="0"/>
    <x v="0"/>
    <n v="1"/>
    <s v="UNFPA"/>
    <n v="2011102105"/>
    <s v="KAZ3R21A"/>
    <n v="1"/>
    <n v="613"/>
    <s v="Kazakhstan"/>
    <m/>
    <m/>
    <n v="10019"/>
    <s v="UMICs"/>
    <n v="11"/>
    <s v="ODA Grants"/>
    <n v="4"/>
    <n v="10"/>
    <n v="110"/>
    <s v="C01"/>
    <n v="9.1249999999999901E-2"/>
    <n v="9.1249999999999901E-2"/>
    <n v="13379.074999999986"/>
    <m/>
    <n v="9.1249999999999901E-2"/>
    <n v="9.1249999999999901E-2"/>
    <m/>
    <m/>
    <m/>
    <m/>
    <m/>
    <m/>
    <m/>
    <m/>
    <m/>
    <m/>
    <m/>
    <m/>
    <m/>
    <n v="302"/>
    <n v="9.1249999999999901E-2"/>
    <n v="9.1249999999999901E-2"/>
    <s v="ACCESS OF YOUNG TO SEXUAL AND REPRODUCTIVE HEALTH &amp; GENDER"/>
    <s v="Access of Young to Sexual and Reproductive Health &amp; Gender"/>
    <x v="0"/>
    <n v="13020"/>
    <x v="0"/>
  </r>
  <r>
    <x v="0"/>
    <n v="974"/>
    <s v="UNFPA"/>
    <x v="0"/>
    <x v="0"/>
    <n v="1"/>
    <s v="UNFPA"/>
    <n v="2011102104"/>
    <s v="KAZ3P41A"/>
    <n v="1"/>
    <n v="613"/>
    <s v="Kazakhstan"/>
    <m/>
    <m/>
    <n v="10019"/>
    <s v="UMICs"/>
    <n v="11"/>
    <s v="ODA Grants"/>
    <n v="4"/>
    <n v="10"/>
    <n v="110"/>
    <s v="C01"/>
    <n v="3.4950000000000002E-2"/>
    <n v="3.4950000000000002E-2"/>
    <n v="5124.3690000000006"/>
    <m/>
    <n v="3.4950000000000002E-2"/>
    <n v="3.4950000000000002E-2"/>
    <m/>
    <m/>
    <m/>
    <m/>
    <m/>
    <m/>
    <m/>
    <m/>
    <m/>
    <m/>
    <m/>
    <m/>
    <m/>
    <n v="302"/>
    <n v="3.4950000000000002E-2"/>
    <n v="3.4950000000000002E-2"/>
    <s v="ACCESS OF YOUNG TO SEXUAL AND REPRODUCTIVE HEALTH &amp; GENDER"/>
    <s v="Access of Young to Sexual and Reproductive Health &amp; Gender"/>
    <x v="0"/>
    <n v="13020"/>
    <x v="0"/>
  </r>
  <r>
    <x v="0"/>
    <n v="974"/>
    <s v="UNFPA"/>
    <x v="0"/>
    <x v="0"/>
    <n v="1"/>
    <s v="UNFPA"/>
    <n v="2011102103"/>
    <s v="KAZ3P31A"/>
    <n v="1"/>
    <n v="613"/>
    <s v="Kazakhstan"/>
    <m/>
    <m/>
    <n v="10019"/>
    <s v="UMICs"/>
    <n v="11"/>
    <s v="ODA Grants"/>
    <n v="4"/>
    <n v="10"/>
    <n v="110"/>
    <s v="C01"/>
    <n v="0.11953999999999999"/>
    <n v="0.11953999999999999"/>
    <n v="17526.9548"/>
    <m/>
    <n v="0.11953999999999999"/>
    <n v="0.11953999999999999"/>
    <m/>
    <m/>
    <m/>
    <m/>
    <m/>
    <m/>
    <m/>
    <m/>
    <m/>
    <m/>
    <m/>
    <m/>
    <m/>
    <n v="302"/>
    <n v="0.11953999999999999"/>
    <n v="0.11953999999999999"/>
    <s v="ACCESS OF YOUNG TO SEXUAL AND REPRODUCTIVE HEALTH &amp; GENDER"/>
    <s v="Access of Young to Sexual and Reproductive Health &amp; Gender"/>
    <x v="0"/>
    <n v="13020"/>
    <x v="0"/>
  </r>
  <r>
    <x v="1"/>
    <n v="974"/>
    <s v="UNFPA"/>
    <x v="0"/>
    <x v="0"/>
    <n v="1"/>
    <s v="UNFPA"/>
    <n v="2010102078"/>
    <s v="KAZ3R51A"/>
    <n v="1"/>
    <n v="613"/>
    <s v="Kazakhstan"/>
    <m/>
    <m/>
    <n v="10019"/>
    <s v="UMICs"/>
    <n v="11"/>
    <s v="ODA Grants"/>
    <n v="4"/>
    <n v="10"/>
    <n v="110"/>
    <s v="C01"/>
    <n v="4.8430000000000001E-2"/>
    <n v="4.8430000000000001E-2"/>
    <n v="7136.6448000000009"/>
    <n v="0"/>
    <n v="5.1592946333396401E-2"/>
    <n v="5.1592946333396401E-2"/>
    <n v="0"/>
    <m/>
    <m/>
    <m/>
    <m/>
    <m/>
    <m/>
    <m/>
    <m/>
    <m/>
    <m/>
    <m/>
    <m/>
    <n v="302"/>
    <n v="4.8430000000000001E-2"/>
    <n v="4.8430000000000001E-2"/>
    <s v="ACCESS OF YOUNG TO SEXUAL AND REPRODUCTIVE HEALTH &amp; GENDER"/>
    <s v="Access of Young to Sexual and Reproductive Health &amp; Gender"/>
    <x v="0"/>
    <n v="13020"/>
    <x v="0"/>
  </r>
  <r>
    <x v="1"/>
    <n v="974"/>
    <s v="UNFPA"/>
    <x v="0"/>
    <x v="0"/>
    <n v="1"/>
    <s v="UNFPA"/>
    <n v="2010102076"/>
    <s v="KAZ3R21A"/>
    <n v="1"/>
    <n v="613"/>
    <s v="Kazakhstan"/>
    <m/>
    <m/>
    <n v="10019"/>
    <s v="UMICs"/>
    <n v="11"/>
    <s v="ODA Grants"/>
    <n v="4"/>
    <n v="10"/>
    <n v="110"/>
    <s v="C01"/>
    <n v="6.1199999999999997E-2"/>
    <n v="6.1199999999999997E-2"/>
    <n v="9018.4320000000007"/>
    <n v="0"/>
    <n v="6.5196950559650302E-2"/>
    <n v="6.5196950559650302E-2"/>
    <n v="0"/>
    <m/>
    <m/>
    <m/>
    <m/>
    <m/>
    <m/>
    <m/>
    <m/>
    <m/>
    <m/>
    <m/>
    <m/>
    <n v="302"/>
    <n v="6.1199999999999997E-2"/>
    <n v="6.1199999999999997E-2"/>
    <s v="ACCESS TO REPRODUCTIVE HEALTH SERVICES INCREASED"/>
    <s v="Access to Reproductive Health Services Increased"/>
    <x v="0"/>
    <n v="13020"/>
    <x v="0"/>
  </r>
  <r>
    <x v="1"/>
    <n v="974"/>
    <s v="UNFPA"/>
    <x v="0"/>
    <x v="0"/>
    <n v="1"/>
    <s v="UNFPA"/>
    <n v="2010102071"/>
    <s v="KAZ2R21A"/>
    <n v="3"/>
    <n v="613"/>
    <s v="Kazakhstan"/>
    <m/>
    <m/>
    <n v="10019"/>
    <s v="UMICs"/>
    <n v="11"/>
    <s v="ODA Grants"/>
    <n v="4"/>
    <n v="10"/>
    <n v="110"/>
    <s v="C01"/>
    <n v="0"/>
    <m/>
    <n v="0"/>
    <n v="3.0000000000000001E-6"/>
    <n v="0"/>
    <m/>
    <n v="3.1959289490024598E-6"/>
    <m/>
    <m/>
    <m/>
    <m/>
    <m/>
    <m/>
    <m/>
    <m/>
    <m/>
    <m/>
    <m/>
    <m/>
    <n v="302"/>
    <n v="0"/>
    <m/>
    <s v="ACCESS TO REPRODUCTIVE HEALTH SERVICES INCREASED"/>
    <s v="Access to Reproductive Health Services Increased"/>
    <x v="0"/>
    <n v="13020"/>
    <x v="0"/>
  </r>
  <r>
    <x v="1"/>
    <n v="974"/>
    <s v="UNFPA"/>
    <x v="0"/>
    <x v="0"/>
    <n v="1"/>
    <s v="UNFPA"/>
    <n v="2010102073"/>
    <s v="KAZ3G41A"/>
    <n v="1"/>
    <n v="613"/>
    <s v="Kazakhstan"/>
    <m/>
    <m/>
    <n v="10019"/>
    <s v="UMICs"/>
    <n v="11"/>
    <s v="ODA Grants"/>
    <n v="4"/>
    <n v="10"/>
    <n v="110"/>
    <s v="C01"/>
    <n v="4.5599999999999903E-3"/>
    <n v="4.5599999999999903E-3"/>
    <n v="671.96159999999861"/>
    <n v="0"/>
    <n v="4.8578120024837402E-3"/>
    <n v="4.8578120024837402E-3"/>
    <n v="0"/>
    <m/>
    <m/>
    <m/>
    <m/>
    <m/>
    <m/>
    <m/>
    <m/>
    <m/>
    <m/>
    <m/>
    <m/>
    <n v="302"/>
    <n v="4.5599999999999903E-3"/>
    <n v="4.5599999999999903E-3"/>
    <s v="DEMAND FOR HIV &amp; SEXUALLY TRANSMITTED INFECTION SERVICES"/>
    <s v="Demand for HIV &amp; Sexually Transmitted Infection Services"/>
    <x v="1"/>
    <n v="13040"/>
    <x v="1"/>
  </r>
  <r>
    <x v="1"/>
    <n v="974"/>
    <s v="UNFPA"/>
    <x v="0"/>
    <x v="0"/>
    <n v="1"/>
    <s v="UNFPA"/>
    <n v="2010102077"/>
    <s v="KAZ3R31A"/>
    <n v="1"/>
    <n v="613"/>
    <s v="Kazakhstan"/>
    <m/>
    <m/>
    <n v="10019"/>
    <s v="UMICs"/>
    <n v="11"/>
    <s v="ODA Grants"/>
    <n v="4"/>
    <n v="10"/>
    <n v="110"/>
    <s v="C01"/>
    <n v="1.5959999999999998E-2"/>
    <n v="1.5959999999999998E-2"/>
    <n v="2351.8656000000001"/>
    <n v="0"/>
    <n v="1.7002342008693098E-2"/>
    <n v="1.7002342008693098E-2"/>
    <n v="0"/>
    <m/>
    <m/>
    <m/>
    <m/>
    <m/>
    <m/>
    <m/>
    <m/>
    <m/>
    <m/>
    <m/>
    <m/>
    <n v="302"/>
    <n v="1.5959999999999998E-2"/>
    <n v="1.5959999999999998E-2"/>
    <s v="DEMAND FOR REPRODUCTIVE HEALTH STRENGTHENED"/>
    <s v="Demand for Reproductive Health Strengthened"/>
    <x v="0"/>
    <n v="13020"/>
    <x v="0"/>
  </r>
  <r>
    <x v="1"/>
    <n v="974"/>
    <s v="UNFPA"/>
    <x v="0"/>
    <x v="0"/>
    <n v="1"/>
    <s v="UNFPA"/>
    <n v="2010102075"/>
    <s v="KAZ3P41A"/>
    <n v="1"/>
    <n v="613"/>
    <s v="Kazakhstan"/>
    <m/>
    <m/>
    <n v="10019"/>
    <s v="UMICs"/>
    <n v="11"/>
    <s v="ODA Grants"/>
    <n v="4"/>
    <n v="10"/>
    <n v="110"/>
    <s v="C01"/>
    <n v="4.2939999999999902E-2"/>
    <n v="4.2939999999999902E-2"/>
    <n v="6327.6383999999862"/>
    <n v="0"/>
    <n v="4.5744396356721902E-2"/>
    <n v="4.5744396356721902E-2"/>
    <n v="0"/>
    <m/>
    <m/>
    <m/>
    <m/>
    <m/>
    <m/>
    <m/>
    <m/>
    <m/>
    <m/>
    <m/>
    <m/>
    <n v="302"/>
    <n v="4.2939999999999902E-2"/>
    <n v="4.2939999999999902E-2"/>
    <s v="EMERGING POPULATION ISSUES IN DEVELOPMENT"/>
    <s v="Emerging Population Issues in Development"/>
    <x v="2"/>
    <n v="13010"/>
    <x v="2"/>
  </r>
  <r>
    <x v="0"/>
    <n v="974"/>
    <s v="UNFPA"/>
    <x v="0"/>
    <x v="0"/>
    <n v="1"/>
    <s v="UNFPA"/>
    <n v="2011102101"/>
    <s v="KAZ3A11A"/>
    <n v="1"/>
    <n v="613"/>
    <s v="Kazakhstan"/>
    <m/>
    <m/>
    <n v="10019"/>
    <s v="UMICs"/>
    <n v="11"/>
    <s v="ODA Grants"/>
    <n v="4"/>
    <n v="10"/>
    <n v="110"/>
    <s v="C01"/>
    <n v="2.826E-2"/>
    <n v="2.826E-2"/>
    <n v="4143.4812000000002"/>
    <m/>
    <n v="2.826E-2"/>
    <n v="2.826E-2"/>
    <m/>
    <m/>
    <m/>
    <m/>
    <m/>
    <m/>
    <m/>
    <m/>
    <m/>
    <m/>
    <m/>
    <m/>
    <m/>
    <n v="302"/>
    <n v="2.826E-2"/>
    <n v="2.826E-2"/>
    <s v="MANAGEMENT AND COORDINATION"/>
    <s v="Management and Coordination"/>
    <x v="2"/>
    <n v="13010"/>
    <x v="2"/>
  </r>
  <r>
    <x v="1"/>
    <n v="974"/>
    <s v="UNFPA"/>
    <x v="0"/>
    <x v="0"/>
    <n v="1"/>
    <s v="UNFPA"/>
    <n v="2010102072"/>
    <s v="KAZ3A11A"/>
    <n v="1"/>
    <n v="613"/>
    <s v="Kazakhstan"/>
    <m/>
    <m/>
    <n v="10019"/>
    <s v="UMICs"/>
    <n v="11"/>
    <s v="ODA Grants"/>
    <n v="4"/>
    <n v="10"/>
    <n v="110"/>
    <s v="C01"/>
    <n v="2.4489999999999901E-2"/>
    <n v="2.4489999999999901E-2"/>
    <n v="3608.8463999999858"/>
    <n v="0"/>
    <n v="2.6089433320356702E-2"/>
    <n v="2.6089433320356702E-2"/>
    <n v="0"/>
    <m/>
    <m/>
    <m/>
    <m/>
    <m/>
    <m/>
    <m/>
    <m/>
    <m/>
    <m/>
    <m/>
    <m/>
    <n v="302"/>
    <n v="2.4489999999999901E-2"/>
    <n v="2.4489999999999901E-2"/>
    <s v="MANAGEMENT AND COORDINATION"/>
    <s v="Management and Coordination"/>
    <x v="2"/>
    <n v="13010"/>
    <x v="2"/>
  </r>
  <r>
    <x v="1"/>
    <n v="974"/>
    <s v="UNFPA"/>
    <x v="0"/>
    <x v="0"/>
    <n v="1"/>
    <s v="UNFPA"/>
    <n v="2010102074"/>
    <s v="KAZ3P31A"/>
    <n v="1"/>
    <n v="613"/>
    <s v="Kazakhstan"/>
    <m/>
    <m/>
    <n v="10019"/>
    <s v="UMICs"/>
    <n v="11"/>
    <s v="ODA Grants"/>
    <n v="4"/>
    <n v="10"/>
    <n v="110"/>
    <s v="C01"/>
    <n v="8.84599999999999E-2"/>
    <n v="8.84599999999999E-2"/>
    <n v="13035.465599999987"/>
    <n v="0"/>
    <n v="9.4237291609585994E-2"/>
    <n v="9.4237291609585994E-2"/>
    <n v="0"/>
    <m/>
    <m/>
    <m/>
    <m/>
    <m/>
    <m/>
    <m/>
    <m/>
    <m/>
    <m/>
    <m/>
    <m/>
    <n v="302"/>
    <n v="8.84599999999999E-2"/>
    <n v="8.84599999999999E-2"/>
    <s v="POPULATION, GENDER AND SEXUAL AND REPRODUCTIVE HEALTH DATA FOR DEVELOPMENT"/>
    <s v="Population, Gender and Sexual and Reproductive Health Data for Development"/>
    <x v="2"/>
    <n v="13010"/>
    <x v="2"/>
  </r>
  <r>
    <x v="2"/>
    <n v="974"/>
    <s v="UNFPA"/>
    <x v="0"/>
    <x v="0"/>
    <n v="1"/>
    <s v="UNFPA"/>
    <n v="2012001518"/>
    <m/>
    <n v="1"/>
    <n v="613"/>
    <s v="Kazakhstan"/>
    <m/>
    <m/>
    <n v="10019"/>
    <s v="UMICs"/>
    <n v="11"/>
    <s v="ODA Grants"/>
    <n v="4"/>
    <n v="10"/>
    <n v="110"/>
    <s v="C01"/>
    <n v="2.1000000000000001E-2"/>
    <n v="2.1000000000000001E-2"/>
    <n v="3131.3100000000004"/>
    <n v="0"/>
    <n v="2.1463623058141298E-2"/>
    <n v="2.1463623058141298E-2"/>
    <n v="0"/>
    <m/>
    <m/>
    <m/>
    <m/>
    <m/>
    <m/>
    <m/>
    <m/>
    <m/>
    <m/>
    <m/>
    <m/>
    <n v="302"/>
    <n v="2.1000000000000001E-2"/>
    <n v="2.1000000000000001E-2"/>
    <s v="SECTORS NOT SPECIFIED"/>
    <m/>
    <x v="2"/>
    <n v="13010"/>
    <x v="2"/>
  </r>
  <r>
    <x v="2"/>
    <n v="974"/>
    <s v="UNFPA"/>
    <x v="0"/>
    <x v="0"/>
    <n v="1"/>
    <s v="UNFPA"/>
    <n v="2012002405"/>
    <m/>
    <n v="1"/>
    <n v="613"/>
    <s v="Kazakhstan"/>
    <m/>
    <m/>
    <n v="10019"/>
    <s v="UMICs"/>
    <n v="11"/>
    <s v="ODA Grants"/>
    <n v="4"/>
    <n v="10"/>
    <n v="110"/>
    <s v="C01"/>
    <n v="9.8066999999999904E-2"/>
    <n v="9.8066999999999904E-2"/>
    <n v="14622.770369999987"/>
    <n v="0"/>
    <n v="0.100232053449654"/>
    <n v="0.100232053449654"/>
    <n v="0"/>
    <m/>
    <m/>
    <m/>
    <m/>
    <m/>
    <m/>
    <m/>
    <m/>
    <m/>
    <m/>
    <m/>
    <m/>
    <n v="302"/>
    <n v="9.8066999999999904E-2"/>
    <n v="9.8066999999999904E-2"/>
    <s v="UN POPULATION FUND - DATA"/>
    <s v="UN POPULATION FUND - Data"/>
    <x v="2"/>
    <n v="13010"/>
    <x v="2"/>
  </r>
  <r>
    <x v="2"/>
    <n v="974"/>
    <s v="UNFPA"/>
    <x v="0"/>
    <x v="0"/>
    <n v="1"/>
    <s v="UNFPA"/>
    <n v="2012002126"/>
    <m/>
    <n v="1"/>
    <n v="613"/>
    <s v="Kazakhstan"/>
    <m/>
    <m/>
    <n v="10019"/>
    <s v="UMICs"/>
    <n v="11"/>
    <s v="ODA Grants"/>
    <n v="4"/>
    <n v="10"/>
    <n v="110"/>
    <s v="C01"/>
    <n v="6.0326999999999902E-2"/>
    <n v="6.0326999999999902E-2"/>
    <n v="8995.3589699999848"/>
    <n v="0"/>
    <n v="6.1658856582308998E-2"/>
    <n v="6.1658856582308998E-2"/>
    <n v="0"/>
    <m/>
    <m/>
    <m/>
    <m/>
    <m/>
    <m/>
    <m/>
    <m/>
    <m/>
    <m/>
    <m/>
    <m/>
    <n v="302"/>
    <n v="6.0326999999999902E-2"/>
    <n v="6.0326999999999902E-2"/>
    <s v="UN POPULATION FUND - FAMILY PLANNING"/>
    <s v="UN POPULATION FUND - Family Planning"/>
    <x v="0"/>
    <n v="13030"/>
    <x v="0"/>
  </r>
  <r>
    <x v="2"/>
    <n v="974"/>
    <s v="UNFPA"/>
    <x v="0"/>
    <x v="0"/>
    <n v="1"/>
    <s v="UNFPA"/>
    <n v="2012001221"/>
    <m/>
    <n v="1"/>
    <n v="613"/>
    <s v="Kazakhstan"/>
    <m/>
    <m/>
    <n v="10019"/>
    <s v="UMICs"/>
    <n v="11"/>
    <s v="ODA Grants"/>
    <n v="4"/>
    <n v="10"/>
    <n v="110"/>
    <s v="C01"/>
    <n v="1.03889999999999E-2"/>
    <n v="1.03889999999999E-2"/>
    <n v="1549.1037899999853"/>
    <n v="0"/>
    <n v="1.0618360950049E-2"/>
    <n v="1.0618360950049E-2"/>
    <n v="0"/>
    <m/>
    <m/>
    <m/>
    <m/>
    <m/>
    <m/>
    <m/>
    <m/>
    <m/>
    <m/>
    <m/>
    <m/>
    <n v="302"/>
    <n v="1.03889999999999E-2"/>
    <n v="1.03889999999999E-2"/>
    <s v="UN POPULATION FUND - GENDER EQUALITY &amp; RR"/>
    <s v="UN POPULATION FUND - Gender Equality &amp; RR"/>
    <x v="2"/>
    <n v="13010"/>
    <x v="2"/>
  </r>
  <r>
    <x v="2"/>
    <n v="974"/>
    <s v="UNFPA"/>
    <x v="0"/>
    <x v="0"/>
    <n v="1"/>
    <s v="UNFPA"/>
    <n v="2012001740"/>
    <m/>
    <n v="1"/>
    <n v="613"/>
    <s v="Kazakhstan"/>
    <m/>
    <m/>
    <n v="10019"/>
    <s v="UMICs"/>
    <n v="11"/>
    <s v="ODA Grants"/>
    <n v="4"/>
    <n v="10"/>
    <n v="110"/>
    <s v="C01"/>
    <n v="3.2561E-2"/>
    <n v="3.2561E-2"/>
    <n v="4855.1707100000003"/>
    <n v="0"/>
    <n v="3.3279858590292297E-2"/>
    <n v="3.3279858590292297E-2"/>
    <n v="0"/>
    <m/>
    <m/>
    <m/>
    <m/>
    <m/>
    <m/>
    <m/>
    <m/>
    <m/>
    <m/>
    <m/>
    <m/>
    <n v="302"/>
    <n v="3.2561E-2"/>
    <n v="3.2561E-2"/>
    <s v="UN POPULATION FUND - HIV &amp; STI PREVENTION"/>
    <s v="UN POPULATION FUND - HIV &amp; STI Prevention"/>
    <x v="1"/>
    <n v="13040"/>
    <x v="1"/>
  </r>
  <r>
    <x v="2"/>
    <n v="974"/>
    <s v="UNFPA"/>
    <x v="0"/>
    <x v="0"/>
    <n v="1"/>
    <s v="UNFPA"/>
    <n v="2012001990"/>
    <m/>
    <n v="1"/>
    <n v="613"/>
    <s v="Kazakhstan"/>
    <m/>
    <m/>
    <n v="10019"/>
    <s v="UMICs"/>
    <n v="11"/>
    <s v="ODA Grants"/>
    <n v="4"/>
    <n v="10"/>
    <n v="110"/>
    <s v="C01"/>
    <n v="4.83079999999999E-2"/>
    <n v="4.83079999999999E-2"/>
    <n v="7203.205879999985"/>
    <n v="0"/>
    <n v="4.93745096520328E-2"/>
    <n v="4.93745096520328E-2"/>
    <n v="0"/>
    <m/>
    <m/>
    <m/>
    <m/>
    <m/>
    <m/>
    <m/>
    <m/>
    <m/>
    <m/>
    <m/>
    <m/>
    <n v="302"/>
    <n v="4.83079999999999E-2"/>
    <n v="4.83079999999999E-2"/>
    <s v="UN POPULATION FUND - MATERNAL &amp; NEWBORN HEALTH"/>
    <s v="UN POPULATION FUND - Maternal &amp; Newborn Health"/>
    <x v="0"/>
    <n v="13020"/>
    <x v="0"/>
  </r>
  <r>
    <x v="2"/>
    <n v="974"/>
    <s v="UNFPA"/>
    <x v="0"/>
    <x v="0"/>
    <n v="1"/>
    <s v="UNFPA"/>
    <n v="2012001963"/>
    <m/>
    <n v="1"/>
    <n v="613"/>
    <s v="Kazakhstan"/>
    <m/>
    <m/>
    <n v="10019"/>
    <s v="UMICs"/>
    <n v="11"/>
    <s v="ODA Grants"/>
    <n v="4"/>
    <n v="10"/>
    <n v="110"/>
    <s v="C01"/>
    <n v="4.6587999999999997E-2"/>
    <n v="4.6587999999999997E-2"/>
    <n v="6946.73668"/>
    <n v="0"/>
    <n v="4.7616536715842199E-2"/>
    <n v="4.7616536715842199E-2"/>
    <n v="0"/>
    <m/>
    <m/>
    <m/>
    <m/>
    <m/>
    <m/>
    <m/>
    <m/>
    <m/>
    <m/>
    <m/>
    <m/>
    <n v="302"/>
    <n v="4.6587999999999997E-2"/>
    <n v="4.6587999999999997E-2"/>
    <s v="UN POPULATION FUND - PROGRAMME COORDN AND ASSIST"/>
    <s v="UN POPULATION FUND - Programme Coordn and Assist"/>
    <x v="2"/>
    <n v="13010"/>
    <x v="2"/>
  </r>
  <r>
    <x v="2"/>
    <n v="974"/>
    <s v="UNFPA"/>
    <x v="0"/>
    <x v="0"/>
    <n v="1"/>
    <s v="UNFPA"/>
    <n v="2012002467"/>
    <m/>
    <n v="1"/>
    <n v="613"/>
    <s v="Kazakhstan"/>
    <m/>
    <m/>
    <n v="10019"/>
    <s v="UMICs"/>
    <n v="11"/>
    <s v="ODA Grants"/>
    <n v="4"/>
    <n v="10"/>
    <n v="110"/>
    <s v="C01"/>
    <n v="0.10902199999999999"/>
    <n v="0.10902199999999999"/>
    <n v="16256.270420000001"/>
    <n v="0"/>
    <n v="0.111428910144984"/>
    <n v="0.111428910144984"/>
    <n v="0"/>
    <m/>
    <m/>
    <m/>
    <m/>
    <m/>
    <m/>
    <m/>
    <m/>
    <m/>
    <m/>
    <m/>
    <m/>
    <n v="302"/>
    <n v="0.10902199999999999"/>
    <n v="0.10902199999999999"/>
    <s v="UN POPULATION FUND - YOUNG PEOPLE'S SRH"/>
    <s v="UN POPULATION FUND - Young People's SRH"/>
    <x v="2"/>
    <n v="13010"/>
    <x v="2"/>
  </r>
  <r>
    <x v="0"/>
    <n v="302"/>
    <s v="United States"/>
    <x v="1"/>
    <x v="1"/>
    <n v="14"/>
    <s v="HHS"/>
    <n v="2011056109"/>
    <s v="34_920"/>
    <n v="1"/>
    <n v="613"/>
    <s v="Kazakhstan"/>
    <m/>
    <m/>
    <n v="10019"/>
    <s v="UMICs"/>
    <n v="11"/>
    <s v="ODA Grants"/>
    <n v="1"/>
    <n v="10"/>
    <n v="110"/>
    <s v="B03"/>
    <n v="0.48058699999999899"/>
    <m/>
    <n v="0"/>
    <m/>
    <n v="0.48058699999999899"/>
    <m/>
    <m/>
    <m/>
    <m/>
    <n v="0.48058699999999899"/>
    <m/>
    <m/>
    <n v="0.48058699999999899"/>
    <m/>
    <m/>
    <m/>
    <m/>
    <m/>
    <m/>
    <n v="302"/>
    <n v="0.48058699999999899"/>
    <m/>
    <s v="CDC: POLIO ERADICATION THROUGH UNICEF."/>
    <s v="CDC: Polio Eradication through UNICEF."/>
    <x v="1"/>
    <n v="12250"/>
    <x v="3"/>
  </r>
  <r>
    <x v="1"/>
    <n v="302"/>
    <s v="United States"/>
    <x v="1"/>
    <x v="1"/>
    <n v="14"/>
    <s v="HHS"/>
    <n v="2010050395"/>
    <s v="CDI00143"/>
    <n v="1"/>
    <n v="613"/>
    <s v="Kazakhstan"/>
    <m/>
    <m/>
    <n v="10019"/>
    <s v="UMICs"/>
    <n v="11"/>
    <s v="ODA Grants"/>
    <n v="1"/>
    <n v="10"/>
    <n v="110"/>
    <s v="B03"/>
    <n v="0.48058699999999899"/>
    <n v="0.48058699999999899"/>
    <n v="70819.300319999849"/>
    <m/>
    <n v="0.49083195376307298"/>
    <n v="0.49083195376307298"/>
    <m/>
    <m/>
    <m/>
    <n v="0.48058699999999899"/>
    <m/>
    <m/>
    <n v="0.49083195376307298"/>
    <m/>
    <m/>
    <m/>
    <m/>
    <m/>
    <m/>
    <n v="302"/>
    <n v="0.48058699999999899"/>
    <n v="0.48058699999999899"/>
    <s v="POLIO ERADICATION THROUGH UNICEF."/>
    <s v="Polio Eradication through UNICEF."/>
    <x v="1"/>
    <n v="12250"/>
    <x v="3"/>
  </r>
  <r>
    <x v="2"/>
    <n v="918"/>
    <s v="EU Institutions"/>
    <x v="1"/>
    <x v="1"/>
    <n v="2"/>
    <s v="EDF"/>
    <n v="2007200071002"/>
    <s v="SCR.CTR.210654.01.1"/>
    <n v="3"/>
    <n v="613"/>
    <s v="Kazakhstan"/>
    <m/>
    <m/>
    <n v="10019"/>
    <s v="UMICs"/>
    <n v="11"/>
    <s v="ODA Grants"/>
    <n v="1"/>
    <n v="10"/>
    <n v="110"/>
    <s v="C01"/>
    <n v="0"/>
    <n v="0.15367480719794299"/>
    <n v="22914.450501285279"/>
    <n v="0"/>
    <n v="0"/>
    <n v="0.16424231369102099"/>
    <n v="0"/>
    <m/>
    <m/>
    <n v="0"/>
    <n v="0"/>
    <n v="0"/>
    <n v="0"/>
    <n v="0"/>
    <n v="0"/>
    <m/>
    <m/>
    <m/>
    <m/>
    <n v="918"/>
    <n v="0"/>
    <n v="0.119559"/>
    <s v="SUPPORT FOR MATERNAL AND CHILD HEALTH IN KAZAKHSTAN"/>
    <m/>
    <x v="0"/>
    <n v="13020"/>
    <x v="0"/>
  </r>
  <r>
    <x v="1"/>
    <n v="918"/>
    <s v="EU Institutions"/>
    <x v="1"/>
    <x v="1"/>
    <n v="2"/>
    <s v="EDF"/>
    <n v="2007200071002"/>
    <s v="SCR.CTR.210654"/>
    <n v="3"/>
    <n v="613"/>
    <s v="Kazakhstan"/>
    <m/>
    <m/>
    <n v="10019"/>
    <s v="UMICs"/>
    <n v="11"/>
    <s v="ODA Grants"/>
    <n v="1"/>
    <n v="10"/>
    <n v="110"/>
    <s v="C01"/>
    <n v="0"/>
    <n v="0.79627417218542995"/>
    <n v="117338.96201324496"/>
    <n v="0"/>
    <n v="0"/>
    <n v="0.84595146208583005"/>
    <n v="0"/>
    <m/>
    <m/>
    <n v="0"/>
    <n v="0"/>
    <n v="0"/>
    <n v="0"/>
    <n v="0"/>
    <n v="0"/>
    <n v="0"/>
    <n v="0"/>
    <m/>
    <n v="0"/>
    <n v="918"/>
    <n v="0"/>
    <n v="0.60118700000000003"/>
    <s v="SUPPORT FOR MATERNAL AND CHILD HEALTH IN KAZAKHSTAN"/>
    <s v="Support for Maternal and Child Health in Kazakhstan"/>
    <x v="0"/>
    <n v="13020"/>
    <x v="0"/>
  </r>
  <r>
    <x v="1"/>
    <n v="302"/>
    <s v="United States"/>
    <x v="1"/>
    <x v="1"/>
    <n v="1"/>
    <s v="AID"/>
    <n v="2010036214"/>
    <s v="UEJ42664"/>
    <n v="1"/>
    <n v="613"/>
    <s v="Kazakhstan"/>
    <m/>
    <m/>
    <n v="10019"/>
    <s v="UMICs"/>
    <n v="11"/>
    <s v="ODA Grants"/>
    <n v="1"/>
    <n v="10"/>
    <n v="110"/>
    <s v="B03"/>
    <n v="2.5000000000000001E-2"/>
    <n v="1.4630000000000001E-3"/>
    <n v="215.58768000000003"/>
    <m/>
    <n v="2.5532939601106201E-2"/>
    <n v="1.4941876254567299E-3"/>
    <m/>
    <m/>
    <m/>
    <n v="2.5000000000000001E-2"/>
    <m/>
    <m/>
    <n v="2.5532939601106201E-2"/>
    <m/>
    <m/>
    <m/>
    <m/>
    <m/>
    <m/>
    <n v="302"/>
    <n v="2.5000000000000001E-2"/>
    <n v="1.4630000000000001E-3"/>
    <s v="MATERNAL AND CHILD HEALTH"/>
    <s v="Maternal and Child Health"/>
    <x v="0"/>
    <n v="13020"/>
    <x v="0"/>
  </r>
  <r>
    <x v="2"/>
    <n v="302"/>
    <s v="United States"/>
    <x v="1"/>
    <x v="1"/>
    <n v="1"/>
    <s v="AID"/>
    <n v="2012038204"/>
    <s v="76_2063548"/>
    <n v="3"/>
    <n v="613"/>
    <s v="Kazakhstan"/>
    <m/>
    <m/>
    <n v="10019"/>
    <s v="UMICs"/>
    <n v="11"/>
    <s v="ODA Grants"/>
    <n v="1"/>
    <n v="10"/>
    <n v="110"/>
    <s v="B03"/>
    <m/>
    <n v="4.1599999999999996E-3"/>
    <n v="620.29759999999999"/>
    <m/>
    <m/>
    <n v="4.0844698607999897E-3"/>
    <m/>
    <m/>
    <m/>
    <m/>
    <m/>
    <m/>
    <m/>
    <m/>
    <m/>
    <m/>
    <m/>
    <m/>
    <m/>
    <n v="302"/>
    <m/>
    <n v="4.1599999999999996E-3"/>
    <s v="MATERNAL AND CHILD HEALTH"/>
    <s v="Maternal and Child Health"/>
    <x v="0"/>
    <n v="13020"/>
    <x v="0"/>
  </r>
  <r>
    <x v="0"/>
    <n v="302"/>
    <s v="United States"/>
    <x v="1"/>
    <x v="1"/>
    <n v="1"/>
    <s v="AID"/>
    <n v="2011021596"/>
    <s v="76_152234"/>
    <n v="3"/>
    <n v="613"/>
    <s v="Kazakhstan"/>
    <m/>
    <m/>
    <n v="10019"/>
    <s v="UMICs"/>
    <n v="11"/>
    <s v="ODA Grants"/>
    <n v="1"/>
    <n v="10"/>
    <n v="110"/>
    <s v="C01"/>
    <m/>
    <n v="1.7527000000000001E-2"/>
    <n v="2569.8087399999999"/>
    <m/>
    <m/>
    <n v="1.7527000000000001E-2"/>
    <m/>
    <m/>
    <m/>
    <m/>
    <m/>
    <m/>
    <m/>
    <m/>
    <m/>
    <m/>
    <m/>
    <m/>
    <m/>
    <n v="302"/>
    <m/>
    <n v="1.7527000000000001E-2"/>
    <s v="MATERNAL AND CHILD HEALTH"/>
    <s v="Maternal and Child Health"/>
    <x v="0"/>
    <n v="13020"/>
    <x v="0"/>
  </r>
  <r>
    <x v="2"/>
    <n v="302"/>
    <s v="United States"/>
    <x v="1"/>
    <x v="1"/>
    <n v="1"/>
    <s v="AID"/>
    <n v="2012020270"/>
    <s v="76_2027634"/>
    <n v="1"/>
    <n v="613"/>
    <s v="Kazakhstan"/>
    <m/>
    <m/>
    <n v="10019"/>
    <s v="UMICs"/>
    <n v="11"/>
    <s v="ODA Grants"/>
    <n v="1"/>
    <n v="10"/>
    <n v="110"/>
    <s v="C01"/>
    <m/>
    <m/>
    <n v="0"/>
    <m/>
    <m/>
    <m/>
    <m/>
    <n v="-1.9999999999999902E-6"/>
    <n v="-1.9636874330769102E-6"/>
    <m/>
    <m/>
    <m/>
    <m/>
    <m/>
    <m/>
    <m/>
    <m/>
    <m/>
    <m/>
    <n v="302"/>
    <m/>
    <m/>
    <s v="ADMINISTRATION AND OVERSIGHT - ASSISTANCE FOR HIV/AIDS"/>
    <s v="Administration and Oversight - Assistance for HIV/AIDS"/>
    <x v="1"/>
    <n v="13040"/>
    <x v="1"/>
  </r>
  <r>
    <x v="2"/>
    <n v="302"/>
    <s v="United States"/>
    <x v="1"/>
    <x v="1"/>
    <n v="1"/>
    <s v="AID"/>
    <n v="2012019977"/>
    <s v="76_2027223"/>
    <n v="3"/>
    <n v="613"/>
    <s v="Kazakhstan"/>
    <m/>
    <m/>
    <n v="10019"/>
    <s v="UMICs"/>
    <n v="11"/>
    <s v="ODA Grants"/>
    <n v="1"/>
    <n v="10"/>
    <n v="110"/>
    <s v="C01"/>
    <m/>
    <n v="1.4E-5"/>
    <n v="2.0875400000000002"/>
    <m/>
    <m/>
    <n v="1.37458120315384E-5"/>
    <m/>
    <n v="-9.6099999999999896E-4"/>
    <n v="-9.4355181159345904E-4"/>
    <m/>
    <m/>
    <m/>
    <m/>
    <m/>
    <m/>
    <m/>
    <m/>
    <m/>
    <m/>
    <n v="302"/>
    <m/>
    <n v="1.4E-5"/>
    <s v="ADMINISTRATION AND OVERSIGHT - ASSISTANCE FOR HIV/AIDS"/>
    <s v="Administration and Oversight - Assistance for HIV/AIDS"/>
    <x v="1"/>
    <n v="13040"/>
    <x v="1"/>
  </r>
  <r>
    <x v="2"/>
    <n v="302"/>
    <s v="United States"/>
    <x v="1"/>
    <x v="1"/>
    <n v="1"/>
    <s v="AID"/>
    <n v="2012019810"/>
    <s v="76_2026971"/>
    <n v="3"/>
    <n v="613"/>
    <s v="Kazakhstan"/>
    <m/>
    <m/>
    <n v="10019"/>
    <s v="UMICs"/>
    <n v="11"/>
    <s v="ODA Grants"/>
    <n v="1"/>
    <n v="10"/>
    <n v="110"/>
    <s v="C01"/>
    <m/>
    <n v="6.29E-4"/>
    <n v="93.79019000000001"/>
    <m/>
    <m/>
    <n v="6.1757969770269005E-4"/>
    <m/>
    <m/>
    <m/>
    <m/>
    <m/>
    <m/>
    <m/>
    <m/>
    <m/>
    <m/>
    <m/>
    <m/>
    <m/>
    <n v="302"/>
    <m/>
    <n v="6.29E-4"/>
    <s v="ADMINISTRATION AND OVERSIGHT - ASSISTANCE FOR HIV/AIDS"/>
    <s v="Administration and Oversight - Assistance for HIV/AIDS"/>
    <x v="1"/>
    <n v="13040"/>
    <x v="1"/>
  </r>
  <r>
    <x v="2"/>
    <n v="302"/>
    <s v="United States"/>
    <x v="1"/>
    <x v="1"/>
    <n v="1"/>
    <s v="AID"/>
    <n v="2012019547"/>
    <s v="76_2026554"/>
    <n v="3"/>
    <n v="613"/>
    <s v="Kazakhstan"/>
    <m/>
    <m/>
    <n v="10019"/>
    <s v="UMICs"/>
    <n v="11"/>
    <s v="ODA Grants"/>
    <n v="1"/>
    <n v="10"/>
    <n v="110"/>
    <s v="C01"/>
    <m/>
    <n v="7.1999999999999893E-5"/>
    <n v="10.735919999999986"/>
    <m/>
    <m/>
    <n v="7.0692747590769001E-5"/>
    <m/>
    <n v="-1.439E-3"/>
    <n v="-1.41287310809884E-3"/>
    <m/>
    <m/>
    <m/>
    <m/>
    <m/>
    <m/>
    <m/>
    <m/>
    <m/>
    <m/>
    <n v="302"/>
    <m/>
    <n v="7.1999999999999893E-5"/>
    <s v="ADMINISTRATION AND OVERSIGHT - ASSISTANCE FOR HIV/AIDS"/>
    <s v="Administration and Oversight - Assistance for HIV/AIDS"/>
    <x v="1"/>
    <n v="13040"/>
    <x v="1"/>
  </r>
  <r>
    <x v="2"/>
    <n v="302"/>
    <s v="United States"/>
    <x v="1"/>
    <x v="1"/>
    <n v="1"/>
    <s v="AID"/>
    <n v="2012020269"/>
    <s v="76_2027633"/>
    <n v="3"/>
    <n v="613"/>
    <s v="Kazakhstan"/>
    <m/>
    <m/>
    <n v="10019"/>
    <s v="UMICs"/>
    <n v="11"/>
    <s v="ODA Grants"/>
    <n v="1"/>
    <n v="10"/>
    <n v="110"/>
    <s v="C01"/>
    <m/>
    <n v="5.0000000000000002E-5"/>
    <n v="7.4555000000000016"/>
    <m/>
    <m/>
    <n v="4.9092185826922897E-5"/>
    <m/>
    <m/>
    <m/>
    <m/>
    <m/>
    <m/>
    <m/>
    <m/>
    <m/>
    <m/>
    <m/>
    <m/>
    <m/>
    <n v="302"/>
    <m/>
    <n v="5.0000000000000002E-5"/>
    <s v="ADMINISTRATION AND OVERSIGHT - ASSISTANCE FOR HIV/AIDS"/>
    <s v="Administration and Oversight - Assistance for HIV/AIDS"/>
    <x v="1"/>
    <n v="13040"/>
    <x v="1"/>
  </r>
  <r>
    <x v="0"/>
    <n v="302"/>
    <s v="United States"/>
    <x v="1"/>
    <x v="1"/>
    <n v="1"/>
    <s v="AID"/>
    <n v="2011002346"/>
    <s v="76_107081"/>
    <n v="1"/>
    <n v="613"/>
    <s v="Kazakhstan"/>
    <m/>
    <m/>
    <n v="10019"/>
    <s v="UMICs"/>
    <n v="11"/>
    <s v="ODA Grants"/>
    <n v="1"/>
    <n v="10"/>
    <n v="110"/>
    <s v="C01"/>
    <n v="6.1319999999999899E-3"/>
    <n v="4.6210000000000001E-3"/>
    <n v="677.53102000000001"/>
    <m/>
    <n v="6.1319999999999899E-3"/>
    <n v="4.6210000000000001E-3"/>
    <m/>
    <m/>
    <m/>
    <n v="6.1319999999999899E-3"/>
    <m/>
    <m/>
    <n v="6.1319999999999899E-3"/>
    <m/>
    <m/>
    <m/>
    <m/>
    <m/>
    <m/>
    <n v="302"/>
    <n v="6.1319999999999899E-3"/>
    <n v="4.6210000000000001E-3"/>
    <s v="ADMINISTRATION AND OVERSIGHT - ASSISTANCE FOR HIV/AIDS - ASSISTANCE FOR HIV/AIDS"/>
    <s v="Administration and Oversight - Assistance for HIV/AIDS - Assistance for HIV/AIDS"/>
    <x v="1"/>
    <n v="13040"/>
    <x v="1"/>
  </r>
  <r>
    <x v="0"/>
    <n v="302"/>
    <s v="United States"/>
    <x v="1"/>
    <x v="1"/>
    <n v="1"/>
    <s v="AID"/>
    <n v="2011003250"/>
    <s v="76_108668"/>
    <n v="1"/>
    <n v="613"/>
    <s v="Kazakhstan"/>
    <m/>
    <m/>
    <n v="10019"/>
    <s v="UMICs"/>
    <n v="11"/>
    <s v="ODA Grants"/>
    <n v="1"/>
    <n v="10"/>
    <n v="110"/>
    <s v="C01"/>
    <n v="9.9499999999999901E-3"/>
    <n v="9.9499999999999901E-3"/>
    <n v="1458.8689999999986"/>
    <m/>
    <n v="9.9499999999999901E-3"/>
    <n v="9.9499999999999901E-3"/>
    <m/>
    <m/>
    <m/>
    <n v="9.9499999999999901E-3"/>
    <m/>
    <m/>
    <n v="9.9499999999999901E-3"/>
    <m/>
    <m/>
    <m/>
    <m/>
    <m/>
    <m/>
    <n v="302"/>
    <n v="9.9499999999999901E-3"/>
    <n v="9.9499999999999901E-3"/>
    <s v="ADMINISTRATION AND OVERSIGHT - ASSISTANCE FOR HIV/AIDS - ASSISTANCE FOR HIV/AIDS"/>
    <s v="Administration and Oversight - Assistance for HIV/AIDS - Assistance for HIV/AIDS"/>
    <x v="1"/>
    <n v="13040"/>
    <x v="1"/>
  </r>
  <r>
    <x v="0"/>
    <n v="302"/>
    <s v="United States"/>
    <x v="1"/>
    <x v="1"/>
    <n v="1"/>
    <s v="AID"/>
    <n v="2011003256"/>
    <s v="76_108670"/>
    <n v="1"/>
    <n v="613"/>
    <s v="Kazakhstan"/>
    <m/>
    <m/>
    <n v="10019"/>
    <s v="UMICs"/>
    <n v="11"/>
    <s v="ODA Grants"/>
    <n v="1"/>
    <n v="10"/>
    <n v="110"/>
    <s v="C01"/>
    <n v="7.7999999999999904E-5"/>
    <n v="7.6000000000000004E-5"/>
    <n v="11.143120000000001"/>
    <m/>
    <n v="7.7999999999999904E-5"/>
    <n v="7.6000000000000004E-5"/>
    <m/>
    <m/>
    <m/>
    <n v="7.7999999999999904E-5"/>
    <m/>
    <m/>
    <n v="7.7999999999999904E-5"/>
    <m/>
    <m/>
    <m/>
    <m/>
    <m/>
    <m/>
    <n v="302"/>
    <n v="7.7999999999999904E-5"/>
    <n v="7.6000000000000004E-5"/>
    <s v="ADMINISTRATION AND OVERSIGHT - ASSISTANCE FOR HIV/AIDS - ASSISTANCE FOR HIV/AIDS"/>
    <s v="Administration and Oversight - Assistance for HIV/AIDS - Assistance for HIV/AIDS"/>
    <x v="1"/>
    <n v="13040"/>
    <x v="1"/>
  </r>
  <r>
    <x v="0"/>
    <n v="302"/>
    <s v="United States"/>
    <x v="1"/>
    <x v="1"/>
    <n v="1"/>
    <s v="AID"/>
    <n v="2011003255"/>
    <s v="76_108669"/>
    <n v="1"/>
    <n v="613"/>
    <s v="Kazakhstan"/>
    <m/>
    <m/>
    <n v="10019"/>
    <s v="UMICs"/>
    <n v="11"/>
    <s v="ODA Grants"/>
    <n v="1"/>
    <n v="10"/>
    <n v="110"/>
    <s v="C01"/>
    <n v="5.0000000000000002E-5"/>
    <m/>
    <n v="0"/>
    <m/>
    <n v="5.0000000000000002E-5"/>
    <m/>
    <m/>
    <m/>
    <m/>
    <n v="5.0000000000000002E-5"/>
    <m/>
    <m/>
    <n v="5.0000000000000002E-5"/>
    <m/>
    <m/>
    <m/>
    <m/>
    <m/>
    <m/>
    <n v="302"/>
    <n v="5.0000000000000002E-5"/>
    <m/>
    <s v="ADMINISTRATION AND OVERSIGHT - ASSISTANCE FOR HIV/AIDS - ASSISTANCE FOR HIV/AIDS"/>
    <s v="Administration and Oversight - Assistance for HIV/AIDS - Assistance for HIV/AIDS"/>
    <x v="1"/>
    <n v="13040"/>
    <x v="1"/>
  </r>
  <r>
    <x v="0"/>
    <n v="302"/>
    <s v="United States"/>
    <x v="1"/>
    <x v="1"/>
    <n v="1"/>
    <s v="AID"/>
    <n v="2011002996"/>
    <s v="76_108206"/>
    <n v="1"/>
    <n v="613"/>
    <s v="Kazakhstan"/>
    <m/>
    <m/>
    <n v="10019"/>
    <s v="UMICs"/>
    <n v="11"/>
    <s v="ODA Grants"/>
    <n v="1"/>
    <n v="10"/>
    <n v="110"/>
    <s v="C01"/>
    <n v="3.1619999999999899E-3"/>
    <n v="2.1869999999999902E-3"/>
    <n v="320.65793999999858"/>
    <m/>
    <n v="3.1619999999999899E-3"/>
    <n v="2.1869999999999902E-3"/>
    <m/>
    <m/>
    <m/>
    <n v="3.1619999999999899E-3"/>
    <m/>
    <m/>
    <n v="3.1619999999999899E-3"/>
    <m/>
    <m/>
    <m/>
    <m/>
    <m/>
    <m/>
    <n v="302"/>
    <n v="3.1619999999999899E-3"/>
    <n v="2.1869999999999902E-3"/>
    <s v="ADMINISTRATION AND OVERSIGHT - ASSISTANCE FOR HIV/AIDS - ASSISTANCE FOR HIV/AIDS"/>
    <s v="Administration and Oversight - Assistance for HIV/AIDS - Assistance for HIV/AIDS"/>
    <x v="1"/>
    <n v="13040"/>
    <x v="1"/>
  </r>
  <r>
    <x v="0"/>
    <n v="302"/>
    <s v="United States"/>
    <x v="1"/>
    <x v="1"/>
    <n v="1"/>
    <s v="AID"/>
    <n v="2011002656"/>
    <s v="76_107666"/>
    <n v="1"/>
    <n v="613"/>
    <s v="Kazakhstan"/>
    <m/>
    <m/>
    <n v="10019"/>
    <s v="UMICs"/>
    <n v="11"/>
    <s v="ODA Grants"/>
    <n v="1"/>
    <n v="10"/>
    <n v="110"/>
    <s v="C01"/>
    <n v="6.29E-4"/>
    <m/>
    <n v="0"/>
    <m/>
    <n v="6.29E-4"/>
    <m/>
    <m/>
    <m/>
    <m/>
    <n v="6.29E-4"/>
    <m/>
    <m/>
    <n v="6.29E-4"/>
    <m/>
    <m/>
    <m/>
    <m/>
    <m/>
    <m/>
    <n v="302"/>
    <n v="6.29E-4"/>
    <m/>
    <s v="ADMINISTRATION AND OVERSIGHT - ASSISTANCE FOR HIV/AIDS - ASSISTANCE FOR HIV/AIDS"/>
    <s v="Administration and Oversight - Assistance for HIV/AIDS - Assistance for HIV/AIDS"/>
    <x v="1"/>
    <n v="13040"/>
    <x v="1"/>
  </r>
  <r>
    <x v="1"/>
    <n v="302"/>
    <s v="United States"/>
    <x v="1"/>
    <x v="1"/>
    <n v="1"/>
    <s v="AID"/>
    <n v="2010016225"/>
    <s v="UEJ16681"/>
    <n v="1"/>
    <n v="613"/>
    <s v="Kazakhstan"/>
    <m/>
    <m/>
    <n v="10019"/>
    <s v="UMICs"/>
    <n v="11"/>
    <s v="ODA Grants"/>
    <n v="1"/>
    <n v="10"/>
    <n v="110"/>
    <s v="C01"/>
    <n v="2.5000000000000001E-5"/>
    <n v="2.5000000000000001E-5"/>
    <n v="3.6840000000000006"/>
    <m/>
    <n v="2.5532939601106198E-5"/>
    <n v="2.5532939601106198E-5"/>
    <m/>
    <m/>
    <m/>
    <n v="2.5000000000000001E-5"/>
    <m/>
    <m/>
    <n v="2.5532939601106198E-5"/>
    <m/>
    <m/>
    <m/>
    <m/>
    <m/>
    <m/>
    <n v="302"/>
    <n v="2.5000000000000001E-5"/>
    <n v="2.5000000000000001E-5"/>
    <s v="ADMINISTRATION AND OVERSIGHT - ASSISTANCE FOR HIV/AIDS - ASSISTANCE FOR HIV/AIDS"/>
    <s v="Administration and Oversight - Assistance for HIV/AIDS - Assistance for HIV/AIDS"/>
    <x v="1"/>
    <n v="13040"/>
    <x v="1"/>
  </r>
  <r>
    <x v="1"/>
    <n v="302"/>
    <s v="United States"/>
    <x v="1"/>
    <x v="1"/>
    <n v="1"/>
    <s v="AID"/>
    <n v="2010016166"/>
    <s v="UEJ16627"/>
    <n v="1"/>
    <n v="613"/>
    <s v="Kazakhstan"/>
    <m/>
    <m/>
    <n v="10019"/>
    <s v="UMICs"/>
    <n v="11"/>
    <s v="ODA Grants"/>
    <n v="1"/>
    <n v="10"/>
    <n v="110"/>
    <s v="D02"/>
    <n v="1.11259999999999E-2"/>
    <n v="1.11259999999999E-2"/>
    <n v="1639.5273599999853"/>
    <m/>
    <n v="1.1363179440076299E-2"/>
    <n v="1.1363179440076299E-2"/>
    <m/>
    <m/>
    <m/>
    <n v="1.11259999999999E-2"/>
    <m/>
    <m/>
    <n v="1.1363179440076299E-2"/>
    <m/>
    <m/>
    <m/>
    <m/>
    <m/>
    <m/>
    <n v="302"/>
    <n v="1.11259999999999E-2"/>
    <n v="1.11259999999999E-2"/>
    <s v="ADMINISTRATION AND OVERSIGHT - ASSISTANCE FOR HIV/AIDS - ASSISTANCE FOR HIV/AIDS"/>
    <s v="Administration and Oversight - Assistance for HIV/AIDS - Assistance for HIV/AIDS"/>
    <x v="1"/>
    <n v="13040"/>
    <x v="1"/>
  </r>
  <r>
    <x v="1"/>
    <n v="302"/>
    <s v="United States"/>
    <x v="1"/>
    <x v="1"/>
    <n v="1"/>
    <s v="AID"/>
    <n v="2010016220"/>
    <s v="UEJ16677"/>
    <n v="1"/>
    <n v="613"/>
    <s v="Kazakhstan"/>
    <m/>
    <m/>
    <n v="10019"/>
    <s v="UMICs"/>
    <n v="11"/>
    <s v="ODA Grants"/>
    <n v="1"/>
    <n v="10"/>
    <n v="110"/>
    <s v="C01"/>
    <n v="7.6E-3"/>
    <n v="7.6E-3"/>
    <n v="1119.9360000000001"/>
    <m/>
    <n v="7.7620136387362903E-3"/>
    <n v="7.7620136387362903E-3"/>
    <m/>
    <m/>
    <m/>
    <n v="7.6E-3"/>
    <m/>
    <m/>
    <n v="7.7620136387362903E-3"/>
    <m/>
    <m/>
    <m/>
    <m/>
    <m/>
    <m/>
    <n v="302"/>
    <n v="7.6E-3"/>
    <n v="7.6E-3"/>
    <s v="ADMINISTRATION AND OVERSIGHT - ASSISTANCE FOR HIV/AIDS - ASSISTANCE FOR HIV/AIDS"/>
    <s v="Administration and Oversight - Assistance for HIV/AIDS - Assistance for HIV/AIDS"/>
    <x v="1"/>
    <n v="13040"/>
    <x v="1"/>
  </r>
  <r>
    <x v="1"/>
    <n v="302"/>
    <s v="United States"/>
    <x v="1"/>
    <x v="1"/>
    <n v="1"/>
    <s v="AID"/>
    <n v="2010016224"/>
    <s v="UEJ16680"/>
    <n v="1"/>
    <n v="613"/>
    <s v="Kazakhstan"/>
    <m/>
    <m/>
    <n v="10019"/>
    <s v="UMICs"/>
    <n v="11"/>
    <s v="ODA Grants"/>
    <n v="1"/>
    <n v="10"/>
    <n v="110"/>
    <s v="C01"/>
    <n v="1.13499999999999E-3"/>
    <n v="1.13499999999999E-3"/>
    <n v="167.25359999999853"/>
    <m/>
    <n v="1.1591954578902199E-3"/>
    <n v="1.1591954578902199E-3"/>
    <m/>
    <m/>
    <m/>
    <n v="1.13499999999999E-3"/>
    <m/>
    <m/>
    <n v="1.1591954578902199E-3"/>
    <m/>
    <m/>
    <m/>
    <m/>
    <m/>
    <m/>
    <n v="302"/>
    <n v="1.13499999999999E-3"/>
    <n v="1.13499999999999E-3"/>
    <s v="ADMINISTRATION AND OVERSIGHT - ASSISTANCE FOR HIV/AIDS - ASSISTANCE FOR HIV/AIDS"/>
    <s v="Administration and Oversight - Assistance for HIV/AIDS - Assistance for HIV/AIDS"/>
    <x v="1"/>
    <n v="13040"/>
    <x v="1"/>
  </r>
  <r>
    <x v="1"/>
    <n v="302"/>
    <s v="United States"/>
    <x v="1"/>
    <x v="1"/>
    <n v="1"/>
    <s v="AID"/>
    <n v="2010016251"/>
    <s v="UEJ16706"/>
    <n v="1"/>
    <n v="613"/>
    <s v="Kazakhstan"/>
    <m/>
    <m/>
    <n v="10019"/>
    <s v="UMICs"/>
    <n v="11"/>
    <s v="ODA Grants"/>
    <n v="1"/>
    <n v="10"/>
    <n v="110"/>
    <s v="C01"/>
    <n v="2.3180000000000002E-3"/>
    <n v="2.3180000000000002E-3"/>
    <n v="341.58048000000008"/>
    <m/>
    <n v="2.36741415981457E-3"/>
    <n v="2.36741415981457E-3"/>
    <m/>
    <m/>
    <m/>
    <n v="2.3180000000000002E-3"/>
    <m/>
    <m/>
    <n v="2.36741415981457E-3"/>
    <m/>
    <m/>
    <m/>
    <m/>
    <m/>
    <m/>
    <n v="302"/>
    <n v="2.3180000000000002E-3"/>
    <n v="2.3180000000000002E-3"/>
    <s v="ADMINISTRATION AND OVERSIGHT - ASSISTANCE FOR HIV/AIDS - ASSISTANCE FOR HIV/AIDS"/>
    <s v="Administration and Oversight - Assistance for HIV/AIDS - Assistance for HIV/AIDS"/>
    <x v="1"/>
    <n v="13040"/>
    <x v="1"/>
  </r>
  <r>
    <x v="1"/>
    <n v="302"/>
    <s v="United States"/>
    <x v="1"/>
    <x v="1"/>
    <n v="1"/>
    <s v="AID"/>
    <n v="2010016196"/>
    <s v="UEJ16655"/>
    <n v="1"/>
    <n v="613"/>
    <s v="Kazakhstan"/>
    <m/>
    <m/>
    <n v="10019"/>
    <s v="UMICs"/>
    <n v="11"/>
    <s v="ODA Grants"/>
    <n v="1"/>
    <n v="10"/>
    <n v="110"/>
    <s v="C01"/>
    <n v="4.0000000000000001E-3"/>
    <n v="4.0000000000000001E-3"/>
    <n v="589.44000000000005"/>
    <m/>
    <n v="4.0852703361769901E-3"/>
    <n v="4.0852703361769901E-3"/>
    <m/>
    <m/>
    <m/>
    <n v="4.0000000000000001E-3"/>
    <m/>
    <m/>
    <n v="4.0852703361769901E-3"/>
    <m/>
    <m/>
    <m/>
    <m/>
    <m/>
    <m/>
    <n v="302"/>
    <n v="4.0000000000000001E-3"/>
    <n v="4.0000000000000001E-3"/>
    <s v="ADMINISTRATION AND OVERSIGHT - ASSISTANCE FOR HIV/AIDS - ASSISTANCE FOR HIV/AIDS"/>
    <s v="Administration and Oversight - Assistance for HIV/AIDS - Assistance for HIV/AIDS"/>
    <x v="1"/>
    <n v="13040"/>
    <x v="1"/>
  </r>
  <r>
    <x v="1"/>
    <n v="302"/>
    <s v="United States"/>
    <x v="1"/>
    <x v="1"/>
    <n v="1"/>
    <s v="AID"/>
    <n v="2010016217"/>
    <s v="UEJ16674"/>
    <n v="3"/>
    <n v="613"/>
    <s v="Kazakhstan"/>
    <m/>
    <m/>
    <n v="10019"/>
    <s v="UMICs"/>
    <n v="11"/>
    <s v="ODA Grants"/>
    <n v="1"/>
    <n v="10"/>
    <n v="110"/>
    <s v="C01"/>
    <m/>
    <n v="1.7960000000000001E-3"/>
    <n v="264.65856000000002"/>
    <m/>
    <m/>
    <n v="1.83428638094347E-3"/>
    <m/>
    <m/>
    <m/>
    <m/>
    <m/>
    <m/>
    <m/>
    <m/>
    <m/>
    <m/>
    <m/>
    <m/>
    <m/>
    <n v="302"/>
    <m/>
    <n v="1.7960000000000001E-3"/>
    <s v="ADMINISTRATION AND OVERSIGHT - ASSISTANCE FOR HIV/AIDS - ASSISTANCE FOR HIV/AIDS"/>
    <s v="Administration and Oversight - Assistance for HIV/AIDS - Assistance for HIV/AIDS"/>
    <x v="1"/>
    <n v="13040"/>
    <x v="1"/>
  </r>
  <r>
    <x v="2"/>
    <n v="302"/>
    <s v="United States"/>
    <x v="1"/>
    <x v="1"/>
    <n v="1"/>
    <s v="AID"/>
    <n v="2012025349"/>
    <s v="76_2043272"/>
    <n v="1"/>
    <n v="613"/>
    <s v="Kazakhstan"/>
    <m/>
    <m/>
    <n v="10019"/>
    <s v="UMICs"/>
    <n v="11"/>
    <s v="ODA Grants"/>
    <n v="1"/>
    <n v="10"/>
    <n v="110"/>
    <s v="C01"/>
    <m/>
    <n v="-4.1301999999999901E-2"/>
    <n v="-6158.5412199999855"/>
    <m/>
    <m/>
    <n v="-4.0552109180471398E-2"/>
    <m/>
    <m/>
    <m/>
    <m/>
    <m/>
    <m/>
    <m/>
    <m/>
    <m/>
    <m/>
    <m/>
    <m/>
    <m/>
    <n v="302"/>
    <m/>
    <n v="-4.1301999999999901E-2"/>
    <s v="ASSISTANCE FOR HIV/AIDS"/>
    <s v="Assistance for HIV/AIDS"/>
    <x v="1"/>
    <n v="13040"/>
    <x v="1"/>
  </r>
  <r>
    <x v="2"/>
    <n v="302"/>
    <s v="United States"/>
    <x v="1"/>
    <x v="1"/>
    <n v="1"/>
    <s v="AID"/>
    <n v="2012022075"/>
    <s v="76_2038051"/>
    <n v="1"/>
    <n v="613"/>
    <s v="Kazakhstan"/>
    <m/>
    <m/>
    <n v="10019"/>
    <s v="UMICs"/>
    <n v="11"/>
    <s v="ODA Grants"/>
    <n v="1"/>
    <n v="10"/>
    <n v="110"/>
    <s v="C01"/>
    <n v="2.5000000000000001E-3"/>
    <n v="2.5000000000000001E-3"/>
    <n v="372.77500000000003"/>
    <m/>
    <n v="2.4546092913461399E-3"/>
    <n v="2.4546092913461399E-3"/>
    <m/>
    <m/>
    <m/>
    <n v="2.5000000000000001E-3"/>
    <m/>
    <m/>
    <n v="2.4546092913461399E-3"/>
    <m/>
    <m/>
    <m/>
    <m/>
    <m/>
    <m/>
    <n v="302"/>
    <n v="2.5000000000000001E-3"/>
    <n v="2.5000000000000001E-3"/>
    <s v="ASSISTANCE FOR HIV/AIDS"/>
    <s v="Assistance for HIV/AIDS"/>
    <x v="1"/>
    <n v="13040"/>
    <x v="1"/>
  </r>
  <r>
    <x v="2"/>
    <n v="302"/>
    <s v="United States"/>
    <x v="1"/>
    <x v="1"/>
    <n v="1"/>
    <s v="AID"/>
    <n v="2012025429"/>
    <s v="76_2043410"/>
    <n v="1"/>
    <n v="613"/>
    <s v="Kazakhstan"/>
    <m/>
    <m/>
    <n v="10019"/>
    <s v="UMICs"/>
    <n v="11"/>
    <s v="ODA Grants"/>
    <n v="1"/>
    <n v="10"/>
    <n v="110"/>
    <s v="C01"/>
    <n v="3.8771E-2"/>
    <m/>
    <n v="0"/>
    <m/>
    <n v="3.8067062733912603E-2"/>
    <m/>
    <m/>
    <m/>
    <m/>
    <n v="3.8771E-2"/>
    <m/>
    <m/>
    <n v="3.8067062733912603E-2"/>
    <m/>
    <m/>
    <m/>
    <m/>
    <m/>
    <m/>
    <n v="302"/>
    <n v="3.8771E-2"/>
    <m/>
    <s v="ASSISTANCE FOR HIV/AIDS"/>
    <s v="Assistance for HIV/AIDS"/>
    <x v="1"/>
    <n v="13040"/>
    <x v="1"/>
  </r>
  <r>
    <x v="2"/>
    <n v="302"/>
    <s v="United States"/>
    <x v="1"/>
    <x v="1"/>
    <n v="1"/>
    <s v="AID"/>
    <n v="2012023836"/>
    <s v="76_2040984"/>
    <n v="1"/>
    <n v="613"/>
    <s v="Kazakhstan"/>
    <m/>
    <m/>
    <n v="10019"/>
    <s v="UMICs"/>
    <n v="11"/>
    <s v="ODA Grants"/>
    <n v="1"/>
    <n v="10"/>
    <n v="110"/>
    <s v="C01"/>
    <n v="4.7699999999999902E-4"/>
    <n v="4.7699999999999902E-4"/>
    <n v="71.125469999999851"/>
    <m/>
    <n v="4.6833945278884501E-4"/>
    <n v="4.6833945278884501E-4"/>
    <m/>
    <m/>
    <m/>
    <n v="4.7699999999999902E-4"/>
    <m/>
    <m/>
    <n v="4.6833945278884501E-4"/>
    <m/>
    <m/>
    <m/>
    <m/>
    <m/>
    <m/>
    <n v="302"/>
    <n v="4.7699999999999902E-4"/>
    <n v="4.7699999999999902E-4"/>
    <s v="ASSISTANCE FOR HIV/AIDS"/>
    <s v="Assistance for HIV/AIDS"/>
    <x v="1"/>
    <n v="13040"/>
    <x v="1"/>
  </r>
  <r>
    <x v="2"/>
    <n v="302"/>
    <s v="United States"/>
    <x v="1"/>
    <x v="1"/>
    <n v="1"/>
    <s v="AID"/>
    <n v="2012023828"/>
    <s v="76_2040977"/>
    <n v="1"/>
    <n v="613"/>
    <s v="Kazakhstan"/>
    <m/>
    <m/>
    <n v="10019"/>
    <s v="UMICs"/>
    <n v="11"/>
    <s v="ODA Grants"/>
    <n v="1"/>
    <n v="10"/>
    <n v="110"/>
    <s v="C01"/>
    <n v="4.7699999999999902E-4"/>
    <n v="4.7699999999999902E-4"/>
    <n v="71.125469999999851"/>
    <m/>
    <n v="4.6833945278884501E-4"/>
    <n v="4.6833945278884501E-4"/>
    <m/>
    <m/>
    <m/>
    <n v="4.7699999999999902E-4"/>
    <m/>
    <m/>
    <n v="4.6833945278884501E-4"/>
    <m/>
    <m/>
    <m/>
    <m/>
    <m/>
    <m/>
    <n v="302"/>
    <n v="4.7699999999999902E-4"/>
    <n v="4.7699999999999902E-4"/>
    <s v="ASSISTANCE FOR HIV/AIDS"/>
    <s v="Assistance for HIV/AIDS"/>
    <x v="1"/>
    <n v="13040"/>
    <x v="1"/>
  </r>
  <r>
    <x v="2"/>
    <n v="302"/>
    <s v="United States"/>
    <x v="1"/>
    <x v="1"/>
    <n v="1"/>
    <s v="AID"/>
    <n v="2012023852"/>
    <s v="76_2041001"/>
    <n v="1"/>
    <n v="613"/>
    <s v="Kazakhstan"/>
    <m/>
    <m/>
    <n v="10019"/>
    <s v="UMICs"/>
    <n v="11"/>
    <s v="ODA Grants"/>
    <n v="1"/>
    <n v="10"/>
    <n v="110"/>
    <s v="C01"/>
    <n v="3.7100000000000002E-4"/>
    <n v="3.7100000000000002E-4"/>
    <n v="55.319810000000011"/>
    <m/>
    <n v="3.6426401883576801E-4"/>
    <n v="3.6426401883576801E-4"/>
    <m/>
    <m/>
    <m/>
    <n v="3.7100000000000002E-4"/>
    <m/>
    <m/>
    <n v="3.6426401883576801E-4"/>
    <m/>
    <m/>
    <m/>
    <m/>
    <m/>
    <m/>
    <n v="302"/>
    <n v="3.7100000000000002E-4"/>
    <n v="3.7100000000000002E-4"/>
    <s v="ASSISTANCE FOR HIV/AIDS"/>
    <s v="Assistance for HIV/AIDS"/>
    <x v="1"/>
    <n v="13040"/>
    <x v="1"/>
  </r>
  <r>
    <x v="2"/>
    <n v="302"/>
    <s v="United States"/>
    <x v="1"/>
    <x v="1"/>
    <n v="1"/>
    <s v="AID"/>
    <n v="2012023848"/>
    <s v="76_2040997"/>
    <n v="1"/>
    <n v="613"/>
    <s v="Kazakhstan"/>
    <m/>
    <m/>
    <n v="10019"/>
    <s v="UMICs"/>
    <n v="11"/>
    <s v="ODA Grants"/>
    <n v="1"/>
    <n v="10"/>
    <n v="110"/>
    <s v="C01"/>
    <n v="1.0789999999999899E-3"/>
    <n v="1.0789999999999899E-3"/>
    <n v="160.8896899999985"/>
    <m/>
    <n v="1.0594093701449901E-3"/>
    <n v="1.0594093701449901E-3"/>
    <m/>
    <m/>
    <m/>
    <n v="1.0789999999999899E-3"/>
    <m/>
    <m/>
    <n v="1.0594093701449901E-3"/>
    <m/>
    <m/>
    <m/>
    <m/>
    <m/>
    <m/>
    <n v="302"/>
    <n v="1.0789999999999899E-3"/>
    <n v="1.0789999999999899E-3"/>
    <s v="ASSISTANCE FOR HIV/AIDS"/>
    <s v="Assistance for HIV/AIDS"/>
    <x v="1"/>
    <n v="13040"/>
    <x v="1"/>
  </r>
  <r>
    <x v="2"/>
    <n v="302"/>
    <s v="United States"/>
    <x v="1"/>
    <x v="1"/>
    <n v="1"/>
    <s v="AID"/>
    <n v="2012023803"/>
    <s v="76_2040951"/>
    <n v="1"/>
    <n v="613"/>
    <s v="Kazakhstan"/>
    <m/>
    <m/>
    <n v="10019"/>
    <s v="UMICs"/>
    <n v="11"/>
    <s v="ODA Grants"/>
    <n v="1"/>
    <n v="10"/>
    <n v="110"/>
    <s v="C01"/>
    <n v="1.684E-3"/>
    <n v="1.684E-3"/>
    <n v="251.10123999999999"/>
    <m/>
    <n v="1.6534248186507599E-3"/>
    <n v="1.6534248186507599E-3"/>
    <m/>
    <m/>
    <m/>
    <n v="1.684E-3"/>
    <m/>
    <m/>
    <n v="1.6534248186507599E-3"/>
    <m/>
    <m/>
    <m/>
    <m/>
    <m/>
    <m/>
    <n v="302"/>
    <n v="1.684E-3"/>
    <n v="1.684E-3"/>
    <s v="ASSISTANCE FOR HIV/AIDS"/>
    <s v="Assistance for HIV/AIDS"/>
    <x v="1"/>
    <n v="13040"/>
    <x v="1"/>
  </r>
  <r>
    <x v="2"/>
    <n v="302"/>
    <s v="United States"/>
    <x v="1"/>
    <x v="1"/>
    <n v="1"/>
    <s v="AID"/>
    <n v="2012023809"/>
    <s v="76_2040957"/>
    <n v="1"/>
    <n v="613"/>
    <s v="Kazakhstan"/>
    <m/>
    <m/>
    <n v="10019"/>
    <s v="UMICs"/>
    <n v="11"/>
    <s v="ODA Grants"/>
    <n v="1"/>
    <n v="10"/>
    <n v="110"/>
    <s v="C01"/>
    <n v="3.7100000000000002E-4"/>
    <n v="3.7100000000000002E-4"/>
    <n v="55.319810000000011"/>
    <m/>
    <n v="3.6426401883576801E-4"/>
    <n v="3.6426401883576801E-4"/>
    <m/>
    <m/>
    <m/>
    <n v="3.7100000000000002E-4"/>
    <m/>
    <m/>
    <n v="3.6426401883576801E-4"/>
    <m/>
    <m/>
    <m/>
    <m/>
    <m/>
    <m/>
    <n v="302"/>
    <n v="3.7100000000000002E-4"/>
    <n v="3.7100000000000002E-4"/>
    <s v="ASSISTANCE FOR HIV/AIDS"/>
    <s v="Assistance for HIV/AIDS"/>
    <x v="1"/>
    <n v="13040"/>
    <x v="1"/>
  </r>
  <r>
    <x v="2"/>
    <n v="302"/>
    <s v="United States"/>
    <x v="1"/>
    <x v="1"/>
    <n v="1"/>
    <s v="AID"/>
    <n v="2012023576"/>
    <s v="76_2040606"/>
    <n v="1"/>
    <n v="613"/>
    <s v="Kazakhstan"/>
    <m/>
    <m/>
    <n v="10019"/>
    <s v="UMICs"/>
    <n v="11"/>
    <s v="ODA Grants"/>
    <n v="1"/>
    <n v="10"/>
    <n v="110"/>
    <s v="C01"/>
    <m/>
    <m/>
    <n v="0"/>
    <m/>
    <m/>
    <m/>
    <m/>
    <n v="-1.6230000000000001E-3"/>
    <n v="-1.59353235194191E-3"/>
    <m/>
    <m/>
    <m/>
    <m/>
    <m/>
    <m/>
    <m/>
    <m/>
    <m/>
    <m/>
    <n v="302"/>
    <m/>
    <m/>
    <s v="ASSISTANCE FOR HIV/AIDS"/>
    <s v="Assistance for HIV/AIDS"/>
    <x v="1"/>
    <n v="13040"/>
    <x v="1"/>
  </r>
  <r>
    <x v="2"/>
    <n v="302"/>
    <s v="United States"/>
    <x v="1"/>
    <x v="1"/>
    <n v="1"/>
    <s v="AID"/>
    <n v="2012023610"/>
    <s v="76_2040673"/>
    <n v="1"/>
    <n v="613"/>
    <s v="Kazakhstan"/>
    <m/>
    <m/>
    <n v="10019"/>
    <s v="UMICs"/>
    <n v="11"/>
    <s v="ODA Grants"/>
    <n v="1"/>
    <n v="10"/>
    <n v="110"/>
    <s v="C01"/>
    <m/>
    <m/>
    <n v="0"/>
    <m/>
    <m/>
    <m/>
    <m/>
    <n v="-4.84E-4"/>
    <n v="-4.7521235880461398E-4"/>
    <m/>
    <m/>
    <m/>
    <m/>
    <m/>
    <m/>
    <m/>
    <m/>
    <m/>
    <m/>
    <n v="302"/>
    <m/>
    <m/>
    <s v="ASSISTANCE FOR HIV/AIDS"/>
    <s v="Assistance for HIV/AIDS"/>
    <x v="1"/>
    <n v="13040"/>
    <x v="1"/>
  </r>
  <r>
    <x v="2"/>
    <n v="302"/>
    <s v="United States"/>
    <x v="1"/>
    <x v="1"/>
    <n v="1"/>
    <s v="AID"/>
    <n v="2012023646"/>
    <s v="76_2040731"/>
    <n v="1"/>
    <n v="613"/>
    <s v="Kazakhstan"/>
    <m/>
    <m/>
    <n v="10019"/>
    <s v="UMICs"/>
    <n v="11"/>
    <s v="ODA Grants"/>
    <n v="1"/>
    <n v="10"/>
    <n v="110"/>
    <s v="C01"/>
    <m/>
    <m/>
    <n v="0"/>
    <m/>
    <m/>
    <m/>
    <m/>
    <n v="-3.5309999999999999E-3"/>
    <n v="-3.4668901630972898E-3"/>
    <m/>
    <m/>
    <m/>
    <m/>
    <m/>
    <m/>
    <m/>
    <m/>
    <m/>
    <m/>
    <n v="302"/>
    <m/>
    <m/>
    <s v="ASSISTANCE FOR HIV/AIDS"/>
    <s v="Assistance for HIV/AIDS"/>
    <x v="1"/>
    <n v="13040"/>
    <x v="1"/>
  </r>
  <r>
    <x v="2"/>
    <n v="302"/>
    <s v="United States"/>
    <x v="1"/>
    <x v="1"/>
    <n v="1"/>
    <s v="AID"/>
    <n v="2012023669"/>
    <s v="76_2040782"/>
    <n v="1"/>
    <n v="613"/>
    <s v="Kazakhstan"/>
    <m/>
    <m/>
    <n v="10019"/>
    <s v="UMICs"/>
    <n v="11"/>
    <s v="ODA Grants"/>
    <n v="1"/>
    <n v="10"/>
    <n v="110"/>
    <s v="C01"/>
    <m/>
    <n v="-7.1999999999999893E-5"/>
    <n v="-10.735919999999986"/>
    <m/>
    <m/>
    <n v="-7.0692747590769001E-5"/>
    <m/>
    <n v="-1.21E-4"/>
    <n v="-1.1880308970115299E-4"/>
    <m/>
    <m/>
    <m/>
    <m/>
    <m/>
    <m/>
    <m/>
    <m/>
    <m/>
    <m/>
    <n v="302"/>
    <m/>
    <n v="-7.1999999999999893E-5"/>
    <s v="ASSISTANCE FOR HIV/AIDS"/>
    <s v="Assistance for HIV/AIDS"/>
    <x v="1"/>
    <n v="13040"/>
    <x v="1"/>
  </r>
  <r>
    <x v="2"/>
    <n v="302"/>
    <s v="United States"/>
    <x v="1"/>
    <x v="1"/>
    <n v="1"/>
    <s v="AID"/>
    <n v="2012023694"/>
    <s v="76_2040825"/>
    <n v="1"/>
    <n v="613"/>
    <s v="Kazakhstan"/>
    <m/>
    <m/>
    <n v="10019"/>
    <s v="UMICs"/>
    <n v="11"/>
    <s v="ODA Grants"/>
    <n v="1"/>
    <n v="10"/>
    <n v="110"/>
    <s v="C01"/>
    <m/>
    <m/>
    <n v="0"/>
    <m/>
    <m/>
    <m/>
    <m/>
    <n v="-8.3199999999999897E-4"/>
    <n v="-8.1689397215999797E-4"/>
    <m/>
    <m/>
    <m/>
    <m/>
    <m/>
    <m/>
    <m/>
    <m/>
    <m/>
    <m/>
    <n v="302"/>
    <m/>
    <m/>
    <s v="ASSISTANCE FOR HIV/AIDS"/>
    <s v="Assistance for HIV/AIDS"/>
    <x v="1"/>
    <n v="13040"/>
    <x v="1"/>
  </r>
  <r>
    <x v="2"/>
    <n v="302"/>
    <s v="United States"/>
    <x v="1"/>
    <x v="1"/>
    <n v="1"/>
    <s v="AID"/>
    <n v="2012023689"/>
    <s v="76_2040818"/>
    <n v="1"/>
    <n v="613"/>
    <s v="Kazakhstan"/>
    <m/>
    <m/>
    <n v="10019"/>
    <s v="UMICs"/>
    <n v="11"/>
    <s v="ODA Grants"/>
    <n v="1"/>
    <n v="10"/>
    <n v="110"/>
    <s v="C01"/>
    <m/>
    <m/>
    <n v="0"/>
    <m/>
    <m/>
    <m/>
    <m/>
    <n v="-4.84E-4"/>
    <n v="-4.7521235880461398E-4"/>
    <m/>
    <m/>
    <m/>
    <m/>
    <m/>
    <m/>
    <m/>
    <m/>
    <m/>
    <m/>
    <n v="302"/>
    <m/>
    <m/>
    <s v="ASSISTANCE FOR HIV/AIDS"/>
    <s v="Assistance for HIV/AIDS"/>
    <x v="1"/>
    <n v="13040"/>
    <x v="1"/>
  </r>
  <r>
    <x v="2"/>
    <n v="302"/>
    <s v="United States"/>
    <x v="1"/>
    <x v="1"/>
    <n v="1"/>
    <s v="AID"/>
    <n v="2012023415"/>
    <s v="76_2040230"/>
    <n v="1"/>
    <n v="613"/>
    <s v="Kazakhstan"/>
    <m/>
    <m/>
    <n v="10019"/>
    <s v="UMICs"/>
    <n v="11"/>
    <s v="ODA Grants"/>
    <n v="1"/>
    <n v="10"/>
    <n v="110"/>
    <s v="C01"/>
    <n v="8.1069999999999892E-3"/>
    <n v="7.2269999999999904E-3"/>
    <n v="1077.6179699999986"/>
    <m/>
    <n v="7.9598070099772805E-3"/>
    <n v="7.0957845394234399E-3"/>
    <m/>
    <m/>
    <m/>
    <n v="8.1069999999999892E-3"/>
    <m/>
    <m/>
    <n v="7.9598070099772805E-3"/>
    <m/>
    <m/>
    <m/>
    <m/>
    <m/>
    <m/>
    <n v="302"/>
    <n v="8.1069999999999892E-3"/>
    <n v="7.2269999999999904E-3"/>
    <s v="ASSISTANCE FOR HIV/AIDS"/>
    <s v="Assistance for HIV/AIDS"/>
    <x v="1"/>
    <n v="13040"/>
    <x v="1"/>
  </r>
  <r>
    <x v="2"/>
    <n v="302"/>
    <s v="United States"/>
    <x v="1"/>
    <x v="1"/>
    <n v="1"/>
    <s v="AID"/>
    <n v="2012024987"/>
    <s v="76_2042664"/>
    <n v="1"/>
    <n v="613"/>
    <s v="Kazakhstan"/>
    <m/>
    <m/>
    <n v="10019"/>
    <s v="UMICs"/>
    <n v="11"/>
    <s v="ODA Grants"/>
    <n v="1"/>
    <n v="10"/>
    <n v="110"/>
    <s v="C01"/>
    <n v="2.3000000000000001E-4"/>
    <n v="2.3000000000000001E-4"/>
    <n v="34.295299999999997"/>
    <m/>
    <n v="2.2582405480384501E-4"/>
    <n v="2.2582405480384501E-4"/>
    <m/>
    <m/>
    <m/>
    <n v="2.3000000000000001E-4"/>
    <m/>
    <m/>
    <n v="2.2582405480384501E-4"/>
    <m/>
    <m/>
    <m/>
    <m/>
    <m/>
    <m/>
    <n v="302"/>
    <n v="2.3000000000000001E-4"/>
    <n v="2.3000000000000001E-4"/>
    <s v="ASSISTANCE FOR HIV/AIDS"/>
    <s v="Assistance for HIV/AIDS"/>
    <x v="1"/>
    <n v="13040"/>
    <x v="1"/>
  </r>
  <r>
    <x v="2"/>
    <n v="302"/>
    <s v="United States"/>
    <x v="1"/>
    <x v="1"/>
    <n v="1"/>
    <s v="AID"/>
    <n v="2012024982"/>
    <s v="76_2042659"/>
    <n v="1"/>
    <n v="613"/>
    <s v="Kazakhstan"/>
    <m/>
    <m/>
    <n v="10019"/>
    <s v="UMICs"/>
    <n v="11"/>
    <s v="ODA Grants"/>
    <n v="1"/>
    <n v="10"/>
    <n v="110"/>
    <s v="C01"/>
    <n v="6.9999999999999994E-5"/>
    <n v="4.1999999999999998E-5"/>
    <n v="6.2626200000000001"/>
    <m/>
    <n v="6.87290601576921E-5"/>
    <n v="4.1237436094615197E-5"/>
    <m/>
    <m/>
    <m/>
    <n v="6.9999999999999994E-5"/>
    <m/>
    <m/>
    <n v="6.87290601576921E-5"/>
    <m/>
    <m/>
    <m/>
    <m/>
    <m/>
    <m/>
    <n v="302"/>
    <n v="6.9999999999999994E-5"/>
    <n v="4.1999999999999998E-5"/>
    <s v="ASSISTANCE FOR HIV/AIDS"/>
    <s v="Assistance for HIV/AIDS"/>
    <x v="1"/>
    <n v="13040"/>
    <x v="1"/>
  </r>
  <r>
    <x v="2"/>
    <n v="302"/>
    <s v="United States"/>
    <x v="1"/>
    <x v="1"/>
    <n v="1"/>
    <s v="AID"/>
    <n v="2012024969"/>
    <s v="76_2042645"/>
    <n v="1"/>
    <n v="613"/>
    <s v="Kazakhstan"/>
    <m/>
    <m/>
    <n v="10019"/>
    <s v="UMICs"/>
    <n v="11"/>
    <s v="ODA Grants"/>
    <n v="1"/>
    <n v="10"/>
    <n v="110"/>
    <s v="C01"/>
    <m/>
    <m/>
    <n v="0"/>
    <m/>
    <m/>
    <m/>
    <m/>
    <n v="-1.0000000000000001E-5"/>
    <n v="-9.8184371653845893E-6"/>
    <m/>
    <m/>
    <m/>
    <m/>
    <m/>
    <m/>
    <m/>
    <m/>
    <m/>
    <m/>
    <n v="302"/>
    <m/>
    <m/>
    <s v="ASSISTANCE FOR HIV/AIDS"/>
    <s v="Assistance for HIV/AIDS"/>
    <x v="1"/>
    <n v="13040"/>
    <x v="1"/>
  </r>
  <r>
    <x v="2"/>
    <n v="302"/>
    <s v="United States"/>
    <x v="1"/>
    <x v="1"/>
    <n v="1"/>
    <s v="AID"/>
    <n v="2012024980"/>
    <s v="76_2042656"/>
    <n v="1"/>
    <n v="613"/>
    <s v="Kazakhstan"/>
    <m/>
    <m/>
    <n v="10019"/>
    <s v="UMICs"/>
    <n v="11"/>
    <s v="ODA Grants"/>
    <n v="1"/>
    <n v="10"/>
    <n v="110"/>
    <s v="C01"/>
    <n v="5.9699999999999901E-4"/>
    <n v="5.9699999999999901E-4"/>
    <n v="89.018669999999858"/>
    <m/>
    <n v="5.8616069877345995E-4"/>
    <n v="5.8616069877345995E-4"/>
    <m/>
    <m/>
    <m/>
    <n v="5.9699999999999901E-4"/>
    <m/>
    <m/>
    <n v="5.8616069877345995E-4"/>
    <m/>
    <m/>
    <m/>
    <m/>
    <m/>
    <m/>
    <n v="302"/>
    <n v="5.9699999999999901E-4"/>
    <n v="5.9699999999999901E-4"/>
    <s v="ASSISTANCE FOR HIV/AIDS"/>
    <s v="Assistance for HIV/AIDS"/>
    <x v="1"/>
    <n v="13040"/>
    <x v="1"/>
  </r>
  <r>
    <x v="2"/>
    <n v="302"/>
    <s v="United States"/>
    <x v="1"/>
    <x v="1"/>
    <n v="1"/>
    <s v="AID"/>
    <n v="2012024979"/>
    <s v="76_2042655"/>
    <n v="1"/>
    <n v="613"/>
    <s v="Kazakhstan"/>
    <m/>
    <m/>
    <n v="10019"/>
    <s v="UMICs"/>
    <n v="11"/>
    <s v="ODA Grants"/>
    <n v="1"/>
    <n v="10"/>
    <n v="110"/>
    <s v="C01"/>
    <n v="1.25E-3"/>
    <n v="3.6199999999999899E-4"/>
    <n v="53.977819999999859"/>
    <m/>
    <n v="1.2273046456730699E-3"/>
    <n v="3.5542742538692199E-4"/>
    <m/>
    <m/>
    <m/>
    <n v="1.25E-3"/>
    <m/>
    <m/>
    <n v="1.2273046456730699E-3"/>
    <m/>
    <m/>
    <m/>
    <m/>
    <m/>
    <m/>
    <n v="302"/>
    <n v="1.25E-3"/>
    <n v="3.6199999999999899E-4"/>
    <s v="ASSISTANCE FOR HIV/AIDS"/>
    <s v="Assistance for HIV/AIDS"/>
    <x v="1"/>
    <n v="13040"/>
    <x v="1"/>
  </r>
  <r>
    <x v="2"/>
    <n v="302"/>
    <s v="United States"/>
    <x v="1"/>
    <x v="1"/>
    <n v="1"/>
    <s v="AID"/>
    <n v="2012023781"/>
    <s v="76_2040928"/>
    <n v="3"/>
    <n v="613"/>
    <s v="Kazakhstan"/>
    <m/>
    <m/>
    <n v="10019"/>
    <s v="UMICs"/>
    <n v="11"/>
    <s v="ODA Grants"/>
    <n v="1"/>
    <n v="10"/>
    <n v="110"/>
    <s v="C01"/>
    <m/>
    <n v="4.7699999999999902E-4"/>
    <n v="71.125469999999851"/>
    <m/>
    <m/>
    <n v="4.6833945278884501E-4"/>
    <m/>
    <n v="-5.1999999999999902E-5"/>
    <n v="-5.1055873259999799E-5"/>
    <m/>
    <m/>
    <m/>
    <m/>
    <m/>
    <m/>
    <m/>
    <m/>
    <m/>
    <m/>
    <n v="302"/>
    <m/>
    <n v="4.7699999999999902E-4"/>
    <s v="ASSISTANCE FOR HIV/AIDS"/>
    <s v="Assistance for HIV/AIDS"/>
    <x v="1"/>
    <n v="13040"/>
    <x v="1"/>
  </r>
  <r>
    <x v="2"/>
    <n v="302"/>
    <s v="United States"/>
    <x v="1"/>
    <x v="1"/>
    <n v="1"/>
    <s v="AID"/>
    <n v="2012023787"/>
    <s v="76_2040934"/>
    <n v="3"/>
    <n v="613"/>
    <s v="Kazakhstan"/>
    <m/>
    <m/>
    <n v="10019"/>
    <s v="UMICs"/>
    <n v="11"/>
    <s v="ODA Grants"/>
    <n v="1"/>
    <n v="10"/>
    <n v="110"/>
    <s v="C01"/>
    <m/>
    <n v="1.274E-3"/>
    <n v="189.96614"/>
    <m/>
    <m/>
    <n v="1.25086889486999E-3"/>
    <m/>
    <n v="-1.7100000000000001E-4"/>
    <n v="-1.6789527552807601E-4"/>
    <m/>
    <m/>
    <m/>
    <m/>
    <m/>
    <m/>
    <m/>
    <m/>
    <m/>
    <m/>
    <n v="302"/>
    <m/>
    <n v="1.274E-3"/>
    <s v="ASSISTANCE FOR HIV/AIDS"/>
    <s v="Assistance for HIV/AIDS"/>
    <x v="1"/>
    <n v="13040"/>
    <x v="1"/>
  </r>
  <r>
    <x v="2"/>
    <n v="302"/>
    <s v="United States"/>
    <x v="1"/>
    <x v="1"/>
    <n v="1"/>
    <s v="AID"/>
    <n v="2012023773"/>
    <s v="76_2040919"/>
    <n v="3"/>
    <n v="613"/>
    <s v="Kazakhstan"/>
    <m/>
    <m/>
    <n v="10019"/>
    <s v="UMICs"/>
    <n v="11"/>
    <s v="ODA Grants"/>
    <n v="1"/>
    <n v="10"/>
    <n v="110"/>
    <s v="C01"/>
    <m/>
    <n v="1.8009999999999899E-3"/>
    <n v="268.54710999999855"/>
    <m/>
    <m/>
    <n v="1.7683005334857599E-3"/>
    <m/>
    <n v="-4.66E-4"/>
    <n v="-4.5753917190692199E-4"/>
    <m/>
    <m/>
    <m/>
    <m/>
    <m/>
    <m/>
    <m/>
    <m/>
    <m/>
    <m/>
    <n v="302"/>
    <m/>
    <n v="1.8009999999999899E-3"/>
    <s v="ASSISTANCE FOR HIV/AIDS"/>
    <s v="Assistance for HIV/AIDS"/>
    <x v="1"/>
    <n v="13040"/>
    <x v="1"/>
  </r>
  <r>
    <x v="2"/>
    <n v="302"/>
    <s v="United States"/>
    <x v="1"/>
    <x v="1"/>
    <n v="1"/>
    <s v="AID"/>
    <n v="2012023617"/>
    <s v="76_2040682"/>
    <n v="3"/>
    <n v="613"/>
    <s v="Kazakhstan"/>
    <m/>
    <m/>
    <n v="10019"/>
    <s v="UMICs"/>
    <n v="11"/>
    <s v="ODA Grants"/>
    <n v="1"/>
    <n v="10"/>
    <n v="110"/>
    <s v="D02"/>
    <m/>
    <n v="3.55349999999999E-2"/>
    <n v="5298.6238499999854"/>
    <m/>
    <m/>
    <n v="3.48898164671941E-2"/>
    <m/>
    <m/>
    <m/>
    <m/>
    <m/>
    <m/>
    <m/>
    <m/>
    <m/>
    <m/>
    <m/>
    <m/>
    <m/>
    <n v="302"/>
    <m/>
    <n v="3.55349999999999E-2"/>
    <s v="ASSISTANCE FOR HIV/AIDS"/>
    <s v="Assistance for HIV/AIDS"/>
    <x v="1"/>
    <n v="13040"/>
    <x v="1"/>
  </r>
  <r>
    <x v="2"/>
    <n v="302"/>
    <s v="United States"/>
    <x v="1"/>
    <x v="1"/>
    <n v="1"/>
    <s v="AID"/>
    <n v="2012023645"/>
    <s v="76_2040725"/>
    <n v="3"/>
    <n v="613"/>
    <s v="Kazakhstan"/>
    <m/>
    <m/>
    <n v="10019"/>
    <s v="UMICs"/>
    <n v="11"/>
    <s v="ODA Grants"/>
    <n v="1"/>
    <n v="10"/>
    <n v="110"/>
    <s v="D02"/>
    <m/>
    <n v="2.1849999999999899E-3"/>
    <n v="325.80534999999855"/>
    <m/>
    <m/>
    <n v="2.1453285206365301E-3"/>
    <m/>
    <m/>
    <m/>
    <m/>
    <m/>
    <m/>
    <m/>
    <m/>
    <m/>
    <m/>
    <m/>
    <m/>
    <m/>
    <n v="302"/>
    <m/>
    <n v="2.1849999999999899E-3"/>
    <s v="ASSISTANCE FOR HIV/AIDS"/>
    <s v="Assistance for HIV/AIDS"/>
    <x v="1"/>
    <n v="13040"/>
    <x v="1"/>
  </r>
  <r>
    <x v="2"/>
    <n v="302"/>
    <s v="United States"/>
    <x v="1"/>
    <x v="1"/>
    <n v="1"/>
    <s v="AID"/>
    <n v="2012023733"/>
    <s v="76_2040872"/>
    <n v="3"/>
    <n v="613"/>
    <s v="Kazakhstan"/>
    <m/>
    <m/>
    <n v="10019"/>
    <s v="UMICs"/>
    <n v="11"/>
    <s v="ODA Grants"/>
    <n v="1"/>
    <n v="10"/>
    <n v="110"/>
    <s v="C01"/>
    <m/>
    <n v="1.544E-3"/>
    <n v="230.22584000000001"/>
    <m/>
    <m/>
    <n v="1.5159666983353801E-3"/>
    <m/>
    <n v="-2.3189999999999899E-3"/>
    <n v="-2.2768955786526802E-3"/>
    <m/>
    <m/>
    <m/>
    <m/>
    <m/>
    <m/>
    <m/>
    <m/>
    <m/>
    <m/>
    <n v="302"/>
    <m/>
    <n v="1.544E-3"/>
    <s v="ASSISTANCE FOR HIV/AIDS"/>
    <s v="Assistance for HIV/AIDS"/>
    <x v="1"/>
    <n v="13040"/>
    <x v="1"/>
  </r>
  <r>
    <x v="2"/>
    <n v="302"/>
    <s v="United States"/>
    <x v="1"/>
    <x v="1"/>
    <n v="1"/>
    <s v="AID"/>
    <n v="2012022801"/>
    <s v="76_2039283"/>
    <n v="3"/>
    <n v="613"/>
    <s v="Kazakhstan"/>
    <m/>
    <m/>
    <n v="10019"/>
    <s v="UMICs"/>
    <n v="11"/>
    <s v="ODA Grants"/>
    <n v="1"/>
    <n v="10"/>
    <n v="110"/>
    <s v="C01"/>
    <m/>
    <n v="1.7569999999999899E-3"/>
    <n v="261.98626999999851"/>
    <m/>
    <m/>
    <n v="1.72509940995807E-3"/>
    <m/>
    <n v="-7.34999999999999E-4"/>
    <n v="-7.2165513165576699E-4"/>
    <m/>
    <m/>
    <m/>
    <m/>
    <m/>
    <m/>
    <m/>
    <m/>
    <m/>
    <m/>
    <n v="302"/>
    <m/>
    <n v="1.7569999999999899E-3"/>
    <s v="ASSISTANCE FOR HIV/AIDS"/>
    <s v="Assistance for HIV/AIDS"/>
    <x v="1"/>
    <n v="13040"/>
    <x v="1"/>
  </r>
  <r>
    <x v="2"/>
    <n v="1"/>
    <s v="Austria"/>
    <x v="1"/>
    <x v="1"/>
    <n v="15"/>
    <s v="BMWF"/>
    <s v="2012818115au"/>
    <s v="bmwf-003-geo21/2012"/>
    <n v="8"/>
    <n v="613"/>
    <s v="Kazakhstan"/>
    <m/>
    <m/>
    <n v="10019"/>
    <s v="UMICs"/>
    <n v="11"/>
    <s v="ODA Grants"/>
    <n v="1"/>
    <n v="10"/>
    <n v="110"/>
    <s v="E01"/>
    <n v="4.5261705655526903E-2"/>
    <n v="4.5261705655526903E-2"/>
    <n v="6748.9729302956166"/>
    <n v="0"/>
    <n v="4.7996084845743602E-2"/>
    <n v="4.7996084845743602E-2"/>
    <n v="0"/>
    <m/>
    <m/>
    <n v="0"/>
    <n v="0"/>
    <n v="0"/>
    <n v="0"/>
    <n v="0"/>
    <n v="0"/>
    <m/>
    <m/>
    <m/>
    <m/>
    <n v="918"/>
    <n v="3.5213607000000001E-2"/>
    <n v="3.5213607000000001E-2"/>
    <s v="AUSTRIAN MEDICAL SEMINARS - SEMINAR FOR PHYSICIANS"/>
    <s v="Austrian Medical Seminars - Seminar for physicians"/>
    <x v="4"/>
    <n v="12181"/>
    <x v="7"/>
  </r>
  <r>
    <x v="2"/>
    <n v="971"/>
    <s v="UNAIDS"/>
    <x v="0"/>
    <x v="0"/>
    <n v="1"/>
    <s v="UNAIDS"/>
    <n v="2012000597"/>
    <m/>
    <n v="8"/>
    <n v="613"/>
    <s v="Kazakhstan"/>
    <m/>
    <m/>
    <n v="10019"/>
    <s v="UMICs"/>
    <n v="11"/>
    <s v="ODA Grants"/>
    <n v="4"/>
    <n v="10"/>
    <n v="110"/>
    <s v="C01"/>
    <n v="0.18970909999999999"/>
    <n v="0.18970909999999999"/>
    <n v="28287.523901"/>
    <m/>
    <n v="0.19389736252853501"/>
    <n v="0.19389736252853501"/>
    <m/>
    <m/>
    <m/>
    <m/>
    <m/>
    <m/>
    <m/>
    <m/>
    <m/>
    <m/>
    <m/>
    <m/>
    <m/>
    <n v="302"/>
    <n v="0.18970909999999999"/>
    <n v="0.18970909999999999"/>
    <s v="CAPACITIES TO WORK WITH KEY POPULATIONS ARE STRENGTHENED."/>
    <s v="Capacities to work with key populations are strengthened."/>
    <x v="1"/>
    <n v="13040"/>
    <x v="1"/>
  </r>
  <r>
    <x v="2"/>
    <n v="971"/>
    <s v="UNAIDS"/>
    <x v="0"/>
    <x v="0"/>
    <n v="1"/>
    <s v="UNAIDS"/>
    <n v="2012000598"/>
    <m/>
    <n v="8"/>
    <n v="613"/>
    <s v="Kazakhstan"/>
    <m/>
    <m/>
    <n v="10019"/>
    <s v="UMICs"/>
    <n v="11"/>
    <s v="ODA Grants"/>
    <n v="4"/>
    <n v="10"/>
    <n v="110"/>
    <s v="C01"/>
    <n v="0.1027093"/>
    <n v="0.1027093"/>
    <n v="15314.983723000003"/>
    <m/>
    <n v="0.104976842845978"/>
    <n v="0.104976842845978"/>
    <m/>
    <m/>
    <m/>
    <m/>
    <m/>
    <m/>
    <m/>
    <m/>
    <m/>
    <m/>
    <m/>
    <m/>
    <m/>
    <n v="302"/>
    <n v="0.1027093"/>
    <n v="0.1027093"/>
    <s v="COORDINATION, ALIGNMENT AND HARMONIZATION STRENGTHENED ACROSS THE HIV RESPONSE"/>
    <s v="Coordination, alignment and harmonization strengthened across the HIV response"/>
    <x v="1"/>
    <n v="13040"/>
    <x v="1"/>
  </r>
  <r>
    <x v="0"/>
    <n v="971"/>
    <s v="UNAIDS"/>
    <x v="0"/>
    <x v="0"/>
    <n v="1"/>
    <s v="UNAIDS"/>
    <n v="2011000231"/>
    <m/>
    <n v="8"/>
    <n v="613"/>
    <s v="Kazakhstan"/>
    <m/>
    <m/>
    <n v="10019"/>
    <s v="UMICs"/>
    <n v="11"/>
    <s v="ODA Grants"/>
    <n v="4"/>
    <n v="10"/>
    <n v="110"/>
    <s v="C01"/>
    <n v="0.12253711"/>
    <n v="0.12253711"/>
    <n v="17966.391068199999"/>
    <m/>
    <n v="0.12253711"/>
    <n v="0.12253711"/>
    <m/>
    <m/>
    <m/>
    <m/>
    <m/>
    <m/>
    <m/>
    <m/>
    <m/>
    <m/>
    <m/>
    <m/>
    <m/>
    <n v="302"/>
    <n v="0.12253711"/>
    <n v="0.12253711"/>
    <s v="COORDINATION, ALIGNMENT AND HARMONIZATION STRENGTHENED ACROSS THE HIV RESPONSE"/>
    <s v="Coordination, alignment and harmonization strengthened across the HIV response"/>
    <x v="1"/>
    <n v="13040"/>
    <x v="1"/>
  </r>
  <r>
    <x v="1"/>
    <n v="971"/>
    <s v="UNAIDS"/>
    <x v="0"/>
    <x v="0"/>
    <n v="1"/>
    <s v="UNAIDS"/>
    <n v="20100000153"/>
    <m/>
    <n v="8"/>
    <n v="613"/>
    <s v="Kazakhstan"/>
    <m/>
    <m/>
    <n v="10019"/>
    <s v="UMICs"/>
    <n v="11"/>
    <s v="ODA Grants"/>
    <n v="4"/>
    <n v="10"/>
    <n v="110"/>
    <s v="C01"/>
    <n v="0.4703097"/>
    <n v="0.4703097"/>
    <n v="69304.837392000016"/>
    <m/>
    <n v="0.50102546174222096"/>
    <n v="0.50102546174222096"/>
    <m/>
    <m/>
    <m/>
    <m/>
    <m/>
    <m/>
    <m/>
    <m/>
    <m/>
    <m/>
    <m/>
    <m/>
    <m/>
    <n v="302"/>
    <n v="0.4703097"/>
    <n v="0.4703097"/>
    <s v="COORDINATION, ALIGNMENT AND HARMONIZATION STRENGTHENED ACROSS THE HIV RESPONSE"/>
    <s v="Coordination, alignment and harmonization strengthened across the HIV response"/>
    <x v="1"/>
    <n v="13040"/>
    <x v="1"/>
  </r>
  <r>
    <x v="2"/>
    <n v="971"/>
    <s v="UNAIDS"/>
    <x v="0"/>
    <x v="0"/>
    <n v="1"/>
    <s v="UNAIDS"/>
    <n v="2012000599"/>
    <m/>
    <n v="8"/>
    <n v="613"/>
    <s v="Kazakhstan"/>
    <m/>
    <m/>
    <n v="10019"/>
    <s v="UMICs"/>
    <n v="11"/>
    <s v="ODA Grants"/>
    <n v="4"/>
    <n v="10"/>
    <n v="110"/>
    <s v="C01"/>
    <n v="2.2513700000000001E-2"/>
    <n v="2.2513700000000001E-2"/>
    <n v="3357.0178070000006"/>
    <m/>
    <n v="2.30107414497179E-2"/>
    <n v="2.30107414497179E-2"/>
    <m/>
    <m/>
    <m/>
    <m/>
    <m/>
    <m/>
    <m/>
    <m/>
    <m/>
    <m/>
    <m/>
    <m/>
    <m/>
    <n v="302"/>
    <n v="2.2513700000000001E-2"/>
    <n v="2.2513700000000001E-2"/>
    <s v="CROSS CUTTING"/>
    <s v="Cross cutting"/>
    <x v="1"/>
    <n v="13040"/>
    <x v="1"/>
  </r>
  <r>
    <x v="0"/>
    <n v="302"/>
    <s v="United States"/>
    <x v="1"/>
    <x v="1"/>
    <n v="12"/>
    <s v="TDA"/>
    <n v="2011054795"/>
    <s v="70_6569"/>
    <n v="1"/>
    <n v="613"/>
    <s v="Kazakhstan"/>
    <m/>
    <m/>
    <n v="10019"/>
    <s v="UMICs"/>
    <n v="11"/>
    <s v="ODA Grants"/>
    <n v="1"/>
    <n v="10"/>
    <n v="110"/>
    <s v="D02"/>
    <n v="6.0000000000000001E-3"/>
    <n v="6.0000000000000001E-3"/>
    <n v="879.72"/>
    <m/>
    <n v="6.0000000000000001E-3"/>
    <n v="6.0000000000000001E-3"/>
    <m/>
    <m/>
    <m/>
    <m/>
    <m/>
    <n v="6.0000000000000001E-3"/>
    <m/>
    <m/>
    <n v="6.0000000000000001E-3"/>
    <m/>
    <m/>
    <m/>
    <m/>
    <n v="302"/>
    <n v="6.0000000000000001E-3"/>
    <n v="6.0000000000000001E-3"/>
    <s v="DESK STUDY - DESK STUDY ON PROPOSED NATIONAL MEDICAL EQUIPMENT LEASING PROGRAM FS"/>
    <s v="Desk Study - Desk Study on proposed National Medical Equipment Leasing Program FS"/>
    <x v="3"/>
    <n v="12230"/>
    <x v="5"/>
  </r>
  <r>
    <x v="2"/>
    <n v="5"/>
    <s v="Germany"/>
    <x v="1"/>
    <x v="1"/>
    <n v="7"/>
    <s v="F O"/>
    <n v="2012009715"/>
    <n v="6605298"/>
    <n v="8"/>
    <n v="613"/>
    <s v="Kazakhstan"/>
    <m/>
    <m/>
    <n v="10019"/>
    <s v="UMICs"/>
    <n v="11"/>
    <s v="ODA Grants"/>
    <n v="1"/>
    <n v="10"/>
    <n v="110"/>
    <s v="C01"/>
    <n v="1.416452E-2"/>
    <n v="1.416452E-2"/>
    <n v="2112.0715771999999"/>
    <n v="0"/>
    <n v="1.51183903471618E-2"/>
    <n v="1.51183903471618E-2"/>
    <n v="0"/>
    <m/>
    <m/>
    <n v="0"/>
    <m/>
    <n v="1.416452E-2"/>
    <n v="0"/>
    <m/>
    <n v="1.51183903471618E-2"/>
    <m/>
    <m/>
    <m/>
    <m/>
    <n v="302"/>
    <n v="1.416452E-2"/>
    <n v="1.416452E-2"/>
    <s v="DKU-WORKSHOP EXPERIENCE OF IWRM IN CA"/>
    <s v="DKU-Workshop Experience of IWRM in CA"/>
    <x v="4"/>
    <n v="14081"/>
    <x v="7"/>
  </r>
  <r>
    <x v="2"/>
    <n v="302"/>
    <s v="United States"/>
    <x v="1"/>
    <x v="1"/>
    <n v="1"/>
    <s v="AID"/>
    <n v="2012033335"/>
    <s v="76_2055582"/>
    <n v="1"/>
    <n v="613"/>
    <s v="Kazakhstan"/>
    <m/>
    <m/>
    <n v="10019"/>
    <s v="UMICs"/>
    <n v="11"/>
    <s v="ODA Grants"/>
    <n v="1"/>
    <n v="10"/>
    <n v="110"/>
    <s v="C01"/>
    <n v="0.05"/>
    <m/>
    <n v="0"/>
    <m/>
    <n v="4.9092185826922902E-2"/>
    <m/>
    <m/>
    <m/>
    <m/>
    <n v="0.05"/>
    <m/>
    <m/>
    <n v="4.9092185826922902E-2"/>
    <m/>
    <m/>
    <m/>
    <m/>
    <m/>
    <m/>
    <n v="302"/>
    <n v="0.05"/>
    <m/>
    <s v="FAMILY PLANNING AND REPRODUCTIVE HEALTH"/>
    <s v="Family Planning and Reproductive Health"/>
    <x v="0"/>
    <n v="13030"/>
    <x v="0"/>
  </r>
  <r>
    <x v="0"/>
    <n v="302"/>
    <s v="United States"/>
    <x v="1"/>
    <x v="1"/>
    <n v="1"/>
    <s v="AID"/>
    <n v="2011010083"/>
    <s v="76_127767"/>
    <n v="1"/>
    <n v="613"/>
    <s v="Kazakhstan"/>
    <m/>
    <m/>
    <n v="10019"/>
    <s v="UMICs"/>
    <n v="11"/>
    <s v="ODA Grants"/>
    <n v="1"/>
    <n v="10"/>
    <n v="110"/>
    <s v="C01"/>
    <n v="0.21521499999999899"/>
    <n v="6.8805999999999895E-2"/>
    <n v="10088.335719999986"/>
    <m/>
    <n v="0.21521499999999899"/>
    <n v="6.8805999999999895E-2"/>
    <m/>
    <m/>
    <m/>
    <m/>
    <m/>
    <n v="0.21521499999999899"/>
    <m/>
    <m/>
    <n v="0.21521499999999899"/>
    <m/>
    <m/>
    <m/>
    <m/>
    <n v="302"/>
    <n v="0.21521499999999899"/>
    <n v="6.8805999999999895E-2"/>
    <s v="FAMILY PLANNING AND REPRODUCTIVE HEALTH"/>
    <s v="Family Planning and Reproductive Health"/>
    <x v="0"/>
    <n v="13030"/>
    <x v="0"/>
  </r>
  <r>
    <x v="1"/>
    <n v="302"/>
    <s v="United States"/>
    <x v="1"/>
    <x v="1"/>
    <n v="1"/>
    <s v="AID"/>
    <n v="2010024881"/>
    <s v="UEJ29069"/>
    <n v="1"/>
    <n v="613"/>
    <s v="Kazakhstan"/>
    <m/>
    <m/>
    <n v="10019"/>
    <s v="UMICs"/>
    <n v="11"/>
    <s v="ODA Grants"/>
    <n v="1"/>
    <n v="10"/>
    <n v="110"/>
    <s v="C01"/>
    <n v="0.20647499999999899"/>
    <m/>
    <n v="0"/>
    <m/>
    <n v="0.210876548165536"/>
    <m/>
    <m/>
    <m/>
    <m/>
    <m/>
    <m/>
    <n v="0.20647499999999899"/>
    <m/>
    <m/>
    <n v="0.210876548165536"/>
    <m/>
    <m/>
    <m/>
    <m/>
    <n v="302"/>
    <n v="0.20647499999999899"/>
    <m/>
    <s v="FAMILY PLANNING AND REPRODUCTIVE HEALTH"/>
    <s v="Family Planning and Reproductive Health"/>
    <x v="0"/>
    <n v="13030"/>
    <x v="0"/>
  </r>
  <r>
    <x v="2"/>
    <n v="302"/>
    <s v="United States"/>
    <x v="1"/>
    <x v="1"/>
    <n v="1"/>
    <s v="AID"/>
    <n v="2012032523"/>
    <s v="76_2054612"/>
    <n v="3"/>
    <n v="613"/>
    <s v="Kazakhstan"/>
    <m/>
    <m/>
    <n v="10019"/>
    <s v="UMICs"/>
    <n v="11"/>
    <s v="ODA Grants"/>
    <n v="1"/>
    <n v="10"/>
    <n v="110"/>
    <s v="C01"/>
    <m/>
    <n v="8.7548000000000001E-2"/>
    <n v="13054.282280000001"/>
    <m/>
    <m/>
    <n v="8.5958453695509002E-2"/>
    <m/>
    <m/>
    <m/>
    <m/>
    <m/>
    <m/>
    <m/>
    <m/>
    <m/>
    <m/>
    <m/>
    <m/>
    <m/>
    <n v="302"/>
    <m/>
    <n v="8.7548000000000001E-2"/>
    <s v="FAMILY PLANNING AND REPRODUCTIVE HEALTH"/>
    <s v="Family Planning and Reproductive Health"/>
    <x v="0"/>
    <n v="13030"/>
    <x v="0"/>
  </r>
  <r>
    <x v="1"/>
    <n v="576"/>
    <s v="United Arab Emirates"/>
    <x v="1"/>
    <x v="1"/>
    <n v="25"/>
    <s v="OTHER"/>
    <n v="20102005058"/>
    <s v="KFZ-2010-081"/>
    <n v="1"/>
    <n v="613"/>
    <s v="Kazakhstan"/>
    <m/>
    <m/>
    <n v="10019"/>
    <s v="UMICs"/>
    <n v="11"/>
    <s v="ODA Grants"/>
    <n v="1"/>
    <n v="10"/>
    <n v="110"/>
    <s v="C01"/>
    <n v="9.6004573999999891"/>
    <n v="9.6004573999999891"/>
    <n v="1414723.4024639986"/>
    <m/>
    <n v="10.227459909441601"/>
    <n v="10.227459909441601"/>
    <m/>
    <m/>
    <m/>
    <m/>
    <m/>
    <m/>
    <m/>
    <m/>
    <m/>
    <m/>
    <m/>
    <m/>
    <m/>
    <n v="302"/>
    <n v="9.6004573999999891"/>
    <n v="9.6004573999999891"/>
    <s v="GENERAL BUDGET SUPPORT"/>
    <s v="Sheikh Khalifa Hospital in Kazakhstan - Shymkent"/>
    <x v="3"/>
    <n v="12230"/>
    <x v="5"/>
  </r>
  <r>
    <x v="1"/>
    <n v="576"/>
    <s v="United Arab Emirates"/>
    <x v="1"/>
    <x v="1"/>
    <n v="25"/>
    <s v="OTHER"/>
    <n v="20102005001"/>
    <s v="KFZ-2010-080"/>
    <n v="1"/>
    <n v="613"/>
    <s v="Kazakhstan"/>
    <m/>
    <m/>
    <n v="10019"/>
    <s v="UMICs"/>
    <n v="11"/>
    <s v="ODA Grants"/>
    <n v="1"/>
    <n v="10"/>
    <n v="110"/>
    <s v="C01"/>
    <n v="1.4504603999999901"/>
    <n v="1.4504603999999901"/>
    <n v="213739.84454399857"/>
    <m/>
    <n v="1.5451894605805601"/>
    <n v="1.5451894605805601"/>
    <m/>
    <m/>
    <m/>
    <m/>
    <m/>
    <m/>
    <m/>
    <m/>
    <m/>
    <m/>
    <m/>
    <m/>
    <m/>
    <n v="302"/>
    <n v="1.4504603999999901"/>
    <n v="1.4504603999999901"/>
    <s v="GENERAL BUDGET SUPPORT"/>
    <s v="Building 2 clinics + 50 ambulances"/>
    <x v="3"/>
    <n v="12230"/>
    <x v="5"/>
  </r>
  <r>
    <x v="0"/>
    <n v="302"/>
    <s v="United States"/>
    <x v="1"/>
    <x v="1"/>
    <n v="1"/>
    <s v="AID"/>
    <n v="2011014087"/>
    <s v="76_135593"/>
    <n v="1"/>
    <n v="613"/>
    <s v="Kazakhstan"/>
    <m/>
    <m/>
    <n v="10019"/>
    <s v="UMICs"/>
    <n v="11"/>
    <s v="ODA Grants"/>
    <n v="1"/>
    <n v="10"/>
    <n v="110"/>
    <s v="C01"/>
    <n v="1.0969999999999899E-3"/>
    <n v="1.0480000000000001E-3"/>
    <n v="153.65776000000002"/>
    <m/>
    <n v="1.0969999999999899E-3"/>
    <n v="1.0480000000000001E-3"/>
    <m/>
    <m/>
    <m/>
    <n v="1.0969999999999899E-3"/>
    <m/>
    <m/>
    <n v="1.0969999999999899E-3"/>
    <m/>
    <m/>
    <m/>
    <m/>
    <m/>
    <m/>
    <n v="302"/>
    <n v="1.0969999999999899E-3"/>
    <n v="1.0480000000000001E-3"/>
    <s v="HIV/AIDS"/>
    <s v="HIV/AIDS"/>
    <x v="1"/>
    <n v="13040"/>
    <x v="1"/>
  </r>
  <r>
    <x v="0"/>
    <n v="302"/>
    <s v="United States"/>
    <x v="1"/>
    <x v="1"/>
    <n v="1"/>
    <s v="AID"/>
    <n v="2011014084"/>
    <s v="76_135590"/>
    <n v="1"/>
    <n v="613"/>
    <s v="Kazakhstan"/>
    <m/>
    <m/>
    <n v="10019"/>
    <s v="UMICs"/>
    <n v="11"/>
    <s v="ODA Grants"/>
    <n v="1"/>
    <n v="10"/>
    <n v="110"/>
    <s v="C01"/>
    <n v="4.4929999999999996E-3"/>
    <n v="9.6199999999999899E-4"/>
    <n v="141.04843999999986"/>
    <m/>
    <n v="4.4929999999999996E-3"/>
    <n v="9.6199999999999899E-4"/>
    <m/>
    <m/>
    <m/>
    <n v="4.4929999999999996E-3"/>
    <m/>
    <m/>
    <n v="4.4929999999999996E-3"/>
    <m/>
    <m/>
    <m/>
    <m/>
    <m/>
    <m/>
    <n v="302"/>
    <n v="4.4929999999999996E-3"/>
    <n v="9.6199999999999899E-4"/>
    <s v="HIV/AIDS"/>
    <s v="HIV/AIDS"/>
    <x v="1"/>
    <n v="13040"/>
    <x v="1"/>
  </r>
  <r>
    <x v="0"/>
    <n v="302"/>
    <s v="United States"/>
    <x v="1"/>
    <x v="1"/>
    <n v="1"/>
    <s v="AID"/>
    <n v="2011014083"/>
    <s v="76_135589"/>
    <n v="1"/>
    <n v="613"/>
    <s v="Kazakhstan"/>
    <m/>
    <m/>
    <n v="10019"/>
    <s v="UMICs"/>
    <n v="11"/>
    <s v="ODA Grants"/>
    <n v="1"/>
    <n v="10"/>
    <n v="110"/>
    <s v="D02"/>
    <n v="1.7399999999999902E-2"/>
    <n v="1.2810999999999901E-2"/>
    <n v="1878.3488199999854"/>
    <m/>
    <n v="1.7399999999999902E-2"/>
    <n v="1.2810999999999901E-2"/>
    <m/>
    <m/>
    <m/>
    <n v="1.7399999999999902E-2"/>
    <m/>
    <m/>
    <n v="1.7399999999999902E-2"/>
    <m/>
    <m/>
    <m/>
    <m/>
    <m/>
    <m/>
    <n v="302"/>
    <n v="1.7399999999999902E-2"/>
    <n v="1.2810999999999901E-2"/>
    <s v="HIV/AIDS"/>
    <s v="HIV/AIDS"/>
    <x v="1"/>
    <n v="13040"/>
    <x v="1"/>
  </r>
  <r>
    <x v="0"/>
    <n v="302"/>
    <s v="United States"/>
    <x v="1"/>
    <x v="1"/>
    <n v="1"/>
    <s v="AID"/>
    <n v="2011015329"/>
    <s v="76_137832"/>
    <n v="1"/>
    <n v="613"/>
    <s v="Kazakhstan"/>
    <m/>
    <m/>
    <n v="10019"/>
    <s v="UMICs"/>
    <n v="11"/>
    <s v="ODA Grants"/>
    <n v="1"/>
    <n v="10"/>
    <n v="110"/>
    <s v="C01"/>
    <n v="5.0000000000000001E-4"/>
    <m/>
    <n v="0"/>
    <m/>
    <n v="5.0000000000000001E-4"/>
    <m/>
    <m/>
    <m/>
    <m/>
    <n v="5.0000000000000001E-4"/>
    <m/>
    <m/>
    <n v="5.0000000000000001E-4"/>
    <m/>
    <m/>
    <m/>
    <m/>
    <m/>
    <m/>
    <n v="302"/>
    <n v="5.0000000000000001E-4"/>
    <m/>
    <s v="HIV/AIDS"/>
    <s v="HIV/AIDS"/>
    <x v="1"/>
    <n v="13040"/>
    <x v="1"/>
  </r>
  <r>
    <x v="0"/>
    <n v="302"/>
    <s v="United States"/>
    <x v="1"/>
    <x v="1"/>
    <n v="1"/>
    <s v="AID"/>
    <n v="2011012920"/>
    <s v="76_133396"/>
    <n v="1"/>
    <n v="613"/>
    <s v="Kazakhstan"/>
    <m/>
    <m/>
    <n v="10019"/>
    <s v="UMICs"/>
    <n v="11"/>
    <s v="ODA Grants"/>
    <n v="1"/>
    <n v="10"/>
    <n v="110"/>
    <s v="C01"/>
    <n v="3.8839999999999899E-3"/>
    <n v="1.392E-3"/>
    <n v="204.09504000000001"/>
    <m/>
    <n v="3.8839999999999899E-3"/>
    <n v="1.392E-3"/>
    <m/>
    <m/>
    <m/>
    <n v="3.8839999999999899E-3"/>
    <m/>
    <m/>
    <n v="3.8839999999999899E-3"/>
    <m/>
    <m/>
    <m/>
    <m/>
    <m/>
    <m/>
    <n v="302"/>
    <n v="3.8839999999999899E-3"/>
    <n v="1.392E-3"/>
    <s v="HIV/AIDS"/>
    <s v="HIV/AIDS"/>
    <x v="1"/>
    <n v="13040"/>
    <x v="1"/>
  </r>
  <r>
    <x v="0"/>
    <n v="302"/>
    <s v="United States"/>
    <x v="1"/>
    <x v="1"/>
    <n v="1"/>
    <s v="AID"/>
    <n v="2011014094"/>
    <s v="76_135600"/>
    <n v="1"/>
    <n v="613"/>
    <s v="Kazakhstan"/>
    <m/>
    <m/>
    <n v="10019"/>
    <s v="UMICs"/>
    <n v="11"/>
    <s v="ODA Grants"/>
    <n v="1"/>
    <n v="10"/>
    <n v="110"/>
    <s v="C01"/>
    <n v="7.4899999999999902E-4"/>
    <n v="2.6499999999999901E-4"/>
    <n v="38.854299999999853"/>
    <m/>
    <n v="7.4899999999999902E-4"/>
    <n v="2.6499999999999901E-4"/>
    <m/>
    <m/>
    <m/>
    <n v="7.4899999999999902E-4"/>
    <m/>
    <m/>
    <n v="7.4899999999999902E-4"/>
    <m/>
    <m/>
    <m/>
    <m/>
    <m/>
    <m/>
    <n v="302"/>
    <n v="7.4899999999999902E-4"/>
    <n v="2.6499999999999901E-4"/>
    <s v="HIV/AIDS"/>
    <s v="HIV/AIDS"/>
    <x v="1"/>
    <n v="13040"/>
    <x v="1"/>
  </r>
  <r>
    <x v="0"/>
    <n v="302"/>
    <s v="United States"/>
    <x v="1"/>
    <x v="1"/>
    <n v="1"/>
    <s v="AID"/>
    <n v="2011014096"/>
    <s v="76_135602"/>
    <n v="1"/>
    <n v="613"/>
    <s v="Kazakhstan"/>
    <m/>
    <m/>
    <n v="10019"/>
    <s v="UMICs"/>
    <n v="11"/>
    <s v="ODA Grants"/>
    <n v="1"/>
    <n v="10"/>
    <n v="110"/>
    <s v="C01"/>
    <n v="1.0969999999999899E-3"/>
    <n v="2.6499999999999901E-4"/>
    <n v="38.854299999999853"/>
    <m/>
    <n v="1.0969999999999899E-3"/>
    <n v="2.6499999999999901E-4"/>
    <m/>
    <m/>
    <m/>
    <n v="1.0969999999999899E-3"/>
    <m/>
    <m/>
    <n v="1.0969999999999899E-3"/>
    <m/>
    <m/>
    <m/>
    <m/>
    <m/>
    <m/>
    <n v="302"/>
    <n v="1.0969999999999899E-3"/>
    <n v="2.6499999999999901E-4"/>
    <s v="HIV/AIDS"/>
    <s v="HIV/AIDS"/>
    <x v="1"/>
    <n v="13040"/>
    <x v="1"/>
  </r>
  <r>
    <x v="0"/>
    <n v="302"/>
    <s v="United States"/>
    <x v="1"/>
    <x v="1"/>
    <n v="1"/>
    <s v="AID"/>
    <n v="2011014110"/>
    <s v="76_135617"/>
    <n v="1"/>
    <n v="613"/>
    <s v="Kazakhstan"/>
    <m/>
    <m/>
    <n v="10019"/>
    <s v="UMICs"/>
    <n v="11"/>
    <s v="ODA Grants"/>
    <n v="1"/>
    <n v="10"/>
    <n v="110"/>
    <s v="C01"/>
    <n v="6.8960000000000002E-3"/>
    <n v="3.0330000000000001E-3"/>
    <n v="444.69846000000001"/>
    <m/>
    <n v="6.8960000000000002E-3"/>
    <n v="3.0330000000000001E-3"/>
    <m/>
    <m/>
    <m/>
    <n v="6.8960000000000002E-3"/>
    <m/>
    <m/>
    <n v="6.8960000000000002E-3"/>
    <m/>
    <m/>
    <m/>
    <m/>
    <m/>
    <m/>
    <n v="302"/>
    <n v="6.8960000000000002E-3"/>
    <n v="3.0330000000000001E-3"/>
    <s v="HIV/AIDS"/>
    <s v="HIV/AIDS"/>
    <x v="1"/>
    <n v="13040"/>
    <x v="1"/>
  </r>
  <r>
    <x v="0"/>
    <n v="302"/>
    <s v="United States"/>
    <x v="1"/>
    <x v="1"/>
    <n v="1"/>
    <s v="AID"/>
    <n v="2011014114"/>
    <s v="76_135621"/>
    <n v="1"/>
    <n v="613"/>
    <s v="Kazakhstan"/>
    <m/>
    <m/>
    <n v="10019"/>
    <s v="UMICs"/>
    <n v="11"/>
    <s v="ODA Grants"/>
    <n v="1"/>
    <n v="10"/>
    <n v="110"/>
    <s v="C01"/>
    <n v="2.532E-3"/>
    <n v="2.6499999999999901E-4"/>
    <n v="38.854299999999853"/>
    <m/>
    <n v="2.532E-3"/>
    <n v="2.6499999999999901E-4"/>
    <m/>
    <m/>
    <m/>
    <n v="2.532E-3"/>
    <m/>
    <m/>
    <n v="2.532E-3"/>
    <m/>
    <m/>
    <m/>
    <m/>
    <m/>
    <m/>
    <n v="302"/>
    <n v="2.532E-3"/>
    <n v="2.6499999999999901E-4"/>
    <s v="HIV/AIDS"/>
    <s v="HIV/AIDS"/>
    <x v="1"/>
    <n v="13040"/>
    <x v="1"/>
  </r>
  <r>
    <x v="0"/>
    <n v="302"/>
    <s v="United States"/>
    <x v="1"/>
    <x v="1"/>
    <n v="1"/>
    <s v="AID"/>
    <n v="2011014061"/>
    <s v="76_135566"/>
    <n v="1"/>
    <n v="613"/>
    <s v="Kazakhstan"/>
    <m/>
    <m/>
    <n v="10019"/>
    <s v="UMICs"/>
    <n v="11"/>
    <s v="ODA Grants"/>
    <n v="1"/>
    <n v="10"/>
    <n v="110"/>
    <s v="C01"/>
    <n v="1.6230000000000001E-3"/>
    <m/>
    <n v="0"/>
    <m/>
    <n v="1.6230000000000001E-3"/>
    <m/>
    <m/>
    <m/>
    <m/>
    <n v="1.6230000000000001E-3"/>
    <m/>
    <m/>
    <n v="1.6230000000000001E-3"/>
    <m/>
    <m/>
    <m/>
    <m/>
    <m/>
    <m/>
    <n v="302"/>
    <n v="1.6230000000000001E-3"/>
    <m/>
    <s v="HIV/AIDS"/>
    <s v="HIV/AIDS"/>
    <x v="1"/>
    <n v="13040"/>
    <x v="1"/>
  </r>
  <r>
    <x v="0"/>
    <n v="302"/>
    <s v="United States"/>
    <x v="1"/>
    <x v="1"/>
    <n v="1"/>
    <s v="AID"/>
    <n v="2011014074"/>
    <s v="76_135580"/>
    <n v="1"/>
    <n v="613"/>
    <s v="Kazakhstan"/>
    <m/>
    <m/>
    <n v="10019"/>
    <s v="UMICs"/>
    <n v="11"/>
    <s v="ODA Grants"/>
    <n v="1"/>
    <n v="10"/>
    <n v="110"/>
    <s v="D02"/>
    <n v="6.0742999999999998E-2"/>
    <n v="2.4590999999999998E-2"/>
    <n v="3605.53242"/>
    <m/>
    <n v="6.0742999999999998E-2"/>
    <n v="2.4590999999999998E-2"/>
    <m/>
    <m/>
    <m/>
    <n v="6.0742999999999998E-2"/>
    <m/>
    <m/>
    <n v="6.0742999999999998E-2"/>
    <m/>
    <m/>
    <m/>
    <m/>
    <m/>
    <m/>
    <n v="302"/>
    <n v="6.0742999999999998E-2"/>
    <n v="2.4590999999999998E-2"/>
    <s v="HIV/AIDS"/>
    <s v="HIV/AIDS"/>
    <x v="1"/>
    <n v="13040"/>
    <x v="1"/>
  </r>
  <r>
    <x v="0"/>
    <n v="302"/>
    <s v="United States"/>
    <x v="1"/>
    <x v="1"/>
    <n v="1"/>
    <s v="AID"/>
    <n v="2011014070"/>
    <s v="76_135575"/>
    <n v="1"/>
    <n v="613"/>
    <s v="Kazakhstan"/>
    <m/>
    <m/>
    <n v="10019"/>
    <s v="UMICs"/>
    <n v="11"/>
    <s v="ODA Grants"/>
    <n v="1"/>
    <n v="10"/>
    <n v="110"/>
    <s v="C01"/>
    <n v="7.4899999999999902E-4"/>
    <n v="2.6499999999999901E-4"/>
    <n v="38.854299999999853"/>
    <m/>
    <n v="7.4899999999999902E-4"/>
    <n v="2.6499999999999901E-4"/>
    <m/>
    <m/>
    <m/>
    <n v="7.4899999999999902E-4"/>
    <m/>
    <m/>
    <n v="7.4899999999999902E-4"/>
    <m/>
    <m/>
    <m/>
    <m/>
    <m/>
    <m/>
    <n v="302"/>
    <n v="7.4899999999999902E-4"/>
    <n v="2.6499999999999901E-4"/>
    <s v="HIV/AIDS"/>
    <s v="HIV/AIDS"/>
    <x v="1"/>
    <n v="13040"/>
    <x v="1"/>
  </r>
  <r>
    <x v="0"/>
    <n v="302"/>
    <s v="United States"/>
    <x v="1"/>
    <x v="1"/>
    <n v="1"/>
    <s v="AID"/>
    <n v="2011014117"/>
    <s v="76_135624"/>
    <n v="1"/>
    <n v="613"/>
    <s v="Kazakhstan"/>
    <m/>
    <m/>
    <n v="10019"/>
    <s v="UMICs"/>
    <n v="11"/>
    <s v="ODA Grants"/>
    <n v="1"/>
    <n v="10"/>
    <n v="110"/>
    <s v="C01"/>
    <n v="1.4450000000000001E-3"/>
    <m/>
    <n v="0"/>
    <m/>
    <n v="1.4450000000000001E-3"/>
    <m/>
    <m/>
    <m/>
    <m/>
    <n v="1.4450000000000001E-3"/>
    <m/>
    <m/>
    <n v="1.4450000000000001E-3"/>
    <m/>
    <m/>
    <m/>
    <m/>
    <m/>
    <m/>
    <n v="302"/>
    <n v="1.4450000000000001E-3"/>
    <m/>
    <s v="HIV/AIDS"/>
    <s v="HIV/AIDS"/>
    <x v="1"/>
    <n v="13040"/>
    <x v="1"/>
  </r>
  <r>
    <x v="0"/>
    <n v="302"/>
    <s v="United States"/>
    <x v="1"/>
    <x v="1"/>
    <n v="1"/>
    <s v="AID"/>
    <n v="2011014116"/>
    <s v="76_135623"/>
    <n v="1"/>
    <n v="613"/>
    <s v="Kazakhstan"/>
    <m/>
    <m/>
    <n v="10019"/>
    <s v="UMICs"/>
    <n v="11"/>
    <s v="ODA Grants"/>
    <n v="1"/>
    <n v="10"/>
    <n v="110"/>
    <s v="C01"/>
    <n v="1.212E-3"/>
    <n v="6.8400000000000004E-4"/>
    <n v="100.28808000000002"/>
    <m/>
    <n v="1.212E-3"/>
    <n v="6.8400000000000004E-4"/>
    <m/>
    <m/>
    <m/>
    <n v="1.212E-3"/>
    <m/>
    <m/>
    <n v="1.212E-3"/>
    <m/>
    <m/>
    <m/>
    <m/>
    <m/>
    <m/>
    <n v="302"/>
    <n v="1.212E-3"/>
    <n v="6.8400000000000004E-4"/>
    <s v="HIV/AIDS"/>
    <s v="HIV/AIDS"/>
    <x v="1"/>
    <n v="13040"/>
    <x v="1"/>
  </r>
  <r>
    <x v="1"/>
    <n v="302"/>
    <s v="United States"/>
    <x v="1"/>
    <x v="1"/>
    <n v="1"/>
    <s v="AID"/>
    <n v="2010028391"/>
    <s v="UEJ33032"/>
    <n v="1"/>
    <n v="613"/>
    <s v="Kazakhstan"/>
    <m/>
    <m/>
    <n v="10019"/>
    <s v="UMICs"/>
    <n v="11"/>
    <s v="ODA Grants"/>
    <n v="1"/>
    <n v="10"/>
    <n v="110"/>
    <s v="C01"/>
    <n v="0.246"/>
    <m/>
    <n v="0"/>
    <m/>
    <n v="0.25124412567488502"/>
    <m/>
    <m/>
    <m/>
    <m/>
    <n v="0.246"/>
    <m/>
    <m/>
    <n v="0.25124412567488502"/>
    <m/>
    <m/>
    <m/>
    <m/>
    <m/>
    <m/>
    <n v="302"/>
    <n v="0.246"/>
    <m/>
    <s v="HIV/AIDS"/>
    <s v="HIV/AIDS"/>
    <x v="1"/>
    <n v="13040"/>
    <x v="1"/>
  </r>
  <r>
    <x v="0"/>
    <n v="302"/>
    <s v="United States"/>
    <x v="1"/>
    <x v="1"/>
    <n v="1"/>
    <s v="AID"/>
    <n v="2011011883"/>
    <s v="76_131412"/>
    <n v="3"/>
    <n v="613"/>
    <s v="Kazakhstan"/>
    <m/>
    <m/>
    <n v="10019"/>
    <s v="UMICs"/>
    <n v="11"/>
    <s v="ODA Grants"/>
    <n v="1"/>
    <n v="10"/>
    <n v="110"/>
    <s v="C01"/>
    <m/>
    <n v="0.246"/>
    <n v="36068.519999999997"/>
    <m/>
    <m/>
    <n v="0.246"/>
    <m/>
    <m/>
    <m/>
    <m/>
    <m/>
    <m/>
    <m/>
    <m/>
    <m/>
    <m/>
    <m/>
    <m/>
    <m/>
    <n v="302"/>
    <m/>
    <n v="0.246"/>
    <s v="HIV/AIDS"/>
    <s v="HIV/AIDS"/>
    <x v="1"/>
    <n v="13040"/>
    <x v="1"/>
  </r>
  <r>
    <x v="1"/>
    <n v="302"/>
    <s v="United States"/>
    <x v="1"/>
    <x v="1"/>
    <n v="1"/>
    <s v="AID"/>
    <n v="2010030912"/>
    <s v="UEJ36046"/>
    <n v="1"/>
    <n v="613"/>
    <s v="Kazakhstan"/>
    <m/>
    <m/>
    <n v="10019"/>
    <s v="UMICs"/>
    <n v="11"/>
    <s v="ODA Grants"/>
    <n v="1"/>
    <n v="10"/>
    <n v="110"/>
    <s v="C01"/>
    <n v="0.17999999999999899"/>
    <m/>
    <n v="0"/>
    <m/>
    <n v="0.183837165127964"/>
    <m/>
    <m/>
    <m/>
    <m/>
    <n v="0.17999999999999899"/>
    <m/>
    <m/>
    <n v="0.183837165127964"/>
    <m/>
    <m/>
    <m/>
    <m/>
    <m/>
    <m/>
    <n v="302"/>
    <n v="0.17999999999999899"/>
    <m/>
    <s v="HIV/AIDS - ASSISTANCE FOR HIV/AIDS"/>
    <s v="HIV/AIDS - Assistance for HIV/AIDS"/>
    <x v="1"/>
    <n v="13040"/>
    <x v="1"/>
  </r>
  <r>
    <x v="0"/>
    <n v="302"/>
    <s v="United States"/>
    <x v="1"/>
    <x v="1"/>
    <n v="1"/>
    <s v="AID"/>
    <n v="2011016419"/>
    <s v="76_140110"/>
    <n v="3"/>
    <n v="613"/>
    <s v="Kazakhstan"/>
    <m/>
    <m/>
    <n v="10019"/>
    <s v="UMICs"/>
    <n v="11"/>
    <s v="ODA Grants"/>
    <n v="1"/>
    <n v="10"/>
    <n v="110"/>
    <s v="C01"/>
    <m/>
    <n v="9.9289000000000002E-2"/>
    <n v="14557.753180000002"/>
    <m/>
    <m/>
    <n v="9.9289000000000002E-2"/>
    <m/>
    <m/>
    <m/>
    <m/>
    <m/>
    <m/>
    <m/>
    <m/>
    <m/>
    <m/>
    <m/>
    <m/>
    <m/>
    <n v="302"/>
    <m/>
    <n v="9.9289000000000002E-2"/>
    <s v="HIV/AIDS - ASSISTANCE FOR HIV/AIDS"/>
    <s v="HIV/AIDS - Assistance for HIV/AIDS"/>
    <x v="1"/>
    <n v="13040"/>
    <x v="1"/>
  </r>
  <r>
    <x v="1"/>
    <n v="302"/>
    <s v="United States"/>
    <x v="1"/>
    <x v="1"/>
    <n v="1"/>
    <s v="AID"/>
    <n v="2010031309"/>
    <s v="UEJ36488"/>
    <n v="3"/>
    <n v="613"/>
    <s v="Kazakhstan"/>
    <m/>
    <m/>
    <n v="10019"/>
    <s v="UMICs"/>
    <n v="11"/>
    <s v="ODA Grants"/>
    <n v="1"/>
    <n v="10"/>
    <n v="110"/>
    <s v="D02"/>
    <m/>
    <n v="4.8760000000000001E-3"/>
    <n v="718.52736000000004"/>
    <m/>
    <m/>
    <n v="4.9799445397997596E-3"/>
    <m/>
    <m/>
    <m/>
    <m/>
    <m/>
    <m/>
    <m/>
    <m/>
    <m/>
    <m/>
    <m/>
    <m/>
    <m/>
    <n v="302"/>
    <m/>
    <n v="4.8760000000000001E-3"/>
    <s v="HIV/AIDS - ASSISTANCE FOR HIV/AIDS"/>
    <s v="HIV/AIDS - Assistance for HIV/AIDS"/>
    <x v="1"/>
    <n v="13040"/>
    <x v="1"/>
  </r>
  <r>
    <x v="1"/>
    <n v="302"/>
    <s v="United States"/>
    <x v="1"/>
    <x v="1"/>
    <n v="1"/>
    <s v="AID"/>
    <n v="2010031311"/>
    <s v="UEJ36496"/>
    <n v="3"/>
    <n v="613"/>
    <s v="Kazakhstan"/>
    <m/>
    <m/>
    <n v="10019"/>
    <s v="UMICs"/>
    <n v="11"/>
    <s v="ODA Grants"/>
    <n v="1"/>
    <n v="10"/>
    <n v="110"/>
    <s v="C01"/>
    <m/>
    <n v="3.0600000000000001E-4"/>
    <n v="45.092160000000007"/>
    <m/>
    <m/>
    <n v="3.1252318071753999E-4"/>
    <m/>
    <m/>
    <m/>
    <m/>
    <m/>
    <m/>
    <m/>
    <m/>
    <m/>
    <m/>
    <m/>
    <m/>
    <m/>
    <n v="302"/>
    <m/>
    <n v="3.0600000000000001E-4"/>
    <s v="HIV/AIDS - ASSISTANCE FOR HIV/AIDS"/>
    <s v="HIV/AIDS - Assistance for HIV/AIDS"/>
    <x v="1"/>
    <n v="13040"/>
    <x v="1"/>
  </r>
  <r>
    <x v="1"/>
    <n v="302"/>
    <s v="United States"/>
    <x v="1"/>
    <x v="1"/>
    <n v="1"/>
    <s v="AID"/>
    <n v="2010031315"/>
    <s v="UEJ36506"/>
    <n v="3"/>
    <n v="613"/>
    <s v="Kazakhstan"/>
    <m/>
    <m/>
    <n v="10019"/>
    <s v="UMICs"/>
    <n v="11"/>
    <s v="ODA Grants"/>
    <n v="1"/>
    <n v="10"/>
    <n v="110"/>
    <s v="C01"/>
    <m/>
    <n v="2.5300000000000002E-4"/>
    <n v="37.282080000000008"/>
    <m/>
    <m/>
    <n v="2.5839334876319502E-4"/>
    <m/>
    <m/>
    <m/>
    <m/>
    <m/>
    <m/>
    <m/>
    <m/>
    <m/>
    <m/>
    <m/>
    <m/>
    <m/>
    <n v="302"/>
    <m/>
    <n v="2.5300000000000002E-4"/>
    <s v="HIV/AIDS - ASSISTANCE FOR HIV/AIDS"/>
    <s v="HIV/AIDS - Assistance for HIV/AIDS"/>
    <x v="1"/>
    <n v="13040"/>
    <x v="1"/>
  </r>
  <r>
    <x v="0"/>
    <n v="971"/>
    <s v="UNAIDS"/>
    <x v="0"/>
    <x v="0"/>
    <n v="1"/>
    <s v="UNAIDS"/>
    <n v="2011000230"/>
    <m/>
    <n v="8"/>
    <n v="613"/>
    <s v="Kazakhstan"/>
    <m/>
    <m/>
    <n v="10019"/>
    <s v="UMICs"/>
    <n v="11"/>
    <s v="ODA Grants"/>
    <n v="4"/>
    <n v="10"/>
    <n v="110"/>
    <s v="C01"/>
    <n v="0.55554906000000004"/>
    <n v="0.55554906000000004"/>
    <n v="81454.603177200013"/>
    <m/>
    <n v="0.55554906000000004"/>
    <n v="0.55554906000000004"/>
    <m/>
    <m/>
    <m/>
    <m/>
    <m/>
    <m/>
    <m/>
    <m/>
    <m/>
    <m/>
    <m/>
    <m/>
    <m/>
    <n v="302"/>
    <n v="0.55554906000000004"/>
    <n v="0.55554906000000004"/>
    <s v="HUMAN RESOURCES AND SYSTEMS OF GOVERNMENT AND CIVIL SOCIETY ENHANCED TO DEVELOP, IMPLEMENT AND SCALE UP EVIDENCE INFORMED COMPREHENSIVE HIV RESPONSES"/>
    <s v="Human resources and systems of government and civil society enhanced to develop, implement and scale up evidence informed comprehensive HIV responses"/>
    <x v="1"/>
    <n v="13040"/>
    <x v="1"/>
  </r>
  <r>
    <x v="1"/>
    <n v="971"/>
    <s v="UNAIDS"/>
    <x v="0"/>
    <x v="0"/>
    <n v="1"/>
    <s v="UNAIDS"/>
    <n v="20100000154"/>
    <m/>
    <n v="8"/>
    <n v="613"/>
    <s v="Kazakhstan"/>
    <m/>
    <m/>
    <n v="10019"/>
    <s v="UMICs"/>
    <n v="11"/>
    <s v="ODA Grants"/>
    <n v="4"/>
    <n v="10"/>
    <n v="110"/>
    <s v="C01"/>
    <n v="1.0319999999999999E-2"/>
    <n v="1.0319999999999999E-2"/>
    <n v="1520.7552000000001"/>
    <m/>
    <n v="1.09939955845684E-2"/>
    <n v="1.09939955845684E-2"/>
    <m/>
    <m/>
    <m/>
    <m/>
    <m/>
    <m/>
    <m/>
    <m/>
    <m/>
    <m/>
    <m/>
    <m/>
    <m/>
    <n v="302"/>
    <n v="1.0319999999999999E-2"/>
    <n v="1.0319999999999999E-2"/>
    <s v="HUMAN RIGHTS BASED AND GENDER RESPONSIVE POLICIES AND APPROACHES TO REDUCE STIGMA AND DISCRIMINATION ARE STRENGTHENED, INCLUDING AS APPROPRIATE FOCUSS"/>
    <s v="Human rights based and gender responsive policies and approaches to reduce stigma and discrimination are strengthened, including as appropriate focussed efforts on sex work, drug use, incarceration and sexual diversity"/>
    <x v="1"/>
    <n v="13040"/>
    <x v="1"/>
  </r>
  <r>
    <x v="2"/>
    <n v="302"/>
    <s v="United States"/>
    <x v="1"/>
    <x v="1"/>
    <n v="1"/>
    <s v="AID"/>
    <n v="2012035986"/>
    <s v="76_2060831"/>
    <n v="3"/>
    <n v="613"/>
    <s v="Kazakhstan"/>
    <m/>
    <m/>
    <n v="10019"/>
    <s v="UMICs"/>
    <n v="11"/>
    <s v="ODA Grants"/>
    <n v="1"/>
    <n v="10"/>
    <n v="110"/>
    <s v="C01"/>
    <m/>
    <n v="6.0018000000000002E-2"/>
    <n v="8949.2839800000002"/>
    <m/>
    <m/>
    <n v="5.8928296179205197E-2"/>
    <m/>
    <m/>
    <m/>
    <m/>
    <m/>
    <m/>
    <m/>
    <m/>
    <m/>
    <m/>
    <m/>
    <m/>
    <m/>
    <n v="302"/>
    <m/>
    <n v="6.0018000000000002E-2"/>
    <s v="KAZ SO 3.2 HEALTH"/>
    <s v="KAZ SO 3.2 HEALTH"/>
    <x v="3"/>
    <n v="12220"/>
    <x v="6"/>
  </r>
  <r>
    <x v="0"/>
    <n v="971"/>
    <s v="UNAIDS"/>
    <x v="0"/>
    <x v="0"/>
    <n v="1"/>
    <s v="UNAIDS"/>
    <n v="2011000232"/>
    <m/>
    <n v="8"/>
    <n v="613"/>
    <s v="Kazakhstan"/>
    <m/>
    <m/>
    <n v="10019"/>
    <s v="UMICs"/>
    <n v="11"/>
    <s v="ODA Grants"/>
    <n v="4"/>
    <n v="10"/>
    <n v="110"/>
    <s v="C01"/>
    <n v="2.1601999999999901E-4"/>
    <n v="2.1601999999999901E-4"/>
    <n v="31.672852399999854"/>
    <m/>
    <n v="2.1601999999999901E-4"/>
    <n v="2.1601999999999901E-4"/>
    <m/>
    <m/>
    <m/>
    <m/>
    <m/>
    <m/>
    <m/>
    <m/>
    <m/>
    <m/>
    <m/>
    <m/>
    <m/>
    <n v="302"/>
    <n v="2.1601999999999901E-4"/>
    <n v="2.1601999999999901E-4"/>
    <s v="LEADERSHIP AND RESOURCE MOBILIZATION FOR A BORADBASED HIV RESPONSE AT COUNTRY, REGIONAL AND GLOBAL LEVELS ARE STRENGTHENED"/>
    <s v="Leadership and resource mobilization for a boradbased HIV response at country, regional and global levels are strengthened"/>
    <x v="1"/>
    <n v="13040"/>
    <x v="1"/>
  </r>
  <r>
    <x v="1"/>
    <n v="971"/>
    <s v="UNAIDS"/>
    <x v="0"/>
    <x v="0"/>
    <n v="1"/>
    <s v="UNAIDS"/>
    <n v="20100000155"/>
    <m/>
    <n v="8"/>
    <n v="613"/>
    <s v="Kazakhstan"/>
    <m/>
    <m/>
    <n v="10019"/>
    <s v="UMICs"/>
    <n v="11"/>
    <s v="ODA Grants"/>
    <n v="4"/>
    <n v="10"/>
    <n v="110"/>
    <s v="C01"/>
    <n v="5.8589999999999901E-4"/>
    <n v="5.8589999999999901E-4"/>
    <n v="86.338223999999869"/>
    <m/>
    <n v="6.24164923740181E-4"/>
    <n v="6.24164923740181E-4"/>
    <m/>
    <m/>
    <m/>
    <m/>
    <m/>
    <m/>
    <m/>
    <m/>
    <m/>
    <m/>
    <m/>
    <m/>
    <m/>
    <n v="302"/>
    <n v="5.8589999999999901E-4"/>
    <n v="5.8589999999999901E-4"/>
    <s v="LEADERSHIP AND RESOURCE MOBILIZATION FOR A BORADBASED HIV RESPONSE AT COUNTRY, REGIONAL AND GLOBAL LEVELS ARE STRENGTHENED."/>
    <s v="Leadership and resource mobilization for a boradbased HIV response at country, regional and global levels are strengthened."/>
    <x v="1"/>
    <n v="13040"/>
    <x v="1"/>
  </r>
  <r>
    <x v="2"/>
    <n v="302"/>
    <s v="United States"/>
    <x v="1"/>
    <x v="1"/>
    <n v="1"/>
    <s v="AID"/>
    <n v="2012038155"/>
    <s v="76_2063512"/>
    <n v="1"/>
    <n v="613"/>
    <s v="Kazakhstan"/>
    <m/>
    <m/>
    <n v="10019"/>
    <s v="UMICs"/>
    <n v="11"/>
    <s v="ODA Grants"/>
    <n v="1"/>
    <n v="10"/>
    <n v="110"/>
    <s v="C01"/>
    <n v="0.05"/>
    <m/>
    <n v="0"/>
    <m/>
    <n v="4.9092185826922902E-2"/>
    <m/>
    <m/>
    <m/>
    <m/>
    <n v="0.05"/>
    <m/>
    <m/>
    <n v="4.9092185826922902E-2"/>
    <m/>
    <m/>
    <m/>
    <m/>
    <m/>
    <m/>
    <n v="302"/>
    <n v="0.05"/>
    <m/>
    <s v="MATERNAL AND CHILD HEALTH"/>
    <s v="Maternal and Child Health"/>
    <x v="0"/>
    <n v="13020"/>
    <x v="0"/>
  </r>
  <r>
    <x v="0"/>
    <n v="302"/>
    <s v="United States"/>
    <x v="1"/>
    <x v="1"/>
    <n v="1"/>
    <s v="AID"/>
    <n v="2011020605"/>
    <s v="76_150448"/>
    <n v="1"/>
    <n v="613"/>
    <s v="Kazakhstan"/>
    <m/>
    <m/>
    <n v="10019"/>
    <s v="UMICs"/>
    <n v="11"/>
    <s v="ODA Grants"/>
    <n v="1"/>
    <n v="10"/>
    <n v="110"/>
    <s v="C01"/>
    <n v="0.27455000000000002"/>
    <n v="0.13021099999999999"/>
    <n v="19091.536819999998"/>
    <m/>
    <n v="0.27455000000000002"/>
    <n v="0.13021099999999999"/>
    <m/>
    <m/>
    <m/>
    <m/>
    <m/>
    <n v="0.27455000000000002"/>
    <m/>
    <m/>
    <n v="0.27455000000000002"/>
    <m/>
    <m/>
    <m/>
    <m/>
    <n v="302"/>
    <n v="0.27455000000000002"/>
    <n v="0.13021099999999999"/>
    <s v="MATERNAL AND CHILD HEALTH"/>
    <s v="Maternal and Child Health"/>
    <x v="0"/>
    <n v="13020"/>
    <x v="0"/>
  </r>
  <r>
    <x v="1"/>
    <n v="302"/>
    <s v="United States"/>
    <x v="1"/>
    <x v="1"/>
    <n v="1"/>
    <s v="AID"/>
    <n v="2010036218"/>
    <s v="UEJ42666"/>
    <n v="1"/>
    <n v="613"/>
    <s v="Kazakhstan"/>
    <m/>
    <m/>
    <n v="10019"/>
    <s v="UMICs"/>
    <n v="11"/>
    <s v="ODA Grants"/>
    <n v="1"/>
    <n v="10"/>
    <n v="110"/>
    <s v="C01"/>
    <n v="0.39710000000000001"/>
    <m/>
    <n v="0"/>
    <m/>
    <n v="0.40556521262397099"/>
    <m/>
    <m/>
    <m/>
    <m/>
    <m/>
    <m/>
    <n v="0.39710000000000001"/>
    <m/>
    <m/>
    <n v="0.40556521262397099"/>
    <m/>
    <m/>
    <m/>
    <m/>
    <n v="302"/>
    <n v="0.39710000000000001"/>
    <m/>
    <s v="MATERNAL AND CHILD HEALTH"/>
    <s v="Maternal and Child Health"/>
    <x v="0"/>
    <n v="13020"/>
    <x v="0"/>
  </r>
  <r>
    <x v="2"/>
    <n v="302"/>
    <s v="United States"/>
    <x v="1"/>
    <x v="1"/>
    <n v="1"/>
    <s v="AID"/>
    <n v="2012037300"/>
    <s v="76_2062532"/>
    <n v="3"/>
    <n v="613"/>
    <s v="Kazakhstan"/>
    <m/>
    <m/>
    <n v="10019"/>
    <s v="UMICs"/>
    <n v="11"/>
    <s v="ODA Grants"/>
    <n v="1"/>
    <n v="10"/>
    <n v="110"/>
    <s v="C01"/>
    <m/>
    <n v="0.13944200000000001"/>
    <n v="20792.196620000002"/>
    <m/>
    <m/>
    <n v="0.136910251521555"/>
    <m/>
    <m/>
    <m/>
    <m/>
    <m/>
    <m/>
    <m/>
    <m/>
    <m/>
    <m/>
    <m/>
    <m/>
    <m/>
    <n v="302"/>
    <m/>
    <n v="0.13944200000000001"/>
    <s v="MATERNAL AND CHILD HEALTH"/>
    <s v="Maternal and Child Health"/>
    <x v="0"/>
    <n v="13020"/>
    <x v="0"/>
  </r>
  <r>
    <x v="2"/>
    <n v="971"/>
    <s v="UNAIDS"/>
    <x v="0"/>
    <x v="0"/>
    <n v="1"/>
    <s v="UNAIDS"/>
    <n v="2012000601"/>
    <m/>
    <n v="8"/>
    <n v="613"/>
    <s v="Kazakhstan"/>
    <m/>
    <m/>
    <n v="10019"/>
    <s v="UMICs"/>
    <n v="11"/>
    <s v="ODA Grants"/>
    <n v="4"/>
    <n v="10"/>
    <n v="110"/>
    <s v="C01"/>
    <n v="4.5535199999999998E-2"/>
    <n v="4.5535199999999998E-2"/>
    <n v="6789.7536720000007"/>
    <m/>
    <n v="4.6540493746527398E-2"/>
    <n v="4.6540493746527398E-2"/>
    <m/>
    <m/>
    <m/>
    <m/>
    <m/>
    <m/>
    <m/>
    <m/>
    <m/>
    <m/>
    <m/>
    <m/>
    <m/>
    <n v="302"/>
    <n v="4.5535199999999998E-2"/>
    <n v="4.5535199999999998E-2"/>
    <s v="NATIONAL CAPACITY, SYSTEMS AND INSTITUTIONS ARE STRENGTHENED TO ADDRESS PREVENTION, TREATMENT, CARE AND SUPPORT PROGRAMMES"/>
    <s v="National capacity, systems and institutions are strengthened to address prevention, treatment, care and support programmes"/>
    <x v="1"/>
    <n v="13040"/>
    <x v="1"/>
  </r>
  <r>
    <x v="1"/>
    <n v="302"/>
    <s v="United States"/>
    <x v="1"/>
    <x v="1"/>
    <n v="1"/>
    <s v="AID"/>
    <n v="2010038463"/>
    <s v="UEJ87918"/>
    <n v="1"/>
    <n v="613"/>
    <s v="Kazakhstan"/>
    <m/>
    <m/>
    <n v="10019"/>
    <s v="UMICs"/>
    <n v="11"/>
    <s v="ODA Grants"/>
    <n v="1"/>
    <n v="10"/>
    <n v="110"/>
    <s v="C01"/>
    <n v="0.35699999999999898"/>
    <m/>
    <n v="0"/>
    <m/>
    <n v="0.36461037750379699"/>
    <m/>
    <m/>
    <m/>
    <m/>
    <m/>
    <m/>
    <n v="0.35699999999999898"/>
    <m/>
    <m/>
    <n v="0.36461037750379699"/>
    <m/>
    <m/>
    <m/>
    <m/>
    <n v="302"/>
    <n v="0.35699999999999898"/>
    <m/>
    <s v="OTHER PUBLIC HEALTH THREATS"/>
    <s v="Other Public Health Threats"/>
    <x v="3"/>
    <n v="12220"/>
    <x v="6"/>
  </r>
  <r>
    <x v="2"/>
    <n v="302"/>
    <s v="United States"/>
    <x v="1"/>
    <x v="1"/>
    <n v="1"/>
    <s v="AID"/>
    <n v="2012040312"/>
    <s v="76_2066439"/>
    <n v="3"/>
    <n v="613"/>
    <s v="Kazakhstan"/>
    <m/>
    <m/>
    <n v="10019"/>
    <s v="UMICs"/>
    <n v="11"/>
    <s v="ODA Grants"/>
    <n v="1"/>
    <n v="10"/>
    <n v="110"/>
    <s v="C01"/>
    <m/>
    <n v="7.4117000000000002E-2"/>
    <n v="11051.585870000003"/>
    <m/>
    <m/>
    <n v="7.27713107386809E-2"/>
    <m/>
    <m/>
    <m/>
    <m/>
    <m/>
    <m/>
    <m/>
    <m/>
    <m/>
    <m/>
    <m/>
    <m/>
    <m/>
    <n v="302"/>
    <m/>
    <n v="7.4117000000000002E-2"/>
    <s v="OTHER PUBLIC HEALTH THREATS"/>
    <s v="Other Public Health Threats"/>
    <x v="3"/>
    <n v="12220"/>
    <x v="6"/>
  </r>
  <r>
    <x v="0"/>
    <n v="302"/>
    <s v="United States"/>
    <x v="1"/>
    <x v="1"/>
    <n v="1"/>
    <s v="AID"/>
    <n v="2011023236"/>
    <s v="76_237118"/>
    <n v="3"/>
    <n v="613"/>
    <s v="Kazakhstan"/>
    <m/>
    <m/>
    <n v="10019"/>
    <s v="UMICs"/>
    <n v="11"/>
    <s v="ODA Grants"/>
    <n v="1"/>
    <n v="10"/>
    <n v="110"/>
    <s v="C01"/>
    <m/>
    <n v="0.11330800000000001"/>
    <n v="16613.218960000002"/>
    <m/>
    <m/>
    <n v="0.11330800000000001"/>
    <m/>
    <m/>
    <m/>
    <m/>
    <m/>
    <m/>
    <m/>
    <m/>
    <m/>
    <m/>
    <m/>
    <m/>
    <m/>
    <n v="302"/>
    <m/>
    <n v="0.11330800000000001"/>
    <s v="OTHER PUBLIC HEALTH THREATS"/>
    <s v="Other Public Health Threats"/>
    <x v="3"/>
    <n v="12220"/>
    <x v="6"/>
  </r>
  <r>
    <x v="1"/>
    <n v="302"/>
    <s v="United States"/>
    <x v="1"/>
    <x v="1"/>
    <n v="1"/>
    <s v="AID"/>
    <n v="2010038532"/>
    <s v="UEJ88009"/>
    <n v="3"/>
    <n v="613"/>
    <s v="Kazakhstan"/>
    <m/>
    <m/>
    <n v="10019"/>
    <s v="UMICs"/>
    <n v="11"/>
    <s v="ODA Grants"/>
    <n v="1"/>
    <n v="10"/>
    <n v="110"/>
    <s v="D02"/>
    <m/>
    <n v="1.9295E-2"/>
    <n v="2843.3112000000001"/>
    <m/>
    <m/>
    <n v="1.9706322784133701E-2"/>
    <m/>
    <m/>
    <m/>
    <m/>
    <m/>
    <m/>
    <m/>
    <m/>
    <m/>
    <m/>
    <m/>
    <m/>
    <m/>
    <n v="302"/>
    <m/>
    <n v="1.9295E-2"/>
    <s v="OTHER PUBLIC HEALTH THREATS"/>
    <s v="Other Public Health Threats"/>
    <x v="3"/>
    <n v="12220"/>
    <x v="6"/>
  </r>
  <r>
    <x v="1"/>
    <n v="302"/>
    <s v="United States"/>
    <x v="1"/>
    <x v="1"/>
    <n v="1"/>
    <s v="AID"/>
    <n v="2010038539"/>
    <s v="UEJ88025"/>
    <n v="3"/>
    <n v="613"/>
    <s v="Kazakhstan"/>
    <m/>
    <m/>
    <n v="10019"/>
    <s v="UMICs"/>
    <n v="11"/>
    <s v="ODA Grants"/>
    <n v="1"/>
    <n v="10"/>
    <n v="110"/>
    <s v="C01"/>
    <m/>
    <n v="6.9999999999999994E-5"/>
    <n v="10.315200000000001"/>
    <m/>
    <m/>
    <n v="7.1492230883097403E-5"/>
    <m/>
    <m/>
    <m/>
    <m/>
    <m/>
    <m/>
    <m/>
    <m/>
    <m/>
    <m/>
    <m/>
    <m/>
    <m/>
    <n v="302"/>
    <m/>
    <n v="6.9999999999999994E-5"/>
    <s v="OTHER PUBLIC HEALTH THREATS"/>
    <s v="Other Public Health Threats"/>
    <x v="3"/>
    <n v="12220"/>
    <x v="6"/>
  </r>
  <r>
    <x v="1"/>
    <n v="302"/>
    <s v="United States"/>
    <x v="1"/>
    <x v="1"/>
    <n v="1"/>
    <s v="AID"/>
    <n v="2010038541"/>
    <s v="UEJ88031"/>
    <n v="3"/>
    <n v="613"/>
    <s v="Kazakhstan"/>
    <m/>
    <m/>
    <n v="10019"/>
    <s v="UMICs"/>
    <n v="11"/>
    <s v="ODA Grants"/>
    <n v="1"/>
    <n v="10"/>
    <n v="110"/>
    <s v="C01"/>
    <m/>
    <n v="5.5820000000000002E-3"/>
    <n v="822.56352000000015"/>
    <m/>
    <m/>
    <n v="5.7009947541350001E-3"/>
    <m/>
    <m/>
    <m/>
    <m/>
    <m/>
    <m/>
    <m/>
    <m/>
    <m/>
    <m/>
    <m/>
    <m/>
    <m/>
    <n v="302"/>
    <m/>
    <n v="5.5820000000000002E-3"/>
    <s v="OTHER PUBLIC HEALTH THREATS"/>
    <s v="Other Public Health Threats"/>
    <x v="3"/>
    <n v="12220"/>
    <x v="6"/>
  </r>
  <r>
    <x v="0"/>
    <n v="302"/>
    <s v="United States"/>
    <x v="1"/>
    <x v="1"/>
    <n v="12"/>
    <s v="TDA"/>
    <n v="2011054965"/>
    <s v="70_6749"/>
    <n v="1"/>
    <n v="613"/>
    <s v="Kazakhstan"/>
    <m/>
    <m/>
    <n v="10019"/>
    <s v="UMICs"/>
    <n v="11"/>
    <s v="ODA Grants"/>
    <n v="1"/>
    <n v="10"/>
    <n v="110"/>
    <s v="D02"/>
    <n v="0.27106200000000003"/>
    <m/>
    <n v="0"/>
    <m/>
    <n v="0.27106200000000003"/>
    <m/>
    <m/>
    <m/>
    <m/>
    <m/>
    <m/>
    <n v="0.27106200000000003"/>
    <m/>
    <m/>
    <n v="0.27106200000000003"/>
    <m/>
    <m/>
    <m/>
    <m/>
    <n v="302"/>
    <n v="0.27106200000000003"/>
    <m/>
    <s v="REVERSE TRADE MISSION - HEALTH EQUIPMENT REVERSE TRADE MISSION"/>
    <s v="Reverse Trade Mission - Health Equipment Reverse Trade Mission"/>
    <x v="3"/>
    <n v="12230"/>
    <x v="5"/>
  </r>
  <r>
    <x v="0"/>
    <n v="302"/>
    <s v="United States"/>
    <x v="1"/>
    <x v="1"/>
    <n v="12"/>
    <s v="TDA"/>
    <n v="2011054964"/>
    <s v="70_6748"/>
    <n v="1"/>
    <n v="613"/>
    <s v="Kazakhstan"/>
    <m/>
    <m/>
    <n v="10019"/>
    <s v="UMICs"/>
    <n v="11"/>
    <s v="ODA Grants"/>
    <n v="1"/>
    <n v="10"/>
    <n v="110"/>
    <s v="D02"/>
    <n v="1.3818E-2"/>
    <m/>
    <n v="0"/>
    <m/>
    <n v="1.3818E-2"/>
    <m/>
    <m/>
    <m/>
    <m/>
    <m/>
    <m/>
    <n v="1.3818E-2"/>
    <m/>
    <m/>
    <n v="1.3818E-2"/>
    <m/>
    <m/>
    <m/>
    <m/>
    <n v="302"/>
    <n v="1.3818E-2"/>
    <m/>
    <s v="REVERSE TRADE MISSION - HEALTH EQUIPMENT REVERSE TRADE MISSION"/>
    <s v="Reverse Trade Mission - Health Equipment Reverse Trade Mission"/>
    <x v="3"/>
    <n v="12230"/>
    <x v="5"/>
  </r>
  <r>
    <x v="2"/>
    <n v="971"/>
    <s v="UNAIDS"/>
    <x v="0"/>
    <x v="0"/>
    <n v="1"/>
    <s v="UNAIDS"/>
    <n v="2012000603"/>
    <m/>
    <n v="8"/>
    <n v="613"/>
    <s v="Kazakhstan"/>
    <m/>
    <m/>
    <n v="10019"/>
    <s v="UMICs"/>
    <n v="11"/>
    <s v="ODA Grants"/>
    <n v="4"/>
    <n v="10"/>
    <n v="110"/>
    <s v="C01"/>
    <n v="0.106834199999999"/>
    <n v="0.106834199999999"/>
    <n v="15930.047561999852"/>
    <m/>
    <n v="0.109192809453241"/>
    <n v="0.109192809453241"/>
    <m/>
    <m/>
    <m/>
    <m/>
    <m/>
    <m/>
    <m/>
    <m/>
    <m/>
    <m/>
    <m/>
    <m/>
    <m/>
    <n v="302"/>
    <n v="0.106834199999999"/>
    <n v="0.106834199999999"/>
    <s v="SKILLS BUILT TO ADDRESS GENDER, GIPA AND HUMAN RIGHTS ASPECTS OF THE HIV EPIDEMIC"/>
    <s v="Skills built to address gender, GIPA and human rights aspects of the HIV epidemic"/>
    <x v="1"/>
    <n v="13040"/>
    <x v="1"/>
  </r>
  <r>
    <x v="2"/>
    <n v="971"/>
    <s v="UNAIDS"/>
    <x v="0"/>
    <x v="0"/>
    <n v="1"/>
    <s v="UNAIDS"/>
    <n v="2012000600"/>
    <m/>
    <n v="8"/>
    <n v="613"/>
    <s v="Kazakhstan"/>
    <m/>
    <m/>
    <n v="10019"/>
    <s v="UMICs"/>
    <n v="11"/>
    <s v="ODA Grants"/>
    <n v="4"/>
    <n v="10"/>
    <n v="110"/>
    <s v="C01"/>
    <n v="7.4064999999999903E-3"/>
    <n v="7.4064999999999903E-3"/>
    <n v="1104.3832149999985"/>
    <m/>
    <n v="7.5700154371487402E-3"/>
    <n v="7.5700154371487402E-3"/>
    <m/>
    <m/>
    <m/>
    <m/>
    <m/>
    <m/>
    <m/>
    <m/>
    <m/>
    <m/>
    <m/>
    <m/>
    <m/>
    <n v="302"/>
    <n v="7.4064999999999903E-3"/>
    <n v="7.4064999999999903E-3"/>
    <s v="STRATEGIC INFORMATION STRENGTHENED AND AVAILABLE TO SUPPORT KNOWING YOUR EPIDEMIC, GUIDING AN EVIDENCE INFORMED RESPONSE AND IMPROVING ACCOUNTABILITY"/>
    <s v="Strategic information strengthened and available to support knowing your epidemic, guiding an evidence informed response and improving accountability"/>
    <x v="1"/>
    <n v="13040"/>
    <x v="1"/>
  </r>
  <r>
    <x v="0"/>
    <n v="971"/>
    <s v="UNAIDS"/>
    <x v="0"/>
    <x v="0"/>
    <n v="1"/>
    <s v="UNAIDS"/>
    <n v="2011000233"/>
    <m/>
    <n v="8"/>
    <n v="613"/>
    <s v="Kazakhstan"/>
    <m/>
    <m/>
    <n v="10019"/>
    <s v="UMICs"/>
    <n v="11"/>
    <s v="ODA Grants"/>
    <n v="4"/>
    <n v="10"/>
    <n v="110"/>
    <s v="C01"/>
    <n v="4.0322179999999999E-2"/>
    <n v="4.0322179999999999E-2"/>
    <n v="5912.0380316000001"/>
    <m/>
    <n v="4.0322179999999999E-2"/>
    <n v="4.0322179999999999E-2"/>
    <m/>
    <m/>
    <m/>
    <m/>
    <m/>
    <m/>
    <m/>
    <m/>
    <m/>
    <m/>
    <m/>
    <m/>
    <m/>
    <n v="302"/>
    <n v="4.0322179999999999E-2"/>
    <n v="4.0322179999999999E-2"/>
    <s v="STRATEGIC INFORMATION STRENGTHENED AND AVAILABLE TO SUPPORT KNOWING YOUR EPIDEMIC, GUIDING AN EVIDENCE INFORMED RESPONSE AND IMPROVING ACCOUNTABILITY"/>
    <s v="Strategic information strengthened and available to support knowing your epidemic, guiding an evidence informed response and improving accountability"/>
    <x v="1"/>
    <n v="13040"/>
    <x v="1"/>
  </r>
  <r>
    <x v="1"/>
    <n v="971"/>
    <s v="UNAIDS"/>
    <x v="0"/>
    <x v="0"/>
    <n v="1"/>
    <s v="UNAIDS"/>
    <n v="20100000156"/>
    <m/>
    <n v="8"/>
    <n v="613"/>
    <s v="Kazakhstan"/>
    <m/>
    <m/>
    <n v="10019"/>
    <s v="UMICs"/>
    <n v="11"/>
    <s v="ODA Grants"/>
    <n v="4"/>
    <n v="10"/>
    <n v="110"/>
    <s v="C01"/>
    <n v="2.4397700000000001E-2"/>
    <n v="2.4397700000000001E-2"/>
    <n v="3595.2450720000006"/>
    <m/>
    <n v="2.5991105239692398E-2"/>
    <n v="2.5991105239692398E-2"/>
    <m/>
    <m/>
    <m/>
    <m/>
    <m/>
    <m/>
    <m/>
    <m/>
    <m/>
    <m/>
    <m/>
    <m/>
    <m/>
    <n v="302"/>
    <n v="2.4397700000000001E-2"/>
    <n v="2.4397700000000001E-2"/>
    <s v="STRATEGIC INFORMATION STRENGTHENED AND AVAILABLE TO SUPPORT KNOWING YOUR EPIDEMIC, GUIDING AN EVIDENCE INFORMED RESPONSE AND IMPROVING ACCOUNTABILITY."/>
    <s v="Strategic information strengthened and available to support knowing your epidemic, guiding an evidence informed response and improving accountability."/>
    <x v="1"/>
    <n v="13040"/>
    <x v="1"/>
  </r>
  <r>
    <x v="2"/>
    <n v="971"/>
    <s v="UNAIDS"/>
    <x v="0"/>
    <x v="0"/>
    <n v="1"/>
    <s v="UNAIDS"/>
    <n v="2012000602"/>
    <m/>
    <n v="8"/>
    <n v="613"/>
    <s v="Kazakhstan"/>
    <m/>
    <m/>
    <n v="10019"/>
    <s v="UMICs"/>
    <n v="11"/>
    <s v="ODA Grants"/>
    <n v="4"/>
    <n v="10"/>
    <n v="110"/>
    <s v="C01"/>
    <n v="0.2111615"/>
    <n v="0.2111615"/>
    <n v="31486.291265000003"/>
    <m/>
    <n v="0.21582337335198501"/>
    <n v="0.21582337335198501"/>
    <m/>
    <m/>
    <m/>
    <m/>
    <m/>
    <m/>
    <m/>
    <m/>
    <m/>
    <m/>
    <m/>
    <m/>
    <m/>
    <n v="302"/>
    <n v="0.2111615"/>
    <n v="0.2111615"/>
    <s v="STRATEGIC INFORMATION TOOLS AND PROCESSES REFINED, SHARED AND UTILIZED FOR DECISION MAKING"/>
    <s v="Strategic information tools and processes refined, shared and utilized for decision making"/>
    <x v="1"/>
    <n v="13040"/>
    <x v="1"/>
  </r>
  <r>
    <x v="0"/>
    <n v="302"/>
    <s v="United States"/>
    <x v="1"/>
    <x v="1"/>
    <n v="1"/>
    <s v="AID"/>
    <n v="2011029227"/>
    <s v="76_254148"/>
    <n v="1"/>
    <n v="613"/>
    <s v="Kazakhstan"/>
    <m/>
    <m/>
    <n v="10019"/>
    <s v="UMICs"/>
    <n v="11"/>
    <s v="ODA Grants"/>
    <n v="1"/>
    <n v="10"/>
    <n v="110"/>
    <s v="C01"/>
    <n v="0.73784799999999895"/>
    <n v="0.55700000000000005"/>
    <n v="81667.340000000011"/>
    <m/>
    <n v="0.73784799999999895"/>
    <n v="0.55700000000000005"/>
    <m/>
    <m/>
    <m/>
    <m/>
    <m/>
    <n v="0.73784799999999895"/>
    <m/>
    <m/>
    <n v="0.73784799999999895"/>
    <m/>
    <m/>
    <m/>
    <m/>
    <n v="302"/>
    <n v="0.73784799999999895"/>
    <n v="0.55700000000000005"/>
    <s v="TUBERCULOSIS"/>
    <s v="Tuberculosis"/>
    <x v="1"/>
    <n v="12263"/>
    <x v="4"/>
  </r>
  <r>
    <x v="0"/>
    <n v="302"/>
    <s v="United States"/>
    <x v="1"/>
    <x v="1"/>
    <n v="1"/>
    <s v="AID"/>
    <n v="2011029223"/>
    <s v="76_254148"/>
    <n v="1"/>
    <n v="613"/>
    <s v="Kazakhstan"/>
    <m/>
    <m/>
    <n v="10019"/>
    <s v="UMICs"/>
    <n v="11"/>
    <s v="ODA Grants"/>
    <n v="1"/>
    <n v="10"/>
    <n v="110"/>
    <s v="C01"/>
    <n v="0.2954"/>
    <n v="0.117311"/>
    <n v="17200.13882"/>
    <m/>
    <n v="0.2954"/>
    <n v="0.117311"/>
    <m/>
    <m/>
    <m/>
    <m/>
    <m/>
    <n v="0.2954"/>
    <m/>
    <m/>
    <n v="0.2954"/>
    <m/>
    <m/>
    <m/>
    <m/>
    <n v="302"/>
    <n v="0.2954"/>
    <n v="0.117311"/>
    <s v="TUBERCULOSIS"/>
    <s v="Tuberculosis"/>
    <x v="1"/>
    <n v="12263"/>
    <x v="4"/>
  </r>
  <r>
    <x v="1"/>
    <n v="302"/>
    <s v="United States"/>
    <x v="1"/>
    <x v="1"/>
    <n v="1"/>
    <s v="AID"/>
    <n v="2010045823"/>
    <s v="UEJ98136"/>
    <n v="1"/>
    <n v="613"/>
    <s v="Kazakhstan"/>
    <m/>
    <m/>
    <n v="10019"/>
    <s v="UMICs"/>
    <n v="11"/>
    <s v="ODA Grants"/>
    <n v="1"/>
    <n v="10"/>
    <n v="110"/>
    <s v="C01"/>
    <n v="1.4446749999999899"/>
    <m/>
    <n v="0"/>
    <m/>
    <n v="1.4754719807291199"/>
    <m/>
    <m/>
    <m/>
    <m/>
    <m/>
    <m/>
    <n v="1.4446749999999899"/>
    <m/>
    <m/>
    <n v="1.4754719807291199"/>
    <m/>
    <m/>
    <m/>
    <m/>
    <n v="302"/>
    <n v="1.4446749999999899"/>
    <m/>
    <s v="TUBERCULOSIS"/>
    <s v="Tuberculosis"/>
    <x v="1"/>
    <n v="12263"/>
    <x v="4"/>
  </r>
  <r>
    <x v="1"/>
    <n v="302"/>
    <s v="United States"/>
    <x v="1"/>
    <x v="1"/>
    <n v="1"/>
    <s v="AID"/>
    <n v="2010046049"/>
    <s v="UEJ98401"/>
    <n v="1"/>
    <n v="613"/>
    <s v="Kazakhstan"/>
    <m/>
    <m/>
    <n v="10019"/>
    <s v="UMICs"/>
    <n v="11"/>
    <s v="ODA Grants"/>
    <n v="1"/>
    <n v="10"/>
    <n v="110"/>
    <s v="C01"/>
    <n v="0.55700000000000005"/>
    <m/>
    <n v="0"/>
    <m/>
    <n v="0.56887389431264601"/>
    <m/>
    <m/>
    <m/>
    <m/>
    <m/>
    <m/>
    <n v="0.55700000000000005"/>
    <m/>
    <m/>
    <n v="0.56887389431264601"/>
    <m/>
    <m/>
    <m/>
    <m/>
    <n v="302"/>
    <n v="0.55700000000000005"/>
    <m/>
    <s v="TUBERCULOSIS"/>
    <s v="Tuberculosis"/>
    <x v="1"/>
    <n v="12263"/>
    <x v="4"/>
  </r>
  <r>
    <x v="2"/>
    <n v="302"/>
    <s v="United States"/>
    <x v="1"/>
    <x v="1"/>
    <n v="1"/>
    <s v="AID"/>
    <n v="2012048122"/>
    <s v="76_2078676"/>
    <n v="3"/>
    <n v="613"/>
    <s v="Kazakhstan"/>
    <m/>
    <m/>
    <n v="10019"/>
    <s v="UMICs"/>
    <n v="11"/>
    <s v="ODA Grants"/>
    <n v="1"/>
    <n v="10"/>
    <n v="110"/>
    <s v="C01"/>
    <m/>
    <n v="0.60679799999999895"/>
    <n v="90479.649779999847"/>
    <m/>
    <m/>
    <n v="0.59578080350810403"/>
    <m/>
    <m/>
    <m/>
    <m/>
    <m/>
    <m/>
    <m/>
    <m/>
    <m/>
    <m/>
    <m/>
    <m/>
    <m/>
    <n v="302"/>
    <m/>
    <n v="0.60679799999999895"/>
    <s v="TUBERCULOSIS"/>
    <s v="Tuberculosis"/>
    <x v="1"/>
    <n v="12263"/>
    <x v="4"/>
  </r>
  <r>
    <x v="0"/>
    <n v="302"/>
    <s v="United States"/>
    <x v="1"/>
    <x v="1"/>
    <n v="1"/>
    <s v="AID"/>
    <n v="2011029555"/>
    <s v="76_254852"/>
    <n v="3"/>
    <n v="613"/>
    <s v="Kazakhstan"/>
    <m/>
    <m/>
    <n v="10019"/>
    <s v="UMICs"/>
    <n v="11"/>
    <s v="ODA Grants"/>
    <n v="1"/>
    <n v="10"/>
    <n v="110"/>
    <s v="C01"/>
    <m/>
    <n v="7.4999999999999899E-5"/>
    <n v="10.996499999999985"/>
    <m/>
    <m/>
    <n v="7.4999999999999899E-5"/>
    <m/>
    <m/>
    <m/>
    <m/>
    <m/>
    <m/>
    <m/>
    <m/>
    <m/>
    <m/>
    <m/>
    <m/>
    <m/>
    <n v="302"/>
    <m/>
    <n v="7.4999999999999899E-5"/>
    <s v="TUBERCULOSIS"/>
    <s v="Tuberculosis"/>
    <x v="1"/>
    <n v="12263"/>
    <x v="4"/>
  </r>
  <r>
    <x v="1"/>
    <n v="302"/>
    <s v="United States"/>
    <x v="1"/>
    <x v="1"/>
    <n v="1"/>
    <s v="AID"/>
    <n v="2010046079"/>
    <s v="UEJ98435"/>
    <n v="3"/>
    <n v="613"/>
    <s v="Kazakhstan"/>
    <m/>
    <m/>
    <n v="10019"/>
    <s v="UMICs"/>
    <n v="11"/>
    <s v="ODA Grants"/>
    <n v="1"/>
    <n v="10"/>
    <n v="110"/>
    <s v="C01"/>
    <m/>
    <n v="2.2699999999999999E-4"/>
    <n v="33.450720000000004"/>
    <m/>
    <m/>
    <n v="2.3183909157804399E-4"/>
    <m/>
    <m/>
    <m/>
    <m/>
    <m/>
    <m/>
    <m/>
    <m/>
    <m/>
    <m/>
    <m/>
    <m/>
    <m/>
    <n v="302"/>
    <m/>
    <n v="2.2699999999999999E-4"/>
    <s v="TUBERCULOSIS"/>
    <s v="Tuberculosis"/>
    <x v="1"/>
    <n v="12263"/>
    <x v="4"/>
  </r>
  <r>
    <x v="1"/>
    <n v="302"/>
    <s v="United States"/>
    <x v="1"/>
    <x v="1"/>
    <n v="1"/>
    <s v="AID"/>
    <n v="2010046080"/>
    <s v="UEJ98436"/>
    <n v="3"/>
    <n v="613"/>
    <s v="Kazakhstan"/>
    <m/>
    <m/>
    <n v="10019"/>
    <s v="UMICs"/>
    <n v="11"/>
    <s v="ODA Grants"/>
    <n v="1"/>
    <n v="10"/>
    <n v="110"/>
    <s v="C01"/>
    <m/>
    <n v="8.9999999999999897E-5"/>
    <n v="13.262399999999987"/>
    <m/>
    <m/>
    <n v="9.1918582563982402E-5"/>
    <m/>
    <m/>
    <m/>
    <m/>
    <m/>
    <m/>
    <m/>
    <m/>
    <m/>
    <m/>
    <m/>
    <m/>
    <m/>
    <n v="302"/>
    <m/>
    <n v="8.9999999999999897E-5"/>
    <s v="TUBERCULOSIS"/>
    <s v="Tuberculosis"/>
    <x v="1"/>
    <n v="12263"/>
    <x v="4"/>
  </r>
  <r>
    <x v="1"/>
    <n v="302"/>
    <s v="United States"/>
    <x v="1"/>
    <x v="1"/>
    <n v="1"/>
    <s v="AID"/>
    <n v="2010045881"/>
    <s v="UEJ98198"/>
    <n v="3"/>
    <n v="613"/>
    <s v="Kazakhstan"/>
    <m/>
    <m/>
    <n v="10019"/>
    <s v="UMICs"/>
    <n v="11"/>
    <s v="ODA Grants"/>
    <n v="1"/>
    <n v="10"/>
    <n v="110"/>
    <s v="C01"/>
    <m/>
    <n v="2.81E-4"/>
    <n v="41.408160000000009"/>
    <m/>
    <m/>
    <n v="2.8699024111643399E-4"/>
    <m/>
    <m/>
    <m/>
    <m/>
    <m/>
    <m/>
    <m/>
    <m/>
    <m/>
    <m/>
    <m/>
    <m/>
    <m/>
    <n v="302"/>
    <m/>
    <n v="2.81E-4"/>
    <s v="TUBERCULOSIS"/>
    <s v="Tuberculosis"/>
    <x v="1"/>
    <n v="12263"/>
    <x v="4"/>
  </r>
  <r>
    <x v="0"/>
    <n v="742"/>
    <s v="Korea"/>
    <x v="1"/>
    <x v="1"/>
    <n v="99"/>
    <s v="MISC"/>
    <n v="2011000534"/>
    <n v="20111590002"/>
    <n v="8"/>
    <n v="613"/>
    <s v="Kazakhstan"/>
    <m/>
    <m/>
    <n v="10019"/>
    <s v="UMICs"/>
    <n v="11"/>
    <s v="ODA Grants"/>
    <n v="1"/>
    <n v="10"/>
    <n v="110"/>
    <s v="D01"/>
    <n v="1.3727E-2"/>
    <n v="1.3727E-2"/>
    <n v="2012.65274"/>
    <m/>
    <n v="1.3727E-2"/>
    <n v="1.3727E-2"/>
    <m/>
    <m/>
    <m/>
    <n v="1.3727E-2"/>
    <n v="0"/>
    <n v="0"/>
    <n v="1.3727E-2"/>
    <n v="0"/>
    <n v="0"/>
    <m/>
    <m/>
    <m/>
    <m/>
    <n v="302"/>
    <n v="1.3727E-2"/>
    <n v="1.3727E-2"/>
    <s v="/VOLUNTEER MEDICAL SERVICES IN ALMATY CITY, KAZAKHSTAN/"/>
    <s v="/Volunteer medical services in Almaty City, Kazakhstan/"/>
    <x v="5"/>
    <n v="12191"/>
    <x v="8"/>
  </r>
  <r>
    <x v="0"/>
    <n v="1"/>
    <s v="Austria"/>
    <x v="1"/>
    <x v="1"/>
    <n v="15"/>
    <s v="BMWF"/>
    <s v="2011818036aw"/>
    <s v="bmwf-049-geo22/2011"/>
    <n v="3"/>
    <n v="613"/>
    <s v="Kazakhstan"/>
    <m/>
    <m/>
    <n v="10019"/>
    <s v="UMICs"/>
    <n v="11"/>
    <s v="ODA Grants"/>
    <n v="1"/>
    <n v="10"/>
    <n v="110"/>
    <s v="E01"/>
    <n v="0"/>
    <n v="3.7121783370411499E-2"/>
    <n v="5442.7958777697349"/>
    <n v="0"/>
    <n v="0"/>
    <n v="3.7121783370411499E-2"/>
    <n v="0"/>
    <m/>
    <m/>
    <n v="0"/>
    <m/>
    <n v="0"/>
    <n v="0"/>
    <m/>
    <n v="0"/>
    <m/>
    <m/>
    <m/>
    <m/>
    <n v="918"/>
    <n v="0"/>
    <n v="2.6697986600000001E-2"/>
    <s v="AUSTRIAN MEDICAL SEMINARS - ADVANCED TRAINING FOR HEALTH"/>
    <s v="Austrian Medical Seminars - advanced training for health"/>
    <x v="4"/>
    <n v="12181"/>
    <x v="7"/>
  </r>
  <r>
    <x v="1"/>
    <n v="1"/>
    <s v="Austria"/>
    <x v="1"/>
    <x v="1"/>
    <n v="15"/>
    <s v="BMWF"/>
    <s v="2010818091bj"/>
    <s v="bmwf-056-geo35/2010"/>
    <n v="3"/>
    <n v="613"/>
    <s v="Kazakhstan"/>
    <m/>
    <m/>
    <n v="10019"/>
    <s v="UMICs"/>
    <n v="11"/>
    <s v="ODA Grants"/>
    <n v="1"/>
    <n v="10"/>
    <n v="110"/>
    <s v="E01"/>
    <n v="0"/>
    <n v="4.7912110463576102E-2"/>
    <n v="7060.3285979125749"/>
    <n v="0"/>
    <n v="0"/>
    <n v="5.1361425130444699E-2"/>
    <n v="0"/>
    <m/>
    <m/>
    <n v="0"/>
    <m/>
    <n v="0"/>
    <n v="0"/>
    <m/>
    <n v="0"/>
    <m/>
    <m/>
    <m/>
    <m/>
    <n v="918"/>
    <n v="0"/>
    <n v="3.6173643399999997E-2"/>
    <s v="AUSTRIAN MEDICAL SEMINARS - ADVANCED TRAINING FOR HEALTH PROFESSIONALS"/>
    <s v="Austrian Medical Seminars - advanced training for health professionals"/>
    <x v="4"/>
    <n v="12181"/>
    <x v="7"/>
  </r>
  <r>
    <x v="2"/>
    <n v="742"/>
    <s v="Korea"/>
    <x v="1"/>
    <x v="1"/>
    <n v="99"/>
    <s v="MISC"/>
    <n v="2012002299"/>
    <n v="20121590002"/>
    <n v="8"/>
    <n v="613"/>
    <s v="Kazakhstan"/>
    <m/>
    <m/>
    <n v="10019"/>
    <s v="UMICs"/>
    <n v="11"/>
    <s v="ODA Grants"/>
    <n v="1"/>
    <n v="10"/>
    <n v="110"/>
    <s v="D01"/>
    <n v="1.7763000000000001E-2"/>
    <n v="1.7763000000000001E-2"/>
    <n v="2648.6409300000005"/>
    <n v="0"/>
    <n v="1.7835015653004899E-2"/>
    <n v="1.7835015653004899E-2"/>
    <n v="0"/>
    <m/>
    <m/>
    <n v="1.7763000000000001E-2"/>
    <n v="0"/>
    <n v="0"/>
    <n v="1.7835015653004899E-2"/>
    <n v="0"/>
    <n v="0"/>
    <m/>
    <m/>
    <m/>
    <m/>
    <n v="302"/>
    <n v="1.7763000000000001E-2"/>
    <n v="1.7763000000000001E-2"/>
    <s v="MEDICAL SERVICES"/>
    <s v="Volunteer medical services in Almaty City, Kazakhstan"/>
    <x v="5"/>
    <n v="12191"/>
    <x v="8"/>
  </r>
  <r>
    <x v="0"/>
    <n v="918"/>
    <s v="EU Institutions"/>
    <x v="1"/>
    <x v="1"/>
    <n v="2"/>
    <s v="EDF"/>
    <n v="2010000337011"/>
    <s v="SCR.CTR.259544"/>
    <n v="3"/>
    <n v="613"/>
    <s v="Kazakhstan"/>
    <m/>
    <m/>
    <n v="10019"/>
    <s v="UMICs"/>
    <n v="11"/>
    <s v="ODA Grants"/>
    <n v="1"/>
    <n v="10"/>
    <n v="110"/>
    <s v="C01"/>
    <n v="0"/>
    <n v="2.2616879866518301E-2"/>
    <n v="3316.0869260289132"/>
    <n v="0"/>
    <n v="0"/>
    <n v="2.2616879866518301E-2"/>
    <n v="0"/>
    <m/>
    <m/>
    <n v="0"/>
    <n v="0"/>
    <n v="0"/>
    <n v="0"/>
    <n v="0"/>
    <n v="0"/>
    <m/>
    <m/>
    <m/>
    <m/>
    <n v="918"/>
    <n v="0"/>
    <n v="1.6266059999999902E-2"/>
    <s v="OPERATIONAL SHORT-TERM TECHNICAL ASSISTANCE RELATED TO THE FINANCIAL AND TECHNICAL COOPERATION WITH CENTRAL ASIA"/>
    <s v="Operational short-term technical assistance related to the financial and technical cooperation with Central Asia"/>
    <x v="4"/>
    <n v="13081"/>
    <x v="7"/>
  </r>
  <r>
    <x v="0"/>
    <n v="918"/>
    <s v="EU Institutions"/>
    <x v="1"/>
    <x v="1"/>
    <n v="2"/>
    <s v="EDF"/>
    <n v="2007200071006"/>
    <s v="SCR.CTR.248513.01.1"/>
    <n v="3"/>
    <n v="613"/>
    <s v="Kazakhstan"/>
    <m/>
    <m/>
    <n v="10019"/>
    <s v="UMICs"/>
    <n v="11"/>
    <s v="ODA Grants"/>
    <n v="1"/>
    <n v="10"/>
    <n v="110"/>
    <s v="D02"/>
    <n v="0"/>
    <n v="0.26765850945494901"/>
    <n v="39244.090656284628"/>
    <n v="0"/>
    <n v="0"/>
    <n v="0.26765850945494901"/>
    <n v="0"/>
    <m/>
    <m/>
    <n v="0"/>
    <n v="0"/>
    <n v="0"/>
    <n v="0"/>
    <n v="0"/>
    <n v="0"/>
    <m/>
    <m/>
    <m/>
    <m/>
    <n v="918"/>
    <n v="0"/>
    <n v="0.1925"/>
    <s v="SUPPORT TO CAPACITY DEVELOPMENT OF THE MINISTRY OF HEALTH TO IMPLEMENT THE STATE PROGRAMMES ON HEALTH CARE REFORM AND DEVELOPMENT (STARTING 2010)"/>
    <s v="Support to Capacity Development of the Ministry of Health to implement the State Programmes on Health Care Reform and Development (starting 2010)"/>
    <x v="2"/>
    <n v="12110"/>
    <x v="2"/>
  </r>
  <r>
    <x v="1"/>
    <n v="963"/>
    <s v="UNICEF"/>
    <x v="0"/>
    <x v="0"/>
    <n v="1"/>
    <s v="UNICEF"/>
    <n v="2010000297"/>
    <m/>
    <n v="1"/>
    <n v="613"/>
    <s v="Kazakhstan"/>
    <m/>
    <m/>
    <n v="10019"/>
    <s v="UMICs"/>
    <n v="11"/>
    <s v="ODA Grants"/>
    <n v="4"/>
    <n v="10"/>
    <n v="110"/>
    <s v="C01"/>
    <n v="3.2699999999999899E-3"/>
    <n v="3.2699999999999899E-3"/>
    <n v="481.86719999999855"/>
    <m/>
    <n v="3.4835625544126802E-3"/>
    <n v="3.4835625544126802E-3"/>
    <m/>
    <m/>
    <m/>
    <m/>
    <m/>
    <m/>
    <m/>
    <m/>
    <m/>
    <m/>
    <m/>
    <m/>
    <m/>
    <n v="302"/>
    <n v="3.2699999999999899E-3"/>
    <n v="3.2699999999999899E-3"/>
    <s v="ADOLESCENT FRIENDLY HEALTH SERVICES - GENERAL"/>
    <s v="30716. Adolescent friendly health services - general"/>
    <x v="1"/>
    <n v="13040"/>
    <x v="1"/>
  </r>
  <r>
    <x v="0"/>
    <n v="963"/>
    <s v="UNICEF"/>
    <x v="0"/>
    <x v="0"/>
    <n v="1"/>
    <s v="UNICEF"/>
    <n v="2011006670"/>
    <n v="3042"/>
    <n v="1"/>
    <n v="613"/>
    <s v="Kazakhstan"/>
    <m/>
    <m/>
    <n v="10019"/>
    <s v="UMICs"/>
    <n v="11"/>
    <s v="ODA Grants"/>
    <n v="4"/>
    <n v="10"/>
    <n v="110"/>
    <s v="C01"/>
    <n v="4.9383599999999897E-3"/>
    <n v="4.9383599999999897E-3"/>
    <n v="724.06234319999851"/>
    <m/>
    <n v="4.9383599999999897E-3"/>
    <n v="4.9383599999999897E-3"/>
    <m/>
    <m/>
    <m/>
    <m/>
    <m/>
    <m/>
    <m/>
    <m/>
    <m/>
    <m/>
    <m/>
    <m/>
    <m/>
    <n v="302"/>
    <n v="4.9383599999999897E-3"/>
    <n v="4.9383599999999897E-3"/>
    <s v="ARVS TO CHILDREN EXCLUDING TO INFANTS IN PMTCT"/>
    <s v="ARVs to children excluding to infants in PMTCT"/>
    <x v="1"/>
    <n v="13040"/>
    <x v="1"/>
  </r>
  <r>
    <x v="1"/>
    <n v="963"/>
    <s v="UNICEF"/>
    <x v="0"/>
    <x v="0"/>
    <n v="1"/>
    <s v="UNICEF"/>
    <n v="2010000293"/>
    <m/>
    <n v="1"/>
    <n v="613"/>
    <s v="Kazakhstan"/>
    <m/>
    <m/>
    <n v="10019"/>
    <s v="UMICs"/>
    <n v="11"/>
    <s v="ODA Grants"/>
    <n v="4"/>
    <n v="10"/>
    <n v="110"/>
    <s v="C01"/>
    <n v="1.9199999999999901E-3"/>
    <n v="1.9199999999999901E-3"/>
    <n v="282.93119999999857"/>
    <m/>
    <n v="2.0453945273615701E-3"/>
    <n v="2.0453945273615701E-3"/>
    <m/>
    <m/>
    <m/>
    <m/>
    <m/>
    <m/>
    <m/>
    <m/>
    <m/>
    <m/>
    <m/>
    <m/>
    <m/>
    <n v="302"/>
    <n v="1.9199999999999901E-3"/>
    <n v="1.9199999999999901E-3"/>
    <s v="BASIC SANITATION (EXCLUDING SCHOOLS)"/>
    <s v="11253. Basic sanitation (excluding schools)"/>
    <x v="1"/>
    <n v="14030"/>
    <x v="11"/>
  </r>
  <r>
    <x v="1"/>
    <n v="963"/>
    <s v="UNICEF"/>
    <x v="0"/>
    <x v="0"/>
    <n v="1"/>
    <s v="UNICEF"/>
    <n v="2010000288"/>
    <m/>
    <n v="1"/>
    <n v="613"/>
    <s v="Kazakhstan"/>
    <m/>
    <m/>
    <n v="10019"/>
    <s v="UMICs"/>
    <n v="11"/>
    <s v="ODA Grants"/>
    <n v="4"/>
    <n v="10"/>
    <n v="110"/>
    <s v="C01"/>
    <n v="5.4439999999999898E-2"/>
    <n v="5.4439999999999898E-2"/>
    <n v="8022.2783999999856"/>
    <m/>
    <n v="5.7995457327898001E-2"/>
    <n v="5.7995457327898001E-2"/>
    <m/>
    <m/>
    <m/>
    <m/>
    <m/>
    <m/>
    <m/>
    <m/>
    <m/>
    <m/>
    <m/>
    <m/>
    <m/>
    <n v="302"/>
    <n v="5.4439999999999898E-2"/>
    <n v="5.4439999999999898E-2"/>
    <s v="HEALTH &amp; NUTRITION INTERVENTION PACKAGES - GENERAL"/>
    <s v="10415. Health &amp; Nutrition intervention packages - general"/>
    <x v="3"/>
    <n v="12220"/>
    <x v="6"/>
  </r>
  <r>
    <x v="1"/>
    <n v="963"/>
    <s v="UNICEF"/>
    <x v="0"/>
    <x v="0"/>
    <n v="1"/>
    <s v="UNICEF"/>
    <n v="2010000292"/>
    <m/>
    <n v="1"/>
    <n v="613"/>
    <s v="Kazakhstan"/>
    <m/>
    <m/>
    <n v="10019"/>
    <s v="UMICs"/>
    <n v="11"/>
    <s v="ODA Grants"/>
    <n v="4"/>
    <n v="10"/>
    <n v="110"/>
    <s v="C01"/>
    <n v="4.1270000000000001E-2"/>
    <n v="4.1270000000000001E-2"/>
    <n v="6081.5472000000009"/>
    <m/>
    <n v="4.39653292417772E-2"/>
    <n v="4.39653292417772E-2"/>
    <m/>
    <m/>
    <m/>
    <m/>
    <m/>
    <m/>
    <m/>
    <m/>
    <m/>
    <m/>
    <m/>
    <m/>
    <m/>
    <n v="302"/>
    <n v="4.1270000000000001E-2"/>
    <n v="4.1270000000000001E-2"/>
    <s v="HEALTH AND NUTRITION SECTOR STRATEGY INCLUDING SWAPS"/>
    <s v="11149. Health and nutrition sector strategy including SWAPs"/>
    <x v="2"/>
    <n v="12110"/>
    <x v="2"/>
  </r>
  <r>
    <x v="0"/>
    <n v="963"/>
    <s v="UNICEF"/>
    <x v="0"/>
    <x v="0"/>
    <n v="1"/>
    <s v="UNICEF"/>
    <n v="2011006665"/>
    <n v="1046"/>
    <n v="1"/>
    <n v="613"/>
    <s v="Kazakhstan"/>
    <m/>
    <m/>
    <n v="10019"/>
    <s v="UMICs"/>
    <n v="11"/>
    <s v="ODA Grants"/>
    <n v="4"/>
    <n v="10"/>
    <n v="110"/>
    <s v="C01"/>
    <n v="1.07412299999999E-2"/>
    <n v="1.07412299999999E-2"/>
    <n v="1574.8791425999855"/>
    <m/>
    <n v="1.07412299999999E-2"/>
    <n v="1.07412299999999E-2"/>
    <m/>
    <m/>
    <m/>
    <m/>
    <m/>
    <m/>
    <m/>
    <m/>
    <m/>
    <m/>
    <m/>
    <m/>
    <m/>
    <n v="302"/>
    <n v="1.07412299999999E-2"/>
    <n v="1.07412299999999E-2"/>
    <s v="HEALTH INTERVENTION PACKAGES   GENERAL (INCLUDING DEWORMING)"/>
    <s v="Health intervention packages   general (including deworming)"/>
    <x v="3"/>
    <n v="12220"/>
    <x v="6"/>
  </r>
  <r>
    <x v="2"/>
    <n v="963"/>
    <s v="UNICEF"/>
    <x v="0"/>
    <x v="0"/>
    <n v="1"/>
    <s v="UNICEF"/>
    <n v="2012000259"/>
    <n v="1046"/>
    <n v="8"/>
    <n v="613"/>
    <s v="Kazakhstan"/>
    <m/>
    <m/>
    <n v="10019"/>
    <s v="UMICs"/>
    <n v="11"/>
    <s v="ODA Grants"/>
    <n v="4"/>
    <n v="10"/>
    <n v="110"/>
    <s v="C01"/>
    <n v="0.19763344999999999"/>
    <n v="0.19763344999999999"/>
    <n v="29469.123729500003"/>
    <m/>
    <n v="0.20199666068952399"/>
    <n v="0.20199666068952399"/>
    <m/>
    <m/>
    <m/>
    <m/>
    <m/>
    <m/>
    <m/>
    <m/>
    <m/>
    <m/>
    <m/>
    <m/>
    <m/>
    <n v="302"/>
    <n v="0.19763344999999999"/>
    <n v="0.19763344999999999"/>
    <s v="HEALTH INTERVENTION PACKAGES # GENERAL (INCLUDING DEWORMING)"/>
    <s v="Health intervention packages # general (including deworming)"/>
    <x v="3"/>
    <n v="12220"/>
    <x v="6"/>
  </r>
  <r>
    <x v="0"/>
    <n v="963"/>
    <s v="UNICEF"/>
    <x v="0"/>
    <x v="0"/>
    <n v="1"/>
    <s v="UNICEF"/>
    <n v="2011006668"/>
    <n v="1101"/>
    <n v="1"/>
    <n v="613"/>
    <s v="Kazakhstan"/>
    <m/>
    <m/>
    <n v="10019"/>
    <s v="UMICs"/>
    <n v="11"/>
    <s v="ODA Grants"/>
    <n v="4"/>
    <n v="10"/>
    <n v="110"/>
    <s v="C01"/>
    <n v="8.17499999999999E-4"/>
    <n v="8.17499999999999E-4"/>
    <n v="119.86184999999985"/>
    <m/>
    <n v="8.17499999999999E-4"/>
    <n v="8.17499999999999E-4"/>
    <m/>
    <m/>
    <m/>
    <m/>
    <m/>
    <m/>
    <m/>
    <m/>
    <m/>
    <m/>
    <m/>
    <m/>
    <m/>
    <n v="302"/>
    <n v="8.17499999999999E-4"/>
    <n v="8.17499999999999E-4"/>
    <s v="HEALTH POLICIES, PLANS AND BUDGETS"/>
    <s v="Health Policies, plans and budgets"/>
    <x v="0"/>
    <n v="13030"/>
    <x v="0"/>
  </r>
  <r>
    <x v="1"/>
    <n v="963"/>
    <s v="UNICEF"/>
    <x v="0"/>
    <x v="0"/>
    <n v="1"/>
    <s v="UNICEF"/>
    <n v="2010000294"/>
    <m/>
    <n v="1"/>
    <n v="613"/>
    <s v="Kazakhstan"/>
    <m/>
    <m/>
    <n v="10019"/>
    <s v="UMICs"/>
    <n v="11"/>
    <s v="ODA Grants"/>
    <n v="4"/>
    <n v="10"/>
    <n v="110"/>
    <s v="C01"/>
    <n v="1.174E-2"/>
    <n v="1.174E-2"/>
    <n v="1730.0064000000002"/>
    <m/>
    <n v="1.25067352870963E-2"/>
    <n v="1.25067352870963E-2"/>
    <m/>
    <m/>
    <m/>
    <m/>
    <m/>
    <m/>
    <m/>
    <m/>
    <m/>
    <m/>
    <m/>
    <m/>
    <m/>
    <n v="302"/>
    <n v="1.174E-2"/>
    <n v="1.174E-2"/>
    <s v="HYGIENE PROMOTION (EXCLUDING SCHOOLS)"/>
    <s v="11254. Hygiene promotion (excluding schools)"/>
    <x v="1"/>
    <n v="14030"/>
    <x v="11"/>
  </r>
  <r>
    <x v="0"/>
    <n v="963"/>
    <s v="UNICEF"/>
    <x v="0"/>
    <x v="0"/>
    <n v="1"/>
    <s v="UNICEF"/>
    <n v="2011006664"/>
    <n v="1032"/>
    <n v="1"/>
    <n v="613"/>
    <s v="Kazakhstan"/>
    <m/>
    <m/>
    <n v="10019"/>
    <s v="UMICs"/>
    <n v="11"/>
    <s v="ODA Grants"/>
    <n v="4"/>
    <n v="10"/>
    <n v="110"/>
    <s v="C01"/>
    <n v="1.17895E-3"/>
    <n v="1.17895E-3"/>
    <n v="172.85764900000001"/>
    <m/>
    <n v="1.17895E-3"/>
    <n v="1.17895E-3"/>
    <m/>
    <m/>
    <m/>
    <m/>
    <m/>
    <m/>
    <m/>
    <m/>
    <m/>
    <m/>
    <m/>
    <m/>
    <m/>
    <n v="302"/>
    <n v="1.17895E-3"/>
    <n v="1.17895E-3"/>
    <s v="IDD ELIMINATION"/>
    <s v="IDD Elimination"/>
    <x v="1"/>
    <n v="12240"/>
    <x v="12"/>
  </r>
  <r>
    <x v="0"/>
    <n v="963"/>
    <s v="UNICEF"/>
    <x v="0"/>
    <x v="0"/>
    <n v="1"/>
    <s v="UNICEF"/>
    <n v="2011006667"/>
    <n v="1049"/>
    <n v="1"/>
    <n v="613"/>
    <s v="Kazakhstan"/>
    <m/>
    <m/>
    <n v="10019"/>
    <s v="UMICs"/>
    <n v="11"/>
    <s v="ODA Grants"/>
    <n v="4"/>
    <n v="10"/>
    <n v="110"/>
    <s v="C01"/>
    <n v="3.75048999999999E-3"/>
    <n v="3.75048999999999E-3"/>
    <n v="549.89684379999858"/>
    <m/>
    <n v="3.75048999999999E-3"/>
    <n v="3.75048999999999E-3"/>
    <m/>
    <m/>
    <m/>
    <m/>
    <m/>
    <m/>
    <m/>
    <m/>
    <m/>
    <m/>
    <m/>
    <m/>
    <m/>
    <n v="302"/>
    <n v="3.75048999999999E-3"/>
    <n v="3.75048999999999E-3"/>
    <s v="INTEGRATED YCSD PACKAGE INCLUDING CHILD HEALTH DAYS"/>
    <s v="Integrated YCSD package including Child Health Days"/>
    <x v="3"/>
    <n v="12220"/>
    <x v="6"/>
  </r>
  <r>
    <x v="1"/>
    <n v="963"/>
    <s v="UNICEF"/>
    <x v="0"/>
    <x v="0"/>
    <n v="1"/>
    <s v="UNICEF"/>
    <n v="2010000290"/>
    <m/>
    <n v="1"/>
    <n v="613"/>
    <s v="Kazakhstan"/>
    <m/>
    <m/>
    <n v="10019"/>
    <s v="UMICs"/>
    <n v="11"/>
    <s v="ODA Grants"/>
    <n v="4"/>
    <n v="10"/>
    <n v="110"/>
    <s v="C01"/>
    <n v="5.5100000000000003E-2"/>
    <n v="5.5100000000000003E-2"/>
    <n v="8119.5360000000019"/>
    <m/>
    <n v="5.86985616966786E-2"/>
    <n v="5.86985616966786E-2"/>
    <m/>
    <m/>
    <m/>
    <m/>
    <m/>
    <m/>
    <m/>
    <m/>
    <m/>
    <m/>
    <m/>
    <m/>
    <m/>
    <n v="302"/>
    <n v="5.5100000000000003E-2"/>
    <n v="5.5100000000000003E-2"/>
    <s v="MATERNAL HEALTH/SAFE MOTHERHOOD GENERAL"/>
    <s v="10730. Maternal health/Safe motherhood   general"/>
    <x v="0"/>
    <n v="13020"/>
    <x v="0"/>
  </r>
  <r>
    <x v="2"/>
    <n v="963"/>
    <s v="UNICEF"/>
    <x v="0"/>
    <x v="0"/>
    <n v="1"/>
    <s v="UNICEF"/>
    <n v="2012000318"/>
    <n v="1047"/>
    <n v="8"/>
    <n v="613"/>
    <s v="Kazakhstan"/>
    <m/>
    <m/>
    <n v="10019"/>
    <s v="UMICs"/>
    <n v="11"/>
    <s v="ODA Grants"/>
    <n v="4"/>
    <n v="10"/>
    <n v="110"/>
    <s v="C01"/>
    <n v="2.3073600000000001E-3"/>
    <n v="2.3073600000000001E-3"/>
    <n v="344.05044960000004"/>
    <m/>
    <n v="2.3583002523539401E-3"/>
    <n v="2.3583002523539401E-3"/>
    <m/>
    <m/>
    <m/>
    <m/>
    <m/>
    <m/>
    <m/>
    <m/>
    <m/>
    <m/>
    <m/>
    <m/>
    <m/>
    <n v="302"/>
    <n v="2.3073600000000001E-3"/>
    <n v="2.3073600000000001E-3"/>
    <s v="NUTRITION INTERVENTION PACKAGES # GENERAL"/>
    <s v="Nutrition intervention packages # general"/>
    <x v="1"/>
    <n v="12240"/>
    <x v="12"/>
  </r>
  <r>
    <x v="0"/>
    <n v="959"/>
    <s v="UNDP"/>
    <x v="0"/>
    <x v="0"/>
    <n v="1"/>
    <s v="UNDP"/>
    <n v="2011002733"/>
    <n v="76746"/>
    <n v="3"/>
    <n v="613"/>
    <s v="Kazakhstan"/>
    <m/>
    <m/>
    <n v="10019"/>
    <s v="UMICs"/>
    <n v="11"/>
    <s v="ODA Grants"/>
    <n v="4"/>
    <n v="10"/>
    <n v="110"/>
    <s v="C01"/>
    <n v="1.9961679999999999E-2"/>
    <n v="1.9961679999999999E-2"/>
    <n v="2926.7815216000004"/>
    <n v="0"/>
    <n v="1.9961679999999999E-2"/>
    <n v="1.9961679999999999E-2"/>
    <n v="0"/>
    <m/>
    <m/>
    <m/>
    <m/>
    <m/>
    <m/>
    <m/>
    <m/>
    <m/>
    <m/>
    <m/>
    <m/>
    <n v="302"/>
    <n v="1.9961679999999999E-2"/>
    <n v="1.9961679999999999E-2"/>
    <s v="PAF 2010-2011"/>
    <s v="PAF 2010-2011"/>
    <x v="1"/>
    <n v="13040"/>
    <x v="1"/>
  </r>
  <r>
    <x v="1"/>
    <n v="963"/>
    <s v="UNICEF"/>
    <x v="0"/>
    <x v="0"/>
    <n v="1"/>
    <s v="UNICEF"/>
    <n v="2010000289"/>
    <m/>
    <n v="1"/>
    <n v="613"/>
    <s v="Kazakhstan"/>
    <m/>
    <m/>
    <n v="10019"/>
    <s v="UMICs"/>
    <n v="11"/>
    <s v="ODA Grants"/>
    <n v="4"/>
    <n v="10"/>
    <n v="110"/>
    <s v="C01"/>
    <n v="6.5700000000000003E-3"/>
    <n v="6.5700000000000003E-3"/>
    <n v="968.15520000000015"/>
    <m/>
    <n v="6.9990843983153998E-3"/>
    <n v="6.9990843983153998E-3"/>
    <m/>
    <m/>
    <m/>
    <m/>
    <m/>
    <m/>
    <m/>
    <m/>
    <m/>
    <m/>
    <m/>
    <m/>
    <m/>
    <n v="302"/>
    <n v="6.5700000000000003E-3"/>
    <n v="6.5700000000000003E-3"/>
    <s v="POLIO ERADICATION AND SURVEILLANCE"/>
    <s v="10522. Polio eradication and surveillance"/>
    <x v="3"/>
    <n v="12220"/>
    <x v="6"/>
  </r>
  <r>
    <x v="0"/>
    <n v="963"/>
    <s v="UNICEF"/>
    <x v="0"/>
    <x v="0"/>
    <n v="1"/>
    <s v="UNICEF"/>
    <n v="2011006666"/>
    <n v="1048"/>
    <n v="1"/>
    <n v="613"/>
    <s v="Kazakhstan"/>
    <m/>
    <m/>
    <n v="10019"/>
    <s v="UMICs"/>
    <n v="11"/>
    <s v="ODA Grants"/>
    <n v="4"/>
    <n v="10"/>
    <n v="110"/>
    <s v="C01"/>
    <n v="6.6600000000000001E-3"/>
    <n v="6.6600000000000001E-3"/>
    <n v="976.4892000000001"/>
    <m/>
    <n v="6.6600000000000001E-3"/>
    <n v="6.6600000000000001E-3"/>
    <m/>
    <m/>
    <m/>
    <m/>
    <m/>
    <m/>
    <m/>
    <m/>
    <m/>
    <m/>
    <m/>
    <m/>
    <m/>
    <n v="302"/>
    <n v="6.6600000000000001E-3"/>
    <n v="6.6600000000000001E-3"/>
    <s v="PREVENTION OF CHILDHOOD INJURY/ACCIDENTS/DROWNING"/>
    <s v="Prevention of childhood injury/accidents/drowning"/>
    <x v="3"/>
    <n v="12220"/>
    <x v="6"/>
  </r>
  <r>
    <x v="1"/>
    <n v="963"/>
    <s v="UNICEF"/>
    <x v="0"/>
    <x v="0"/>
    <n v="1"/>
    <s v="UNICEF"/>
    <n v="2010000287"/>
    <m/>
    <n v="1"/>
    <n v="613"/>
    <s v="Kazakhstan"/>
    <m/>
    <m/>
    <n v="10019"/>
    <s v="UMICs"/>
    <n v="11"/>
    <s v="ODA Grants"/>
    <n v="4"/>
    <n v="10"/>
    <n v="110"/>
    <s v="C01"/>
    <n v="2.785E-2"/>
    <n v="2.785E-2"/>
    <n v="4103.9760000000006"/>
    <m/>
    <n v="2.96688737432395E-2"/>
    <n v="2.96688737432395E-2"/>
    <m/>
    <m/>
    <m/>
    <m/>
    <m/>
    <m/>
    <m/>
    <m/>
    <m/>
    <m/>
    <m/>
    <m/>
    <m/>
    <n v="302"/>
    <n v="2.785E-2"/>
    <n v="2.785E-2"/>
    <s v="ROUTINE IMMUNIZATION INCLUDING DPT"/>
    <s v="10411. Routine immunization including DPT"/>
    <x v="3"/>
    <n v="12220"/>
    <x v="6"/>
  </r>
  <r>
    <x v="1"/>
    <n v="963"/>
    <s v="UNICEF"/>
    <x v="0"/>
    <x v="0"/>
    <n v="1"/>
    <s v="UNICEF"/>
    <n v="2010000286"/>
    <m/>
    <n v="1"/>
    <n v="613"/>
    <s v="Kazakhstan"/>
    <m/>
    <m/>
    <n v="10019"/>
    <s v="UMICs"/>
    <n v="11"/>
    <s v="ODA Grants"/>
    <n v="4"/>
    <n v="10"/>
    <n v="110"/>
    <s v="C01"/>
    <n v="3.7499999999999899E-3"/>
    <n v="3.7499999999999899E-3"/>
    <n v="552.59999999999854"/>
    <m/>
    <n v="3.9949111862530801E-3"/>
    <n v="3.9949111862530801E-3"/>
    <m/>
    <m/>
    <m/>
    <m/>
    <m/>
    <m/>
    <m/>
    <m/>
    <m/>
    <m/>
    <m/>
    <m/>
    <m/>
    <n v="302"/>
    <n v="3.7499999999999899E-3"/>
    <n v="3.7499999999999899E-3"/>
    <s v="SUPPORT TO NATIONAL POLICIES FOR COMPLEMENTARY FEEDING"/>
    <s v="10101. Support to national policies for Complementary feeding"/>
    <x v="1"/>
    <n v="12240"/>
    <x v="12"/>
  </r>
  <r>
    <x v="2"/>
    <n v="963"/>
    <s v="UNICEF"/>
    <x v="0"/>
    <x v="0"/>
    <n v="1"/>
    <s v="UNICEF"/>
    <n v="2012002205"/>
    <n v="3052"/>
    <n v="8"/>
    <n v="613"/>
    <s v="Kazakhstan"/>
    <m/>
    <m/>
    <n v="10019"/>
    <s v="UMICs"/>
    <n v="11"/>
    <s v="ODA Grants"/>
    <n v="4"/>
    <n v="10"/>
    <n v="110"/>
    <s v="C01"/>
    <n v="3.28153E-3"/>
    <n v="3.28153E-3"/>
    <n v="489.30893830000008"/>
    <m/>
    <n v="3.3539772844753501E-3"/>
    <n v="3.3539772844753501E-3"/>
    <m/>
    <m/>
    <m/>
    <m/>
    <m/>
    <m/>
    <m/>
    <m/>
    <m/>
    <m/>
    <m/>
    <m/>
    <m/>
    <n v="302"/>
    <n v="3.28153E-3"/>
    <n v="3.28153E-3"/>
    <s v="SUPPORT TO NATIONAL SYSTEMS AND POLICIES FOR CHILDREN AFFECTED BY HIV INCLUDING"/>
    <s v="Support to national systems and policies for children affected by HIV including"/>
    <x v="1"/>
    <n v="13040"/>
    <x v="1"/>
  </r>
  <r>
    <x v="0"/>
    <n v="963"/>
    <s v="UNICEF"/>
    <x v="0"/>
    <x v="0"/>
    <n v="1"/>
    <s v="UNICEF"/>
    <n v="2011006671"/>
    <n v="3052"/>
    <n v="1"/>
    <n v="613"/>
    <s v="Kazakhstan"/>
    <m/>
    <m/>
    <n v="10019"/>
    <s v="UMICs"/>
    <n v="11"/>
    <s v="ODA Grants"/>
    <n v="4"/>
    <n v="10"/>
    <n v="110"/>
    <s v="C01"/>
    <n v="2.1125200000000001E-3"/>
    <n v="2.1125200000000001E-3"/>
    <n v="309.73768240000004"/>
    <m/>
    <n v="2.1125200000000001E-3"/>
    <n v="2.1125200000000001E-3"/>
    <m/>
    <m/>
    <m/>
    <m/>
    <m/>
    <m/>
    <m/>
    <m/>
    <m/>
    <m/>
    <m/>
    <m/>
    <m/>
    <n v="302"/>
    <n v="2.1125200000000001E-3"/>
    <n v="2.1125200000000001E-3"/>
    <s v="SUPPORT TO NATIONAL SYSTEMS AND POLICIES FOR CHILDREN AFFECTED BY HIV INCLUDING FOR OVCS"/>
    <s v="Support to national systems and policies for children affected by HIV including for OVCs"/>
    <x v="1"/>
    <n v="13040"/>
    <x v="1"/>
  </r>
  <r>
    <x v="0"/>
    <n v="963"/>
    <s v="UNICEF"/>
    <x v="0"/>
    <x v="0"/>
    <n v="1"/>
    <s v="UNICEF"/>
    <n v="2011006672"/>
    <n v="3062"/>
    <n v="1"/>
    <n v="613"/>
    <s v="Kazakhstan"/>
    <m/>
    <m/>
    <n v="10019"/>
    <s v="UMICs"/>
    <n v="11"/>
    <s v="ODA Grants"/>
    <n v="4"/>
    <n v="10"/>
    <n v="110"/>
    <s v="C01"/>
    <n v="6.4002699999999996E-3"/>
    <n v="6.4002699999999996E-3"/>
    <n v="938.40758740000001"/>
    <m/>
    <n v="6.4002699999999996E-3"/>
    <n v="6.4002699999999996E-3"/>
    <m/>
    <m/>
    <m/>
    <m/>
    <m/>
    <m/>
    <m/>
    <m/>
    <m/>
    <m/>
    <m/>
    <m/>
    <m/>
    <n v="302"/>
    <n v="6.4002699999999996E-3"/>
    <n v="6.4002699999999996E-3"/>
    <s v="TARGETED OUTREACH TO AT RISK POPULATIONS IN LOW PREVALENCE COUNTRIES"/>
    <s v="Targeted outreach to at risk populations in low prevalence countries"/>
    <x v="1"/>
    <n v="1304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1" cacheId="1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4:E38" firstHeaderRow="1" firstDataRow="2" firstDataCol="1"/>
  <pivotFields count="49">
    <pivotField axis="axisCol" showAll="0">
      <items count="4">
        <item x="1"/>
        <item x="0"/>
        <item x="2"/>
        <item t="default"/>
      </items>
    </pivotField>
    <pivotField showAll="0"/>
    <pivotField showAll="0"/>
    <pivotField showAll="0">
      <items count="3">
        <item x="1"/>
        <item x="0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7">
        <item x="5"/>
        <item x="3"/>
        <item x="0"/>
        <item x="1"/>
        <item x="2"/>
        <item x="4"/>
        <item t="default"/>
      </items>
    </pivotField>
    <pivotField numFmtId="1" showAll="0"/>
    <pivotField axis="axisRow" showAll="0">
      <items count="14">
        <item x="8"/>
        <item x="12"/>
        <item x="1"/>
        <item x="2"/>
        <item x="6"/>
        <item x="0"/>
        <item x="3"/>
        <item x="4"/>
        <item x="7"/>
        <item x="5"/>
        <item x="9"/>
        <item x="11"/>
        <item x="10"/>
        <item t="default"/>
      </items>
    </pivotField>
  </pivotFields>
  <rowFields count="2">
    <field x="48"/>
    <field x="4"/>
  </rowFields>
  <rowItems count="33">
    <i>
      <x/>
    </i>
    <i r="1">
      <x/>
    </i>
    <i>
      <x v="1"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>
      <x v="7"/>
    </i>
    <i r="1">
      <x/>
    </i>
    <i r="1">
      <x v="1"/>
    </i>
    <i>
      <x v="8"/>
    </i>
    <i r="1">
      <x/>
    </i>
    <i>
      <x v="9"/>
    </i>
    <i r="1">
      <x/>
    </i>
    <i>
      <x v="10"/>
    </i>
    <i r="1">
      <x/>
    </i>
    <i r="1">
      <x v="1"/>
    </i>
    <i>
      <x v="11"/>
    </i>
    <i r="1">
      <x v="1"/>
    </i>
    <i>
      <x v="12"/>
    </i>
    <i r="1">
      <x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Сумма по полю тыс.тенге" fld="24" baseField="0" baseItem="0" numFmtId="172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СводнаяТаблица3" cacheId="0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>
  <location ref="A3:C11" firstHeaderRow="0" firstDataRow="1" firstDataCol="1"/>
  <pivotFields count="5">
    <pivotField axis="axisRow" showAll="0">
      <items count="17">
        <item x="15"/>
        <item x="0"/>
        <item x="1"/>
        <item x="14"/>
        <item x="2"/>
        <item x="3"/>
        <item x="4"/>
        <item x="13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8">
        <item sd="0" x="5"/>
        <item sd="0" x="0"/>
        <item sd="0" x="1"/>
        <item sd="0" x="6"/>
        <item sd="0" x="4"/>
        <item sd="0" x="2"/>
        <item sd="0" x="3"/>
        <item t="default"/>
      </items>
    </pivotField>
    <pivotField axis="axisRow" showAll="0">
      <items count="372">
        <item sd="0" x="20"/>
        <item sd="0" x="23"/>
        <item sd="0" x="4"/>
        <item sd="0" x="311"/>
        <item sd="0" x="327"/>
        <item sd="0" x="307"/>
        <item sd="0" x="318"/>
        <item sd="0" x="305"/>
        <item sd="0" x="317"/>
        <item sd="0" x="306"/>
        <item sd="0" x="308"/>
        <item sd="0" x="319"/>
        <item sd="0" x="315"/>
        <item sd="0" x="320"/>
        <item sd="0" x="322"/>
        <item sd="0" x="313"/>
        <item sd="0" x="316"/>
        <item sd="0" x="323"/>
        <item sd="0" x="309"/>
        <item sd="0" x="326"/>
        <item sd="0" x="312"/>
        <item sd="0" x="321"/>
        <item sd="0" x="310"/>
        <item sd="0" x="324"/>
        <item sd="0" x="314"/>
        <item sd="0" x="325"/>
        <item sd="0" x="105"/>
        <item sd="0" x="238"/>
        <item sd="0" x="0"/>
        <item sd="0" x="19"/>
        <item sd="0" x="22"/>
        <item sd="0" x="2"/>
        <item sd="0" x="1"/>
        <item sd="0" x="14"/>
        <item sd="0" x="3"/>
        <item sd="0" x="21"/>
        <item sd="0" x="13"/>
        <item sd="0" x="5"/>
        <item sd="0" x="6"/>
        <item sd="0" x="25"/>
        <item sd="0" x="7"/>
        <item sd="0" x="8"/>
        <item sd="0" x="17"/>
        <item sd="0" x="26"/>
        <item sd="0" x="24"/>
        <item sd="0" x="10"/>
        <item sd="0" x="16"/>
        <item sd="0" x="9"/>
        <item sd="0" x="11"/>
        <item sd="0" x="15"/>
        <item sd="0" x="12"/>
        <item sd="0" x="18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350"/>
        <item sd="0" x="361"/>
        <item sd="0" x="362"/>
        <item sd="0" x="357"/>
        <item sd="0" x="289"/>
        <item sd="0" x="351"/>
        <item sd="0" x="359"/>
        <item sd="0" x="347"/>
        <item sd="0" x="290"/>
        <item sd="0" x="356"/>
        <item sd="0" x="144"/>
        <item sd="0" x="43"/>
        <item sd="0" x="131"/>
        <item sd="0" x="183"/>
        <item sd="0" x="180"/>
        <item sd="0" x="213"/>
        <item sd="0" x="132"/>
        <item sd="0" x="44"/>
        <item sd="0" x="45"/>
        <item sd="0" x="185"/>
        <item sd="0" x="134"/>
        <item sd="0" x="186"/>
        <item sd="0" x="215"/>
        <item sd="0" x="182"/>
        <item sd="0" x="138"/>
        <item sd="0" x="187"/>
        <item sd="0" x="188"/>
        <item sd="0" x="214"/>
        <item sd="0" x="189"/>
        <item sd="0" x="139"/>
        <item sd="0" x="179"/>
        <item sd="0" x="176"/>
        <item sd="0" x="181"/>
        <item sd="0" x="212"/>
        <item sd="0" x="208"/>
        <item sd="0" x="209"/>
        <item sd="0" x="46"/>
        <item sd="0" x="190"/>
        <item sd="0" x="211"/>
        <item sd="0" x="191"/>
        <item sd="0" x="207"/>
        <item sd="0" x="148"/>
        <item sd="0" x="147"/>
        <item sd="0" x="210"/>
        <item sd="0" x="143"/>
        <item sd="0" x="178"/>
        <item sd="0" x="192"/>
        <item sd="0" x="206"/>
        <item sd="0" x="203"/>
        <item sd="0" x="193"/>
        <item sd="0" x="216"/>
        <item sd="0" x="194"/>
        <item sd="0" x="195"/>
        <item sd="0" x="142"/>
        <item sd="0" x="343"/>
        <item sd="0" x="332"/>
        <item sd="0" x="336"/>
        <item sd="0" x="339"/>
        <item sd="0" x="341"/>
        <item sd="0" x="338"/>
        <item sd="0" x="340"/>
        <item sd="0" x="345"/>
        <item sd="0" x="333"/>
        <item sd="0" x="344"/>
        <item sd="0" x="35"/>
        <item sd="0" x="32"/>
        <item sd="0" x="337"/>
        <item sd="0" x="342"/>
        <item sd="0" x="29"/>
        <item sd="0" x="36"/>
        <item sd="0" x="30"/>
        <item sd="0" x="369"/>
        <item sd="0" x="27"/>
        <item sd="0" x="370"/>
        <item sd="0" x="40"/>
        <item sd="0" x="31"/>
        <item sd="0" x="39"/>
        <item sd="0" x="41"/>
        <item sd="0" x="38"/>
        <item sd="0" x="28"/>
        <item sd="0" x="196"/>
        <item sd="0" x="200"/>
        <item sd="0" x="201"/>
        <item sd="0" x="202"/>
        <item sd="0" x="204"/>
        <item sd="0" x="334"/>
        <item sd="0" x="34"/>
        <item sd="0" x="47"/>
        <item sd="0" x="130"/>
        <item sd="0" x="184"/>
        <item sd="0" x="133"/>
        <item sd="0" x="199"/>
        <item sd="0" x="135"/>
        <item sd="0" x="136"/>
        <item sd="0" x="137"/>
        <item sd="0" x="140"/>
        <item sd="0" x="141"/>
        <item sd="0" x="335"/>
        <item sd="0" x="42"/>
        <item sd="0" x="33"/>
        <item sd="0" x="198"/>
        <item sd="0" x="177"/>
        <item sd="0" x="37"/>
        <item sd="0" x="129"/>
        <item sd="0" x="128"/>
        <item sd="0" x="121"/>
        <item sd="0" x="122"/>
        <item sd="0" x="123"/>
        <item sd="0" x="124"/>
        <item sd="0" x="125"/>
        <item sd="0" x="126"/>
        <item sd="0" x="127"/>
        <item sd="0" x="117"/>
        <item sd="0" x="120"/>
        <item sd="0" x="118"/>
        <item sd="0" x="116"/>
        <item sd="0" x="68"/>
        <item sd="0" x="236"/>
        <item sd="0" x="366"/>
        <item sd="0" x="119"/>
        <item sd="0" x="352"/>
        <item sd="0" x="353"/>
        <item sd="0" x="329"/>
        <item sd="0" x="354"/>
        <item sd="0" x="331"/>
        <item sd="0" x="328"/>
        <item sd="0" x="303"/>
        <item sd="0" x="304"/>
        <item sd="0" x="355"/>
        <item sd="0" x="291"/>
        <item sd="0" x="220"/>
        <item sd="0" x="219"/>
        <item sd="0" x="222"/>
        <item sd="0" x="223"/>
        <item sd="0" x="104"/>
        <item sd="0" x="171"/>
        <item sd="0" x="71"/>
        <item sd="0" x="175"/>
        <item sd="0" x="232"/>
        <item sd="0" x="226"/>
        <item sd="0" x="59"/>
        <item sd="0" x="58"/>
        <item sd="0" x="57"/>
        <item sd="0" x="60"/>
        <item sd="0" x="48"/>
        <item sd="0" x="56"/>
        <item sd="0" x="167"/>
        <item sd="0" x="69"/>
        <item sd="0" x="70"/>
        <item sd="0" x="72"/>
        <item sd="0" x="253"/>
        <item sd="0" x="49"/>
        <item sd="0" x="52"/>
        <item sd="0" x="103"/>
        <item sd="0" x="86"/>
        <item sd="0" x="53"/>
        <item sd="0" x="55"/>
        <item sd="0" x="54"/>
        <item sd="0" x="51"/>
        <item sd="0" x="111"/>
        <item sd="0" x="90"/>
        <item sd="0" x="94"/>
        <item sd="0" x="92"/>
        <item sd="0" x="97"/>
        <item sd="0" x="113"/>
        <item sd="0" x="91"/>
        <item sd="0" x="95"/>
        <item sd="0" x="93"/>
        <item sd="0" x="98"/>
        <item sd="0" x="83"/>
        <item sd="0" x="106"/>
        <item sd="0" x="107"/>
        <item sd="0" x="109"/>
        <item sd="0" x="110"/>
        <item sd="0" x="87"/>
        <item sd="0" x="88"/>
        <item sd="0" x="100"/>
        <item sd="0" x="101"/>
        <item sd="0" x="255"/>
        <item sd="0" x="252"/>
        <item sd="0" x="102"/>
        <item sd="0" x="163"/>
        <item sd="0" x="151"/>
        <item sd="0" x="150"/>
        <item sd="0" x="74"/>
        <item sd="0" x="75"/>
        <item sd="0" x="228"/>
        <item sd="0" x="230"/>
        <item sd="0" x="76"/>
        <item sd="0" x="89"/>
        <item sd="0" x="112"/>
        <item sd="0" x="114"/>
        <item sd="0" x="85"/>
        <item sd="0" x="108"/>
        <item sd="0" x="81"/>
        <item sd="0" x="159"/>
        <item sd="0" x="82"/>
        <item sd="0" x="84"/>
        <item sd="0" x="80"/>
        <item sd="0" x="115"/>
        <item sd="0" x="153"/>
        <item sd="0" x="254"/>
        <item sd="0" x="172"/>
        <item sd="0" x="170"/>
        <item sd="0" x="229"/>
        <item sd="0" x="231"/>
        <item sd="0" x="235"/>
        <item sd="0" x="157"/>
        <item sd="0" x="240"/>
        <item sd="0" x="156"/>
        <item sd="0" x="162"/>
        <item sd="0" x="164"/>
        <item sd="0" x="73"/>
        <item sd="0" x="50"/>
        <item sd="0" x="77"/>
        <item sd="0" x="99"/>
        <item sd="0" x="96"/>
        <item sd="0" x="166"/>
        <item sd="0" x="158"/>
        <item sd="0" x="152"/>
        <item sd="0" x="149"/>
        <item sd="0" x="224"/>
        <item sd="0" x="237"/>
        <item sd="0" x="78"/>
        <item sd="0" x="234"/>
        <item sd="0" x="239"/>
        <item sd="0" x="165"/>
        <item sd="0" x="161"/>
        <item sd="0" x="154"/>
        <item sd="0" x="155"/>
        <item sd="0" x="168"/>
        <item sd="0" x="160"/>
        <item sd="0" x="173"/>
        <item sd="0" x="174"/>
        <item sd="0" x="221"/>
        <item sd="0" x="218"/>
        <item sd="0" x="225"/>
        <item sd="0" x="247"/>
        <item sd="0" x="246"/>
        <item sd="0" x="241"/>
        <item sd="0" x="242"/>
        <item sd="0" x="243"/>
        <item sd="0" x="245"/>
        <item sd="0" x="66"/>
        <item sd="0" x="63"/>
        <item sd="0" x="64"/>
        <item sd="0" x="67"/>
        <item sd="0" x="65"/>
        <item sd="0" x="62"/>
        <item sd="0" x="61"/>
        <item sd="0" x="248"/>
        <item sd="0" x="249"/>
        <item sd="0" x="250"/>
        <item sd="0" x="251"/>
        <item sd="0" x="227"/>
        <item sd="0" x="244"/>
        <item sd="0" x="169"/>
        <item sd="0" x="287"/>
        <item sd="0" x="364"/>
        <item sd="0" x="330"/>
        <item sd="0" x="301"/>
        <item sd="0" x="298"/>
        <item sd="0" x="299"/>
        <item sd="0" x="283"/>
        <item sd="0" x="368"/>
        <item sd="0" x="233"/>
        <item sd="0" x="365"/>
        <item sd="0" x="363"/>
        <item sd="0" x="282"/>
        <item sd="0" x="279"/>
        <item sd="0" x="280"/>
        <item x="281"/>
        <item sd="0" x="367"/>
        <item sd="0" x="358"/>
        <item sd="0" x="292"/>
        <item sd="0" x="293"/>
        <item sd="0" x="205"/>
        <item sd="0" x="294"/>
        <item sd="0" x="295"/>
        <item sd="0" x="284"/>
        <item sd="0" x="296"/>
        <item sd="0" x="285"/>
        <item sd="0" x="145"/>
        <item sd="0" x="348"/>
        <item sd="0" x="360"/>
        <item sd="0" x="349"/>
        <item sd="0" x="297"/>
        <item sd="0" x="217"/>
        <item sd="0" x="300"/>
        <item sd="0" x="79"/>
        <item sd="0" x="146"/>
        <item sd="0" x="288"/>
        <item sd="0" x="286"/>
        <item sd="0" x="197"/>
        <item sd="0" x="302"/>
        <item sd="0" x="346"/>
        <item t="default" sd="0"/>
      </items>
    </pivotField>
    <pivotField dataField="1" showAll="0">
      <items count="353">
        <item x="233"/>
        <item x="204"/>
        <item x="338"/>
        <item x="175"/>
        <item x="172"/>
        <item x="176"/>
        <item x="1"/>
        <item x="132"/>
        <item x="171"/>
        <item x="97"/>
        <item x="159"/>
        <item x="156"/>
        <item x="98"/>
        <item x="158"/>
        <item x="213"/>
        <item x="154"/>
        <item x="127"/>
        <item x="86"/>
        <item x="205"/>
        <item x="178"/>
        <item x="81"/>
        <item x="209"/>
        <item x="124"/>
        <item x="337"/>
        <item x="190"/>
        <item x="130"/>
        <item x="167"/>
        <item x="151"/>
        <item x="85"/>
        <item x="126"/>
        <item x="210"/>
        <item x="103"/>
        <item x="219"/>
        <item x="207"/>
        <item x="206"/>
        <item x="75"/>
        <item x="173"/>
        <item x="87"/>
        <item x="92"/>
        <item x="157"/>
        <item x="102"/>
        <item x="169"/>
        <item x="146"/>
        <item x="89"/>
        <item x="84"/>
        <item x="56"/>
        <item x="82"/>
        <item x="179"/>
        <item x="131"/>
        <item x="133"/>
        <item x="203"/>
        <item x="123"/>
        <item x="335"/>
        <item x="234"/>
        <item x="79"/>
        <item x="339"/>
        <item x="231"/>
        <item x="155"/>
        <item x="54"/>
        <item x="101"/>
        <item x="334"/>
        <item x="340"/>
        <item x="351"/>
        <item x="57"/>
        <item x="177"/>
        <item x="55"/>
        <item x="128"/>
        <item x="187"/>
        <item x="90"/>
        <item x="336"/>
        <item x="170"/>
        <item x="129"/>
        <item x="105"/>
        <item x="53"/>
        <item x="83"/>
        <item x="4"/>
        <item x="164"/>
        <item x="122"/>
        <item x="202"/>
        <item x="212"/>
        <item x="312"/>
        <item x="141"/>
        <item x="33"/>
        <item x="278"/>
        <item x="348"/>
        <item x="59"/>
        <item x="32"/>
        <item x="192"/>
        <item x="99"/>
        <item x="331"/>
        <item x="285"/>
        <item x="283"/>
        <item x="232"/>
        <item x="307"/>
        <item x="136"/>
        <item x="333"/>
        <item x="290"/>
        <item x="152"/>
        <item x="200"/>
        <item x="343"/>
        <item x="31"/>
        <item x="230"/>
        <item x="347"/>
        <item x="287"/>
        <item x="114"/>
        <item x="19"/>
        <item x="306"/>
        <item x="315"/>
        <item x="23"/>
        <item x="316"/>
        <item x="163"/>
        <item x="2"/>
        <item x="188"/>
        <item x="199"/>
        <item x="39"/>
        <item x="216"/>
        <item x="288"/>
        <item x="125"/>
        <item x="195"/>
        <item x="44"/>
        <item x="311"/>
        <item x="3"/>
        <item x="45"/>
        <item x="284"/>
        <item x="345"/>
        <item x="27"/>
        <item x="24"/>
        <item x="309"/>
        <item x="286"/>
        <item x="186"/>
        <item x="13"/>
        <item x="289"/>
        <item x="168"/>
        <item x="282"/>
        <item x="196"/>
        <item x="183"/>
        <item x="153"/>
        <item x="184"/>
        <item x="279"/>
        <item x="165"/>
        <item x="235"/>
        <item x="342"/>
        <item x="147"/>
        <item x="314"/>
        <item x="15"/>
        <item x="229"/>
        <item x="185"/>
        <item x="58"/>
        <item x="308"/>
        <item x="271"/>
        <item x="295"/>
        <item x="225"/>
        <item x="313"/>
        <item x="208"/>
        <item x="310"/>
        <item x="80"/>
        <item x="29"/>
        <item x="218"/>
        <item x="161"/>
        <item x="349"/>
        <item x="115"/>
        <item x="28"/>
        <item x="346"/>
        <item x="277"/>
        <item x="52"/>
        <item x="214"/>
        <item x="93"/>
        <item x="22"/>
        <item x="281"/>
        <item x="174"/>
        <item x="143"/>
        <item x="21"/>
        <item x="166"/>
        <item x="20"/>
        <item x="296"/>
        <item x="8"/>
        <item x="189"/>
        <item x="273"/>
        <item x="280"/>
        <item x="150"/>
        <item x="201"/>
        <item x="198"/>
        <item x="106"/>
        <item x="227"/>
        <item x="26"/>
        <item x="228"/>
        <item x="116"/>
        <item x="88"/>
        <item x="25"/>
        <item x="119"/>
        <item x="274"/>
        <item x="104"/>
        <item x="30"/>
        <item x="138"/>
        <item x="301"/>
        <item x="72"/>
        <item x="258"/>
        <item x="241"/>
        <item x="144"/>
        <item x="236"/>
        <item x="211"/>
        <item x="118"/>
        <item x="249"/>
        <item x="67"/>
        <item x="149"/>
        <item x="49"/>
        <item x="256"/>
        <item x="100"/>
        <item x="191"/>
        <item x="5"/>
        <item x="11"/>
        <item x="117"/>
        <item x="272"/>
        <item x="298"/>
        <item x="239"/>
        <item x="73"/>
        <item x="244"/>
        <item x="18"/>
        <item x="257"/>
        <item x="60"/>
        <item x="220"/>
        <item x="74"/>
        <item x="113"/>
        <item x="276"/>
        <item x="68"/>
        <item x="268"/>
        <item x="221"/>
        <item x="250"/>
        <item x="71"/>
        <item x="240"/>
        <item x="47"/>
        <item x="121"/>
        <item x="237"/>
        <item x="226"/>
        <item x="76"/>
        <item x="294"/>
        <item x="254"/>
        <item x="261"/>
        <item x="142"/>
        <item x="197"/>
        <item x="145"/>
        <item x="108"/>
        <item x="70"/>
        <item x="78"/>
        <item x="269"/>
        <item x="305"/>
        <item x="181"/>
        <item x="162"/>
        <item x="120"/>
        <item x="66"/>
        <item x="270"/>
        <item x="48"/>
        <item x="267"/>
        <item x="77"/>
        <item x="319"/>
        <item x="350"/>
        <item x="16"/>
        <item x="275"/>
        <item x="297"/>
        <item x="260"/>
        <item x="34"/>
        <item x="259"/>
        <item x="107"/>
        <item x="243"/>
        <item x="135"/>
        <item x="303"/>
        <item x="41"/>
        <item x="112"/>
        <item x="253"/>
        <item x="304"/>
        <item x="6"/>
        <item x="300"/>
        <item x="7"/>
        <item x="43"/>
        <item x="248"/>
        <item x="94"/>
        <item x="299"/>
        <item x="182"/>
        <item x="160"/>
        <item x="263"/>
        <item x="317"/>
        <item x="329"/>
        <item x="302"/>
        <item x="61"/>
        <item x="42"/>
        <item x="332"/>
        <item x="238"/>
        <item x="109"/>
        <item x="91"/>
        <item x="215"/>
        <item x="255"/>
        <item x="320"/>
        <item x="252"/>
        <item x="323"/>
        <item x="17"/>
        <item x="46"/>
        <item x="318"/>
        <item x="222"/>
        <item x="148"/>
        <item x="251"/>
        <item x="265"/>
        <item x="140"/>
        <item x="322"/>
        <item x="14"/>
        <item x="194"/>
        <item x="292"/>
        <item x="50"/>
        <item x="0"/>
        <item x="51"/>
        <item x="95"/>
        <item x="62"/>
        <item x="217"/>
        <item x="324"/>
        <item x="69"/>
        <item x="328"/>
        <item x="266"/>
        <item x="245"/>
        <item x="180"/>
        <item x="10"/>
        <item x="111"/>
        <item x="12"/>
        <item x="96"/>
        <item x="264"/>
        <item x="193"/>
        <item x="64"/>
        <item x="291"/>
        <item x="330"/>
        <item x="247"/>
        <item x="326"/>
        <item x="223"/>
        <item x="139"/>
        <item x="344"/>
        <item x="134"/>
        <item x="36"/>
        <item x="293"/>
        <item x="341"/>
        <item x="242"/>
        <item x="37"/>
        <item x="246"/>
        <item x="325"/>
        <item x="224"/>
        <item x="63"/>
        <item x="110"/>
        <item x="40"/>
        <item x="38"/>
        <item x="65"/>
        <item x="262"/>
        <item x="9"/>
        <item x="327"/>
        <item x="321"/>
        <item x="35"/>
        <item x="137"/>
        <item t="default"/>
      </items>
    </pivotField>
    <pivotField dataField="1" showAll="0">
      <items count="27">
        <item x="23"/>
        <item x="4"/>
        <item x="20"/>
        <item x="10"/>
        <item x="7"/>
        <item x="8"/>
        <item x="12"/>
        <item x="19"/>
        <item x="13"/>
        <item x="2"/>
        <item x="9"/>
        <item x="14"/>
        <item x="25"/>
        <item x="5"/>
        <item x="24"/>
        <item x="17"/>
        <item x="1"/>
        <item x="15"/>
        <item x="6"/>
        <item x="3"/>
        <item x="21"/>
        <item x="11"/>
        <item x="18"/>
        <item x="16"/>
        <item x="22"/>
        <item x="0"/>
        <item t="default"/>
      </items>
    </pivotField>
  </pivotFields>
  <rowFields count="3">
    <field x="1"/>
    <field x="2"/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Сумма по полю мб" fld="3" baseField="0" baseItem="1"/>
    <dataField name="Сумма по полю рб" fld="4" baseField="0" baseItem="1"/>
  </dataFields>
  <formats count="6">
    <format dxfId="5">
      <pivotArea type="all" dataOnly="0" outline="0" fieldPosition="0"/>
    </format>
    <format dxfId="4">
      <pivotArea outline="0" collapsedLevelsAreSubtotals="1" fieldPosition="0"/>
    </format>
    <format dxfId="3">
      <pivotArea field="1" type="button" dataOnly="0" labelOnly="1" outline="0" axis="axisRow" fieldPosition="0"/>
    </format>
    <format dxfId="2">
      <pivotArea dataOnly="0" labelOnly="1" fieldPosition="0">
        <references count="1">
          <reference field="1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Таблица1" displayName="Таблица1" ref="A1:E200" totalsRowShown="0">
  <autoFilter ref="A1:E200"/>
  <tableColumns count="5">
    <tableColumn id="1" name="Область"/>
    <tableColumn id="2" name="Наименование бюджетной программы"/>
    <tableColumn id="3" name="Наименование медицинских организации"/>
    <tableColumn id="4" name="мб"/>
    <tableColumn id="5" name="рб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4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t.kz/vs_scheta/int_scheta/Pages/default.aspx" TargetMode="External"/><Relationship Id="rId2" Type="http://schemas.openxmlformats.org/officeDocument/2006/relationships/hyperlink" Target="http://www.afn.kz/" TargetMode="External"/><Relationship Id="rId1" Type="http://schemas.openxmlformats.org/officeDocument/2006/relationships/hyperlink" Target="http://www.stat.kz/vs_scheta/int_scheta/Pages/default.aspx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hyperlink" Target="http://stat.kz/vs_scheta/int_scheta/Pages/default.aspx" TargetMode="External"/><Relationship Id="rId1" Type="http://schemas.openxmlformats.org/officeDocument/2006/relationships/hyperlink" Target="http://www.stat.kz/publishing/Pages/UZHN_2012.aspx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"/>
  <sheetViews>
    <sheetView view="pageBreakPreview" zoomScale="120" zoomScaleNormal="80" zoomScaleSheetLayoutView="120" workbookViewId="0">
      <pane xSplit="2" ySplit="3" topLeftCell="C4" activePane="bottomRight" state="frozen"/>
      <selection activeCell="I20" sqref="I20"/>
      <selection pane="topRight" activeCell="I20" sqref="I20"/>
      <selection pane="bottomLeft" activeCell="I20" sqref="I20"/>
      <selection pane="bottomRight" activeCell="O22" sqref="O22"/>
    </sheetView>
  </sheetViews>
  <sheetFormatPr defaultRowHeight="11.25"/>
  <cols>
    <col min="1" max="1" width="6.42578125" style="1603" customWidth="1"/>
    <col min="2" max="2" width="18.7109375" style="1603" customWidth="1"/>
    <col min="3" max="3" width="13.28515625" style="1603" customWidth="1"/>
    <col min="4" max="4" width="13.28515625" style="1606" customWidth="1"/>
    <col min="5" max="8" width="7.42578125" style="1606" customWidth="1"/>
    <col min="9" max="14" width="6" style="1606" customWidth="1"/>
    <col min="15" max="15" width="10.7109375" style="1606" customWidth="1"/>
    <col min="16" max="20" width="10.7109375" style="1603" customWidth="1"/>
    <col min="21" max="21" width="14.5703125" style="660" hidden="1" customWidth="1"/>
    <col min="22" max="16384" width="9.140625" style="660"/>
  </cols>
  <sheetData>
    <row r="1" spans="1:21" s="1583" customFormat="1">
      <c r="A1" s="1621"/>
      <c r="B1" s="1622"/>
      <c r="C1" s="1618" t="s">
        <v>2692</v>
      </c>
      <c r="D1" s="1618"/>
      <c r="E1" s="1627"/>
      <c r="F1" s="1627"/>
      <c r="G1" s="1627"/>
      <c r="H1" s="1582"/>
      <c r="I1" s="1618"/>
      <c r="J1" s="1618"/>
      <c r="K1" s="1618"/>
      <c r="L1" s="1618"/>
      <c r="M1" s="1618"/>
      <c r="N1" s="1615" t="s">
        <v>2693</v>
      </c>
      <c r="O1" s="1628"/>
      <c r="P1" s="1617"/>
      <c r="Q1" s="1615" t="s">
        <v>2694</v>
      </c>
      <c r="R1" s="1616"/>
      <c r="S1" s="1617"/>
      <c r="T1" s="1618" t="s">
        <v>816</v>
      </c>
    </row>
    <row r="2" spans="1:21" s="1583" customFormat="1">
      <c r="A2" s="1623"/>
      <c r="B2" s="1624"/>
      <c r="C2" s="1582" t="s">
        <v>2695</v>
      </c>
      <c r="D2" s="1584" t="s">
        <v>4</v>
      </c>
      <c r="E2" s="1584" t="s">
        <v>2696</v>
      </c>
      <c r="F2" s="1584" t="s">
        <v>2697</v>
      </c>
      <c r="G2" s="1584" t="s">
        <v>15</v>
      </c>
      <c r="H2" s="1585" t="s">
        <v>2698</v>
      </c>
      <c r="I2" s="1585" t="s">
        <v>2699</v>
      </c>
      <c r="J2" s="1584" t="s">
        <v>2700</v>
      </c>
      <c r="K2" s="1584" t="s">
        <v>2701</v>
      </c>
      <c r="L2" s="1584" t="s">
        <v>2702</v>
      </c>
      <c r="M2" s="1584" t="s">
        <v>2703</v>
      </c>
      <c r="N2" s="1585" t="s">
        <v>2704</v>
      </c>
      <c r="O2" s="1585" t="s">
        <v>2705</v>
      </c>
      <c r="P2" s="1586" t="s">
        <v>2706</v>
      </c>
      <c r="Q2" s="1587" t="s">
        <v>37</v>
      </c>
      <c r="R2" s="1502" t="s">
        <v>2643</v>
      </c>
      <c r="S2" s="1502" t="s">
        <v>2646</v>
      </c>
      <c r="T2" s="1618"/>
    </row>
    <row r="3" spans="1:21" s="1590" customFormat="1" ht="30" customHeight="1">
      <c r="A3" s="1625"/>
      <c r="B3" s="1626"/>
      <c r="C3" s="1582" t="s">
        <v>2707</v>
      </c>
      <c r="D3" s="1584" t="s">
        <v>792</v>
      </c>
      <c r="E3" s="1584" t="s">
        <v>2708</v>
      </c>
      <c r="F3" s="1584" t="s">
        <v>2709</v>
      </c>
      <c r="G3" s="1584" t="s">
        <v>2710</v>
      </c>
      <c r="H3" s="1585" t="s">
        <v>2711</v>
      </c>
      <c r="I3" s="1585" t="s">
        <v>2712</v>
      </c>
      <c r="J3" s="1584" t="s">
        <v>2713</v>
      </c>
      <c r="K3" s="1584" t="s">
        <v>2714</v>
      </c>
      <c r="L3" s="1584" t="s">
        <v>2715</v>
      </c>
      <c r="M3" s="1584" t="s">
        <v>2716</v>
      </c>
      <c r="N3" s="1585" t="s">
        <v>2717</v>
      </c>
      <c r="O3" s="1585" t="s">
        <v>2718</v>
      </c>
      <c r="P3" s="1586" t="s">
        <v>24</v>
      </c>
      <c r="Q3" s="1588" t="s">
        <v>38</v>
      </c>
      <c r="R3" s="1589" t="s">
        <v>2648</v>
      </c>
      <c r="S3" s="1589" t="s">
        <v>2719</v>
      </c>
      <c r="T3" s="1618"/>
    </row>
    <row r="4" spans="1:21" s="1593" customFormat="1" ht="20.25" customHeight="1">
      <c r="A4" s="1607" t="s">
        <v>44</v>
      </c>
      <c r="B4" s="1607" t="s">
        <v>795</v>
      </c>
      <c r="C4" s="1591">
        <f>C5</f>
        <v>641979939.20587623</v>
      </c>
      <c r="D4" s="1591">
        <f>D5</f>
        <v>641979939.20587623</v>
      </c>
      <c r="E4" s="1591"/>
      <c r="F4" s="1591"/>
      <c r="G4" s="1591"/>
      <c r="H4" s="1591"/>
      <c r="I4" s="1591"/>
      <c r="J4" s="1591"/>
      <c r="K4" s="1591"/>
      <c r="L4" s="1591"/>
      <c r="M4" s="1591"/>
      <c r="N4" s="1591"/>
      <c r="O4" s="1591"/>
      <c r="P4" s="1591"/>
      <c r="Q4" s="1591"/>
      <c r="R4" s="1591"/>
      <c r="S4" s="1591"/>
      <c r="T4" s="1591">
        <f>C4+O4+P4+Q4</f>
        <v>641979939.20587623</v>
      </c>
      <c r="U4" s="1592">
        <f>T4/$T$18</f>
        <v>0.6839461123788193</v>
      </c>
    </row>
    <row r="5" spans="1:21" s="1598" customFormat="1" ht="20.25" customHeight="1">
      <c r="A5" s="1608" t="s">
        <v>47</v>
      </c>
      <c r="B5" s="1609" t="s">
        <v>48</v>
      </c>
      <c r="C5" s="1594">
        <f t="shared" ref="C5" si="0">D5</f>
        <v>641979939.20587623</v>
      </c>
      <c r="D5" s="1595">
        <f>'[4]HF-HP'!D38</f>
        <v>641979939.20587623</v>
      </c>
      <c r="E5" s="1595"/>
      <c r="F5" s="1595"/>
      <c r="G5" s="1595"/>
      <c r="H5" s="1596"/>
      <c r="I5" s="1596"/>
      <c r="J5" s="1595"/>
      <c r="K5" s="1595"/>
      <c r="L5" s="1595"/>
      <c r="M5" s="1595"/>
      <c r="N5" s="1596"/>
      <c r="O5" s="1591"/>
      <c r="P5" s="1591"/>
      <c r="Q5" s="1591"/>
      <c r="R5" s="1597"/>
      <c r="S5" s="1597"/>
      <c r="T5" s="1597">
        <f>C5+O5+P5+Q5</f>
        <v>641979939.20587623</v>
      </c>
      <c r="U5" s="1592">
        <f t="shared" ref="U5:U18" si="1">T5/$T$18</f>
        <v>0.6839461123788193</v>
      </c>
    </row>
    <row r="6" spans="1:21" s="1598" customFormat="1" ht="20.25" customHeight="1">
      <c r="A6" s="1608" t="s">
        <v>2720</v>
      </c>
      <c r="B6" s="1609" t="s">
        <v>2721</v>
      </c>
      <c r="C6" s="1594"/>
      <c r="D6" s="1595"/>
      <c r="E6" s="1595"/>
      <c r="F6" s="1595"/>
      <c r="G6" s="1595"/>
      <c r="H6" s="1596"/>
      <c r="I6" s="1596"/>
      <c r="J6" s="1595"/>
      <c r="K6" s="1595"/>
      <c r="L6" s="1595"/>
      <c r="M6" s="1595"/>
      <c r="N6" s="1596"/>
      <c r="O6" s="1591"/>
      <c r="P6" s="1591"/>
      <c r="Q6" s="1591"/>
      <c r="R6" s="1597"/>
      <c r="S6" s="1597"/>
      <c r="T6" s="1597"/>
      <c r="U6" s="1592">
        <f t="shared" si="1"/>
        <v>0</v>
      </c>
    </row>
    <row r="7" spans="1:21" s="1593" customFormat="1" ht="20.25" customHeight="1">
      <c r="A7" s="1610" t="s">
        <v>93</v>
      </c>
      <c r="B7" s="1607" t="s">
        <v>94</v>
      </c>
      <c r="C7" s="1599"/>
      <c r="D7" s="1591"/>
      <c r="E7" s="1591"/>
      <c r="F7" s="1591"/>
      <c r="G7" s="1591"/>
      <c r="H7" s="1591"/>
      <c r="I7" s="1591"/>
      <c r="J7" s="1591"/>
      <c r="K7" s="1591"/>
      <c r="L7" s="1591"/>
      <c r="M7" s="1591"/>
      <c r="N7" s="1591"/>
      <c r="O7" s="1591">
        <f>O10+O8</f>
        <v>10216773</v>
      </c>
      <c r="P7" s="1599">
        <f>P10</f>
        <v>18080423</v>
      </c>
      <c r="Q7" s="1591"/>
      <c r="R7" s="1599"/>
      <c r="S7" s="1599"/>
      <c r="T7" s="1599">
        <f>C7+O7+P7+Q7</f>
        <v>28297196</v>
      </c>
      <c r="U7" s="1592">
        <f t="shared" si="1"/>
        <v>3.0146981258264725E-2</v>
      </c>
    </row>
    <row r="8" spans="1:21" s="1598" customFormat="1" ht="20.25" customHeight="1">
      <c r="A8" s="1611" t="s">
        <v>97</v>
      </c>
      <c r="B8" s="1609" t="s">
        <v>98</v>
      </c>
      <c r="C8" s="1599"/>
      <c r="D8" s="1597"/>
      <c r="E8" s="1597"/>
      <c r="F8" s="1597"/>
      <c r="G8" s="1597"/>
      <c r="H8" s="1591"/>
      <c r="I8" s="1591"/>
      <c r="J8" s="1597"/>
      <c r="K8" s="1597"/>
      <c r="L8" s="1597"/>
      <c r="M8" s="1597"/>
      <c r="N8" s="1591"/>
      <c r="O8" s="1599">
        <f>'[4]АФН страх'!T24</f>
        <v>10216773</v>
      </c>
      <c r="P8" s="1599"/>
      <c r="Q8" s="1591"/>
      <c r="R8" s="1600"/>
      <c r="S8" s="1600"/>
      <c r="T8" s="1600">
        <f>C8+O8+P8+Q8</f>
        <v>10216773</v>
      </c>
      <c r="U8" s="1592">
        <f t="shared" si="1"/>
        <v>1.0884642568505553E-2</v>
      </c>
    </row>
    <row r="9" spans="1:21" s="1598" customFormat="1" ht="20.25" customHeight="1">
      <c r="A9" s="1611" t="s">
        <v>99</v>
      </c>
      <c r="B9" s="1609" t="s">
        <v>2722</v>
      </c>
      <c r="C9" s="1599"/>
      <c r="D9" s="1597"/>
      <c r="E9" s="1597"/>
      <c r="F9" s="1597"/>
      <c r="G9" s="1597"/>
      <c r="H9" s="1591"/>
      <c r="I9" s="1591"/>
      <c r="J9" s="1597"/>
      <c r="K9" s="1597"/>
      <c r="L9" s="1597"/>
      <c r="M9" s="1597"/>
      <c r="N9" s="1591"/>
      <c r="O9" s="1599"/>
      <c r="P9" s="1599"/>
      <c r="Q9" s="1591"/>
      <c r="R9" s="1600"/>
      <c r="S9" s="1600"/>
      <c r="T9" s="1600"/>
      <c r="U9" s="1592">
        <f t="shared" si="1"/>
        <v>0</v>
      </c>
    </row>
    <row r="10" spans="1:21" s="1598" customFormat="1" ht="20.25" customHeight="1">
      <c r="A10" s="1612" t="s">
        <v>106</v>
      </c>
      <c r="B10" s="1609" t="s">
        <v>798</v>
      </c>
      <c r="C10" s="1601"/>
      <c r="D10" s="1597"/>
      <c r="E10" s="1597"/>
      <c r="F10" s="1597"/>
      <c r="G10" s="1597"/>
      <c r="H10" s="1591"/>
      <c r="I10" s="1591"/>
      <c r="J10" s="1597"/>
      <c r="K10" s="1597"/>
      <c r="L10" s="1597"/>
      <c r="M10" s="1597"/>
      <c r="N10" s="1591"/>
      <c r="O10" s="1601"/>
      <c r="P10" s="1601">
        <f>'[4]Соцфин 9.1'!F12-'[4]Афн премии'!Q29</f>
        <v>18080423</v>
      </c>
      <c r="Q10" s="1591"/>
      <c r="R10" s="1602"/>
      <c r="S10" s="1602"/>
      <c r="T10" s="1602">
        <f>C10+O10+P10+Q10</f>
        <v>18080423</v>
      </c>
      <c r="U10" s="1592">
        <f t="shared" si="1"/>
        <v>1.926233868975917E-2</v>
      </c>
    </row>
    <row r="11" spans="1:21" s="1593" customFormat="1" ht="20.25" customHeight="1">
      <c r="A11" s="1613" t="s">
        <v>112</v>
      </c>
      <c r="B11" s="1607" t="s">
        <v>113</v>
      </c>
      <c r="C11" s="1601"/>
      <c r="D11" s="1591"/>
      <c r="E11" s="1591"/>
      <c r="F11" s="1591"/>
      <c r="G11" s="1591"/>
      <c r="H11" s="1591"/>
      <c r="I11" s="1591"/>
      <c r="J11" s="1591"/>
      <c r="K11" s="1591"/>
      <c r="L11" s="1591"/>
      <c r="M11" s="1591"/>
      <c r="N11" s="1591"/>
      <c r="O11" s="1601"/>
      <c r="P11" s="1601">
        <f>P12</f>
        <v>265752910.40600002</v>
      </c>
      <c r="Q11" s="1591"/>
      <c r="R11" s="1601"/>
      <c r="S11" s="1601"/>
      <c r="T11" s="1601">
        <f>C11+O11+P11+Q11</f>
        <v>265752910.40600002</v>
      </c>
      <c r="U11" s="1592">
        <f t="shared" si="1"/>
        <v>0.28312515520403458</v>
      </c>
    </row>
    <row r="12" spans="1:21" s="1593" customFormat="1" ht="20.25" customHeight="1">
      <c r="A12" s="1612" t="s">
        <v>2723</v>
      </c>
      <c r="B12" s="1609" t="s">
        <v>2724</v>
      </c>
      <c r="C12" s="1601"/>
      <c r="D12" s="1597"/>
      <c r="E12" s="1597"/>
      <c r="F12" s="1597"/>
      <c r="G12" s="1597"/>
      <c r="H12" s="1591"/>
      <c r="I12" s="1591"/>
      <c r="J12" s="1597"/>
      <c r="K12" s="1597"/>
      <c r="L12" s="1597"/>
      <c r="M12" s="1597"/>
      <c r="N12" s="1591"/>
      <c r="O12" s="1601"/>
      <c r="P12" s="1591">
        <f>[4]ОУ2012!D5+[4]ОУ2012!D12+[4]ОУ2012!D13+[4]ОУ2012!D14+[4]ОУ2012!D17+'[4]Розница ЛС'!J26*1000+'[4]Розница ЛС'!J27*1000+[4]ОДХ!C8/1000+[4]ОДХ!C11/1000</f>
        <v>265752910.40600002</v>
      </c>
      <c r="Q12" s="1591"/>
      <c r="R12" s="1602"/>
      <c r="S12" s="1602"/>
      <c r="T12" s="1602"/>
      <c r="U12" s="1592">
        <f t="shared" si="1"/>
        <v>0</v>
      </c>
    </row>
    <row r="13" spans="1:21" s="1593" customFormat="1" ht="20.25" customHeight="1">
      <c r="A13" s="1612" t="s">
        <v>2725</v>
      </c>
      <c r="B13" s="1609" t="s">
        <v>2726</v>
      </c>
      <c r="C13" s="1601"/>
      <c r="D13" s="1597"/>
      <c r="E13" s="1597"/>
      <c r="F13" s="1597"/>
      <c r="G13" s="1597"/>
      <c r="H13" s="1591"/>
      <c r="I13" s="1591"/>
      <c r="J13" s="1597"/>
      <c r="K13" s="1597"/>
      <c r="L13" s="1597"/>
      <c r="M13" s="1597"/>
      <c r="N13" s="1591"/>
      <c r="O13" s="1601"/>
      <c r="P13" s="1601"/>
      <c r="Q13" s="1591"/>
      <c r="R13" s="1602"/>
      <c r="S13" s="1602"/>
      <c r="T13" s="1602"/>
      <c r="U13" s="1592">
        <f t="shared" si="1"/>
        <v>0</v>
      </c>
    </row>
    <row r="14" spans="1:21" s="1593" customFormat="1" ht="20.25" customHeight="1">
      <c r="A14" s="1613" t="s">
        <v>122</v>
      </c>
      <c r="B14" s="1607" t="s">
        <v>802</v>
      </c>
      <c r="C14" s="1601"/>
      <c r="D14" s="1591"/>
      <c r="E14" s="1591"/>
      <c r="F14" s="1591"/>
      <c r="G14" s="1591"/>
      <c r="H14" s="1591"/>
      <c r="I14" s="1591"/>
      <c r="J14" s="1591"/>
      <c r="K14" s="1591"/>
      <c r="L14" s="1591"/>
      <c r="M14" s="1591"/>
      <c r="N14" s="1591"/>
      <c r="O14" s="1601"/>
      <c r="P14" s="1601"/>
      <c r="Q14" s="1591">
        <f>R14+S14</f>
        <v>2611066</v>
      </c>
      <c r="R14" s="1601">
        <f>R16</f>
        <v>53847</v>
      </c>
      <c r="S14" s="1601">
        <f>S15+S16</f>
        <v>2557219</v>
      </c>
      <c r="T14" s="1601">
        <f>C14+O14+P14+Q14</f>
        <v>2611066</v>
      </c>
      <c r="U14" s="1592">
        <f t="shared" si="1"/>
        <v>2.7817511588813337E-3</v>
      </c>
    </row>
    <row r="15" spans="1:21" s="1593" customFormat="1" ht="20.25" customHeight="1">
      <c r="A15" s="1612" t="s">
        <v>2727</v>
      </c>
      <c r="B15" s="1609" t="s">
        <v>2728</v>
      </c>
      <c r="C15" s="1601"/>
      <c r="D15" s="1597"/>
      <c r="E15" s="1597"/>
      <c r="F15" s="1597"/>
      <c r="G15" s="1597"/>
      <c r="H15" s="1591"/>
      <c r="I15" s="1591"/>
      <c r="J15" s="1597"/>
      <c r="K15" s="1597"/>
      <c r="L15" s="1597"/>
      <c r="M15" s="1597"/>
      <c r="N15" s="1591"/>
      <c r="O15" s="1601"/>
      <c r="P15" s="1601"/>
      <c r="Q15" s="1591"/>
      <c r="R15" s="1602"/>
      <c r="S15" s="1602"/>
      <c r="T15" s="1602"/>
      <c r="U15" s="1592">
        <f t="shared" si="1"/>
        <v>0</v>
      </c>
    </row>
    <row r="16" spans="1:21" s="1598" customFormat="1" ht="20.25" customHeight="1">
      <c r="A16" s="1612" t="s">
        <v>127</v>
      </c>
      <c r="B16" s="1609" t="s">
        <v>2729</v>
      </c>
      <c r="C16" s="1601"/>
      <c r="D16" s="1597"/>
      <c r="E16" s="1597"/>
      <c r="F16" s="1597"/>
      <c r="G16" s="1597"/>
      <c r="H16" s="1591"/>
      <c r="I16" s="1591"/>
      <c r="J16" s="1597"/>
      <c r="K16" s="1597"/>
      <c r="L16" s="1597"/>
      <c r="M16" s="1597"/>
      <c r="N16" s="1591"/>
      <c r="O16" s="1601"/>
      <c r="P16" s="1601"/>
      <c r="Q16" s="1591"/>
      <c r="R16" s="1597">
        <f>'[4]Соцфин 2.1'!C18</f>
        <v>53847</v>
      </c>
      <c r="S16" s="1597">
        <f>[4]Отчет!J192</f>
        <v>2557219</v>
      </c>
      <c r="T16" s="1602">
        <f>C16+O16+P16+Q16</f>
        <v>0</v>
      </c>
      <c r="U16" s="1592">
        <f t="shared" si="1"/>
        <v>0</v>
      </c>
    </row>
    <row r="17" spans="1:21" s="1593" customFormat="1" ht="20.25" customHeight="1">
      <c r="A17" s="1613" t="s">
        <v>2730</v>
      </c>
      <c r="B17" s="1614" t="s">
        <v>2731</v>
      </c>
      <c r="C17" s="1601"/>
      <c r="D17" s="1591"/>
      <c r="E17" s="1591"/>
      <c r="F17" s="1591"/>
      <c r="G17" s="1591"/>
      <c r="H17" s="1591"/>
      <c r="I17" s="1591"/>
      <c r="J17" s="1591"/>
      <c r="K17" s="1591"/>
      <c r="L17" s="1591"/>
      <c r="M17" s="1591"/>
      <c r="N17" s="1591"/>
      <c r="O17" s="1601"/>
      <c r="P17" s="1601"/>
      <c r="Q17" s="1591"/>
      <c r="R17" s="1601"/>
      <c r="S17" s="1601"/>
      <c r="T17" s="1601"/>
      <c r="U17" s="1592">
        <f t="shared" si="1"/>
        <v>0</v>
      </c>
    </row>
    <row r="18" spans="1:21" s="1593" customFormat="1" ht="12" customHeight="1">
      <c r="A18" s="1619" t="s">
        <v>1211</v>
      </c>
      <c r="B18" s="1620"/>
      <c r="C18" s="1601">
        <f>C4+C7+C11+C14</f>
        <v>641979939.20587623</v>
      </c>
      <c r="D18" s="1601">
        <f>D4+D7+D11+D14</f>
        <v>641979939.20587623</v>
      </c>
      <c r="E18" s="1601"/>
      <c r="F18" s="1601"/>
      <c r="G18" s="1601"/>
      <c r="H18" s="1601"/>
      <c r="I18" s="1601"/>
      <c r="J18" s="1601"/>
      <c r="K18" s="1601"/>
      <c r="L18" s="1601"/>
      <c r="M18" s="1601"/>
      <c r="N18" s="1601"/>
      <c r="O18" s="1601">
        <f>O4+O7+O11+O14</f>
        <v>10216773</v>
      </c>
      <c r="P18" s="1601">
        <f>P4+P7+P11+P14</f>
        <v>283833333.40600002</v>
      </c>
      <c r="Q18" s="1601">
        <f>Q4+Q7+Q11+Q14</f>
        <v>2611066</v>
      </c>
      <c r="R18" s="1601">
        <f>R14</f>
        <v>53847</v>
      </c>
      <c r="S18" s="1601"/>
      <c r="T18" s="1601">
        <f>C18+O18+P18+Q18</f>
        <v>938641111.61187625</v>
      </c>
      <c r="U18" s="1592">
        <f t="shared" si="1"/>
        <v>1</v>
      </c>
    </row>
    <row r="19" spans="1:21" s="1590" customFormat="1">
      <c r="A19" s="1603"/>
      <c r="B19" s="1603"/>
      <c r="C19" s="1604"/>
      <c r="D19" s="1605"/>
      <c r="E19" s="1605"/>
      <c r="F19" s="1605"/>
      <c r="G19" s="1605"/>
      <c r="H19" s="1605"/>
      <c r="I19" s="1605"/>
      <c r="J19" s="1605"/>
      <c r="K19" s="1605"/>
      <c r="L19" s="1605"/>
      <c r="M19" s="1605"/>
      <c r="N19" s="1605"/>
      <c r="O19" s="1605"/>
      <c r="P19" s="1604"/>
      <c r="Q19" s="1604"/>
      <c r="R19" s="1604"/>
      <c r="S19" s="1604"/>
      <c r="T19" s="1603"/>
      <c r="U19" s="1592"/>
    </row>
    <row r="20" spans="1:21">
      <c r="D20" s="1604"/>
      <c r="E20" s="1604"/>
      <c r="F20" s="1604"/>
      <c r="G20" s="1604"/>
      <c r="H20" s="1604"/>
      <c r="I20" s="1604"/>
      <c r="J20" s="1604"/>
      <c r="K20" s="1604"/>
      <c r="L20" s="1604"/>
      <c r="M20" s="1604"/>
      <c r="N20" s="1604"/>
    </row>
  </sheetData>
  <sheetProtection selectLockedCells="1" selectUnlockedCells="1"/>
  <mergeCells count="7">
    <mergeCell ref="Q1:S1"/>
    <mergeCell ref="T1:T3"/>
    <mergeCell ref="A18:B18"/>
    <mergeCell ref="A1:B3"/>
    <mergeCell ref="C1:G1"/>
    <mergeCell ref="I1:M1"/>
    <mergeCell ref="N1:P1"/>
  </mergeCells>
  <printOptions horizontalCentered="1"/>
  <pageMargins left="0.11811023622047245" right="0.11811023622047245" top="1.1417322834645669" bottom="0.19685039370078741" header="0.31496062992125984" footer="0.31496062992125984"/>
  <pageSetup paperSize="9" scale="29" firstPageNumber="107" orientation="landscape" useFirstPageNumber="1" r:id="rId1"/>
  <headerFooter scaleWithDoc="0">
    <oddHeader xml:space="preserve">&amp;R
Приложение 1. </oddHeader>
    <oddFooter>&amp;C&amp;P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topLeftCell="A10" zoomScaleNormal="100" workbookViewId="0">
      <selection activeCell="C46" sqref="C46"/>
    </sheetView>
  </sheetViews>
  <sheetFormatPr defaultRowHeight="12.75"/>
  <cols>
    <col min="1" max="1" width="19.28515625" style="676" customWidth="1"/>
    <col min="2" max="2" width="10.5703125" style="561" customWidth="1"/>
    <col min="3" max="3" width="12.5703125" style="561" customWidth="1"/>
    <col min="4" max="4" width="9.85546875" style="561" customWidth="1"/>
    <col min="5" max="5" width="11.140625" style="561" customWidth="1"/>
    <col min="6" max="6" width="10.28515625" style="561" customWidth="1"/>
    <col min="7" max="7" width="11.28515625" style="561" customWidth="1"/>
    <col min="8" max="8" width="12.42578125" style="561" customWidth="1"/>
    <col min="9" max="9" width="13.5703125" style="561" customWidth="1"/>
    <col min="10" max="10" width="13.140625" style="561" customWidth="1"/>
    <col min="11" max="11" width="19.140625" style="561" customWidth="1"/>
    <col min="12" max="256" width="9.140625" style="561"/>
    <col min="257" max="257" width="19.28515625" style="561" customWidth="1"/>
    <col min="258" max="258" width="10.5703125" style="561" customWidth="1"/>
    <col min="259" max="259" width="12.5703125" style="561" customWidth="1"/>
    <col min="260" max="260" width="9.85546875" style="561" customWidth="1"/>
    <col min="261" max="261" width="11.140625" style="561" customWidth="1"/>
    <col min="262" max="262" width="10.28515625" style="561" customWidth="1"/>
    <col min="263" max="263" width="11.28515625" style="561" customWidth="1"/>
    <col min="264" max="264" width="12.42578125" style="561" customWidth="1"/>
    <col min="265" max="265" width="13.5703125" style="561" customWidth="1"/>
    <col min="266" max="266" width="13.140625" style="561" customWidth="1"/>
    <col min="267" max="267" width="19.140625" style="561" customWidth="1"/>
    <col min="268" max="512" width="9.140625" style="561"/>
    <col min="513" max="513" width="19.28515625" style="561" customWidth="1"/>
    <col min="514" max="514" width="10.5703125" style="561" customWidth="1"/>
    <col min="515" max="515" width="12.5703125" style="561" customWidth="1"/>
    <col min="516" max="516" width="9.85546875" style="561" customWidth="1"/>
    <col min="517" max="517" width="11.140625" style="561" customWidth="1"/>
    <col min="518" max="518" width="10.28515625" style="561" customWidth="1"/>
    <col min="519" max="519" width="11.28515625" style="561" customWidth="1"/>
    <col min="520" max="520" width="12.42578125" style="561" customWidth="1"/>
    <col min="521" max="521" width="13.5703125" style="561" customWidth="1"/>
    <col min="522" max="522" width="13.140625" style="561" customWidth="1"/>
    <col min="523" max="523" width="19.140625" style="561" customWidth="1"/>
    <col min="524" max="768" width="9.140625" style="561"/>
    <col min="769" max="769" width="19.28515625" style="561" customWidth="1"/>
    <col min="770" max="770" width="10.5703125" style="561" customWidth="1"/>
    <col min="771" max="771" width="12.5703125" style="561" customWidth="1"/>
    <col min="772" max="772" width="9.85546875" style="561" customWidth="1"/>
    <col min="773" max="773" width="11.140625" style="561" customWidth="1"/>
    <col min="774" max="774" width="10.28515625" style="561" customWidth="1"/>
    <col min="775" max="775" width="11.28515625" style="561" customWidth="1"/>
    <col min="776" max="776" width="12.42578125" style="561" customWidth="1"/>
    <col min="777" max="777" width="13.5703125" style="561" customWidth="1"/>
    <col min="778" max="778" width="13.140625" style="561" customWidth="1"/>
    <col min="779" max="779" width="19.140625" style="561" customWidth="1"/>
    <col min="780" max="1024" width="9.140625" style="561"/>
    <col min="1025" max="1025" width="19.28515625" style="561" customWidth="1"/>
    <col min="1026" max="1026" width="10.5703125" style="561" customWidth="1"/>
    <col min="1027" max="1027" width="12.5703125" style="561" customWidth="1"/>
    <col min="1028" max="1028" width="9.85546875" style="561" customWidth="1"/>
    <col min="1029" max="1029" width="11.140625" style="561" customWidth="1"/>
    <col min="1030" max="1030" width="10.28515625" style="561" customWidth="1"/>
    <col min="1031" max="1031" width="11.28515625" style="561" customWidth="1"/>
    <col min="1032" max="1032" width="12.42578125" style="561" customWidth="1"/>
    <col min="1033" max="1033" width="13.5703125" style="561" customWidth="1"/>
    <col min="1034" max="1034" width="13.140625" style="561" customWidth="1"/>
    <col min="1035" max="1035" width="19.140625" style="561" customWidth="1"/>
    <col min="1036" max="1280" width="9.140625" style="561"/>
    <col min="1281" max="1281" width="19.28515625" style="561" customWidth="1"/>
    <col min="1282" max="1282" width="10.5703125" style="561" customWidth="1"/>
    <col min="1283" max="1283" width="12.5703125" style="561" customWidth="1"/>
    <col min="1284" max="1284" width="9.85546875" style="561" customWidth="1"/>
    <col min="1285" max="1285" width="11.140625" style="561" customWidth="1"/>
    <col min="1286" max="1286" width="10.28515625" style="561" customWidth="1"/>
    <col min="1287" max="1287" width="11.28515625" style="561" customWidth="1"/>
    <col min="1288" max="1288" width="12.42578125" style="561" customWidth="1"/>
    <col min="1289" max="1289" width="13.5703125" style="561" customWidth="1"/>
    <col min="1290" max="1290" width="13.140625" style="561" customWidth="1"/>
    <col min="1291" max="1291" width="19.140625" style="561" customWidth="1"/>
    <col min="1292" max="1536" width="9.140625" style="561"/>
    <col min="1537" max="1537" width="19.28515625" style="561" customWidth="1"/>
    <col min="1538" max="1538" width="10.5703125" style="561" customWidth="1"/>
    <col min="1539" max="1539" width="12.5703125" style="561" customWidth="1"/>
    <col min="1540" max="1540" width="9.85546875" style="561" customWidth="1"/>
    <col min="1541" max="1541" width="11.140625" style="561" customWidth="1"/>
    <col min="1542" max="1542" width="10.28515625" style="561" customWidth="1"/>
    <col min="1543" max="1543" width="11.28515625" style="561" customWidth="1"/>
    <col min="1544" max="1544" width="12.42578125" style="561" customWidth="1"/>
    <col min="1545" max="1545" width="13.5703125" style="561" customWidth="1"/>
    <col min="1546" max="1546" width="13.140625" style="561" customWidth="1"/>
    <col min="1547" max="1547" width="19.140625" style="561" customWidth="1"/>
    <col min="1548" max="1792" width="9.140625" style="561"/>
    <col min="1793" max="1793" width="19.28515625" style="561" customWidth="1"/>
    <col min="1794" max="1794" width="10.5703125" style="561" customWidth="1"/>
    <col min="1795" max="1795" width="12.5703125" style="561" customWidth="1"/>
    <col min="1796" max="1796" width="9.85546875" style="561" customWidth="1"/>
    <col min="1797" max="1797" width="11.140625" style="561" customWidth="1"/>
    <col min="1798" max="1798" width="10.28515625" style="561" customWidth="1"/>
    <col min="1799" max="1799" width="11.28515625" style="561" customWidth="1"/>
    <col min="1800" max="1800" width="12.42578125" style="561" customWidth="1"/>
    <col min="1801" max="1801" width="13.5703125" style="561" customWidth="1"/>
    <col min="1802" max="1802" width="13.140625" style="561" customWidth="1"/>
    <col min="1803" max="1803" width="19.140625" style="561" customWidth="1"/>
    <col min="1804" max="2048" width="9.140625" style="561"/>
    <col min="2049" max="2049" width="19.28515625" style="561" customWidth="1"/>
    <col min="2050" max="2050" width="10.5703125" style="561" customWidth="1"/>
    <col min="2051" max="2051" width="12.5703125" style="561" customWidth="1"/>
    <col min="2052" max="2052" width="9.85546875" style="561" customWidth="1"/>
    <col min="2053" max="2053" width="11.140625" style="561" customWidth="1"/>
    <col min="2054" max="2054" width="10.28515625" style="561" customWidth="1"/>
    <col min="2055" max="2055" width="11.28515625" style="561" customWidth="1"/>
    <col min="2056" max="2056" width="12.42578125" style="561" customWidth="1"/>
    <col min="2057" max="2057" width="13.5703125" style="561" customWidth="1"/>
    <col min="2058" max="2058" width="13.140625" style="561" customWidth="1"/>
    <col min="2059" max="2059" width="19.140625" style="561" customWidth="1"/>
    <col min="2060" max="2304" width="9.140625" style="561"/>
    <col min="2305" max="2305" width="19.28515625" style="561" customWidth="1"/>
    <col min="2306" max="2306" width="10.5703125" style="561" customWidth="1"/>
    <col min="2307" max="2307" width="12.5703125" style="561" customWidth="1"/>
    <col min="2308" max="2308" width="9.85546875" style="561" customWidth="1"/>
    <col min="2309" max="2309" width="11.140625" style="561" customWidth="1"/>
    <col min="2310" max="2310" width="10.28515625" style="561" customWidth="1"/>
    <col min="2311" max="2311" width="11.28515625" style="561" customWidth="1"/>
    <col min="2312" max="2312" width="12.42578125" style="561" customWidth="1"/>
    <col min="2313" max="2313" width="13.5703125" style="561" customWidth="1"/>
    <col min="2314" max="2314" width="13.140625" style="561" customWidth="1"/>
    <col min="2315" max="2315" width="19.140625" style="561" customWidth="1"/>
    <col min="2316" max="2560" width="9.140625" style="561"/>
    <col min="2561" max="2561" width="19.28515625" style="561" customWidth="1"/>
    <col min="2562" max="2562" width="10.5703125" style="561" customWidth="1"/>
    <col min="2563" max="2563" width="12.5703125" style="561" customWidth="1"/>
    <col min="2564" max="2564" width="9.85546875" style="561" customWidth="1"/>
    <col min="2565" max="2565" width="11.140625" style="561" customWidth="1"/>
    <col min="2566" max="2566" width="10.28515625" style="561" customWidth="1"/>
    <col min="2567" max="2567" width="11.28515625" style="561" customWidth="1"/>
    <col min="2568" max="2568" width="12.42578125" style="561" customWidth="1"/>
    <col min="2569" max="2569" width="13.5703125" style="561" customWidth="1"/>
    <col min="2570" max="2570" width="13.140625" style="561" customWidth="1"/>
    <col min="2571" max="2571" width="19.140625" style="561" customWidth="1"/>
    <col min="2572" max="2816" width="9.140625" style="561"/>
    <col min="2817" max="2817" width="19.28515625" style="561" customWidth="1"/>
    <col min="2818" max="2818" width="10.5703125" style="561" customWidth="1"/>
    <col min="2819" max="2819" width="12.5703125" style="561" customWidth="1"/>
    <col min="2820" max="2820" width="9.85546875" style="561" customWidth="1"/>
    <col min="2821" max="2821" width="11.140625" style="561" customWidth="1"/>
    <col min="2822" max="2822" width="10.28515625" style="561" customWidth="1"/>
    <col min="2823" max="2823" width="11.28515625" style="561" customWidth="1"/>
    <col min="2824" max="2824" width="12.42578125" style="561" customWidth="1"/>
    <col min="2825" max="2825" width="13.5703125" style="561" customWidth="1"/>
    <col min="2826" max="2826" width="13.140625" style="561" customWidth="1"/>
    <col min="2827" max="2827" width="19.140625" style="561" customWidth="1"/>
    <col min="2828" max="3072" width="9.140625" style="561"/>
    <col min="3073" max="3073" width="19.28515625" style="561" customWidth="1"/>
    <col min="3074" max="3074" width="10.5703125" style="561" customWidth="1"/>
    <col min="3075" max="3075" width="12.5703125" style="561" customWidth="1"/>
    <col min="3076" max="3076" width="9.85546875" style="561" customWidth="1"/>
    <col min="3077" max="3077" width="11.140625" style="561" customWidth="1"/>
    <col min="3078" max="3078" width="10.28515625" style="561" customWidth="1"/>
    <col min="3079" max="3079" width="11.28515625" style="561" customWidth="1"/>
    <col min="3080" max="3080" width="12.42578125" style="561" customWidth="1"/>
    <col min="3081" max="3081" width="13.5703125" style="561" customWidth="1"/>
    <col min="3082" max="3082" width="13.140625" style="561" customWidth="1"/>
    <col min="3083" max="3083" width="19.140625" style="561" customWidth="1"/>
    <col min="3084" max="3328" width="9.140625" style="561"/>
    <col min="3329" max="3329" width="19.28515625" style="561" customWidth="1"/>
    <col min="3330" max="3330" width="10.5703125" style="561" customWidth="1"/>
    <col min="3331" max="3331" width="12.5703125" style="561" customWidth="1"/>
    <col min="3332" max="3332" width="9.85546875" style="561" customWidth="1"/>
    <col min="3333" max="3333" width="11.140625" style="561" customWidth="1"/>
    <col min="3334" max="3334" width="10.28515625" style="561" customWidth="1"/>
    <col min="3335" max="3335" width="11.28515625" style="561" customWidth="1"/>
    <col min="3336" max="3336" width="12.42578125" style="561" customWidth="1"/>
    <col min="3337" max="3337" width="13.5703125" style="561" customWidth="1"/>
    <col min="3338" max="3338" width="13.140625" style="561" customWidth="1"/>
    <col min="3339" max="3339" width="19.140625" style="561" customWidth="1"/>
    <col min="3340" max="3584" width="9.140625" style="561"/>
    <col min="3585" max="3585" width="19.28515625" style="561" customWidth="1"/>
    <col min="3586" max="3586" width="10.5703125" style="561" customWidth="1"/>
    <col min="3587" max="3587" width="12.5703125" style="561" customWidth="1"/>
    <col min="3588" max="3588" width="9.85546875" style="561" customWidth="1"/>
    <col min="3589" max="3589" width="11.140625" style="561" customWidth="1"/>
    <col min="3590" max="3590" width="10.28515625" style="561" customWidth="1"/>
    <col min="3591" max="3591" width="11.28515625" style="561" customWidth="1"/>
    <col min="3592" max="3592" width="12.42578125" style="561" customWidth="1"/>
    <col min="3593" max="3593" width="13.5703125" style="561" customWidth="1"/>
    <col min="3594" max="3594" width="13.140625" style="561" customWidth="1"/>
    <col min="3595" max="3595" width="19.140625" style="561" customWidth="1"/>
    <col min="3596" max="3840" width="9.140625" style="561"/>
    <col min="3841" max="3841" width="19.28515625" style="561" customWidth="1"/>
    <col min="3842" max="3842" width="10.5703125" style="561" customWidth="1"/>
    <col min="3843" max="3843" width="12.5703125" style="561" customWidth="1"/>
    <col min="3844" max="3844" width="9.85546875" style="561" customWidth="1"/>
    <col min="3845" max="3845" width="11.140625" style="561" customWidth="1"/>
    <col min="3846" max="3846" width="10.28515625" style="561" customWidth="1"/>
    <col min="3847" max="3847" width="11.28515625" style="561" customWidth="1"/>
    <col min="3848" max="3848" width="12.42578125" style="561" customWidth="1"/>
    <col min="3849" max="3849" width="13.5703125" style="561" customWidth="1"/>
    <col min="3850" max="3850" width="13.140625" style="561" customWidth="1"/>
    <col min="3851" max="3851" width="19.140625" style="561" customWidth="1"/>
    <col min="3852" max="4096" width="9.140625" style="561"/>
    <col min="4097" max="4097" width="19.28515625" style="561" customWidth="1"/>
    <col min="4098" max="4098" width="10.5703125" style="561" customWidth="1"/>
    <col min="4099" max="4099" width="12.5703125" style="561" customWidth="1"/>
    <col min="4100" max="4100" width="9.85546875" style="561" customWidth="1"/>
    <col min="4101" max="4101" width="11.140625" style="561" customWidth="1"/>
    <col min="4102" max="4102" width="10.28515625" style="561" customWidth="1"/>
    <col min="4103" max="4103" width="11.28515625" style="561" customWidth="1"/>
    <col min="4104" max="4104" width="12.42578125" style="561" customWidth="1"/>
    <col min="4105" max="4105" width="13.5703125" style="561" customWidth="1"/>
    <col min="4106" max="4106" width="13.140625" style="561" customWidth="1"/>
    <col min="4107" max="4107" width="19.140625" style="561" customWidth="1"/>
    <col min="4108" max="4352" width="9.140625" style="561"/>
    <col min="4353" max="4353" width="19.28515625" style="561" customWidth="1"/>
    <col min="4354" max="4354" width="10.5703125" style="561" customWidth="1"/>
    <col min="4355" max="4355" width="12.5703125" style="561" customWidth="1"/>
    <col min="4356" max="4356" width="9.85546875" style="561" customWidth="1"/>
    <col min="4357" max="4357" width="11.140625" style="561" customWidth="1"/>
    <col min="4358" max="4358" width="10.28515625" style="561" customWidth="1"/>
    <col min="4359" max="4359" width="11.28515625" style="561" customWidth="1"/>
    <col min="4360" max="4360" width="12.42578125" style="561" customWidth="1"/>
    <col min="4361" max="4361" width="13.5703125" style="561" customWidth="1"/>
    <col min="4362" max="4362" width="13.140625" style="561" customWidth="1"/>
    <col min="4363" max="4363" width="19.140625" style="561" customWidth="1"/>
    <col min="4364" max="4608" width="9.140625" style="561"/>
    <col min="4609" max="4609" width="19.28515625" style="561" customWidth="1"/>
    <col min="4610" max="4610" width="10.5703125" style="561" customWidth="1"/>
    <col min="4611" max="4611" width="12.5703125" style="561" customWidth="1"/>
    <col min="4612" max="4612" width="9.85546875" style="561" customWidth="1"/>
    <col min="4613" max="4613" width="11.140625" style="561" customWidth="1"/>
    <col min="4614" max="4614" width="10.28515625" style="561" customWidth="1"/>
    <col min="4615" max="4615" width="11.28515625" style="561" customWidth="1"/>
    <col min="4616" max="4616" width="12.42578125" style="561" customWidth="1"/>
    <col min="4617" max="4617" width="13.5703125" style="561" customWidth="1"/>
    <col min="4618" max="4618" width="13.140625" style="561" customWidth="1"/>
    <col min="4619" max="4619" width="19.140625" style="561" customWidth="1"/>
    <col min="4620" max="4864" width="9.140625" style="561"/>
    <col min="4865" max="4865" width="19.28515625" style="561" customWidth="1"/>
    <col min="4866" max="4866" width="10.5703125" style="561" customWidth="1"/>
    <col min="4867" max="4867" width="12.5703125" style="561" customWidth="1"/>
    <col min="4868" max="4868" width="9.85546875" style="561" customWidth="1"/>
    <col min="4869" max="4869" width="11.140625" style="561" customWidth="1"/>
    <col min="4870" max="4870" width="10.28515625" style="561" customWidth="1"/>
    <col min="4871" max="4871" width="11.28515625" style="561" customWidth="1"/>
    <col min="4872" max="4872" width="12.42578125" style="561" customWidth="1"/>
    <col min="4873" max="4873" width="13.5703125" style="561" customWidth="1"/>
    <col min="4874" max="4874" width="13.140625" style="561" customWidth="1"/>
    <col min="4875" max="4875" width="19.140625" style="561" customWidth="1"/>
    <col min="4876" max="5120" width="9.140625" style="561"/>
    <col min="5121" max="5121" width="19.28515625" style="561" customWidth="1"/>
    <col min="5122" max="5122" width="10.5703125" style="561" customWidth="1"/>
    <col min="5123" max="5123" width="12.5703125" style="561" customWidth="1"/>
    <col min="5124" max="5124" width="9.85546875" style="561" customWidth="1"/>
    <col min="5125" max="5125" width="11.140625" style="561" customWidth="1"/>
    <col min="5126" max="5126" width="10.28515625" style="561" customWidth="1"/>
    <col min="5127" max="5127" width="11.28515625" style="561" customWidth="1"/>
    <col min="5128" max="5128" width="12.42578125" style="561" customWidth="1"/>
    <col min="5129" max="5129" width="13.5703125" style="561" customWidth="1"/>
    <col min="5130" max="5130" width="13.140625" style="561" customWidth="1"/>
    <col min="5131" max="5131" width="19.140625" style="561" customWidth="1"/>
    <col min="5132" max="5376" width="9.140625" style="561"/>
    <col min="5377" max="5377" width="19.28515625" style="561" customWidth="1"/>
    <col min="5378" max="5378" width="10.5703125" style="561" customWidth="1"/>
    <col min="5379" max="5379" width="12.5703125" style="561" customWidth="1"/>
    <col min="5380" max="5380" width="9.85546875" style="561" customWidth="1"/>
    <col min="5381" max="5381" width="11.140625" style="561" customWidth="1"/>
    <col min="5382" max="5382" width="10.28515625" style="561" customWidth="1"/>
    <col min="5383" max="5383" width="11.28515625" style="561" customWidth="1"/>
    <col min="5384" max="5384" width="12.42578125" style="561" customWidth="1"/>
    <col min="5385" max="5385" width="13.5703125" style="561" customWidth="1"/>
    <col min="5386" max="5386" width="13.140625" style="561" customWidth="1"/>
    <col min="5387" max="5387" width="19.140625" style="561" customWidth="1"/>
    <col min="5388" max="5632" width="9.140625" style="561"/>
    <col min="5633" max="5633" width="19.28515625" style="561" customWidth="1"/>
    <col min="5634" max="5634" width="10.5703125" style="561" customWidth="1"/>
    <col min="5635" max="5635" width="12.5703125" style="561" customWidth="1"/>
    <col min="5636" max="5636" width="9.85546875" style="561" customWidth="1"/>
    <col min="5637" max="5637" width="11.140625" style="561" customWidth="1"/>
    <col min="5638" max="5638" width="10.28515625" style="561" customWidth="1"/>
    <col min="5639" max="5639" width="11.28515625" style="561" customWidth="1"/>
    <col min="5640" max="5640" width="12.42578125" style="561" customWidth="1"/>
    <col min="5641" max="5641" width="13.5703125" style="561" customWidth="1"/>
    <col min="5642" max="5642" width="13.140625" style="561" customWidth="1"/>
    <col min="5643" max="5643" width="19.140625" style="561" customWidth="1"/>
    <col min="5644" max="5888" width="9.140625" style="561"/>
    <col min="5889" max="5889" width="19.28515625" style="561" customWidth="1"/>
    <col min="5890" max="5890" width="10.5703125" style="561" customWidth="1"/>
    <col min="5891" max="5891" width="12.5703125" style="561" customWidth="1"/>
    <col min="5892" max="5892" width="9.85546875" style="561" customWidth="1"/>
    <col min="5893" max="5893" width="11.140625" style="561" customWidth="1"/>
    <col min="5894" max="5894" width="10.28515625" style="561" customWidth="1"/>
    <col min="5895" max="5895" width="11.28515625" style="561" customWidth="1"/>
    <col min="5896" max="5896" width="12.42578125" style="561" customWidth="1"/>
    <col min="5897" max="5897" width="13.5703125" style="561" customWidth="1"/>
    <col min="5898" max="5898" width="13.140625" style="561" customWidth="1"/>
    <col min="5899" max="5899" width="19.140625" style="561" customWidth="1"/>
    <col min="5900" max="6144" width="9.140625" style="561"/>
    <col min="6145" max="6145" width="19.28515625" style="561" customWidth="1"/>
    <col min="6146" max="6146" width="10.5703125" style="561" customWidth="1"/>
    <col min="6147" max="6147" width="12.5703125" style="561" customWidth="1"/>
    <col min="6148" max="6148" width="9.85546875" style="561" customWidth="1"/>
    <col min="6149" max="6149" width="11.140625" style="561" customWidth="1"/>
    <col min="6150" max="6150" width="10.28515625" style="561" customWidth="1"/>
    <col min="6151" max="6151" width="11.28515625" style="561" customWidth="1"/>
    <col min="6152" max="6152" width="12.42578125" style="561" customWidth="1"/>
    <col min="6153" max="6153" width="13.5703125" style="561" customWidth="1"/>
    <col min="6154" max="6154" width="13.140625" style="561" customWidth="1"/>
    <col min="6155" max="6155" width="19.140625" style="561" customWidth="1"/>
    <col min="6156" max="6400" width="9.140625" style="561"/>
    <col min="6401" max="6401" width="19.28515625" style="561" customWidth="1"/>
    <col min="6402" max="6402" width="10.5703125" style="561" customWidth="1"/>
    <col min="6403" max="6403" width="12.5703125" style="561" customWidth="1"/>
    <col min="6404" max="6404" width="9.85546875" style="561" customWidth="1"/>
    <col min="6405" max="6405" width="11.140625" style="561" customWidth="1"/>
    <col min="6406" max="6406" width="10.28515625" style="561" customWidth="1"/>
    <col min="6407" max="6407" width="11.28515625" style="561" customWidth="1"/>
    <col min="6408" max="6408" width="12.42578125" style="561" customWidth="1"/>
    <col min="6409" max="6409" width="13.5703125" style="561" customWidth="1"/>
    <col min="6410" max="6410" width="13.140625" style="561" customWidth="1"/>
    <col min="6411" max="6411" width="19.140625" style="561" customWidth="1"/>
    <col min="6412" max="6656" width="9.140625" style="561"/>
    <col min="6657" max="6657" width="19.28515625" style="561" customWidth="1"/>
    <col min="6658" max="6658" width="10.5703125" style="561" customWidth="1"/>
    <col min="6659" max="6659" width="12.5703125" style="561" customWidth="1"/>
    <col min="6660" max="6660" width="9.85546875" style="561" customWidth="1"/>
    <col min="6661" max="6661" width="11.140625" style="561" customWidth="1"/>
    <col min="6662" max="6662" width="10.28515625" style="561" customWidth="1"/>
    <col min="6663" max="6663" width="11.28515625" style="561" customWidth="1"/>
    <col min="6664" max="6664" width="12.42578125" style="561" customWidth="1"/>
    <col min="6665" max="6665" width="13.5703125" style="561" customWidth="1"/>
    <col min="6666" max="6666" width="13.140625" style="561" customWidth="1"/>
    <col min="6667" max="6667" width="19.140625" style="561" customWidth="1"/>
    <col min="6668" max="6912" width="9.140625" style="561"/>
    <col min="6913" max="6913" width="19.28515625" style="561" customWidth="1"/>
    <col min="6914" max="6914" width="10.5703125" style="561" customWidth="1"/>
    <col min="6915" max="6915" width="12.5703125" style="561" customWidth="1"/>
    <col min="6916" max="6916" width="9.85546875" style="561" customWidth="1"/>
    <col min="6917" max="6917" width="11.140625" style="561" customWidth="1"/>
    <col min="6918" max="6918" width="10.28515625" style="561" customWidth="1"/>
    <col min="6919" max="6919" width="11.28515625" style="561" customWidth="1"/>
    <col min="6920" max="6920" width="12.42578125" style="561" customWidth="1"/>
    <col min="6921" max="6921" width="13.5703125" style="561" customWidth="1"/>
    <col min="6922" max="6922" width="13.140625" style="561" customWidth="1"/>
    <col min="6923" max="6923" width="19.140625" style="561" customWidth="1"/>
    <col min="6924" max="7168" width="9.140625" style="561"/>
    <col min="7169" max="7169" width="19.28515625" style="561" customWidth="1"/>
    <col min="7170" max="7170" width="10.5703125" style="561" customWidth="1"/>
    <col min="7171" max="7171" width="12.5703125" style="561" customWidth="1"/>
    <col min="7172" max="7172" width="9.85546875" style="561" customWidth="1"/>
    <col min="7173" max="7173" width="11.140625" style="561" customWidth="1"/>
    <col min="7174" max="7174" width="10.28515625" style="561" customWidth="1"/>
    <col min="7175" max="7175" width="11.28515625" style="561" customWidth="1"/>
    <col min="7176" max="7176" width="12.42578125" style="561" customWidth="1"/>
    <col min="7177" max="7177" width="13.5703125" style="561" customWidth="1"/>
    <col min="7178" max="7178" width="13.140625" style="561" customWidth="1"/>
    <col min="7179" max="7179" width="19.140625" style="561" customWidth="1"/>
    <col min="7180" max="7424" width="9.140625" style="561"/>
    <col min="7425" max="7425" width="19.28515625" style="561" customWidth="1"/>
    <col min="7426" max="7426" width="10.5703125" style="561" customWidth="1"/>
    <col min="7427" max="7427" width="12.5703125" style="561" customWidth="1"/>
    <col min="7428" max="7428" width="9.85546875" style="561" customWidth="1"/>
    <col min="7429" max="7429" width="11.140625" style="561" customWidth="1"/>
    <col min="7430" max="7430" width="10.28515625" style="561" customWidth="1"/>
    <col min="7431" max="7431" width="11.28515625" style="561" customWidth="1"/>
    <col min="7432" max="7432" width="12.42578125" style="561" customWidth="1"/>
    <col min="7433" max="7433" width="13.5703125" style="561" customWidth="1"/>
    <col min="7434" max="7434" width="13.140625" style="561" customWidth="1"/>
    <col min="7435" max="7435" width="19.140625" style="561" customWidth="1"/>
    <col min="7436" max="7680" width="9.140625" style="561"/>
    <col min="7681" max="7681" width="19.28515625" style="561" customWidth="1"/>
    <col min="7682" max="7682" width="10.5703125" style="561" customWidth="1"/>
    <col min="7683" max="7683" width="12.5703125" style="561" customWidth="1"/>
    <col min="7684" max="7684" width="9.85546875" style="561" customWidth="1"/>
    <col min="7685" max="7685" width="11.140625" style="561" customWidth="1"/>
    <col min="7686" max="7686" width="10.28515625" style="561" customWidth="1"/>
    <col min="7687" max="7687" width="11.28515625" style="561" customWidth="1"/>
    <col min="7688" max="7688" width="12.42578125" style="561" customWidth="1"/>
    <col min="7689" max="7689" width="13.5703125" style="561" customWidth="1"/>
    <col min="7690" max="7690" width="13.140625" style="561" customWidth="1"/>
    <col min="7691" max="7691" width="19.140625" style="561" customWidth="1"/>
    <col min="7692" max="7936" width="9.140625" style="561"/>
    <col min="7937" max="7937" width="19.28515625" style="561" customWidth="1"/>
    <col min="7938" max="7938" width="10.5703125" style="561" customWidth="1"/>
    <col min="7939" max="7939" width="12.5703125" style="561" customWidth="1"/>
    <col min="7940" max="7940" width="9.85546875" style="561" customWidth="1"/>
    <col min="7941" max="7941" width="11.140625" style="561" customWidth="1"/>
    <col min="7942" max="7942" width="10.28515625" style="561" customWidth="1"/>
    <col min="7943" max="7943" width="11.28515625" style="561" customWidth="1"/>
    <col min="7944" max="7944" width="12.42578125" style="561" customWidth="1"/>
    <col min="7945" max="7945" width="13.5703125" style="561" customWidth="1"/>
    <col min="7946" max="7946" width="13.140625" style="561" customWidth="1"/>
    <col min="7947" max="7947" width="19.140625" style="561" customWidth="1"/>
    <col min="7948" max="8192" width="9.140625" style="561"/>
    <col min="8193" max="8193" width="19.28515625" style="561" customWidth="1"/>
    <col min="8194" max="8194" width="10.5703125" style="561" customWidth="1"/>
    <col min="8195" max="8195" width="12.5703125" style="561" customWidth="1"/>
    <col min="8196" max="8196" width="9.85546875" style="561" customWidth="1"/>
    <col min="8197" max="8197" width="11.140625" style="561" customWidth="1"/>
    <col min="8198" max="8198" width="10.28515625" style="561" customWidth="1"/>
    <col min="8199" max="8199" width="11.28515625" style="561" customWidth="1"/>
    <col min="8200" max="8200" width="12.42578125" style="561" customWidth="1"/>
    <col min="8201" max="8201" width="13.5703125" style="561" customWidth="1"/>
    <col min="8202" max="8202" width="13.140625" style="561" customWidth="1"/>
    <col min="8203" max="8203" width="19.140625" style="561" customWidth="1"/>
    <col min="8204" max="8448" width="9.140625" style="561"/>
    <col min="8449" max="8449" width="19.28515625" style="561" customWidth="1"/>
    <col min="8450" max="8450" width="10.5703125" style="561" customWidth="1"/>
    <col min="8451" max="8451" width="12.5703125" style="561" customWidth="1"/>
    <col min="8452" max="8452" width="9.85546875" style="561" customWidth="1"/>
    <col min="8453" max="8453" width="11.140625" style="561" customWidth="1"/>
    <col min="8454" max="8454" width="10.28515625" style="561" customWidth="1"/>
    <col min="8455" max="8455" width="11.28515625" style="561" customWidth="1"/>
    <col min="8456" max="8456" width="12.42578125" style="561" customWidth="1"/>
    <col min="8457" max="8457" width="13.5703125" style="561" customWidth="1"/>
    <col min="8458" max="8458" width="13.140625" style="561" customWidth="1"/>
    <col min="8459" max="8459" width="19.140625" style="561" customWidth="1"/>
    <col min="8460" max="8704" width="9.140625" style="561"/>
    <col min="8705" max="8705" width="19.28515625" style="561" customWidth="1"/>
    <col min="8706" max="8706" width="10.5703125" style="561" customWidth="1"/>
    <col min="8707" max="8707" width="12.5703125" style="561" customWidth="1"/>
    <col min="8708" max="8708" width="9.85546875" style="561" customWidth="1"/>
    <col min="8709" max="8709" width="11.140625" style="561" customWidth="1"/>
    <col min="8710" max="8710" width="10.28515625" style="561" customWidth="1"/>
    <col min="8711" max="8711" width="11.28515625" style="561" customWidth="1"/>
    <col min="8712" max="8712" width="12.42578125" style="561" customWidth="1"/>
    <col min="8713" max="8713" width="13.5703125" style="561" customWidth="1"/>
    <col min="8714" max="8714" width="13.140625" style="561" customWidth="1"/>
    <col min="8715" max="8715" width="19.140625" style="561" customWidth="1"/>
    <col min="8716" max="8960" width="9.140625" style="561"/>
    <col min="8961" max="8961" width="19.28515625" style="561" customWidth="1"/>
    <col min="8962" max="8962" width="10.5703125" style="561" customWidth="1"/>
    <col min="8963" max="8963" width="12.5703125" style="561" customWidth="1"/>
    <col min="8964" max="8964" width="9.85546875" style="561" customWidth="1"/>
    <col min="8965" max="8965" width="11.140625" style="561" customWidth="1"/>
    <col min="8966" max="8966" width="10.28515625" style="561" customWidth="1"/>
    <col min="8967" max="8967" width="11.28515625" style="561" customWidth="1"/>
    <col min="8968" max="8968" width="12.42578125" style="561" customWidth="1"/>
    <col min="8969" max="8969" width="13.5703125" style="561" customWidth="1"/>
    <col min="8970" max="8970" width="13.140625" style="561" customWidth="1"/>
    <col min="8971" max="8971" width="19.140625" style="561" customWidth="1"/>
    <col min="8972" max="9216" width="9.140625" style="561"/>
    <col min="9217" max="9217" width="19.28515625" style="561" customWidth="1"/>
    <col min="9218" max="9218" width="10.5703125" style="561" customWidth="1"/>
    <col min="9219" max="9219" width="12.5703125" style="561" customWidth="1"/>
    <col min="9220" max="9220" width="9.85546875" style="561" customWidth="1"/>
    <col min="9221" max="9221" width="11.140625" style="561" customWidth="1"/>
    <col min="9222" max="9222" width="10.28515625" style="561" customWidth="1"/>
    <col min="9223" max="9223" width="11.28515625" style="561" customWidth="1"/>
    <col min="9224" max="9224" width="12.42578125" style="561" customWidth="1"/>
    <col min="9225" max="9225" width="13.5703125" style="561" customWidth="1"/>
    <col min="9226" max="9226" width="13.140625" style="561" customWidth="1"/>
    <col min="9227" max="9227" width="19.140625" style="561" customWidth="1"/>
    <col min="9228" max="9472" width="9.140625" style="561"/>
    <col min="9473" max="9473" width="19.28515625" style="561" customWidth="1"/>
    <col min="9474" max="9474" width="10.5703125" style="561" customWidth="1"/>
    <col min="9475" max="9475" width="12.5703125" style="561" customWidth="1"/>
    <col min="9476" max="9476" width="9.85546875" style="561" customWidth="1"/>
    <col min="9477" max="9477" width="11.140625" style="561" customWidth="1"/>
    <col min="9478" max="9478" width="10.28515625" style="561" customWidth="1"/>
    <col min="9479" max="9479" width="11.28515625" style="561" customWidth="1"/>
    <col min="9480" max="9480" width="12.42578125" style="561" customWidth="1"/>
    <col min="9481" max="9481" width="13.5703125" style="561" customWidth="1"/>
    <col min="9482" max="9482" width="13.140625" style="561" customWidth="1"/>
    <col min="9483" max="9483" width="19.140625" style="561" customWidth="1"/>
    <col min="9484" max="9728" width="9.140625" style="561"/>
    <col min="9729" max="9729" width="19.28515625" style="561" customWidth="1"/>
    <col min="9730" max="9730" width="10.5703125" style="561" customWidth="1"/>
    <col min="9731" max="9731" width="12.5703125" style="561" customWidth="1"/>
    <col min="9732" max="9732" width="9.85546875" style="561" customWidth="1"/>
    <col min="9733" max="9733" width="11.140625" style="561" customWidth="1"/>
    <col min="9734" max="9734" width="10.28515625" style="561" customWidth="1"/>
    <col min="9735" max="9735" width="11.28515625" style="561" customWidth="1"/>
    <col min="9736" max="9736" width="12.42578125" style="561" customWidth="1"/>
    <col min="9737" max="9737" width="13.5703125" style="561" customWidth="1"/>
    <col min="9738" max="9738" width="13.140625" style="561" customWidth="1"/>
    <col min="9739" max="9739" width="19.140625" style="561" customWidth="1"/>
    <col min="9740" max="9984" width="9.140625" style="561"/>
    <col min="9985" max="9985" width="19.28515625" style="561" customWidth="1"/>
    <col min="9986" max="9986" width="10.5703125" style="561" customWidth="1"/>
    <col min="9987" max="9987" width="12.5703125" style="561" customWidth="1"/>
    <col min="9988" max="9988" width="9.85546875" style="561" customWidth="1"/>
    <col min="9989" max="9989" width="11.140625" style="561" customWidth="1"/>
    <col min="9990" max="9990" width="10.28515625" style="561" customWidth="1"/>
    <col min="9991" max="9991" width="11.28515625" style="561" customWidth="1"/>
    <col min="9992" max="9992" width="12.42578125" style="561" customWidth="1"/>
    <col min="9993" max="9993" width="13.5703125" style="561" customWidth="1"/>
    <col min="9994" max="9994" width="13.140625" style="561" customWidth="1"/>
    <col min="9995" max="9995" width="19.140625" style="561" customWidth="1"/>
    <col min="9996" max="10240" width="9.140625" style="561"/>
    <col min="10241" max="10241" width="19.28515625" style="561" customWidth="1"/>
    <col min="10242" max="10242" width="10.5703125" style="561" customWidth="1"/>
    <col min="10243" max="10243" width="12.5703125" style="561" customWidth="1"/>
    <col min="10244" max="10244" width="9.85546875" style="561" customWidth="1"/>
    <col min="10245" max="10245" width="11.140625" style="561" customWidth="1"/>
    <col min="10246" max="10246" width="10.28515625" style="561" customWidth="1"/>
    <col min="10247" max="10247" width="11.28515625" style="561" customWidth="1"/>
    <col min="10248" max="10248" width="12.42578125" style="561" customWidth="1"/>
    <col min="10249" max="10249" width="13.5703125" style="561" customWidth="1"/>
    <col min="10250" max="10250" width="13.140625" style="561" customWidth="1"/>
    <col min="10251" max="10251" width="19.140625" style="561" customWidth="1"/>
    <col min="10252" max="10496" width="9.140625" style="561"/>
    <col min="10497" max="10497" width="19.28515625" style="561" customWidth="1"/>
    <col min="10498" max="10498" width="10.5703125" style="561" customWidth="1"/>
    <col min="10499" max="10499" width="12.5703125" style="561" customWidth="1"/>
    <col min="10500" max="10500" width="9.85546875" style="561" customWidth="1"/>
    <col min="10501" max="10501" width="11.140625" style="561" customWidth="1"/>
    <col min="10502" max="10502" width="10.28515625" style="561" customWidth="1"/>
    <col min="10503" max="10503" width="11.28515625" style="561" customWidth="1"/>
    <col min="10504" max="10504" width="12.42578125" style="561" customWidth="1"/>
    <col min="10505" max="10505" width="13.5703125" style="561" customWidth="1"/>
    <col min="10506" max="10506" width="13.140625" style="561" customWidth="1"/>
    <col min="10507" max="10507" width="19.140625" style="561" customWidth="1"/>
    <col min="10508" max="10752" width="9.140625" style="561"/>
    <col min="10753" max="10753" width="19.28515625" style="561" customWidth="1"/>
    <col min="10754" max="10754" width="10.5703125" style="561" customWidth="1"/>
    <col min="10755" max="10755" width="12.5703125" style="561" customWidth="1"/>
    <col min="10756" max="10756" width="9.85546875" style="561" customWidth="1"/>
    <col min="10757" max="10757" width="11.140625" style="561" customWidth="1"/>
    <col min="10758" max="10758" width="10.28515625" style="561" customWidth="1"/>
    <col min="10759" max="10759" width="11.28515625" style="561" customWidth="1"/>
    <col min="10760" max="10760" width="12.42578125" style="561" customWidth="1"/>
    <col min="10761" max="10761" width="13.5703125" style="561" customWidth="1"/>
    <col min="10762" max="10762" width="13.140625" style="561" customWidth="1"/>
    <col min="10763" max="10763" width="19.140625" style="561" customWidth="1"/>
    <col min="10764" max="11008" width="9.140625" style="561"/>
    <col min="11009" max="11009" width="19.28515625" style="561" customWidth="1"/>
    <col min="11010" max="11010" width="10.5703125" style="561" customWidth="1"/>
    <col min="11011" max="11011" width="12.5703125" style="561" customWidth="1"/>
    <col min="11012" max="11012" width="9.85546875" style="561" customWidth="1"/>
    <col min="11013" max="11013" width="11.140625" style="561" customWidth="1"/>
    <col min="11014" max="11014" width="10.28515625" style="561" customWidth="1"/>
    <col min="11015" max="11015" width="11.28515625" style="561" customWidth="1"/>
    <col min="11016" max="11016" width="12.42578125" style="561" customWidth="1"/>
    <col min="11017" max="11017" width="13.5703125" style="561" customWidth="1"/>
    <col min="11018" max="11018" width="13.140625" style="561" customWidth="1"/>
    <col min="11019" max="11019" width="19.140625" style="561" customWidth="1"/>
    <col min="11020" max="11264" width="9.140625" style="561"/>
    <col min="11265" max="11265" width="19.28515625" style="561" customWidth="1"/>
    <col min="11266" max="11266" width="10.5703125" style="561" customWidth="1"/>
    <col min="11267" max="11267" width="12.5703125" style="561" customWidth="1"/>
    <col min="11268" max="11268" width="9.85546875" style="561" customWidth="1"/>
    <col min="11269" max="11269" width="11.140625" style="561" customWidth="1"/>
    <col min="11270" max="11270" width="10.28515625" style="561" customWidth="1"/>
    <col min="11271" max="11271" width="11.28515625" style="561" customWidth="1"/>
    <col min="11272" max="11272" width="12.42578125" style="561" customWidth="1"/>
    <col min="11273" max="11273" width="13.5703125" style="561" customWidth="1"/>
    <col min="11274" max="11274" width="13.140625" style="561" customWidth="1"/>
    <col min="11275" max="11275" width="19.140625" style="561" customWidth="1"/>
    <col min="11276" max="11520" width="9.140625" style="561"/>
    <col min="11521" max="11521" width="19.28515625" style="561" customWidth="1"/>
    <col min="11522" max="11522" width="10.5703125" style="561" customWidth="1"/>
    <col min="11523" max="11523" width="12.5703125" style="561" customWidth="1"/>
    <col min="11524" max="11524" width="9.85546875" style="561" customWidth="1"/>
    <col min="11525" max="11525" width="11.140625" style="561" customWidth="1"/>
    <col min="11526" max="11526" width="10.28515625" style="561" customWidth="1"/>
    <col min="11527" max="11527" width="11.28515625" style="561" customWidth="1"/>
    <col min="11528" max="11528" width="12.42578125" style="561" customWidth="1"/>
    <col min="11529" max="11529" width="13.5703125" style="561" customWidth="1"/>
    <col min="11530" max="11530" width="13.140625" style="561" customWidth="1"/>
    <col min="11531" max="11531" width="19.140625" style="561" customWidth="1"/>
    <col min="11532" max="11776" width="9.140625" style="561"/>
    <col min="11777" max="11777" width="19.28515625" style="561" customWidth="1"/>
    <col min="11778" max="11778" width="10.5703125" style="561" customWidth="1"/>
    <col min="11779" max="11779" width="12.5703125" style="561" customWidth="1"/>
    <col min="11780" max="11780" width="9.85546875" style="561" customWidth="1"/>
    <col min="11781" max="11781" width="11.140625" style="561" customWidth="1"/>
    <col min="11782" max="11782" width="10.28515625" style="561" customWidth="1"/>
    <col min="11783" max="11783" width="11.28515625" style="561" customWidth="1"/>
    <col min="11784" max="11784" width="12.42578125" style="561" customWidth="1"/>
    <col min="11785" max="11785" width="13.5703125" style="561" customWidth="1"/>
    <col min="11786" max="11786" width="13.140625" style="561" customWidth="1"/>
    <col min="11787" max="11787" width="19.140625" style="561" customWidth="1"/>
    <col min="11788" max="12032" width="9.140625" style="561"/>
    <col min="12033" max="12033" width="19.28515625" style="561" customWidth="1"/>
    <col min="12034" max="12034" width="10.5703125" style="561" customWidth="1"/>
    <col min="12035" max="12035" width="12.5703125" style="561" customWidth="1"/>
    <col min="12036" max="12036" width="9.85546875" style="561" customWidth="1"/>
    <col min="12037" max="12037" width="11.140625" style="561" customWidth="1"/>
    <col min="12038" max="12038" width="10.28515625" style="561" customWidth="1"/>
    <col min="12039" max="12039" width="11.28515625" style="561" customWidth="1"/>
    <col min="12040" max="12040" width="12.42578125" style="561" customWidth="1"/>
    <col min="12041" max="12041" width="13.5703125" style="561" customWidth="1"/>
    <col min="12042" max="12042" width="13.140625" style="561" customWidth="1"/>
    <col min="12043" max="12043" width="19.140625" style="561" customWidth="1"/>
    <col min="12044" max="12288" width="9.140625" style="561"/>
    <col min="12289" max="12289" width="19.28515625" style="561" customWidth="1"/>
    <col min="12290" max="12290" width="10.5703125" style="561" customWidth="1"/>
    <col min="12291" max="12291" width="12.5703125" style="561" customWidth="1"/>
    <col min="12292" max="12292" width="9.85546875" style="561" customWidth="1"/>
    <col min="12293" max="12293" width="11.140625" style="561" customWidth="1"/>
    <col min="12294" max="12294" width="10.28515625" style="561" customWidth="1"/>
    <col min="12295" max="12295" width="11.28515625" style="561" customWidth="1"/>
    <col min="12296" max="12296" width="12.42578125" style="561" customWidth="1"/>
    <col min="12297" max="12297" width="13.5703125" style="561" customWidth="1"/>
    <col min="12298" max="12298" width="13.140625" style="561" customWidth="1"/>
    <col min="12299" max="12299" width="19.140625" style="561" customWidth="1"/>
    <col min="12300" max="12544" width="9.140625" style="561"/>
    <col min="12545" max="12545" width="19.28515625" style="561" customWidth="1"/>
    <col min="12546" max="12546" width="10.5703125" style="561" customWidth="1"/>
    <col min="12547" max="12547" width="12.5703125" style="561" customWidth="1"/>
    <col min="12548" max="12548" width="9.85546875" style="561" customWidth="1"/>
    <col min="12549" max="12549" width="11.140625" style="561" customWidth="1"/>
    <col min="12550" max="12550" width="10.28515625" style="561" customWidth="1"/>
    <col min="12551" max="12551" width="11.28515625" style="561" customWidth="1"/>
    <col min="12552" max="12552" width="12.42578125" style="561" customWidth="1"/>
    <col min="12553" max="12553" width="13.5703125" style="561" customWidth="1"/>
    <col min="12554" max="12554" width="13.140625" style="561" customWidth="1"/>
    <col min="12555" max="12555" width="19.140625" style="561" customWidth="1"/>
    <col min="12556" max="12800" width="9.140625" style="561"/>
    <col min="12801" max="12801" width="19.28515625" style="561" customWidth="1"/>
    <col min="12802" max="12802" width="10.5703125" style="561" customWidth="1"/>
    <col min="12803" max="12803" width="12.5703125" style="561" customWidth="1"/>
    <col min="12804" max="12804" width="9.85546875" style="561" customWidth="1"/>
    <col min="12805" max="12805" width="11.140625" style="561" customWidth="1"/>
    <col min="12806" max="12806" width="10.28515625" style="561" customWidth="1"/>
    <col min="12807" max="12807" width="11.28515625" style="561" customWidth="1"/>
    <col min="12808" max="12808" width="12.42578125" style="561" customWidth="1"/>
    <col min="12809" max="12809" width="13.5703125" style="561" customWidth="1"/>
    <col min="12810" max="12810" width="13.140625" style="561" customWidth="1"/>
    <col min="12811" max="12811" width="19.140625" style="561" customWidth="1"/>
    <col min="12812" max="13056" width="9.140625" style="561"/>
    <col min="13057" max="13057" width="19.28515625" style="561" customWidth="1"/>
    <col min="13058" max="13058" width="10.5703125" style="561" customWidth="1"/>
    <col min="13059" max="13059" width="12.5703125" style="561" customWidth="1"/>
    <col min="13060" max="13060" width="9.85546875" style="561" customWidth="1"/>
    <col min="13061" max="13061" width="11.140625" style="561" customWidth="1"/>
    <col min="13062" max="13062" width="10.28515625" style="561" customWidth="1"/>
    <col min="13063" max="13063" width="11.28515625" style="561" customWidth="1"/>
    <col min="13064" max="13064" width="12.42578125" style="561" customWidth="1"/>
    <col min="13065" max="13065" width="13.5703125" style="561" customWidth="1"/>
    <col min="13066" max="13066" width="13.140625" style="561" customWidth="1"/>
    <col min="13067" max="13067" width="19.140625" style="561" customWidth="1"/>
    <col min="13068" max="13312" width="9.140625" style="561"/>
    <col min="13313" max="13313" width="19.28515625" style="561" customWidth="1"/>
    <col min="13314" max="13314" width="10.5703125" style="561" customWidth="1"/>
    <col min="13315" max="13315" width="12.5703125" style="561" customWidth="1"/>
    <col min="13316" max="13316" width="9.85546875" style="561" customWidth="1"/>
    <col min="13317" max="13317" width="11.140625" style="561" customWidth="1"/>
    <col min="13318" max="13318" width="10.28515625" style="561" customWidth="1"/>
    <col min="13319" max="13319" width="11.28515625" style="561" customWidth="1"/>
    <col min="13320" max="13320" width="12.42578125" style="561" customWidth="1"/>
    <col min="13321" max="13321" width="13.5703125" style="561" customWidth="1"/>
    <col min="13322" max="13322" width="13.140625" style="561" customWidth="1"/>
    <col min="13323" max="13323" width="19.140625" style="561" customWidth="1"/>
    <col min="13324" max="13568" width="9.140625" style="561"/>
    <col min="13569" max="13569" width="19.28515625" style="561" customWidth="1"/>
    <col min="13570" max="13570" width="10.5703125" style="561" customWidth="1"/>
    <col min="13571" max="13571" width="12.5703125" style="561" customWidth="1"/>
    <col min="13572" max="13572" width="9.85546875" style="561" customWidth="1"/>
    <col min="13573" max="13573" width="11.140625" style="561" customWidth="1"/>
    <col min="13574" max="13574" width="10.28515625" style="561" customWidth="1"/>
    <col min="13575" max="13575" width="11.28515625" style="561" customWidth="1"/>
    <col min="13576" max="13576" width="12.42578125" style="561" customWidth="1"/>
    <col min="13577" max="13577" width="13.5703125" style="561" customWidth="1"/>
    <col min="13578" max="13578" width="13.140625" style="561" customWidth="1"/>
    <col min="13579" max="13579" width="19.140625" style="561" customWidth="1"/>
    <col min="13580" max="13824" width="9.140625" style="561"/>
    <col min="13825" max="13825" width="19.28515625" style="561" customWidth="1"/>
    <col min="13826" max="13826" width="10.5703125" style="561" customWidth="1"/>
    <col min="13827" max="13827" width="12.5703125" style="561" customWidth="1"/>
    <col min="13828" max="13828" width="9.85546875" style="561" customWidth="1"/>
    <col min="13829" max="13829" width="11.140625" style="561" customWidth="1"/>
    <col min="13830" max="13830" width="10.28515625" style="561" customWidth="1"/>
    <col min="13831" max="13831" width="11.28515625" style="561" customWidth="1"/>
    <col min="13832" max="13832" width="12.42578125" style="561" customWidth="1"/>
    <col min="13833" max="13833" width="13.5703125" style="561" customWidth="1"/>
    <col min="13834" max="13834" width="13.140625" style="561" customWidth="1"/>
    <col min="13835" max="13835" width="19.140625" style="561" customWidth="1"/>
    <col min="13836" max="14080" width="9.140625" style="561"/>
    <col min="14081" max="14081" width="19.28515625" style="561" customWidth="1"/>
    <col min="14082" max="14082" width="10.5703125" style="561" customWidth="1"/>
    <col min="14083" max="14083" width="12.5703125" style="561" customWidth="1"/>
    <col min="14084" max="14084" width="9.85546875" style="561" customWidth="1"/>
    <col min="14085" max="14085" width="11.140625" style="561" customWidth="1"/>
    <col min="14086" max="14086" width="10.28515625" style="561" customWidth="1"/>
    <col min="14087" max="14087" width="11.28515625" style="561" customWidth="1"/>
    <col min="14088" max="14088" width="12.42578125" style="561" customWidth="1"/>
    <col min="14089" max="14089" width="13.5703125" style="561" customWidth="1"/>
    <col min="14090" max="14090" width="13.140625" style="561" customWidth="1"/>
    <col min="14091" max="14091" width="19.140625" style="561" customWidth="1"/>
    <col min="14092" max="14336" width="9.140625" style="561"/>
    <col min="14337" max="14337" width="19.28515625" style="561" customWidth="1"/>
    <col min="14338" max="14338" width="10.5703125" style="561" customWidth="1"/>
    <col min="14339" max="14339" width="12.5703125" style="561" customWidth="1"/>
    <col min="14340" max="14340" width="9.85546875" style="561" customWidth="1"/>
    <col min="14341" max="14341" width="11.140625" style="561" customWidth="1"/>
    <col min="14342" max="14342" width="10.28515625" style="561" customWidth="1"/>
    <col min="14343" max="14343" width="11.28515625" style="561" customWidth="1"/>
    <col min="14344" max="14344" width="12.42578125" style="561" customWidth="1"/>
    <col min="14345" max="14345" width="13.5703125" style="561" customWidth="1"/>
    <col min="14346" max="14346" width="13.140625" style="561" customWidth="1"/>
    <col min="14347" max="14347" width="19.140625" style="561" customWidth="1"/>
    <col min="14348" max="14592" width="9.140625" style="561"/>
    <col min="14593" max="14593" width="19.28515625" style="561" customWidth="1"/>
    <col min="14594" max="14594" width="10.5703125" style="561" customWidth="1"/>
    <col min="14595" max="14595" width="12.5703125" style="561" customWidth="1"/>
    <col min="14596" max="14596" width="9.85546875" style="561" customWidth="1"/>
    <col min="14597" max="14597" width="11.140625" style="561" customWidth="1"/>
    <col min="14598" max="14598" width="10.28515625" style="561" customWidth="1"/>
    <col min="14599" max="14599" width="11.28515625" style="561" customWidth="1"/>
    <col min="14600" max="14600" width="12.42578125" style="561" customWidth="1"/>
    <col min="14601" max="14601" width="13.5703125" style="561" customWidth="1"/>
    <col min="14602" max="14602" width="13.140625" style="561" customWidth="1"/>
    <col min="14603" max="14603" width="19.140625" style="561" customWidth="1"/>
    <col min="14604" max="14848" width="9.140625" style="561"/>
    <col min="14849" max="14849" width="19.28515625" style="561" customWidth="1"/>
    <col min="14850" max="14850" width="10.5703125" style="561" customWidth="1"/>
    <col min="14851" max="14851" width="12.5703125" style="561" customWidth="1"/>
    <col min="14852" max="14852" width="9.85546875" style="561" customWidth="1"/>
    <col min="14853" max="14853" width="11.140625" style="561" customWidth="1"/>
    <col min="14854" max="14854" width="10.28515625" style="561" customWidth="1"/>
    <col min="14855" max="14855" width="11.28515625" style="561" customWidth="1"/>
    <col min="14856" max="14856" width="12.42578125" style="561" customWidth="1"/>
    <col min="14857" max="14857" width="13.5703125" style="561" customWidth="1"/>
    <col min="14858" max="14858" width="13.140625" style="561" customWidth="1"/>
    <col min="14859" max="14859" width="19.140625" style="561" customWidth="1"/>
    <col min="14860" max="15104" width="9.140625" style="561"/>
    <col min="15105" max="15105" width="19.28515625" style="561" customWidth="1"/>
    <col min="15106" max="15106" width="10.5703125" style="561" customWidth="1"/>
    <col min="15107" max="15107" width="12.5703125" style="561" customWidth="1"/>
    <col min="15108" max="15108" width="9.85546875" style="561" customWidth="1"/>
    <col min="15109" max="15109" width="11.140625" style="561" customWidth="1"/>
    <col min="15110" max="15110" width="10.28515625" style="561" customWidth="1"/>
    <col min="15111" max="15111" width="11.28515625" style="561" customWidth="1"/>
    <col min="15112" max="15112" width="12.42578125" style="561" customWidth="1"/>
    <col min="15113" max="15113" width="13.5703125" style="561" customWidth="1"/>
    <col min="15114" max="15114" width="13.140625" style="561" customWidth="1"/>
    <col min="15115" max="15115" width="19.140625" style="561" customWidth="1"/>
    <col min="15116" max="15360" width="9.140625" style="561"/>
    <col min="15361" max="15361" width="19.28515625" style="561" customWidth="1"/>
    <col min="15362" max="15362" width="10.5703125" style="561" customWidth="1"/>
    <col min="15363" max="15363" width="12.5703125" style="561" customWidth="1"/>
    <col min="15364" max="15364" width="9.85546875" style="561" customWidth="1"/>
    <col min="15365" max="15365" width="11.140625" style="561" customWidth="1"/>
    <col min="15366" max="15366" width="10.28515625" style="561" customWidth="1"/>
    <col min="15367" max="15367" width="11.28515625" style="561" customWidth="1"/>
    <col min="15368" max="15368" width="12.42578125" style="561" customWidth="1"/>
    <col min="15369" max="15369" width="13.5703125" style="561" customWidth="1"/>
    <col min="15370" max="15370" width="13.140625" style="561" customWidth="1"/>
    <col min="15371" max="15371" width="19.140625" style="561" customWidth="1"/>
    <col min="15372" max="15616" width="9.140625" style="561"/>
    <col min="15617" max="15617" width="19.28515625" style="561" customWidth="1"/>
    <col min="15618" max="15618" width="10.5703125" style="561" customWidth="1"/>
    <col min="15619" max="15619" width="12.5703125" style="561" customWidth="1"/>
    <col min="15620" max="15620" width="9.85546875" style="561" customWidth="1"/>
    <col min="15621" max="15621" width="11.140625" style="561" customWidth="1"/>
    <col min="15622" max="15622" width="10.28515625" style="561" customWidth="1"/>
    <col min="15623" max="15623" width="11.28515625" style="561" customWidth="1"/>
    <col min="15624" max="15624" width="12.42578125" style="561" customWidth="1"/>
    <col min="15625" max="15625" width="13.5703125" style="561" customWidth="1"/>
    <col min="15626" max="15626" width="13.140625" style="561" customWidth="1"/>
    <col min="15627" max="15627" width="19.140625" style="561" customWidth="1"/>
    <col min="15628" max="15872" width="9.140625" style="561"/>
    <col min="15873" max="15873" width="19.28515625" style="561" customWidth="1"/>
    <col min="15874" max="15874" width="10.5703125" style="561" customWidth="1"/>
    <col min="15875" max="15875" width="12.5703125" style="561" customWidth="1"/>
    <col min="15876" max="15876" width="9.85546875" style="561" customWidth="1"/>
    <col min="15877" max="15877" width="11.140625" style="561" customWidth="1"/>
    <col min="15878" max="15878" width="10.28515625" style="561" customWidth="1"/>
    <col min="15879" max="15879" width="11.28515625" style="561" customWidth="1"/>
    <col min="15880" max="15880" width="12.42578125" style="561" customWidth="1"/>
    <col min="15881" max="15881" width="13.5703125" style="561" customWidth="1"/>
    <col min="15882" max="15882" width="13.140625" style="561" customWidth="1"/>
    <col min="15883" max="15883" width="19.140625" style="561" customWidth="1"/>
    <col min="15884" max="16128" width="9.140625" style="561"/>
    <col min="16129" max="16129" width="19.28515625" style="561" customWidth="1"/>
    <col min="16130" max="16130" width="10.5703125" style="561" customWidth="1"/>
    <col min="16131" max="16131" width="12.5703125" style="561" customWidth="1"/>
    <col min="16132" max="16132" width="9.85546875" style="561" customWidth="1"/>
    <col min="16133" max="16133" width="11.140625" style="561" customWidth="1"/>
    <col min="16134" max="16134" width="10.28515625" style="561" customWidth="1"/>
    <col min="16135" max="16135" width="11.28515625" style="561" customWidth="1"/>
    <col min="16136" max="16136" width="12.42578125" style="561" customWidth="1"/>
    <col min="16137" max="16137" width="13.5703125" style="561" customWidth="1"/>
    <col min="16138" max="16138" width="13.140625" style="561" customWidth="1"/>
    <col min="16139" max="16139" width="19.140625" style="561" customWidth="1"/>
    <col min="16140" max="16384" width="9.140625" style="561"/>
  </cols>
  <sheetData>
    <row r="1" spans="1:14" ht="29.25" customHeight="1">
      <c r="A1" s="1717" t="s">
        <v>2114</v>
      </c>
      <c r="B1" s="1682"/>
      <c r="C1" s="1682"/>
      <c r="D1" s="1682"/>
      <c r="E1" s="1682"/>
      <c r="F1" s="1682"/>
      <c r="G1" s="1682"/>
      <c r="H1" s="1682"/>
      <c r="I1" s="1682"/>
      <c r="J1" s="1682"/>
      <c r="K1" s="1682"/>
    </row>
    <row r="2" spans="1:14" ht="12.75" customHeight="1">
      <c r="A2" s="1718"/>
      <c r="B2" s="1718"/>
      <c r="C2" s="1718"/>
      <c r="D2" s="1718"/>
      <c r="E2" s="1718"/>
      <c r="F2" s="1718"/>
      <c r="G2" s="1718"/>
      <c r="H2" s="1718"/>
      <c r="I2" s="1718"/>
      <c r="J2" s="1718"/>
      <c r="K2" s="1718"/>
    </row>
    <row r="3" spans="1:14" ht="27" customHeight="1">
      <c r="A3" s="1719" t="s">
        <v>2115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</row>
    <row r="4" spans="1:14">
      <c r="A4" s="1719"/>
      <c r="B4" s="1719"/>
      <c r="C4" s="1719"/>
      <c r="D4" s="1719"/>
      <c r="E4" s="1719"/>
      <c r="F4" s="1719"/>
      <c r="G4" s="1719"/>
      <c r="H4" s="1719"/>
      <c r="I4" s="1719"/>
      <c r="J4" s="1719"/>
      <c r="K4" s="1719"/>
    </row>
    <row r="5" spans="1:14" ht="27" customHeight="1">
      <c r="A5" s="1720" t="s">
        <v>2689</v>
      </c>
      <c r="B5" s="1720"/>
      <c r="C5" s="1720"/>
      <c r="D5" s="1720"/>
      <c r="E5" s="1720"/>
      <c r="F5" s="1720"/>
      <c r="G5" s="1720"/>
      <c r="H5" s="1720"/>
      <c r="I5" s="1720"/>
      <c r="J5" s="1720"/>
      <c r="K5" s="1720"/>
    </row>
    <row r="6" spans="1:14" s="660" customFormat="1">
      <c r="A6" s="1193" t="s">
        <v>2690</v>
      </c>
      <c r="B6" s="1716"/>
      <c r="C6" s="1716"/>
      <c r="D6" s="1716"/>
      <c r="E6" s="1716"/>
      <c r="F6" s="1716"/>
      <c r="G6" s="1716"/>
      <c r="H6" s="1716"/>
      <c r="I6" s="1716"/>
      <c r="J6" s="1716"/>
      <c r="K6" s="1194" t="s">
        <v>2691</v>
      </c>
      <c r="L6" s="561"/>
      <c r="M6" s="561"/>
      <c r="N6" s="561"/>
    </row>
    <row r="7" spans="1:14" ht="12.75" customHeight="1">
      <c r="A7" s="1695"/>
      <c r="B7" s="1698" t="s">
        <v>2063</v>
      </c>
      <c r="C7" s="1699" t="s">
        <v>2117</v>
      </c>
      <c r="D7" s="1700"/>
      <c r="E7" s="1700"/>
      <c r="F7" s="1700"/>
      <c r="G7" s="1700"/>
      <c r="H7" s="1700"/>
      <c r="I7" s="1700"/>
      <c r="J7" s="1701"/>
      <c r="K7" s="1705"/>
    </row>
    <row r="8" spans="1:14" ht="12.75" customHeight="1">
      <c r="A8" s="1696"/>
      <c r="B8" s="1698"/>
      <c r="C8" s="1708" t="s">
        <v>2065</v>
      </c>
      <c r="D8" s="1699" t="s">
        <v>2066</v>
      </c>
      <c r="E8" s="1700"/>
      <c r="F8" s="1700"/>
      <c r="G8" s="1700"/>
      <c r="H8" s="1701"/>
      <c r="I8" s="1710" t="s">
        <v>2067</v>
      </c>
      <c r="J8" s="1708" t="s">
        <v>2068</v>
      </c>
      <c r="K8" s="1706"/>
    </row>
    <row r="9" spans="1:14" ht="54" customHeight="1">
      <c r="A9" s="1696"/>
      <c r="B9" s="1698"/>
      <c r="C9" s="1709"/>
      <c r="D9" s="661" t="s">
        <v>2069</v>
      </c>
      <c r="E9" s="661" t="s">
        <v>2070</v>
      </c>
      <c r="F9" s="661" t="s">
        <v>2071</v>
      </c>
      <c r="G9" s="661" t="s">
        <v>2072</v>
      </c>
      <c r="H9" s="661" t="s">
        <v>2073</v>
      </c>
      <c r="I9" s="1710"/>
      <c r="J9" s="1709"/>
      <c r="K9" s="1706"/>
    </row>
    <row r="10" spans="1:14" ht="12.75" customHeight="1">
      <c r="A10" s="1696"/>
      <c r="B10" s="1702" t="s">
        <v>2074</v>
      </c>
      <c r="C10" s="1711" t="s">
        <v>2075</v>
      </c>
      <c r="D10" s="1712"/>
      <c r="E10" s="1712"/>
      <c r="F10" s="1712"/>
      <c r="G10" s="1712"/>
      <c r="H10" s="1712"/>
      <c r="I10" s="1712"/>
      <c r="J10" s="1713"/>
      <c r="K10" s="1706"/>
    </row>
    <row r="11" spans="1:14" ht="12.75" customHeight="1">
      <c r="A11" s="1696"/>
      <c r="B11" s="1703"/>
      <c r="C11" s="1714" t="s">
        <v>2076</v>
      </c>
      <c r="D11" s="1699" t="s">
        <v>2077</v>
      </c>
      <c r="E11" s="1700"/>
      <c r="F11" s="1700"/>
      <c r="G11" s="1700"/>
      <c r="H11" s="1701"/>
      <c r="I11" s="1710" t="s">
        <v>2078</v>
      </c>
      <c r="J11" s="1708" t="s">
        <v>2118</v>
      </c>
      <c r="K11" s="1706"/>
    </row>
    <row r="12" spans="1:14" ht="63" customHeight="1">
      <c r="A12" s="1697"/>
      <c r="B12" s="1704"/>
      <c r="C12" s="1715"/>
      <c r="D12" s="661" t="s">
        <v>2080</v>
      </c>
      <c r="E12" s="661" t="s">
        <v>2119</v>
      </c>
      <c r="F12" s="661" t="s">
        <v>2082</v>
      </c>
      <c r="G12" s="661" t="s">
        <v>2120</v>
      </c>
      <c r="H12" s="661" t="s">
        <v>2084</v>
      </c>
      <c r="I12" s="1710"/>
      <c r="J12" s="1709"/>
      <c r="K12" s="1707"/>
    </row>
    <row r="13" spans="1:14" s="694" customFormat="1" ht="22.5">
      <c r="A13" s="1195" t="s">
        <v>2121</v>
      </c>
      <c r="B13" s="1196">
        <v>30506567</v>
      </c>
      <c r="C13" s="1197">
        <v>29128376</v>
      </c>
      <c r="D13" s="1197">
        <v>19266919</v>
      </c>
      <c r="E13" s="1197">
        <v>4236210</v>
      </c>
      <c r="F13" s="1197">
        <v>1857586</v>
      </c>
      <c r="G13" s="1197">
        <v>144617</v>
      </c>
      <c r="H13" s="1197">
        <v>3623044</v>
      </c>
      <c r="I13" s="1197">
        <v>1294252</v>
      </c>
      <c r="J13" s="1197">
        <v>83939</v>
      </c>
      <c r="K13" s="1198" t="s">
        <v>2122</v>
      </c>
      <c r="L13" s="561"/>
      <c r="M13" s="561"/>
      <c r="N13" s="561"/>
    </row>
    <row r="14" spans="1:14" ht="33.75">
      <c r="A14" s="1199" t="s">
        <v>2123</v>
      </c>
      <c r="B14" s="1200">
        <v>26217261</v>
      </c>
      <c r="C14" s="1201">
        <v>24851005</v>
      </c>
      <c r="D14" s="1201">
        <v>18038946</v>
      </c>
      <c r="E14" s="1201">
        <v>2682252</v>
      </c>
      <c r="F14" s="1201">
        <v>884781</v>
      </c>
      <c r="G14" s="1201">
        <v>70060</v>
      </c>
      <c r="H14" s="1201">
        <v>3174966</v>
      </c>
      <c r="I14" s="1201">
        <v>1284772</v>
      </c>
      <c r="J14" s="1201">
        <v>81484</v>
      </c>
      <c r="K14" s="1202" t="s">
        <v>2124</v>
      </c>
    </row>
    <row r="15" spans="1:14" ht="22.5">
      <c r="A15" s="1203" t="s">
        <v>2089</v>
      </c>
      <c r="B15" s="1200">
        <v>12566813</v>
      </c>
      <c r="C15" s="1201">
        <v>12456833</v>
      </c>
      <c r="D15" s="1201">
        <v>10779072</v>
      </c>
      <c r="E15" s="1201">
        <v>1068865</v>
      </c>
      <c r="F15" s="1201">
        <v>255876</v>
      </c>
      <c r="G15" s="1201">
        <v>4800</v>
      </c>
      <c r="H15" s="1201">
        <v>348220</v>
      </c>
      <c r="I15" s="1201">
        <v>109038</v>
      </c>
      <c r="J15" s="1201">
        <v>942</v>
      </c>
      <c r="K15" s="1203" t="s">
        <v>2090</v>
      </c>
    </row>
    <row r="16" spans="1:14" ht="22.5">
      <c r="A16" s="1203" t="s">
        <v>2093</v>
      </c>
      <c r="B16" s="1200">
        <v>12851005</v>
      </c>
      <c r="C16" s="1201">
        <v>11596583</v>
      </c>
      <c r="D16" s="1201">
        <v>6790317</v>
      </c>
      <c r="E16" s="1201">
        <v>1472613</v>
      </c>
      <c r="F16" s="1201">
        <v>512939</v>
      </c>
      <c r="G16" s="1201">
        <v>29752</v>
      </c>
      <c r="H16" s="1201">
        <v>2790962</v>
      </c>
      <c r="I16" s="1201">
        <v>1173880</v>
      </c>
      <c r="J16" s="1201">
        <v>80542</v>
      </c>
      <c r="K16" s="1203" t="s">
        <v>2094</v>
      </c>
    </row>
    <row r="17" spans="1:11">
      <c r="A17" s="1203" t="s">
        <v>2125</v>
      </c>
      <c r="B17" s="1200">
        <v>645690</v>
      </c>
      <c r="C17" s="1201">
        <v>643836</v>
      </c>
      <c r="D17" s="1201">
        <v>437003</v>
      </c>
      <c r="E17" s="1201">
        <v>128502</v>
      </c>
      <c r="F17" s="1201">
        <v>58214</v>
      </c>
      <c r="G17" s="1201">
        <v>15760</v>
      </c>
      <c r="H17" s="1201">
        <v>4357</v>
      </c>
      <c r="I17" s="1201">
        <v>1854</v>
      </c>
      <c r="J17" s="1201" t="s">
        <v>8</v>
      </c>
      <c r="K17" s="1203" t="s">
        <v>2126</v>
      </c>
    </row>
    <row r="18" spans="1:11" ht="22.5">
      <c r="A18" s="1203" t="s">
        <v>2127</v>
      </c>
      <c r="B18" s="1200">
        <v>125814</v>
      </c>
      <c r="C18" s="1201">
        <v>125814</v>
      </c>
      <c r="D18" s="1201">
        <v>32554</v>
      </c>
      <c r="E18" s="1201">
        <v>12272</v>
      </c>
      <c r="F18" s="1201">
        <v>57752</v>
      </c>
      <c r="G18" s="1201">
        <v>19748</v>
      </c>
      <c r="H18" s="1201">
        <v>3488</v>
      </c>
      <c r="I18" s="1201" t="s">
        <v>8</v>
      </c>
      <c r="J18" s="1201" t="s">
        <v>8</v>
      </c>
      <c r="K18" s="1203" t="s">
        <v>2128</v>
      </c>
    </row>
    <row r="19" spans="1:11">
      <c r="A19" s="1203" t="s">
        <v>2129</v>
      </c>
      <c r="B19" s="1200">
        <v>27939</v>
      </c>
      <c r="C19" s="1209">
        <v>27939</v>
      </c>
      <c r="D19" s="1201" t="s">
        <v>8</v>
      </c>
      <c r="E19" s="1201" t="s">
        <v>8</v>
      </c>
      <c r="F19" s="1201" t="s">
        <v>8</v>
      </c>
      <c r="G19" s="1201" t="s">
        <v>8</v>
      </c>
      <c r="H19" s="1201">
        <v>27939</v>
      </c>
      <c r="I19" s="1201" t="s">
        <v>8</v>
      </c>
      <c r="J19" s="1201" t="s">
        <v>8</v>
      </c>
      <c r="K19" s="1203" t="s">
        <v>2130</v>
      </c>
    </row>
    <row r="20" spans="1:11" ht="22.5">
      <c r="A20" s="1204" t="s">
        <v>2131</v>
      </c>
      <c r="B20" s="1205">
        <v>4289306</v>
      </c>
      <c r="C20" s="1206">
        <v>4277371</v>
      </c>
      <c r="D20" s="1206">
        <v>1227973</v>
      </c>
      <c r="E20" s="1206">
        <v>1553958</v>
      </c>
      <c r="F20" s="1206">
        <v>972805</v>
      </c>
      <c r="G20" s="1206">
        <v>74557</v>
      </c>
      <c r="H20" s="1206">
        <v>448078</v>
      </c>
      <c r="I20" s="1206">
        <v>9480</v>
      </c>
      <c r="J20" s="1206">
        <v>2455</v>
      </c>
      <c r="K20" s="1207" t="s">
        <v>2132</v>
      </c>
    </row>
  </sheetData>
  <mergeCells count="20">
    <mergeCell ref="B6:J6"/>
    <mergeCell ref="A1:K1"/>
    <mergeCell ref="A2:K2"/>
    <mergeCell ref="A3:K3"/>
    <mergeCell ref="A4:K4"/>
    <mergeCell ref="A5:K5"/>
    <mergeCell ref="A7:A12"/>
    <mergeCell ref="B7:B9"/>
    <mergeCell ref="C7:J7"/>
    <mergeCell ref="B10:B12"/>
    <mergeCell ref="K7:K12"/>
    <mergeCell ref="C8:C9"/>
    <mergeCell ref="D8:H8"/>
    <mergeCell ref="I8:I9"/>
    <mergeCell ref="J8:J9"/>
    <mergeCell ref="C10:J10"/>
    <mergeCell ref="C11:C12"/>
    <mergeCell ref="D11:H11"/>
    <mergeCell ref="I11:I12"/>
    <mergeCell ref="J11:J12"/>
  </mergeCells>
  <printOptions horizontalCentered="1"/>
  <pageMargins left="0.51181102362204722" right="0.51181102362204722" top="0.59055118110236227" bottom="0.70866141732283472" header="0.19685039370078741" footer="0.51181102362204722"/>
  <pageSetup paperSize="9" scale="95" firstPageNumber="27" orientation="landscape" useFirstPageNumber="1" r:id="rId1"/>
  <headerFooter alignWithMargins="0"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289"/>
  <sheetViews>
    <sheetView zoomScaleNormal="100" workbookViewId="0">
      <pane xSplit="7" ySplit="10" topLeftCell="H183" activePane="bottomRight" state="frozen"/>
      <selection pane="topRight" activeCell="H1" sqref="H1"/>
      <selection pane="bottomLeft" activeCell="A15" sqref="A15"/>
      <selection pane="bottomRight" activeCell="J192" sqref="J192"/>
    </sheetView>
  </sheetViews>
  <sheetFormatPr defaultRowHeight="11.25"/>
  <cols>
    <col min="1" max="1" width="1.42578125" style="274" customWidth="1"/>
    <col min="2" max="2" width="1.140625" style="274" customWidth="1"/>
    <col min="3" max="3" width="3.85546875" style="274" customWidth="1"/>
    <col min="4" max="4" width="4.140625" style="274" customWidth="1"/>
    <col min="5" max="5" width="2.5703125" style="274" customWidth="1"/>
    <col min="6" max="6" width="1.5703125" style="274" customWidth="1"/>
    <col min="7" max="7" width="32.42578125" style="242" customWidth="1"/>
    <col min="8" max="10" width="13.85546875" style="242" customWidth="1"/>
    <col min="11" max="11" width="13.85546875" style="242" hidden="1" customWidth="1"/>
    <col min="12" max="13" width="12.140625" style="242" hidden="1" customWidth="1"/>
    <col min="14" max="14" width="10" style="242" hidden="1" customWidth="1"/>
    <col min="15" max="15" width="18.85546875" style="242" hidden="1" customWidth="1"/>
    <col min="16" max="16" width="21.5703125" style="242" bestFit="1" customWidth="1"/>
    <col min="17" max="17" width="16.7109375" style="242" bestFit="1" customWidth="1"/>
    <col min="18" max="18" width="10.85546875" style="242" bestFit="1" customWidth="1"/>
    <col min="19" max="19" width="8.42578125" style="242" bestFit="1" customWidth="1"/>
    <col min="20" max="21" width="9.140625" style="242" hidden="1" customWidth="1"/>
    <col min="22" max="22" width="15.140625" style="242" bestFit="1" customWidth="1"/>
    <col min="23" max="23" width="15.28515625" style="242" customWidth="1"/>
    <col min="24" max="25" width="9.140625" style="242" customWidth="1"/>
    <col min="26" max="26" width="16.42578125" style="242" customWidth="1"/>
    <col min="27" max="27" width="13.5703125" style="242" customWidth="1"/>
    <col min="28" max="28" width="11.5703125" style="242" bestFit="1" customWidth="1"/>
    <col min="29" max="29" width="10.85546875" style="242" bestFit="1" customWidth="1"/>
    <col min="30" max="16384" width="9.140625" style="242"/>
  </cols>
  <sheetData>
    <row r="1" spans="1:30" s="244" customFormat="1" ht="15.75">
      <c r="A1" s="240"/>
      <c r="B1" s="241"/>
      <c r="C1" s="241"/>
      <c r="D1" s="241"/>
      <c r="E1" s="241"/>
      <c r="F1" s="241"/>
      <c r="G1" s="242"/>
      <c r="H1" s="243"/>
      <c r="I1" s="243"/>
      <c r="K1" s="245" t="s">
        <v>821</v>
      </c>
      <c r="L1" s="246"/>
      <c r="O1" s="247"/>
    </row>
    <row r="2" spans="1:30" s="244" customFormat="1" ht="15.75">
      <c r="A2" s="248"/>
      <c r="B2" s="241"/>
      <c r="C2" s="241"/>
      <c r="D2" s="241"/>
      <c r="E2" s="241"/>
      <c r="F2" s="241"/>
      <c r="G2" s="245"/>
      <c r="H2" s="246"/>
      <c r="I2" s="245"/>
      <c r="J2" s="249"/>
      <c r="K2" s="245" t="s">
        <v>822</v>
      </c>
      <c r="L2" s="246"/>
      <c r="M2" s="250"/>
      <c r="N2" s="250"/>
      <c r="O2" s="251"/>
      <c r="V2" s="244" t="s">
        <v>2619</v>
      </c>
      <c r="W2" s="931">
        <f>SUM(Y12:Y285)</f>
        <v>5173703</v>
      </c>
    </row>
    <row r="3" spans="1:30" s="244" customFormat="1" ht="15.75">
      <c r="A3" s="252"/>
      <c r="B3" s="241"/>
      <c r="C3" s="241"/>
      <c r="D3" s="241"/>
      <c r="E3" s="241"/>
      <c r="F3" s="241"/>
      <c r="G3" s="246"/>
      <c r="H3" s="246"/>
      <c r="I3" s="253"/>
      <c r="J3" s="246"/>
      <c r="K3" s="246"/>
      <c r="L3" s="246"/>
      <c r="M3" s="246"/>
      <c r="N3" s="246"/>
      <c r="O3" s="254"/>
      <c r="P3" s="246"/>
      <c r="Q3" s="246"/>
      <c r="V3" s="244" t="s">
        <v>2617</v>
      </c>
      <c r="W3" s="931">
        <f>SUM(V12:V285)</f>
        <v>299367534.14284456</v>
      </c>
    </row>
    <row r="4" spans="1:30" s="244" customFormat="1" ht="15.75">
      <c r="A4" s="252" t="s">
        <v>815</v>
      </c>
      <c r="B4" s="241"/>
      <c r="C4" s="241"/>
      <c r="D4" s="241"/>
      <c r="E4" s="241"/>
      <c r="F4" s="241"/>
      <c r="G4" s="246"/>
      <c r="H4" s="246"/>
      <c r="I4" s="253"/>
      <c r="J4" s="246"/>
      <c r="K4" s="246"/>
      <c r="L4" s="246"/>
      <c r="M4" s="246"/>
      <c r="N4" s="246"/>
      <c r="O4" s="254"/>
      <c r="P4" s="246"/>
      <c r="Q4" s="246"/>
      <c r="U4" s="921"/>
      <c r="V4" s="244" t="s">
        <v>2618</v>
      </c>
      <c r="W4" s="931">
        <f>SUM(W12:X285)</f>
        <v>374441224.5</v>
      </c>
      <c r="Z4" s="548">
        <f>J13+J14+J18+J22+J24+J28+J278+J280+J284+J30</f>
        <v>764167583.89999998</v>
      </c>
      <c r="AA4" s="548"/>
    </row>
    <row r="5" spans="1:30" s="257" customFormat="1">
      <c r="A5" s="255" t="s">
        <v>823</v>
      </c>
      <c r="B5" s="255"/>
      <c r="C5" s="255"/>
      <c r="D5" s="255"/>
      <c r="E5" s="255"/>
      <c r="F5" s="255"/>
      <c r="G5" s="256" t="s">
        <v>824</v>
      </c>
      <c r="O5" s="258"/>
      <c r="Z5" s="658"/>
    </row>
    <row r="6" spans="1:30" ht="3.75" customHeight="1">
      <c r="A6" s="255" t="s">
        <v>825</v>
      </c>
      <c r="B6" s="255"/>
      <c r="C6" s="255"/>
      <c r="D6" s="255"/>
      <c r="E6" s="255"/>
      <c r="F6" s="255"/>
      <c r="G6" s="256" t="s">
        <v>826</v>
      </c>
      <c r="H6" s="257"/>
      <c r="I6" s="257"/>
      <c r="V6" s="651"/>
      <c r="Z6" s="276"/>
    </row>
    <row r="7" spans="1:30" s="259" customFormat="1" ht="43.5" customHeight="1">
      <c r="A7" s="1728" t="s">
        <v>827</v>
      </c>
      <c r="B7" s="1729"/>
      <c r="C7" s="1729"/>
      <c r="D7" s="1729"/>
      <c r="E7" s="1729"/>
      <c r="F7" s="1730"/>
      <c r="G7" s="1721" t="s">
        <v>828</v>
      </c>
      <c r="H7" s="1721" t="s">
        <v>829</v>
      </c>
      <c r="I7" s="1721" t="s">
        <v>830</v>
      </c>
      <c r="J7" s="1721" t="s">
        <v>831</v>
      </c>
      <c r="K7" s="1723" t="s">
        <v>832</v>
      </c>
      <c r="L7" s="1724"/>
      <c r="M7" s="1721" t="s">
        <v>833</v>
      </c>
      <c r="N7" s="1721" t="s">
        <v>834</v>
      </c>
      <c r="O7" s="1721" t="s">
        <v>835</v>
      </c>
      <c r="P7" s="1721" t="s">
        <v>836</v>
      </c>
      <c r="Q7" s="1734" t="s">
        <v>837</v>
      </c>
      <c r="V7" s="642">
        <f>SUM(J48+J49+J52+J178)</f>
        <v>42434570.899999999</v>
      </c>
      <c r="W7" s="642">
        <f>SUM('HF-HC '!F5:F99)</f>
        <v>491644580.20261508</v>
      </c>
      <c r="X7" s="642">
        <f>V7-W7</f>
        <v>-449210009.30261511</v>
      </c>
      <c r="Y7" s="642">
        <f>R50-J50</f>
        <v>136657.7571554184</v>
      </c>
      <c r="Z7" s="642">
        <f>J36+J40+J53+J63+J83+J113+J140+J152+J163+J167+J200+J229+J15+J16+J19+J20+J23+J29</f>
        <v>373800201.80000001</v>
      </c>
      <c r="AA7" s="642"/>
      <c r="AB7" s="642"/>
      <c r="AC7" s="642"/>
      <c r="AD7" s="642"/>
    </row>
    <row r="8" spans="1:30" s="259" customFormat="1" ht="33" customHeight="1">
      <c r="A8" s="1731"/>
      <c r="B8" s="1732"/>
      <c r="C8" s="1732"/>
      <c r="D8" s="1732"/>
      <c r="E8" s="1732"/>
      <c r="F8" s="1733"/>
      <c r="G8" s="1722"/>
      <c r="H8" s="1722"/>
      <c r="I8" s="1722"/>
      <c r="J8" s="1722"/>
      <c r="K8" s="260" t="s">
        <v>838</v>
      </c>
      <c r="L8" s="260" t="s">
        <v>839</v>
      </c>
      <c r="M8" s="1722"/>
      <c r="N8" s="1722"/>
      <c r="O8" s="1722"/>
      <c r="P8" s="1722"/>
      <c r="Q8" s="1734"/>
      <c r="R8" s="261" t="s">
        <v>2605</v>
      </c>
      <c r="S8" s="262" t="s">
        <v>2606</v>
      </c>
      <c r="T8" s="263"/>
      <c r="U8" s="264"/>
      <c r="Y8" s="642"/>
      <c r="Z8" s="650"/>
      <c r="AA8" s="642"/>
      <c r="AB8" s="648"/>
      <c r="AC8" s="657"/>
      <c r="AD8" s="657"/>
    </row>
    <row r="9" spans="1:30">
      <c r="A9" s="1725" t="s">
        <v>840</v>
      </c>
      <c r="B9" s="1726"/>
      <c r="C9" s="1726"/>
      <c r="D9" s="1726"/>
      <c r="E9" s="1726"/>
      <c r="F9" s="1727"/>
      <c r="G9" s="265">
        <v>2</v>
      </c>
      <c r="H9" s="262">
        <v>3</v>
      </c>
      <c r="I9" s="262">
        <v>4</v>
      </c>
      <c r="J9" s="262">
        <v>5</v>
      </c>
      <c r="K9" s="262">
        <v>6</v>
      </c>
      <c r="L9" s="262">
        <v>7</v>
      </c>
      <c r="M9" s="262">
        <v>8</v>
      </c>
      <c r="N9" s="262">
        <v>9</v>
      </c>
      <c r="O9" s="262">
        <v>10</v>
      </c>
      <c r="P9" s="262">
        <v>11</v>
      </c>
      <c r="Q9" s="262">
        <v>12</v>
      </c>
    </row>
    <row r="10" spans="1:30" ht="12">
      <c r="A10" s="266" t="s">
        <v>2611</v>
      </c>
      <c r="B10" s="266" t="s">
        <v>2616</v>
      </c>
      <c r="C10" s="266" t="s">
        <v>2612</v>
      </c>
      <c r="D10" s="266" t="s">
        <v>2613</v>
      </c>
      <c r="E10" s="266" t="s">
        <v>2614</v>
      </c>
      <c r="F10" s="266" t="s">
        <v>2615</v>
      </c>
      <c r="G10" s="267" t="s">
        <v>841</v>
      </c>
      <c r="H10" s="268">
        <v>6038698409</v>
      </c>
      <c r="I10" s="268">
        <v>6396164547.3999996</v>
      </c>
      <c r="J10" s="268">
        <v>6349447533.6999998</v>
      </c>
      <c r="K10" s="268">
        <v>6349447533.6999998</v>
      </c>
      <c r="L10" s="268">
        <v>6349447533.6999998</v>
      </c>
      <c r="M10" s="268">
        <v>6303870219.7507</v>
      </c>
      <c r="N10" s="268">
        <f>M10-O10</f>
        <v>34898208.196900368</v>
      </c>
      <c r="O10" s="268">
        <v>6268972011.5537996</v>
      </c>
      <c r="P10" s="269">
        <f>IF(K10=0,0,O10/K10*100)</f>
        <v>98.732558671930548</v>
      </c>
      <c r="Q10" s="269">
        <f>IF(J10=0,0,O10/J10*100)</f>
        <v>98.732558671930548</v>
      </c>
    </row>
    <row r="11" spans="1:30" ht="42" customHeight="1">
      <c r="A11" s="270" t="s">
        <v>842</v>
      </c>
      <c r="B11" s="270"/>
      <c r="C11" s="270"/>
      <c r="D11" s="270"/>
      <c r="E11" s="270"/>
      <c r="F11" s="270"/>
      <c r="G11" s="271" t="s">
        <v>843</v>
      </c>
      <c r="H11" s="272">
        <v>303270097</v>
      </c>
      <c r="I11" s="272">
        <v>315867713.19999999</v>
      </c>
      <c r="J11" s="272">
        <v>328098267.80000001</v>
      </c>
      <c r="K11" s="272">
        <v>328098267.80000001</v>
      </c>
      <c r="L11" s="272">
        <v>328098267.80000001</v>
      </c>
      <c r="M11" s="272">
        <v>326835277.92640001</v>
      </c>
      <c r="N11" s="272">
        <f>M11-O11</f>
        <v>706701.4183999896</v>
      </c>
      <c r="O11" s="272">
        <v>326128576.50800002</v>
      </c>
      <c r="P11" s="273">
        <f>IF(K11=0,0,O11/K11*100)</f>
        <v>99.39966422096424</v>
      </c>
      <c r="Q11" s="273">
        <f>IF(J11=0,0,O11/J11*100)</f>
        <v>99.39966422096424</v>
      </c>
    </row>
    <row r="12" spans="1:30" ht="21">
      <c r="C12" s="274" t="s">
        <v>906</v>
      </c>
      <c r="G12" s="275" t="s">
        <v>55</v>
      </c>
      <c r="H12" s="276">
        <v>633128</v>
      </c>
      <c r="I12" s="276">
        <v>633128</v>
      </c>
      <c r="J12" s="276">
        <v>633128</v>
      </c>
      <c r="K12" s="276">
        <v>633128</v>
      </c>
      <c r="L12" s="276">
        <v>633128</v>
      </c>
      <c r="M12" s="276">
        <v>633127.93059999996</v>
      </c>
      <c r="N12" s="276">
        <f t="shared" ref="N12:N21" si="0">M12-O12</f>
        <v>0</v>
      </c>
      <c r="O12" s="276">
        <v>633127.93059999996</v>
      </c>
      <c r="P12" s="277">
        <f t="shared" ref="P12:P21" si="1">IF(K12=0,0,O12/K12*100)</f>
        <v>99.999989038551433</v>
      </c>
      <c r="Q12" s="277">
        <f t="shared" ref="Q12:Q21" si="2">IF(J12=0,0,O12/J12*100)</f>
        <v>99.999989038551433</v>
      </c>
      <c r="V12" s="242">
        <f>IF(C12="226",J12,0)</f>
        <v>633128</v>
      </c>
      <c r="W12" s="242">
        <f>IF(C12="253",J12,0)</f>
        <v>0</v>
      </c>
      <c r="X12" s="242">
        <f>IF(C12="353",J12,0)</f>
        <v>0</v>
      </c>
      <c r="Y12" s="242">
        <f>IF(C12="694",J12,0)</f>
        <v>0</v>
      </c>
    </row>
    <row r="13" spans="1:30" s="1392" customFormat="1" ht="42">
      <c r="A13" s="1386"/>
      <c r="B13" s="1386"/>
      <c r="C13" s="1386"/>
      <c r="D13" s="1386" t="s">
        <v>849</v>
      </c>
      <c r="E13" s="1386"/>
      <c r="F13" s="1386"/>
      <c r="G13" s="1387" t="s">
        <v>935</v>
      </c>
      <c r="H13" s="1388">
        <v>633128</v>
      </c>
      <c r="I13" s="1388">
        <v>633128</v>
      </c>
      <c r="J13" s="1388">
        <v>633128</v>
      </c>
      <c r="K13" s="1388">
        <v>633128</v>
      </c>
      <c r="L13" s="1388">
        <v>633128</v>
      </c>
      <c r="M13" s="1388">
        <v>633127.93059999996</v>
      </c>
      <c r="N13" s="1388">
        <f t="shared" si="0"/>
        <v>0</v>
      </c>
      <c r="O13" s="1388">
        <v>633127.93059999996</v>
      </c>
      <c r="P13" s="1389">
        <f t="shared" si="1"/>
        <v>99.999989038551433</v>
      </c>
      <c r="Q13" s="1389">
        <f t="shared" si="2"/>
        <v>99.999989038551433</v>
      </c>
      <c r="R13" s="1390"/>
      <c r="S13" s="1390"/>
      <c r="T13" s="1390"/>
      <c r="U13" s="1391"/>
      <c r="V13" s="1392">
        <f t="shared" ref="V13:V76" si="3">IF(C13="226",J13,0)</f>
        <v>0</v>
      </c>
      <c r="W13" s="1392">
        <f t="shared" ref="W13:W76" si="4">IF(C13="253",J13,0)</f>
        <v>0</v>
      </c>
      <c r="X13" s="1392">
        <f t="shared" ref="X13:X76" si="5">IF(C13="353",J13,0)</f>
        <v>0</v>
      </c>
      <c r="Y13" s="1392">
        <f t="shared" ref="Y13:Y76" si="6">IF(C13="694",J13,0)</f>
        <v>0</v>
      </c>
    </row>
    <row r="14" spans="1:30">
      <c r="B14" s="857"/>
      <c r="C14" s="857" t="s">
        <v>936</v>
      </c>
      <c r="D14" s="857"/>
      <c r="E14" s="857"/>
      <c r="F14" s="857"/>
      <c r="G14" s="858" t="s">
        <v>937</v>
      </c>
      <c r="H14" s="859">
        <v>3390877</v>
      </c>
      <c r="I14" s="859">
        <v>3409094</v>
      </c>
      <c r="J14" s="859">
        <v>3409094</v>
      </c>
      <c r="K14" s="859">
        <v>3409094</v>
      </c>
      <c r="L14" s="859">
        <v>3409094</v>
      </c>
      <c r="M14" s="859">
        <v>3409093.2310000001</v>
      </c>
      <c r="N14" s="859">
        <f t="shared" si="0"/>
        <v>3.2000001519918442E-3</v>
      </c>
      <c r="O14" s="859">
        <v>3409093.2278</v>
      </c>
      <c r="P14" s="860">
        <f t="shared" si="1"/>
        <v>99.999977348820536</v>
      </c>
      <c r="Q14" s="860">
        <f t="shared" si="2"/>
        <v>99.999977348820536</v>
      </c>
      <c r="R14" s="863"/>
      <c r="S14" s="863"/>
      <c r="T14" s="863"/>
      <c r="U14" s="863"/>
      <c r="V14" s="242">
        <f t="shared" si="3"/>
        <v>0</v>
      </c>
      <c r="W14" s="242">
        <f t="shared" si="4"/>
        <v>3409094</v>
      </c>
      <c r="X14" s="242">
        <f t="shared" si="5"/>
        <v>0</v>
      </c>
      <c r="Y14" s="242">
        <f t="shared" si="6"/>
        <v>0</v>
      </c>
    </row>
    <row r="15" spans="1:30" s="1392" customFormat="1" ht="31.5">
      <c r="A15" s="1386"/>
      <c r="B15" s="1386"/>
      <c r="C15" s="1386"/>
      <c r="D15" s="1386" t="s">
        <v>915</v>
      </c>
      <c r="E15" s="1386"/>
      <c r="F15" s="1386"/>
      <c r="G15" s="1387" t="s">
        <v>934</v>
      </c>
      <c r="H15" s="1388">
        <v>3035962</v>
      </c>
      <c r="I15" s="1388">
        <v>3061501</v>
      </c>
      <c r="J15" s="1388">
        <v>3061501</v>
      </c>
      <c r="K15" s="1388">
        <v>3061501</v>
      </c>
      <c r="L15" s="1388">
        <v>3061501</v>
      </c>
      <c r="M15" s="1388">
        <v>3061500.4309999999</v>
      </c>
      <c r="N15" s="1388">
        <f t="shared" si="0"/>
        <v>1.9999966025352478E-4</v>
      </c>
      <c r="O15" s="1388">
        <v>3061500.4308000002</v>
      </c>
      <c r="P15" s="1389">
        <f t="shared" si="1"/>
        <v>99.999981407812712</v>
      </c>
      <c r="Q15" s="1389">
        <f t="shared" si="2"/>
        <v>99.999981407812712</v>
      </c>
      <c r="R15" s="1390"/>
      <c r="S15" s="1390"/>
      <c r="T15" s="1390"/>
      <c r="U15" s="1391"/>
      <c r="V15" s="1392">
        <f t="shared" si="3"/>
        <v>0</v>
      </c>
      <c r="W15" s="1392">
        <f t="shared" si="4"/>
        <v>0</v>
      </c>
      <c r="X15" s="1392">
        <f t="shared" si="5"/>
        <v>0</v>
      </c>
      <c r="Y15" s="1392">
        <f t="shared" si="6"/>
        <v>0</v>
      </c>
    </row>
    <row r="16" spans="1:30" s="1392" customFormat="1" ht="31.5">
      <c r="A16" s="1386"/>
      <c r="B16" s="1386"/>
      <c r="C16" s="1386"/>
      <c r="D16" s="1386" t="s">
        <v>912</v>
      </c>
      <c r="E16" s="1386"/>
      <c r="F16" s="1386"/>
      <c r="G16" s="1387" t="s">
        <v>938</v>
      </c>
      <c r="H16" s="1388">
        <v>354915</v>
      </c>
      <c r="I16" s="1388">
        <v>347593</v>
      </c>
      <c r="J16" s="1388">
        <v>347593</v>
      </c>
      <c r="K16" s="1388">
        <v>347593</v>
      </c>
      <c r="L16" s="1388">
        <v>347593</v>
      </c>
      <c r="M16" s="1388">
        <v>347592.8</v>
      </c>
      <c r="N16" s="1388">
        <f t="shared" si="0"/>
        <v>2.9999999678693712E-3</v>
      </c>
      <c r="O16" s="1388">
        <v>347592.79700000002</v>
      </c>
      <c r="P16" s="1389">
        <f t="shared" si="1"/>
        <v>99.999941598363606</v>
      </c>
      <c r="Q16" s="1389">
        <f t="shared" si="2"/>
        <v>99.999941598363606</v>
      </c>
      <c r="R16" s="1390"/>
      <c r="S16" s="1390"/>
      <c r="T16" s="1390"/>
      <c r="U16" s="1391"/>
      <c r="V16" s="1392">
        <f t="shared" si="3"/>
        <v>0</v>
      </c>
      <c r="W16" s="1392">
        <f t="shared" si="4"/>
        <v>0</v>
      </c>
      <c r="X16" s="1392">
        <f t="shared" si="5"/>
        <v>0</v>
      </c>
      <c r="Y16" s="1392">
        <f t="shared" si="6"/>
        <v>0</v>
      </c>
    </row>
    <row r="17" spans="1:25">
      <c r="B17" s="857"/>
      <c r="C17" s="857"/>
      <c r="D17" s="857"/>
      <c r="E17" s="857" t="s">
        <v>905</v>
      </c>
      <c r="F17" s="857"/>
      <c r="G17" s="858" t="s">
        <v>918</v>
      </c>
      <c r="H17" s="859">
        <v>0</v>
      </c>
      <c r="I17" s="859">
        <v>0</v>
      </c>
      <c r="J17" s="859">
        <v>347593</v>
      </c>
      <c r="K17" s="859">
        <v>347593</v>
      </c>
      <c r="L17" s="859">
        <v>347593</v>
      </c>
      <c r="M17" s="859">
        <v>347592.8</v>
      </c>
      <c r="N17" s="859">
        <f t="shared" si="0"/>
        <v>2.9999999678693712E-3</v>
      </c>
      <c r="O17" s="859">
        <v>347592.79700000002</v>
      </c>
      <c r="P17" s="860">
        <f t="shared" si="1"/>
        <v>99.999941598363606</v>
      </c>
      <c r="Q17" s="860">
        <f t="shared" si="2"/>
        <v>99.999941598363606</v>
      </c>
      <c r="R17" s="863"/>
      <c r="S17" s="863"/>
      <c r="T17" s="863"/>
      <c r="U17" s="863"/>
      <c r="V17" s="242">
        <f t="shared" si="3"/>
        <v>0</v>
      </c>
      <c r="W17" s="242">
        <f t="shared" si="4"/>
        <v>0</v>
      </c>
      <c r="X17" s="242">
        <f t="shared" si="5"/>
        <v>0</v>
      </c>
      <c r="Y17" s="242">
        <f t="shared" si="6"/>
        <v>0</v>
      </c>
    </row>
    <row r="18" spans="1:25" ht="21">
      <c r="A18" s="857"/>
      <c r="B18" s="857"/>
      <c r="C18" s="857" t="s">
        <v>939</v>
      </c>
      <c r="D18" s="857"/>
      <c r="E18" s="857"/>
      <c r="F18" s="857"/>
      <c r="G18" s="858" t="s">
        <v>940</v>
      </c>
      <c r="H18" s="859">
        <v>522906</v>
      </c>
      <c r="I18" s="859">
        <v>511689</v>
      </c>
      <c r="J18" s="859">
        <v>511689</v>
      </c>
      <c r="K18" s="859">
        <v>511689</v>
      </c>
      <c r="L18" s="859">
        <v>511689</v>
      </c>
      <c r="M18" s="859">
        <v>511688.99599999998</v>
      </c>
      <c r="N18" s="859">
        <f t="shared" si="0"/>
        <v>0</v>
      </c>
      <c r="O18" s="859">
        <v>511688.99599999998</v>
      </c>
      <c r="P18" s="860">
        <f t="shared" si="1"/>
        <v>99.999999218275164</v>
      </c>
      <c r="Q18" s="860">
        <f t="shared" si="2"/>
        <v>99.999999218275164</v>
      </c>
      <c r="R18" s="863"/>
      <c r="S18" s="863"/>
      <c r="T18" s="863"/>
      <c r="U18" s="863"/>
      <c r="V18" s="242">
        <f t="shared" si="3"/>
        <v>0</v>
      </c>
      <c r="W18" s="242">
        <f t="shared" si="4"/>
        <v>0</v>
      </c>
      <c r="X18" s="242">
        <f t="shared" si="5"/>
        <v>511689</v>
      </c>
      <c r="Y18" s="242">
        <f t="shared" si="6"/>
        <v>0</v>
      </c>
    </row>
    <row r="19" spans="1:25" s="1392" customFormat="1" ht="31.5">
      <c r="A19" s="1386"/>
      <c r="B19" s="1386"/>
      <c r="C19" s="1386"/>
      <c r="D19" s="1386" t="s">
        <v>915</v>
      </c>
      <c r="E19" s="1386"/>
      <c r="F19" s="1386"/>
      <c r="G19" s="1387" t="s">
        <v>934</v>
      </c>
      <c r="H19" s="1388">
        <v>444362</v>
      </c>
      <c r="I19" s="1388">
        <v>444362</v>
      </c>
      <c r="J19" s="1388">
        <v>444362</v>
      </c>
      <c r="K19" s="1388">
        <v>444362</v>
      </c>
      <c r="L19" s="1388">
        <v>444362</v>
      </c>
      <c r="M19" s="1388">
        <v>444361.99599999998</v>
      </c>
      <c r="N19" s="1388">
        <f t="shared" si="0"/>
        <v>0</v>
      </c>
      <c r="O19" s="1388">
        <v>444361.99599999998</v>
      </c>
      <c r="P19" s="1389">
        <f t="shared" si="1"/>
        <v>99.999999099833019</v>
      </c>
      <c r="Q19" s="1389">
        <f t="shared" si="2"/>
        <v>99.999999099833019</v>
      </c>
      <c r="R19" s="1390"/>
      <c r="S19" s="1390"/>
      <c r="T19" s="1390"/>
      <c r="U19" s="1391"/>
      <c r="V19" s="1392">
        <f t="shared" si="3"/>
        <v>0</v>
      </c>
      <c r="W19" s="1392">
        <f t="shared" si="4"/>
        <v>0</v>
      </c>
      <c r="X19" s="1392">
        <f t="shared" si="5"/>
        <v>0</v>
      </c>
      <c r="Y19" s="1392">
        <f t="shared" si="6"/>
        <v>0</v>
      </c>
    </row>
    <row r="20" spans="1:25" s="1392" customFormat="1" ht="31.5">
      <c r="A20" s="1386"/>
      <c r="B20" s="1386"/>
      <c r="C20" s="1386"/>
      <c r="D20" s="1386" t="s">
        <v>912</v>
      </c>
      <c r="E20" s="1386"/>
      <c r="F20" s="1386"/>
      <c r="G20" s="1387" t="s">
        <v>938</v>
      </c>
      <c r="H20" s="1388">
        <v>78544</v>
      </c>
      <c r="I20" s="1388">
        <v>67327</v>
      </c>
      <c r="J20" s="1388">
        <v>67327</v>
      </c>
      <c r="K20" s="1388">
        <v>67327</v>
      </c>
      <c r="L20" s="1388">
        <v>67327</v>
      </c>
      <c r="M20" s="1388">
        <v>67327</v>
      </c>
      <c r="N20" s="1388">
        <f t="shared" si="0"/>
        <v>0</v>
      </c>
      <c r="O20" s="1388">
        <v>67327</v>
      </c>
      <c r="P20" s="1389">
        <f t="shared" si="1"/>
        <v>100</v>
      </c>
      <c r="Q20" s="1389">
        <f t="shared" si="2"/>
        <v>100</v>
      </c>
      <c r="R20" s="1390"/>
      <c r="S20" s="1390"/>
      <c r="T20" s="1390"/>
      <c r="U20" s="1391"/>
      <c r="V20" s="1392">
        <f t="shared" si="3"/>
        <v>0</v>
      </c>
      <c r="W20" s="1392">
        <f t="shared" si="4"/>
        <v>0</v>
      </c>
      <c r="X20" s="1392">
        <f t="shared" si="5"/>
        <v>0</v>
      </c>
      <c r="Y20" s="1392">
        <f t="shared" si="6"/>
        <v>0</v>
      </c>
    </row>
    <row r="21" spans="1:25">
      <c r="A21" s="857"/>
      <c r="B21" s="857"/>
      <c r="C21" s="857"/>
      <c r="D21" s="857"/>
      <c r="E21" s="857" t="s">
        <v>905</v>
      </c>
      <c r="F21" s="857"/>
      <c r="G21" s="858" t="s">
        <v>918</v>
      </c>
      <c r="H21" s="859">
        <v>0</v>
      </c>
      <c r="I21" s="859">
        <v>0</v>
      </c>
      <c r="J21" s="859">
        <v>67327</v>
      </c>
      <c r="K21" s="859">
        <v>67327</v>
      </c>
      <c r="L21" s="859">
        <v>67327</v>
      </c>
      <c r="M21" s="859">
        <v>67327</v>
      </c>
      <c r="N21" s="859">
        <f t="shared" si="0"/>
        <v>0</v>
      </c>
      <c r="O21" s="859">
        <v>67327</v>
      </c>
      <c r="P21" s="860">
        <f t="shared" si="1"/>
        <v>100</v>
      </c>
      <c r="Q21" s="860">
        <f t="shared" si="2"/>
        <v>100</v>
      </c>
      <c r="R21" s="863"/>
      <c r="S21" s="863"/>
      <c r="T21" s="863"/>
      <c r="U21" s="863"/>
      <c r="V21" s="242">
        <f t="shared" si="3"/>
        <v>0</v>
      </c>
      <c r="W21" s="242">
        <f t="shared" si="4"/>
        <v>0</v>
      </c>
      <c r="X21" s="242">
        <f t="shared" si="5"/>
        <v>0</v>
      </c>
      <c r="Y21" s="242">
        <f t="shared" si="6"/>
        <v>0</v>
      </c>
    </row>
    <row r="22" spans="1:25" ht="21">
      <c r="A22" s="857"/>
      <c r="B22" s="857"/>
      <c r="C22" s="857" t="s">
        <v>939</v>
      </c>
      <c r="D22" s="857"/>
      <c r="E22" s="857"/>
      <c r="F22" s="857"/>
      <c r="G22" s="858" t="s">
        <v>940</v>
      </c>
      <c r="H22" s="859">
        <v>169865</v>
      </c>
      <c r="I22" s="859">
        <v>247485</v>
      </c>
      <c r="J22" s="859">
        <v>247485</v>
      </c>
      <c r="K22" s="859">
        <v>247485</v>
      </c>
      <c r="L22" s="859">
        <v>247485</v>
      </c>
      <c r="M22" s="859">
        <v>247165.66630000001</v>
      </c>
      <c r="N22" s="859">
        <f t="shared" ref="N22:N29" si="7">M22-O22</f>
        <v>6.3000000081956387E-3</v>
      </c>
      <c r="O22" s="859">
        <v>247165.66</v>
      </c>
      <c r="P22" s="860">
        <f t="shared" ref="P22:P29" si="8">IF(K22=0,0,O22/K22*100)</f>
        <v>99.870965917126284</v>
      </c>
      <c r="Q22" s="860">
        <f t="shared" ref="Q22:Q29" si="9">IF(J22=0,0,O22/J22*100)</f>
        <v>99.870965917126284</v>
      </c>
      <c r="R22" s="863"/>
      <c r="S22" s="863"/>
      <c r="T22" s="863"/>
      <c r="U22" s="863"/>
      <c r="V22" s="242">
        <f t="shared" si="3"/>
        <v>0</v>
      </c>
      <c r="W22" s="242">
        <f t="shared" si="4"/>
        <v>0</v>
      </c>
      <c r="X22" s="242">
        <f t="shared" si="5"/>
        <v>247485</v>
      </c>
      <c r="Y22" s="242">
        <f t="shared" si="6"/>
        <v>0</v>
      </c>
    </row>
    <row r="23" spans="1:25" ht="12.75">
      <c r="A23" s="857"/>
      <c r="B23" s="857"/>
      <c r="C23" s="857"/>
      <c r="D23" s="857" t="s">
        <v>850</v>
      </c>
      <c r="E23" s="857"/>
      <c r="F23" s="857"/>
      <c r="G23" s="858" t="s">
        <v>942</v>
      </c>
      <c r="H23" s="859">
        <v>169865</v>
      </c>
      <c r="I23" s="859">
        <v>247485</v>
      </c>
      <c r="J23" s="859">
        <v>247485</v>
      </c>
      <c r="K23" s="859">
        <v>247485</v>
      </c>
      <c r="L23" s="859">
        <v>247485</v>
      </c>
      <c r="M23" s="859">
        <v>247165.66630000001</v>
      </c>
      <c r="N23" s="859">
        <f t="shared" si="7"/>
        <v>6.3000000081956387E-3</v>
      </c>
      <c r="O23" s="859">
        <v>247165.66</v>
      </c>
      <c r="P23" s="860">
        <f t="shared" si="8"/>
        <v>99.870965917126284</v>
      </c>
      <c r="Q23" s="860">
        <f t="shared" si="9"/>
        <v>99.870965917126284</v>
      </c>
      <c r="R23" s="861"/>
      <c r="S23" s="861"/>
      <c r="T23" s="861"/>
      <c r="U23" s="862"/>
      <c r="V23" s="242">
        <f t="shared" si="3"/>
        <v>0</v>
      </c>
      <c r="W23" s="242">
        <f t="shared" si="4"/>
        <v>0</v>
      </c>
      <c r="X23" s="242">
        <f t="shared" si="5"/>
        <v>0</v>
      </c>
      <c r="Y23" s="242">
        <f t="shared" si="6"/>
        <v>0</v>
      </c>
    </row>
    <row r="24" spans="1:25" ht="21">
      <c r="A24" s="857"/>
      <c r="B24" s="857"/>
      <c r="C24" s="857" t="s">
        <v>906</v>
      </c>
      <c r="D24" s="857"/>
      <c r="E24" s="857"/>
      <c r="F24" s="857"/>
      <c r="G24" s="858" t="s">
        <v>55</v>
      </c>
      <c r="H24" s="859">
        <v>22932339</v>
      </c>
      <c r="I24" s="859">
        <v>22178837</v>
      </c>
      <c r="J24" s="859">
        <v>22178837</v>
      </c>
      <c r="K24" s="859">
        <v>22178837</v>
      </c>
      <c r="L24" s="859">
        <v>22178837</v>
      </c>
      <c r="M24" s="859">
        <v>22178836.908</v>
      </c>
      <c r="N24" s="859">
        <f t="shared" si="7"/>
        <v>0</v>
      </c>
      <c r="O24" s="859">
        <v>22178836.908</v>
      </c>
      <c r="P24" s="860">
        <f t="shared" si="8"/>
        <v>99.999999585190153</v>
      </c>
      <c r="Q24" s="860">
        <f t="shared" si="9"/>
        <v>99.999999585190153</v>
      </c>
      <c r="R24" s="863"/>
      <c r="S24" s="863"/>
      <c r="T24" s="863"/>
      <c r="U24" s="863"/>
      <c r="V24" s="242">
        <f t="shared" si="3"/>
        <v>22178837</v>
      </c>
      <c r="W24" s="242">
        <f t="shared" si="4"/>
        <v>0</v>
      </c>
      <c r="X24" s="242">
        <f t="shared" si="5"/>
        <v>0</v>
      </c>
      <c r="Y24" s="242">
        <f t="shared" si="6"/>
        <v>0</v>
      </c>
    </row>
    <row r="25" spans="1:25" ht="31.5">
      <c r="A25" s="857"/>
      <c r="B25" s="857"/>
      <c r="C25" s="857"/>
      <c r="D25" s="857" t="s">
        <v>850</v>
      </c>
      <c r="E25" s="857"/>
      <c r="F25" s="857"/>
      <c r="G25" s="858" t="s">
        <v>944</v>
      </c>
      <c r="H25" s="859">
        <v>22932339</v>
      </c>
      <c r="I25" s="859">
        <v>22178837</v>
      </c>
      <c r="J25" s="859">
        <v>22178837</v>
      </c>
      <c r="K25" s="859">
        <v>22178837</v>
      </c>
      <c r="L25" s="859">
        <v>22178837</v>
      </c>
      <c r="M25" s="859">
        <v>22178836.908</v>
      </c>
      <c r="N25" s="859">
        <f t="shared" si="7"/>
        <v>0</v>
      </c>
      <c r="O25" s="859">
        <v>22178836.908</v>
      </c>
      <c r="P25" s="860">
        <f t="shared" si="8"/>
        <v>99.999999585190153</v>
      </c>
      <c r="Q25" s="860">
        <f t="shared" si="9"/>
        <v>99.999999585190153</v>
      </c>
      <c r="R25" s="861"/>
      <c r="S25" s="861"/>
      <c r="T25" s="861"/>
      <c r="U25" s="862"/>
      <c r="V25" s="242">
        <f t="shared" si="3"/>
        <v>0</v>
      </c>
      <c r="W25" s="242">
        <f t="shared" si="4"/>
        <v>0</v>
      </c>
      <c r="X25" s="242">
        <f t="shared" si="5"/>
        <v>0</v>
      </c>
      <c r="Y25" s="242">
        <f t="shared" si="6"/>
        <v>0</v>
      </c>
    </row>
    <row r="26" spans="1:25" ht="21">
      <c r="A26" s="857"/>
      <c r="B26" s="857"/>
      <c r="C26" s="857"/>
      <c r="D26" s="857" t="s">
        <v>873</v>
      </c>
      <c r="E26" s="857"/>
      <c r="F26" s="857"/>
      <c r="G26" s="858" t="s">
        <v>947</v>
      </c>
      <c r="H26" s="859">
        <v>1625858</v>
      </c>
      <c r="I26" s="859">
        <v>1749960</v>
      </c>
      <c r="J26" s="859">
        <v>1749960</v>
      </c>
      <c r="K26" s="859">
        <v>1749960</v>
      </c>
      <c r="L26" s="859">
        <v>1749960</v>
      </c>
      <c r="M26" s="859">
        <v>1749660.84</v>
      </c>
      <c r="N26" s="859">
        <f t="shared" si="7"/>
        <v>0</v>
      </c>
      <c r="O26" s="859">
        <v>1749660.84</v>
      </c>
      <c r="P26" s="860">
        <f t="shared" si="8"/>
        <v>99.982904752108624</v>
      </c>
      <c r="Q26" s="860">
        <f t="shared" si="9"/>
        <v>99.982904752108624</v>
      </c>
      <c r="R26" s="861"/>
      <c r="S26" s="861"/>
      <c r="T26" s="861"/>
      <c r="U26" s="862"/>
      <c r="V26" s="242">
        <f t="shared" si="3"/>
        <v>0</v>
      </c>
      <c r="W26" s="242">
        <f t="shared" si="4"/>
        <v>0</v>
      </c>
      <c r="X26" s="242">
        <f t="shared" si="5"/>
        <v>0</v>
      </c>
      <c r="Y26" s="242">
        <f t="shared" si="6"/>
        <v>0</v>
      </c>
    </row>
    <row r="27" spans="1:25" ht="21">
      <c r="A27" s="857"/>
      <c r="B27" s="857"/>
      <c r="C27" s="857"/>
      <c r="D27" s="857" t="s">
        <v>887</v>
      </c>
      <c r="E27" s="857"/>
      <c r="F27" s="857"/>
      <c r="G27" s="858" t="s">
        <v>945</v>
      </c>
      <c r="H27" s="859">
        <v>1500000</v>
      </c>
      <c r="I27" s="859">
        <v>87360</v>
      </c>
      <c r="J27" s="859">
        <v>87360</v>
      </c>
      <c r="K27" s="859">
        <v>87360</v>
      </c>
      <c r="L27" s="859">
        <v>87360</v>
      </c>
      <c r="M27" s="859">
        <v>87360</v>
      </c>
      <c r="N27" s="859">
        <f t="shared" si="7"/>
        <v>34585.279999999999</v>
      </c>
      <c r="O27" s="859">
        <v>52774.720000000001</v>
      </c>
      <c r="P27" s="860">
        <f t="shared" si="8"/>
        <v>60.410622710622711</v>
      </c>
      <c r="Q27" s="860">
        <f t="shared" si="9"/>
        <v>60.410622710622711</v>
      </c>
      <c r="R27" s="861"/>
      <c r="S27" s="861"/>
      <c r="T27" s="861"/>
      <c r="U27" s="862"/>
      <c r="V27" s="242">
        <f t="shared" si="3"/>
        <v>0</v>
      </c>
      <c r="W27" s="242">
        <f t="shared" si="4"/>
        <v>0</v>
      </c>
      <c r="X27" s="242">
        <f t="shared" si="5"/>
        <v>0</v>
      </c>
      <c r="Y27" s="242">
        <f t="shared" si="6"/>
        <v>0</v>
      </c>
    </row>
    <row r="28" spans="1:25">
      <c r="A28" s="857"/>
      <c r="B28" s="857"/>
      <c r="C28" s="857" t="s">
        <v>936</v>
      </c>
      <c r="D28" s="857"/>
      <c r="E28" s="857"/>
      <c r="F28" s="857"/>
      <c r="G28" s="858" t="s">
        <v>937</v>
      </c>
      <c r="H28" s="859">
        <v>248575</v>
      </c>
      <c r="I28" s="859">
        <v>251301.8</v>
      </c>
      <c r="J28" s="859">
        <v>251301.8</v>
      </c>
      <c r="K28" s="859">
        <v>251301.8</v>
      </c>
      <c r="L28" s="859">
        <v>251301.8</v>
      </c>
      <c r="M28" s="859">
        <v>250399.85699999999</v>
      </c>
      <c r="N28" s="859">
        <f t="shared" si="7"/>
        <v>0</v>
      </c>
      <c r="O28" s="859">
        <v>250399.85699999999</v>
      </c>
      <c r="P28" s="860">
        <f t="shared" si="8"/>
        <v>99.641091707261936</v>
      </c>
      <c r="Q28" s="860">
        <f t="shared" si="9"/>
        <v>99.641091707261936</v>
      </c>
      <c r="R28" s="863"/>
      <c r="S28" s="863"/>
      <c r="T28" s="863"/>
      <c r="U28" s="863"/>
      <c r="V28" s="242">
        <f t="shared" si="3"/>
        <v>0</v>
      </c>
      <c r="W28" s="242">
        <f t="shared" si="4"/>
        <v>251301.8</v>
      </c>
      <c r="X28" s="242">
        <f t="shared" si="5"/>
        <v>0</v>
      </c>
      <c r="Y28" s="242">
        <f t="shared" si="6"/>
        <v>0</v>
      </c>
    </row>
    <row r="29" spans="1:25" ht="21">
      <c r="A29" s="857"/>
      <c r="B29" s="857"/>
      <c r="C29" s="857"/>
      <c r="D29" s="857" t="s">
        <v>898</v>
      </c>
      <c r="E29" s="857"/>
      <c r="F29" s="857"/>
      <c r="G29" s="858" t="s">
        <v>948</v>
      </c>
      <c r="H29" s="859">
        <v>248575</v>
      </c>
      <c r="I29" s="859">
        <v>251301.8</v>
      </c>
      <c r="J29" s="859">
        <v>251301.8</v>
      </c>
      <c r="K29" s="859">
        <v>251301.8</v>
      </c>
      <c r="L29" s="859">
        <v>251301.8</v>
      </c>
      <c r="M29" s="859">
        <v>250399.85699999999</v>
      </c>
      <c r="N29" s="859">
        <f t="shared" si="7"/>
        <v>0</v>
      </c>
      <c r="O29" s="859">
        <v>250399.85699999999</v>
      </c>
      <c r="P29" s="860">
        <f t="shared" si="8"/>
        <v>99.641091707261936</v>
      </c>
      <c r="Q29" s="860">
        <f t="shared" si="9"/>
        <v>99.641091707261936</v>
      </c>
      <c r="R29" s="861"/>
      <c r="S29" s="861"/>
      <c r="T29" s="861"/>
      <c r="U29" s="862"/>
      <c r="V29" s="242">
        <f t="shared" si="3"/>
        <v>0</v>
      </c>
      <c r="W29" s="242">
        <f t="shared" si="4"/>
        <v>0</v>
      </c>
      <c r="X29" s="242">
        <f t="shared" si="5"/>
        <v>0</v>
      </c>
      <c r="Y29" s="242">
        <f t="shared" si="6"/>
        <v>0</v>
      </c>
    </row>
    <row r="30" spans="1:25" s="1247" customFormat="1" ht="26.25" customHeight="1">
      <c r="A30" s="1243" t="s">
        <v>950</v>
      </c>
      <c r="B30" s="1243"/>
      <c r="C30" s="1243"/>
      <c r="D30" s="1243"/>
      <c r="E30" s="1243"/>
      <c r="F30" s="1243"/>
      <c r="G30" s="1244" t="s">
        <v>951</v>
      </c>
      <c r="H30" s="1245">
        <v>674254394</v>
      </c>
      <c r="I30" s="1245">
        <v>737097316.60000002</v>
      </c>
      <c r="J30" s="1245">
        <v>736268998.39999998</v>
      </c>
      <c r="K30" s="1245">
        <v>736268998.39999998</v>
      </c>
      <c r="L30" s="1245">
        <v>736268998.39999998</v>
      </c>
      <c r="M30" s="1245">
        <v>735048723.58840001</v>
      </c>
      <c r="N30" s="1245">
        <f t="shared" ref="N30:N50" si="10">M30-O30</f>
        <v>4228838.8236000538</v>
      </c>
      <c r="O30" s="1245">
        <v>730819884.76479995</v>
      </c>
      <c r="P30" s="1246">
        <f t="shared" ref="P30:P51" si="11">IF(K30=0,0,O30/K30*100)</f>
        <v>99.259901795805391</v>
      </c>
      <c r="Q30" s="1246">
        <f t="shared" ref="Q30:Q51" si="12">IF(J30=0,0,O30/J30*100)</f>
        <v>99.259901795805391</v>
      </c>
      <c r="V30" s="1247">
        <f t="shared" si="3"/>
        <v>0</v>
      </c>
      <c r="W30" s="1247">
        <f t="shared" si="4"/>
        <v>0</v>
      </c>
      <c r="X30" s="1247">
        <f t="shared" si="5"/>
        <v>0</v>
      </c>
      <c r="Y30" s="1247">
        <f t="shared" si="6"/>
        <v>0</v>
      </c>
    </row>
    <row r="31" spans="1:25">
      <c r="A31" s="280"/>
      <c r="B31" s="280" t="s">
        <v>844</v>
      </c>
      <c r="C31" s="280"/>
      <c r="D31" s="280"/>
      <c r="E31" s="280"/>
      <c r="F31" s="280"/>
      <c r="G31" s="281" t="s">
        <v>952</v>
      </c>
      <c r="H31" s="282">
        <v>8187311</v>
      </c>
      <c r="I31" s="282">
        <v>8630762</v>
      </c>
      <c r="J31" s="282">
        <v>8630762</v>
      </c>
      <c r="K31" s="282">
        <v>8630762</v>
      </c>
      <c r="L31" s="282">
        <v>8630762</v>
      </c>
      <c r="M31" s="282">
        <v>8630484.1865999997</v>
      </c>
      <c r="N31" s="282">
        <f t="shared" si="10"/>
        <v>4.6457000002264977</v>
      </c>
      <c r="O31" s="282">
        <v>8630479.5408999994</v>
      </c>
      <c r="P31" s="283">
        <f t="shared" si="11"/>
        <v>99.996727298238554</v>
      </c>
      <c r="Q31" s="283">
        <f t="shared" si="12"/>
        <v>99.996727298238554</v>
      </c>
      <c r="R31" s="284"/>
      <c r="S31" s="284"/>
      <c r="T31" s="284"/>
      <c r="U31" s="284"/>
      <c r="V31" s="242">
        <f t="shared" si="3"/>
        <v>0</v>
      </c>
      <c r="W31" s="242">
        <f t="shared" si="4"/>
        <v>0</v>
      </c>
      <c r="X31" s="242">
        <f t="shared" si="5"/>
        <v>0</v>
      </c>
      <c r="Y31" s="242">
        <f t="shared" si="6"/>
        <v>0</v>
      </c>
    </row>
    <row r="32" spans="1:25">
      <c r="A32" s="280"/>
      <c r="B32" s="280"/>
      <c r="C32" s="280" t="s">
        <v>900</v>
      </c>
      <c r="D32" s="280"/>
      <c r="E32" s="280"/>
      <c r="F32" s="280"/>
      <c r="G32" s="281" t="s">
        <v>57</v>
      </c>
      <c r="H32" s="282">
        <v>2199530</v>
      </c>
      <c r="I32" s="282">
        <v>2206107</v>
      </c>
      <c r="J32" s="282">
        <v>2206107</v>
      </c>
      <c r="K32" s="282">
        <v>2206107</v>
      </c>
      <c r="L32" s="282">
        <v>2206107</v>
      </c>
      <c r="M32" s="282">
        <v>2205861.3961</v>
      </c>
      <c r="N32" s="282">
        <f t="shared" si="10"/>
        <v>4.3311999998986721</v>
      </c>
      <c r="O32" s="282">
        <v>2205857.0649000001</v>
      </c>
      <c r="P32" s="283">
        <f t="shared" si="11"/>
        <v>99.988670762569541</v>
      </c>
      <c r="Q32" s="283">
        <f t="shared" si="12"/>
        <v>99.988670762569541</v>
      </c>
      <c r="R32" s="284"/>
      <c r="S32" s="284"/>
      <c r="T32" s="284"/>
      <c r="U32" s="284"/>
      <c r="V32" s="242">
        <f t="shared" si="3"/>
        <v>0</v>
      </c>
      <c r="W32" s="242">
        <f t="shared" si="4"/>
        <v>0</v>
      </c>
      <c r="X32" s="242">
        <f t="shared" si="5"/>
        <v>0</v>
      </c>
      <c r="Y32" s="242">
        <f t="shared" si="6"/>
        <v>0</v>
      </c>
    </row>
    <row r="33" spans="1:25" ht="21">
      <c r="A33" s="280"/>
      <c r="B33" s="280"/>
      <c r="C33" s="280"/>
      <c r="D33" s="280" t="s">
        <v>882</v>
      </c>
      <c r="E33" s="280"/>
      <c r="F33" s="280"/>
      <c r="G33" s="281" t="s">
        <v>953</v>
      </c>
      <c r="H33" s="282">
        <v>2199530</v>
      </c>
      <c r="I33" s="282">
        <v>2206107</v>
      </c>
      <c r="J33" s="282">
        <v>2206107</v>
      </c>
      <c r="K33" s="282">
        <v>2206107</v>
      </c>
      <c r="L33" s="282">
        <v>2206107</v>
      </c>
      <c r="M33" s="282">
        <v>2205861.3961</v>
      </c>
      <c r="N33" s="282">
        <f t="shared" si="10"/>
        <v>4.3311999998986721</v>
      </c>
      <c r="O33" s="282">
        <v>2205857.0649000001</v>
      </c>
      <c r="P33" s="283">
        <f t="shared" si="11"/>
        <v>99.988670762569541</v>
      </c>
      <c r="Q33" s="283">
        <f t="shared" si="12"/>
        <v>99.988670762569541</v>
      </c>
      <c r="R33" s="285" t="s">
        <v>340</v>
      </c>
      <c r="S33" s="286" t="s">
        <v>140</v>
      </c>
      <c r="T33" s="285"/>
      <c r="U33" s="287"/>
      <c r="V33" s="242">
        <f t="shared" si="3"/>
        <v>0</v>
      </c>
      <c r="W33" s="242">
        <f t="shared" si="4"/>
        <v>0</v>
      </c>
      <c r="X33" s="242">
        <f t="shared" si="5"/>
        <v>0</v>
      </c>
      <c r="Y33" s="242">
        <f t="shared" si="6"/>
        <v>0</v>
      </c>
    </row>
    <row r="34" spans="1:25">
      <c r="A34" s="280"/>
      <c r="B34" s="280"/>
      <c r="C34" s="280" t="s">
        <v>923</v>
      </c>
      <c r="D34" s="280"/>
      <c r="E34" s="280"/>
      <c r="F34" s="280"/>
      <c r="G34" s="281" t="s">
        <v>61</v>
      </c>
      <c r="H34" s="282">
        <v>4149890</v>
      </c>
      <c r="I34" s="282">
        <v>3999890</v>
      </c>
      <c r="J34" s="282">
        <v>3999890</v>
      </c>
      <c r="K34" s="282">
        <v>3999890</v>
      </c>
      <c r="L34" s="282">
        <v>3999890</v>
      </c>
      <c r="M34" s="282">
        <v>3999888.7152</v>
      </c>
      <c r="N34" s="282">
        <f t="shared" si="10"/>
        <v>0.30949999997392297</v>
      </c>
      <c r="O34" s="282">
        <v>3999888.4057</v>
      </c>
      <c r="P34" s="283">
        <f t="shared" si="11"/>
        <v>99.999960141403889</v>
      </c>
      <c r="Q34" s="283">
        <f t="shared" si="12"/>
        <v>99.999960141403889</v>
      </c>
      <c r="R34" s="284"/>
      <c r="S34" s="284"/>
      <c r="T34" s="284"/>
      <c r="U34" s="284"/>
      <c r="V34" s="242">
        <f t="shared" si="3"/>
        <v>0</v>
      </c>
      <c r="W34" s="242">
        <f t="shared" si="4"/>
        <v>0</v>
      </c>
      <c r="X34" s="242">
        <f t="shared" si="5"/>
        <v>0</v>
      </c>
      <c r="Y34" s="242">
        <f t="shared" si="6"/>
        <v>0</v>
      </c>
    </row>
    <row r="35" spans="1:25" ht="12.75">
      <c r="A35" s="280"/>
      <c r="B35" s="280"/>
      <c r="C35" s="280"/>
      <c r="D35" s="280" t="s">
        <v>881</v>
      </c>
      <c r="E35" s="280"/>
      <c r="F35" s="280"/>
      <c r="G35" s="281" t="s">
        <v>955</v>
      </c>
      <c r="H35" s="282">
        <v>4149890</v>
      </c>
      <c r="I35" s="282">
        <v>3999890</v>
      </c>
      <c r="J35" s="282">
        <v>3999890</v>
      </c>
      <c r="K35" s="282">
        <v>3999890</v>
      </c>
      <c r="L35" s="282">
        <v>3999890</v>
      </c>
      <c r="M35" s="282">
        <v>3999888.7152</v>
      </c>
      <c r="N35" s="282">
        <f t="shared" si="10"/>
        <v>0.30949999997392297</v>
      </c>
      <c r="O35" s="282">
        <v>3999888.4057</v>
      </c>
      <c r="P35" s="283">
        <f t="shared" si="11"/>
        <v>99.999960141403889</v>
      </c>
      <c r="Q35" s="283">
        <f t="shared" si="12"/>
        <v>99.999960141403889</v>
      </c>
      <c r="R35" s="285" t="s">
        <v>340</v>
      </c>
      <c r="S35" s="286" t="s">
        <v>140</v>
      </c>
      <c r="T35" s="285"/>
      <c r="U35" s="287"/>
      <c r="V35" s="242">
        <f t="shared" si="3"/>
        <v>0</v>
      </c>
      <c r="W35" s="242">
        <f t="shared" si="4"/>
        <v>0</v>
      </c>
      <c r="X35" s="242">
        <f t="shared" si="5"/>
        <v>0</v>
      </c>
      <c r="Y35" s="242">
        <f t="shared" si="6"/>
        <v>0</v>
      </c>
    </row>
    <row r="36" spans="1:25" s="647" customFormat="1">
      <c r="A36" s="643"/>
      <c r="B36" s="643"/>
      <c r="C36" s="643" t="s">
        <v>936</v>
      </c>
      <c r="D36" s="643"/>
      <c r="E36" s="643"/>
      <c r="F36" s="643"/>
      <c r="G36" s="644" t="s">
        <v>937</v>
      </c>
      <c r="H36" s="645">
        <v>1201963</v>
      </c>
      <c r="I36" s="645">
        <v>1771209</v>
      </c>
      <c r="J36" s="645">
        <v>1771209</v>
      </c>
      <c r="K36" s="645">
        <v>1771209</v>
      </c>
      <c r="L36" s="645">
        <v>1771209</v>
      </c>
      <c r="M36" s="645">
        <v>1771180.923</v>
      </c>
      <c r="N36" s="645">
        <f t="shared" si="10"/>
        <v>1.999999862164259E-3</v>
      </c>
      <c r="O36" s="645">
        <v>1771180.9210000001</v>
      </c>
      <c r="P36" s="646">
        <f t="shared" si="11"/>
        <v>99.998414698660639</v>
      </c>
      <c r="Q36" s="646">
        <f t="shared" si="12"/>
        <v>99.998414698660639</v>
      </c>
      <c r="V36" s="242">
        <f t="shared" si="3"/>
        <v>0</v>
      </c>
      <c r="W36" s="242">
        <f t="shared" si="4"/>
        <v>1771209</v>
      </c>
      <c r="X36" s="242">
        <f t="shared" si="5"/>
        <v>0</v>
      </c>
      <c r="Y36" s="242">
        <f t="shared" si="6"/>
        <v>0</v>
      </c>
    </row>
    <row r="37" spans="1:25" ht="63">
      <c r="A37" s="280"/>
      <c r="B37" s="280"/>
      <c r="C37" s="280"/>
      <c r="D37" s="280" t="s">
        <v>862</v>
      </c>
      <c r="E37" s="280"/>
      <c r="F37" s="280"/>
      <c r="G37" s="281" t="s">
        <v>956</v>
      </c>
      <c r="H37" s="282">
        <v>1201963</v>
      </c>
      <c r="I37" s="282">
        <v>1771209</v>
      </c>
      <c r="J37" s="282">
        <v>1771209</v>
      </c>
      <c r="K37" s="282">
        <v>1771209</v>
      </c>
      <c r="L37" s="282">
        <v>1771209</v>
      </c>
      <c r="M37" s="282">
        <v>1771180.923</v>
      </c>
      <c r="N37" s="282">
        <f t="shared" si="10"/>
        <v>1.999999862164259E-3</v>
      </c>
      <c r="O37" s="282">
        <v>1771180.9210000001</v>
      </c>
      <c r="P37" s="283">
        <f t="shared" si="11"/>
        <v>99.998414698660639</v>
      </c>
      <c r="Q37" s="283">
        <f t="shared" si="12"/>
        <v>99.998414698660639</v>
      </c>
      <c r="R37" s="285" t="s">
        <v>340</v>
      </c>
      <c r="S37" s="286" t="s">
        <v>140</v>
      </c>
      <c r="T37" s="284"/>
      <c r="U37" s="284"/>
      <c r="V37" s="242">
        <f t="shared" si="3"/>
        <v>0</v>
      </c>
      <c r="W37" s="242">
        <f t="shared" si="4"/>
        <v>0</v>
      </c>
      <c r="X37" s="242">
        <f t="shared" si="5"/>
        <v>0</v>
      </c>
      <c r="Y37" s="242">
        <f t="shared" si="6"/>
        <v>0</v>
      </c>
    </row>
    <row r="38" spans="1:25" ht="12.75">
      <c r="A38" s="280"/>
      <c r="B38" s="280"/>
      <c r="C38" s="280"/>
      <c r="D38" s="280"/>
      <c r="E38" s="280" t="s">
        <v>858</v>
      </c>
      <c r="F38" s="280"/>
      <c r="G38" s="281" t="s">
        <v>921</v>
      </c>
      <c r="H38" s="282">
        <v>0</v>
      </c>
      <c r="I38" s="282">
        <v>0</v>
      </c>
      <c r="J38" s="282">
        <v>1666744</v>
      </c>
      <c r="K38" s="282">
        <v>1666744</v>
      </c>
      <c r="L38" s="282">
        <v>1666744</v>
      </c>
      <c r="M38" s="282">
        <v>1666715.923</v>
      </c>
      <c r="N38" s="282">
        <f t="shared" si="10"/>
        <v>2.0099999383091927E-3</v>
      </c>
      <c r="O38" s="282">
        <v>1666715.92099</v>
      </c>
      <c r="P38" s="283">
        <f t="shared" si="11"/>
        <v>99.998315337568329</v>
      </c>
      <c r="Q38" s="283">
        <f t="shared" si="12"/>
        <v>99.998315337568329</v>
      </c>
      <c r="R38" s="285"/>
      <c r="S38" s="286"/>
      <c r="T38" s="285"/>
      <c r="U38" s="287"/>
      <c r="V38" s="242">
        <f t="shared" si="3"/>
        <v>0</v>
      </c>
      <c r="W38" s="242">
        <f t="shared" si="4"/>
        <v>0</v>
      </c>
      <c r="X38" s="242">
        <f t="shared" si="5"/>
        <v>0</v>
      </c>
      <c r="Y38" s="242">
        <f t="shared" si="6"/>
        <v>0</v>
      </c>
    </row>
    <row r="39" spans="1:25" ht="12.75">
      <c r="A39" s="280"/>
      <c r="B39" s="280"/>
      <c r="C39" s="280"/>
      <c r="D39" s="280"/>
      <c r="E39" s="280" t="s">
        <v>905</v>
      </c>
      <c r="F39" s="280"/>
      <c r="G39" s="281" t="s">
        <v>918</v>
      </c>
      <c r="H39" s="282">
        <v>0</v>
      </c>
      <c r="I39" s="282">
        <v>0</v>
      </c>
      <c r="J39" s="282">
        <v>104465</v>
      </c>
      <c r="K39" s="282">
        <v>104465</v>
      </c>
      <c r="L39" s="282">
        <v>104465</v>
      </c>
      <c r="M39" s="282">
        <v>104465</v>
      </c>
      <c r="N39" s="282">
        <f t="shared" si="10"/>
        <v>0</v>
      </c>
      <c r="O39" s="282">
        <v>104465</v>
      </c>
      <c r="P39" s="283">
        <f t="shared" si="11"/>
        <v>100</v>
      </c>
      <c r="Q39" s="283">
        <f t="shared" si="12"/>
        <v>100</v>
      </c>
      <c r="R39" s="285"/>
      <c r="S39" s="286"/>
      <c r="T39" s="285"/>
      <c r="U39" s="287"/>
      <c r="V39" s="242">
        <f t="shared" si="3"/>
        <v>0</v>
      </c>
      <c r="W39" s="242">
        <f t="shared" si="4"/>
        <v>0</v>
      </c>
      <c r="X39" s="242">
        <f t="shared" si="5"/>
        <v>0</v>
      </c>
      <c r="Y39" s="242">
        <f t="shared" si="6"/>
        <v>0</v>
      </c>
    </row>
    <row r="40" spans="1:25" s="647" customFormat="1" ht="21">
      <c r="A40" s="643"/>
      <c r="B40" s="643"/>
      <c r="C40" s="643" t="s">
        <v>939</v>
      </c>
      <c r="D40" s="643"/>
      <c r="E40" s="643"/>
      <c r="F40" s="643"/>
      <c r="G40" s="644" t="s">
        <v>940</v>
      </c>
      <c r="H40" s="645">
        <v>635928</v>
      </c>
      <c r="I40" s="645">
        <v>653556</v>
      </c>
      <c r="J40" s="645">
        <v>653556</v>
      </c>
      <c r="K40" s="645">
        <v>653556</v>
      </c>
      <c r="L40" s="645">
        <v>653556</v>
      </c>
      <c r="M40" s="645">
        <v>653553.15229999996</v>
      </c>
      <c r="N40" s="645">
        <f t="shared" si="10"/>
        <v>2.9999999096617103E-3</v>
      </c>
      <c r="O40" s="645">
        <v>653553.14930000005</v>
      </c>
      <c r="P40" s="646">
        <f t="shared" si="11"/>
        <v>99.999563817025631</v>
      </c>
      <c r="Q40" s="646">
        <f t="shared" si="12"/>
        <v>99.999563817025631</v>
      </c>
      <c r="V40" s="242">
        <f t="shared" si="3"/>
        <v>0</v>
      </c>
      <c r="W40" s="242">
        <f t="shared" si="4"/>
        <v>0</v>
      </c>
      <c r="X40" s="242">
        <f t="shared" si="5"/>
        <v>653556</v>
      </c>
      <c r="Y40" s="242">
        <f t="shared" si="6"/>
        <v>0</v>
      </c>
    </row>
    <row r="41" spans="1:25" ht="63">
      <c r="A41" s="280"/>
      <c r="B41" s="280"/>
      <c r="C41" s="280"/>
      <c r="D41" s="280" t="s">
        <v>862</v>
      </c>
      <c r="E41" s="280"/>
      <c r="F41" s="280"/>
      <c r="G41" s="281" t="s">
        <v>956</v>
      </c>
      <c r="H41" s="282">
        <v>635928</v>
      </c>
      <c r="I41" s="282">
        <v>653556</v>
      </c>
      <c r="J41" s="282">
        <v>653556</v>
      </c>
      <c r="K41" s="282">
        <v>653556</v>
      </c>
      <c r="L41" s="282">
        <v>653556</v>
      </c>
      <c r="M41" s="282">
        <v>653553.15229999996</v>
      </c>
      <c r="N41" s="282">
        <f t="shared" si="10"/>
        <v>2.9999999096617103E-3</v>
      </c>
      <c r="O41" s="282">
        <v>653553.14930000005</v>
      </c>
      <c r="P41" s="283">
        <f t="shared" si="11"/>
        <v>99.999563817025631</v>
      </c>
      <c r="Q41" s="283">
        <f t="shared" si="12"/>
        <v>99.999563817025631</v>
      </c>
      <c r="R41" s="285" t="s">
        <v>340</v>
      </c>
      <c r="S41" s="286" t="s">
        <v>140</v>
      </c>
      <c r="T41" s="284"/>
      <c r="U41" s="284"/>
      <c r="V41" s="242">
        <f t="shared" si="3"/>
        <v>0</v>
      </c>
      <c r="W41" s="242">
        <f t="shared" si="4"/>
        <v>0</v>
      </c>
      <c r="X41" s="242">
        <f t="shared" si="5"/>
        <v>0</v>
      </c>
      <c r="Y41" s="242">
        <f t="shared" si="6"/>
        <v>0</v>
      </c>
    </row>
    <row r="42" spans="1:25" ht="12.75">
      <c r="A42" s="280"/>
      <c r="B42" s="280"/>
      <c r="C42" s="280"/>
      <c r="D42" s="280"/>
      <c r="E42" s="280" t="s">
        <v>858</v>
      </c>
      <c r="F42" s="280"/>
      <c r="G42" s="281" t="s">
        <v>921</v>
      </c>
      <c r="H42" s="282">
        <v>0</v>
      </c>
      <c r="I42" s="282">
        <v>0</v>
      </c>
      <c r="J42" s="282">
        <v>517590</v>
      </c>
      <c r="K42" s="282">
        <v>517590</v>
      </c>
      <c r="L42" s="282">
        <v>517590</v>
      </c>
      <c r="M42" s="282">
        <v>517589.95874999999</v>
      </c>
      <c r="N42" s="282">
        <f t="shared" si="10"/>
        <v>9.9999998928979039E-4</v>
      </c>
      <c r="O42" s="282">
        <v>517589.95775</v>
      </c>
      <c r="P42" s="283">
        <f t="shared" si="11"/>
        <v>99.999991837168409</v>
      </c>
      <c r="Q42" s="283">
        <f t="shared" si="12"/>
        <v>99.999991837168409</v>
      </c>
      <c r="R42" s="285"/>
      <c r="S42" s="286"/>
      <c r="T42" s="285"/>
      <c r="U42" s="287"/>
      <c r="V42" s="242">
        <f t="shared" si="3"/>
        <v>0</v>
      </c>
      <c r="W42" s="242">
        <f t="shared" si="4"/>
        <v>0</v>
      </c>
      <c r="X42" s="242">
        <f t="shared" si="5"/>
        <v>0</v>
      </c>
      <c r="Y42" s="242">
        <f t="shared" si="6"/>
        <v>0</v>
      </c>
    </row>
    <row r="43" spans="1:25" ht="12.75">
      <c r="A43" s="280"/>
      <c r="B43" s="280"/>
      <c r="C43" s="280"/>
      <c r="D43" s="280"/>
      <c r="E43" s="280" t="s">
        <v>905</v>
      </c>
      <c r="F43" s="280"/>
      <c r="G43" s="281" t="s">
        <v>918</v>
      </c>
      <c r="H43" s="282">
        <v>0</v>
      </c>
      <c r="I43" s="282">
        <v>0</v>
      </c>
      <c r="J43" s="282">
        <v>135966</v>
      </c>
      <c r="K43" s="282">
        <v>135966</v>
      </c>
      <c r="L43" s="282">
        <v>135966</v>
      </c>
      <c r="M43" s="282">
        <v>135963.1936</v>
      </c>
      <c r="N43" s="282">
        <f t="shared" si="10"/>
        <v>2.0000000076834112E-3</v>
      </c>
      <c r="O43" s="282">
        <v>135963.19159999999</v>
      </c>
      <c r="P43" s="283">
        <f t="shared" si="11"/>
        <v>99.997934483620895</v>
      </c>
      <c r="Q43" s="283">
        <f t="shared" si="12"/>
        <v>99.997934483620895</v>
      </c>
      <c r="R43" s="285"/>
      <c r="S43" s="286"/>
      <c r="T43" s="285"/>
      <c r="U43" s="287"/>
      <c r="V43" s="242">
        <f t="shared" si="3"/>
        <v>0</v>
      </c>
      <c r="W43" s="242">
        <f t="shared" si="4"/>
        <v>0</v>
      </c>
      <c r="X43" s="242">
        <f t="shared" si="5"/>
        <v>0</v>
      </c>
      <c r="Y43" s="242">
        <f t="shared" si="6"/>
        <v>0</v>
      </c>
    </row>
    <row r="44" spans="1:25">
      <c r="A44" s="280"/>
      <c r="B44" s="280" t="s">
        <v>878</v>
      </c>
      <c r="C44" s="280"/>
      <c r="D44" s="280"/>
      <c r="E44" s="280"/>
      <c r="F44" s="280"/>
      <c r="G44" s="281" t="s">
        <v>957</v>
      </c>
      <c r="H44" s="282">
        <v>259666712</v>
      </c>
      <c r="I44" s="282">
        <v>279257918.80000001</v>
      </c>
      <c r="J44" s="282">
        <v>263024906.80000001</v>
      </c>
      <c r="K44" s="282">
        <v>263024906.80000001</v>
      </c>
      <c r="L44" s="282">
        <v>263024906.80000001</v>
      </c>
      <c r="M44" s="282">
        <v>263017498.8836</v>
      </c>
      <c r="N44" s="282">
        <f t="shared" si="10"/>
        <v>74099.368200004101</v>
      </c>
      <c r="O44" s="282">
        <v>262943399.51539999</v>
      </c>
      <c r="P44" s="283">
        <f t="shared" si="11"/>
        <v>99.969011571720841</v>
      </c>
      <c r="Q44" s="283">
        <f t="shared" si="12"/>
        <v>99.969011571720841</v>
      </c>
      <c r="R44" s="284"/>
      <c r="S44" s="284"/>
      <c r="T44" s="284"/>
      <c r="U44" s="284"/>
      <c r="V44" s="242">
        <f t="shared" si="3"/>
        <v>0</v>
      </c>
      <c r="W44" s="242">
        <f t="shared" si="4"/>
        <v>0</v>
      </c>
      <c r="X44" s="242">
        <f t="shared" si="5"/>
        <v>0</v>
      </c>
      <c r="Y44" s="242">
        <f t="shared" si="6"/>
        <v>0</v>
      </c>
    </row>
    <row r="45" spans="1:25" s="1242" customFormat="1" ht="21">
      <c r="A45" s="1236"/>
      <c r="B45" s="1236"/>
      <c r="C45" s="1236" t="s">
        <v>904</v>
      </c>
      <c r="D45" s="1236"/>
      <c r="E45" s="1236"/>
      <c r="F45" s="1236"/>
      <c r="G45" s="1237" t="s">
        <v>59</v>
      </c>
      <c r="H45" s="1238">
        <v>425488</v>
      </c>
      <c r="I45" s="1238">
        <v>425488</v>
      </c>
      <c r="J45" s="1238">
        <v>425488</v>
      </c>
      <c r="K45" s="1238">
        <v>425488</v>
      </c>
      <c r="L45" s="1238">
        <v>425488</v>
      </c>
      <c r="M45" s="1238">
        <v>425488</v>
      </c>
      <c r="N45" s="1238">
        <f t="shared" si="10"/>
        <v>0</v>
      </c>
      <c r="O45" s="1238">
        <v>425488</v>
      </c>
      <c r="P45" s="1239">
        <f t="shared" si="11"/>
        <v>100</v>
      </c>
      <c r="Q45" s="1239">
        <f t="shared" si="12"/>
        <v>100</v>
      </c>
      <c r="V45" s="1242">
        <f t="shared" si="3"/>
        <v>0</v>
      </c>
      <c r="W45" s="1242">
        <f t="shared" si="4"/>
        <v>0</v>
      </c>
      <c r="X45" s="1242">
        <f t="shared" si="5"/>
        <v>0</v>
      </c>
      <c r="Y45" s="1242">
        <f t="shared" si="6"/>
        <v>0</v>
      </c>
    </row>
    <row r="46" spans="1:25" s="1242" customFormat="1" ht="21">
      <c r="A46" s="1236"/>
      <c r="B46" s="1236"/>
      <c r="C46" s="1236"/>
      <c r="D46" s="1236" t="s">
        <v>885</v>
      </c>
      <c r="E46" s="1236"/>
      <c r="F46" s="1236"/>
      <c r="G46" s="1237" t="s">
        <v>958</v>
      </c>
      <c r="H46" s="1238">
        <v>425488</v>
      </c>
      <c r="I46" s="1238">
        <v>425488</v>
      </c>
      <c r="J46" s="1238">
        <v>425488</v>
      </c>
      <c r="K46" s="1238">
        <v>425488</v>
      </c>
      <c r="L46" s="1238">
        <v>425488</v>
      </c>
      <c r="M46" s="1238">
        <v>425488</v>
      </c>
      <c r="N46" s="1238">
        <f t="shared" si="10"/>
        <v>0</v>
      </c>
      <c r="O46" s="1238">
        <v>425488</v>
      </c>
      <c r="P46" s="1239">
        <f t="shared" si="11"/>
        <v>100</v>
      </c>
      <c r="Q46" s="1239">
        <f t="shared" si="12"/>
        <v>100</v>
      </c>
      <c r="R46" s="1240"/>
      <c r="S46" s="1248"/>
      <c r="T46" s="1240"/>
      <c r="U46" s="1241"/>
      <c r="V46" s="1242">
        <f t="shared" si="3"/>
        <v>0</v>
      </c>
      <c r="W46" s="1242">
        <f t="shared" si="4"/>
        <v>0</v>
      </c>
      <c r="X46" s="1242">
        <f t="shared" si="5"/>
        <v>0</v>
      </c>
      <c r="Y46" s="1242">
        <f t="shared" si="6"/>
        <v>0</v>
      </c>
    </row>
    <row r="47" spans="1:25" ht="21">
      <c r="A47" s="280"/>
      <c r="B47" s="280"/>
      <c r="C47" s="280" t="s">
        <v>906</v>
      </c>
      <c r="D47" s="280"/>
      <c r="E47" s="280"/>
      <c r="F47" s="934"/>
      <c r="G47" s="281" t="s">
        <v>55</v>
      </c>
      <c r="H47" s="282">
        <v>243092410</v>
      </c>
      <c r="I47" s="282">
        <v>261630971</v>
      </c>
      <c r="J47" s="276">
        <f>SUM(J48:J52)</f>
        <v>245266185.24284458</v>
      </c>
      <c r="K47" s="282">
        <v>245402843</v>
      </c>
      <c r="L47" s="282">
        <v>245402843</v>
      </c>
      <c r="M47" s="282">
        <v>245402691.48769999</v>
      </c>
      <c r="N47" s="282">
        <f t="shared" si="10"/>
        <v>73999.839499980211</v>
      </c>
      <c r="O47" s="282">
        <v>245328691.64820001</v>
      </c>
      <c r="P47" s="283">
        <f t="shared" si="11"/>
        <v>99.969783825283557</v>
      </c>
      <c r="Q47" s="283">
        <f>IF(R47=0,0,O47/R47*100)</f>
        <v>99.969783825283557</v>
      </c>
      <c r="R47" s="282">
        <v>245402843</v>
      </c>
      <c r="S47" s="284"/>
      <c r="T47" s="284"/>
      <c r="U47" s="284"/>
      <c r="V47" s="242">
        <f t="shared" si="3"/>
        <v>245266185.24284458</v>
      </c>
      <c r="W47" s="242">
        <f t="shared" si="4"/>
        <v>0</v>
      </c>
      <c r="X47" s="242">
        <f t="shared" si="5"/>
        <v>0</v>
      </c>
      <c r="Y47" s="242">
        <f t="shared" si="6"/>
        <v>0</v>
      </c>
    </row>
    <row r="48" spans="1:25" s="314" customFormat="1" ht="21">
      <c r="A48" s="308"/>
      <c r="B48" s="308"/>
      <c r="C48" s="308"/>
      <c r="D48" s="308" t="s">
        <v>863</v>
      </c>
      <c r="E48" s="308"/>
      <c r="F48" s="308"/>
      <c r="G48" s="309" t="s">
        <v>960</v>
      </c>
      <c r="H48" s="310">
        <v>10833032</v>
      </c>
      <c r="I48" s="310">
        <v>10833032</v>
      </c>
      <c r="J48" s="310">
        <v>10833032</v>
      </c>
      <c r="K48" s="310">
        <v>10833032</v>
      </c>
      <c r="L48" s="310">
        <v>10833032</v>
      </c>
      <c r="M48" s="310">
        <v>10833015.945499999</v>
      </c>
      <c r="N48" s="310">
        <f t="shared" si="10"/>
        <v>0</v>
      </c>
      <c r="O48" s="310">
        <v>10833015.945499999</v>
      </c>
      <c r="P48" s="311">
        <f t="shared" si="11"/>
        <v>99.999851800493161</v>
      </c>
      <c r="Q48" s="311">
        <f t="shared" si="12"/>
        <v>99.999851800493161</v>
      </c>
      <c r="R48" s="312"/>
      <c r="S48" s="1440"/>
      <c r="T48" s="1441"/>
      <c r="U48" s="313"/>
      <c r="V48" s="314">
        <f t="shared" si="3"/>
        <v>0</v>
      </c>
      <c r="W48" s="314">
        <f t="shared" si="4"/>
        <v>0</v>
      </c>
      <c r="X48" s="314">
        <f t="shared" si="5"/>
        <v>0</v>
      </c>
      <c r="Y48" s="314">
        <f t="shared" si="6"/>
        <v>0</v>
      </c>
    </row>
    <row r="49" spans="1:25" ht="12.75">
      <c r="A49" s="280"/>
      <c r="B49" s="280"/>
      <c r="C49" s="280"/>
      <c r="D49" s="280" t="s">
        <v>881</v>
      </c>
      <c r="E49" s="280"/>
      <c r="F49" s="280"/>
      <c r="G49" s="281" t="s">
        <v>961</v>
      </c>
      <c r="H49" s="282">
        <v>52629</v>
      </c>
      <c r="I49" s="282">
        <v>52629</v>
      </c>
      <c r="J49" s="282">
        <v>52629</v>
      </c>
      <c r="K49" s="282">
        <v>52629</v>
      </c>
      <c r="L49" s="282">
        <v>52629</v>
      </c>
      <c r="M49" s="282">
        <v>52628.86</v>
      </c>
      <c r="N49" s="282">
        <f t="shared" si="10"/>
        <v>0</v>
      </c>
      <c r="O49" s="282">
        <v>52628.86</v>
      </c>
      <c r="P49" s="283">
        <f t="shared" si="11"/>
        <v>99.999733986965367</v>
      </c>
      <c r="Q49" s="283">
        <f t="shared" si="12"/>
        <v>99.999733986965367</v>
      </c>
      <c r="R49" s="285"/>
      <c r="S49" s="286"/>
      <c r="T49" s="285"/>
      <c r="U49" s="287"/>
      <c r="V49" s="242">
        <f t="shared" si="3"/>
        <v>0</v>
      </c>
      <c r="W49" s="242">
        <f t="shared" si="4"/>
        <v>0</v>
      </c>
      <c r="X49" s="242">
        <f t="shared" si="5"/>
        <v>0</v>
      </c>
      <c r="Y49" s="242">
        <f t="shared" si="6"/>
        <v>0</v>
      </c>
    </row>
    <row r="50" spans="1:25" ht="31.5">
      <c r="A50" s="302"/>
      <c r="B50" s="302"/>
      <c r="C50" s="302"/>
      <c r="D50" s="302" t="s">
        <v>891</v>
      </c>
      <c r="E50" s="302"/>
      <c r="F50" s="302"/>
      <c r="G50" s="303" t="s">
        <v>962</v>
      </c>
      <c r="H50" s="304">
        <v>210618374</v>
      </c>
      <c r="I50" s="304">
        <v>234243100</v>
      </c>
      <c r="J50" s="651">
        <f>'036 гобм'!DH6</f>
        <v>234106442.24284458</v>
      </c>
      <c r="K50" s="304">
        <v>234243100</v>
      </c>
      <c r="L50" s="304">
        <v>234243100</v>
      </c>
      <c r="M50" s="304">
        <v>234242964.76620001</v>
      </c>
      <c r="N50" s="304">
        <f t="shared" si="10"/>
        <v>73999.827399998903</v>
      </c>
      <c r="O50" s="304">
        <v>234168964.93880001</v>
      </c>
      <c r="P50" s="305">
        <f t="shared" si="11"/>
        <v>99.968351229470585</v>
      </c>
      <c r="Q50" s="305">
        <f>IF(R50=0,0,O50/R50*100)</f>
        <v>99.968351229470585</v>
      </c>
      <c r="R50" s="304">
        <v>234243100</v>
      </c>
      <c r="S50" s="306"/>
      <c r="T50" s="306"/>
      <c r="U50" s="306"/>
      <c r="V50" s="242">
        <f>IF(C50="226",J50,0)</f>
        <v>0</v>
      </c>
      <c r="W50" s="242">
        <f>IF(C50="253",J50,0)</f>
        <v>0</v>
      </c>
      <c r="X50" s="242">
        <f>IF(C50="353",J50,0)</f>
        <v>0</v>
      </c>
      <c r="Y50" s="242">
        <f>IF(C50="694",J50,0)</f>
        <v>0</v>
      </c>
    </row>
    <row r="51" spans="1:25" ht="31.5">
      <c r="A51" s="280"/>
      <c r="B51" s="280"/>
      <c r="C51" s="280"/>
      <c r="D51" s="280" t="s">
        <v>879</v>
      </c>
      <c r="E51" s="280"/>
      <c r="F51" s="280"/>
      <c r="G51" s="281" t="s">
        <v>963</v>
      </c>
      <c r="H51" s="282">
        <v>21588375</v>
      </c>
      <c r="I51" s="282">
        <v>16502210</v>
      </c>
      <c r="J51" s="282">
        <v>0</v>
      </c>
      <c r="K51" s="282">
        <v>0</v>
      </c>
      <c r="L51" s="282"/>
      <c r="M51" s="282"/>
      <c r="N51" s="282"/>
      <c r="O51" s="282">
        <v>0</v>
      </c>
      <c r="P51" s="283">
        <f t="shared" si="11"/>
        <v>0</v>
      </c>
      <c r="Q51" s="283">
        <f t="shared" si="12"/>
        <v>0</v>
      </c>
      <c r="R51" s="284"/>
      <c r="S51" s="284"/>
      <c r="T51" s="284"/>
      <c r="U51" s="284"/>
      <c r="V51" s="242">
        <f t="shared" si="3"/>
        <v>0</v>
      </c>
      <c r="W51" s="242">
        <f t="shared" si="4"/>
        <v>0</v>
      </c>
      <c r="X51" s="242">
        <f t="shared" si="5"/>
        <v>0</v>
      </c>
      <c r="Y51" s="242">
        <f t="shared" si="6"/>
        <v>0</v>
      </c>
    </row>
    <row r="52" spans="1:25" ht="42">
      <c r="A52" s="280"/>
      <c r="B52" s="280"/>
      <c r="C52" s="280"/>
      <c r="D52" s="280" t="s">
        <v>860</v>
      </c>
      <c r="E52" s="280"/>
      <c r="F52" s="280"/>
      <c r="G52" s="281" t="s">
        <v>925</v>
      </c>
      <c r="H52" s="282">
        <v>0</v>
      </c>
      <c r="I52" s="282">
        <v>0</v>
      </c>
      <c r="J52" s="282">
        <v>274082</v>
      </c>
      <c r="K52" s="282">
        <v>274082</v>
      </c>
      <c r="L52" s="282">
        <v>274082</v>
      </c>
      <c r="M52" s="282">
        <v>274081.91600000003</v>
      </c>
      <c r="N52" s="282">
        <f t="shared" ref="N52:N115" si="13">M52-O52</f>
        <v>1.2000000046100467E-2</v>
      </c>
      <c r="O52" s="282">
        <v>274081.90399999998</v>
      </c>
      <c r="P52" s="283">
        <f t="shared" ref="P52:P115" si="14">IF(K52=0,0,O52/K52*100)</f>
        <v>99.999964973985882</v>
      </c>
      <c r="Q52" s="283">
        <f t="shared" ref="Q52:Q83" si="15">IF(J52=0,0,O52/J52*100)</f>
        <v>99.999964973985882</v>
      </c>
      <c r="R52" s="285"/>
      <c r="S52" s="286"/>
      <c r="T52" s="285"/>
      <c r="U52" s="287"/>
      <c r="V52" s="242">
        <f t="shared" si="3"/>
        <v>0</v>
      </c>
      <c r="W52" s="242">
        <f t="shared" si="4"/>
        <v>0</v>
      </c>
      <c r="X52" s="242">
        <f t="shared" si="5"/>
        <v>0</v>
      </c>
      <c r="Y52" s="242">
        <f t="shared" si="6"/>
        <v>0</v>
      </c>
    </row>
    <row r="53" spans="1:25" s="647" customFormat="1">
      <c r="A53" s="643"/>
      <c r="B53" s="643"/>
      <c r="C53" s="643" t="s">
        <v>936</v>
      </c>
      <c r="D53" s="643"/>
      <c r="E53" s="643"/>
      <c r="F53" s="643"/>
      <c r="G53" s="644" t="s">
        <v>937</v>
      </c>
      <c r="H53" s="645">
        <v>9804437</v>
      </c>
      <c r="I53" s="645">
        <v>10408300.800000001</v>
      </c>
      <c r="J53" s="645">
        <v>10404300.800000001</v>
      </c>
      <c r="K53" s="645">
        <v>10404300.800000001</v>
      </c>
      <c r="L53" s="645">
        <v>10404300.800000001</v>
      </c>
      <c r="M53" s="645">
        <v>10398989.032</v>
      </c>
      <c r="N53" s="645">
        <f t="shared" si="13"/>
        <v>12.007999999448657</v>
      </c>
      <c r="O53" s="645">
        <v>10398977.024</v>
      </c>
      <c r="P53" s="646">
        <f t="shared" si="14"/>
        <v>99.948831006500697</v>
      </c>
      <c r="Q53" s="646">
        <f t="shared" si="15"/>
        <v>99.948831006500697</v>
      </c>
      <c r="V53" s="242">
        <f t="shared" si="3"/>
        <v>0</v>
      </c>
      <c r="W53" s="242">
        <f t="shared" si="4"/>
        <v>10404300.800000001</v>
      </c>
      <c r="X53" s="242">
        <f t="shared" si="5"/>
        <v>0</v>
      </c>
      <c r="Y53" s="242">
        <f t="shared" si="6"/>
        <v>0</v>
      </c>
    </row>
    <row r="54" spans="1:25" ht="21">
      <c r="A54" s="280"/>
      <c r="B54" s="280"/>
      <c r="C54" s="280"/>
      <c r="D54" s="280" t="s">
        <v>851</v>
      </c>
      <c r="E54" s="280"/>
      <c r="F54" s="280"/>
      <c r="G54" s="281" t="s">
        <v>964</v>
      </c>
      <c r="H54" s="282">
        <v>5584323</v>
      </c>
      <c r="I54" s="282">
        <v>5795087</v>
      </c>
      <c r="J54" s="282">
        <v>5795087</v>
      </c>
      <c r="K54" s="282">
        <v>5795087</v>
      </c>
      <c r="L54" s="282">
        <v>5795087</v>
      </c>
      <c r="M54" s="282">
        <v>5795083.6179</v>
      </c>
      <c r="N54" s="282">
        <f t="shared" si="13"/>
        <v>2.2999998182058334E-3</v>
      </c>
      <c r="O54" s="282">
        <v>5795083.6156000001</v>
      </c>
      <c r="P54" s="283">
        <f t="shared" si="14"/>
        <v>99.999941598806032</v>
      </c>
      <c r="Q54" s="283">
        <f t="shared" si="15"/>
        <v>99.999941598806032</v>
      </c>
      <c r="R54" s="284"/>
      <c r="S54" s="284"/>
      <c r="T54" s="284"/>
      <c r="U54" s="284"/>
      <c r="V54" s="242">
        <f t="shared" si="3"/>
        <v>0</v>
      </c>
      <c r="W54" s="242">
        <f t="shared" si="4"/>
        <v>0</v>
      </c>
      <c r="X54" s="242">
        <f t="shared" si="5"/>
        <v>0</v>
      </c>
      <c r="Y54" s="242">
        <f t="shared" si="6"/>
        <v>0</v>
      </c>
    </row>
    <row r="55" spans="1:25" ht="12.75">
      <c r="A55" s="280"/>
      <c r="B55" s="280"/>
      <c r="C55" s="280"/>
      <c r="D55" s="280"/>
      <c r="E55" s="280" t="s">
        <v>905</v>
      </c>
      <c r="F55" s="280"/>
      <c r="G55" s="281" t="s">
        <v>918</v>
      </c>
      <c r="H55" s="282">
        <v>0</v>
      </c>
      <c r="I55" s="282">
        <v>0</v>
      </c>
      <c r="J55" s="282">
        <v>5795087</v>
      </c>
      <c r="K55" s="282">
        <v>5795087</v>
      </c>
      <c r="L55" s="282">
        <v>5795087</v>
      </c>
      <c r="M55" s="282">
        <v>5795083.6178000001</v>
      </c>
      <c r="N55" s="282">
        <f t="shared" si="13"/>
        <v>2.2999998182058334E-3</v>
      </c>
      <c r="O55" s="282">
        <v>5795083.6155000003</v>
      </c>
      <c r="P55" s="283">
        <f t="shared" si="14"/>
        <v>99.999941597080436</v>
      </c>
      <c r="Q55" s="283">
        <f t="shared" si="15"/>
        <v>99.999941597080436</v>
      </c>
      <c r="R55" s="288"/>
      <c r="S55" s="286"/>
      <c r="T55" s="288"/>
      <c r="U55" s="289"/>
      <c r="V55" s="242">
        <f t="shared" si="3"/>
        <v>0</v>
      </c>
      <c r="W55" s="242">
        <f t="shared" si="4"/>
        <v>0</v>
      </c>
      <c r="X55" s="242">
        <f t="shared" si="5"/>
        <v>0</v>
      </c>
      <c r="Y55" s="242">
        <f t="shared" si="6"/>
        <v>0</v>
      </c>
    </row>
    <row r="56" spans="1:25" ht="12.75">
      <c r="A56" s="280"/>
      <c r="B56" s="280"/>
      <c r="C56" s="280"/>
      <c r="D56" s="280" t="s">
        <v>863</v>
      </c>
      <c r="E56" s="280"/>
      <c r="F56" s="280"/>
      <c r="G56" s="281" t="s">
        <v>965</v>
      </c>
      <c r="H56" s="282">
        <v>2736509</v>
      </c>
      <c r="I56" s="282">
        <v>2812575</v>
      </c>
      <c r="J56" s="282">
        <v>2812575</v>
      </c>
      <c r="K56" s="282">
        <v>2812575</v>
      </c>
      <c r="L56" s="282">
        <v>2812575</v>
      </c>
      <c r="M56" s="282">
        <v>2812555.9862000002</v>
      </c>
      <c r="N56" s="282">
        <f t="shared" si="13"/>
        <v>0.29200000036507845</v>
      </c>
      <c r="O56" s="282">
        <v>2812555.6941999998</v>
      </c>
      <c r="P56" s="283">
        <f t="shared" si="14"/>
        <v>99.999313589859824</v>
      </c>
      <c r="Q56" s="283">
        <f t="shared" si="15"/>
        <v>99.999313589859824</v>
      </c>
      <c r="R56" s="288"/>
      <c r="S56" s="286"/>
      <c r="T56" s="285"/>
      <c r="U56" s="287"/>
      <c r="V56" s="242">
        <f t="shared" si="3"/>
        <v>0</v>
      </c>
      <c r="W56" s="242">
        <f t="shared" si="4"/>
        <v>0</v>
      </c>
      <c r="X56" s="242">
        <f t="shared" si="5"/>
        <v>0</v>
      </c>
      <c r="Y56" s="242">
        <f t="shared" si="6"/>
        <v>0</v>
      </c>
    </row>
    <row r="57" spans="1:25">
      <c r="A57" s="280"/>
      <c r="B57" s="280"/>
      <c r="C57" s="280"/>
      <c r="D57" s="280" t="s">
        <v>864</v>
      </c>
      <c r="E57" s="280"/>
      <c r="F57" s="280"/>
      <c r="G57" s="281" t="s">
        <v>966</v>
      </c>
      <c r="H57" s="282">
        <v>1459546</v>
      </c>
      <c r="I57" s="282">
        <v>1755114</v>
      </c>
      <c r="J57" s="282">
        <v>1755114</v>
      </c>
      <c r="K57" s="282">
        <v>1755114</v>
      </c>
      <c r="L57" s="282">
        <v>1755114</v>
      </c>
      <c r="M57" s="282">
        <v>1751497.5745999999</v>
      </c>
      <c r="N57" s="282">
        <f t="shared" si="13"/>
        <v>11.663199999835342</v>
      </c>
      <c r="O57" s="282">
        <v>1751485.9114000001</v>
      </c>
      <c r="P57" s="283">
        <f t="shared" si="14"/>
        <v>99.793284732501704</v>
      </c>
      <c r="Q57" s="283">
        <f t="shared" si="15"/>
        <v>99.793284732501704</v>
      </c>
      <c r="R57" s="284"/>
      <c r="S57" s="284"/>
      <c r="T57" s="284"/>
      <c r="U57" s="284"/>
      <c r="V57" s="242">
        <f t="shared" si="3"/>
        <v>0</v>
      </c>
      <c r="W57" s="242">
        <f t="shared" si="4"/>
        <v>0</v>
      </c>
      <c r="X57" s="242">
        <f t="shared" si="5"/>
        <v>0</v>
      </c>
      <c r="Y57" s="242">
        <f t="shared" si="6"/>
        <v>0</v>
      </c>
    </row>
    <row r="58" spans="1:25" ht="12.75">
      <c r="A58" s="280"/>
      <c r="B58" s="280"/>
      <c r="C58" s="280"/>
      <c r="D58" s="280"/>
      <c r="E58" s="280" t="s">
        <v>858</v>
      </c>
      <c r="F58" s="280"/>
      <c r="G58" s="281" t="s">
        <v>921</v>
      </c>
      <c r="H58" s="282">
        <v>0</v>
      </c>
      <c r="I58" s="282">
        <v>0</v>
      </c>
      <c r="J58" s="282">
        <v>937988</v>
      </c>
      <c r="K58" s="282">
        <v>937988</v>
      </c>
      <c r="L58" s="282">
        <v>937988</v>
      </c>
      <c r="M58" s="282">
        <v>934373.19900000002</v>
      </c>
      <c r="N58" s="282">
        <f t="shared" si="13"/>
        <v>11.663000000058673</v>
      </c>
      <c r="O58" s="282">
        <v>934361.53599999996</v>
      </c>
      <c r="P58" s="283">
        <f t="shared" si="14"/>
        <v>99.61337842275168</v>
      </c>
      <c r="Q58" s="283">
        <f t="shared" si="15"/>
        <v>99.61337842275168</v>
      </c>
      <c r="R58" s="285"/>
      <c r="S58" s="286"/>
      <c r="T58" s="285"/>
      <c r="U58" s="290"/>
      <c r="V58" s="242">
        <f t="shared" si="3"/>
        <v>0</v>
      </c>
      <c r="W58" s="242">
        <f t="shared" si="4"/>
        <v>0</v>
      </c>
      <c r="X58" s="242">
        <f t="shared" si="5"/>
        <v>0</v>
      </c>
      <c r="Y58" s="242">
        <f t="shared" si="6"/>
        <v>0</v>
      </c>
    </row>
    <row r="59" spans="1:25" ht="12.75">
      <c r="A59" s="280"/>
      <c r="B59" s="280"/>
      <c r="C59" s="280"/>
      <c r="D59" s="280"/>
      <c r="E59" s="280" t="s">
        <v>905</v>
      </c>
      <c r="F59" s="280"/>
      <c r="G59" s="281" t="s">
        <v>918</v>
      </c>
      <c r="H59" s="282">
        <v>0</v>
      </c>
      <c r="I59" s="282">
        <v>0</v>
      </c>
      <c r="J59" s="282">
        <v>817126</v>
      </c>
      <c r="K59" s="282">
        <v>817126</v>
      </c>
      <c r="L59" s="282">
        <v>817126</v>
      </c>
      <c r="M59" s="282">
        <v>817124.37560000003</v>
      </c>
      <c r="N59" s="282">
        <f t="shared" si="13"/>
        <v>2.0000000949949026E-4</v>
      </c>
      <c r="O59" s="282">
        <v>817124.37540000002</v>
      </c>
      <c r="P59" s="283">
        <f t="shared" si="14"/>
        <v>99.999801181213172</v>
      </c>
      <c r="Q59" s="283">
        <f t="shared" si="15"/>
        <v>99.999801181213172</v>
      </c>
      <c r="R59" s="288"/>
      <c r="S59" s="286"/>
      <c r="T59" s="285"/>
      <c r="U59" s="290"/>
      <c r="V59" s="242">
        <f t="shared" si="3"/>
        <v>0</v>
      </c>
      <c r="W59" s="242">
        <f t="shared" si="4"/>
        <v>0</v>
      </c>
      <c r="X59" s="242">
        <f t="shared" si="5"/>
        <v>0</v>
      </c>
      <c r="Y59" s="242">
        <f t="shared" si="6"/>
        <v>0</v>
      </c>
    </row>
    <row r="60" spans="1:25" ht="52.5">
      <c r="A60" s="280"/>
      <c r="B60" s="280"/>
      <c r="C60" s="280"/>
      <c r="D60" s="280" t="s">
        <v>910</v>
      </c>
      <c r="E60" s="280"/>
      <c r="F60" s="280"/>
      <c r="G60" s="281" t="s">
        <v>967</v>
      </c>
      <c r="H60" s="282">
        <v>11622</v>
      </c>
      <c r="I60" s="282">
        <v>35920</v>
      </c>
      <c r="J60" s="282">
        <v>31920</v>
      </c>
      <c r="K60" s="282">
        <v>31920</v>
      </c>
      <c r="L60" s="282">
        <v>31920</v>
      </c>
      <c r="M60" s="282">
        <v>30313.551100000001</v>
      </c>
      <c r="N60" s="282">
        <f t="shared" si="13"/>
        <v>0</v>
      </c>
      <c r="O60" s="282">
        <v>30313.551100000001</v>
      </c>
      <c r="P60" s="283">
        <f t="shared" si="14"/>
        <v>94.967265350877199</v>
      </c>
      <c r="Q60" s="283">
        <f t="shared" si="15"/>
        <v>94.967265350877199</v>
      </c>
      <c r="R60" s="284"/>
      <c r="S60" s="284"/>
      <c r="T60" s="284"/>
      <c r="U60" s="284"/>
      <c r="V60" s="242">
        <f t="shared" si="3"/>
        <v>0</v>
      </c>
      <c r="W60" s="242">
        <f t="shared" si="4"/>
        <v>0</v>
      </c>
      <c r="X60" s="242">
        <f t="shared" si="5"/>
        <v>0</v>
      </c>
      <c r="Y60" s="242">
        <f t="shared" si="6"/>
        <v>0</v>
      </c>
    </row>
    <row r="61" spans="1:25" ht="12.75">
      <c r="A61" s="280"/>
      <c r="B61" s="280"/>
      <c r="C61" s="280"/>
      <c r="D61" s="280"/>
      <c r="E61" s="280" t="s">
        <v>858</v>
      </c>
      <c r="F61" s="280"/>
      <c r="G61" s="281" t="s">
        <v>921</v>
      </c>
      <c r="H61" s="282">
        <v>0</v>
      </c>
      <c r="I61" s="282">
        <v>0</v>
      </c>
      <c r="J61" s="282">
        <v>31920</v>
      </c>
      <c r="K61" s="282">
        <v>31920</v>
      </c>
      <c r="L61" s="282">
        <v>31920</v>
      </c>
      <c r="M61" s="282">
        <v>30313.551100000001</v>
      </c>
      <c r="N61" s="282">
        <f t="shared" si="13"/>
        <v>0</v>
      </c>
      <c r="O61" s="282">
        <v>30313.551100000001</v>
      </c>
      <c r="P61" s="283">
        <f t="shared" si="14"/>
        <v>94.967265350877199</v>
      </c>
      <c r="Q61" s="283">
        <f t="shared" si="15"/>
        <v>94.967265350877199</v>
      </c>
      <c r="R61" s="285"/>
      <c r="S61" s="286"/>
      <c r="T61" s="285"/>
      <c r="U61" s="287"/>
      <c r="V61" s="242">
        <f t="shared" si="3"/>
        <v>0</v>
      </c>
      <c r="W61" s="242">
        <f t="shared" si="4"/>
        <v>0</v>
      </c>
      <c r="X61" s="242">
        <f t="shared" si="5"/>
        <v>0</v>
      </c>
      <c r="Y61" s="242">
        <f t="shared" si="6"/>
        <v>0</v>
      </c>
    </row>
    <row r="62" spans="1:25" ht="21">
      <c r="A62" s="280"/>
      <c r="B62" s="280"/>
      <c r="C62" s="280"/>
      <c r="D62" s="280" t="s">
        <v>875</v>
      </c>
      <c r="E62" s="280"/>
      <c r="F62" s="280"/>
      <c r="G62" s="281" t="s">
        <v>968</v>
      </c>
      <c r="H62" s="282">
        <v>12437</v>
      </c>
      <c r="I62" s="282">
        <v>9604.7999999999993</v>
      </c>
      <c r="J62" s="282">
        <v>9604.7999999999993</v>
      </c>
      <c r="K62" s="282">
        <v>9604.7999999999993</v>
      </c>
      <c r="L62" s="282">
        <v>9604.7999999999993</v>
      </c>
      <c r="M62" s="282">
        <v>9538.3022000000001</v>
      </c>
      <c r="N62" s="282">
        <f t="shared" si="13"/>
        <v>5.0499999999374268E-2</v>
      </c>
      <c r="O62" s="282">
        <v>9538.2517000000007</v>
      </c>
      <c r="P62" s="283">
        <f t="shared" si="14"/>
        <v>99.30713497417959</v>
      </c>
      <c r="Q62" s="283">
        <f t="shared" si="15"/>
        <v>99.30713497417959</v>
      </c>
      <c r="R62" s="285"/>
      <c r="S62" s="286"/>
      <c r="T62" s="285"/>
      <c r="U62" s="290"/>
      <c r="V62" s="242">
        <f t="shared" si="3"/>
        <v>0</v>
      </c>
      <c r="W62" s="242">
        <f t="shared" si="4"/>
        <v>0</v>
      </c>
      <c r="X62" s="242">
        <f t="shared" si="5"/>
        <v>0</v>
      </c>
      <c r="Y62" s="242">
        <f t="shared" si="6"/>
        <v>0</v>
      </c>
    </row>
    <row r="63" spans="1:25" s="647" customFormat="1" ht="21">
      <c r="A63" s="643"/>
      <c r="B63" s="643"/>
      <c r="C63" s="643" t="s">
        <v>939</v>
      </c>
      <c r="D63" s="643"/>
      <c r="E63" s="643"/>
      <c r="F63" s="643"/>
      <c r="G63" s="644" t="s">
        <v>940</v>
      </c>
      <c r="H63" s="645">
        <v>1850201</v>
      </c>
      <c r="I63" s="645">
        <v>1936437</v>
      </c>
      <c r="J63" s="645">
        <v>1935553</v>
      </c>
      <c r="K63" s="645">
        <v>1935553</v>
      </c>
      <c r="L63" s="645">
        <v>1935553</v>
      </c>
      <c r="M63" s="645">
        <v>1933608.3639</v>
      </c>
      <c r="N63" s="645">
        <f t="shared" si="13"/>
        <v>11.270000000018626</v>
      </c>
      <c r="O63" s="645">
        <v>1933597.0939</v>
      </c>
      <c r="P63" s="646">
        <f t="shared" si="14"/>
        <v>99.898948460724142</v>
      </c>
      <c r="Q63" s="646">
        <f t="shared" si="15"/>
        <v>99.898948460724142</v>
      </c>
      <c r="V63" s="242">
        <f t="shared" si="3"/>
        <v>0</v>
      </c>
      <c r="W63" s="242">
        <f t="shared" si="4"/>
        <v>0</v>
      </c>
      <c r="X63" s="242">
        <f t="shared" si="5"/>
        <v>1935553</v>
      </c>
      <c r="Y63" s="242">
        <f t="shared" si="6"/>
        <v>0</v>
      </c>
    </row>
    <row r="64" spans="1:25" ht="21">
      <c r="A64" s="280"/>
      <c r="B64" s="280"/>
      <c r="C64" s="280"/>
      <c r="D64" s="280" t="s">
        <v>851</v>
      </c>
      <c r="E64" s="280"/>
      <c r="F64" s="280"/>
      <c r="G64" s="281" t="s">
        <v>964</v>
      </c>
      <c r="H64" s="282">
        <v>1007048</v>
      </c>
      <c r="I64" s="282">
        <v>1096326</v>
      </c>
      <c r="J64" s="282">
        <v>1096326</v>
      </c>
      <c r="K64" s="282">
        <v>1096326</v>
      </c>
      <c r="L64" s="282">
        <v>1096326</v>
      </c>
      <c r="M64" s="282">
        <v>1096326</v>
      </c>
      <c r="N64" s="282">
        <f t="shared" si="13"/>
        <v>0</v>
      </c>
      <c r="O64" s="282">
        <v>1096326</v>
      </c>
      <c r="P64" s="283">
        <f t="shared" si="14"/>
        <v>100</v>
      </c>
      <c r="Q64" s="283">
        <f t="shared" si="15"/>
        <v>100</v>
      </c>
      <c r="R64" s="284"/>
      <c r="S64" s="284"/>
      <c r="T64" s="284"/>
      <c r="U64" s="284"/>
      <c r="V64" s="242">
        <f t="shared" si="3"/>
        <v>0</v>
      </c>
      <c r="W64" s="242">
        <f t="shared" si="4"/>
        <v>0</v>
      </c>
      <c r="X64" s="242">
        <f t="shared" si="5"/>
        <v>0</v>
      </c>
      <c r="Y64" s="242">
        <f t="shared" si="6"/>
        <v>0</v>
      </c>
    </row>
    <row r="65" spans="1:25" ht="12.75">
      <c r="A65" s="280"/>
      <c r="B65" s="280"/>
      <c r="C65" s="280"/>
      <c r="D65" s="280"/>
      <c r="E65" s="280" t="s">
        <v>905</v>
      </c>
      <c r="F65" s="280"/>
      <c r="G65" s="281" t="s">
        <v>918</v>
      </c>
      <c r="H65" s="282">
        <v>0</v>
      </c>
      <c r="I65" s="282">
        <v>0</v>
      </c>
      <c r="J65" s="282">
        <v>1096326</v>
      </c>
      <c r="K65" s="282">
        <v>1096326</v>
      </c>
      <c r="L65" s="282">
        <v>1096326</v>
      </c>
      <c r="M65" s="282">
        <v>1096326</v>
      </c>
      <c r="N65" s="282">
        <f t="shared" si="13"/>
        <v>0</v>
      </c>
      <c r="O65" s="282">
        <v>1096326</v>
      </c>
      <c r="P65" s="283">
        <f t="shared" si="14"/>
        <v>100</v>
      </c>
      <c r="Q65" s="283">
        <f t="shared" si="15"/>
        <v>100</v>
      </c>
      <c r="R65" s="285"/>
      <c r="S65" s="286"/>
      <c r="T65" s="288"/>
      <c r="U65" s="289"/>
      <c r="V65" s="242">
        <f t="shared" si="3"/>
        <v>0</v>
      </c>
      <c r="W65" s="242">
        <f t="shared" si="4"/>
        <v>0</v>
      </c>
      <c r="X65" s="242">
        <f t="shared" si="5"/>
        <v>0</v>
      </c>
      <c r="Y65" s="242">
        <f t="shared" si="6"/>
        <v>0</v>
      </c>
    </row>
    <row r="66" spans="1:25" ht="12.75">
      <c r="A66" s="280"/>
      <c r="B66" s="280"/>
      <c r="C66" s="280"/>
      <c r="D66" s="280" t="s">
        <v>863</v>
      </c>
      <c r="E66" s="280"/>
      <c r="F66" s="280"/>
      <c r="G66" s="281" t="s">
        <v>965</v>
      </c>
      <c r="H66" s="282">
        <v>499485</v>
      </c>
      <c r="I66" s="282">
        <v>494524</v>
      </c>
      <c r="J66" s="282">
        <v>494524</v>
      </c>
      <c r="K66" s="282">
        <v>494524</v>
      </c>
      <c r="L66" s="282">
        <v>494524</v>
      </c>
      <c r="M66" s="282">
        <v>494506.23989999999</v>
      </c>
      <c r="N66" s="282">
        <f t="shared" si="13"/>
        <v>11.269999999960419</v>
      </c>
      <c r="O66" s="282">
        <v>494494.96990000003</v>
      </c>
      <c r="P66" s="283">
        <f t="shared" si="14"/>
        <v>99.994129688346774</v>
      </c>
      <c r="Q66" s="283">
        <f t="shared" si="15"/>
        <v>99.994129688346774</v>
      </c>
      <c r="R66" s="285"/>
      <c r="S66" s="286"/>
      <c r="T66" s="285"/>
      <c r="U66" s="287"/>
      <c r="V66" s="242">
        <f t="shared" si="3"/>
        <v>0</v>
      </c>
      <c r="W66" s="242">
        <f t="shared" si="4"/>
        <v>0</v>
      </c>
      <c r="X66" s="242">
        <f t="shared" si="5"/>
        <v>0</v>
      </c>
      <c r="Y66" s="242">
        <f t="shared" si="6"/>
        <v>0</v>
      </c>
    </row>
    <row r="67" spans="1:25">
      <c r="A67" s="280"/>
      <c r="B67" s="280"/>
      <c r="C67" s="280"/>
      <c r="D67" s="280" t="s">
        <v>864</v>
      </c>
      <c r="E67" s="280"/>
      <c r="F67" s="280"/>
      <c r="G67" s="281" t="s">
        <v>966</v>
      </c>
      <c r="H67" s="282">
        <v>341749</v>
      </c>
      <c r="I67" s="282">
        <v>341749</v>
      </c>
      <c r="J67" s="282">
        <v>341749</v>
      </c>
      <c r="K67" s="282">
        <v>341749</v>
      </c>
      <c r="L67" s="282">
        <v>341749</v>
      </c>
      <c r="M67" s="282">
        <v>339824.33919999999</v>
      </c>
      <c r="N67" s="282">
        <f t="shared" si="13"/>
        <v>0</v>
      </c>
      <c r="O67" s="282">
        <v>339824.33919999999</v>
      </c>
      <c r="P67" s="283">
        <f t="shared" si="14"/>
        <v>99.436820356460444</v>
      </c>
      <c r="Q67" s="283">
        <f t="shared" si="15"/>
        <v>99.436820356460444</v>
      </c>
      <c r="R67" s="284"/>
      <c r="S67" s="284"/>
      <c r="T67" s="284"/>
      <c r="U67" s="284"/>
      <c r="V67" s="242">
        <f t="shared" si="3"/>
        <v>0</v>
      </c>
      <c r="W67" s="242">
        <f t="shared" si="4"/>
        <v>0</v>
      </c>
      <c r="X67" s="242">
        <f t="shared" si="5"/>
        <v>0</v>
      </c>
      <c r="Y67" s="242">
        <f t="shared" si="6"/>
        <v>0</v>
      </c>
    </row>
    <row r="68" spans="1:25" ht="12.75">
      <c r="A68" s="280"/>
      <c r="B68" s="280"/>
      <c r="C68" s="280"/>
      <c r="D68" s="280"/>
      <c r="E68" s="280" t="s">
        <v>858</v>
      </c>
      <c r="F68" s="280"/>
      <c r="G68" s="281" t="s">
        <v>921</v>
      </c>
      <c r="H68" s="282">
        <v>0</v>
      </c>
      <c r="I68" s="282">
        <v>0</v>
      </c>
      <c r="J68" s="282">
        <v>112141</v>
      </c>
      <c r="K68" s="282">
        <v>112141</v>
      </c>
      <c r="L68" s="282">
        <v>112141</v>
      </c>
      <c r="M68" s="282">
        <v>110216.51</v>
      </c>
      <c r="N68" s="282">
        <f t="shared" si="13"/>
        <v>0</v>
      </c>
      <c r="O68" s="282">
        <v>110216.51</v>
      </c>
      <c r="P68" s="283">
        <f t="shared" si="14"/>
        <v>98.283865847459893</v>
      </c>
      <c r="Q68" s="283">
        <f t="shared" si="15"/>
        <v>98.283865847459893</v>
      </c>
      <c r="R68" s="285"/>
      <c r="S68" s="286"/>
      <c r="T68" s="285"/>
      <c r="U68" s="291"/>
      <c r="V68" s="242">
        <f t="shared" si="3"/>
        <v>0</v>
      </c>
      <c r="W68" s="242">
        <f t="shared" si="4"/>
        <v>0</v>
      </c>
      <c r="X68" s="242">
        <f t="shared" si="5"/>
        <v>0</v>
      </c>
      <c r="Y68" s="242">
        <f t="shared" si="6"/>
        <v>0</v>
      </c>
    </row>
    <row r="69" spans="1:25" ht="12.75">
      <c r="A69" s="280"/>
      <c r="B69" s="280"/>
      <c r="C69" s="280"/>
      <c r="D69" s="280"/>
      <c r="E69" s="280" t="s">
        <v>905</v>
      </c>
      <c r="F69" s="280"/>
      <c r="G69" s="281" t="s">
        <v>918</v>
      </c>
      <c r="H69" s="282">
        <v>0</v>
      </c>
      <c r="I69" s="282">
        <v>0</v>
      </c>
      <c r="J69" s="282">
        <v>229608</v>
      </c>
      <c r="K69" s="282">
        <v>229608</v>
      </c>
      <c r="L69" s="282">
        <v>229608</v>
      </c>
      <c r="M69" s="282">
        <v>229607.82917000001</v>
      </c>
      <c r="N69" s="282">
        <f t="shared" si="13"/>
        <v>0</v>
      </c>
      <c r="O69" s="282">
        <v>229607.82917000001</v>
      </c>
      <c r="P69" s="283">
        <f t="shared" si="14"/>
        <v>99.999925599282264</v>
      </c>
      <c r="Q69" s="283">
        <f t="shared" si="15"/>
        <v>99.999925599282264</v>
      </c>
      <c r="R69" s="285"/>
      <c r="S69" s="286"/>
      <c r="T69" s="285"/>
      <c r="U69" s="291"/>
      <c r="V69" s="242">
        <f t="shared" si="3"/>
        <v>0</v>
      </c>
      <c r="W69" s="242">
        <f t="shared" si="4"/>
        <v>0</v>
      </c>
      <c r="X69" s="242">
        <f t="shared" si="5"/>
        <v>0</v>
      </c>
      <c r="Y69" s="242">
        <f t="shared" si="6"/>
        <v>0</v>
      </c>
    </row>
    <row r="70" spans="1:25" ht="52.5">
      <c r="A70" s="280"/>
      <c r="B70" s="280"/>
      <c r="C70" s="280"/>
      <c r="D70" s="280" t="s">
        <v>910</v>
      </c>
      <c r="E70" s="280"/>
      <c r="F70" s="280"/>
      <c r="G70" s="281" t="s">
        <v>967</v>
      </c>
      <c r="H70" s="282">
        <v>0</v>
      </c>
      <c r="I70" s="282">
        <v>1919</v>
      </c>
      <c r="J70" s="282">
        <v>1035</v>
      </c>
      <c r="K70" s="282">
        <v>1035</v>
      </c>
      <c r="L70" s="282">
        <v>1035</v>
      </c>
      <c r="M70" s="282">
        <v>1033.9149</v>
      </c>
      <c r="N70" s="282">
        <f t="shared" si="13"/>
        <v>0</v>
      </c>
      <c r="O70" s="282">
        <v>1033.9149</v>
      </c>
      <c r="P70" s="283">
        <f t="shared" si="14"/>
        <v>99.895159420289858</v>
      </c>
      <c r="Q70" s="283">
        <f t="shared" si="15"/>
        <v>99.895159420289858</v>
      </c>
      <c r="R70" s="284"/>
      <c r="S70" s="284"/>
      <c r="T70" s="284"/>
      <c r="U70" s="284"/>
      <c r="V70" s="242">
        <f t="shared" si="3"/>
        <v>0</v>
      </c>
      <c r="W70" s="242">
        <f t="shared" si="4"/>
        <v>0</v>
      </c>
      <c r="X70" s="242">
        <f t="shared" si="5"/>
        <v>0</v>
      </c>
      <c r="Y70" s="242">
        <f t="shared" si="6"/>
        <v>0</v>
      </c>
    </row>
    <row r="71" spans="1:25" ht="12.75">
      <c r="A71" s="280"/>
      <c r="B71" s="280"/>
      <c r="C71" s="280"/>
      <c r="D71" s="280"/>
      <c r="E71" s="280" t="s">
        <v>858</v>
      </c>
      <c r="F71" s="280"/>
      <c r="G71" s="281" t="s">
        <v>921</v>
      </c>
      <c r="H71" s="282">
        <v>0</v>
      </c>
      <c r="I71" s="282">
        <v>0</v>
      </c>
      <c r="J71" s="282">
        <v>1035</v>
      </c>
      <c r="K71" s="282">
        <v>1035</v>
      </c>
      <c r="L71" s="282">
        <v>1035</v>
      </c>
      <c r="M71" s="282">
        <v>1033.91488</v>
      </c>
      <c r="N71" s="282">
        <f t="shared" si="13"/>
        <v>0</v>
      </c>
      <c r="O71" s="282">
        <v>1033.91488</v>
      </c>
      <c r="P71" s="283">
        <f t="shared" si="14"/>
        <v>99.895157487922717</v>
      </c>
      <c r="Q71" s="283">
        <f t="shared" si="15"/>
        <v>99.895157487922717</v>
      </c>
      <c r="R71" s="285"/>
      <c r="S71" s="286"/>
      <c r="T71" s="285"/>
      <c r="U71" s="287"/>
      <c r="V71" s="242">
        <f t="shared" si="3"/>
        <v>0</v>
      </c>
      <c r="W71" s="242">
        <f t="shared" si="4"/>
        <v>0</v>
      </c>
      <c r="X71" s="242">
        <f t="shared" si="5"/>
        <v>0</v>
      </c>
      <c r="Y71" s="242">
        <f t="shared" si="6"/>
        <v>0</v>
      </c>
    </row>
    <row r="72" spans="1:25" ht="21">
      <c r="A72" s="280"/>
      <c r="B72" s="280"/>
      <c r="C72" s="280"/>
      <c r="D72" s="280" t="s">
        <v>875</v>
      </c>
      <c r="E72" s="280"/>
      <c r="F72" s="280"/>
      <c r="G72" s="281" t="s">
        <v>968</v>
      </c>
      <c r="H72" s="282">
        <v>1919</v>
      </c>
      <c r="I72" s="282">
        <v>1919</v>
      </c>
      <c r="J72" s="282">
        <v>1919</v>
      </c>
      <c r="K72" s="282">
        <v>1919</v>
      </c>
      <c r="L72" s="282">
        <v>1919</v>
      </c>
      <c r="M72" s="282">
        <v>1917.87</v>
      </c>
      <c r="N72" s="282">
        <f t="shared" si="13"/>
        <v>0</v>
      </c>
      <c r="O72" s="282">
        <v>1917.87</v>
      </c>
      <c r="P72" s="283">
        <f t="shared" si="14"/>
        <v>99.941115164147988</v>
      </c>
      <c r="Q72" s="283">
        <f t="shared" si="15"/>
        <v>99.941115164147988</v>
      </c>
      <c r="R72" s="285"/>
      <c r="S72" s="286"/>
      <c r="T72" s="285"/>
      <c r="U72" s="290"/>
      <c r="V72" s="242">
        <f t="shared" si="3"/>
        <v>0</v>
      </c>
      <c r="W72" s="242">
        <f t="shared" si="4"/>
        <v>0</v>
      </c>
      <c r="X72" s="242">
        <f t="shared" si="5"/>
        <v>0</v>
      </c>
      <c r="Y72" s="242">
        <f t="shared" si="6"/>
        <v>0</v>
      </c>
    </row>
    <row r="73" spans="1:25" s="1242" customFormat="1" ht="21">
      <c r="A73" s="1236"/>
      <c r="B73" s="1236"/>
      <c r="C73" s="1236" t="s">
        <v>927</v>
      </c>
      <c r="D73" s="1236"/>
      <c r="E73" s="1236"/>
      <c r="F73" s="1236"/>
      <c r="G73" s="1237" t="s">
        <v>928</v>
      </c>
      <c r="H73" s="1238">
        <v>0</v>
      </c>
      <c r="I73" s="1238">
        <v>10530</v>
      </c>
      <c r="J73" s="1238">
        <v>10530</v>
      </c>
      <c r="K73" s="1238">
        <v>10530</v>
      </c>
      <c r="L73" s="1238">
        <v>10530</v>
      </c>
      <c r="M73" s="1238">
        <v>10530</v>
      </c>
      <c r="N73" s="1238">
        <f t="shared" si="13"/>
        <v>0</v>
      </c>
      <c r="O73" s="1238">
        <v>10530</v>
      </c>
      <c r="P73" s="1239">
        <f t="shared" si="14"/>
        <v>100</v>
      </c>
      <c r="Q73" s="1239">
        <f t="shared" si="15"/>
        <v>100</v>
      </c>
      <c r="V73" s="1242">
        <f t="shared" si="3"/>
        <v>0</v>
      </c>
      <c r="W73" s="1242">
        <f t="shared" si="4"/>
        <v>0</v>
      </c>
      <c r="X73" s="1242">
        <f t="shared" si="5"/>
        <v>0</v>
      </c>
      <c r="Y73" s="1242">
        <f t="shared" si="6"/>
        <v>0</v>
      </c>
    </row>
    <row r="74" spans="1:25" ht="42">
      <c r="A74" s="280"/>
      <c r="B74" s="280"/>
      <c r="C74" s="280"/>
      <c r="D74" s="280" t="s">
        <v>897</v>
      </c>
      <c r="E74" s="280"/>
      <c r="F74" s="280"/>
      <c r="G74" s="281" t="s">
        <v>969</v>
      </c>
      <c r="H74" s="282">
        <v>0</v>
      </c>
      <c r="I74" s="282">
        <v>10530</v>
      </c>
      <c r="J74" s="282">
        <v>10530</v>
      </c>
      <c r="K74" s="282">
        <v>10530</v>
      </c>
      <c r="L74" s="282">
        <v>10530</v>
      </c>
      <c r="M74" s="282">
        <v>10530</v>
      </c>
      <c r="N74" s="282">
        <f t="shared" si="13"/>
        <v>0</v>
      </c>
      <c r="O74" s="282">
        <v>10530</v>
      </c>
      <c r="P74" s="283">
        <f t="shared" si="14"/>
        <v>100</v>
      </c>
      <c r="Q74" s="283">
        <f t="shared" si="15"/>
        <v>100</v>
      </c>
      <c r="R74" s="285"/>
      <c r="S74" s="286"/>
      <c r="T74" s="285"/>
      <c r="U74" s="287"/>
      <c r="V74" s="242">
        <f t="shared" si="3"/>
        <v>0</v>
      </c>
      <c r="W74" s="242">
        <f t="shared" si="4"/>
        <v>0</v>
      </c>
      <c r="X74" s="242">
        <f t="shared" si="5"/>
        <v>0</v>
      </c>
      <c r="Y74" s="242">
        <f t="shared" si="6"/>
        <v>0</v>
      </c>
    </row>
    <row r="75" spans="1:25" s="1242" customFormat="1" ht="21">
      <c r="A75" s="1236"/>
      <c r="B75" s="1236"/>
      <c r="C75" s="1236" t="s">
        <v>929</v>
      </c>
      <c r="D75" s="1236"/>
      <c r="E75" s="1236"/>
      <c r="F75" s="1236"/>
      <c r="G75" s="1237" t="s">
        <v>930</v>
      </c>
      <c r="H75" s="1238">
        <v>0</v>
      </c>
      <c r="I75" s="1238">
        <v>110814</v>
      </c>
      <c r="J75" s="1238">
        <v>110814</v>
      </c>
      <c r="K75" s="1238">
        <v>110814</v>
      </c>
      <c r="L75" s="1238">
        <v>110814</v>
      </c>
      <c r="M75" s="1238">
        <v>110814</v>
      </c>
      <c r="N75" s="1238">
        <f t="shared" si="13"/>
        <v>0</v>
      </c>
      <c r="O75" s="1238">
        <v>110814</v>
      </c>
      <c r="P75" s="1239">
        <f t="shared" si="14"/>
        <v>100</v>
      </c>
      <c r="Q75" s="1239">
        <f t="shared" si="15"/>
        <v>100</v>
      </c>
      <c r="V75" s="1242">
        <f t="shared" si="3"/>
        <v>0</v>
      </c>
      <c r="W75" s="1242">
        <f t="shared" si="4"/>
        <v>0</v>
      </c>
      <c r="X75" s="1242">
        <f t="shared" si="5"/>
        <v>0</v>
      </c>
      <c r="Y75" s="1242">
        <f t="shared" si="6"/>
        <v>0</v>
      </c>
    </row>
    <row r="76" spans="1:25" ht="42">
      <c r="A76" s="280"/>
      <c r="B76" s="280"/>
      <c r="C76" s="280"/>
      <c r="D76" s="280" t="s">
        <v>882</v>
      </c>
      <c r="E76" s="280"/>
      <c r="F76" s="280"/>
      <c r="G76" s="281" t="s">
        <v>969</v>
      </c>
      <c r="H76" s="282">
        <v>0</v>
      </c>
      <c r="I76" s="282">
        <v>110814</v>
      </c>
      <c r="J76" s="282">
        <v>110814</v>
      </c>
      <c r="K76" s="282">
        <v>110814</v>
      </c>
      <c r="L76" s="282">
        <v>110814</v>
      </c>
      <c r="M76" s="282">
        <v>110814</v>
      </c>
      <c r="N76" s="282">
        <f t="shared" si="13"/>
        <v>0</v>
      </c>
      <c r="O76" s="282">
        <v>110814</v>
      </c>
      <c r="P76" s="283">
        <f t="shared" si="14"/>
        <v>100</v>
      </c>
      <c r="Q76" s="283">
        <f t="shared" si="15"/>
        <v>100</v>
      </c>
      <c r="R76" s="288"/>
      <c r="S76" s="286"/>
      <c r="T76" s="285"/>
      <c r="U76" s="287"/>
      <c r="V76" s="242">
        <f t="shared" si="3"/>
        <v>0</v>
      </c>
      <c r="W76" s="242">
        <f t="shared" si="4"/>
        <v>0</v>
      </c>
      <c r="X76" s="242">
        <f t="shared" si="5"/>
        <v>0</v>
      </c>
      <c r="Y76" s="242">
        <f t="shared" si="6"/>
        <v>0</v>
      </c>
    </row>
    <row r="77" spans="1:25" s="1242" customFormat="1" ht="21">
      <c r="A77" s="1236"/>
      <c r="B77" s="1236"/>
      <c r="C77" s="1236" t="s">
        <v>931</v>
      </c>
      <c r="D77" s="1236"/>
      <c r="E77" s="1236"/>
      <c r="F77" s="1236"/>
      <c r="G77" s="1237" t="s">
        <v>932</v>
      </c>
      <c r="H77" s="1238">
        <v>0</v>
      </c>
      <c r="I77" s="1238">
        <v>28656</v>
      </c>
      <c r="J77" s="1238">
        <v>28656</v>
      </c>
      <c r="K77" s="1238">
        <v>28656</v>
      </c>
      <c r="L77" s="1238">
        <v>28656</v>
      </c>
      <c r="M77" s="1238">
        <v>28656</v>
      </c>
      <c r="N77" s="1238">
        <f t="shared" si="13"/>
        <v>0</v>
      </c>
      <c r="O77" s="1238">
        <v>28656</v>
      </c>
      <c r="P77" s="1239">
        <f t="shared" si="14"/>
        <v>100</v>
      </c>
      <c r="Q77" s="1239">
        <f t="shared" si="15"/>
        <v>100</v>
      </c>
      <c r="V77" s="1242">
        <f t="shared" ref="V77:V140" si="16">IF(C77="226",J77,0)</f>
        <v>0</v>
      </c>
      <c r="W77" s="1242">
        <f t="shared" ref="W77:W140" si="17">IF(C77="253",J77,0)</f>
        <v>0</v>
      </c>
      <c r="X77" s="1242">
        <f t="shared" ref="X77:X140" si="18">IF(C77="353",J77,0)</f>
        <v>0</v>
      </c>
      <c r="Y77" s="1242">
        <f t="shared" ref="Y77:Y140" si="19">IF(C77="694",J77,0)</f>
        <v>0</v>
      </c>
    </row>
    <row r="78" spans="1:25" ht="42">
      <c r="A78" s="280"/>
      <c r="B78" s="280"/>
      <c r="C78" s="280"/>
      <c r="D78" s="280" t="s">
        <v>873</v>
      </c>
      <c r="E78" s="280"/>
      <c r="F78" s="280"/>
      <c r="G78" s="281" t="s">
        <v>969</v>
      </c>
      <c r="H78" s="282">
        <v>0</v>
      </c>
      <c r="I78" s="282">
        <v>28656</v>
      </c>
      <c r="J78" s="282">
        <v>28656</v>
      </c>
      <c r="K78" s="282">
        <v>28656</v>
      </c>
      <c r="L78" s="282">
        <v>28656</v>
      </c>
      <c r="M78" s="282">
        <v>28656</v>
      </c>
      <c r="N78" s="282">
        <f t="shared" si="13"/>
        <v>0</v>
      </c>
      <c r="O78" s="282">
        <v>28656</v>
      </c>
      <c r="P78" s="283">
        <f t="shared" si="14"/>
        <v>100</v>
      </c>
      <c r="Q78" s="283">
        <f t="shared" si="15"/>
        <v>100</v>
      </c>
      <c r="R78" s="285"/>
      <c r="S78" s="286"/>
      <c r="T78" s="285"/>
      <c r="U78" s="287"/>
      <c r="V78" s="242">
        <f t="shared" si="16"/>
        <v>0</v>
      </c>
      <c r="W78" s="242">
        <f t="shared" si="17"/>
        <v>0</v>
      </c>
      <c r="X78" s="242">
        <f t="shared" si="18"/>
        <v>0</v>
      </c>
      <c r="Y78" s="242">
        <f t="shared" si="19"/>
        <v>0</v>
      </c>
    </row>
    <row r="79" spans="1:25" ht="21">
      <c r="A79" s="280"/>
      <c r="B79" s="280"/>
      <c r="C79" s="280" t="s">
        <v>874</v>
      </c>
      <c r="D79" s="280"/>
      <c r="E79" s="280"/>
      <c r="F79" s="280"/>
      <c r="G79" s="281" t="s">
        <v>63</v>
      </c>
      <c r="H79" s="282">
        <v>4494176</v>
      </c>
      <c r="I79" s="282">
        <v>4706722</v>
      </c>
      <c r="J79" s="282">
        <v>4706722</v>
      </c>
      <c r="K79" s="282">
        <v>4706722</v>
      </c>
      <c r="L79" s="282">
        <v>4706722</v>
      </c>
      <c r="M79" s="282">
        <v>4706722</v>
      </c>
      <c r="N79" s="282">
        <f t="shared" si="13"/>
        <v>76.25069999974221</v>
      </c>
      <c r="O79" s="282">
        <v>4706645.7493000003</v>
      </c>
      <c r="P79" s="283">
        <f t="shared" si="14"/>
        <v>99.998379961680342</v>
      </c>
      <c r="Q79" s="283">
        <f t="shared" si="15"/>
        <v>99.998379961680342</v>
      </c>
      <c r="R79" s="284"/>
      <c r="S79" s="284"/>
      <c r="T79" s="284"/>
      <c r="U79" s="284"/>
      <c r="V79" s="242">
        <f t="shared" si="16"/>
        <v>0</v>
      </c>
      <c r="W79" s="242">
        <f t="shared" si="17"/>
        <v>0</v>
      </c>
      <c r="X79" s="242">
        <f t="shared" si="18"/>
        <v>0</v>
      </c>
      <c r="Y79" s="242">
        <f t="shared" si="19"/>
        <v>4706722</v>
      </c>
    </row>
    <row r="80" spans="1:25" ht="21">
      <c r="A80" s="280"/>
      <c r="B80" s="280"/>
      <c r="C80" s="280"/>
      <c r="D80" s="280" t="s">
        <v>850</v>
      </c>
      <c r="E80" s="280"/>
      <c r="F80" s="280"/>
      <c r="G80" s="281" t="s">
        <v>970</v>
      </c>
      <c r="H80" s="282">
        <v>121090</v>
      </c>
      <c r="I80" s="282">
        <v>121090</v>
      </c>
      <c r="J80" s="282">
        <v>121090</v>
      </c>
      <c r="K80" s="282">
        <v>121090</v>
      </c>
      <c r="L80" s="282">
        <v>121090</v>
      </c>
      <c r="M80" s="282">
        <v>121090</v>
      </c>
      <c r="N80" s="282">
        <f t="shared" si="13"/>
        <v>0</v>
      </c>
      <c r="O80" s="282">
        <v>121090</v>
      </c>
      <c r="P80" s="283">
        <f t="shared" si="14"/>
        <v>100</v>
      </c>
      <c r="Q80" s="283">
        <f t="shared" si="15"/>
        <v>100</v>
      </c>
      <c r="R80" s="285"/>
      <c r="S80" s="286"/>
      <c r="T80" s="292"/>
      <c r="U80" s="287"/>
      <c r="V80" s="242">
        <f t="shared" si="16"/>
        <v>0</v>
      </c>
      <c r="W80" s="242">
        <f t="shared" si="17"/>
        <v>0</v>
      </c>
      <c r="X80" s="242">
        <f t="shared" si="18"/>
        <v>0</v>
      </c>
      <c r="Y80" s="242">
        <f t="shared" si="19"/>
        <v>0</v>
      </c>
    </row>
    <row r="81" spans="1:25" ht="21">
      <c r="A81" s="280"/>
      <c r="B81" s="280"/>
      <c r="C81" s="280"/>
      <c r="D81" s="280" t="s">
        <v>862</v>
      </c>
      <c r="E81" s="280"/>
      <c r="F81" s="280"/>
      <c r="G81" s="281" t="s">
        <v>971</v>
      </c>
      <c r="H81" s="282">
        <v>4373086</v>
      </c>
      <c r="I81" s="282">
        <v>4585632</v>
      </c>
      <c r="J81" s="282">
        <v>4585632</v>
      </c>
      <c r="K81" s="282">
        <v>4585632</v>
      </c>
      <c r="L81" s="282">
        <v>4585632</v>
      </c>
      <c r="M81" s="282">
        <v>4585632</v>
      </c>
      <c r="N81" s="282">
        <f t="shared" si="13"/>
        <v>76.25069999974221</v>
      </c>
      <c r="O81" s="282">
        <v>4585555.7493000003</v>
      </c>
      <c r="P81" s="283">
        <f t="shared" si="14"/>
        <v>99.998337182312056</v>
      </c>
      <c r="Q81" s="283">
        <f t="shared" si="15"/>
        <v>99.998337182312056</v>
      </c>
      <c r="R81" s="285" t="s">
        <v>340</v>
      </c>
      <c r="S81" s="286" t="s">
        <v>140</v>
      </c>
      <c r="T81" s="285"/>
      <c r="U81" s="287"/>
      <c r="V81" s="242">
        <f t="shared" si="16"/>
        <v>0</v>
      </c>
      <c r="W81" s="242">
        <f t="shared" si="17"/>
        <v>0</v>
      </c>
      <c r="X81" s="242">
        <f t="shared" si="18"/>
        <v>0</v>
      </c>
      <c r="Y81" s="242">
        <f t="shared" si="19"/>
        <v>0</v>
      </c>
    </row>
    <row r="82" spans="1:25">
      <c r="A82" s="280"/>
      <c r="B82" s="280" t="s">
        <v>899</v>
      </c>
      <c r="C82" s="280"/>
      <c r="D82" s="280"/>
      <c r="E82" s="280"/>
      <c r="F82" s="280"/>
      <c r="G82" s="281" t="s">
        <v>972</v>
      </c>
      <c r="H82" s="282">
        <v>106918463</v>
      </c>
      <c r="I82" s="282">
        <v>124041238.7</v>
      </c>
      <c r="J82" s="282">
        <v>124041238.7</v>
      </c>
      <c r="K82" s="282">
        <v>124041238.7</v>
      </c>
      <c r="L82" s="282">
        <v>124041238.7</v>
      </c>
      <c r="M82" s="282">
        <v>124020044.1408</v>
      </c>
      <c r="N82" s="282">
        <f t="shared" si="13"/>
        <v>1319.7706999927759</v>
      </c>
      <c r="O82" s="282">
        <v>124018724.37010001</v>
      </c>
      <c r="P82" s="283">
        <f t="shared" si="14"/>
        <v>99.981849318713714</v>
      </c>
      <c r="Q82" s="283">
        <f t="shared" si="15"/>
        <v>99.981849318713714</v>
      </c>
      <c r="R82" s="284"/>
      <c r="S82" s="284"/>
      <c r="T82" s="284"/>
      <c r="U82" s="284"/>
      <c r="V82" s="242">
        <f t="shared" si="16"/>
        <v>0</v>
      </c>
      <c r="W82" s="242">
        <f t="shared" si="17"/>
        <v>0</v>
      </c>
      <c r="X82" s="242">
        <f t="shared" si="18"/>
        <v>0</v>
      </c>
      <c r="Y82" s="242">
        <f t="shared" si="19"/>
        <v>0</v>
      </c>
    </row>
    <row r="83" spans="1:25" s="647" customFormat="1">
      <c r="A83" s="643"/>
      <c r="B83" s="643"/>
      <c r="C83" s="643" t="s">
        <v>936</v>
      </c>
      <c r="D83" s="643"/>
      <c r="E83" s="643"/>
      <c r="F83" s="643"/>
      <c r="G83" s="644" t="s">
        <v>937</v>
      </c>
      <c r="H83" s="645">
        <v>90047790</v>
      </c>
      <c r="I83" s="645">
        <v>106087717.7</v>
      </c>
      <c r="J83" s="645">
        <v>106087717.7</v>
      </c>
      <c r="K83" s="645">
        <v>106087717.7</v>
      </c>
      <c r="L83" s="645">
        <v>106087717.7</v>
      </c>
      <c r="M83" s="645">
        <v>106070434.16240001</v>
      </c>
      <c r="N83" s="645">
        <f t="shared" si="13"/>
        <v>150.79490000009537</v>
      </c>
      <c r="O83" s="645">
        <v>106070283.36750001</v>
      </c>
      <c r="P83" s="646">
        <f t="shared" si="14"/>
        <v>99.983566115967065</v>
      </c>
      <c r="Q83" s="646">
        <f t="shared" si="15"/>
        <v>99.983566115967065</v>
      </c>
      <c r="V83" s="242">
        <f t="shared" si="16"/>
        <v>0</v>
      </c>
      <c r="W83" s="242">
        <f t="shared" si="17"/>
        <v>106087717.7</v>
      </c>
      <c r="X83" s="242">
        <f t="shared" si="18"/>
        <v>0</v>
      </c>
      <c r="Y83" s="242">
        <f t="shared" si="19"/>
        <v>0</v>
      </c>
    </row>
    <row r="84" spans="1:25" ht="52.5">
      <c r="A84" s="280"/>
      <c r="B84" s="280"/>
      <c r="C84" s="294"/>
      <c r="D84" s="294" t="s">
        <v>867</v>
      </c>
      <c r="E84" s="294"/>
      <c r="F84" s="294"/>
      <c r="G84" s="295" t="s">
        <v>973</v>
      </c>
      <c r="H84" s="296">
        <v>55047592</v>
      </c>
      <c r="I84" s="296">
        <v>56704828.700000003</v>
      </c>
      <c r="J84" s="296">
        <v>56704828.700000003</v>
      </c>
      <c r="K84" s="296">
        <v>56704828.700000003</v>
      </c>
      <c r="L84" s="296">
        <v>56704828.700000003</v>
      </c>
      <c r="M84" s="296">
        <v>56701032.286499999</v>
      </c>
      <c r="N84" s="296">
        <f t="shared" si="13"/>
        <v>150.78920000046492</v>
      </c>
      <c r="O84" s="296">
        <v>56700881.497299999</v>
      </c>
      <c r="P84" s="297">
        <f t="shared" si="14"/>
        <v>99.993039036021287</v>
      </c>
      <c r="Q84" s="297">
        <f t="shared" ref="Q84:Q115" si="20">IF(J84=0,0,O84/J84*100)</f>
        <v>99.993039036021287</v>
      </c>
      <c r="R84" s="298"/>
      <c r="S84" s="298"/>
      <c r="T84" s="298"/>
      <c r="U84" s="298"/>
      <c r="V84" s="242">
        <f t="shared" si="16"/>
        <v>0</v>
      </c>
      <c r="W84" s="242">
        <f t="shared" si="17"/>
        <v>0</v>
      </c>
      <c r="X84" s="242">
        <f t="shared" si="18"/>
        <v>0</v>
      </c>
      <c r="Y84" s="242">
        <f t="shared" si="19"/>
        <v>0</v>
      </c>
    </row>
    <row r="85" spans="1:25">
      <c r="A85" s="280"/>
      <c r="B85" s="280"/>
      <c r="C85" s="294"/>
      <c r="D85" s="294"/>
      <c r="E85" s="294" t="s">
        <v>858</v>
      </c>
      <c r="F85" s="294"/>
      <c r="G85" s="295" t="s">
        <v>921</v>
      </c>
      <c r="H85" s="296">
        <v>0</v>
      </c>
      <c r="I85" s="296">
        <v>0</v>
      </c>
      <c r="J85" s="296">
        <v>5614399</v>
      </c>
      <c r="K85" s="296">
        <v>5614399</v>
      </c>
      <c r="L85" s="296">
        <v>5614399</v>
      </c>
      <c r="M85" s="296">
        <v>5614000.8027999997</v>
      </c>
      <c r="N85" s="296">
        <f t="shared" si="13"/>
        <v>6.0000000521540642E-3</v>
      </c>
      <c r="O85" s="296">
        <v>5614000.7967999997</v>
      </c>
      <c r="P85" s="297">
        <f t="shared" si="14"/>
        <v>99.992907465251392</v>
      </c>
      <c r="Q85" s="297">
        <f t="shared" si="20"/>
        <v>99.992907465251392</v>
      </c>
      <c r="R85" s="298"/>
      <c r="S85" s="298"/>
      <c r="T85" s="298"/>
      <c r="U85" s="298"/>
      <c r="V85" s="242">
        <f t="shared" si="16"/>
        <v>0</v>
      </c>
      <c r="W85" s="242">
        <f t="shared" si="17"/>
        <v>0</v>
      </c>
      <c r="X85" s="242">
        <f t="shared" si="18"/>
        <v>0</v>
      </c>
      <c r="Y85" s="242">
        <f t="shared" si="19"/>
        <v>0</v>
      </c>
    </row>
    <row r="86" spans="1:25">
      <c r="A86" s="280"/>
      <c r="B86" s="280"/>
      <c r="C86" s="294"/>
      <c r="D86" s="294"/>
      <c r="E86" s="294" t="s">
        <v>905</v>
      </c>
      <c r="F86" s="294"/>
      <c r="G86" s="295" t="s">
        <v>918</v>
      </c>
      <c r="H86" s="296">
        <v>0</v>
      </c>
      <c r="I86" s="296">
        <v>0</v>
      </c>
      <c r="J86" s="296">
        <v>51090429.700000003</v>
      </c>
      <c r="K86" s="296">
        <v>51090429.700000003</v>
      </c>
      <c r="L86" s="296">
        <v>51090429.700000003</v>
      </c>
      <c r="M86" s="296">
        <v>51087031.483499996</v>
      </c>
      <c r="N86" s="296">
        <f t="shared" si="13"/>
        <v>150.78319999575615</v>
      </c>
      <c r="O86" s="296">
        <v>51086880.700300001</v>
      </c>
      <c r="P86" s="297">
        <f t="shared" si="14"/>
        <v>99.993053494126315</v>
      </c>
      <c r="Q86" s="297">
        <f t="shared" si="20"/>
        <v>99.993053494126315</v>
      </c>
      <c r="R86" s="298"/>
      <c r="S86" s="298"/>
      <c r="T86" s="298"/>
      <c r="U86" s="298"/>
      <c r="V86" s="242">
        <f t="shared" si="16"/>
        <v>0</v>
      </c>
      <c r="W86" s="242">
        <f t="shared" si="17"/>
        <v>0</v>
      </c>
      <c r="X86" s="242">
        <f t="shared" si="18"/>
        <v>0</v>
      </c>
      <c r="Y86" s="242">
        <f t="shared" si="19"/>
        <v>0</v>
      </c>
    </row>
    <row r="87" spans="1:25" ht="21">
      <c r="A87" s="280"/>
      <c r="B87" s="280"/>
      <c r="C87" s="280"/>
      <c r="D87" s="280" t="s">
        <v>885</v>
      </c>
      <c r="E87" s="280"/>
      <c r="F87" s="280"/>
      <c r="G87" s="281" t="s">
        <v>974</v>
      </c>
      <c r="H87" s="282">
        <v>1448381</v>
      </c>
      <c r="I87" s="282">
        <v>3329994</v>
      </c>
      <c r="J87" s="282">
        <v>3329994</v>
      </c>
      <c r="K87" s="282">
        <v>3329994</v>
      </c>
      <c r="L87" s="282">
        <v>3329994</v>
      </c>
      <c r="M87" s="282">
        <v>3328730.9347000001</v>
      </c>
      <c r="N87" s="282">
        <f t="shared" si="13"/>
        <v>5.9999991208314896E-4</v>
      </c>
      <c r="O87" s="282">
        <v>3328730.9341000002</v>
      </c>
      <c r="P87" s="283">
        <f t="shared" si="14"/>
        <v>99.962070024750801</v>
      </c>
      <c r="Q87" s="283">
        <f t="shared" si="20"/>
        <v>99.962070024750801</v>
      </c>
      <c r="R87" s="284"/>
      <c r="S87" s="284"/>
      <c r="T87" s="284"/>
      <c r="U87" s="284"/>
      <c r="V87" s="242">
        <f t="shared" si="16"/>
        <v>0</v>
      </c>
      <c r="W87" s="242">
        <f t="shared" si="17"/>
        <v>0</v>
      </c>
      <c r="X87" s="242">
        <f t="shared" si="18"/>
        <v>0</v>
      </c>
      <c r="Y87" s="242">
        <f t="shared" si="19"/>
        <v>0</v>
      </c>
    </row>
    <row r="88" spans="1:25" ht="12.75">
      <c r="A88" s="280"/>
      <c r="B88" s="280"/>
      <c r="C88" s="280"/>
      <c r="D88" s="280"/>
      <c r="E88" s="280" t="s">
        <v>858</v>
      </c>
      <c r="F88" s="280"/>
      <c r="G88" s="281" t="s">
        <v>921</v>
      </c>
      <c r="H88" s="282">
        <v>0</v>
      </c>
      <c r="I88" s="282">
        <v>0</v>
      </c>
      <c r="J88" s="282">
        <v>3327707</v>
      </c>
      <c r="K88" s="282">
        <v>3327707</v>
      </c>
      <c r="L88" s="282">
        <v>3327707</v>
      </c>
      <c r="M88" s="282">
        <v>3326443.9347000001</v>
      </c>
      <c r="N88" s="282">
        <f t="shared" si="13"/>
        <v>5.9999991208314896E-4</v>
      </c>
      <c r="O88" s="282">
        <v>3326443.9341000002</v>
      </c>
      <c r="P88" s="283">
        <f t="shared" si="14"/>
        <v>99.962043956995018</v>
      </c>
      <c r="Q88" s="283">
        <f t="shared" si="20"/>
        <v>99.962043956995018</v>
      </c>
      <c r="R88" s="285"/>
      <c r="S88" s="286"/>
      <c r="T88" s="288"/>
      <c r="U88" s="287"/>
      <c r="V88" s="242">
        <f t="shared" si="16"/>
        <v>0</v>
      </c>
      <c r="W88" s="242">
        <f t="shared" si="17"/>
        <v>0</v>
      </c>
      <c r="X88" s="242">
        <f t="shared" si="18"/>
        <v>0</v>
      </c>
      <c r="Y88" s="242">
        <f t="shared" si="19"/>
        <v>0</v>
      </c>
    </row>
    <row r="89" spans="1:25" ht="12.75">
      <c r="A89" s="280"/>
      <c r="B89" s="280"/>
      <c r="C89" s="280"/>
      <c r="D89" s="280"/>
      <c r="E89" s="280" t="s">
        <v>905</v>
      </c>
      <c r="F89" s="280"/>
      <c r="G89" s="281" t="s">
        <v>918</v>
      </c>
      <c r="H89" s="282">
        <v>0</v>
      </c>
      <c r="I89" s="282">
        <v>0</v>
      </c>
      <c r="J89" s="282">
        <v>2287</v>
      </c>
      <c r="K89" s="282">
        <v>2287</v>
      </c>
      <c r="L89" s="282">
        <v>2287</v>
      </c>
      <c r="M89" s="282">
        <v>2287</v>
      </c>
      <c r="N89" s="282">
        <f t="shared" si="13"/>
        <v>0</v>
      </c>
      <c r="O89" s="282">
        <v>2287</v>
      </c>
      <c r="P89" s="283">
        <f t="shared" si="14"/>
        <v>100</v>
      </c>
      <c r="Q89" s="283">
        <f t="shared" si="20"/>
        <v>100</v>
      </c>
      <c r="R89" s="285"/>
      <c r="S89" s="286"/>
      <c r="T89" s="285"/>
      <c r="U89" s="287"/>
      <c r="V89" s="242">
        <f t="shared" si="16"/>
        <v>0</v>
      </c>
      <c r="W89" s="242">
        <f t="shared" si="17"/>
        <v>0</v>
      </c>
      <c r="X89" s="242">
        <f t="shared" si="18"/>
        <v>0</v>
      </c>
      <c r="Y89" s="242">
        <f t="shared" si="19"/>
        <v>0</v>
      </c>
    </row>
    <row r="90" spans="1:25" ht="21">
      <c r="A90" s="280"/>
      <c r="B90" s="280"/>
      <c r="C90" s="280"/>
      <c r="D90" s="280" t="s">
        <v>876</v>
      </c>
      <c r="E90" s="280"/>
      <c r="F90" s="280"/>
      <c r="G90" s="281" t="s">
        <v>975</v>
      </c>
      <c r="H90" s="282">
        <v>3851715</v>
      </c>
      <c r="I90" s="282">
        <v>4316274.7</v>
      </c>
      <c r="J90" s="282">
        <v>4316274.7</v>
      </c>
      <c r="K90" s="282">
        <v>4316274.7</v>
      </c>
      <c r="L90" s="282">
        <v>4316274.7</v>
      </c>
      <c r="M90" s="282">
        <v>4315616.0690000001</v>
      </c>
      <c r="N90" s="282">
        <f t="shared" si="13"/>
        <v>1.0999999940395355E-3</v>
      </c>
      <c r="O90" s="282">
        <v>4315616.0679000001</v>
      </c>
      <c r="P90" s="283">
        <f t="shared" si="14"/>
        <v>99.984740727924475</v>
      </c>
      <c r="Q90" s="283">
        <f t="shared" si="20"/>
        <v>99.984740727924475</v>
      </c>
      <c r="R90" s="284"/>
      <c r="S90" s="284"/>
      <c r="T90" s="284"/>
      <c r="U90" s="284"/>
      <c r="V90" s="242">
        <f t="shared" si="16"/>
        <v>0</v>
      </c>
      <c r="W90" s="242">
        <f t="shared" si="17"/>
        <v>0</v>
      </c>
      <c r="X90" s="242">
        <f t="shared" si="18"/>
        <v>0</v>
      </c>
      <c r="Y90" s="242">
        <f t="shared" si="19"/>
        <v>0</v>
      </c>
    </row>
    <row r="91" spans="1:25" ht="12.75">
      <c r="A91" s="280"/>
      <c r="B91" s="280"/>
      <c r="C91" s="280"/>
      <c r="D91" s="280"/>
      <c r="E91" s="280" t="s">
        <v>858</v>
      </c>
      <c r="F91" s="280"/>
      <c r="G91" s="281" t="s">
        <v>921</v>
      </c>
      <c r="H91" s="282">
        <v>0</v>
      </c>
      <c r="I91" s="282">
        <v>0</v>
      </c>
      <c r="J91" s="282">
        <v>3251185</v>
      </c>
      <c r="K91" s="282">
        <v>3251185</v>
      </c>
      <c r="L91" s="282">
        <v>3251185</v>
      </c>
      <c r="M91" s="282">
        <v>3250530.682</v>
      </c>
      <c r="N91" s="282">
        <f t="shared" si="13"/>
        <v>5.0000008195638657E-4</v>
      </c>
      <c r="O91" s="282">
        <v>3250530.6814999999</v>
      </c>
      <c r="P91" s="283">
        <f t="shared" si="14"/>
        <v>99.979874461158005</v>
      </c>
      <c r="Q91" s="283">
        <f t="shared" si="20"/>
        <v>99.979874461158005</v>
      </c>
      <c r="R91" s="285"/>
      <c r="S91" s="286"/>
      <c r="T91" s="288"/>
      <c r="U91" s="287"/>
      <c r="V91" s="242">
        <f t="shared" si="16"/>
        <v>0</v>
      </c>
      <c r="W91" s="242">
        <f t="shared" si="17"/>
        <v>0</v>
      </c>
      <c r="X91" s="242">
        <f t="shared" si="18"/>
        <v>0</v>
      </c>
      <c r="Y91" s="242">
        <f t="shared" si="19"/>
        <v>0</v>
      </c>
    </row>
    <row r="92" spans="1:25" ht="12.75">
      <c r="A92" s="280"/>
      <c r="B92" s="280"/>
      <c r="C92" s="280"/>
      <c r="D92" s="280"/>
      <c r="E92" s="280" t="s">
        <v>905</v>
      </c>
      <c r="F92" s="280"/>
      <c r="G92" s="281" t="s">
        <v>918</v>
      </c>
      <c r="H92" s="282">
        <v>0</v>
      </c>
      <c r="I92" s="282">
        <v>0</v>
      </c>
      <c r="J92" s="282">
        <v>1065089.7</v>
      </c>
      <c r="K92" s="282">
        <v>1065089.7</v>
      </c>
      <c r="L92" s="282">
        <v>1065089.7</v>
      </c>
      <c r="M92" s="282">
        <v>1065085.3870000001</v>
      </c>
      <c r="N92" s="282">
        <f t="shared" si="13"/>
        <v>6.0000014491379261E-4</v>
      </c>
      <c r="O92" s="282">
        <v>1065085.3864</v>
      </c>
      <c r="P92" s="283">
        <f t="shared" si="14"/>
        <v>99.999595001247314</v>
      </c>
      <c r="Q92" s="283">
        <f t="shared" si="20"/>
        <v>99.999595001247314</v>
      </c>
      <c r="R92" s="285"/>
      <c r="S92" s="286"/>
      <c r="T92" s="285"/>
      <c r="U92" s="287"/>
      <c r="V92" s="242">
        <f t="shared" si="16"/>
        <v>0</v>
      </c>
      <c r="W92" s="242">
        <f t="shared" si="17"/>
        <v>0</v>
      </c>
      <c r="X92" s="242">
        <f t="shared" si="18"/>
        <v>0</v>
      </c>
      <c r="Y92" s="242">
        <f t="shared" si="19"/>
        <v>0</v>
      </c>
    </row>
    <row r="93" spans="1:25" ht="21">
      <c r="A93" s="280"/>
      <c r="B93" s="280"/>
      <c r="C93" s="280"/>
      <c r="D93" s="280" t="s">
        <v>886</v>
      </c>
      <c r="E93" s="280"/>
      <c r="F93" s="280"/>
      <c r="G93" s="281" t="s">
        <v>976</v>
      </c>
      <c r="H93" s="282">
        <v>3113142</v>
      </c>
      <c r="I93" s="282">
        <v>1031997</v>
      </c>
      <c r="J93" s="282">
        <v>1031997</v>
      </c>
      <c r="K93" s="282">
        <v>1031997</v>
      </c>
      <c r="L93" s="282">
        <v>1031997</v>
      </c>
      <c r="M93" s="282">
        <v>1031152.833</v>
      </c>
      <c r="N93" s="282">
        <f t="shared" si="13"/>
        <v>4.9999996554106474E-4</v>
      </c>
      <c r="O93" s="282">
        <v>1031152.8325</v>
      </c>
      <c r="P93" s="283">
        <f t="shared" si="14"/>
        <v>99.918200585854422</v>
      </c>
      <c r="Q93" s="283">
        <f t="shared" si="20"/>
        <v>99.918200585854422</v>
      </c>
      <c r="R93" s="284"/>
      <c r="S93" s="284"/>
      <c r="T93" s="284"/>
      <c r="U93" s="284"/>
      <c r="V93" s="242">
        <f t="shared" si="16"/>
        <v>0</v>
      </c>
      <c r="W93" s="242">
        <f t="shared" si="17"/>
        <v>0</v>
      </c>
      <c r="X93" s="242">
        <f t="shared" si="18"/>
        <v>0</v>
      </c>
      <c r="Y93" s="242">
        <f t="shared" si="19"/>
        <v>0</v>
      </c>
    </row>
    <row r="94" spans="1:25" ht="31.5">
      <c r="A94" s="280"/>
      <c r="B94" s="280"/>
      <c r="C94" s="280"/>
      <c r="D94" s="280"/>
      <c r="E94" s="280" t="s">
        <v>848</v>
      </c>
      <c r="F94" s="280"/>
      <c r="G94" s="281" t="s">
        <v>977</v>
      </c>
      <c r="H94" s="282">
        <v>0</v>
      </c>
      <c r="I94" s="282">
        <v>0</v>
      </c>
      <c r="J94" s="282">
        <v>1006146</v>
      </c>
      <c r="K94" s="282">
        <v>1006146</v>
      </c>
      <c r="L94" s="282">
        <v>1006146</v>
      </c>
      <c r="M94" s="282">
        <v>1005348.3954</v>
      </c>
      <c r="N94" s="282">
        <f t="shared" si="13"/>
        <v>4.0000001899898052E-4</v>
      </c>
      <c r="O94" s="282">
        <v>1005348.395</v>
      </c>
      <c r="P94" s="283">
        <f t="shared" si="14"/>
        <v>99.920726713618109</v>
      </c>
      <c r="Q94" s="283">
        <f t="shared" si="20"/>
        <v>99.920726713618109</v>
      </c>
      <c r="R94" s="285"/>
      <c r="S94" s="286"/>
      <c r="T94" s="285"/>
      <c r="U94" s="287"/>
      <c r="V94" s="242">
        <f t="shared" si="16"/>
        <v>0</v>
      </c>
      <c r="W94" s="242">
        <f t="shared" si="17"/>
        <v>0</v>
      </c>
      <c r="X94" s="242">
        <f t="shared" si="18"/>
        <v>0</v>
      </c>
      <c r="Y94" s="242">
        <f t="shared" si="19"/>
        <v>0</v>
      </c>
    </row>
    <row r="95" spans="1:25" ht="31.5">
      <c r="A95" s="280"/>
      <c r="B95" s="280"/>
      <c r="C95" s="280"/>
      <c r="D95" s="280"/>
      <c r="E95" s="280" t="s">
        <v>845</v>
      </c>
      <c r="F95" s="280"/>
      <c r="G95" s="281" t="s">
        <v>978</v>
      </c>
      <c r="H95" s="282">
        <v>0</v>
      </c>
      <c r="I95" s="282">
        <v>0</v>
      </c>
      <c r="J95" s="282">
        <v>25851</v>
      </c>
      <c r="K95" s="282">
        <v>25851</v>
      </c>
      <c r="L95" s="282">
        <v>25851</v>
      </c>
      <c r="M95" s="282">
        <v>25804.4375</v>
      </c>
      <c r="N95" s="282">
        <f t="shared" si="13"/>
        <v>0</v>
      </c>
      <c r="O95" s="282">
        <v>25804.4375</v>
      </c>
      <c r="P95" s="283">
        <f t="shared" si="14"/>
        <v>99.819881242505133</v>
      </c>
      <c r="Q95" s="283">
        <f t="shared" si="20"/>
        <v>99.819881242505133</v>
      </c>
      <c r="R95" s="285"/>
      <c r="S95" s="286"/>
      <c r="T95" s="285"/>
      <c r="U95" s="287"/>
      <c r="V95" s="242">
        <f t="shared" si="16"/>
        <v>0</v>
      </c>
      <c r="W95" s="242">
        <f t="shared" si="17"/>
        <v>0</v>
      </c>
      <c r="X95" s="242">
        <f t="shared" si="18"/>
        <v>0</v>
      </c>
      <c r="Y95" s="242">
        <f t="shared" si="19"/>
        <v>0</v>
      </c>
    </row>
    <row r="96" spans="1:25" ht="52.5">
      <c r="A96" s="280"/>
      <c r="B96" s="280"/>
      <c r="C96" s="280"/>
      <c r="D96" s="280" t="s">
        <v>872</v>
      </c>
      <c r="E96" s="280"/>
      <c r="F96" s="280"/>
      <c r="G96" s="281" t="s">
        <v>979</v>
      </c>
      <c r="H96" s="282">
        <v>2112961</v>
      </c>
      <c r="I96" s="282">
        <v>2534108.7999999998</v>
      </c>
      <c r="J96" s="282">
        <v>2534108.7999999998</v>
      </c>
      <c r="K96" s="282">
        <v>2534108.7999999998</v>
      </c>
      <c r="L96" s="282">
        <v>2534108.7999999998</v>
      </c>
      <c r="M96" s="282">
        <v>2528603.6285000001</v>
      </c>
      <c r="N96" s="282">
        <f t="shared" si="13"/>
        <v>1.6000000759959221E-3</v>
      </c>
      <c r="O96" s="282">
        <v>2528603.6269</v>
      </c>
      <c r="P96" s="283">
        <f t="shared" si="14"/>
        <v>99.78275703474138</v>
      </c>
      <c r="Q96" s="283">
        <f t="shared" si="20"/>
        <v>99.78275703474138</v>
      </c>
      <c r="R96" s="284"/>
      <c r="S96" s="284"/>
      <c r="T96" s="284"/>
      <c r="U96" s="284"/>
      <c r="V96" s="242">
        <f t="shared" si="16"/>
        <v>0</v>
      </c>
      <c r="W96" s="242">
        <f t="shared" si="17"/>
        <v>0</v>
      </c>
      <c r="X96" s="242">
        <f t="shared" si="18"/>
        <v>0</v>
      </c>
      <c r="Y96" s="242">
        <f t="shared" si="19"/>
        <v>0</v>
      </c>
    </row>
    <row r="97" spans="1:25" ht="12.75">
      <c r="A97" s="280"/>
      <c r="B97" s="280"/>
      <c r="C97" s="280"/>
      <c r="D97" s="280"/>
      <c r="E97" s="280" t="s">
        <v>858</v>
      </c>
      <c r="F97" s="280"/>
      <c r="G97" s="281" t="s">
        <v>921</v>
      </c>
      <c r="H97" s="282">
        <v>0</v>
      </c>
      <c r="I97" s="282">
        <v>0</v>
      </c>
      <c r="J97" s="282">
        <v>2384320</v>
      </c>
      <c r="K97" s="282">
        <v>2384320</v>
      </c>
      <c r="L97" s="282">
        <v>2384320</v>
      </c>
      <c r="M97" s="282">
        <v>2381089.7026</v>
      </c>
      <c r="N97" s="282">
        <f t="shared" si="13"/>
        <v>1.6000000759959221E-3</v>
      </c>
      <c r="O97" s="282">
        <v>2381089.7009999999</v>
      </c>
      <c r="P97" s="283">
        <f t="shared" si="14"/>
        <v>99.864519066232717</v>
      </c>
      <c r="Q97" s="283">
        <f t="shared" si="20"/>
        <v>99.864519066232717</v>
      </c>
      <c r="R97" s="285"/>
      <c r="S97" s="286"/>
      <c r="T97" s="285"/>
      <c r="U97" s="287"/>
      <c r="V97" s="242">
        <f t="shared" si="16"/>
        <v>0</v>
      </c>
      <c r="W97" s="242">
        <f t="shared" si="17"/>
        <v>0</v>
      </c>
      <c r="X97" s="242">
        <f t="shared" si="18"/>
        <v>0</v>
      </c>
      <c r="Y97" s="242">
        <f t="shared" si="19"/>
        <v>0</v>
      </c>
    </row>
    <row r="98" spans="1:25" ht="12.75">
      <c r="A98" s="280"/>
      <c r="B98" s="280"/>
      <c r="C98" s="280"/>
      <c r="D98" s="280"/>
      <c r="E98" s="280" t="s">
        <v>905</v>
      </c>
      <c r="F98" s="280"/>
      <c r="G98" s="281" t="s">
        <v>918</v>
      </c>
      <c r="H98" s="282">
        <v>0</v>
      </c>
      <c r="I98" s="282">
        <v>0</v>
      </c>
      <c r="J98" s="282">
        <v>149788.79999999999</v>
      </c>
      <c r="K98" s="282">
        <v>149788.79999999999</v>
      </c>
      <c r="L98" s="282">
        <v>149788.79999999999</v>
      </c>
      <c r="M98" s="282">
        <v>147513.9259</v>
      </c>
      <c r="N98" s="282">
        <f t="shared" si="13"/>
        <v>0</v>
      </c>
      <c r="O98" s="282">
        <v>147513.9259</v>
      </c>
      <c r="P98" s="283">
        <f t="shared" si="14"/>
        <v>98.48127890736825</v>
      </c>
      <c r="Q98" s="283">
        <f t="shared" si="20"/>
        <v>98.48127890736825</v>
      </c>
      <c r="R98" s="285"/>
      <c r="S98" s="286"/>
      <c r="T98" s="285"/>
      <c r="U98" s="287"/>
      <c r="V98" s="242">
        <f t="shared" si="16"/>
        <v>0</v>
      </c>
      <c r="W98" s="242">
        <f t="shared" si="17"/>
        <v>0</v>
      </c>
      <c r="X98" s="242">
        <f t="shared" si="18"/>
        <v>0</v>
      </c>
      <c r="Y98" s="242">
        <f t="shared" si="19"/>
        <v>0</v>
      </c>
    </row>
    <row r="99" spans="1:25" ht="21">
      <c r="A99" s="280"/>
      <c r="B99" s="280"/>
      <c r="C99" s="280"/>
      <c r="D99" s="280" t="s">
        <v>887</v>
      </c>
      <c r="E99" s="280"/>
      <c r="F99" s="280"/>
      <c r="G99" s="281" t="s">
        <v>980</v>
      </c>
      <c r="H99" s="282">
        <v>4225661</v>
      </c>
      <c r="I99" s="282">
        <v>5885907</v>
      </c>
      <c r="J99" s="282">
        <v>5885907</v>
      </c>
      <c r="K99" s="282">
        <v>5885907</v>
      </c>
      <c r="L99" s="282">
        <v>5885907</v>
      </c>
      <c r="M99" s="282">
        <v>5881377.0766000003</v>
      </c>
      <c r="N99" s="282">
        <f t="shared" si="13"/>
        <v>8.0000050365924835E-4</v>
      </c>
      <c r="O99" s="282">
        <v>5881377.0757999998</v>
      </c>
      <c r="P99" s="283">
        <f t="shared" si="14"/>
        <v>99.923037788398631</v>
      </c>
      <c r="Q99" s="283">
        <f t="shared" si="20"/>
        <v>99.923037788398631</v>
      </c>
      <c r="R99" s="284"/>
      <c r="S99" s="284"/>
      <c r="T99" s="284"/>
      <c r="U99" s="284"/>
      <c r="V99" s="242">
        <f t="shared" si="16"/>
        <v>0</v>
      </c>
      <c r="W99" s="242">
        <f t="shared" si="17"/>
        <v>0</v>
      </c>
      <c r="X99" s="242">
        <f t="shared" si="18"/>
        <v>0</v>
      </c>
      <c r="Y99" s="242">
        <f t="shared" si="19"/>
        <v>0</v>
      </c>
    </row>
    <row r="100" spans="1:25" ht="12.75">
      <c r="A100" s="280"/>
      <c r="B100" s="280"/>
      <c r="C100" s="280"/>
      <c r="D100" s="280"/>
      <c r="E100" s="280" t="s">
        <v>858</v>
      </c>
      <c r="F100" s="280"/>
      <c r="G100" s="281" t="s">
        <v>921</v>
      </c>
      <c r="H100" s="282">
        <v>0</v>
      </c>
      <c r="I100" s="282">
        <v>0</v>
      </c>
      <c r="J100" s="282">
        <v>5877827</v>
      </c>
      <c r="K100" s="282">
        <v>5877827</v>
      </c>
      <c r="L100" s="282">
        <v>5877827</v>
      </c>
      <c r="M100" s="282">
        <v>5873297.6699000001</v>
      </c>
      <c r="N100" s="282">
        <f t="shared" si="13"/>
        <v>9.0000033378601074E-4</v>
      </c>
      <c r="O100" s="282">
        <v>5873297.6689999998</v>
      </c>
      <c r="P100" s="283">
        <f t="shared" si="14"/>
        <v>99.922942083868747</v>
      </c>
      <c r="Q100" s="283">
        <f t="shared" si="20"/>
        <v>99.922942083868747</v>
      </c>
      <c r="R100" s="285"/>
      <c r="S100" s="286"/>
      <c r="T100" s="288"/>
      <c r="U100" s="287"/>
      <c r="V100" s="242">
        <f t="shared" si="16"/>
        <v>0</v>
      </c>
      <c r="W100" s="242">
        <f t="shared" si="17"/>
        <v>0</v>
      </c>
      <c r="X100" s="242">
        <f t="shared" si="18"/>
        <v>0</v>
      </c>
      <c r="Y100" s="242">
        <f t="shared" si="19"/>
        <v>0</v>
      </c>
    </row>
    <row r="101" spans="1:25">
      <c r="A101" s="280"/>
      <c r="B101" s="280"/>
      <c r="C101" s="280"/>
      <c r="D101" s="280"/>
      <c r="E101" s="280" t="s">
        <v>905</v>
      </c>
      <c r="F101" s="280"/>
      <c r="G101" s="281" t="s">
        <v>918</v>
      </c>
      <c r="H101" s="282">
        <v>0</v>
      </c>
      <c r="I101" s="282">
        <v>0</v>
      </c>
      <c r="J101" s="282">
        <v>8080</v>
      </c>
      <c r="K101" s="282">
        <v>8080</v>
      </c>
      <c r="L101" s="282">
        <v>8080</v>
      </c>
      <c r="M101" s="282">
        <v>8079.40672</v>
      </c>
      <c r="N101" s="282">
        <f t="shared" si="13"/>
        <v>0</v>
      </c>
      <c r="O101" s="282">
        <v>8079.40672</v>
      </c>
      <c r="P101" s="283">
        <f t="shared" si="14"/>
        <v>99.992657425742564</v>
      </c>
      <c r="Q101" s="283">
        <f t="shared" si="20"/>
        <v>99.992657425742564</v>
      </c>
      <c r="R101" s="284"/>
      <c r="S101" s="284"/>
      <c r="T101" s="284"/>
      <c r="U101" s="284"/>
      <c r="V101" s="242">
        <f t="shared" si="16"/>
        <v>0</v>
      </c>
      <c r="W101" s="242">
        <f t="shared" si="17"/>
        <v>0</v>
      </c>
      <c r="X101" s="242">
        <f t="shared" si="18"/>
        <v>0</v>
      </c>
      <c r="Y101" s="242">
        <f t="shared" si="19"/>
        <v>0</v>
      </c>
    </row>
    <row r="102" spans="1:25" ht="31.5">
      <c r="A102" s="280"/>
      <c r="B102" s="280"/>
      <c r="C102" s="280"/>
      <c r="D102" s="280" t="s">
        <v>888</v>
      </c>
      <c r="E102" s="280"/>
      <c r="F102" s="280"/>
      <c r="G102" s="281" t="s">
        <v>981</v>
      </c>
      <c r="H102" s="282">
        <v>7794331</v>
      </c>
      <c r="I102" s="282">
        <v>9993820.5</v>
      </c>
      <c r="J102" s="282">
        <v>9993820.5</v>
      </c>
      <c r="K102" s="282">
        <v>9993820.5</v>
      </c>
      <c r="L102" s="282">
        <v>9993820.5</v>
      </c>
      <c r="M102" s="282">
        <v>9993173.2511999998</v>
      </c>
      <c r="N102" s="282">
        <f t="shared" si="13"/>
        <v>0</v>
      </c>
      <c r="O102" s="282">
        <v>9993173.2511999998</v>
      </c>
      <c r="P102" s="283">
        <f t="shared" si="14"/>
        <v>99.993523509852906</v>
      </c>
      <c r="Q102" s="283">
        <f t="shared" si="20"/>
        <v>99.993523509852906</v>
      </c>
      <c r="R102" s="284"/>
      <c r="S102" s="284"/>
      <c r="T102" s="284"/>
      <c r="U102" s="284"/>
      <c r="V102" s="242">
        <f t="shared" si="16"/>
        <v>0</v>
      </c>
      <c r="W102" s="242">
        <f t="shared" si="17"/>
        <v>0</v>
      </c>
      <c r="X102" s="242">
        <f t="shared" si="18"/>
        <v>0</v>
      </c>
      <c r="Y102" s="242">
        <f t="shared" si="19"/>
        <v>0</v>
      </c>
    </row>
    <row r="103" spans="1:25" ht="12.75">
      <c r="A103" s="280"/>
      <c r="B103" s="280"/>
      <c r="C103" s="280"/>
      <c r="D103" s="280"/>
      <c r="E103" s="280" t="s">
        <v>858</v>
      </c>
      <c r="F103" s="280"/>
      <c r="G103" s="281" t="s">
        <v>921</v>
      </c>
      <c r="H103" s="282">
        <v>0</v>
      </c>
      <c r="I103" s="282">
        <v>0</v>
      </c>
      <c r="J103" s="282">
        <v>7791586</v>
      </c>
      <c r="K103" s="282">
        <v>7791586</v>
      </c>
      <c r="L103" s="282">
        <v>7791586</v>
      </c>
      <c r="M103" s="282">
        <v>7791090.0280999998</v>
      </c>
      <c r="N103" s="282">
        <f t="shared" si="13"/>
        <v>0</v>
      </c>
      <c r="O103" s="282">
        <v>7791090.0280999998</v>
      </c>
      <c r="P103" s="283">
        <f t="shared" si="14"/>
        <v>99.993634519339196</v>
      </c>
      <c r="Q103" s="283">
        <f t="shared" si="20"/>
        <v>99.993634519339196</v>
      </c>
      <c r="R103" s="285"/>
      <c r="S103" s="286"/>
      <c r="T103" s="285"/>
      <c r="U103" s="287"/>
      <c r="V103" s="242">
        <f t="shared" si="16"/>
        <v>0</v>
      </c>
      <c r="W103" s="242">
        <f t="shared" si="17"/>
        <v>0</v>
      </c>
      <c r="X103" s="242">
        <f t="shared" si="18"/>
        <v>0</v>
      </c>
      <c r="Y103" s="242">
        <f t="shared" si="19"/>
        <v>0</v>
      </c>
    </row>
    <row r="104" spans="1:25" ht="12.75">
      <c r="A104" s="280"/>
      <c r="B104" s="280"/>
      <c r="C104" s="280"/>
      <c r="D104" s="280"/>
      <c r="E104" s="280" t="s">
        <v>905</v>
      </c>
      <c r="F104" s="280"/>
      <c r="G104" s="281" t="s">
        <v>918</v>
      </c>
      <c r="H104" s="282">
        <v>0</v>
      </c>
      <c r="I104" s="282">
        <v>0</v>
      </c>
      <c r="J104" s="282">
        <v>2202234.5</v>
      </c>
      <c r="K104" s="282">
        <v>2202234.5</v>
      </c>
      <c r="L104" s="282">
        <v>2202234.5</v>
      </c>
      <c r="M104" s="282">
        <v>2202083.2231000001</v>
      </c>
      <c r="N104" s="282">
        <f t="shared" si="13"/>
        <v>0</v>
      </c>
      <c r="O104" s="282">
        <v>2202083.2231000001</v>
      </c>
      <c r="P104" s="283">
        <f t="shared" si="14"/>
        <v>99.993130754240752</v>
      </c>
      <c r="Q104" s="283">
        <f t="shared" si="20"/>
        <v>99.993130754240752</v>
      </c>
      <c r="R104" s="285"/>
      <c r="S104" s="286"/>
      <c r="T104" s="285"/>
      <c r="U104" s="287"/>
      <c r="V104" s="242">
        <f t="shared" si="16"/>
        <v>0</v>
      </c>
      <c r="W104" s="242">
        <f t="shared" si="17"/>
        <v>0</v>
      </c>
      <c r="X104" s="242">
        <f t="shared" si="18"/>
        <v>0</v>
      </c>
      <c r="Y104" s="242">
        <f t="shared" si="19"/>
        <v>0</v>
      </c>
    </row>
    <row r="105" spans="1:25" ht="21">
      <c r="A105" s="280"/>
      <c r="B105" s="280"/>
      <c r="C105" s="280"/>
      <c r="D105" s="280" t="s">
        <v>891</v>
      </c>
      <c r="E105" s="280"/>
      <c r="F105" s="280"/>
      <c r="G105" s="281" t="s">
        <v>982</v>
      </c>
      <c r="H105" s="282">
        <v>818203</v>
      </c>
      <c r="I105" s="282">
        <v>547903</v>
      </c>
      <c r="J105" s="282">
        <v>547903</v>
      </c>
      <c r="K105" s="282">
        <v>547903</v>
      </c>
      <c r="L105" s="282">
        <v>547903</v>
      </c>
      <c r="M105" s="282">
        <v>547869.50699999998</v>
      </c>
      <c r="N105" s="282">
        <f t="shared" si="13"/>
        <v>1.1999999405816197E-3</v>
      </c>
      <c r="O105" s="282">
        <v>547869.50580000004</v>
      </c>
      <c r="P105" s="283">
        <f t="shared" si="14"/>
        <v>99.993886837633667</v>
      </c>
      <c r="Q105" s="283">
        <f t="shared" si="20"/>
        <v>99.993886837633667</v>
      </c>
      <c r="R105" s="284"/>
      <c r="S105" s="284"/>
      <c r="T105" s="284"/>
      <c r="U105" s="284"/>
      <c r="V105" s="242">
        <f t="shared" si="16"/>
        <v>0</v>
      </c>
      <c r="W105" s="242">
        <f t="shared" si="17"/>
        <v>0</v>
      </c>
      <c r="X105" s="242">
        <f t="shared" si="18"/>
        <v>0</v>
      </c>
      <c r="Y105" s="242">
        <f t="shared" si="19"/>
        <v>0</v>
      </c>
    </row>
    <row r="106" spans="1:25" ht="12.75">
      <c r="A106" s="280"/>
      <c r="B106" s="280"/>
      <c r="C106" s="280"/>
      <c r="D106" s="280"/>
      <c r="E106" s="280" t="s">
        <v>858</v>
      </c>
      <c r="F106" s="280"/>
      <c r="G106" s="281" t="s">
        <v>921</v>
      </c>
      <c r="H106" s="282">
        <v>0</v>
      </c>
      <c r="I106" s="282">
        <v>0</v>
      </c>
      <c r="J106" s="282">
        <v>547903</v>
      </c>
      <c r="K106" s="282">
        <v>547903</v>
      </c>
      <c r="L106" s="282">
        <v>547903</v>
      </c>
      <c r="M106" s="282">
        <v>547869.50699999998</v>
      </c>
      <c r="N106" s="282">
        <f t="shared" si="13"/>
        <v>1.1999999405816197E-3</v>
      </c>
      <c r="O106" s="282">
        <v>547869.50580000004</v>
      </c>
      <c r="P106" s="283">
        <f t="shared" si="14"/>
        <v>99.993886837633667</v>
      </c>
      <c r="Q106" s="283">
        <f t="shared" si="20"/>
        <v>99.993886837633667</v>
      </c>
      <c r="R106" s="285"/>
      <c r="S106" s="286"/>
      <c r="T106" s="285"/>
      <c r="U106" s="287"/>
      <c r="V106" s="242">
        <f t="shared" si="16"/>
        <v>0</v>
      </c>
      <c r="W106" s="242">
        <f t="shared" si="17"/>
        <v>0</v>
      </c>
      <c r="X106" s="242">
        <f t="shared" si="18"/>
        <v>0</v>
      </c>
      <c r="Y106" s="242">
        <f t="shared" si="19"/>
        <v>0</v>
      </c>
    </row>
    <row r="107" spans="1:25" ht="31.5">
      <c r="A107" s="280"/>
      <c r="B107" s="280"/>
      <c r="C107" s="294"/>
      <c r="D107" s="294" t="s">
        <v>983</v>
      </c>
      <c r="E107" s="294"/>
      <c r="F107" s="294"/>
      <c r="G107" s="295" t="s">
        <v>984</v>
      </c>
      <c r="H107" s="296">
        <v>11635804</v>
      </c>
      <c r="I107" s="296">
        <v>21742884</v>
      </c>
      <c r="J107" s="296">
        <v>21742884</v>
      </c>
      <c r="K107" s="296">
        <v>21742884</v>
      </c>
      <c r="L107" s="296">
        <v>21742884</v>
      </c>
      <c r="M107" s="296">
        <v>21742878.576099999</v>
      </c>
      <c r="N107" s="296">
        <f t="shared" si="13"/>
        <v>9.9997967481613159E-5</v>
      </c>
      <c r="O107" s="296">
        <v>21742878.576000001</v>
      </c>
      <c r="P107" s="297">
        <f t="shared" si="14"/>
        <v>99.999975053907292</v>
      </c>
      <c r="Q107" s="297">
        <f t="shared" si="20"/>
        <v>99.999975053907292</v>
      </c>
      <c r="R107" s="298"/>
      <c r="S107" s="298"/>
      <c r="T107" s="298"/>
      <c r="U107" s="298"/>
      <c r="V107" s="242">
        <f t="shared" si="16"/>
        <v>0</v>
      </c>
      <c r="W107" s="242">
        <f t="shared" si="17"/>
        <v>0</v>
      </c>
      <c r="X107" s="242">
        <f t="shared" si="18"/>
        <v>0</v>
      </c>
      <c r="Y107" s="242">
        <f t="shared" si="19"/>
        <v>0</v>
      </c>
    </row>
    <row r="108" spans="1:25" ht="52.5">
      <c r="A108" s="280"/>
      <c r="B108" s="280"/>
      <c r="C108" s="294"/>
      <c r="D108" s="294"/>
      <c r="E108" s="294" t="s">
        <v>848</v>
      </c>
      <c r="F108" s="294"/>
      <c r="G108" s="295" t="s">
        <v>985</v>
      </c>
      <c r="H108" s="296">
        <v>0</v>
      </c>
      <c r="I108" s="296">
        <v>0</v>
      </c>
      <c r="J108" s="296">
        <v>16551622.300000001</v>
      </c>
      <c r="K108" s="296">
        <v>16551622.300000001</v>
      </c>
      <c r="L108" s="296">
        <v>16551622.300000001</v>
      </c>
      <c r="M108" s="296">
        <v>16551622.127800001</v>
      </c>
      <c r="N108" s="296">
        <f t="shared" si="13"/>
        <v>1.0000541806221008E-5</v>
      </c>
      <c r="O108" s="296">
        <v>16551622.12779</v>
      </c>
      <c r="P108" s="297">
        <f t="shared" si="14"/>
        <v>99.999998959558184</v>
      </c>
      <c r="Q108" s="297">
        <f t="shared" si="20"/>
        <v>99.999998959558184</v>
      </c>
      <c r="R108" s="910" t="s">
        <v>369</v>
      </c>
      <c r="S108" s="910" t="s">
        <v>136</v>
      </c>
      <c r="T108" s="298"/>
      <c r="U108" s="298"/>
      <c r="V108" s="242">
        <f t="shared" si="16"/>
        <v>0</v>
      </c>
      <c r="W108" s="242">
        <f t="shared" si="17"/>
        <v>0</v>
      </c>
      <c r="X108" s="242">
        <f t="shared" si="18"/>
        <v>0</v>
      </c>
      <c r="Y108" s="242">
        <f t="shared" si="19"/>
        <v>0</v>
      </c>
    </row>
    <row r="109" spans="1:25" ht="31.5">
      <c r="A109" s="280"/>
      <c r="B109" s="280"/>
      <c r="C109" s="294"/>
      <c r="D109" s="294"/>
      <c r="E109" s="294" t="s">
        <v>845</v>
      </c>
      <c r="F109" s="294"/>
      <c r="G109" s="295" t="s">
        <v>986</v>
      </c>
      <c r="H109" s="296">
        <v>0</v>
      </c>
      <c r="I109" s="296">
        <v>0</v>
      </c>
      <c r="J109" s="296">
        <v>2359247</v>
      </c>
      <c r="K109" s="296">
        <v>2359247</v>
      </c>
      <c r="L109" s="296">
        <v>2359247</v>
      </c>
      <c r="M109" s="296">
        <v>2359243.9361999999</v>
      </c>
      <c r="N109" s="296">
        <f t="shared" si="13"/>
        <v>0</v>
      </c>
      <c r="O109" s="296">
        <v>2359243.9361999999</v>
      </c>
      <c r="P109" s="297">
        <f t="shared" si="14"/>
        <v>99.999870136530845</v>
      </c>
      <c r="Q109" s="297">
        <f t="shared" si="20"/>
        <v>99.999870136530845</v>
      </c>
      <c r="R109" s="298"/>
      <c r="S109" s="298"/>
      <c r="T109" s="298"/>
      <c r="U109" s="298"/>
      <c r="V109" s="242">
        <f t="shared" si="16"/>
        <v>0</v>
      </c>
      <c r="W109" s="242">
        <f t="shared" si="17"/>
        <v>0</v>
      </c>
      <c r="X109" s="242">
        <f t="shared" si="18"/>
        <v>0</v>
      </c>
      <c r="Y109" s="242">
        <f t="shared" si="19"/>
        <v>0</v>
      </c>
    </row>
    <row r="110" spans="1:25" ht="31.5">
      <c r="A110" s="280"/>
      <c r="B110" s="280"/>
      <c r="C110" s="294"/>
      <c r="D110" s="294"/>
      <c r="E110" s="294" t="s">
        <v>854</v>
      </c>
      <c r="F110" s="294"/>
      <c r="G110" s="295" t="s">
        <v>987</v>
      </c>
      <c r="H110" s="296">
        <v>0</v>
      </c>
      <c r="I110" s="296">
        <v>0</v>
      </c>
      <c r="J110" s="296">
        <v>2381104</v>
      </c>
      <c r="K110" s="296">
        <v>2381104</v>
      </c>
      <c r="L110" s="296">
        <v>2381104</v>
      </c>
      <c r="M110" s="296">
        <v>2381102.7672999999</v>
      </c>
      <c r="N110" s="296">
        <f t="shared" si="13"/>
        <v>0</v>
      </c>
      <c r="O110" s="296">
        <v>2381102.7672999999</v>
      </c>
      <c r="P110" s="297">
        <f t="shared" si="14"/>
        <v>99.999948229896717</v>
      </c>
      <c r="Q110" s="297">
        <f t="shared" si="20"/>
        <v>99.999948229896717</v>
      </c>
      <c r="R110" s="298"/>
      <c r="S110" s="298"/>
      <c r="T110" s="298"/>
      <c r="U110" s="298"/>
      <c r="V110" s="242">
        <f t="shared" si="16"/>
        <v>0</v>
      </c>
      <c r="W110" s="242">
        <f t="shared" si="17"/>
        <v>0</v>
      </c>
      <c r="X110" s="242">
        <f t="shared" si="18"/>
        <v>0</v>
      </c>
      <c r="Y110" s="242">
        <f t="shared" si="19"/>
        <v>0</v>
      </c>
    </row>
    <row r="111" spans="1:25" ht="31.5">
      <c r="A111" s="280"/>
      <c r="B111" s="280"/>
      <c r="C111" s="294"/>
      <c r="D111" s="294"/>
      <c r="E111" s="294" t="s">
        <v>879</v>
      </c>
      <c r="F111" s="294"/>
      <c r="G111" s="295" t="s">
        <v>988</v>
      </c>
      <c r="H111" s="296">
        <v>0</v>
      </c>
      <c r="I111" s="296">
        <v>0</v>
      </c>
      <c r="J111" s="296">
        <v>245936.7</v>
      </c>
      <c r="K111" s="296">
        <v>245936.7</v>
      </c>
      <c r="L111" s="296">
        <v>245936.7</v>
      </c>
      <c r="M111" s="296">
        <v>245936.6274</v>
      </c>
      <c r="N111" s="296">
        <f t="shared" si="13"/>
        <v>0</v>
      </c>
      <c r="O111" s="296">
        <v>245936.6274</v>
      </c>
      <c r="P111" s="297">
        <f t="shared" si="14"/>
        <v>99.999970480208916</v>
      </c>
      <c r="Q111" s="297">
        <f t="shared" si="20"/>
        <v>99.999970480208916</v>
      </c>
      <c r="R111" s="298"/>
      <c r="S111" s="298"/>
      <c r="T111" s="298"/>
      <c r="U111" s="298"/>
      <c r="V111" s="242">
        <f t="shared" si="16"/>
        <v>0</v>
      </c>
      <c r="W111" s="242">
        <f t="shared" si="17"/>
        <v>0</v>
      </c>
      <c r="X111" s="242">
        <f t="shared" si="18"/>
        <v>0</v>
      </c>
      <c r="Y111" s="242">
        <f t="shared" si="19"/>
        <v>0</v>
      </c>
    </row>
    <row r="112" spans="1:25" ht="21">
      <c r="A112" s="280"/>
      <c r="B112" s="280"/>
      <c r="C112" s="294"/>
      <c r="D112" s="294"/>
      <c r="E112" s="294" t="s">
        <v>855</v>
      </c>
      <c r="F112" s="294"/>
      <c r="G112" s="295" t="s">
        <v>989</v>
      </c>
      <c r="H112" s="296">
        <v>0</v>
      </c>
      <c r="I112" s="296">
        <v>0</v>
      </c>
      <c r="J112" s="296">
        <v>204974</v>
      </c>
      <c r="K112" s="296">
        <v>204974</v>
      </c>
      <c r="L112" s="296">
        <v>204974</v>
      </c>
      <c r="M112" s="296">
        <v>204973.11733000001</v>
      </c>
      <c r="N112" s="296">
        <f t="shared" si="13"/>
        <v>0</v>
      </c>
      <c r="O112" s="296">
        <v>204973.11733000001</v>
      </c>
      <c r="P112" s="297">
        <f t="shared" si="14"/>
        <v>99.999569374652395</v>
      </c>
      <c r="Q112" s="297">
        <f t="shared" si="20"/>
        <v>99.999569374652395</v>
      </c>
      <c r="R112" s="298"/>
      <c r="S112" s="298"/>
      <c r="T112" s="298"/>
      <c r="U112" s="298"/>
      <c r="V112" s="242">
        <f t="shared" si="16"/>
        <v>0</v>
      </c>
      <c r="W112" s="242">
        <f t="shared" si="17"/>
        <v>0</v>
      </c>
      <c r="X112" s="242">
        <f t="shared" si="18"/>
        <v>0</v>
      </c>
      <c r="Y112" s="242">
        <f t="shared" si="19"/>
        <v>0</v>
      </c>
    </row>
    <row r="113" spans="1:25" s="647" customFormat="1" ht="21">
      <c r="A113" s="643"/>
      <c r="B113" s="643"/>
      <c r="C113" s="643" t="s">
        <v>939</v>
      </c>
      <c r="D113" s="643"/>
      <c r="E113" s="643"/>
      <c r="F113" s="643"/>
      <c r="G113" s="644" t="s">
        <v>940</v>
      </c>
      <c r="H113" s="645">
        <v>16870673</v>
      </c>
      <c r="I113" s="645">
        <v>17953521</v>
      </c>
      <c r="J113" s="645">
        <v>17953521</v>
      </c>
      <c r="K113" s="645">
        <v>17953521</v>
      </c>
      <c r="L113" s="645">
        <v>17953521</v>
      </c>
      <c r="M113" s="645">
        <v>17949609.978300001</v>
      </c>
      <c r="N113" s="645">
        <f t="shared" si="13"/>
        <v>1168.9757000021636</v>
      </c>
      <c r="O113" s="645">
        <v>17948441.002599999</v>
      </c>
      <c r="P113" s="646">
        <f t="shared" si="14"/>
        <v>99.971704729116922</v>
      </c>
      <c r="Q113" s="646">
        <f t="shared" si="20"/>
        <v>99.971704729116922</v>
      </c>
      <c r="V113" s="242">
        <f t="shared" si="16"/>
        <v>0</v>
      </c>
      <c r="W113" s="242">
        <f t="shared" si="17"/>
        <v>0</v>
      </c>
      <c r="X113" s="242">
        <f t="shared" si="18"/>
        <v>17953521</v>
      </c>
      <c r="Y113" s="242">
        <f t="shared" si="19"/>
        <v>0</v>
      </c>
    </row>
    <row r="114" spans="1:25" ht="52.5">
      <c r="A114" s="280"/>
      <c r="B114" s="280"/>
      <c r="C114" s="280"/>
      <c r="D114" s="294" t="s">
        <v>867</v>
      </c>
      <c r="E114" s="294"/>
      <c r="F114" s="294"/>
      <c r="G114" s="295" t="s">
        <v>973</v>
      </c>
      <c r="H114" s="296">
        <v>8687035</v>
      </c>
      <c r="I114" s="296">
        <v>8937569</v>
      </c>
      <c r="J114" s="296">
        <v>8937569</v>
      </c>
      <c r="K114" s="296">
        <v>8937569</v>
      </c>
      <c r="L114" s="296">
        <v>8937569</v>
      </c>
      <c r="M114" s="296">
        <v>8937566.1581999995</v>
      </c>
      <c r="N114" s="296">
        <f t="shared" si="13"/>
        <v>1168.972500000149</v>
      </c>
      <c r="O114" s="296">
        <v>8936397.1856999993</v>
      </c>
      <c r="P114" s="297">
        <f t="shared" si="14"/>
        <v>99.986888892270372</v>
      </c>
      <c r="Q114" s="297">
        <f t="shared" si="20"/>
        <v>99.986888892270372</v>
      </c>
      <c r="R114" s="285" t="s">
        <v>340</v>
      </c>
      <c r="S114" s="286" t="s">
        <v>140</v>
      </c>
      <c r="T114" s="298"/>
      <c r="U114" s="298"/>
      <c r="V114" s="242">
        <f t="shared" si="16"/>
        <v>0</v>
      </c>
      <c r="W114" s="242">
        <f t="shared" si="17"/>
        <v>0</v>
      </c>
      <c r="X114" s="242">
        <f t="shared" si="18"/>
        <v>0</v>
      </c>
      <c r="Y114" s="242">
        <f t="shared" si="19"/>
        <v>0</v>
      </c>
    </row>
    <row r="115" spans="1:25" ht="12.75">
      <c r="A115" s="280"/>
      <c r="B115" s="280"/>
      <c r="C115" s="280"/>
      <c r="D115" s="294"/>
      <c r="E115" s="294" t="s">
        <v>858</v>
      </c>
      <c r="F115" s="294"/>
      <c r="G115" s="295" t="s">
        <v>921</v>
      </c>
      <c r="H115" s="296">
        <v>0</v>
      </c>
      <c r="I115" s="296">
        <v>0</v>
      </c>
      <c r="J115" s="296">
        <v>1296779</v>
      </c>
      <c r="K115" s="296">
        <v>1296779</v>
      </c>
      <c r="L115" s="296">
        <v>1296779</v>
      </c>
      <c r="M115" s="296">
        <v>1296776.6295</v>
      </c>
      <c r="N115" s="296">
        <f t="shared" si="13"/>
        <v>1168.972500000149</v>
      </c>
      <c r="O115" s="296">
        <v>1295607.6569999999</v>
      </c>
      <c r="P115" s="297">
        <f t="shared" si="14"/>
        <v>99.909672889520877</v>
      </c>
      <c r="Q115" s="297">
        <f t="shared" si="20"/>
        <v>99.909672889520877</v>
      </c>
      <c r="R115" s="307"/>
      <c r="S115" s="307"/>
      <c r="T115" s="307"/>
      <c r="U115" s="307"/>
      <c r="V115" s="242">
        <f t="shared" si="16"/>
        <v>0</v>
      </c>
      <c r="W115" s="242">
        <f t="shared" si="17"/>
        <v>0</v>
      </c>
      <c r="X115" s="242">
        <f t="shared" si="18"/>
        <v>0</v>
      </c>
      <c r="Y115" s="242">
        <f t="shared" si="19"/>
        <v>0</v>
      </c>
    </row>
    <row r="116" spans="1:25" ht="12.75">
      <c r="A116" s="280"/>
      <c r="B116" s="280"/>
      <c r="C116" s="280"/>
      <c r="D116" s="294"/>
      <c r="E116" s="294" t="s">
        <v>905</v>
      </c>
      <c r="F116" s="294"/>
      <c r="G116" s="295" t="s">
        <v>918</v>
      </c>
      <c r="H116" s="296">
        <v>0</v>
      </c>
      <c r="I116" s="296">
        <v>0</v>
      </c>
      <c r="J116" s="296">
        <v>7640790</v>
      </c>
      <c r="K116" s="296">
        <v>7640790</v>
      </c>
      <c r="L116" s="296">
        <v>7640790</v>
      </c>
      <c r="M116" s="296">
        <v>7640789.5287199998</v>
      </c>
      <c r="N116" s="296">
        <f t="shared" ref="N116:N179" si="21">M116-O116</f>
        <v>0</v>
      </c>
      <c r="O116" s="296">
        <v>7640789.5287199998</v>
      </c>
      <c r="P116" s="297">
        <f t="shared" ref="P116:P179" si="22">IF(K116=0,0,O116/K116*100)</f>
        <v>99.999993832051388</v>
      </c>
      <c r="Q116" s="297">
        <f t="shared" ref="Q116:Q179" si="23">IF(J116=0,0,O116/J116*100)</f>
        <v>99.999993832051388</v>
      </c>
      <c r="R116" s="307"/>
      <c r="S116" s="307"/>
      <c r="T116" s="307"/>
      <c r="U116" s="307"/>
      <c r="V116" s="242">
        <f t="shared" si="16"/>
        <v>0</v>
      </c>
      <c r="W116" s="242">
        <f t="shared" si="17"/>
        <v>0</v>
      </c>
      <c r="X116" s="242">
        <f t="shared" si="18"/>
        <v>0</v>
      </c>
      <c r="Y116" s="242">
        <f t="shared" si="19"/>
        <v>0</v>
      </c>
    </row>
    <row r="117" spans="1:25" ht="21">
      <c r="A117" s="280"/>
      <c r="B117" s="280"/>
      <c r="C117" s="280"/>
      <c r="D117" s="280" t="s">
        <v>885</v>
      </c>
      <c r="E117" s="280"/>
      <c r="F117" s="280"/>
      <c r="G117" s="281" t="s">
        <v>974</v>
      </c>
      <c r="H117" s="282">
        <v>220899</v>
      </c>
      <c r="I117" s="282">
        <v>356813</v>
      </c>
      <c r="J117" s="282">
        <v>356813</v>
      </c>
      <c r="K117" s="282">
        <v>356813</v>
      </c>
      <c r="L117" s="282">
        <v>356813</v>
      </c>
      <c r="M117" s="282">
        <v>356516.79019999999</v>
      </c>
      <c r="N117" s="282">
        <f t="shared" si="21"/>
        <v>2.0000000949949026E-4</v>
      </c>
      <c r="O117" s="282">
        <v>356516.79</v>
      </c>
      <c r="P117" s="283">
        <f t="shared" si="22"/>
        <v>99.916984526909047</v>
      </c>
      <c r="Q117" s="283">
        <f t="shared" si="23"/>
        <v>99.916984526909047</v>
      </c>
      <c r="R117" s="284"/>
      <c r="S117" s="284"/>
      <c r="T117" s="284"/>
      <c r="U117" s="284"/>
      <c r="V117" s="242">
        <f t="shared" si="16"/>
        <v>0</v>
      </c>
      <c r="W117" s="242">
        <f t="shared" si="17"/>
        <v>0</v>
      </c>
      <c r="X117" s="242">
        <f t="shared" si="18"/>
        <v>0</v>
      </c>
      <c r="Y117" s="242">
        <f t="shared" si="19"/>
        <v>0</v>
      </c>
    </row>
    <row r="118" spans="1:25" ht="12.75">
      <c r="A118" s="280"/>
      <c r="B118" s="280"/>
      <c r="C118" s="280"/>
      <c r="D118" s="280"/>
      <c r="E118" s="280" t="s">
        <v>858</v>
      </c>
      <c r="F118" s="280"/>
      <c r="G118" s="281" t="s">
        <v>921</v>
      </c>
      <c r="H118" s="282">
        <v>0</v>
      </c>
      <c r="I118" s="282">
        <v>0</v>
      </c>
      <c r="J118" s="282">
        <v>356813</v>
      </c>
      <c r="K118" s="282">
        <v>356813</v>
      </c>
      <c r="L118" s="282">
        <v>356813</v>
      </c>
      <c r="M118" s="282">
        <v>356516.79025000002</v>
      </c>
      <c r="N118" s="282">
        <f t="shared" si="21"/>
        <v>2.0000000949949026E-4</v>
      </c>
      <c r="O118" s="282">
        <v>356516.79005000001</v>
      </c>
      <c r="P118" s="283">
        <f t="shared" si="22"/>
        <v>99.916984540921987</v>
      </c>
      <c r="Q118" s="283">
        <f t="shared" si="23"/>
        <v>99.916984540921987</v>
      </c>
      <c r="R118" s="285"/>
      <c r="S118" s="285"/>
      <c r="T118" s="285"/>
      <c r="U118" s="287"/>
      <c r="V118" s="242">
        <f t="shared" si="16"/>
        <v>0</v>
      </c>
      <c r="W118" s="242">
        <f t="shared" si="17"/>
        <v>0</v>
      </c>
      <c r="X118" s="242">
        <f t="shared" si="18"/>
        <v>0</v>
      </c>
      <c r="Y118" s="242">
        <f t="shared" si="19"/>
        <v>0</v>
      </c>
    </row>
    <row r="119" spans="1:25" ht="21">
      <c r="A119" s="280"/>
      <c r="B119" s="280"/>
      <c r="C119" s="280"/>
      <c r="D119" s="280" t="s">
        <v>876</v>
      </c>
      <c r="E119" s="280"/>
      <c r="F119" s="280"/>
      <c r="G119" s="281" t="s">
        <v>975</v>
      </c>
      <c r="H119" s="282">
        <v>503761</v>
      </c>
      <c r="I119" s="282">
        <v>536188</v>
      </c>
      <c r="J119" s="282">
        <v>536188</v>
      </c>
      <c r="K119" s="282">
        <v>536188</v>
      </c>
      <c r="L119" s="282">
        <v>536188</v>
      </c>
      <c r="M119" s="282">
        <v>534991.55649999995</v>
      </c>
      <c r="N119" s="282">
        <f t="shared" si="21"/>
        <v>1.4999998966231942E-3</v>
      </c>
      <c r="O119" s="282">
        <v>534991.55500000005</v>
      </c>
      <c r="P119" s="283">
        <f t="shared" si="22"/>
        <v>99.776860914455384</v>
      </c>
      <c r="Q119" s="283">
        <f t="shared" si="23"/>
        <v>99.776860914455384</v>
      </c>
      <c r="R119" s="284"/>
      <c r="S119" s="284"/>
      <c r="T119" s="284"/>
      <c r="U119" s="284"/>
      <c r="V119" s="242">
        <f t="shared" si="16"/>
        <v>0</v>
      </c>
      <c r="W119" s="242">
        <f t="shared" si="17"/>
        <v>0</v>
      </c>
      <c r="X119" s="242">
        <f t="shared" si="18"/>
        <v>0</v>
      </c>
      <c r="Y119" s="242">
        <f t="shared" si="19"/>
        <v>0</v>
      </c>
    </row>
    <row r="120" spans="1:25" ht="12.75">
      <c r="A120" s="280"/>
      <c r="B120" s="280"/>
      <c r="C120" s="280"/>
      <c r="D120" s="280"/>
      <c r="E120" s="280" t="s">
        <v>858</v>
      </c>
      <c r="F120" s="280"/>
      <c r="G120" s="281" t="s">
        <v>921</v>
      </c>
      <c r="H120" s="282">
        <v>0</v>
      </c>
      <c r="I120" s="282">
        <v>0</v>
      </c>
      <c r="J120" s="282">
        <v>536188</v>
      </c>
      <c r="K120" s="282">
        <v>536188</v>
      </c>
      <c r="L120" s="282">
        <v>536188</v>
      </c>
      <c r="M120" s="282">
        <v>534991.55652999994</v>
      </c>
      <c r="N120" s="282">
        <f t="shared" si="21"/>
        <v>1.4999998966231942E-3</v>
      </c>
      <c r="O120" s="282">
        <v>534991.55503000005</v>
      </c>
      <c r="P120" s="283">
        <f t="shared" si="22"/>
        <v>99.776860920050439</v>
      </c>
      <c r="Q120" s="283">
        <f t="shared" si="23"/>
        <v>99.776860920050439</v>
      </c>
      <c r="R120" s="285"/>
      <c r="S120" s="285"/>
      <c r="T120" s="285"/>
      <c r="U120" s="287"/>
      <c r="V120" s="242">
        <f t="shared" si="16"/>
        <v>0</v>
      </c>
      <c r="W120" s="242">
        <f t="shared" si="17"/>
        <v>0</v>
      </c>
      <c r="X120" s="242">
        <f t="shared" si="18"/>
        <v>0</v>
      </c>
      <c r="Y120" s="242">
        <f t="shared" si="19"/>
        <v>0</v>
      </c>
    </row>
    <row r="121" spans="1:25" ht="21">
      <c r="A121" s="280"/>
      <c r="B121" s="280"/>
      <c r="C121" s="280"/>
      <c r="D121" s="280" t="s">
        <v>886</v>
      </c>
      <c r="E121" s="280"/>
      <c r="F121" s="280"/>
      <c r="G121" s="281" t="s">
        <v>976</v>
      </c>
      <c r="H121" s="282">
        <v>661050</v>
      </c>
      <c r="I121" s="282">
        <v>317598</v>
      </c>
      <c r="J121" s="282">
        <v>317598</v>
      </c>
      <c r="K121" s="282">
        <v>317598</v>
      </c>
      <c r="L121" s="282">
        <v>317598</v>
      </c>
      <c r="M121" s="282">
        <v>317497.58390000003</v>
      </c>
      <c r="N121" s="282">
        <f t="shared" si="21"/>
        <v>3.0000001424923539E-4</v>
      </c>
      <c r="O121" s="282">
        <v>317497.58360000001</v>
      </c>
      <c r="P121" s="283">
        <f t="shared" si="22"/>
        <v>99.968382546489593</v>
      </c>
      <c r="Q121" s="283">
        <f t="shared" si="23"/>
        <v>99.968382546489593</v>
      </c>
      <c r="R121" s="284"/>
      <c r="S121" s="284"/>
      <c r="T121" s="284"/>
      <c r="U121" s="284"/>
      <c r="V121" s="242">
        <f t="shared" si="16"/>
        <v>0</v>
      </c>
      <c r="W121" s="242">
        <f t="shared" si="17"/>
        <v>0</v>
      </c>
      <c r="X121" s="242">
        <f t="shared" si="18"/>
        <v>0</v>
      </c>
      <c r="Y121" s="242">
        <f t="shared" si="19"/>
        <v>0</v>
      </c>
    </row>
    <row r="122" spans="1:25" ht="31.5">
      <c r="A122" s="280"/>
      <c r="B122" s="280"/>
      <c r="C122" s="280"/>
      <c r="D122" s="280"/>
      <c r="E122" s="280" t="s">
        <v>848</v>
      </c>
      <c r="F122" s="280"/>
      <c r="G122" s="281" t="s">
        <v>977</v>
      </c>
      <c r="H122" s="282">
        <v>0</v>
      </c>
      <c r="I122" s="282">
        <v>0</v>
      </c>
      <c r="J122" s="282">
        <v>317598</v>
      </c>
      <c r="K122" s="282">
        <v>317598</v>
      </c>
      <c r="L122" s="282">
        <v>317598</v>
      </c>
      <c r="M122" s="282">
        <v>317497.58390000003</v>
      </c>
      <c r="N122" s="282">
        <f t="shared" si="21"/>
        <v>3.5000004572793841E-4</v>
      </c>
      <c r="O122" s="282">
        <v>317497.58354999998</v>
      </c>
      <c r="P122" s="283">
        <f t="shared" si="22"/>
        <v>99.96838253074641</v>
      </c>
      <c r="Q122" s="283">
        <f t="shared" si="23"/>
        <v>99.96838253074641</v>
      </c>
      <c r="R122" s="285"/>
      <c r="S122" s="285"/>
      <c r="T122" s="285"/>
      <c r="U122" s="287"/>
      <c r="V122" s="242">
        <f t="shared" si="16"/>
        <v>0</v>
      </c>
      <c r="W122" s="242">
        <f t="shared" si="17"/>
        <v>0</v>
      </c>
      <c r="X122" s="242">
        <f t="shared" si="18"/>
        <v>0</v>
      </c>
      <c r="Y122" s="242">
        <f t="shared" si="19"/>
        <v>0</v>
      </c>
    </row>
    <row r="123" spans="1:25" ht="52.5">
      <c r="A123" s="280"/>
      <c r="B123" s="280"/>
      <c r="C123" s="280"/>
      <c r="D123" s="280" t="s">
        <v>872</v>
      </c>
      <c r="E123" s="280"/>
      <c r="F123" s="280"/>
      <c r="G123" s="281" t="s">
        <v>979</v>
      </c>
      <c r="H123" s="282">
        <v>742851</v>
      </c>
      <c r="I123" s="282">
        <v>705862</v>
      </c>
      <c r="J123" s="282">
        <v>705862</v>
      </c>
      <c r="K123" s="282">
        <v>705862</v>
      </c>
      <c r="L123" s="282">
        <v>705862</v>
      </c>
      <c r="M123" s="282">
        <v>705581.94160000002</v>
      </c>
      <c r="N123" s="282">
        <f t="shared" si="21"/>
        <v>0</v>
      </c>
      <c r="O123" s="282">
        <v>705581.94160000002</v>
      </c>
      <c r="P123" s="283">
        <f t="shared" si="22"/>
        <v>99.960323916006246</v>
      </c>
      <c r="Q123" s="283">
        <f t="shared" si="23"/>
        <v>99.960323916006246</v>
      </c>
      <c r="R123" s="284"/>
      <c r="S123" s="284"/>
      <c r="T123" s="284"/>
      <c r="U123" s="284"/>
      <c r="V123" s="242">
        <f t="shared" si="16"/>
        <v>0</v>
      </c>
      <c r="W123" s="242">
        <f t="shared" si="17"/>
        <v>0</v>
      </c>
      <c r="X123" s="242">
        <f t="shared" si="18"/>
        <v>0</v>
      </c>
      <c r="Y123" s="242">
        <f t="shared" si="19"/>
        <v>0</v>
      </c>
    </row>
    <row r="124" spans="1:25" ht="12.75">
      <c r="A124" s="280"/>
      <c r="B124" s="280"/>
      <c r="C124" s="280"/>
      <c r="D124" s="280"/>
      <c r="E124" s="280" t="s">
        <v>858</v>
      </c>
      <c r="F124" s="280"/>
      <c r="G124" s="281" t="s">
        <v>921</v>
      </c>
      <c r="H124" s="282">
        <v>0</v>
      </c>
      <c r="I124" s="282">
        <v>0</v>
      </c>
      <c r="J124" s="282">
        <v>520604</v>
      </c>
      <c r="K124" s="282">
        <v>520604</v>
      </c>
      <c r="L124" s="282">
        <v>520604</v>
      </c>
      <c r="M124" s="282">
        <v>520324.00257999997</v>
      </c>
      <c r="N124" s="282">
        <f t="shared" si="21"/>
        <v>0</v>
      </c>
      <c r="O124" s="282">
        <v>520324.00257999997</v>
      </c>
      <c r="P124" s="283">
        <f t="shared" si="22"/>
        <v>99.946216813547338</v>
      </c>
      <c r="Q124" s="283">
        <f t="shared" si="23"/>
        <v>99.946216813547338</v>
      </c>
      <c r="R124" s="285"/>
      <c r="S124" s="285"/>
      <c r="T124" s="285"/>
      <c r="U124" s="287"/>
      <c r="V124" s="242">
        <f t="shared" si="16"/>
        <v>0</v>
      </c>
      <c r="W124" s="242">
        <f t="shared" si="17"/>
        <v>0</v>
      </c>
      <c r="X124" s="242">
        <f t="shared" si="18"/>
        <v>0</v>
      </c>
      <c r="Y124" s="242">
        <f t="shared" si="19"/>
        <v>0</v>
      </c>
    </row>
    <row r="125" spans="1:25" ht="12.75">
      <c r="A125" s="280"/>
      <c r="B125" s="280"/>
      <c r="C125" s="280"/>
      <c r="D125" s="280"/>
      <c r="E125" s="280" t="s">
        <v>905</v>
      </c>
      <c r="F125" s="280"/>
      <c r="G125" s="281" t="s">
        <v>918</v>
      </c>
      <c r="H125" s="282">
        <v>0</v>
      </c>
      <c r="I125" s="282">
        <v>0</v>
      </c>
      <c r="J125" s="282">
        <v>185258</v>
      </c>
      <c r="K125" s="282">
        <v>185258</v>
      </c>
      <c r="L125" s="282">
        <v>185258</v>
      </c>
      <c r="M125" s="282">
        <v>185257.93900000001</v>
      </c>
      <c r="N125" s="282">
        <f t="shared" si="21"/>
        <v>0</v>
      </c>
      <c r="O125" s="282">
        <v>185257.93900000001</v>
      </c>
      <c r="P125" s="283">
        <f t="shared" si="22"/>
        <v>99.99996707294693</v>
      </c>
      <c r="Q125" s="283">
        <f t="shared" si="23"/>
        <v>99.99996707294693</v>
      </c>
      <c r="R125" s="285"/>
      <c r="S125" s="285"/>
      <c r="T125" s="285"/>
      <c r="U125" s="287"/>
      <c r="V125" s="242">
        <f t="shared" si="16"/>
        <v>0</v>
      </c>
      <c r="W125" s="242">
        <f t="shared" si="17"/>
        <v>0</v>
      </c>
      <c r="X125" s="242">
        <f t="shared" si="18"/>
        <v>0</v>
      </c>
      <c r="Y125" s="242">
        <f t="shared" si="19"/>
        <v>0</v>
      </c>
    </row>
    <row r="126" spans="1:25" ht="21">
      <c r="A126" s="280"/>
      <c r="B126" s="280"/>
      <c r="C126" s="280"/>
      <c r="D126" s="280" t="s">
        <v>887</v>
      </c>
      <c r="E126" s="280"/>
      <c r="F126" s="280"/>
      <c r="G126" s="281" t="s">
        <v>980</v>
      </c>
      <c r="H126" s="282">
        <v>558032</v>
      </c>
      <c r="I126" s="282">
        <v>896933</v>
      </c>
      <c r="J126" s="282">
        <v>896933</v>
      </c>
      <c r="K126" s="282">
        <v>896933</v>
      </c>
      <c r="L126" s="282">
        <v>896933</v>
      </c>
      <c r="M126" s="282">
        <v>896931.84979999997</v>
      </c>
      <c r="N126" s="282">
        <f t="shared" si="21"/>
        <v>1.1999999405816197E-3</v>
      </c>
      <c r="O126" s="282">
        <v>896931.84860000003</v>
      </c>
      <c r="P126" s="283">
        <f t="shared" si="22"/>
        <v>99.999871629207533</v>
      </c>
      <c r="Q126" s="283">
        <f t="shared" si="23"/>
        <v>99.999871629207533</v>
      </c>
      <c r="R126" s="284"/>
      <c r="S126" s="284"/>
      <c r="T126" s="284"/>
      <c r="U126" s="284"/>
      <c r="V126" s="242">
        <f t="shared" si="16"/>
        <v>0</v>
      </c>
      <c r="W126" s="242">
        <f t="shared" si="17"/>
        <v>0</v>
      </c>
      <c r="X126" s="242">
        <f t="shared" si="18"/>
        <v>0</v>
      </c>
      <c r="Y126" s="242">
        <f t="shared" si="19"/>
        <v>0</v>
      </c>
    </row>
    <row r="127" spans="1:25" ht="12.75">
      <c r="A127" s="280"/>
      <c r="B127" s="280"/>
      <c r="C127" s="280"/>
      <c r="D127" s="280"/>
      <c r="E127" s="280" t="s">
        <v>858</v>
      </c>
      <c r="F127" s="280"/>
      <c r="G127" s="281" t="s">
        <v>921</v>
      </c>
      <c r="H127" s="282">
        <v>0</v>
      </c>
      <c r="I127" s="282">
        <v>0</v>
      </c>
      <c r="J127" s="282">
        <v>896933</v>
      </c>
      <c r="K127" s="282">
        <v>896933</v>
      </c>
      <c r="L127" s="282">
        <v>896933</v>
      </c>
      <c r="M127" s="282">
        <v>896931.84979000001</v>
      </c>
      <c r="N127" s="282">
        <f t="shared" si="21"/>
        <v>1.2000000569969416E-3</v>
      </c>
      <c r="O127" s="282">
        <v>896931.84858999995</v>
      </c>
      <c r="P127" s="283">
        <f t="shared" si="22"/>
        <v>99.99987162809262</v>
      </c>
      <c r="Q127" s="283">
        <f t="shared" si="23"/>
        <v>99.99987162809262</v>
      </c>
      <c r="R127" s="285"/>
      <c r="S127" s="285"/>
      <c r="T127" s="285"/>
      <c r="U127" s="287"/>
      <c r="V127" s="242">
        <f t="shared" si="16"/>
        <v>0</v>
      </c>
      <c r="W127" s="242">
        <f t="shared" si="17"/>
        <v>0</v>
      </c>
      <c r="X127" s="242">
        <f t="shared" si="18"/>
        <v>0</v>
      </c>
      <c r="Y127" s="242">
        <f t="shared" si="19"/>
        <v>0</v>
      </c>
    </row>
    <row r="128" spans="1:25" ht="31.5">
      <c r="A128" s="280"/>
      <c r="B128" s="280"/>
      <c r="C128" s="280"/>
      <c r="D128" s="280" t="s">
        <v>888</v>
      </c>
      <c r="E128" s="280"/>
      <c r="F128" s="280"/>
      <c r="G128" s="281" t="s">
        <v>981</v>
      </c>
      <c r="H128" s="282">
        <v>1299845</v>
      </c>
      <c r="I128" s="282">
        <v>1219647</v>
      </c>
      <c r="J128" s="282">
        <v>1219647</v>
      </c>
      <c r="K128" s="282">
        <v>1219647</v>
      </c>
      <c r="L128" s="282">
        <v>1219647</v>
      </c>
      <c r="M128" s="282">
        <v>1217754.4195999999</v>
      </c>
      <c r="N128" s="282">
        <f t="shared" si="21"/>
        <v>0</v>
      </c>
      <c r="O128" s="282">
        <v>1217754.4195999999</v>
      </c>
      <c r="P128" s="283">
        <f t="shared" si="22"/>
        <v>99.844825560182571</v>
      </c>
      <c r="Q128" s="283">
        <f t="shared" si="23"/>
        <v>99.844825560182571</v>
      </c>
      <c r="R128" s="284"/>
      <c r="S128" s="284"/>
      <c r="T128" s="284"/>
      <c r="U128" s="284"/>
      <c r="V128" s="242">
        <f t="shared" si="16"/>
        <v>0</v>
      </c>
      <c r="W128" s="242">
        <f t="shared" si="17"/>
        <v>0</v>
      </c>
      <c r="X128" s="242">
        <f t="shared" si="18"/>
        <v>0</v>
      </c>
      <c r="Y128" s="242">
        <f t="shared" si="19"/>
        <v>0</v>
      </c>
    </row>
    <row r="129" spans="1:25" ht="12.75">
      <c r="A129" s="280"/>
      <c r="B129" s="280"/>
      <c r="C129" s="280"/>
      <c r="D129" s="280"/>
      <c r="E129" s="280" t="s">
        <v>858</v>
      </c>
      <c r="F129" s="280"/>
      <c r="G129" s="281" t="s">
        <v>921</v>
      </c>
      <c r="H129" s="282">
        <v>0</v>
      </c>
      <c r="I129" s="282">
        <v>0</v>
      </c>
      <c r="J129" s="282">
        <v>1011930</v>
      </c>
      <c r="K129" s="282">
        <v>1011930</v>
      </c>
      <c r="L129" s="282">
        <v>1011930</v>
      </c>
      <c r="M129" s="282">
        <v>1010038.6619900001</v>
      </c>
      <c r="N129" s="282">
        <f t="shared" si="21"/>
        <v>0</v>
      </c>
      <c r="O129" s="282">
        <v>1010038.6619900001</v>
      </c>
      <c r="P129" s="283">
        <f t="shared" si="22"/>
        <v>99.81309596414772</v>
      </c>
      <c r="Q129" s="283">
        <f t="shared" si="23"/>
        <v>99.81309596414772</v>
      </c>
      <c r="R129" s="285"/>
      <c r="S129" s="285"/>
      <c r="T129" s="285"/>
      <c r="U129" s="287"/>
      <c r="V129" s="242">
        <f t="shared" si="16"/>
        <v>0</v>
      </c>
      <c r="W129" s="242">
        <f t="shared" si="17"/>
        <v>0</v>
      </c>
      <c r="X129" s="242">
        <f t="shared" si="18"/>
        <v>0</v>
      </c>
      <c r="Y129" s="242">
        <f t="shared" si="19"/>
        <v>0</v>
      </c>
    </row>
    <row r="130" spans="1:25" ht="12.75">
      <c r="A130" s="280"/>
      <c r="B130" s="280"/>
      <c r="C130" s="280"/>
      <c r="D130" s="280"/>
      <c r="E130" s="280" t="s">
        <v>905</v>
      </c>
      <c r="F130" s="280"/>
      <c r="G130" s="281" t="s">
        <v>918</v>
      </c>
      <c r="H130" s="282">
        <v>0</v>
      </c>
      <c r="I130" s="282">
        <v>0</v>
      </c>
      <c r="J130" s="282">
        <v>207717</v>
      </c>
      <c r="K130" s="282">
        <v>207717</v>
      </c>
      <c r="L130" s="282">
        <v>207717</v>
      </c>
      <c r="M130" s="282">
        <v>207715.75756</v>
      </c>
      <c r="N130" s="282">
        <f t="shared" si="21"/>
        <v>0</v>
      </c>
      <c r="O130" s="282">
        <v>207715.75756</v>
      </c>
      <c r="P130" s="283">
        <f t="shared" si="22"/>
        <v>99.999401859260445</v>
      </c>
      <c r="Q130" s="283">
        <f t="shared" si="23"/>
        <v>99.999401859260445</v>
      </c>
      <c r="R130" s="285"/>
      <c r="S130" s="285"/>
      <c r="T130" s="285"/>
      <c r="U130" s="287"/>
      <c r="V130" s="242">
        <f t="shared" si="16"/>
        <v>0</v>
      </c>
      <c r="W130" s="242">
        <f t="shared" si="17"/>
        <v>0</v>
      </c>
      <c r="X130" s="242">
        <f t="shared" si="18"/>
        <v>0</v>
      </c>
      <c r="Y130" s="242">
        <f t="shared" si="19"/>
        <v>0</v>
      </c>
    </row>
    <row r="131" spans="1:25" ht="21">
      <c r="A131" s="280"/>
      <c r="B131" s="280"/>
      <c r="C131" s="280"/>
      <c r="D131" s="280" t="s">
        <v>891</v>
      </c>
      <c r="E131" s="280"/>
      <c r="F131" s="280"/>
      <c r="G131" s="281" t="s">
        <v>982</v>
      </c>
      <c r="H131" s="282">
        <v>464466</v>
      </c>
      <c r="I131" s="282">
        <v>76628</v>
      </c>
      <c r="J131" s="282">
        <v>76628</v>
      </c>
      <c r="K131" s="282">
        <v>76628</v>
      </c>
      <c r="L131" s="282">
        <v>76628</v>
      </c>
      <c r="M131" s="282">
        <v>76626.45</v>
      </c>
      <c r="N131" s="282">
        <f t="shared" si="21"/>
        <v>0</v>
      </c>
      <c r="O131" s="282">
        <v>76626.45</v>
      </c>
      <c r="P131" s="283">
        <f t="shared" si="22"/>
        <v>99.997977240695306</v>
      </c>
      <c r="Q131" s="283">
        <f t="shared" si="23"/>
        <v>99.997977240695306</v>
      </c>
      <c r="R131" s="284"/>
      <c r="S131" s="284"/>
      <c r="T131" s="284"/>
      <c r="U131" s="284"/>
      <c r="V131" s="242">
        <f t="shared" si="16"/>
        <v>0</v>
      </c>
      <c r="W131" s="242">
        <f t="shared" si="17"/>
        <v>0</v>
      </c>
      <c r="X131" s="242">
        <f t="shared" si="18"/>
        <v>0</v>
      </c>
      <c r="Y131" s="242">
        <f t="shared" si="19"/>
        <v>0</v>
      </c>
    </row>
    <row r="132" spans="1:25" ht="12.75">
      <c r="A132" s="280"/>
      <c r="B132" s="280"/>
      <c r="C132" s="280"/>
      <c r="D132" s="280"/>
      <c r="E132" s="280" t="s">
        <v>858</v>
      </c>
      <c r="F132" s="280"/>
      <c r="G132" s="281" t="s">
        <v>921</v>
      </c>
      <c r="H132" s="282">
        <v>0</v>
      </c>
      <c r="I132" s="282">
        <v>0</v>
      </c>
      <c r="J132" s="282">
        <v>76628</v>
      </c>
      <c r="K132" s="282">
        <v>76628</v>
      </c>
      <c r="L132" s="282">
        <v>76628</v>
      </c>
      <c r="M132" s="282">
        <v>76626.45</v>
      </c>
      <c r="N132" s="282">
        <f t="shared" si="21"/>
        <v>0</v>
      </c>
      <c r="O132" s="282">
        <v>76626.45</v>
      </c>
      <c r="P132" s="283">
        <f t="shared" si="22"/>
        <v>99.997977240695306</v>
      </c>
      <c r="Q132" s="283">
        <f t="shared" si="23"/>
        <v>99.997977240695306</v>
      </c>
      <c r="R132" s="285"/>
      <c r="S132" s="285"/>
      <c r="T132" s="285"/>
      <c r="U132" s="287"/>
      <c r="V132" s="242">
        <f t="shared" si="16"/>
        <v>0</v>
      </c>
      <c r="W132" s="242">
        <f t="shared" si="17"/>
        <v>0</v>
      </c>
      <c r="X132" s="242">
        <f t="shared" si="18"/>
        <v>0</v>
      </c>
      <c r="Y132" s="242">
        <f t="shared" si="19"/>
        <v>0</v>
      </c>
    </row>
    <row r="133" spans="1:25" ht="31.5">
      <c r="A133" s="280"/>
      <c r="B133" s="280"/>
      <c r="C133" s="294"/>
      <c r="D133" s="294" t="s">
        <v>983</v>
      </c>
      <c r="E133" s="294"/>
      <c r="F133" s="294"/>
      <c r="G133" s="295" t="s">
        <v>984</v>
      </c>
      <c r="H133" s="296">
        <v>3732734</v>
      </c>
      <c r="I133" s="296">
        <v>4906283</v>
      </c>
      <c r="J133" s="296">
        <v>4906283</v>
      </c>
      <c r="K133" s="296">
        <v>4906283</v>
      </c>
      <c r="L133" s="296">
        <v>4906283</v>
      </c>
      <c r="M133" s="296">
        <v>4906143.2285000002</v>
      </c>
      <c r="N133" s="296">
        <f t="shared" si="21"/>
        <v>0</v>
      </c>
      <c r="O133" s="296">
        <v>4906143.2285000002</v>
      </c>
      <c r="P133" s="297">
        <f t="shared" si="22"/>
        <v>99.997151173301674</v>
      </c>
      <c r="Q133" s="297">
        <f t="shared" si="23"/>
        <v>99.997151173301674</v>
      </c>
      <c r="R133" s="298"/>
      <c r="S133" s="298"/>
      <c r="T133" s="298"/>
      <c r="U133" s="298"/>
      <c r="V133" s="242">
        <f t="shared" si="16"/>
        <v>0</v>
      </c>
      <c r="W133" s="242">
        <f t="shared" si="17"/>
        <v>0</v>
      </c>
      <c r="X133" s="242">
        <f t="shared" si="18"/>
        <v>0</v>
      </c>
      <c r="Y133" s="242">
        <f t="shared" si="19"/>
        <v>0</v>
      </c>
    </row>
    <row r="134" spans="1:25" ht="52.5">
      <c r="A134" s="280"/>
      <c r="B134" s="280"/>
      <c r="C134" s="294"/>
      <c r="D134" s="294"/>
      <c r="E134" s="294" t="s">
        <v>848</v>
      </c>
      <c r="F134" s="294"/>
      <c r="G134" s="295" t="s">
        <v>985</v>
      </c>
      <c r="H134" s="296">
        <v>0</v>
      </c>
      <c r="I134" s="296">
        <v>0</v>
      </c>
      <c r="J134" s="296">
        <v>3436530</v>
      </c>
      <c r="K134" s="296">
        <v>3436530</v>
      </c>
      <c r="L134" s="296">
        <v>3436530</v>
      </c>
      <c r="M134" s="296">
        <v>3436530</v>
      </c>
      <c r="N134" s="296">
        <f t="shared" si="21"/>
        <v>0</v>
      </c>
      <c r="O134" s="296">
        <v>3436530</v>
      </c>
      <c r="P134" s="297">
        <f t="shared" si="22"/>
        <v>100</v>
      </c>
      <c r="Q134" s="297">
        <f t="shared" si="23"/>
        <v>100</v>
      </c>
      <c r="R134" s="298"/>
      <c r="S134" s="298"/>
      <c r="T134" s="298"/>
      <c r="U134" s="298"/>
      <c r="V134" s="242">
        <f t="shared" si="16"/>
        <v>0</v>
      </c>
      <c r="W134" s="242">
        <f t="shared" si="17"/>
        <v>0</v>
      </c>
      <c r="X134" s="242">
        <f t="shared" si="18"/>
        <v>0</v>
      </c>
      <c r="Y134" s="242">
        <f t="shared" si="19"/>
        <v>0</v>
      </c>
    </row>
    <row r="135" spans="1:25" ht="31.5">
      <c r="A135" s="280"/>
      <c r="B135" s="280"/>
      <c r="C135" s="294"/>
      <c r="D135" s="294"/>
      <c r="E135" s="294" t="s">
        <v>845</v>
      </c>
      <c r="F135" s="294"/>
      <c r="G135" s="295" t="s">
        <v>986</v>
      </c>
      <c r="H135" s="296">
        <v>0</v>
      </c>
      <c r="I135" s="296">
        <v>0</v>
      </c>
      <c r="J135" s="296">
        <v>676097</v>
      </c>
      <c r="K135" s="296">
        <v>676097</v>
      </c>
      <c r="L135" s="296">
        <v>676097</v>
      </c>
      <c r="M135" s="296">
        <v>675957.22849999997</v>
      </c>
      <c r="N135" s="296">
        <f t="shared" si="21"/>
        <v>0</v>
      </c>
      <c r="O135" s="296">
        <v>675957.22849999997</v>
      </c>
      <c r="P135" s="297">
        <f t="shared" si="22"/>
        <v>99.979326709037309</v>
      </c>
      <c r="Q135" s="297">
        <f t="shared" si="23"/>
        <v>99.979326709037309</v>
      </c>
      <c r="R135" s="298"/>
      <c r="S135" s="298"/>
      <c r="T135" s="298"/>
      <c r="U135" s="298"/>
      <c r="V135" s="242">
        <f t="shared" si="16"/>
        <v>0</v>
      </c>
      <c r="W135" s="242">
        <f t="shared" si="17"/>
        <v>0</v>
      </c>
      <c r="X135" s="242">
        <f t="shared" si="18"/>
        <v>0</v>
      </c>
      <c r="Y135" s="242">
        <f t="shared" si="19"/>
        <v>0</v>
      </c>
    </row>
    <row r="136" spans="1:25" ht="31.5">
      <c r="A136" s="280"/>
      <c r="B136" s="280"/>
      <c r="C136" s="294"/>
      <c r="D136" s="294"/>
      <c r="E136" s="294" t="s">
        <v>854</v>
      </c>
      <c r="F136" s="294"/>
      <c r="G136" s="295" t="s">
        <v>987</v>
      </c>
      <c r="H136" s="296">
        <v>0</v>
      </c>
      <c r="I136" s="296">
        <v>0</v>
      </c>
      <c r="J136" s="296">
        <v>698903</v>
      </c>
      <c r="K136" s="296">
        <v>698903</v>
      </c>
      <c r="L136" s="296">
        <v>698903</v>
      </c>
      <c r="M136" s="296">
        <v>698903</v>
      </c>
      <c r="N136" s="296">
        <f t="shared" si="21"/>
        <v>0</v>
      </c>
      <c r="O136" s="296">
        <v>698903</v>
      </c>
      <c r="P136" s="297">
        <f t="shared" si="22"/>
        <v>100</v>
      </c>
      <c r="Q136" s="297">
        <f t="shared" si="23"/>
        <v>100</v>
      </c>
      <c r="R136" s="298"/>
      <c r="S136" s="298"/>
      <c r="T136" s="298"/>
      <c r="U136" s="298"/>
      <c r="V136" s="242">
        <f t="shared" si="16"/>
        <v>0</v>
      </c>
      <c r="W136" s="242">
        <f t="shared" si="17"/>
        <v>0</v>
      </c>
      <c r="X136" s="242">
        <f t="shared" si="18"/>
        <v>0</v>
      </c>
      <c r="Y136" s="242">
        <f t="shared" si="19"/>
        <v>0</v>
      </c>
    </row>
    <row r="137" spans="1:25" ht="31.5">
      <c r="A137" s="280"/>
      <c r="B137" s="280"/>
      <c r="C137" s="294"/>
      <c r="D137" s="294"/>
      <c r="E137" s="294" t="s">
        <v>879</v>
      </c>
      <c r="F137" s="294"/>
      <c r="G137" s="295" t="s">
        <v>988</v>
      </c>
      <c r="H137" s="296">
        <v>0</v>
      </c>
      <c r="I137" s="296">
        <v>0</v>
      </c>
      <c r="J137" s="296">
        <v>51753</v>
      </c>
      <c r="K137" s="296">
        <v>51753</v>
      </c>
      <c r="L137" s="296">
        <v>51753</v>
      </c>
      <c r="M137" s="296">
        <v>51753</v>
      </c>
      <c r="N137" s="296">
        <f t="shared" si="21"/>
        <v>0</v>
      </c>
      <c r="O137" s="296">
        <v>51753</v>
      </c>
      <c r="P137" s="297">
        <f t="shared" si="22"/>
        <v>100</v>
      </c>
      <c r="Q137" s="297">
        <f t="shared" si="23"/>
        <v>100</v>
      </c>
      <c r="R137" s="298"/>
      <c r="S137" s="298"/>
      <c r="T137" s="298"/>
      <c r="U137" s="298"/>
      <c r="V137" s="242">
        <f t="shared" si="16"/>
        <v>0</v>
      </c>
      <c r="W137" s="242">
        <f t="shared" si="17"/>
        <v>0</v>
      </c>
      <c r="X137" s="242">
        <f t="shared" si="18"/>
        <v>0</v>
      </c>
      <c r="Y137" s="242">
        <f t="shared" si="19"/>
        <v>0</v>
      </c>
    </row>
    <row r="138" spans="1:25" ht="21">
      <c r="A138" s="280"/>
      <c r="B138" s="280"/>
      <c r="C138" s="294"/>
      <c r="D138" s="294"/>
      <c r="E138" s="294" t="s">
        <v>855</v>
      </c>
      <c r="F138" s="294"/>
      <c r="G138" s="295" t="s">
        <v>989</v>
      </c>
      <c r="H138" s="296">
        <v>0</v>
      </c>
      <c r="I138" s="296">
        <v>0</v>
      </c>
      <c r="J138" s="296">
        <v>43000</v>
      </c>
      <c r="K138" s="296">
        <v>43000</v>
      </c>
      <c r="L138" s="296">
        <v>43000</v>
      </c>
      <c r="M138" s="296">
        <v>43000</v>
      </c>
      <c r="N138" s="296">
        <f t="shared" si="21"/>
        <v>0</v>
      </c>
      <c r="O138" s="296">
        <v>43000</v>
      </c>
      <c r="P138" s="297">
        <f t="shared" si="22"/>
        <v>100</v>
      </c>
      <c r="Q138" s="297">
        <f t="shared" si="23"/>
        <v>100</v>
      </c>
      <c r="R138" s="298"/>
      <c r="S138" s="298"/>
      <c r="T138" s="298"/>
      <c r="U138" s="298"/>
      <c r="V138" s="242">
        <f t="shared" si="16"/>
        <v>0</v>
      </c>
      <c r="W138" s="242">
        <f t="shared" si="17"/>
        <v>0</v>
      </c>
      <c r="X138" s="242">
        <f t="shared" si="18"/>
        <v>0</v>
      </c>
      <c r="Y138" s="242">
        <f t="shared" si="19"/>
        <v>0</v>
      </c>
    </row>
    <row r="139" spans="1:25">
      <c r="A139" s="280"/>
      <c r="B139" s="280" t="s">
        <v>901</v>
      </c>
      <c r="C139" s="294"/>
      <c r="D139" s="294"/>
      <c r="E139" s="294"/>
      <c r="F139" s="294"/>
      <c r="G139" s="295" t="s">
        <v>990</v>
      </c>
      <c r="H139" s="296">
        <v>159537929</v>
      </c>
      <c r="I139" s="296">
        <v>166319448.30000001</v>
      </c>
      <c r="J139" s="296">
        <v>166319448.30000001</v>
      </c>
      <c r="K139" s="296">
        <v>166319448.30000001</v>
      </c>
      <c r="L139" s="296">
        <v>166319448.30000001</v>
      </c>
      <c r="M139" s="296">
        <v>166239710.25369999</v>
      </c>
      <c r="N139" s="296">
        <f t="shared" si="21"/>
        <v>3906.0497999787331</v>
      </c>
      <c r="O139" s="296">
        <v>166235804.20390001</v>
      </c>
      <c r="P139" s="297">
        <f t="shared" si="22"/>
        <v>99.94970877010779</v>
      </c>
      <c r="Q139" s="297">
        <f t="shared" si="23"/>
        <v>99.94970877010779</v>
      </c>
      <c r="R139" s="298"/>
      <c r="S139" s="298"/>
      <c r="T139" s="298"/>
      <c r="U139" s="298"/>
      <c r="V139" s="242">
        <f t="shared" si="16"/>
        <v>0</v>
      </c>
      <c r="W139" s="242">
        <f t="shared" si="17"/>
        <v>0</v>
      </c>
      <c r="X139" s="242">
        <f t="shared" si="18"/>
        <v>0</v>
      </c>
      <c r="Y139" s="242">
        <f t="shared" si="19"/>
        <v>0</v>
      </c>
    </row>
    <row r="140" spans="1:25" s="647" customFormat="1">
      <c r="A140" s="643"/>
      <c r="B140" s="643"/>
      <c r="C140" s="643" t="s">
        <v>936</v>
      </c>
      <c r="D140" s="643"/>
      <c r="E140" s="643"/>
      <c r="F140" s="643"/>
      <c r="G140" s="644" t="s">
        <v>937</v>
      </c>
      <c r="H140" s="645">
        <v>139899096</v>
      </c>
      <c r="I140" s="645">
        <v>145842502.30000001</v>
      </c>
      <c r="J140" s="645">
        <v>145842502.30000001</v>
      </c>
      <c r="K140" s="645">
        <v>145842502.30000001</v>
      </c>
      <c r="L140" s="645">
        <v>145842502.30000001</v>
      </c>
      <c r="M140" s="645">
        <v>145777314.37850001</v>
      </c>
      <c r="N140" s="645">
        <f t="shared" si="21"/>
        <v>983.27890002727509</v>
      </c>
      <c r="O140" s="645">
        <v>145776331.09959999</v>
      </c>
      <c r="P140" s="646">
        <f t="shared" si="22"/>
        <v>99.954628315232881</v>
      </c>
      <c r="Q140" s="646">
        <f t="shared" si="23"/>
        <v>99.954628315232881</v>
      </c>
      <c r="V140" s="242">
        <f t="shared" si="16"/>
        <v>0</v>
      </c>
      <c r="W140" s="242">
        <f t="shared" si="17"/>
        <v>145842502.30000001</v>
      </c>
      <c r="X140" s="242">
        <f t="shared" si="18"/>
        <v>0</v>
      </c>
      <c r="Y140" s="242">
        <f t="shared" si="19"/>
        <v>0</v>
      </c>
    </row>
    <row r="141" spans="1:25" ht="31.5">
      <c r="A141" s="280"/>
      <c r="B141" s="280"/>
      <c r="C141" s="280"/>
      <c r="D141" s="280" t="s">
        <v>894</v>
      </c>
      <c r="E141" s="280"/>
      <c r="F141" s="280"/>
      <c r="G141" s="281" t="s">
        <v>991</v>
      </c>
      <c r="H141" s="282">
        <v>122971008</v>
      </c>
      <c r="I141" s="282">
        <v>127699239.8</v>
      </c>
      <c r="J141" s="282">
        <v>127699239.8</v>
      </c>
      <c r="K141" s="282">
        <v>127699239.8</v>
      </c>
      <c r="L141" s="282">
        <v>127699239.8</v>
      </c>
      <c r="M141" s="282">
        <v>127672320.0906</v>
      </c>
      <c r="N141" s="282">
        <f t="shared" si="21"/>
        <v>372.5823999941349</v>
      </c>
      <c r="O141" s="282">
        <v>127671947.5082</v>
      </c>
      <c r="P141" s="283">
        <f t="shared" si="22"/>
        <v>99.978627678721708</v>
      </c>
      <c r="Q141" s="283">
        <f t="shared" si="23"/>
        <v>99.978627678721708</v>
      </c>
      <c r="R141" s="284"/>
      <c r="S141" s="284"/>
      <c r="T141" s="284"/>
      <c r="U141" s="284"/>
      <c r="V141" s="242">
        <f t="shared" ref="V141:V204" si="24">IF(C141="226",J141,0)</f>
        <v>0</v>
      </c>
      <c r="W141" s="242">
        <f t="shared" ref="W141:W204" si="25">IF(C141="253",J141,0)</f>
        <v>0</v>
      </c>
      <c r="X141" s="242">
        <f t="shared" ref="X141:X204" si="26">IF(C141="353",J141,0)</f>
        <v>0</v>
      </c>
      <c r="Y141" s="242">
        <f t="shared" ref="Y141:Y204" si="27">IF(C141="694",J141,0)</f>
        <v>0</v>
      </c>
    </row>
    <row r="142" spans="1:25" ht="12.75">
      <c r="A142" s="280"/>
      <c r="B142" s="280"/>
      <c r="C142" s="280"/>
      <c r="D142" s="280"/>
      <c r="E142" s="280" t="s">
        <v>858</v>
      </c>
      <c r="F142" s="280"/>
      <c r="G142" s="281" t="s">
        <v>921</v>
      </c>
      <c r="H142" s="282">
        <v>0</v>
      </c>
      <c r="I142" s="282">
        <v>0</v>
      </c>
      <c r="J142" s="282">
        <v>21970113</v>
      </c>
      <c r="K142" s="282">
        <v>21970113</v>
      </c>
      <c r="L142" s="282">
        <v>21970113</v>
      </c>
      <c r="M142" s="282">
        <v>21944011.8246</v>
      </c>
      <c r="N142" s="282">
        <f t="shared" si="21"/>
        <v>261.96719999983907</v>
      </c>
      <c r="O142" s="282">
        <v>21943749.8574</v>
      </c>
      <c r="P142" s="283">
        <f t="shared" si="22"/>
        <v>99.880004519776477</v>
      </c>
      <c r="Q142" s="283">
        <f t="shared" si="23"/>
        <v>99.880004519776477</v>
      </c>
      <c r="R142" s="285"/>
      <c r="S142" s="286"/>
      <c r="T142" s="293"/>
      <c r="U142" s="287"/>
      <c r="V142" s="242">
        <f t="shared" si="24"/>
        <v>0</v>
      </c>
      <c r="W142" s="242">
        <f t="shared" si="25"/>
        <v>0</v>
      </c>
      <c r="X142" s="242">
        <f t="shared" si="26"/>
        <v>0</v>
      </c>
      <c r="Y142" s="242">
        <f t="shared" si="27"/>
        <v>0</v>
      </c>
    </row>
    <row r="143" spans="1:25" ht="12.75">
      <c r="A143" s="280"/>
      <c r="B143" s="280"/>
      <c r="C143" s="280"/>
      <c r="D143" s="280"/>
      <c r="E143" s="280" t="s">
        <v>905</v>
      </c>
      <c r="F143" s="280"/>
      <c r="G143" s="281" t="s">
        <v>918</v>
      </c>
      <c r="H143" s="282">
        <v>0</v>
      </c>
      <c r="I143" s="282">
        <v>0</v>
      </c>
      <c r="J143" s="282">
        <v>105729126.8</v>
      </c>
      <c r="K143" s="282">
        <v>105729126.8</v>
      </c>
      <c r="L143" s="282">
        <v>105729126.8</v>
      </c>
      <c r="M143" s="282">
        <v>105728308.2659</v>
      </c>
      <c r="N143" s="282">
        <f t="shared" si="21"/>
        <v>110.61519999802113</v>
      </c>
      <c r="O143" s="282">
        <v>105728197.6507</v>
      </c>
      <c r="P143" s="283">
        <f t="shared" si="22"/>
        <v>99.999121198360257</v>
      </c>
      <c r="Q143" s="283">
        <f t="shared" si="23"/>
        <v>99.999121198360257</v>
      </c>
      <c r="R143" s="285"/>
      <c r="S143" s="286"/>
      <c r="T143" s="293"/>
      <c r="U143" s="287"/>
      <c r="V143" s="242">
        <f t="shared" si="24"/>
        <v>0</v>
      </c>
      <c r="W143" s="242">
        <f t="shared" si="25"/>
        <v>0</v>
      </c>
      <c r="X143" s="242">
        <f t="shared" si="26"/>
        <v>0</v>
      </c>
      <c r="Y143" s="242">
        <f t="shared" si="27"/>
        <v>0</v>
      </c>
    </row>
    <row r="144" spans="1:25" ht="42">
      <c r="A144" s="280"/>
      <c r="B144" s="280"/>
      <c r="C144" s="280"/>
      <c r="D144" s="280" t="s">
        <v>882</v>
      </c>
      <c r="E144" s="280"/>
      <c r="F144" s="280"/>
      <c r="G144" s="281" t="s">
        <v>992</v>
      </c>
      <c r="H144" s="282">
        <v>14033301</v>
      </c>
      <c r="I144" s="282">
        <v>13281633.4</v>
      </c>
      <c r="J144" s="282">
        <f>J145+J146+J147+J148</f>
        <v>13243633.4</v>
      </c>
      <c r="K144" s="282">
        <v>13243633.4</v>
      </c>
      <c r="L144" s="282">
        <v>13243633.4</v>
      </c>
      <c r="M144" s="282">
        <v>13208444.5375</v>
      </c>
      <c r="N144" s="282">
        <f t="shared" si="21"/>
        <v>320.67379999905825</v>
      </c>
      <c r="O144" s="282">
        <v>13208123.863700001</v>
      </c>
      <c r="P144" s="283">
        <f t="shared" si="22"/>
        <v>99.731874665905508</v>
      </c>
      <c r="Q144" s="283">
        <f t="shared" si="23"/>
        <v>99.731874665905508</v>
      </c>
      <c r="R144" s="284"/>
      <c r="S144" s="284"/>
      <c r="T144" s="284"/>
      <c r="U144" s="284"/>
      <c r="V144" s="242">
        <f t="shared" si="24"/>
        <v>0</v>
      </c>
      <c r="W144" s="242">
        <f t="shared" si="25"/>
        <v>0</v>
      </c>
      <c r="X144" s="242">
        <f t="shared" si="26"/>
        <v>0</v>
      </c>
      <c r="Y144" s="242">
        <f t="shared" si="27"/>
        <v>0</v>
      </c>
    </row>
    <row r="145" spans="1:25" ht="21">
      <c r="A145" s="280"/>
      <c r="B145" s="280"/>
      <c r="C145" s="280"/>
      <c r="D145" s="280"/>
      <c r="E145" s="280" t="s">
        <v>845</v>
      </c>
      <c r="F145" s="280"/>
      <c r="G145" s="281" t="s">
        <v>993</v>
      </c>
      <c r="H145" s="282">
        <v>0</v>
      </c>
      <c r="I145" s="282">
        <v>0</v>
      </c>
      <c r="J145" s="282">
        <v>441095.5</v>
      </c>
      <c r="K145" s="282">
        <v>441095.5</v>
      </c>
      <c r="L145" s="282">
        <v>441095.5</v>
      </c>
      <c r="M145" s="282">
        <v>441060.24920000002</v>
      </c>
      <c r="N145" s="282">
        <f t="shared" si="21"/>
        <v>0</v>
      </c>
      <c r="O145" s="282">
        <v>441060.24920000002</v>
      </c>
      <c r="P145" s="283">
        <f t="shared" si="22"/>
        <v>99.992008351932853</v>
      </c>
      <c r="Q145" s="283">
        <f t="shared" si="23"/>
        <v>99.992008351932853</v>
      </c>
      <c r="R145" s="285"/>
      <c r="S145" s="285"/>
      <c r="T145" s="285"/>
      <c r="U145" s="287"/>
      <c r="V145" s="242">
        <f t="shared" si="24"/>
        <v>0</v>
      </c>
      <c r="W145" s="242">
        <f t="shared" si="25"/>
        <v>0</v>
      </c>
      <c r="X145" s="242">
        <f t="shared" si="26"/>
        <v>0</v>
      </c>
      <c r="Y145" s="242">
        <f t="shared" si="27"/>
        <v>0</v>
      </c>
    </row>
    <row r="146" spans="1:25" ht="21">
      <c r="A146" s="280"/>
      <c r="B146" s="280"/>
      <c r="C146" s="280"/>
      <c r="D146" s="280"/>
      <c r="E146" s="280" t="s">
        <v>854</v>
      </c>
      <c r="F146" s="280"/>
      <c r="G146" s="281" t="s">
        <v>994</v>
      </c>
      <c r="H146" s="282">
        <v>0</v>
      </c>
      <c r="I146" s="282">
        <v>0</v>
      </c>
      <c r="J146" s="282">
        <v>456445.5</v>
      </c>
      <c r="K146" s="282">
        <v>456445.5</v>
      </c>
      <c r="L146" s="282">
        <v>456445.5</v>
      </c>
      <c r="M146" s="282">
        <v>450858.04830000002</v>
      </c>
      <c r="N146" s="282">
        <f t="shared" si="21"/>
        <v>0</v>
      </c>
      <c r="O146" s="282">
        <v>450858.04830000002</v>
      </c>
      <c r="P146" s="283">
        <f t="shared" si="22"/>
        <v>98.775877580127315</v>
      </c>
      <c r="Q146" s="283">
        <f t="shared" si="23"/>
        <v>98.775877580127315</v>
      </c>
      <c r="R146" s="285"/>
      <c r="S146" s="285"/>
      <c r="T146" s="285"/>
      <c r="U146" s="287"/>
      <c r="V146" s="242">
        <f t="shared" si="24"/>
        <v>0</v>
      </c>
      <c r="W146" s="242">
        <f t="shared" si="25"/>
        <v>0</v>
      </c>
      <c r="X146" s="242">
        <f t="shared" si="26"/>
        <v>0</v>
      </c>
      <c r="Y146" s="242">
        <f t="shared" si="27"/>
        <v>0</v>
      </c>
    </row>
    <row r="147" spans="1:25" ht="31.5">
      <c r="A147" s="280"/>
      <c r="B147" s="280"/>
      <c r="C147" s="280"/>
      <c r="D147" s="280"/>
      <c r="E147" s="280" t="s">
        <v>879</v>
      </c>
      <c r="F147" s="280"/>
      <c r="G147" s="281" t="s">
        <v>995</v>
      </c>
      <c r="H147" s="282">
        <v>0</v>
      </c>
      <c r="I147" s="282">
        <v>0</v>
      </c>
      <c r="J147" s="282">
        <v>355955.9</v>
      </c>
      <c r="K147" s="282">
        <v>355955.9</v>
      </c>
      <c r="L147" s="282">
        <v>355955.9</v>
      </c>
      <c r="M147" s="282">
        <v>355952.89909999998</v>
      </c>
      <c r="N147" s="282">
        <f t="shared" si="21"/>
        <v>277.87799999996787</v>
      </c>
      <c r="O147" s="282">
        <v>355675.02110000001</v>
      </c>
      <c r="P147" s="283">
        <f t="shared" si="22"/>
        <v>99.921091657702547</v>
      </c>
      <c r="Q147" s="283">
        <f t="shared" si="23"/>
        <v>99.921091657702547</v>
      </c>
      <c r="R147" s="285"/>
      <c r="S147" s="285"/>
      <c r="T147" s="285"/>
      <c r="U147" s="287"/>
      <c r="V147" s="242">
        <f t="shared" si="24"/>
        <v>0</v>
      </c>
      <c r="W147" s="242">
        <f t="shared" si="25"/>
        <v>0</v>
      </c>
      <c r="X147" s="242">
        <f t="shared" si="26"/>
        <v>0</v>
      </c>
      <c r="Y147" s="242">
        <f t="shared" si="27"/>
        <v>0</v>
      </c>
    </row>
    <row r="148" spans="1:25" ht="42">
      <c r="A148" s="280"/>
      <c r="B148" s="280"/>
      <c r="C148" s="280"/>
      <c r="D148" s="280"/>
      <c r="E148" s="280" t="s">
        <v>855</v>
      </c>
      <c r="F148" s="280"/>
      <c r="G148" s="281" t="s">
        <v>992</v>
      </c>
      <c r="H148" s="282">
        <v>0</v>
      </c>
      <c r="I148" s="282">
        <v>0</v>
      </c>
      <c r="J148" s="282">
        <v>11990136.5</v>
      </c>
      <c r="K148" s="282">
        <v>11990136.5</v>
      </c>
      <c r="L148" s="282">
        <v>11990136.5</v>
      </c>
      <c r="M148" s="282">
        <v>11960573.3409</v>
      </c>
      <c r="N148" s="282">
        <f t="shared" si="21"/>
        <v>42.795700000599027</v>
      </c>
      <c r="O148" s="282">
        <v>11960530.5452</v>
      </c>
      <c r="P148" s="283">
        <f t="shared" si="22"/>
        <v>99.753080752666989</v>
      </c>
      <c r="Q148" s="283">
        <f t="shared" si="23"/>
        <v>99.753080752666989</v>
      </c>
      <c r="R148" s="285"/>
      <c r="S148" s="285"/>
      <c r="T148" s="285"/>
      <c r="U148" s="287"/>
      <c r="V148" s="242">
        <f t="shared" si="24"/>
        <v>0</v>
      </c>
      <c r="W148" s="242">
        <f t="shared" si="25"/>
        <v>0</v>
      </c>
      <c r="X148" s="242">
        <f t="shared" si="26"/>
        <v>0</v>
      </c>
      <c r="Y148" s="242">
        <f t="shared" si="27"/>
        <v>0</v>
      </c>
    </row>
    <row r="149" spans="1:25" ht="31.5">
      <c r="A149" s="280"/>
      <c r="B149" s="280"/>
      <c r="C149" s="280"/>
      <c r="D149" s="280" t="s">
        <v>996</v>
      </c>
      <c r="E149" s="280"/>
      <c r="F149" s="280"/>
      <c r="G149" s="281" t="s">
        <v>997</v>
      </c>
      <c r="H149" s="282">
        <v>2894787</v>
      </c>
      <c r="I149" s="282">
        <v>4861629.0999999996</v>
      </c>
      <c r="J149" s="282">
        <v>4899629.0999999996</v>
      </c>
      <c r="K149" s="282">
        <v>4899629.0999999996</v>
      </c>
      <c r="L149" s="282">
        <v>4899629.0999999996</v>
      </c>
      <c r="M149" s="282">
        <v>4896549.7505000001</v>
      </c>
      <c r="N149" s="282">
        <f t="shared" si="21"/>
        <v>290.02290000021458</v>
      </c>
      <c r="O149" s="282">
        <v>4896259.7275999999</v>
      </c>
      <c r="P149" s="283">
        <f t="shared" si="22"/>
        <v>99.931232092649637</v>
      </c>
      <c r="Q149" s="283">
        <f t="shared" si="23"/>
        <v>99.931232092649637</v>
      </c>
      <c r="R149" s="284"/>
      <c r="S149" s="284"/>
      <c r="T149" s="284"/>
      <c r="U149" s="284"/>
      <c r="V149" s="242">
        <f t="shared" si="24"/>
        <v>0</v>
      </c>
      <c r="W149" s="242">
        <f t="shared" si="25"/>
        <v>0</v>
      </c>
      <c r="X149" s="242">
        <f t="shared" si="26"/>
        <v>0</v>
      </c>
      <c r="Y149" s="242">
        <f t="shared" si="27"/>
        <v>0</v>
      </c>
    </row>
    <row r="150" spans="1:25" ht="12.75">
      <c r="A150" s="280"/>
      <c r="B150" s="280"/>
      <c r="C150" s="280"/>
      <c r="D150" s="280"/>
      <c r="E150" s="280" t="s">
        <v>858</v>
      </c>
      <c r="F150" s="280"/>
      <c r="G150" s="281" t="s">
        <v>921</v>
      </c>
      <c r="H150" s="282">
        <v>0</v>
      </c>
      <c r="I150" s="282">
        <v>0</v>
      </c>
      <c r="J150" s="282">
        <v>2591605</v>
      </c>
      <c r="K150" s="282">
        <v>2591605</v>
      </c>
      <c r="L150" s="282">
        <v>2591605</v>
      </c>
      <c r="M150" s="282">
        <v>2588539.6815999998</v>
      </c>
      <c r="N150" s="282">
        <f t="shared" si="21"/>
        <v>23.969199999701232</v>
      </c>
      <c r="O150" s="282">
        <v>2588515.7124000001</v>
      </c>
      <c r="P150" s="283">
        <f t="shared" si="22"/>
        <v>99.880796355926165</v>
      </c>
      <c r="Q150" s="283">
        <f t="shared" si="23"/>
        <v>99.880796355926165</v>
      </c>
      <c r="R150" s="285"/>
      <c r="S150" s="285"/>
      <c r="T150" s="285"/>
      <c r="U150" s="287"/>
      <c r="V150" s="242">
        <f t="shared" si="24"/>
        <v>0</v>
      </c>
      <c r="W150" s="242">
        <f t="shared" si="25"/>
        <v>0</v>
      </c>
      <c r="X150" s="242">
        <f t="shared" si="26"/>
        <v>0</v>
      </c>
      <c r="Y150" s="242">
        <f t="shared" si="27"/>
        <v>0</v>
      </c>
    </row>
    <row r="151" spans="1:25" ht="12.75">
      <c r="A151" s="280"/>
      <c r="B151" s="280"/>
      <c r="C151" s="280"/>
      <c r="D151" s="280"/>
      <c r="E151" s="280" t="s">
        <v>905</v>
      </c>
      <c r="F151" s="280"/>
      <c r="G151" s="281" t="s">
        <v>918</v>
      </c>
      <c r="H151" s="282">
        <v>0</v>
      </c>
      <c r="I151" s="282">
        <v>0</v>
      </c>
      <c r="J151" s="282">
        <v>2308024.1</v>
      </c>
      <c r="K151" s="282">
        <v>2308024.1</v>
      </c>
      <c r="L151" s="282">
        <v>2308024.1</v>
      </c>
      <c r="M151" s="282">
        <v>2308010.0688999998</v>
      </c>
      <c r="N151" s="282">
        <f t="shared" si="21"/>
        <v>266.0535999997519</v>
      </c>
      <c r="O151" s="282">
        <v>2307744.0153000001</v>
      </c>
      <c r="P151" s="283">
        <f t="shared" si="22"/>
        <v>99.98786474110041</v>
      </c>
      <c r="Q151" s="283">
        <f t="shared" si="23"/>
        <v>99.98786474110041</v>
      </c>
      <c r="R151" s="285"/>
      <c r="S151" s="285"/>
      <c r="T151" s="285"/>
      <c r="U151" s="287"/>
      <c r="V151" s="242">
        <f t="shared" si="24"/>
        <v>0</v>
      </c>
      <c r="W151" s="242">
        <f t="shared" si="25"/>
        <v>0</v>
      </c>
      <c r="X151" s="242">
        <f t="shared" si="26"/>
        <v>0</v>
      </c>
      <c r="Y151" s="242">
        <f t="shared" si="27"/>
        <v>0</v>
      </c>
    </row>
    <row r="152" spans="1:25" s="647" customFormat="1" ht="21">
      <c r="A152" s="643"/>
      <c r="B152" s="643"/>
      <c r="C152" s="643" t="s">
        <v>939</v>
      </c>
      <c r="D152" s="643"/>
      <c r="E152" s="643"/>
      <c r="F152" s="643"/>
      <c r="G152" s="644" t="s">
        <v>940</v>
      </c>
      <c r="H152" s="645">
        <v>19638833</v>
      </c>
      <c r="I152" s="645">
        <v>20476946</v>
      </c>
      <c r="J152" s="645">
        <v>20476946</v>
      </c>
      <c r="K152" s="645">
        <v>20476946</v>
      </c>
      <c r="L152" s="645">
        <v>20476946</v>
      </c>
      <c r="M152" s="645">
        <v>20462395.875300001</v>
      </c>
      <c r="N152" s="645">
        <f t="shared" si="21"/>
        <v>2922.7710000015795</v>
      </c>
      <c r="O152" s="645">
        <v>20459473.1043</v>
      </c>
      <c r="P152" s="646">
        <f t="shared" si="22"/>
        <v>99.914670402021869</v>
      </c>
      <c r="Q152" s="646">
        <f t="shared" si="23"/>
        <v>99.914670402021869</v>
      </c>
      <c r="V152" s="242">
        <f t="shared" si="24"/>
        <v>0</v>
      </c>
      <c r="W152" s="242">
        <f t="shared" si="25"/>
        <v>0</v>
      </c>
      <c r="X152" s="242">
        <f t="shared" si="26"/>
        <v>20476946</v>
      </c>
      <c r="Y152" s="242">
        <f t="shared" si="27"/>
        <v>0</v>
      </c>
    </row>
    <row r="153" spans="1:25" ht="31.5">
      <c r="A153" s="280"/>
      <c r="B153" s="280"/>
      <c r="C153" s="280"/>
      <c r="D153" s="280" t="s">
        <v>894</v>
      </c>
      <c r="E153" s="280"/>
      <c r="F153" s="280"/>
      <c r="G153" s="281" t="s">
        <v>991</v>
      </c>
      <c r="H153" s="282">
        <v>16369763</v>
      </c>
      <c r="I153" s="282">
        <v>17033919</v>
      </c>
      <c r="J153" s="282">
        <v>17033919</v>
      </c>
      <c r="K153" s="282">
        <v>17033919</v>
      </c>
      <c r="L153" s="282">
        <v>17033919</v>
      </c>
      <c r="M153" s="282">
        <v>17029858.9441</v>
      </c>
      <c r="N153" s="282">
        <f t="shared" si="21"/>
        <v>2922.7664999999106</v>
      </c>
      <c r="O153" s="282">
        <v>17026936.1776</v>
      </c>
      <c r="P153" s="283">
        <f t="shared" si="22"/>
        <v>99.959006366062908</v>
      </c>
      <c r="Q153" s="283">
        <f t="shared" si="23"/>
        <v>99.959006366062908</v>
      </c>
      <c r="R153" s="284"/>
      <c r="S153" s="284"/>
      <c r="T153" s="284"/>
      <c r="U153" s="284"/>
      <c r="V153" s="242">
        <f t="shared" si="24"/>
        <v>0</v>
      </c>
      <c r="W153" s="242">
        <f t="shared" si="25"/>
        <v>0</v>
      </c>
      <c r="X153" s="242">
        <f t="shared" si="26"/>
        <v>0</v>
      </c>
      <c r="Y153" s="242">
        <f t="shared" si="27"/>
        <v>0</v>
      </c>
    </row>
    <row r="154" spans="1:25" ht="12.75">
      <c r="A154" s="280"/>
      <c r="B154" s="280"/>
      <c r="C154" s="280"/>
      <c r="D154" s="280"/>
      <c r="E154" s="280" t="s">
        <v>858</v>
      </c>
      <c r="F154" s="280"/>
      <c r="G154" s="281" t="s">
        <v>921</v>
      </c>
      <c r="H154" s="282">
        <v>0</v>
      </c>
      <c r="I154" s="282">
        <v>0</v>
      </c>
      <c r="J154" s="282">
        <v>2728070</v>
      </c>
      <c r="K154" s="282">
        <v>2728070</v>
      </c>
      <c r="L154" s="282">
        <v>2728070</v>
      </c>
      <c r="M154" s="282">
        <v>2724012.0724399998</v>
      </c>
      <c r="N154" s="282">
        <f t="shared" si="21"/>
        <v>2922.7652399996296</v>
      </c>
      <c r="O154" s="282">
        <v>2721089.3072000002</v>
      </c>
      <c r="P154" s="283">
        <f t="shared" si="22"/>
        <v>99.74411606740297</v>
      </c>
      <c r="Q154" s="283">
        <f t="shared" si="23"/>
        <v>99.74411606740297</v>
      </c>
      <c r="R154" s="285"/>
      <c r="S154" s="285"/>
      <c r="T154" s="285"/>
      <c r="U154" s="287"/>
      <c r="V154" s="242">
        <f t="shared" si="24"/>
        <v>0</v>
      </c>
      <c r="W154" s="242">
        <f t="shared" si="25"/>
        <v>0</v>
      </c>
      <c r="X154" s="242">
        <f t="shared" si="26"/>
        <v>0</v>
      </c>
      <c r="Y154" s="242">
        <f t="shared" si="27"/>
        <v>0</v>
      </c>
    </row>
    <row r="155" spans="1:25" ht="12.75">
      <c r="A155" s="280"/>
      <c r="B155" s="280"/>
      <c r="C155" s="280"/>
      <c r="D155" s="280"/>
      <c r="E155" s="280" t="s">
        <v>905</v>
      </c>
      <c r="F155" s="280"/>
      <c r="G155" s="281" t="s">
        <v>918</v>
      </c>
      <c r="H155" s="282">
        <v>0</v>
      </c>
      <c r="I155" s="282">
        <v>0</v>
      </c>
      <c r="J155" s="282">
        <v>14305849</v>
      </c>
      <c r="K155" s="282">
        <v>14305849</v>
      </c>
      <c r="L155" s="282">
        <v>14305849</v>
      </c>
      <c r="M155" s="282">
        <v>14305846.871689999</v>
      </c>
      <c r="N155" s="282">
        <f t="shared" si="21"/>
        <v>1.3399999588727951E-3</v>
      </c>
      <c r="O155" s="282">
        <v>14305846.87035</v>
      </c>
      <c r="P155" s="283">
        <f t="shared" si="22"/>
        <v>99.999985113431578</v>
      </c>
      <c r="Q155" s="283">
        <f t="shared" si="23"/>
        <v>99.999985113431578</v>
      </c>
      <c r="R155" s="285"/>
      <c r="S155" s="285"/>
      <c r="T155" s="285"/>
      <c r="U155" s="287"/>
      <c r="V155" s="242">
        <f t="shared" si="24"/>
        <v>0</v>
      </c>
      <c r="W155" s="242">
        <f t="shared" si="25"/>
        <v>0</v>
      </c>
      <c r="X155" s="242">
        <f t="shared" si="26"/>
        <v>0</v>
      </c>
      <c r="Y155" s="242">
        <f t="shared" si="27"/>
        <v>0</v>
      </c>
    </row>
    <row r="156" spans="1:25" ht="42">
      <c r="A156" s="280"/>
      <c r="B156" s="280"/>
      <c r="C156" s="280"/>
      <c r="D156" s="280" t="s">
        <v>882</v>
      </c>
      <c r="E156" s="280"/>
      <c r="F156" s="280"/>
      <c r="G156" s="281" t="s">
        <v>992</v>
      </c>
      <c r="H156" s="282">
        <v>2711167</v>
      </c>
      <c r="I156" s="282">
        <v>2548809</v>
      </c>
      <c r="J156" s="282">
        <v>2548809</v>
      </c>
      <c r="K156" s="282">
        <v>2548809</v>
      </c>
      <c r="L156" s="282">
        <v>2548809</v>
      </c>
      <c r="M156" s="282">
        <v>2548808.3966999999</v>
      </c>
      <c r="N156" s="282">
        <f t="shared" si="21"/>
        <v>1.999999862164259E-3</v>
      </c>
      <c r="O156" s="282">
        <v>2548808.3947000001</v>
      </c>
      <c r="P156" s="283">
        <f t="shared" si="22"/>
        <v>99.999976251653223</v>
      </c>
      <c r="Q156" s="283">
        <f t="shared" si="23"/>
        <v>99.999976251653223</v>
      </c>
      <c r="R156" s="284"/>
      <c r="S156" s="284"/>
      <c r="T156" s="284"/>
      <c r="U156" s="284"/>
      <c r="V156" s="242">
        <f t="shared" si="24"/>
        <v>0</v>
      </c>
      <c r="W156" s="242">
        <f t="shared" si="25"/>
        <v>0</v>
      </c>
      <c r="X156" s="242">
        <f t="shared" si="26"/>
        <v>0</v>
      </c>
      <c r="Y156" s="242">
        <f t="shared" si="27"/>
        <v>0</v>
      </c>
    </row>
    <row r="157" spans="1:25" ht="21">
      <c r="A157" s="280"/>
      <c r="B157" s="280"/>
      <c r="C157" s="280"/>
      <c r="D157" s="280"/>
      <c r="E157" s="280" t="s">
        <v>845</v>
      </c>
      <c r="F157" s="280"/>
      <c r="G157" s="281" t="s">
        <v>993</v>
      </c>
      <c r="H157" s="282">
        <v>0</v>
      </c>
      <c r="I157" s="282">
        <v>0</v>
      </c>
      <c r="J157" s="282">
        <v>98347</v>
      </c>
      <c r="K157" s="282">
        <v>98347</v>
      </c>
      <c r="L157" s="282">
        <v>98347</v>
      </c>
      <c r="M157" s="282">
        <v>98346.990999999995</v>
      </c>
      <c r="N157" s="282">
        <f t="shared" si="21"/>
        <v>1.999999993131496E-3</v>
      </c>
      <c r="O157" s="282">
        <v>98346.989000000001</v>
      </c>
      <c r="P157" s="283">
        <f t="shared" si="22"/>
        <v>99.999988815113838</v>
      </c>
      <c r="Q157" s="283">
        <f t="shared" si="23"/>
        <v>99.999988815113838</v>
      </c>
      <c r="R157" s="285"/>
      <c r="S157" s="285"/>
      <c r="T157" s="285"/>
      <c r="U157" s="287"/>
      <c r="V157" s="242">
        <f t="shared" si="24"/>
        <v>0</v>
      </c>
      <c r="W157" s="242">
        <f t="shared" si="25"/>
        <v>0</v>
      </c>
      <c r="X157" s="242">
        <f t="shared" si="26"/>
        <v>0</v>
      </c>
      <c r="Y157" s="242">
        <f t="shared" si="27"/>
        <v>0</v>
      </c>
    </row>
    <row r="158" spans="1:25" ht="42">
      <c r="A158" s="280"/>
      <c r="B158" s="280"/>
      <c r="C158" s="280"/>
      <c r="D158" s="280"/>
      <c r="E158" s="280" t="s">
        <v>855</v>
      </c>
      <c r="F158" s="280"/>
      <c r="G158" s="281" t="s">
        <v>992</v>
      </c>
      <c r="H158" s="282">
        <v>0</v>
      </c>
      <c r="I158" s="282">
        <v>0</v>
      </c>
      <c r="J158" s="282">
        <v>2450462</v>
      </c>
      <c r="K158" s="282">
        <v>2450462</v>
      </c>
      <c r="L158" s="282">
        <v>2450462</v>
      </c>
      <c r="M158" s="282">
        <v>2450461.4056899999</v>
      </c>
      <c r="N158" s="282">
        <f t="shared" si="21"/>
        <v>0</v>
      </c>
      <c r="O158" s="282">
        <v>2450461.4056899999</v>
      </c>
      <c r="P158" s="283">
        <f t="shared" si="22"/>
        <v>99.99997574702239</v>
      </c>
      <c r="Q158" s="283">
        <f t="shared" si="23"/>
        <v>99.99997574702239</v>
      </c>
      <c r="R158" s="285"/>
      <c r="S158" s="285"/>
      <c r="T158" s="285"/>
      <c r="U158" s="287"/>
      <c r="V158" s="242">
        <f t="shared" si="24"/>
        <v>0</v>
      </c>
      <c r="W158" s="242">
        <f t="shared" si="25"/>
        <v>0</v>
      </c>
      <c r="X158" s="242">
        <f t="shared" si="26"/>
        <v>0</v>
      </c>
      <c r="Y158" s="242">
        <f t="shared" si="27"/>
        <v>0</v>
      </c>
    </row>
    <row r="159" spans="1:25" ht="31.5">
      <c r="A159" s="280"/>
      <c r="B159" s="280"/>
      <c r="C159" s="280"/>
      <c r="D159" s="280" t="s">
        <v>996</v>
      </c>
      <c r="E159" s="280"/>
      <c r="F159" s="280"/>
      <c r="G159" s="281" t="s">
        <v>997</v>
      </c>
      <c r="H159" s="282">
        <v>557903</v>
      </c>
      <c r="I159" s="282">
        <v>894218</v>
      </c>
      <c r="J159" s="282">
        <v>894218</v>
      </c>
      <c r="K159" s="282">
        <v>894218</v>
      </c>
      <c r="L159" s="282">
        <v>894218</v>
      </c>
      <c r="M159" s="282">
        <v>883728.5344</v>
      </c>
      <c r="N159" s="282">
        <f t="shared" si="21"/>
        <v>2.3000000510364771E-3</v>
      </c>
      <c r="O159" s="282">
        <v>883728.53209999995</v>
      </c>
      <c r="P159" s="283">
        <f t="shared" si="22"/>
        <v>98.82696748443891</v>
      </c>
      <c r="Q159" s="283">
        <f t="shared" si="23"/>
        <v>98.82696748443891</v>
      </c>
      <c r="R159" s="284"/>
      <c r="S159" s="284"/>
      <c r="T159" s="284"/>
      <c r="U159" s="284"/>
      <c r="V159" s="242">
        <f t="shared" si="24"/>
        <v>0</v>
      </c>
      <c r="W159" s="242">
        <f t="shared" si="25"/>
        <v>0</v>
      </c>
      <c r="X159" s="242">
        <f t="shared" si="26"/>
        <v>0</v>
      </c>
      <c r="Y159" s="242">
        <f t="shared" si="27"/>
        <v>0</v>
      </c>
    </row>
    <row r="160" spans="1:25" ht="12.75">
      <c r="A160" s="280"/>
      <c r="B160" s="280"/>
      <c r="C160" s="280"/>
      <c r="D160" s="280"/>
      <c r="E160" s="280" t="s">
        <v>858</v>
      </c>
      <c r="F160" s="280"/>
      <c r="G160" s="281" t="s">
        <v>921</v>
      </c>
      <c r="H160" s="282">
        <v>0</v>
      </c>
      <c r="I160" s="282">
        <v>0</v>
      </c>
      <c r="J160" s="282">
        <v>447109</v>
      </c>
      <c r="K160" s="282">
        <v>447109</v>
      </c>
      <c r="L160" s="282">
        <v>447109</v>
      </c>
      <c r="M160" s="282">
        <v>436619.63283999998</v>
      </c>
      <c r="N160" s="282">
        <f t="shared" si="21"/>
        <v>1.7299999599345028E-3</v>
      </c>
      <c r="O160" s="282">
        <v>436619.63111000002</v>
      </c>
      <c r="P160" s="283">
        <f t="shared" si="22"/>
        <v>97.65395711336609</v>
      </c>
      <c r="Q160" s="283">
        <f t="shared" si="23"/>
        <v>97.65395711336609</v>
      </c>
      <c r="R160" s="285"/>
      <c r="S160" s="285"/>
      <c r="T160" s="285"/>
      <c r="U160" s="287"/>
      <c r="V160" s="242">
        <f t="shared" si="24"/>
        <v>0</v>
      </c>
      <c r="W160" s="242">
        <f t="shared" si="25"/>
        <v>0</v>
      </c>
      <c r="X160" s="242">
        <f t="shared" si="26"/>
        <v>0</v>
      </c>
      <c r="Y160" s="242">
        <f t="shared" si="27"/>
        <v>0</v>
      </c>
    </row>
    <row r="161" spans="1:25" ht="12.75">
      <c r="A161" s="280"/>
      <c r="B161" s="280"/>
      <c r="C161" s="280"/>
      <c r="D161" s="280"/>
      <c r="E161" s="280" t="s">
        <v>905</v>
      </c>
      <c r="F161" s="280"/>
      <c r="G161" s="281" t="s">
        <v>918</v>
      </c>
      <c r="H161" s="282">
        <v>0</v>
      </c>
      <c r="I161" s="282">
        <v>0</v>
      </c>
      <c r="J161" s="282">
        <v>447109</v>
      </c>
      <c r="K161" s="282">
        <v>447109</v>
      </c>
      <c r="L161" s="282">
        <v>447109</v>
      </c>
      <c r="M161" s="282">
        <v>447108.90159999998</v>
      </c>
      <c r="N161" s="282">
        <f t="shared" si="21"/>
        <v>6.5000000176951289E-4</v>
      </c>
      <c r="O161" s="282">
        <v>447108.90094999998</v>
      </c>
      <c r="P161" s="283">
        <f t="shared" si="22"/>
        <v>99.999977846565386</v>
      </c>
      <c r="Q161" s="283">
        <f t="shared" si="23"/>
        <v>99.999977846565386</v>
      </c>
      <c r="R161" s="285"/>
      <c r="S161" s="285"/>
      <c r="T161" s="285"/>
      <c r="U161" s="287"/>
      <c r="V161" s="242">
        <f t="shared" si="24"/>
        <v>0</v>
      </c>
      <c r="W161" s="242">
        <f t="shared" si="25"/>
        <v>0</v>
      </c>
      <c r="X161" s="242">
        <f t="shared" si="26"/>
        <v>0</v>
      </c>
      <c r="Y161" s="242">
        <f t="shared" si="27"/>
        <v>0</v>
      </c>
    </row>
    <row r="162" spans="1:25">
      <c r="A162" s="280"/>
      <c r="B162" s="280" t="s">
        <v>907</v>
      </c>
      <c r="C162" s="280"/>
      <c r="D162" s="280"/>
      <c r="E162" s="280"/>
      <c r="F162" s="280"/>
      <c r="G162" s="281" t="s">
        <v>998</v>
      </c>
      <c r="H162" s="282">
        <v>24497561</v>
      </c>
      <c r="I162" s="282">
        <v>24918758</v>
      </c>
      <c r="J162" s="282">
        <v>24918758</v>
      </c>
      <c r="K162" s="282">
        <v>24918758</v>
      </c>
      <c r="L162" s="282">
        <v>24918758</v>
      </c>
      <c r="M162" s="282">
        <v>24913384.703400001</v>
      </c>
      <c r="N162" s="282">
        <f t="shared" si="21"/>
        <v>84.907700002193451</v>
      </c>
      <c r="O162" s="282">
        <v>24913299.795699999</v>
      </c>
      <c r="P162" s="283">
        <f t="shared" si="22"/>
        <v>99.978096001815175</v>
      </c>
      <c r="Q162" s="283">
        <f t="shared" si="23"/>
        <v>99.978096001815175</v>
      </c>
      <c r="R162" s="284"/>
      <c r="S162" s="284"/>
      <c r="T162" s="284"/>
      <c r="U162" s="284"/>
      <c r="V162" s="242">
        <f t="shared" si="24"/>
        <v>0</v>
      </c>
      <c r="W162" s="242">
        <f t="shared" si="25"/>
        <v>0</v>
      </c>
      <c r="X162" s="242">
        <f t="shared" si="26"/>
        <v>0</v>
      </c>
      <c r="Y162" s="242">
        <f t="shared" si="27"/>
        <v>0</v>
      </c>
    </row>
    <row r="163" spans="1:25" s="647" customFormat="1">
      <c r="A163" s="643"/>
      <c r="B163" s="643"/>
      <c r="C163" s="643" t="s">
        <v>936</v>
      </c>
      <c r="D163" s="643"/>
      <c r="E163" s="643"/>
      <c r="F163" s="643"/>
      <c r="G163" s="644" t="s">
        <v>937</v>
      </c>
      <c r="H163" s="645">
        <v>18090792</v>
      </c>
      <c r="I163" s="645">
        <v>18287231</v>
      </c>
      <c r="J163" s="645">
        <v>18287231</v>
      </c>
      <c r="K163" s="645">
        <v>18287231</v>
      </c>
      <c r="L163" s="645">
        <v>18287231</v>
      </c>
      <c r="M163" s="645">
        <v>18281992.303399999</v>
      </c>
      <c r="N163" s="645">
        <f t="shared" si="21"/>
        <v>82.632399998605251</v>
      </c>
      <c r="O163" s="645">
        <v>18281909.671</v>
      </c>
      <c r="P163" s="646">
        <f t="shared" si="22"/>
        <v>99.970901395624082</v>
      </c>
      <c r="Q163" s="646">
        <f t="shared" si="23"/>
        <v>99.970901395624082</v>
      </c>
      <c r="V163" s="242">
        <f t="shared" si="24"/>
        <v>0</v>
      </c>
      <c r="W163" s="242">
        <f t="shared" si="25"/>
        <v>18287231</v>
      </c>
      <c r="X163" s="242">
        <f t="shared" si="26"/>
        <v>0</v>
      </c>
      <c r="Y163" s="242">
        <f t="shared" si="27"/>
        <v>0</v>
      </c>
    </row>
    <row r="164" spans="1:25" ht="21">
      <c r="A164" s="280"/>
      <c r="B164" s="280"/>
      <c r="C164" s="280"/>
      <c r="D164" s="280" t="s">
        <v>858</v>
      </c>
      <c r="E164" s="280"/>
      <c r="F164" s="280"/>
      <c r="G164" s="281" t="s">
        <v>999</v>
      </c>
      <c r="H164" s="282">
        <v>17621224</v>
      </c>
      <c r="I164" s="282">
        <v>17797531</v>
      </c>
      <c r="J164" s="296">
        <v>17797531</v>
      </c>
      <c r="K164" s="282">
        <v>17797531</v>
      </c>
      <c r="L164" s="282">
        <v>17797531</v>
      </c>
      <c r="M164" s="282">
        <v>17797507.168200001</v>
      </c>
      <c r="N164" s="282">
        <f t="shared" si="21"/>
        <v>1.8200002610683441E-2</v>
      </c>
      <c r="O164" s="282">
        <v>17797507.149999999</v>
      </c>
      <c r="P164" s="283">
        <f t="shared" si="22"/>
        <v>99.999865992648068</v>
      </c>
      <c r="Q164" s="283">
        <f t="shared" si="23"/>
        <v>99.999865992648068</v>
      </c>
      <c r="R164" s="284"/>
      <c r="S164" s="284"/>
      <c r="T164" s="284"/>
      <c r="U164" s="284"/>
      <c r="V164" s="242">
        <f t="shared" si="24"/>
        <v>0</v>
      </c>
      <c r="W164" s="242">
        <f t="shared" si="25"/>
        <v>0</v>
      </c>
      <c r="X164" s="242">
        <f t="shared" si="26"/>
        <v>0</v>
      </c>
      <c r="Y164" s="242">
        <f t="shared" si="27"/>
        <v>0</v>
      </c>
    </row>
    <row r="165" spans="1:25" ht="12.75">
      <c r="A165" s="280"/>
      <c r="B165" s="280"/>
      <c r="C165" s="280"/>
      <c r="D165" s="280"/>
      <c r="E165" s="280" t="s">
        <v>905</v>
      </c>
      <c r="F165" s="280"/>
      <c r="G165" s="281" t="s">
        <v>918</v>
      </c>
      <c r="H165" s="282">
        <v>0</v>
      </c>
      <c r="I165" s="282">
        <v>0</v>
      </c>
      <c r="J165" s="282">
        <v>17797531</v>
      </c>
      <c r="K165" s="282">
        <v>17797531</v>
      </c>
      <c r="L165" s="282">
        <v>17797531</v>
      </c>
      <c r="M165" s="282">
        <v>17797507.16818</v>
      </c>
      <c r="N165" s="282">
        <f t="shared" si="21"/>
        <v>1.8199998885393143E-2</v>
      </c>
      <c r="O165" s="282">
        <v>17797507.149980001</v>
      </c>
      <c r="P165" s="283">
        <f t="shared" si="22"/>
        <v>99.999865992535703</v>
      </c>
      <c r="Q165" s="283">
        <f t="shared" si="23"/>
        <v>99.999865992535703</v>
      </c>
      <c r="R165" s="285"/>
      <c r="S165" s="285"/>
      <c r="T165" s="285"/>
      <c r="U165" s="287"/>
      <c r="V165" s="242">
        <f t="shared" si="24"/>
        <v>0</v>
      </c>
      <c r="W165" s="242">
        <f t="shared" si="25"/>
        <v>0</v>
      </c>
      <c r="X165" s="242">
        <f t="shared" si="26"/>
        <v>0</v>
      </c>
      <c r="Y165" s="242">
        <f t="shared" si="27"/>
        <v>0</v>
      </c>
    </row>
    <row r="166" spans="1:25" ht="12.75">
      <c r="A166" s="280"/>
      <c r="B166" s="280"/>
      <c r="C166" s="280"/>
      <c r="D166" s="280" t="s">
        <v>911</v>
      </c>
      <c r="E166" s="280"/>
      <c r="F166" s="280"/>
      <c r="G166" s="281" t="s">
        <v>1000</v>
      </c>
      <c r="H166" s="282">
        <v>469568</v>
      </c>
      <c r="I166" s="282">
        <v>489700</v>
      </c>
      <c r="J166" s="282">
        <v>489700</v>
      </c>
      <c r="K166" s="282">
        <v>489700</v>
      </c>
      <c r="L166" s="282">
        <v>489700</v>
      </c>
      <c r="M166" s="282">
        <v>484485.13520000002</v>
      </c>
      <c r="N166" s="282">
        <f t="shared" si="21"/>
        <v>82.614100000006147</v>
      </c>
      <c r="O166" s="282">
        <v>484402.52110000001</v>
      </c>
      <c r="P166" s="283">
        <f t="shared" si="22"/>
        <v>98.918219542577091</v>
      </c>
      <c r="Q166" s="283">
        <f t="shared" si="23"/>
        <v>98.918219542577091</v>
      </c>
      <c r="R166" s="285"/>
      <c r="S166" s="285"/>
      <c r="T166" s="288"/>
      <c r="U166" s="287"/>
      <c r="V166" s="242">
        <f t="shared" si="24"/>
        <v>0</v>
      </c>
      <c r="W166" s="242">
        <f t="shared" si="25"/>
        <v>0</v>
      </c>
      <c r="X166" s="242">
        <f t="shared" si="26"/>
        <v>0</v>
      </c>
      <c r="Y166" s="242">
        <f t="shared" si="27"/>
        <v>0</v>
      </c>
    </row>
    <row r="167" spans="1:25" s="647" customFormat="1" ht="21">
      <c r="A167" s="643"/>
      <c r="B167" s="643"/>
      <c r="C167" s="643" t="s">
        <v>939</v>
      </c>
      <c r="D167" s="643"/>
      <c r="E167" s="643"/>
      <c r="F167" s="643"/>
      <c r="G167" s="644" t="s">
        <v>940</v>
      </c>
      <c r="H167" s="645">
        <v>6406769</v>
      </c>
      <c r="I167" s="645">
        <v>6631527</v>
      </c>
      <c r="J167" s="645">
        <v>6631527</v>
      </c>
      <c r="K167" s="645">
        <v>6631527</v>
      </c>
      <c r="L167" s="645">
        <v>6631527</v>
      </c>
      <c r="M167" s="645">
        <v>6631392.4000000004</v>
      </c>
      <c r="N167" s="645">
        <f t="shared" si="21"/>
        <v>2.2754000006243587</v>
      </c>
      <c r="O167" s="645">
        <v>6631390.1245999997</v>
      </c>
      <c r="P167" s="646">
        <f t="shared" si="22"/>
        <v>99.997935989704928</v>
      </c>
      <c r="Q167" s="646">
        <f t="shared" si="23"/>
        <v>99.997935989704928</v>
      </c>
      <c r="V167" s="242">
        <f t="shared" si="24"/>
        <v>0</v>
      </c>
      <c r="W167" s="242">
        <f t="shared" si="25"/>
        <v>0</v>
      </c>
      <c r="X167" s="242">
        <f t="shared" si="26"/>
        <v>6631527</v>
      </c>
      <c r="Y167" s="242">
        <f t="shared" si="27"/>
        <v>0</v>
      </c>
    </row>
    <row r="168" spans="1:25" ht="21">
      <c r="A168" s="280"/>
      <c r="B168" s="280"/>
      <c r="C168" s="280"/>
      <c r="D168" s="280" t="s">
        <v>858</v>
      </c>
      <c r="E168" s="280"/>
      <c r="F168" s="280"/>
      <c r="G168" s="281" t="s">
        <v>999</v>
      </c>
      <c r="H168" s="282">
        <v>6327642</v>
      </c>
      <c r="I168" s="282">
        <v>6549885</v>
      </c>
      <c r="J168" s="282">
        <v>6549885</v>
      </c>
      <c r="K168" s="282">
        <v>6549885</v>
      </c>
      <c r="L168" s="282">
        <v>6549885</v>
      </c>
      <c r="M168" s="282">
        <v>6549884</v>
      </c>
      <c r="N168" s="282">
        <f t="shared" si="21"/>
        <v>0</v>
      </c>
      <c r="O168" s="282">
        <v>6549884</v>
      </c>
      <c r="P168" s="283">
        <f t="shared" si="22"/>
        <v>99.999984732556371</v>
      </c>
      <c r="Q168" s="283">
        <f t="shared" si="23"/>
        <v>99.999984732556371</v>
      </c>
      <c r="R168" s="284"/>
      <c r="S168" s="284"/>
      <c r="T168" s="284"/>
      <c r="U168" s="284"/>
      <c r="V168" s="242">
        <f t="shared" si="24"/>
        <v>0</v>
      </c>
      <c r="W168" s="242">
        <f t="shared" si="25"/>
        <v>0</v>
      </c>
      <c r="X168" s="242">
        <f t="shared" si="26"/>
        <v>0</v>
      </c>
      <c r="Y168" s="242">
        <f t="shared" si="27"/>
        <v>0</v>
      </c>
    </row>
    <row r="169" spans="1:25" ht="12.75">
      <c r="A169" s="280"/>
      <c r="B169" s="280"/>
      <c r="C169" s="280"/>
      <c r="D169" s="280"/>
      <c r="E169" s="280" t="s">
        <v>905</v>
      </c>
      <c r="F169" s="280"/>
      <c r="G169" s="281" t="s">
        <v>918</v>
      </c>
      <c r="H169" s="282">
        <v>0</v>
      </c>
      <c r="I169" s="282">
        <v>0</v>
      </c>
      <c r="J169" s="282">
        <v>6549885</v>
      </c>
      <c r="K169" s="282">
        <v>6549885</v>
      </c>
      <c r="L169" s="282">
        <v>6549885</v>
      </c>
      <c r="M169" s="282">
        <v>6549884</v>
      </c>
      <c r="N169" s="282">
        <f t="shared" si="21"/>
        <v>0</v>
      </c>
      <c r="O169" s="282">
        <v>6549884</v>
      </c>
      <c r="P169" s="283">
        <f t="shared" si="22"/>
        <v>99.999984732556371</v>
      </c>
      <c r="Q169" s="283">
        <f t="shared" si="23"/>
        <v>99.999984732556371</v>
      </c>
      <c r="R169" s="285"/>
      <c r="S169" s="285"/>
      <c r="T169" s="285"/>
      <c r="U169" s="287"/>
      <c r="V169" s="242">
        <f t="shared" si="24"/>
        <v>0</v>
      </c>
      <c r="W169" s="242">
        <f t="shared" si="25"/>
        <v>0</v>
      </c>
      <c r="X169" s="242">
        <f t="shared" si="26"/>
        <v>0</v>
      </c>
      <c r="Y169" s="242">
        <f t="shared" si="27"/>
        <v>0</v>
      </c>
    </row>
    <row r="170" spans="1:25" ht="21">
      <c r="A170" s="280"/>
      <c r="B170" s="280"/>
      <c r="C170" s="280"/>
      <c r="D170" s="280" t="s">
        <v>911</v>
      </c>
      <c r="E170" s="280"/>
      <c r="F170" s="280"/>
      <c r="G170" s="281" t="s">
        <v>1001</v>
      </c>
      <c r="H170" s="282">
        <v>79127</v>
      </c>
      <c r="I170" s="282">
        <v>81642</v>
      </c>
      <c r="J170" s="282">
        <v>81642</v>
      </c>
      <c r="K170" s="282">
        <v>81642</v>
      </c>
      <c r="L170" s="282">
        <v>81642</v>
      </c>
      <c r="M170" s="282">
        <v>81508.399999999994</v>
      </c>
      <c r="N170" s="282">
        <f t="shared" si="21"/>
        <v>2.2753999999986263</v>
      </c>
      <c r="O170" s="282">
        <v>81506.124599999996</v>
      </c>
      <c r="P170" s="283">
        <f t="shared" si="22"/>
        <v>99.833571691041371</v>
      </c>
      <c r="Q170" s="283">
        <f t="shared" si="23"/>
        <v>99.833571691041371</v>
      </c>
      <c r="R170" s="285"/>
      <c r="S170" s="285"/>
      <c r="T170" s="285"/>
      <c r="U170" s="287"/>
      <c r="V170" s="242">
        <f t="shared" si="24"/>
        <v>0</v>
      </c>
      <c r="W170" s="242">
        <f t="shared" si="25"/>
        <v>0</v>
      </c>
      <c r="X170" s="242">
        <f t="shared" si="26"/>
        <v>0</v>
      </c>
      <c r="Y170" s="242">
        <f t="shared" si="27"/>
        <v>0</v>
      </c>
    </row>
    <row r="171" spans="1:25">
      <c r="A171" s="280"/>
      <c r="B171" s="280" t="s">
        <v>913</v>
      </c>
      <c r="C171" s="280"/>
      <c r="D171" s="280"/>
      <c r="E171" s="280"/>
      <c r="F171" s="280"/>
      <c r="G171" s="281" t="s">
        <v>1002</v>
      </c>
      <c r="H171" s="282">
        <v>115446418</v>
      </c>
      <c r="I171" s="282">
        <v>133929190.8</v>
      </c>
      <c r="J171" s="282">
        <v>149333884.59999999</v>
      </c>
      <c r="K171" s="282">
        <v>149333884.59999999</v>
      </c>
      <c r="L171" s="282">
        <v>149333884.59999999</v>
      </c>
      <c r="M171" s="282">
        <v>148227601.42039999</v>
      </c>
      <c r="N171" s="282">
        <f t="shared" si="21"/>
        <v>4149424.0814999938</v>
      </c>
      <c r="O171" s="282">
        <v>144078177.3389</v>
      </c>
      <c r="P171" s="283">
        <f t="shared" si="22"/>
        <v>96.480566165423383</v>
      </c>
      <c r="Q171" s="283">
        <f t="shared" si="23"/>
        <v>96.480566165423383</v>
      </c>
      <c r="R171" s="284"/>
      <c r="S171" s="284"/>
      <c r="T171" s="284"/>
      <c r="U171" s="284"/>
      <c r="V171" s="242">
        <f t="shared" si="24"/>
        <v>0</v>
      </c>
      <c r="W171" s="242">
        <f t="shared" si="25"/>
        <v>0</v>
      </c>
      <c r="X171" s="242">
        <f t="shared" si="26"/>
        <v>0</v>
      </c>
      <c r="Y171" s="242">
        <f t="shared" si="27"/>
        <v>0</v>
      </c>
    </row>
    <row r="172" spans="1:25" ht="31.5">
      <c r="A172" s="280"/>
      <c r="B172" s="280"/>
      <c r="C172" s="280" t="s">
        <v>870</v>
      </c>
      <c r="D172" s="280"/>
      <c r="E172" s="280"/>
      <c r="F172" s="280"/>
      <c r="G172" s="281" t="s">
        <v>871</v>
      </c>
      <c r="H172" s="282">
        <v>9245</v>
      </c>
      <c r="I172" s="282">
        <v>6401.8</v>
      </c>
      <c r="J172" s="282">
        <v>6401.8</v>
      </c>
      <c r="K172" s="282">
        <v>6401.8</v>
      </c>
      <c r="L172" s="282">
        <v>6401.8</v>
      </c>
      <c r="M172" s="282">
        <v>5164.6660000000002</v>
      </c>
      <c r="N172" s="282">
        <f t="shared" si="21"/>
        <v>0</v>
      </c>
      <c r="O172" s="282">
        <v>5164.6660000000002</v>
      </c>
      <c r="P172" s="283">
        <f t="shared" si="22"/>
        <v>80.675216345402859</v>
      </c>
      <c r="Q172" s="283">
        <f t="shared" si="23"/>
        <v>80.675216345402859</v>
      </c>
      <c r="R172" s="284"/>
      <c r="S172" s="284"/>
      <c r="T172" s="284"/>
      <c r="U172" s="284"/>
      <c r="V172" s="242">
        <f t="shared" si="24"/>
        <v>0</v>
      </c>
      <c r="W172" s="242">
        <f t="shared" si="25"/>
        <v>0</v>
      </c>
      <c r="X172" s="242">
        <f t="shared" si="26"/>
        <v>0</v>
      </c>
      <c r="Y172" s="242">
        <f t="shared" si="27"/>
        <v>0</v>
      </c>
    </row>
    <row r="173" spans="1:25" s="298" customFormat="1" ht="31.5">
      <c r="A173" s="294"/>
      <c r="B173" s="294"/>
      <c r="C173" s="294"/>
      <c r="D173" s="294" t="s">
        <v>849</v>
      </c>
      <c r="E173" s="294"/>
      <c r="F173" s="294"/>
      <c r="G173" s="295" t="s">
        <v>1003</v>
      </c>
      <c r="H173" s="296">
        <v>9245</v>
      </c>
      <c r="I173" s="296">
        <v>6401.8</v>
      </c>
      <c r="J173" s="296">
        <v>6401.8</v>
      </c>
      <c r="K173" s="296">
        <v>6401.8</v>
      </c>
      <c r="L173" s="296">
        <v>6401.8</v>
      </c>
      <c r="M173" s="296">
        <v>5164.6660000000002</v>
      </c>
      <c r="N173" s="296">
        <f t="shared" si="21"/>
        <v>0</v>
      </c>
      <c r="O173" s="296">
        <v>5164.6660000000002</v>
      </c>
      <c r="P173" s="297">
        <f t="shared" si="22"/>
        <v>80.675216345402859</v>
      </c>
      <c r="Q173" s="297">
        <f t="shared" si="23"/>
        <v>80.675216345402859</v>
      </c>
      <c r="R173" s="307"/>
      <c r="S173" s="307"/>
      <c r="T173" s="307"/>
      <c r="U173" s="352"/>
      <c r="V173" s="242">
        <f t="shared" si="24"/>
        <v>0</v>
      </c>
      <c r="W173" s="242">
        <f t="shared" si="25"/>
        <v>0</v>
      </c>
      <c r="X173" s="242">
        <f t="shared" si="26"/>
        <v>0</v>
      </c>
      <c r="Y173" s="242">
        <f t="shared" si="27"/>
        <v>0</v>
      </c>
    </row>
    <row r="174" spans="1:25" ht="12.75">
      <c r="A174" s="280"/>
      <c r="B174" s="280"/>
      <c r="C174" s="280" t="s">
        <v>900</v>
      </c>
      <c r="D174" s="280"/>
      <c r="E174" s="280"/>
      <c r="F174" s="280"/>
      <c r="G174" s="281" t="s">
        <v>57</v>
      </c>
      <c r="H174" s="282">
        <v>2282053</v>
      </c>
      <c r="I174" s="282">
        <v>2282053</v>
      </c>
      <c r="J174" s="282">
        <v>2282053</v>
      </c>
      <c r="K174" s="282">
        <v>2282053</v>
      </c>
      <c r="L174" s="282">
        <v>2282053</v>
      </c>
      <c r="M174" s="282">
        <v>2282053</v>
      </c>
      <c r="N174" s="282">
        <f t="shared" si="21"/>
        <v>1290678.3862000001</v>
      </c>
      <c r="O174" s="282">
        <v>991374.61380000005</v>
      </c>
      <c r="P174" s="283">
        <f t="shared" si="22"/>
        <v>43.442225653830128</v>
      </c>
      <c r="Q174" s="283">
        <f t="shared" si="23"/>
        <v>43.442225653830128</v>
      </c>
      <c r="R174" s="285"/>
      <c r="S174" s="285"/>
      <c r="T174" s="285"/>
      <c r="U174" s="287"/>
      <c r="V174" s="242">
        <f t="shared" si="24"/>
        <v>0</v>
      </c>
      <c r="W174" s="242">
        <f t="shared" si="25"/>
        <v>0</v>
      </c>
      <c r="X174" s="242">
        <f t="shared" si="26"/>
        <v>0</v>
      </c>
      <c r="Y174" s="242">
        <f t="shared" si="27"/>
        <v>0</v>
      </c>
    </row>
    <row r="175" spans="1:25" s="314" customFormat="1" ht="21">
      <c r="A175" s="308"/>
      <c r="B175" s="308"/>
      <c r="C175" s="308"/>
      <c r="D175" s="308" t="s">
        <v>914</v>
      </c>
      <c r="E175" s="308"/>
      <c r="F175" s="308"/>
      <c r="G175" s="309" t="s">
        <v>1004</v>
      </c>
      <c r="H175" s="310">
        <v>2282053</v>
      </c>
      <c r="I175" s="310">
        <v>2282053</v>
      </c>
      <c r="J175" s="310">
        <v>2282053</v>
      </c>
      <c r="K175" s="310">
        <v>2282053</v>
      </c>
      <c r="L175" s="310">
        <v>2282053</v>
      </c>
      <c r="M175" s="310">
        <v>2282053</v>
      </c>
      <c r="N175" s="310">
        <f t="shared" si="21"/>
        <v>1290678.3862000001</v>
      </c>
      <c r="O175" s="310">
        <v>991374.61380000005</v>
      </c>
      <c r="P175" s="311">
        <f t="shared" si="22"/>
        <v>43.442225653830128</v>
      </c>
      <c r="Q175" s="311">
        <f t="shared" si="23"/>
        <v>43.442225653830128</v>
      </c>
      <c r="R175" s="312"/>
      <c r="S175" s="312"/>
      <c r="T175" s="312"/>
      <c r="U175" s="313"/>
      <c r="V175" s="242">
        <f t="shared" si="24"/>
        <v>0</v>
      </c>
      <c r="W175" s="242">
        <f t="shared" si="25"/>
        <v>0</v>
      </c>
      <c r="X175" s="242">
        <f t="shared" si="26"/>
        <v>0</v>
      </c>
      <c r="Y175" s="242">
        <f t="shared" si="27"/>
        <v>0</v>
      </c>
    </row>
    <row r="176" spans="1:25" ht="21">
      <c r="A176" s="280"/>
      <c r="B176" s="280"/>
      <c r="C176" s="280" t="s">
        <v>902</v>
      </c>
      <c r="D176" s="280"/>
      <c r="E176" s="280"/>
      <c r="F176" s="280"/>
      <c r="G176" s="281" t="s">
        <v>72</v>
      </c>
      <c r="H176" s="282">
        <v>0</v>
      </c>
      <c r="I176" s="282">
        <v>2193598</v>
      </c>
      <c r="J176" s="282">
        <v>16986840</v>
      </c>
      <c r="K176" s="282">
        <v>16986840</v>
      </c>
      <c r="L176" s="282">
        <v>16986840</v>
      </c>
      <c r="M176" s="282">
        <v>16955378.992800001</v>
      </c>
      <c r="N176" s="282">
        <f t="shared" si="21"/>
        <v>343284.74130000174</v>
      </c>
      <c r="O176" s="282">
        <v>16612094.251499999</v>
      </c>
      <c r="P176" s="283">
        <f t="shared" si="22"/>
        <v>97.793905467408877</v>
      </c>
      <c r="Q176" s="283">
        <f t="shared" si="23"/>
        <v>97.793905467408877</v>
      </c>
      <c r="R176" s="284"/>
      <c r="S176" s="284"/>
      <c r="T176" s="284"/>
      <c r="U176" s="284"/>
      <c r="V176" s="242">
        <f t="shared" si="24"/>
        <v>0</v>
      </c>
      <c r="W176" s="242">
        <f t="shared" si="25"/>
        <v>0</v>
      </c>
      <c r="X176" s="242">
        <f t="shared" si="26"/>
        <v>0</v>
      </c>
      <c r="Y176" s="242">
        <f t="shared" si="27"/>
        <v>0</v>
      </c>
    </row>
    <row r="177" spans="1:25" ht="42">
      <c r="A177" s="280"/>
      <c r="B177" s="280"/>
      <c r="C177" s="280"/>
      <c r="D177" s="280" t="s">
        <v>860</v>
      </c>
      <c r="E177" s="280"/>
      <c r="F177" s="280"/>
      <c r="G177" s="281" t="s">
        <v>925</v>
      </c>
      <c r="H177" s="282">
        <v>0</v>
      </c>
      <c r="I177" s="282">
        <v>2193598</v>
      </c>
      <c r="J177" s="282">
        <v>16986840</v>
      </c>
      <c r="K177" s="282">
        <v>16986840</v>
      </c>
      <c r="L177" s="282">
        <v>16986840</v>
      </c>
      <c r="M177" s="282">
        <v>16955378.992800001</v>
      </c>
      <c r="N177" s="282">
        <f t="shared" si="21"/>
        <v>343284.74130000174</v>
      </c>
      <c r="O177" s="282">
        <v>16612094.251499999</v>
      </c>
      <c r="P177" s="283">
        <f t="shared" si="22"/>
        <v>97.793905467408877</v>
      </c>
      <c r="Q177" s="283">
        <f t="shared" si="23"/>
        <v>97.793905467408877</v>
      </c>
      <c r="R177" s="285"/>
      <c r="S177" s="285"/>
      <c r="T177" s="285"/>
      <c r="U177" s="287"/>
      <c r="V177" s="242">
        <f t="shared" si="24"/>
        <v>0</v>
      </c>
      <c r="W177" s="242">
        <f t="shared" si="25"/>
        <v>0</v>
      </c>
      <c r="X177" s="242">
        <f t="shared" si="26"/>
        <v>0</v>
      </c>
      <c r="Y177" s="242">
        <f t="shared" si="27"/>
        <v>0</v>
      </c>
    </row>
    <row r="178" spans="1:25" ht="21">
      <c r="A178" s="280"/>
      <c r="B178" s="280"/>
      <c r="C178" s="280" t="s">
        <v>906</v>
      </c>
      <c r="D178" s="280"/>
      <c r="E178" s="280"/>
      <c r="F178" s="280"/>
      <c r="G178" s="281" t="s">
        <v>55</v>
      </c>
      <c r="H178" s="282">
        <v>35159051</v>
      </c>
      <c r="I178" s="282">
        <v>30308946</v>
      </c>
      <c r="J178" s="282">
        <v>31274827.899999999</v>
      </c>
      <c r="K178" s="282">
        <v>31274827.899999999</v>
      </c>
      <c r="L178" s="282">
        <v>31274827.899999999</v>
      </c>
      <c r="M178" s="282">
        <v>31233999.191799998</v>
      </c>
      <c r="N178" s="282">
        <f t="shared" si="21"/>
        <v>430459.57609999925</v>
      </c>
      <c r="O178" s="282">
        <v>30803539.615699999</v>
      </c>
      <c r="P178" s="283">
        <f t="shared" si="22"/>
        <v>98.493074731515946</v>
      </c>
      <c r="Q178" s="283">
        <f t="shared" si="23"/>
        <v>98.493074731515946</v>
      </c>
      <c r="R178" s="284"/>
      <c r="S178" s="284"/>
      <c r="T178" s="284"/>
      <c r="U178" s="284"/>
      <c r="V178" s="242">
        <f t="shared" si="24"/>
        <v>31274827.899999999</v>
      </c>
      <c r="W178" s="242">
        <f t="shared" si="25"/>
        <v>0</v>
      </c>
      <c r="X178" s="242">
        <f t="shared" si="26"/>
        <v>0</v>
      </c>
      <c r="Y178" s="242">
        <f t="shared" si="27"/>
        <v>0</v>
      </c>
    </row>
    <row r="179" spans="1:25" ht="21">
      <c r="A179" s="280"/>
      <c r="B179" s="280"/>
      <c r="C179" s="280"/>
      <c r="D179" s="280" t="s">
        <v>847</v>
      </c>
      <c r="E179" s="280"/>
      <c r="F179" s="280"/>
      <c r="G179" s="281" t="s">
        <v>1005</v>
      </c>
      <c r="H179" s="282">
        <v>12793823</v>
      </c>
      <c r="I179" s="282">
        <v>12460564</v>
      </c>
      <c r="J179" s="282">
        <v>12460564</v>
      </c>
      <c r="K179" s="282">
        <v>12460564</v>
      </c>
      <c r="L179" s="282">
        <v>12460564</v>
      </c>
      <c r="M179" s="282">
        <v>12460430.668299999</v>
      </c>
      <c r="N179" s="282">
        <f t="shared" si="21"/>
        <v>351.17829999886453</v>
      </c>
      <c r="O179" s="282">
        <v>12460079.49</v>
      </c>
      <c r="P179" s="283">
        <f t="shared" si="22"/>
        <v>99.996111652730974</v>
      </c>
      <c r="Q179" s="283">
        <f t="shared" si="23"/>
        <v>99.996111652730974</v>
      </c>
      <c r="R179" s="284"/>
      <c r="S179" s="284"/>
      <c r="T179" s="284"/>
      <c r="U179" s="284"/>
      <c r="V179" s="242">
        <f t="shared" si="24"/>
        <v>0</v>
      </c>
      <c r="W179" s="242">
        <f t="shared" si="25"/>
        <v>0</v>
      </c>
      <c r="X179" s="242">
        <f t="shared" si="26"/>
        <v>0</v>
      </c>
      <c r="Y179" s="242">
        <f t="shared" si="27"/>
        <v>0</v>
      </c>
    </row>
    <row r="180" spans="1:25" ht="21">
      <c r="A180" s="280"/>
      <c r="B180" s="280"/>
      <c r="C180" s="280"/>
      <c r="D180" s="280"/>
      <c r="E180" s="280" t="s">
        <v>848</v>
      </c>
      <c r="F180" s="280"/>
      <c r="G180" s="281" t="s">
        <v>1006</v>
      </c>
      <c r="H180" s="282">
        <v>0</v>
      </c>
      <c r="I180" s="282">
        <v>0</v>
      </c>
      <c r="J180" s="282">
        <v>10982299.5</v>
      </c>
      <c r="K180" s="282">
        <v>10982299.5</v>
      </c>
      <c r="L180" s="282">
        <v>10982299.5</v>
      </c>
      <c r="M180" s="282">
        <v>10982168.634299999</v>
      </c>
      <c r="N180" s="282">
        <f t="shared" ref="N180:N243" si="28">M180-O180</f>
        <v>350.64849999919534</v>
      </c>
      <c r="O180" s="282">
        <v>10981817.9858</v>
      </c>
      <c r="P180" s="283">
        <f t="shared" ref="P180:P243" si="29">IF(K180=0,0,O180/K180*100)</f>
        <v>99.99561554299261</v>
      </c>
      <c r="Q180" s="283">
        <f t="shared" ref="Q180:Q243" si="30">IF(J180=0,0,O180/J180*100)</f>
        <v>99.99561554299261</v>
      </c>
      <c r="R180" s="285"/>
      <c r="S180" s="285"/>
      <c r="T180" s="288"/>
      <c r="U180" s="287"/>
      <c r="V180" s="242">
        <f t="shared" si="24"/>
        <v>0</v>
      </c>
      <c r="W180" s="242">
        <f t="shared" si="25"/>
        <v>0</v>
      </c>
      <c r="X180" s="242">
        <f t="shared" si="26"/>
        <v>0</v>
      </c>
      <c r="Y180" s="242">
        <f t="shared" si="27"/>
        <v>0</v>
      </c>
    </row>
    <row r="181" spans="1:25" ht="21">
      <c r="A181" s="280"/>
      <c r="B181" s="280"/>
      <c r="C181" s="280"/>
      <c r="D181" s="280"/>
      <c r="E181" s="280" t="s">
        <v>879</v>
      </c>
      <c r="F181" s="280"/>
      <c r="G181" s="281" t="s">
        <v>880</v>
      </c>
      <c r="H181" s="282">
        <v>0</v>
      </c>
      <c r="I181" s="282">
        <v>0</v>
      </c>
      <c r="J181" s="282">
        <v>354193.6</v>
      </c>
      <c r="K181" s="282">
        <v>354193.6</v>
      </c>
      <c r="L181" s="282">
        <v>354193.6</v>
      </c>
      <c r="M181" s="282">
        <v>354193.54200000002</v>
      </c>
      <c r="N181" s="282">
        <f t="shared" si="28"/>
        <v>0</v>
      </c>
      <c r="O181" s="282">
        <v>354193.54200000002</v>
      </c>
      <c r="P181" s="283">
        <f t="shared" si="29"/>
        <v>99.999983624774714</v>
      </c>
      <c r="Q181" s="283">
        <f t="shared" si="30"/>
        <v>99.999983624774714</v>
      </c>
      <c r="R181" s="285"/>
      <c r="S181" s="285"/>
      <c r="T181" s="288"/>
      <c r="U181" s="287"/>
      <c r="V181" s="242">
        <f t="shared" si="24"/>
        <v>0</v>
      </c>
      <c r="W181" s="242">
        <f t="shared" si="25"/>
        <v>0</v>
      </c>
      <c r="X181" s="242">
        <f t="shared" si="26"/>
        <v>0</v>
      </c>
      <c r="Y181" s="242">
        <f t="shared" si="27"/>
        <v>0</v>
      </c>
    </row>
    <row r="182" spans="1:25" ht="31.5">
      <c r="A182" s="280"/>
      <c r="B182" s="280"/>
      <c r="C182" s="280"/>
      <c r="D182" s="280"/>
      <c r="E182" s="280" t="s">
        <v>855</v>
      </c>
      <c r="F182" s="280"/>
      <c r="G182" s="281" t="s">
        <v>856</v>
      </c>
      <c r="H182" s="282">
        <v>0</v>
      </c>
      <c r="I182" s="282">
        <v>0</v>
      </c>
      <c r="J182" s="282">
        <v>1124070.8999999999</v>
      </c>
      <c r="K182" s="282">
        <v>1124070.8999999999</v>
      </c>
      <c r="L182" s="282">
        <v>1124070.8999999999</v>
      </c>
      <c r="M182" s="282">
        <v>1124068.4922</v>
      </c>
      <c r="N182" s="282">
        <f t="shared" si="28"/>
        <v>0.53000000002793968</v>
      </c>
      <c r="O182" s="282">
        <v>1124067.9622</v>
      </c>
      <c r="P182" s="283">
        <f t="shared" si="29"/>
        <v>99.999738646378972</v>
      </c>
      <c r="Q182" s="283">
        <f t="shared" si="30"/>
        <v>99.999738646378972</v>
      </c>
      <c r="R182" s="284"/>
      <c r="S182" s="284"/>
      <c r="T182" s="284"/>
      <c r="U182" s="284"/>
      <c r="V182" s="242">
        <f t="shared" si="24"/>
        <v>0</v>
      </c>
      <c r="W182" s="242">
        <f t="shared" si="25"/>
        <v>0</v>
      </c>
      <c r="X182" s="242">
        <f t="shared" si="26"/>
        <v>0</v>
      </c>
      <c r="Y182" s="242">
        <f t="shared" si="27"/>
        <v>0</v>
      </c>
    </row>
    <row r="183" spans="1:25">
      <c r="A183" s="280"/>
      <c r="B183" s="280"/>
      <c r="C183" s="280"/>
      <c r="D183" s="280" t="s">
        <v>864</v>
      </c>
      <c r="E183" s="280"/>
      <c r="F183" s="280"/>
      <c r="G183" s="281" t="s">
        <v>946</v>
      </c>
      <c r="H183" s="282">
        <v>1309629</v>
      </c>
      <c r="I183" s="282">
        <v>1702892</v>
      </c>
      <c r="J183" s="282">
        <v>1702892</v>
      </c>
      <c r="K183" s="282">
        <v>1702892</v>
      </c>
      <c r="L183" s="282">
        <v>1702892</v>
      </c>
      <c r="M183" s="282">
        <v>1702892</v>
      </c>
      <c r="N183" s="282">
        <f t="shared" si="28"/>
        <v>0</v>
      </c>
      <c r="O183" s="282">
        <v>1702892</v>
      </c>
      <c r="P183" s="283">
        <f t="shared" si="29"/>
        <v>100</v>
      </c>
      <c r="Q183" s="283">
        <f t="shared" si="30"/>
        <v>100</v>
      </c>
      <c r="R183" s="284"/>
      <c r="S183" s="284"/>
      <c r="T183" s="284"/>
      <c r="U183" s="284"/>
      <c r="V183" s="242">
        <f t="shared" si="24"/>
        <v>0</v>
      </c>
      <c r="W183" s="242">
        <f t="shared" si="25"/>
        <v>0</v>
      </c>
      <c r="X183" s="242">
        <f t="shared" si="26"/>
        <v>0</v>
      </c>
      <c r="Y183" s="242">
        <f t="shared" si="27"/>
        <v>0</v>
      </c>
    </row>
    <row r="184" spans="1:25" ht="12.75">
      <c r="A184" s="280"/>
      <c r="B184" s="280"/>
      <c r="C184" s="280"/>
      <c r="D184" s="280"/>
      <c r="E184" s="280" t="s">
        <v>848</v>
      </c>
      <c r="F184" s="280"/>
      <c r="G184" s="281" t="s">
        <v>1007</v>
      </c>
      <c r="H184" s="282">
        <v>0</v>
      </c>
      <c r="I184" s="282">
        <v>0</v>
      </c>
      <c r="J184" s="282">
        <v>1702892</v>
      </c>
      <c r="K184" s="282">
        <v>1702892</v>
      </c>
      <c r="L184" s="282">
        <v>1702892</v>
      </c>
      <c r="M184" s="282">
        <v>1702892</v>
      </c>
      <c r="N184" s="282">
        <f t="shared" si="28"/>
        <v>0</v>
      </c>
      <c r="O184" s="282">
        <v>1702892</v>
      </c>
      <c r="P184" s="283">
        <f t="shared" si="29"/>
        <v>100</v>
      </c>
      <c r="Q184" s="283">
        <f t="shared" si="30"/>
        <v>100</v>
      </c>
      <c r="R184" s="285"/>
      <c r="S184" s="285"/>
      <c r="T184" s="285"/>
      <c r="U184" s="287"/>
      <c r="V184" s="242">
        <f t="shared" si="24"/>
        <v>0</v>
      </c>
      <c r="W184" s="242">
        <f t="shared" si="25"/>
        <v>0</v>
      </c>
      <c r="X184" s="242">
        <f t="shared" si="26"/>
        <v>0</v>
      </c>
      <c r="Y184" s="242">
        <f t="shared" si="27"/>
        <v>0</v>
      </c>
    </row>
    <row r="185" spans="1:25" s="1242" customFormat="1" ht="21">
      <c r="A185" s="1236"/>
      <c r="B185" s="1236"/>
      <c r="C185" s="1236"/>
      <c r="D185" s="1236" t="s">
        <v>895</v>
      </c>
      <c r="E185" s="1236"/>
      <c r="F185" s="1236"/>
      <c r="G185" s="1237" t="s">
        <v>1008</v>
      </c>
      <c r="H185" s="1238">
        <v>332885</v>
      </c>
      <c r="I185" s="1238">
        <v>212885</v>
      </c>
      <c r="J185" s="1238">
        <v>212885</v>
      </c>
      <c r="K185" s="1238">
        <v>212885</v>
      </c>
      <c r="L185" s="1238">
        <v>212885</v>
      </c>
      <c r="M185" s="1238">
        <v>212866.2751</v>
      </c>
      <c r="N185" s="1238">
        <f t="shared" si="28"/>
        <v>0.33100000000558794</v>
      </c>
      <c r="O185" s="1238">
        <v>212865.94409999999</v>
      </c>
      <c r="P185" s="1239">
        <f t="shared" si="29"/>
        <v>99.991048735232638</v>
      </c>
      <c r="Q185" s="1239">
        <f t="shared" si="30"/>
        <v>99.991048735232638</v>
      </c>
      <c r="R185" s="1240"/>
      <c r="S185" s="1240"/>
      <c r="T185" s="1240"/>
      <c r="U185" s="1241"/>
      <c r="V185" s="1242">
        <f t="shared" si="24"/>
        <v>0</v>
      </c>
      <c r="W185" s="1242">
        <f t="shared" si="25"/>
        <v>0</v>
      </c>
      <c r="X185" s="1242">
        <f t="shared" si="26"/>
        <v>0</v>
      </c>
      <c r="Y185" s="1242">
        <f t="shared" si="27"/>
        <v>0</v>
      </c>
    </row>
    <row r="186" spans="1:25" ht="21">
      <c r="A186" s="280"/>
      <c r="B186" s="280"/>
      <c r="C186" s="280"/>
      <c r="D186" s="280" t="s">
        <v>883</v>
      </c>
      <c r="E186" s="280"/>
      <c r="F186" s="280"/>
      <c r="G186" s="281" t="s">
        <v>1004</v>
      </c>
      <c r="H186" s="282">
        <v>2449502</v>
      </c>
      <c r="I186" s="282">
        <v>995768</v>
      </c>
      <c r="J186" s="282">
        <v>995768</v>
      </c>
      <c r="K186" s="282">
        <v>995768</v>
      </c>
      <c r="L186" s="282">
        <v>995768</v>
      </c>
      <c r="M186" s="282">
        <v>994653.28399999999</v>
      </c>
      <c r="N186" s="282">
        <f t="shared" si="28"/>
        <v>386130.97580000001</v>
      </c>
      <c r="O186" s="282">
        <v>608522.30819999997</v>
      </c>
      <c r="P186" s="283">
        <f t="shared" si="29"/>
        <v>61.110851945433062</v>
      </c>
      <c r="Q186" s="283">
        <f t="shared" si="30"/>
        <v>61.110851945433062</v>
      </c>
      <c r="R186" s="285"/>
      <c r="S186" s="285"/>
      <c r="T186" s="285"/>
      <c r="U186" s="287"/>
      <c r="V186" s="242">
        <f t="shared" si="24"/>
        <v>0</v>
      </c>
      <c r="W186" s="242">
        <f t="shared" si="25"/>
        <v>0</v>
      </c>
      <c r="X186" s="242">
        <f t="shared" si="26"/>
        <v>0</v>
      </c>
      <c r="Y186" s="242">
        <f t="shared" si="27"/>
        <v>0</v>
      </c>
    </row>
    <row r="187" spans="1:25" ht="12.75">
      <c r="A187" s="280"/>
      <c r="B187" s="280"/>
      <c r="C187" s="280"/>
      <c r="D187" s="280" t="s">
        <v>875</v>
      </c>
      <c r="E187" s="280"/>
      <c r="F187" s="280"/>
      <c r="G187" s="281" t="s">
        <v>1009</v>
      </c>
      <c r="H187" s="282">
        <v>2146492</v>
      </c>
      <c r="I187" s="282">
        <v>2146492</v>
      </c>
      <c r="J187" s="282">
        <v>2146492</v>
      </c>
      <c r="K187" s="282">
        <v>2146492</v>
      </c>
      <c r="L187" s="282">
        <v>2146492</v>
      </c>
      <c r="M187" s="282">
        <v>2146491.0476000002</v>
      </c>
      <c r="N187" s="282">
        <f t="shared" si="28"/>
        <v>0</v>
      </c>
      <c r="O187" s="282">
        <v>2146491.0476000002</v>
      </c>
      <c r="P187" s="283">
        <f t="shared" si="29"/>
        <v>99.999955629930142</v>
      </c>
      <c r="Q187" s="283">
        <f t="shared" si="30"/>
        <v>99.999955629930142</v>
      </c>
      <c r="R187" s="285"/>
      <c r="S187" s="285"/>
      <c r="T187" s="288"/>
      <c r="U187" s="287"/>
      <c r="V187" s="242">
        <f t="shared" si="24"/>
        <v>0</v>
      </c>
      <c r="W187" s="242">
        <f t="shared" si="25"/>
        <v>0</v>
      </c>
      <c r="X187" s="242">
        <f t="shared" si="26"/>
        <v>0</v>
      </c>
      <c r="Y187" s="242">
        <f t="shared" si="27"/>
        <v>0</v>
      </c>
    </row>
    <row r="188" spans="1:25" ht="21">
      <c r="A188" s="280"/>
      <c r="B188" s="280"/>
      <c r="C188" s="280"/>
      <c r="D188" s="280" t="s">
        <v>896</v>
      </c>
      <c r="E188" s="280"/>
      <c r="F188" s="280"/>
      <c r="G188" s="281" t="s">
        <v>1010</v>
      </c>
      <c r="H188" s="282">
        <v>10132</v>
      </c>
      <c r="I188" s="282">
        <v>10132</v>
      </c>
      <c r="J188" s="282">
        <v>10132</v>
      </c>
      <c r="K188" s="282">
        <v>10132</v>
      </c>
      <c r="L188" s="282">
        <v>10132</v>
      </c>
      <c r="M188" s="282">
        <v>10132</v>
      </c>
      <c r="N188" s="282">
        <f t="shared" si="28"/>
        <v>0</v>
      </c>
      <c r="O188" s="282">
        <v>10132</v>
      </c>
      <c r="P188" s="283">
        <f t="shared" si="29"/>
        <v>100</v>
      </c>
      <c r="Q188" s="283">
        <f t="shared" si="30"/>
        <v>100</v>
      </c>
      <c r="R188" s="285"/>
      <c r="S188" s="285"/>
      <c r="T188" s="285"/>
      <c r="U188" s="287"/>
      <c r="V188" s="242">
        <f t="shared" si="24"/>
        <v>0</v>
      </c>
      <c r="W188" s="242">
        <f t="shared" si="25"/>
        <v>0</v>
      </c>
      <c r="X188" s="242">
        <f t="shared" si="26"/>
        <v>0</v>
      </c>
      <c r="Y188" s="242">
        <f t="shared" si="27"/>
        <v>0</v>
      </c>
    </row>
    <row r="189" spans="1:25" ht="12.75">
      <c r="A189" s="280"/>
      <c r="B189" s="280"/>
      <c r="C189" s="280"/>
      <c r="D189" s="280" t="s">
        <v>885</v>
      </c>
      <c r="E189" s="280"/>
      <c r="F189" s="280"/>
      <c r="G189" s="281" t="s">
        <v>1011</v>
      </c>
      <c r="H189" s="282">
        <v>1685413</v>
      </c>
      <c r="I189" s="282">
        <v>1680389</v>
      </c>
      <c r="J189" s="282">
        <v>1680389</v>
      </c>
      <c r="K189" s="282">
        <v>1680389</v>
      </c>
      <c r="L189" s="282">
        <v>1680389</v>
      </c>
      <c r="M189" s="282">
        <v>1669851.4201</v>
      </c>
      <c r="N189" s="282">
        <f t="shared" si="28"/>
        <v>28500</v>
      </c>
      <c r="O189" s="282">
        <v>1641351.4201</v>
      </c>
      <c r="P189" s="283">
        <f t="shared" si="29"/>
        <v>97.676872444416148</v>
      </c>
      <c r="Q189" s="283">
        <f t="shared" si="30"/>
        <v>97.676872444416148</v>
      </c>
      <c r="R189" s="285"/>
      <c r="S189" s="285"/>
      <c r="T189" s="288"/>
      <c r="U189" s="287"/>
      <c r="V189" s="242">
        <f t="shared" si="24"/>
        <v>0</v>
      </c>
      <c r="W189" s="242">
        <f t="shared" si="25"/>
        <v>0</v>
      </c>
      <c r="X189" s="242">
        <f t="shared" si="26"/>
        <v>0</v>
      </c>
      <c r="Y189" s="242">
        <f t="shared" si="27"/>
        <v>0</v>
      </c>
    </row>
    <row r="190" spans="1:25" s="1242" customFormat="1" ht="21">
      <c r="A190" s="1236"/>
      <c r="B190" s="1236"/>
      <c r="C190" s="1236"/>
      <c r="D190" s="1236" t="s">
        <v>886</v>
      </c>
      <c r="E190" s="1236"/>
      <c r="F190" s="1236"/>
      <c r="G190" s="1237" t="s">
        <v>1012</v>
      </c>
      <c r="H190" s="1238">
        <v>3149431</v>
      </c>
      <c r="I190" s="1238">
        <v>3584470</v>
      </c>
      <c r="J190" s="1238">
        <v>3584470</v>
      </c>
      <c r="K190" s="1238">
        <v>3584470</v>
      </c>
      <c r="L190" s="1238">
        <v>3584470</v>
      </c>
      <c r="M190" s="1238">
        <v>3558973.4569000001</v>
      </c>
      <c r="N190" s="1238">
        <f t="shared" si="28"/>
        <v>2.5900000003166497</v>
      </c>
      <c r="O190" s="1238">
        <v>3558970.8668999998</v>
      </c>
      <c r="P190" s="1239">
        <f t="shared" si="29"/>
        <v>99.288621941319079</v>
      </c>
      <c r="Q190" s="1239">
        <f t="shared" si="30"/>
        <v>99.288621941319079</v>
      </c>
      <c r="R190" s="1240"/>
      <c r="S190" s="1240"/>
      <c r="T190" s="1240"/>
      <c r="U190" s="1241"/>
      <c r="V190" s="1242">
        <f t="shared" si="24"/>
        <v>0</v>
      </c>
      <c r="W190" s="1242">
        <f t="shared" si="25"/>
        <v>0</v>
      </c>
      <c r="X190" s="1242">
        <f t="shared" si="26"/>
        <v>0</v>
      </c>
      <c r="Y190" s="1242">
        <f t="shared" si="27"/>
        <v>0</v>
      </c>
    </row>
    <row r="191" spans="1:25">
      <c r="A191" s="280"/>
      <c r="B191" s="280"/>
      <c r="C191" s="280"/>
      <c r="D191" s="280" t="s">
        <v>911</v>
      </c>
      <c r="E191" s="280"/>
      <c r="F191" s="280"/>
      <c r="G191" s="281" t="s">
        <v>316</v>
      </c>
      <c r="H191" s="282">
        <v>10789376</v>
      </c>
      <c r="I191" s="282">
        <v>5371701</v>
      </c>
      <c r="J191" s="282">
        <v>5371701</v>
      </c>
      <c r="K191" s="282">
        <v>5371701</v>
      </c>
      <c r="L191" s="282">
        <v>5371701</v>
      </c>
      <c r="M191" s="282">
        <v>5368175.3453000002</v>
      </c>
      <c r="N191" s="282">
        <f t="shared" si="28"/>
        <v>977.80599999986589</v>
      </c>
      <c r="O191" s="282">
        <v>5367197.5393000003</v>
      </c>
      <c r="P191" s="283">
        <f t="shared" si="29"/>
        <v>99.916163228370309</v>
      </c>
      <c r="Q191" s="283">
        <f t="shared" si="30"/>
        <v>99.916163228370309</v>
      </c>
      <c r="R191" s="284"/>
      <c r="S191" s="284"/>
      <c r="T191" s="284"/>
      <c r="U191" s="284"/>
      <c r="V191" s="242">
        <f t="shared" si="24"/>
        <v>0</v>
      </c>
      <c r="W191" s="242">
        <f t="shared" si="25"/>
        <v>0</v>
      </c>
      <c r="X191" s="242">
        <f t="shared" si="26"/>
        <v>0</v>
      </c>
      <c r="Y191" s="242">
        <f t="shared" si="27"/>
        <v>0</v>
      </c>
    </row>
    <row r="192" spans="1:25" ht="12.75">
      <c r="A192" s="280"/>
      <c r="B192" s="280"/>
      <c r="C192" s="280"/>
      <c r="D192" s="280"/>
      <c r="E192" s="280" t="s">
        <v>862</v>
      </c>
      <c r="F192" s="280"/>
      <c r="G192" s="281" t="s">
        <v>892</v>
      </c>
      <c r="H192" s="282">
        <v>0</v>
      </c>
      <c r="I192" s="282">
        <v>0</v>
      </c>
      <c r="J192" s="282">
        <v>2557219</v>
      </c>
      <c r="K192" s="282">
        <v>2557219</v>
      </c>
      <c r="L192" s="282">
        <v>2557219</v>
      </c>
      <c r="M192" s="282">
        <v>2555886.9</v>
      </c>
      <c r="N192" s="282">
        <f t="shared" si="28"/>
        <v>0</v>
      </c>
      <c r="O192" s="282">
        <v>2555886.9</v>
      </c>
      <c r="P192" s="283">
        <f t="shared" si="29"/>
        <v>99.947908255022341</v>
      </c>
      <c r="Q192" s="283">
        <f t="shared" si="30"/>
        <v>99.947908255022341</v>
      </c>
      <c r="R192" s="285"/>
      <c r="S192" s="285"/>
      <c r="T192" s="285"/>
      <c r="U192" s="287"/>
      <c r="V192" s="242">
        <f t="shared" si="24"/>
        <v>0</v>
      </c>
      <c r="W192" s="242">
        <f t="shared" si="25"/>
        <v>0</v>
      </c>
      <c r="X192" s="242">
        <f t="shared" si="26"/>
        <v>0</v>
      </c>
      <c r="Y192" s="242">
        <f t="shared" si="27"/>
        <v>0</v>
      </c>
    </row>
    <row r="193" spans="1:25" ht="21">
      <c r="A193" s="280"/>
      <c r="B193" s="280"/>
      <c r="C193" s="280"/>
      <c r="D193" s="280"/>
      <c r="E193" s="280" t="s">
        <v>883</v>
      </c>
      <c r="F193" s="280"/>
      <c r="G193" s="281" t="s">
        <v>884</v>
      </c>
      <c r="H193" s="282">
        <v>0</v>
      </c>
      <c r="I193" s="282">
        <v>0</v>
      </c>
      <c r="J193" s="282">
        <v>2814482</v>
      </c>
      <c r="K193" s="282">
        <v>2814482</v>
      </c>
      <c r="L193" s="282">
        <v>2814482</v>
      </c>
      <c r="M193" s="282">
        <v>2812288.4452999998</v>
      </c>
      <c r="N193" s="282">
        <f t="shared" si="28"/>
        <v>977.80599999986589</v>
      </c>
      <c r="O193" s="282">
        <v>2811310.6392999999</v>
      </c>
      <c r="P193" s="283">
        <f t="shared" si="29"/>
        <v>99.887319915352094</v>
      </c>
      <c r="Q193" s="283">
        <f t="shared" si="30"/>
        <v>99.887319915352094</v>
      </c>
      <c r="R193" s="285"/>
      <c r="S193" s="285"/>
      <c r="T193" s="285"/>
      <c r="U193" s="287"/>
      <c r="V193" s="242">
        <f t="shared" si="24"/>
        <v>0</v>
      </c>
      <c r="W193" s="242">
        <f t="shared" si="25"/>
        <v>0</v>
      </c>
      <c r="X193" s="242">
        <f t="shared" si="26"/>
        <v>0</v>
      </c>
      <c r="Y193" s="242">
        <f t="shared" si="27"/>
        <v>0</v>
      </c>
    </row>
    <row r="194" spans="1:25" ht="21">
      <c r="A194" s="280"/>
      <c r="B194" s="280"/>
      <c r="C194" s="280"/>
      <c r="D194" s="280" t="s">
        <v>889</v>
      </c>
      <c r="E194" s="280"/>
      <c r="F194" s="280"/>
      <c r="G194" s="281" t="s">
        <v>1013</v>
      </c>
      <c r="H194" s="282">
        <v>452434</v>
      </c>
      <c r="I194" s="282">
        <v>2103719</v>
      </c>
      <c r="J194" s="282">
        <v>2103719</v>
      </c>
      <c r="K194" s="282">
        <v>2103719</v>
      </c>
      <c r="L194" s="282">
        <v>2103719</v>
      </c>
      <c r="M194" s="282">
        <v>2103719</v>
      </c>
      <c r="N194" s="282">
        <f t="shared" si="28"/>
        <v>0</v>
      </c>
      <c r="O194" s="282">
        <v>2103719</v>
      </c>
      <c r="P194" s="283">
        <f t="shared" si="29"/>
        <v>100</v>
      </c>
      <c r="Q194" s="283">
        <f t="shared" si="30"/>
        <v>100</v>
      </c>
      <c r="R194" s="285"/>
      <c r="S194" s="285"/>
      <c r="T194" s="288"/>
      <c r="U194" s="287"/>
      <c r="V194" s="242">
        <f t="shared" si="24"/>
        <v>0</v>
      </c>
      <c r="W194" s="242">
        <f t="shared" si="25"/>
        <v>0</v>
      </c>
      <c r="X194" s="242">
        <f t="shared" si="26"/>
        <v>0</v>
      </c>
      <c r="Y194" s="242">
        <f t="shared" si="27"/>
        <v>0</v>
      </c>
    </row>
    <row r="195" spans="1:25" ht="21">
      <c r="A195" s="280"/>
      <c r="B195" s="280"/>
      <c r="C195" s="280"/>
      <c r="D195" s="280" t="s">
        <v>848</v>
      </c>
      <c r="E195" s="280"/>
      <c r="F195" s="280"/>
      <c r="G195" s="281" t="s">
        <v>868</v>
      </c>
      <c r="H195" s="282">
        <v>0</v>
      </c>
      <c r="I195" s="282">
        <v>0</v>
      </c>
      <c r="J195" s="282">
        <v>893212.8</v>
      </c>
      <c r="K195" s="282">
        <v>893212.8</v>
      </c>
      <c r="L195" s="282">
        <v>893212.8</v>
      </c>
      <c r="M195" s="282">
        <v>893212.76199999999</v>
      </c>
      <c r="N195" s="282">
        <f t="shared" si="28"/>
        <v>0</v>
      </c>
      <c r="O195" s="282">
        <v>893212.76199999999</v>
      </c>
      <c r="P195" s="283">
        <f t="shared" si="29"/>
        <v>99.999995745694633</v>
      </c>
      <c r="Q195" s="283">
        <f t="shared" si="30"/>
        <v>99.999995745694633</v>
      </c>
      <c r="R195" s="285"/>
      <c r="S195" s="285"/>
      <c r="T195" s="288"/>
      <c r="U195" s="287"/>
      <c r="V195" s="242">
        <f t="shared" si="24"/>
        <v>0</v>
      </c>
      <c r="W195" s="242">
        <f t="shared" si="25"/>
        <v>0</v>
      </c>
      <c r="X195" s="242">
        <f t="shared" si="26"/>
        <v>0</v>
      </c>
      <c r="Y195" s="242">
        <f t="shared" si="27"/>
        <v>0</v>
      </c>
    </row>
    <row r="196" spans="1:25" ht="21">
      <c r="A196" s="280"/>
      <c r="B196" s="280"/>
      <c r="C196" s="280"/>
      <c r="D196" s="280" t="s">
        <v>845</v>
      </c>
      <c r="E196" s="280"/>
      <c r="F196" s="280"/>
      <c r="G196" s="281" t="s">
        <v>857</v>
      </c>
      <c r="H196" s="282">
        <v>0</v>
      </c>
      <c r="I196" s="282">
        <v>0</v>
      </c>
      <c r="J196" s="282">
        <v>42281.3</v>
      </c>
      <c r="K196" s="282">
        <v>42281.3</v>
      </c>
      <c r="L196" s="282">
        <v>42281.3</v>
      </c>
      <c r="M196" s="282">
        <v>42280.49</v>
      </c>
      <c r="N196" s="282">
        <f t="shared" si="28"/>
        <v>0</v>
      </c>
      <c r="O196" s="282">
        <v>42280.49</v>
      </c>
      <c r="P196" s="283">
        <f t="shared" si="29"/>
        <v>99.998084259471668</v>
      </c>
      <c r="Q196" s="283">
        <f t="shared" si="30"/>
        <v>99.998084259471668</v>
      </c>
      <c r="R196" s="285"/>
      <c r="S196" s="285"/>
      <c r="T196" s="288"/>
      <c r="U196" s="287"/>
      <c r="V196" s="242">
        <f t="shared" si="24"/>
        <v>0</v>
      </c>
      <c r="W196" s="242">
        <f t="shared" si="25"/>
        <v>0</v>
      </c>
      <c r="X196" s="242">
        <f t="shared" si="26"/>
        <v>0</v>
      </c>
      <c r="Y196" s="242">
        <f t="shared" si="27"/>
        <v>0</v>
      </c>
    </row>
    <row r="197" spans="1:25" ht="12.75">
      <c r="A197" s="280"/>
      <c r="B197" s="280"/>
      <c r="C197" s="280"/>
      <c r="D197" s="280" t="s">
        <v>855</v>
      </c>
      <c r="E197" s="280"/>
      <c r="F197" s="280"/>
      <c r="G197" s="281" t="s">
        <v>893</v>
      </c>
      <c r="H197" s="282">
        <v>39934</v>
      </c>
      <c r="I197" s="282">
        <v>39934</v>
      </c>
      <c r="J197" s="282">
        <v>39934</v>
      </c>
      <c r="K197" s="282">
        <v>39934</v>
      </c>
      <c r="L197" s="282">
        <v>39934</v>
      </c>
      <c r="M197" s="282">
        <v>39934</v>
      </c>
      <c r="N197" s="282">
        <f t="shared" si="28"/>
        <v>0</v>
      </c>
      <c r="O197" s="282">
        <v>39934</v>
      </c>
      <c r="P197" s="283">
        <f t="shared" si="29"/>
        <v>100</v>
      </c>
      <c r="Q197" s="283">
        <f t="shared" si="30"/>
        <v>100</v>
      </c>
      <c r="R197" s="285"/>
      <c r="S197" s="285"/>
      <c r="T197" s="285"/>
      <c r="U197" s="287"/>
      <c r="V197" s="242">
        <f t="shared" si="24"/>
        <v>0</v>
      </c>
      <c r="W197" s="242">
        <f t="shared" si="25"/>
        <v>0</v>
      </c>
      <c r="X197" s="242">
        <f t="shared" si="26"/>
        <v>0</v>
      </c>
      <c r="Y197" s="242">
        <f t="shared" si="27"/>
        <v>0</v>
      </c>
    </row>
    <row r="198" spans="1:25" ht="31.5">
      <c r="A198" s="280"/>
      <c r="B198" s="280"/>
      <c r="C198" s="280"/>
      <c r="D198" s="308" t="s">
        <v>859</v>
      </c>
      <c r="E198" s="308"/>
      <c r="F198" s="308"/>
      <c r="G198" s="309" t="s">
        <v>1014</v>
      </c>
      <c r="H198" s="310">
        <v>0</v>
      </c>
      <c r="I198" s="310">
        <v>0</v>
      </c>
      <c r="J198" s="310">
        <v>14497</v>
      </c>
      <c r="K198" s="310">
        <v>14497</v>
      </c>
      <c r="L198" s="310">
        <v>14497</v>
      </c>
      <c r="M198" s="310">
        <v>14496.695</v>
      </c>
      <c r="N198" s="310">
        <f t="shared" si="28"/>
        <v>14496.695</v>
      </c>
      <c r="O198" s="310">
        <v>0</v>
      </c>
      <c r="P198" s="311">
        <f t="shared" si="29"/>
        <v>0</v>
      </c>
      <c r="Q198" s="311">
        <f t="shared" si="30"/>
        <v>0</v>
      </c>
      <c r="R198" s="314"/>
      <c r="S198" s="314"/>
      <c r="T198" s="314"/>
      <c r="U198" s="314"/>
      <c r="V198" s="242">
        <f t="shared" si="24"/>
        <v>0</v>
      </c>
      <c r="W198" s="242">
        <f t="shared" si="25"/>
        <v>0</v>
      </c>
      <c r="X198" s="242">
        <f t="shared" si="26"/>
        <v>0</v>
      </c>
      <c r="Y198" s="242">
        <f t="shared" si="27"/>
        <v>0</v>
      </c>
    </row>
    <row r="199" spans="1:25" ht="31.5">
      <c r="A199" s="280"/>
      <c r="B199" s="280"/>
      <c r="C199" s="280"/>
      <c r="D199" s="280" t="s">
        <v>852</v>
      </c>
      <c r="E199" s="280"/>
      <c r="F199" s="280"/>
      <c r="G199" s="281" t="s">
        <v>853</v>
      </c>
      <c r="H199" s="282">
        <v>0</v>
      </c>
      <c r="I199" s="282">
        <v>0</v>
      </c>
      <c r="J199" s="282">
        <v>15890.8</v>
      </c>
      <c r="K199" s="282">
        <v>15890.8</v>
      </c>
      <c r="L199" s="282">
        <v>15890.8</v>
      </c>
      <c r="M199" s="282">
        <v>15890.747600000001</v>
      </c>
      <c r="N199" s="282">
        <f t="shared" si="28"/>
        <v>0</v>
      </c>
      <c r="O199" s="282">
        <v>15890.747600000001</v>
      </c>
      <c r="P199" s="283">
        <f t="shared" si="29"/>
        <v>99.999670249452521</v>
      </c>
      <c r="Q199" s="283">
        <f t="shared" si="30"/>
        <v>99.999670249452521</v>
      </c>
      <c r="R199" s="285"/>
      <c r="S199" s="285"/>
      <c r="T199" s="288"/>
      <c r="U199" s="287"/>
      <c r="V199" s="242">
        <f t="shared" si="24"/>
        <v>0</v>
      </c>
      <c r="W199" s="242">
        <f t="shared" si="25"/>
        <v>0</v>
      </c>
      <c r="X199" s="242">
        <f t="shared" si="26"/>
        <v>0</v>
      </c>
      <c r="Y199" s="242">
        <f t="shared" si="27"/>
        <v>0</v>
      </c>
    </row>
    <row r="200" spans="1:25" s="647" customFormat="1">
      <c r="A200" s="643"/>
      <c r="B200" s="643"/>
      <c r="C200" s="643" t="s">
        <v>936</v>
      </c>
      <c r="D200" s="643"/>
      <c r="E200" s="643"/>
      <c r="F200" s="643"/>
      <c r="G200" s="644" t="s">
        <v>937</v>
      </c>
      <c r="H200" s="645">
        <v>28461765</v>
      </c>
      <c r="I200" s="645">
        <v>33308454.300000001</v>
      </c>
      <c r="J200" s="645">
        <v>33340829.199999999</v>
      </c>
      <c r="K200" s="645">
        <v>33340829.199999999</v>
      </c>
      <c r="L200" s="645">
        <v>33340829.199999999</v>
      </c>
      <c r="M200" s="645">
        <v>32845021.5603</v>
      </c>
      <c r="N200" s="645">
        <f t="shared" si="28"/>
        <v>17786.154899999499</v>
      </c>
      <c r="O200" s="645">
        <v>32827235.405400001</v>
      </c>
      <c r="P200" s="646">
        <f t="shared" si="29"/>
        <v>98.459565023055887</v>
      </c>
      <c r="Q200" s="646">
        <f t="shared" si="30"/>
        <v>98.459565023055887</v>
      </c>
      <c r="V200" s="242">
        <f t="shared" si="24"/>
        <v>0</v>
      </c>
      <c r="W200" s="242">
        <f t="shared" si="25"/>
        <v>33340829.199999999</v>
      </c>
      <c r="X200" s="242">
        <f t="shared" si="26"/>
        <v>0</v>
      </c>
      <c r="Y200" s="242">
        <f t="shared" si="27"/>
        <v>0</v>
      </c>
    </row>
    <row r="201" spans="1:25" ht="21">
      <c r="A201" s="280"/>
      <c r="B201" s="280"/>
      <c r="C201" s="280"/>
      <c r="D201" s="280" t="s">
        <v>847</v>
      </c>
      <c r="E201" s="280"/>
      <c r="F201" s="280"/>
      <c r="G201" s="281" t="s">
        <v>1015</v>
      </c>
      <c r="H201" s="282">
        <v>1362102</v>
      </c>
      <c r="I201" s="282">
        <v>1370104.3</v>
      </c>
      <c r="J201" s="282">
        <v>1370104.3</v>
      </c>
      <c r="K201" s="282">
        <v>1370104.3</v>
      </c>
      <c r="L201" s="282">
        <v>1370104.3</v>
      </c>
      <c r="M201" s="282">
        <v>1369601.5914</v>
      </c>
      <c r="N201" s="282">
        <f t="shared" si="28"/>
        <v>166.51970000006258</v>
      </c>
      <c r="O201" s="282">
        <v>1369435.0717</v>
      </c>
      <c r="P201" s="283">
        <f t="shared" si="29"/>
        <v>99.95115493762043</v>
      </c>
      <c r="Q201" s="283">
        <f t="shared" si="30"/>
        <v>99.95115493762043</v>
      </c>
      <c r="R201" s="285"/>
      <c r="S201" s="285"/>
      <c r="T201" s="285"/>
      <c r="U201" s="287"/>
      <c r="V201" s="242">
        <f t="shared" si="24"/>
        <v>0</v>
      </c>
      <c r="W201" s="242">
        <f t="shared" si="25"/>
        <v>0</v>
      </c>
      <c r="X201" s="242">
        <f t="shared" si="26"/>
        <v>0</v>
      </c>
      <c r="Y201" s="242">
        <f t="shared" si="27"/>
        <v>0</v>
      </c>
    </row>
    <row r="202" spans="1:25" ht="21">
      <c r="A202" s="280"/>
      <c r="B202" s="280"/>
      <c r="C202" s="280"/>
      <c r="D202" s="280" t="s">
        <v>881</v>
      </c>
      <c r="E202" s="280"/>
      <c r="F202" s="280"/>
      <c r="G202" s="281" t="s">
        <v>1016</v>
      </c>
      <c r="H202" s="282">
        <v>2247837</v>
      </c>
      <c r="I202" s="282">
        <v>2374989.2000000002</v>
      </c>
      <c r="J202" s="282">
        <v>2374989.2000000002</v>
      </c>
      <c r="K202" s="282">
        <v>2374989.2000000002</v>
      </c>
      <c r="L202" s="282">
        <v>2374989.2000000002</v>
      </c>
      <c r="M202" s="282">
        <v>2370423.1724999999</v>
      </c>
      <c r="N202" s="282">
        <f t="shared" si="28"/>
        <v>1384.5497999996878</v>
      </c>
      <c r="O202" s="282">
        <v>2369038.6227000002</v>
      </c>
      <c r="P202" s="283">
        <f t="shared" si="29"/>
        <v>99.749448237490938</v>
      </c>
      <c r="Q202" s="283">
        <f t="shared" si="30"/>
        <v>99.749448237490938</v>
      </c>
      <c r="R202" s="284"/>
      <c r="S202" s="284"/>
      <c r="T202" s="284"/>
      <c r="U202" s="284"/>
      <c r="V202" s="242">
        <f t="shared" si="24"/>
        <v>0</v>
      </c>
      <c r="W202" s="242">
        <f t="shared" si="25"/>
        <v>0</v>
      </c>
      <c r="X202" s="242">
        <f t="shared" si="26"/>
        <v>0</v>
      </c>
      <c r="Y202" s="242">
        <f t="shared" si="27"/>
        <v>0</v>
      </c>
    </row>
    <row r="203" spans="1:25" ht="12.75">
      <c r="A203" s="280"/>
      <c r="B203" s="280"/>
      <c r="C203" s="280"/>
      <c r="D203" s="280"/>
      <c r="E203" s="280" t="s">
        <v>858</v>
      </c>
      <c r="F203" s="280"/>
      <c r="G203" s="281" t="s">
        <v>921</v>
      </c>
      <c r="H203" s="282">
        <v>0</v>
      </c>
      <c r="I203" s="282">
        <v>0</v>
      </c>
      <c r="J203" s="282">
        <v>554019</v>
      </c>
      <c r="K203" s="282">
        <v>554019</v>
      </c>
      <c r="L203" s="282">
        <v>554019</v>
      </c>
      <c r="M203" s="282">
        <v>549605.26569999999</v>
      </c>
      <c r="N203" s="282">
        <f t="shared" si="28"/>
        <v>404.05969999998342</v>
      </c>
      <c r="O203" s="282">
        <v>549201.20600000001</v>
      </c>
      <c r="P203" s="283">
        <f t="shared" si="29"/>
        <v>99.130391917966705</v>
      </c>
      <c r="Q203" s="283">
        <f t="shared" si="30"/>
        <v>99.130391917966705</v>
      </c>
      <c r="R203" s="285"/>
      <c r="S203" s="285"/>
      <c r="T203" s="285"/>
      <c r="U203" s="287"/>
      <c r="V203" s="242">
        <f t="shared" si="24"/>
        <v>0</v>
      </c>
      <c r="W203" s="242">
        <f t="shared" si="25"/>
        <v>0</v>
      </c>
      <c r="X203" s="242">
        <f t="shared" si="26"/>
        <v>0</v>
      </c>
      <c r="Y203" s="242">
        <f t="shared" si="27"/>
        <v>0</v>
      </c>
    </row>
    <row r="204" spans="1:25" ht="12.75">
      <c r="A204" s="280"/>
      <c r="B204" s="280"/>
      <c r="C204" s="280"/>
      <c r="D204" s="280"/>
      <c r="E204" s="280" t="s">
        <v>905</v>
      </c>
      <c r="F204" s="280"/>
      <c r="G204" s="281" t="s">
        <v>918</v>
      </c>
      <c r="H204" s="282">
        <v>0</v>
      </c>
      <c r="I204" s="282">
        <v>0</v>
      </c>
      <c r="J204" s="282">
        <v>1820970.2</v>
      </c>
      <c r="K204" s="282">
        <v>1820970.2</v>
      </c>
      <c r="L204" s="282">
        <v>1820970.2</v>
      </c>
      <c r="M204" s="282">
        <v>1820817.9068</v>
      </c>
      <c r="N204" s="282">
        <f t="shared" si="28"/>
        <v>980.49010000005364</v>
      </c>
      <c r="O204" s="282">
        <v>1819837.4166999999</v>
      </c>
      <c r="P204" s="283">
        <f t="shared" si="29"/>
        <v>99.937792320818858</v>
      </c>
      <c r="Q204" s="283">
        <f t="shared" si="30"/>
        <v>99.937792320818858</v>
      </c>
      <c r="R204" s="285"/>
      <c r="S204" s="285"/>
      <c r="T204" s="285"/>
      <c r="U204" s="287"/>
      <c r="V204" s="242">
        <f t="shared" si="24"/>
        <v>0</v>
      </c>
      <c r="W204" s="242">
        <f t="shared" si="25"/>
        <v>0</v>
      </c>
      <c r="X204" s="242">
        <f t="shared" si="26"/>
        <v>0</v>
      </c>
      <c r="Y204" s="242">
        <f t="shared" si="27"/>
        <v>0</v>
      </c>
    </row>
    <row r="205" spans="1:25" ht="12.75">
      <c r="A205" s="280"/>
      <c r="B205" s="280"/>
      <c r="C205" s="280"/>
      <c r="D205" s="280" t="s">
        <v>895</v>
      </c>
      <c r="E205" s="280"/>
      <c r="F205" s="280"/>
      <c r="G205" s="281" t="s">
        <v>1017</v>
      </c>
      <c r="H205" s="282">
        <v>694103</v>
      </c>
      <c r="I205" s="282">
        <v>694584</v>
      </c>
      <c r="J205" s="282">
        <v>694584</v>
      </c>
      <c r="K205" s="282">
        <v>694584</v>
      </c>
      <c r="L205" s="282">
        <v>694584</v>
      </c>
      <c r="M205" s="282">
        <v>694580.44739999995</v>
      </c>
      <c r="N205" s="282">
        <f t="shared" si="28"/>
        <v>1.2299999943934381E-2</v>
      </c>
      <c r="O205" s="282">
        <v>694580.4351</v>
      </c>
      <c r="P205" s="283">
        <f t="shared" si="29"/>
        <v>99.999486757541206</v>
      </c>
      <c r="Q205" s="283">
        <f t="shared" si="30"/>
        <v>99.999486757541206</v>
      </c>
      <c r="R205" s="285"/>
      <c r="S205" s="285"/>
      <c r="T205" s="285"/>
      <c r="U205" s="287"/>
      <c r="V205" s="242">
        <f t="shared" ref="V205:V268" si="31">IF(C205="226",J205,0)</f>
        <v>0</v>
      </c>
      <c r="W205" s="242">
        <f t="shared" ref="W205:W268" si="32">IF(C205="253",J205,0)</f>
        <v>0</v>
      </c>
      <c r="X205" s="242">
        <f t="shared" ref="X205:X268" si="33">IF(C205="353",J205,0)</f>
        <v>0</v>
      </c>
      <c r="Y205" s="242">
        <f t="shared" ref="Y205:Y268" si="34">IF(C205="694",J205,0)</f>
        <v>0</v>
      </c>
    </row>
    <row r="206" spans="1:25" ht="12.75">
      <c r="A206" s="280"/>
      <c r="B206" s="280"/>
      <c r="C206" s="280"/>
      <c r="D206" s="280" t="s">
        <v>905</v>
      </c>
      <c r="E206" s="280"/>
      <c r="F206" s="280"/>
      <c r="G206" s="281" t="s">
        <v>861</v>
      </c>
      <c r="H206" s="282">
        <v>0</v>
      </c>
      <c r="I206" s="282">
        <v>231.5</v>
      </c>
      <c r="J206" s="282">
        <v>231.5</v>
      </c>
      <c r="K206" s="282">
        <v>231.5</v>
      </c>
      <c r="L206" s="282">
        <v>231.5</v>
      </c>
      <c r="M206" s="282">
        <v>217.7</v>
      </c>
      <c r="N206" s="282">
        <f t="shared" si="28"/>
        <v>0</v>
      </c>
      <c r="O206" s="282">
        <v>217.7</v>
      </c>
      <c r="P206" s="283">
        <f t="shared" si="29"/>
        <v>94.038876889848808</v>
      </c>
      <c r="Q206" s="283">
        <f t="shared" si="30"/>
        <v>94.038876889848808</v>
      </c>
      <c r="R206" s="285"/>
      <c r="S206" s="285"/>
      <c r="T206" s="288"/>
      <c r="U206" s="287"/>
      <c r="V206" s="242">
        <f t="shared" si="31"/>
        <v>0</v>
      </c>
      <c r="W206" s="242">
        <f t="shared" si="32"/>
        <v>0</v>
      </c>
      <c r="X206" s="242">
        <f t="shared" si="33"/>
        <v>0</v>
      </c>
      <c r="Y206" s="242">
        <f t="shared" si="34"/>
        <v>0</v>
      </c>
    </row>
    <row r="207" spans="1:25" ht="21">
      <c r="A207" s="280"/>
      <c r="B207" s="280"/>
      <c r="C207" s="280"/>
      <c r="D207" s="280" t="s">
        <v>883</v>
      </c>
      <c r="E207" s="280"/>
      <c r="F207" s="280"/>
      <c r="G207" s="281" t="s">
        <v>1018</v>
      </c>
      <c r="H207" s="282">
        <v>233074</v>
      </c>
      <c r="I207" s="282">
        <v>247580</v>
      </c>
      <c r="J207" s="282">
        <v>247580</v>
      </c>
      <c r="K207" s="282">
        <v>247580</v>
      </c>
      <c r="L207" s="282">
        <v>247580</v>
      </c>
      <c r="M207" s="282">
        <v>245234.53109999999</v>
      </c>
      <c r="N207" s="282">
        <f t="shared" si="28"/>
        <v>1.6999999992549419E-2</v>
      </c>
      <c r="O207" s="282">
        <v>245234.5141</v>
      </c>
      <c r="P207" s="283">
        <f t="shared" si="29"/>
        <v>99.052635148234913</v>
      </c>
      <c r="Q207" s="283">
        <f t="shared" si="30"/>
        <v>99.052635148234913</v>
      </c>
      <c r="R207" s="285"/>
      <c r="S207" s="285"/>
      <c r="T207" s="285"/>
      <c r="U207" s="287"/>
      <c r="V207" s="242">
        <f t="shared" si="31"/>
        <v>0</v>
      </c>
      <c r="W207" s="242">
        <f t="shared" si="32"/>
        <v>0</v>
      </c>
      <c r="X207" s="242">
        <f t="shared" si="33"/>
        <v>0</v>
      </c>
      <c r="Y207" s="242">
        <f t="shared" si="34"/>
        <v>0</v>
      </c>
    </row>
    <row r="208" spans="1:25" ht="21">
      <c r="A208" s="280"/>
      <c r="B208" s="280"/>
      <c r="C208" s="280"/>
      <c r="D208" s="280" t="s">
        <v>896</v>
      </c>
      <c r="E208" s="280"/>
      <c r="F208" s="280"/>
      <c r="G208" s="281" t="s">
        <v>1019</v>
      </c>
      <c r="H208" s="282">
        <v>493848</v>
      </c>
      <c r="I208" s="282">
        <v>495432</v>
      </c>
      <c r="J208" s="282">
        <v>495432</v>
      </c>
      <c r="K208" s="282">
        <v>495432</v>
      </c>
      <c r="L208" s="282">
        <v>495432</v>
      </c>
      <c r="M208" s="282">
        <v>495432</v>
      </c>
      <c r="N208" s="282">
        <f t="shared" si="28"/>
        <v>9.9999998928979039E-4</v>
      </c>
      <c r="O208" s="282">
        <v>495431.99900000001</v>
      </c>
      <c r="P208" s="283">
        <f t="shared" si="29"/>
        <v>99.999999798155955</v>
      </c>
      <c r="Q208" s="283">
        <f t="shared" si="30"/>
        <v>99.999999798155955</v>
      </c>
      <c r="R208" s="285"/>
      <c r="S208" s="285"/>
      <c r="T208" s="285"/>
      <c r="U208" s="287"/>
      <c r="V208" s="242">
        <f t="shared" si="31"/>
        <v>0</v>
      </c>
      <c r="W208" s="242">
        <f t="shared" si="32"/>
        <v>0</v>
      </c>
      <c r="X208" s="242">
        <f t="shared" si="33"/>
        <v>0</v>
      </c>
      <c r="Y208" s="242">
        <f t="shared" si="34"/>
        <v>0</v>
      </c>
    </row>
    <row r="209" spans="1:26" ht="31.5">
      <c r="A209" s="280"/>
      <c r="B209" s="280"/>
      <c r="C209" s="280"/>
      <c r="D209" s="280" t="s">
        <v>877</v>
      </c>
      <c r="E209" s="280"/>
      <c r="F209" s="280"/>
      <c r="G209" s="281" t="s">
        <v>1020</v>
      </c>
      <c r="H209" s="282">
        <v>116131</v>
      </c>
      <c r="I209" s="282">
        <v>116131</v>
      </c>
      <c r="J209" s="282">
        <v>116131</v>
      </c>
      <c r="K209" s="282">
        <v>116131</v>
      </c>
      <c r="L209" s="282">
        <v>116131</v>
      </c>
      <c r="M209" s="282">
        <v>116131</v>
      </c>
      <c r="N209" s="282">
        <f t="shared" si="28"/>
        <v>0</v>
      </c>
      <c r="O209" s="282">
        <v>116131</v>
      </c>
      <c r="P209" s="283">
        <f t="shared" si="29"/>
        <v>100</v>
      </c>
      <c r="Q209" s="283">
        <f t="shared" si="30"/>
        <v>100</v>
      </c>
      <c r="R209" s="285"/>
      <c r="S209" s="285"/>
      <c r="T209" s="285"/>
      <c r="U209" s="287"/>
      <c r="V209" s="242">
        <f t="shared" si="31"/>
        <v>0</v>
      </c>
      <c r="W209" s="242">
        <f t="shared" si="32"/>
        <v>0</v>
      </c>
      <c r="X209" s="242">
        <f t="shared" si="33"/>
        <v>0</v>
      </c>
      <c r="Y209" s="242">
        <f t="shared" si="34"/>
        <v>0</v>
      </c>
    </row>
    <row r="210" spans="1:26" s="1242" customFormat="1" ht="21">
      <c r="A210" s="1236"/>
      <c r="B210" s="1236"/>
      <c r="C210" s="1236"/>
      <c r="D210" s="1236" t="s">
        <v>941</v>
      </c>
      <c r="E210" s="1236"/>
      <c r="F210" s="1236"/>
      <c r="G210" s="1237" t="s">
        <v>1021</v>
      </c>
      <c r="H210" s="1238">
        <v>64039</v>
      </c>
      <c r="I210" s="1238">
        <v>100853.9</v>
      </c>
      <c r="J210" s="1238">
        <v>100853.9</v>
      </c>
      <c r="K210" s="1238">
        <v>100853.9</v>
      </c>
      <c r="L210" s="1238">
        <v>100853.9</v>
      </c>
      <c r="M210" s="1238">
        <v>100416.81299999999</v>
      </c>
      <c r="N210" s="1238">
        <f t="shared" si="28"/>
        <v>458.00099999998929</v>
      </c>
      <c r="O210" s="1238">
        <v>99958.812000000005</v>
      </c>
      <c r="P210" s="1239">
        <f t="shared" si="29"/>
        <v>99.112490444097858</v>
      </c>
      <c r="Q210" s="1239">
        <f t="shared" si="30"/>
        <v>99.112490444097858</v>
      </c>
      <c r="R210" s="1240"/>
      <c r="S210" s="1240"/>
      <c r="T210" s="1240"/>
      <c r="U210" s="1241"/>
      <c r="V210" s="1242">
        <f t="shared" si="31"/>
        <v>0</v>
      </c>
      <c r="W210" s="1242">
        <f t="shared" si="32"/>
        <v>0</v>
      </c>
      <c r="X210" s="1242">
        <f t="shared" si="33"/>
        <v>0</v>
      </c>
      <c r="Y210" s="1242">
        <f t="shared" si="34"/>
        <v>0</v>
      </c>
    </row>
    <row r="211" spans="1:26" s="1242" customFormat="1" ht="21">
      <c r="A211" s="1236"/>
      <c r="B211" s="1236"/>
      <c r="C211" s="1236"/>
      <c r="D211" s="1236" t="s">
        <v>890</v>
      </c>
      <c r="E211" s="1236"/>
      <c r="F211" s="1236"/>
      <c r="G211" s="1237" t="s">
        <v>1022</v>
      </c>
      <c r="H211" s="1238">
        <v>23250631</v>
      </c>
      <c r="I211" s="1238">
        <v>27753205.5</v>
      </c>
      <c r="J211" s="1238">
        <v>27753205.5</v>
      </c>
      <c r="K211" s="1238">
        <v>27753205.5</v>
      </c>
      <c r="L211" s="1238">
        <v>27753205.5</v>
      </c>
      <c r="M211" s="1238">
        <v>27265267.979699999</v>
      </c>
      <c r="N211" s="1238">
        <f t="shared" si="28"/>
        <v>6116.6831000000238</v>
      </c>
      <c r="O211" s="1238">
        <v>27259151.296599999</v>
      </c>
      <c r="P211" s="1239">
        <f t="shared" si="29"/>
        <v>98.21983012592905</v>
      </c>
      <c r="Q211" s="1239">
        <f t="shared" si="30"/>
        <v>98.21983012592905</v>
      </c>
      <c r="V211" s="1242">
        <f t="shared" si="31"/>
        <v>0</v>
      </c>
      <c r="W211" s="1242">
        <f t="shared" si="32"/>
        <v>0</v>
      </c>
      <c r="X211" s="1242">
        <f t="shared" si="33"/>
        <v>0</v>
      </c>
      <c r="Y211" s="1242">
        <f t="shared" si="34"/>
        <v>0</v>
      </c>
    </row>
    <row r="212" spans="1:26" ht="12.75">
      <c r="A212" s="280"/>
      <c r="B212" s="280"/>
      <c r="C212" s="280"/>
      <c r="D212" s="280"/>
      <c r="E212" s="280" t="s">
        <v>858</v>
      </c>
      <c r="F212" s="280"/>
      <c r="G212" s="281" t="s">
        <v>921</v>
      </c>
      <c r="H212" s="282">
        <v>0</v>
      </c>
      <c r="I212" s="282">
        <v>0</v>
      </c>
      <c r="J212" s="282">
        <v>9488264</v>
      </c>
      <c r="K212" s="282">
        <v>9488264</v>
      </c>
      <c r="L212" s="282">
        <v>9488264</v>
      </c>
      <c r="M212" s="282">
        <v>9361776.1618000008</v>
      </c>
      <c r="N212" s="282">
        <f t="shared" si="28"/>
        <v>0</v>
      </c>
      <c r="O212" s="282">
        <v>9361776.1618000008</v>
      </c>
      <c r="P212" s="283">
        <f t="shared" si="29"/>
        <v>98.666902204660417</v>
      </c>
      <c r="Q212" s="283">
        <f t="shared" si="30"/>
        <v>98.666902204660417</v>
      </c>
      <c r="R212" s="285"/>
      <c r="S212" s="285"/>
      <c r="T212" s="285"/>
      <c r="U212" s="287"/>
      <c r="V212" s="242">
        <f t="shared" si="31"/>
        <v>0</v>
      </c>
      <c r="W212" s="242">
        <f t="shared" si="32"/>
        <v>0</v>
      </c>
      <c r="X212" s="242">
        <f t="shared" si="33"/>
        <v>0</v>
      </c>
      <c r="Y212" s="242">
        <f t="shared" si="34"/>
        <v>0</v>
      </c>
    </row>
    <row r="213" spans="1:26" ht="12.75">
      <c r="A213" s="280"/>
      <c r="B213" s="280"/>
      <c r="C213" s="280"/>
      <c r="D213" s="280"/>
      <c r="E213" s="280" t="s">
        <v>905</v>
      </c>
      <c r="F213" s="280"/>
      <c r="G213" s="281" t="s">
        <v>918</v>
      </c>
      <c r="H213" s="282">
        <v>0</v>
      </c>
      <c r="I213" s="282">
        <v>0</v>
      </c>
      <c r="J213" s="282">
        <v>18264941.5</v>
      </c>
      <c r="K213" s="282">
        <v>18264941.5</v>
      </c>
      <c r="L213" s="282">
        <v>18264941.5</v>
      </c>
      <c r="M213" s="282">
        <v>17903491.818</v>
      </c>
      <c r="N213" s="282">
        <f t="shared" si="28"/>
        <v>6116.6832000017166</v>
      </c>
      <c r="O213" s="282">
        <v>17897375.134799998</v>
      </c>
      <c r="P213" s="283">
        <f t="shared" si="29"/>
        <v>97.987585313645809</v>
      </c>
      <c r="Q213" s="283">
        <f t="shared" si="30"/>
        <v>97.987585313645809</v>
      </c>
      <c r="R213" s="285"/>
      <c r="S213" s="285"/>
      <c r="T213" s="285"/>
      <c r="U213" s="287"/>
      <c r="V213" s="242">
        <f t="shared" si="31"/>
        <v>0</v>
      </c>
      <c r="W213" s="242">
        <f t="shared" si="32"/>
        <v>0</v>
      </c>
      <c r="X213" s="242">
        <f t="shared" si="33"/>
        <v>0</v>
      </c>
      <c r="Y213" s="242">
        <f t="shared" si="34"/>
        <v>0</v>
      </c>
    </row>
    <row r="214" spans="1:26" ht="31.5">
      <c r="A214" s="280"/>
      <c r="B214" s="280"/>
      <c r="C214" s="280"/>
      <c r="D214" s="280" t="s">
        <v>949</v>
      </c>
      <c r="E214" s="294"/>
      <c r="F214" s="294"/>
      <c r="G214" s="295" t="s">
        <v>1023</v>
      </c>
      <c r="H214" s="296">
        <v>0</v>
      </c>
      <c r="I214" s="296">
        <v>140041.9</v>
      </c>
      <c r="J214" s="296">
        <v>140041.9</v>
      </c>
      <c r="K214" s="296">
        <v>140041.9</v>
      </c>
      <c r="L214" s="296">
        <v>140041.9</v>
      </c>
      <c r="M214" s="296">
        <v>140040.89859999999</v>
      </c>
      <c r="N214" s="296">
        <f t="shared" si="28"/>
        <v>0</v>
      </c>
      <c r="O214" s="296">
        <v>140040.89859999999</v>
      </c>
      <c r="P214" s="297">
        <f t="shared" si="29"/>
        <v>99.999284928296447</v>
      </c>
      <c r="Q214" s="297">
        <f t="shared" si="30"/>
        <v>99.999284928296447</v>
      </c>
      <c r="R214" s="307"/>
      <c r="S214" s="307"/>
      <c r="T214" s="307"/>
      <c r="U214" s="287"/>
      <c r="V214" s="242">
        <f t="shared" si="31"/>
        <v>0</v>
      </c>
      <c r="W214" s="242">
        <f t="shared" si="32"/>
        <v>0</v>
      </c>
      <c r="X214" s="242">
        <f t="shared" si="33"/>
        <v>0</v>
      </c>
      <c r="Y214" s="242">
        <f t="shared" si="34"/>
        <v>0</v>
      </c>
      <c r="Z214" s="317"/>
    </row>
    <row r="215" spans="1:26" ht="42">
      <c r="A215" s="280"/>
      <c r="B215" s="280"/>
      <c r="C215" s="280"/>
      <c r="D215" s="280" t="s">
        <v>859</v>
      </c>
      <c r="E215" s="280"/>
      <c r="F215" s="280"/>
      <c r="G215" s="281" t="s">
        <v>869</v>
      </c>
      <c r="H215" s="282">
        <v>0</v>
      </c>
      <c r="I215" s="282">
        <v>0</v>
      </c>
      <c r="J215" s="282">
        <v>15754</v>
      </c>
      <c r="K215" s="282">
        <v>15754</v>
      </c>
      <c r="L215" s="282">
        <v>15754</v>
      </c>
      <c r="M215" s="282">
        <v>15754</v>
      </c>
      <c r="N215" s="282">
        <f t="shared" si="28"/>
        <v>0</v>
      </c>
      <c r="O215" s="282">
        <v>15754</v>
      </c>
      <c r="P215" s="283">
        <f t="shared" si="29"/>
        <v>100</v>
      </c>
      <c r="Q215" s="283">
        <f t="shared" si="30"/>
        <v>100</v>
      </c>
      <c r="R215" s="284"/>
      <c r="S215" s="284"/>
      <c r="T215" s="284"/>
      <c r="U215" s="284"/>
      <c r="V215" s="242">
        <f t="shared" si="31"/>
        <v>0</v>
      </c>
      <c r="W215" s="242">
        <f t="shared" si="32"/>
        <v>0</v>
      </c>
      <c r="X215" s="242">
        <f t="shared" si="33"/>
        <v>0</v>
      </c>
      <c r="Y215" s="242">
        <f t="shared" si="34"/>
        <v>0</v>
      </c>
    </row>
    <row r="216" spans="1:26" ht="50.25" customHeight="1">
      <c r="A216" s="280"/>
      <c r="B216" s="280"/>
      <c r="C216" s="280"/>
      <c r="D216" s="280" t="s">
        <v>865</v>
      </c>
      <c r="E216" s="280"/>
      <c r="F216" s="280"/>
      <c r="G216" s="281" t="s">
        <v>866</v>
      </c>
      <c r="H216" s="282">
        <v>0</v>
      </c>
      <c r="I216" s="282">
        <v>15301</v>
      </c>
      <c r="J216" s="282">
        <v>24411.9</v>
      </c>
      <c r="K216" s="282">
        <v>24411.9</v>
      </c>
      <c r="L216" s="282">
        <v>24411.9</v>
      </c>
      <c r="M216" s="282">
        <v>24411.43</v>
      </c>
      <c r="N216" s="282">
        <f t="shared" si="28"/>
        <v>9660.371000000001</v>
      </c>
      <c r="O216" s="282">
        <v>14751.058999999999</v>
      </c>
      <c r="P216" s="283">
        <f t="shared" si="29"/>
        <v>60.425689929911229</v>
      </c>
      <c r="Q216" s="283">
        <f t="shared" si="30"/>
        <v>60.425689929911229</v>
      </c>
      <c r="R216" s="284"/>
      <c r="S216" s="284"/>
      <c r="T216" s="284"/>
      <c r="U216" s="284"/>
      <c r="V216" s="242">
        <f t="shared" si="31"/>
        <v>0</v>
      </c>
      <c r="W216" s="242">
        <f t="shared" si="32"/>
        <v>0</v>
      </c>
      <c r="X216" s="242">
        <f t="shared" si="33"/>
        <v>0</v>
      </c>
      <c r="Y216" s="242">
        <f t="shared" si="34"/>
        <v>0</v>
      </c>
    </row>
    <row r="217" spans="1:26" ht="31.5">
      <c r="A217" s="280"/>
      <c r="B217" s="280"/>
      <c r="C217" s="280"/>
      <c r="D217" s="280" t="s">
        <v>852</v>
      </c>
      <c r="E217" s="280"/>
      <c r="F217" s="280"/>
      <c r="G217" s="281" t="s">
        <v>853</v>
      </c>
      <c r="H217" s="282">
        <v>0</v>
      </c>
      <c r="I217" s="282">
        <v>0</v>
      </c>
      <c r="J217" s="282">
        <v>7510</v>
      </c>
      <c r="K217" s="282">
        <v>7510</v>
      </c>
      <c r="L217" s="282">
        <v>7510</v>
      </c>
      <c r="M217" s="282">
        <v>7509.9966000000004</v>
      </c>
      <c r="N217" s="282">
        <f t="shared" si="28"/>
        <v>0</v>
      </c>
      <c r="O217" s="282">
        <v>7509.9966000000004</v>
      </c>
      <c r="P217" s="283">
        <f t="shared" si="29"/>
        <v>99.999954727030627</v>
      </c>
      <c r="Q217" s="283">
        <f t="shared" si="30"/>
        <v>99.999954727030627</v>
      </c>
      <c r="R217" s="285"/>
      <c r="S217" s="285"/>
      <c r="T217" s="285"/>
      <c r="U217" s="287"/>
      <c r="V217" s="242">
        <f t="shared" si="31"/>
        <v>0</v>
      </c>
      <c r="W217" s="242">
        <f t="shared" si="32"/>
        <v>0</v>
      </c>
      <c r="X217" s="242">
        <f t="shared" si="33"/>
        <v>0</v>
      </c>
      <c r="Y217" s="242">
        <f t="shared" si="34"/>
        <v>0</v>
      </c>
    </row>
    <row r="218" spans="1:26">
      <c r="A218" s="280"/>
      <c r="B218" s="280"/>
      <c r="C218" s="280" t="s">
        <v>916</v>
      </c>
      <c r="D218" s="280"/>
      <c r="E218" s="280"/>
      <c r="F218" s="280"/>
      <c r="G218" s="281" t="s">
        <v>917</v>
      </c>
      <c r="H218" s="282">
        <v>24861972</v>
      </c>
      <c r="I218" s="282">
        <v>35048157.399999999</v>
      </c>
      <c r="J218" s="282">
        <v>34661352.399999999</v>
      </c>
      <c r="K218" s="282">
        <v>34661352.399999999</v>
      </c>
      <c r="L218" s="282">
        <v>34661352.399999999</v>
      </c>
      <c r="M218" s="282">
        <v>34231965.965599999</v>
      </c>
      <c r="N218" s="282">
        <f t="shared" si="28"/>
        <v>1784228.0755999982</v>
      </c>
      <c r="O218" s="282">
        <v>32447737.890000001</v>
      </c>
      <c r="P218" s="283">
        <f t="shared" si="29"/>
        <v>93.613594517448789</v>
      </c>
      <c r="Q218" s="283">
        <f t="shared" si="30"/>
        <v>93.613594517448789</v>
      </c>
      <c r="R218" s="284"/>
      <c r="S218" s="284"/>
      <c r="T218" s="284"/>
      <c r="U218" s="284"/>
      <c r="V218" s="242">
        <f t="shared" si="31"/>
        <v>0</v>
      </c>
      <c r="W218" s="242">
        <f t="shared" si="32"/>
        <v>0</v>
      </c>
      <c r="X218" s="242">
        <f t="shared" si="33"/>
        <v>0</v>
      </c>
      <c r="Y218" s="242">
        <f t="shared" si="34"/>
        <v>0</v>
      </c>
    </row>
    <row r="219" spans="1:26">
      <c r="A219" s="280"/>
      <c r="B219" s="280"/>
      <c r="C219" s="280"/>
      <c r="D219" s="280" t="s">
        <v>887</v>
      </c>
      <c r="E219" s="280"/>
      <c r="F219" s="280"/>
      <c r="G219" s="281" t="s">
        <v>1024</v>
      </c>
      <c r="H219" s="282">
        <v>250946</v>
      </c>
      <c r="I219" s="282">
        <v>201317</v>
      </c>
      <c r="J219" s="282">
        <v>201317</v>
      </c>
      <c r="K219" s="282">
        <v>201317</v>
      </c>
      <c r="L219" s="282">
        <v>201317</v>
      </c>
      <c r="M219" s="282">
        <v>191524.541</v>
      </c>
      <c r="N219" s="282">
        <f t="shared" si="28"/>
        <v>6103.7699999999895</v>
      </c>
      <c r="O219" s="282">
        <v>185420.77100000001</v>
      </c>
      <c r="P219" s="283">
        <f t="shared" si="29"/>
        <v>92.103881440712911</v>
      </c>
      <c r="Q219" s="283">
        <f t="shared" si="30"/>
        <v>92.103881440712911</v>
      </c>
      <c r="R219" s="284"/>
      <c r="S219" s="284"/>
      <c r="T219" s="284"/>
      <c r="U219" s="284"/>
      <c r="V219" s="242">
        <f t="shared" si="31"/>
        <v>0</v>
      </c>
      <c r="W219" s="242">
        <f t="shared" si="32"/>
        <v>0</v>
      </c>
      <c r="X219" s="242">
        <f t="shared" si="33"/>
        <v>0</v>
      </c>
      <c r="Y219" s="242">
        <f t="shared" si="34"/>
        <v>0</v>
      </c>
    </row>
    <row r="220" spans="1:26" ht="12.75">
      <c r="A220" s="280"/>
      <c r="B220" s="280"/>
      <c r="C220" s="280"/>
      <c r="D220" s="280"/>
      <c r="E220" s="280" t="s">
        <v>858</v>
      </c>
      <c r="F220" s="280"/>
      <c r="G220" s="281" t="s">
        <v>921</v>
      </c>
      <c r="H220" s="282">
        <v>0</v>
      </c>
      <c r="I220" s="282">
        <v>0</v>
      </c>
      <c r="J220" s="282">
        <v>195410</v>
      </c>
      <c r="K220" s="282">
        <v>195410</v>
      </c>
      <c r="L220" s="282">
        <v>195410</v>
      </c>
      <c r="M220" s="282">
        <v>187754.611</v>
      </c>
      <c r="N220" s="282">
        <f t="shared" si="28"/>
        <v>6103.7700000000186</v>
      </c>
      <c r="O220" s="282">
        <v>181650.84099999999</v>
      </c>
      <c r="P220" s="283">
        <f t="shared" si="29"/>
        <v>92.958825546287287</v>
      </c>
      <c r="Q220" s="283">
        <f t="shared" si="30"/>
        <v>92.958825546287287</v>
      </c>
      <c r="R220" s="285"/>
      <c r="S220" s="285"/>
      <c r="T220" s="285"/>
      <c r="U220" s="287"/>
      <c r="V220" s="242">
        <f t="shared" si="31"/>
        <v>0</v>
      </c>
      <c r="W220" s="242">
        <f t="shared" si="32"/>
        <v>0</v>
      </c>
      <c r="X220" s="242">
        <f t="shared" si="33"/>
        <v>0</v>
      </c>
      <c r="Y220" s="242">
        <f t="shared" si="34"/>
        <v>0</v>
      </c>
    </row>
    <row r="221" spans="1:26" ht="12.75">
      <c r="A221" s="280"/>
      <c r="B221" s="280"/>
      <c r="C221" s="280"/>
      <c r="D221" s="280"/>
      <c r="E221" s="280" t="s">
        <v>905</v>
      </c>
      <c r="F221" s="280"/>
      <c r="G221" s="281" t="s">
        <v>918</v>
      </c>
      <c r="H221" s="282">
        <v>0</v>
      </c>
      <c r="I221" s="282">
        <v>0</v>
      </c>
      <c r="J221" s="282">
        <v>5907</v>
      </c>
      <c r="K221" s="282">
        <v>5907</v>
      </c>
      <c r="L221" s="282">
        <v>5907</v>
      </c>
      <c r="M221" s="282">
        <v>3769.93</v>
      </c>
      <c r="N221" s="282">
        <f t="shared" si="28"/>
        <v>0</v>
      </c>
      <c r="O221" s="282">
        <v>3769.93</v>
      </c>
      <c r="P221" s="283">
        <f t="shared" si="29"/>
        <v>63.821398340951404</v>
      </c>
      <c r="Q221" s="283">
        <f t="shared" si="30"/>
        <v>63.821398340951404</v>
      </c>
      <c r="R221" s="285"/>
      <c r="S221" s="285"/>
      <c r="T221" s="285"/>
      <c r="U221" s="287"/>
      <c r="V221" s="242">
        <f t="shared" si="31"/>
        <v>0</v>
      </c>
      <c r="W221" s="242">
        <f t="shared" si="32"/>
        <v>0</v>
      </c>
      <c r="X221" s="242">
        <f t="shared" si="33"/>
        <v>0</v>
      </c>
      <c r="Y221" s="242">
        <f t="shared" si="34"/>
        <v>0</v>
      </c>
    </row>
    <row r="222" spans="1:26" ht="21">
      <c r="A222" s="280"/>
      <c r="B222" s="280"/>
      <c r="C222" s="280"/>
      <c r="D222" s="280" t="s">
        <v>943</v>
      </c>
      <c r="E222" s="280"/>
      <c r="F222" s="280"/>
      <c r="G222" s="281" t="s">
        <v>1004</v>
      </c>
      <c r="H222" s="282">
        <v>24611026</v>
      </c>
      <c r="I222" s="282">
        <v>34846840.399999999</v>
      </c>
      <c r="J222" s="282">
        <v>34460035.399999999</v>
      </c>
      <c r="K222" s="282">
        <v>34460035.399999999</v>
      </c>
      <c r="L222" s="282">
        <v>34460035.399999999</v>
      </c>
      <c r="M222" s="282">
        <v>34040441.424599998</v>
      </c>
      <c r="N222" s="282">
        <f t="shared" si="28"/>
        <v>1778124.3055999987</v>
      </c>
      <c r="O222" s="282">
        <v>32262317.118999999</v>
      </c>
      <c r="P222" s="283">
        <f t="shared" si="29"/>
        <v>93.622414325784476</v>
      </c>
      <c r="Q222" s="283">
        <f t="shared" si="30"/>
        <v>93.622414325784476</v>
      </c>
      <c r="R222" s="284"/>
      <c r="S222" s="284"/>
      <c r="T222" s="284"/>
      <c r="U222" s="284"/>
      <c r="V222" s="242">
        <f t="shared" si="31"/>
        <v>0</v>
      </c>
      <c r="W222" s="242">
        <f t="shared" si="32"/>
        <v>0</v>
      </c>
      <c r="X222" s="242">
        <f t="shared" si="33"/>
        <v>0</v>
      </c>
      <c r="Y222" s="242">
        <f t="shared" si="34"/>
        <v>0</v>
      </c>
    </row>
    <row r="223" spans="1:26" ht="12.75">
      <c r="A223" s="280"/>
      <c r="B223" s="280"/>
      <c r="C223" s="280"/>
      <c r="D223" s="280"/>
      <c r="E223" s="280" t="s">
        <v>858</v>
      </c>
      <c r="F223" s="280"/>
      <c r="G223" s="281" t="s">
        <v>921</v>
      </c>
      <c r="H223" s="282">
        <v>0</v>
      </c>
      <c r="I223" s="282">
        <v>0</v>
      </c>
      <c r="J223" s="282">
        <v>25140295</v>
      </c>
      <c r="K223" s="282">
        <v>25140295</v>
      </c>
      <c r="L223" s="282">
        <v>25140295</v>
      </c>
      <c r="M223" s="282">
        <v>24765327.29459</v>
      </c>
      <c r="N223" s="282">
        <f t="shared" si="28"/>
        <v>1254316.5131900012</v>
      </c>
      <c r="O223" s="282">
        <v>23511010.781399999</v>
      </c>
      <c r="P223" s="283">
        <f t="shared" si="29"/>
        <v>93.519231900023442</v>
      </c>
      <c r="Q223" s="283">
        <f t="shared" si="30"/>
        <v>93.519231900023442</v>
      </c>
      <c r="R223" s="285"/>
      <c r="S223" s="285"/>
      <c r="T223" s="285"/>
      <c r="U223" s="287"/>
      <c r="V223" s="242">
        <f t="shared" si="31"/>
        <v>0</v>
      </c>
      <c r="W223" s="242">
        <f t="shared" si="32"/>
        <v>0</v>
      </c>
      <c r="X223" s="242">
        <f t="shared" si="33"/>
        <v>0</v>
      </c>
      <c r="Y223" s="242">
        <f t="shared" si="34"/>
        <v>0</v>
      </c>
    </row>
    <row r="224" spans="1:26" ht="12.75">
      <c r="A224" s="280"/>
      <c r="B224" s="280"/>
      <c r="C224" s="280"/>
      <c r="D224" s="280"/>
      <c r="E224" s="280" t="s">
        <v>905</v>
      </c>
      <c r="F224" s="280"/>
      <c r="G224" s="281" t="s">
        <v>918</v>
      </c>
      <c r="H224" s="282">
        <v>0</v>
      </c>
      <c r="I224" s="282">
        <v>0</v>
      </c>
      <c r="J224" s="282">
        <v>9319740.4000000004</v>
      </c>
      <c r="K224" s="282">
        <v>9319740.4000000004</v>
      </c>
      <c r="L224" s="282">
        <v>9319740.4000000004</v>
      </c>
      <c r="M224" s="282">
        <v>9275114.1300000008</v>
      </c>
      <c r="N224" s="282">
        <f t="shared" si="28"/>
        <v>523807.79240000062</v>
      </c>
      <c r="O224" s="282">
        <v>8751306.3376000002</v>
      </c>
      <c r="P224" s="283">
        <f t="shared" si="29"/>
        <v>93.900752188333485</v>
      </c>
      <c r="Q224" s="283">
        <f t="shared" si="30"/>
        <v>93.900752188333485</v>
      </c>
      <c r="R224" s="285"/>
      <c r="S224" s="285"/>
      <c r="T224" s="285"/>
      <c r="U224" s="287"/>
      <c r="V224" s="242">
        <f t="shared" si="31"/>
        <v>0</v>
      </c>
      <c r="W224" s="242">
        <f t="shared" si="32"/>
        <v>0</v>
      </c>
      <c r="X224" s="242">
        <f t="shared" si="33"/>
        <v>0</v>
      </c>
      <c r="Y224" s="242">
        <f t="shared" si="34"/>
        <v>0</v>
      </c>
    </row>
    <row r="225" spans="1:25" ht="21">
      <c r="A225" s="280"/>
      <c r="B225" s="280"/>
      <c r="C225" s="280" t="s">
        <v>924</v>
      </c>
      <c r="D225" s="280"/>
      <c r="E225" s="280"/>
      <c r="F225" s="280"/>
      <c r="G225" s="281" t="s">
        <v>89</v>
      </c>
      <c r="H225" s="282">
        <v>7396333</v>
      </c>
      <c r="I225" s="282">
        <v>8042847</v>
      </c>
      <c r="J225" s="282">
        <v>8042847</v>
      </c>
      <c r="K225" s="282">
        <v>8042847</v>
      </c>
      <c r="L225" s="282">
        <v>8042847</v>
      </c>
      <c r="M225" s="282">
        <v>8003738.0642999997</v>
      </c>
      <c r="N225" s="282">
        <f t="shared" si="28"/>
        <v>22082.101999999955</v>
      </c>
      <c r="O225" s="282">
        <v>7981655.9622999998</v>
      </c>
      <c r="P225" s="283">
        <f t="shared" si="29"/>
        <v>99.239186848885723</v>
      </c>
      <c r="Q225" s="283">
        <f t="shared" si="30"/>
        <v>99.239186848885723</v>
      </c>
      <c r="R225" s="284"/>
      <c r="S225" s="284"/>
      <c r="T225" s="284"/>
      <c r="U225" s="284"/>
      <c r="V225" s="242">
        <f t="shared" si="31"/>
        <v>0</v>
      </c>
      <c r="W225" s="242">
        <f t="shared" si="32"/>
        <v>0</v>
      </c>
      <c r="X225" s="242">
        <f t="shared" si="33"/>
        <v>0</v>
      </c>
      <c r="Y225" s="242">
        <f t="shared" si="34"/>
        <v>0</v>
      </c>
    </row>
    <row r="226" spans="1:25" ht="21">
      <c r="A226" s="280"/>
      <c r="B226" s="280"/>
      <c r="C226" s="280"/>
      <c r="D226" s="280" t="s">
        <v>895</v>
      </c>
      <c r="E226" s="280"/>
      <c r="F226" s="280"/>
      <c r="G226" s="281" t="s">
        <v>1004</v>
      </c>
      <c r="H226" s="282">
        <v>7396333</v>
      </c>
      <c r="I226" s="282">
        <v>8042847</v>
      </c>
      <c r="J226" s="282">
        <v>8042847</v>
      </c>
      <c r="K226" s="282">
        <v>8042847</v>
      </c>
      <c r="L226" s="282">
        <v>8042847</v>
      </c>
      <c r="M226" s="282">
        <v>8003738.0642999997</v>
      </c>
      <c r="N226" s="282">
        <f t="shared" si="28"/>
        <v>22082.101999999955</v>
      </c>
      <c r="O226" s="282">
        <v>7981655.9622999998</v>
      </c>
      <c r="P226" s="283">
        <f t="shared" si="29"/>
        <v>99.239186848885723</v>
      </c>
      <c r="Q226" s="283">
        <f t="shared" si="30"/>
        <v>99.239186848885723</v>
      </c>
      <c r="R226" s="284"/>
      <c r="S226" s="284"/>
      <c r="T226" s="284"/>
      <c r="U226" s="284"/>
      <c r="V226" s="242">
        <f t="shared" si="31"/>
        <v>0</v>
      </c>
      <c r="W226" s="242">
        <f t="shared" si="32"/>
        <v>0</v>
      </c>
      <c r="X226" s="242">
        <f t="shared" si="33"/>
        <v>0</v>
      </c>
      <c r="Y226" s="242">
        <f t="shared" si="34"/>
        <v>0</v>
      </c>
    </row>
    <row r="227" spans="1:25" ht="12.75">
      <c r="A227" s="280"/>
      <c r="B227" s="280"/>
      <c r="C227" s="280"/>
      <c r="D227" s="280"/>
      <c r="E227" s="280" t="s">
        <v>858</v>
      </c>
      <c r="F227" s="280"/>
      <c r="G227" s="281" t="s">
        <v>921</v>
      </c>
      <c r="H227" s="282">
        <v>0</v>
      </c>
      <c r="I227" s="282">
        <v>0</v>
      </c>
      <c r="J227" s="282">
        <v>6428523</v>
      </c>
      <c r="K227" s="282">
        <v>6428523</v>
      </c>
      <c r="L227" s="282">
        <v>6428523</v>
      </c>
      <c r="M227" s="282">
        <v>6422306.108</v>
      </c>
      <c r="N227" s="282">
        <f t="shared" si="28"/>
        <v>441.90199999976903</v>
      </c>
      <c r="O227" s="282">
        <v>6421864.2060000002</v>
      </c>
      <c r="P227" s="283">
        <f t="shared" si="29"/>
        <v>99.896417979682113</v>
      </c>
      <c r="Q227" s="283">
        <f t="shared" si="30"/>
        <v>99.896417979682113</v>
      </c>
      <c r="R227" s="285"/>
      <c r="S227" s="285"/>
      <c r="T227" s="285"/>
      <c r="U227" s="287"/>
      <c r="V227" s="242">
        <f t="shared" si="31"/>
        <v>0</v>
      </c>
      <c r="W227" s="242">
        <f t="shared" si="32"/>
        <v>0</v>
      </c>
      <c r="X227" s="242">
        <f t="shared" si="33"/>
        <v>0</v>
      </c>
      <c r="Y227" s="242">
        <f t="shared" si="34"/>
        <v>0</v>
      </c>
    </row>
    <row r="228" spans="1:25" ht="12.75">
      <c r="A228" s="280"/>
      <c r="B228" s="280"/>
      <c r="C228" s="280"/>
      <c r="D228" s="280"/>
      <c r="E228" s="280" t="s">
        <v>905</v>
      </c>
      <c r="F228" s="280"/>
      <c r="G228" s="281" t="s">
        <v>918</v>
      </c>
      <c r="H228" s="282">
        <v>0</v>
      </c>
      <c r="I228" s="282">
        <v>0</v>
      </c>
      <c r="J228" s="282">
        <v>1614324</v>
      </c>
      <c r="K228" s="282">
        <v>1614324</v>
      </c>
      <c r="L228" s="282">
        <v>1614324</v>
      </c>
      <c r="M228" s="282">
        <v>1581431.9563</v>
      </c>
      <c r="N228" s="282">
        <f t="shared" si="28"/>
        <v>21640.199999999953</v>
      </c>
      <c r="O228" s="282">
        <v>1559791.7563</v>
      </c>
      <c r="P228" s="283">
        <f t="shared" si="29"/>
        <v>96.621976523919599</v>
      </c>
      <c r="Q228" s="283">
        <f t="shared" si="30"/>
        <v>96.621976523919599</v>
      </c>
      <c r="R228" s="285"/>
      <c r="S228" s="285"/>
      <c r="T228" s="285"/>
      <c r="U228" s="287"/>
      <c r="V228" s="242">
        <f t="shared" si="31"/>
        <v>0</v>
      </c>
      <c r="W228" s="242">
        <f t="shared" si="32"/>
        <v>0</v>
      </c>
      <c r="X228" s="242">
        <f t="shared" si="33"/>
        <v>0</v>
      </c>
      <c r="Y228" s="242">
        <f t="shared" si="34"/>
        <v>0</v>
      </c>
    </row>
    <row r="229" spans="1:25" s="647" customFormat="1" ht="21">
      <c r="A229" s="643"/>
      <c r="B229" s="643"/>
      <c r="C229" s="643" t="s">
        <v>939</v>
      </c>
      <c r="D229" s="643"/>
      <c r="E229" s="643"/>
      <c r="F229" s="643"/>
      <c r="G229" s="644" t="s">
        <v>940</v>
      </c>
      <c r="H229" s="645">
        <v>5907561</v>
      </c>
      <c r="I229" s="645">
        <v>5995739</v>
      </c>
      <c r="J229" s="645">
        <v>5995739</v>
      </c>
      <c r="K229" s="645">
        <v>5995739</v>
      </c>
      <c r="L229" s="645">
        <v>5995739</v>
      </c>
      <c r="M229" s="645">
        <v>5987933.8203999996</v>
      </c>
      <c r="N229" s="645">
        <f t="shared" si="28"/>
        <v>101481.31179999933</v>
      </c>
      <c r="O229" s="645">
        <v>5886452.5086000003</v>
      </c>
      <c r="P229" s="646">
        <f t="shared" si="29"/>
        <v>98.17726403033889</v>
      </c>
      <c r="Q229" s="646">
        <f t="shared" si="30"/>
        <v>98.17726403033889</v>
      </c>
      <c r="V229" s="242">
        <f t="shared" si="31"/>
        <v>0</v>
      </c>
      <c r="W229" s="242">
        <f t="shared" si="32"/>
        <v>0</v>
      </c>
      <c r="X229" s="242">
        <f t="shared" si="33"/>
        <v>5995739</v>
      </c>
      <c r="Y229" s="242">
        <f t="shared" si="34"/>
        <v>0</v>
      </c>
    </row>
    <row r="230" spans="1:25" ht="21">
      <c r="A230" s="280"/>
      <c r="B230" s="280"/>
      <c r="C230" s="280"/>
      <c r="D230" s="280" t="s">
        <v>847</v>
      </c>
      <c r="E230" s="280"/>
      <c r="F230" s="280"/>
      <c r="G230" s="281" t="s">
        <v>1015</v>
      </c>
      <c r="H230" s="282">
        <v>200091</v>
      </c>
      <c r="I230" s="282">
        <v>201240</v>
      </c>
      <c r="J230" s="282">
        <v>201240</v>
      </c>
      <c r="K230" s="282">
        <v>201240</v>
      </c>
      <c r="L230" s="282">
        <v>201240</v>
      </c>
      <c r="M230" s="282">
        <v>201089.72070000001</v>
      </c>
      <c r="N230" s="282">
        <f t="shared" si="28"/>
        <v>277.01840000000084</v>
      </c>
      <c r="O230" s="282">
        <v>200812.7023</v>
      </c>
      <c r="P230" s="283">
        <f t="shared" si="29"/>
        <v>99.78766761081296</v>
      </c>
      <c r="Q230" s="283">
        <f t="shared" si="30"/>
        <v>99.78766761081296</v>
      </c>
      <c r="R230" s="285"/>
      <c r="S230" s="285"/>
      <c r="T230" s="285"/>
      <c r="U230" s="287"/>
      <c r="V230" s="242">
        <f t="shared" si="31"/>
        <v>0</v>
      </c>
      <c r="W230" s="242">
        <f t="shared" si="32"/>
        <v>0</v>
      </c>
      <c r="X230" s="242">
        <f t="shared" si="33"/>
        <v>0</v>
      </c>
      <c r="Y230" s="242">
        <f t="shared" si="34"/>
        <v>0</v>
      </c>
    </row>
    <row r="231" spans="1:25" ht="21">
      <c r="A231" s="280"/>
      <c r="B231" s="280"/>
      <c r="C231" s="280"/>
      <c r="D231" s="280" t="s">
        <v>881</v>
      </c>
      <c r="E231" s="280"/>
      <c r="F231" s="280"/>
      <c r="G231" s="281" t="s">
        <v>1016</v>
      </c>
      <c r="H231" s="282">
        <v>209827</v>
      </c>
      <c r="I231" s="282">
        <v>235035</v>
      </c>
      <c r="J231" s="282">
        <v>235035</v>
      </c>
      <c r="K231" s="282">
        <v>235035</v>
      </c>
      <c r="L231" s="282">
        <v>235035</v>
      </c>
      <c r="M231" s="282">
        <v>235034.7164</v>
      </c>
      <c r="N231" s="282">
        <f t="shared" si="28"/>
        <v>0</v>
      </c>
      <c r="O231" s="282">
        <v>235034.7164</v>
      </c>
      <c r="P231" s="283">
        <f t="shared" si="29"/>
        <v>99.999879337120007</v>
      </c>
      <c r="Q231" s="283">
        <f t="shared" si="30"/>
        <v>99.999879337120007</v>
      </c>
      <c r="R231" s="284"/>
      <c r="S231" s="284"/>
      <c r="T231" s="284"/>
      <c r="U231" s="284"/>
      <c r="V231" s="242">
        <f t="shared" si="31"/>
        <v>0</v>
      </c>
      <c r="W231" s="242">
        <f t="shared" si="32"/>
        <v>0</v>
      </c>
      <c r="X231" s="242">
        <f t="shared" si="33"/>
        <v>0</v>
      </c>
      <c r="Y231" s="242">
        <f t="shared" si="34"/>
        <v>0</v>
      </c>
    </row>
    <row r="232" spans="1:25" ht="12.75">
      <c r="A232" s="280"/>
      <c r="B232" s="280"/>
      <c r="C232" s="280"/>
      <c r="D232" s="280"/>
      <c r="E232" s="280" t="s">
        <v>858</v>
      </c>
      <c r="F232" s="280"/>
      <c r="G232" s="281" t="s">
        <v>921</v>
      </c>
      <c r="H232" s="282">
        <v>0</v>
      </c>
      <c r="I232" s="282">
        <v>0</v>
      </c>
      <c r="J232" s="282">
        <v>4978</v>
      </c>
      <c r="K232" s="282">
        <v>4978</v>
      </c>
      <c r="L232" s="282">
        <v>4978</v>
      </c>
      <c r="M232" s="282">
        <v>4977.7164000000002</v>
      </c>
      <c r="N232" s="282">
        <f t="shared" si="28"/>
        <v>0</v>
      </c>
      <c r="O232" s="282">
        <v>4977.7164000000002</v>
      </c>
      <c r="P232" s="283">
        <f t="shared" si="29"/>
        <v>99.994302932904787</v>
      </c>
      <c r="Q232" s="283">
        <f t="shared" si="30"/>
        <v>99.994302932904787</v>
      </c>
      <c r="R232" s="285"/>
      <c r="S232" s="285"/>
      <c r="T232" s="285"/>
      <c r="U232" s="287"/>
      <c r="V232" s="242">
        <f t="shared" si="31"/>
        <v>0</v>
      </c>
      <c r="W232" s="242">
        <f t="shared" si="32"/>
        <v>0</v>
      </c>
      <c r="X232" s="242">
        <f t="shared" si="33"/>
        <v>0</v>
      </c>
      <c r="Y232" s="242">
        <f t="shared" si="34"/>
        <v>0</v>
      </c>
    </row>
    <row r="233" spans="1:25" ht="12.75">
      <c r="A233" s="280"/>
      <c r="B233" s="280"/>
      <c r="C233" s="280"/>
      <c r="D233" s="280"/>
      <c r="E233" s="280" t="s">
        <v>905</v>
      </c>
      <c r="F233" s="280"/>
      <c r="G233" s="281" t="s">
        <v>918</v>
      </c>
      <c r="H233" s="282">
        <v>0</v>
      </c>
      <c r="I233" s="282">
        <v>0</v>
      </c>
      <c r="J233" s="282">
        <v>230057</v>
      </c>
      <c r="K233" s="282">
        <v>230057</v>
      </c>
      <c r="L233" s="282">
        <v>230057</v>
      </c>
      <c r="M233" s="282">
        <v>230057</v>
      </c>
      <c r="N233" s="282">
        <f t="shared" si="28"/>
        <v>0</v>
      </c>
      <c r="O233" s="282">
        <v>230057</v>
      </c>
      <c r="P233" s="283">
        <f t="shared" si="29"/>
        <v>100</v>
      </c>
      <c r="Q233" s="283">
        <f t="shared" si="30"/>
        <v>100</v>
      </c>
      <c r="R233" s="285"/>
      <c r="S233" s="285"/>
      <c r="T233" s="285"/>
      <c r="U233" s="287"/>
      <c r="V233" s="242">
        <f t="shared" si="31"/>
        <v>0</v>
      </c>
      <c r="W233" s="242">
        <f t="shared" si="32"/>
        <v>0</v>
      </c>
      <c r="X233" s="242">
        <f t="shared" si="33"/>
        <v>0</v>
      </c>
      <c r="Y233" s="242">
        <f t="shared" si="34"/>
        <v>0</v>
      </c>
    </row>
    <row r="234" spans="1:25" ht="12.75">
      <c r="A234" s="280"/>
      <c r="B234" s="280"/>
      <c r="C234" s="280"/>
      <c r="D234" s="280" t="s">
        <v>895</v>
      </c>
      <c r="E234" s="280"/>
      <c r="F234" s="280"/>
      <c r="G234" s="281" t="s">
        <v>1017</v>
      </c>
      <c r="H234" s="282">
        <v>135363</v>
      </c>
      <c r="I234" s="282">
        <v>336398</v>
      </c>
      <c r="J234" s="282">
        <v>336398</v>
      </c>
      <c r="K234" s="282">
        <v>336398</v>
      </c>
      <c r="L234" s="282">
        <v>336398</v>
      </c>
      <c r="M234" s="282">
        <v>336396.50469999999</v>
      </c>
      <c r="N234" s="282">
        <f t="shared" si="28"/>
        <v>0</v>
      </c>
      <c r="O234" s="282">
        <v>336396.50469999999</v>
      </c>
      <c r="P234" s="283">
        <f t="shared" si="29"/>
        <v>99.999555496762753</v>
      </c>
      <c r="Q234" s="283">
        <f t="shared" si="30"/>
        <v>99.999555496762753</v>
      </c>
      <c r="R234" s="285"/>
      <c r="S234" s="285"/>
      <c r="T234" s="285"/>
      <c r="U234" s="287"/>
      <c r="V234" s="242">
        <f t="shared" si="31"/>
        <v>0</v>
      </c>
      <c r="W234" s="242">
        <f t="shared" si="32"/>
        <v>0</v>
      </c>
      <c r="X234" s="242">
        <f t="shared" si="33"/>
        <v>0</v>
      </c>
      <c r="Y234" s="242">
        <f t="shared" si="34"/>
        <v>0</v>
      </c>
    </row>
    <row r="235" spans="1:25" ht="21">
      <c r="A235" s="280"/>
      <c r="B235" s="280"/>
      <c r="C235" s="280"/>
      <c r="D235" s="280" t="s">
        <v>883</v>
      </c>
      <c r="E235" s="280"/>
      <c r="F235" s="280"/>
      <c r="G235" s="281" t="s">
        <v>1018</v>
      </c>
      <c r="H235" s="282">
        <v>6091</v>
      </c>
      <c r="I235" s="282">
        <v>5641</v>
      </c>
      <c r="J235" s="282">
        <v>5641</v>
      </c>
      <c r="K235" s="282">
        <v>5641</v>
      </c>
      <c r="L235" s="282">
        <v>5641</v>
      </c>
      <c r="M235" s="282">
        <v>5618.4934000000003</v>
      </c>
      <c r="N235" s="282">
        <f t="shared" si="28"/>
        <v>0</v>
      </c>
      <c r="O235" s="282">
        <v>5618.4934000000003</v>
      </c>
      <c r="P235" s="283">
        <f t="shared" si="29"/>
        <v>99.601017550079774</v>
      </c>
      <c r="Q235" s="283">
        <f t="shared" si="30"/>
        <v>99.601017550079774</v>
      </c>
      <c r="R235" s="285"/>
      <c r="S235" s="285"/>
      <c r="T235" s="285"/>
      <c r="U235" s="287"/>
      <c r="V235" s="242">
        <f t="shared" si="31"/>
        <v>0</v>
      </c>
      <c r="W235" s="242">
        <f t="shared" si="32"/>
        <v>0</v>
      </c>
      <c r="X235" s="242">
        <f t="shared" si="33"/>
        <v>0</v>
      </c>
      <c r="Y235" s="242">
        <f t="shared" si="34"/>
        <v>0</v>
      </c>
    </row>
    <row r="236" spans="1:25" ht="21">
      <c r="A236" s="280"/>
      <c r="B236" s="280"/>
      <c r="C236" s="280"/>
      <c r="D236" s="280" t="s">
        <v>896</v>
      </c>
      <c r="E236" s="280"/>
      <c r="F236" s="280"/>
      <c r="G236" s="281" t="s">
        <v>1019</v>
      </c>
      <c r="H236" s="282">
        <v>89359</v>
      </c>
      <c r="I236" s="282">
        <v>105766</v>
      </c>
      <c r="J236" s="282">
        <v>105766</v>
      </c>
      <c r="K236" s="282">
        <v>105766</v>
      </c>
      <c r="L236" s="282">
        <v>105766</v>
      </c>
      <c r="M236" s="282">
        <v>105766</v>
      </c>
      <c r="N236" s="282">
        <f t="shared" si="28"/>
        <v>0</v>
      </c>
      <c r="O236" s="282">
        <v>105766</v>
      </c>
      <c r="P236" s="283">
        <f t="shared" si="29"/>
        <v>100</v>
      </c>
      <c r="Q236" s="283">
        <f t="shared" si="30"/>
        <v>100</v>
      </c>
      <c r="R236" s="285"/>
      <c r="S236" s="285"/>
      <c r="T236" s="285"/>
      <c r="U236" s="287"/>
      <c r="V236" s="242">
        <f t="shared" si="31"/>
        <v>0</v>
      </c>
      <c r="W236" s="242">
        <f t="shared" si="32"/>
        <v>0</v>
      </c>
      <c r="X236" s="242">
        <f t="shared" si="33"/>
        <v>0</v>
      </c>
      <c r="Y236" s="242">
        <f t="shared" si="34"/>
        <v>0</v>
      </c>
    </row>
    <row r="237" spans="1:25" ht="21">
      <c r="A237" s="280"/>
      <c r="B237" s="280"/>
      <c r="C237" s="280"/>
      <c r="D237" s="280" t="s">
        <v>897</v>
      </c>
      <c r="E237" s="280"/>
      <c r="F237" s="280"/>
      <c r="G237" s="281" t="s">
        <v>1025</v>
      </c>
      <c r="H237" s="282">
        <v>1260254</v>
      </c>
      <c r="I237" s="282">
        <v>16684</v>
      </c>
      <c r="J237" s="282">
        <v>16684</v>
      </c>
      <c r="K237" s="282">
        <v>16684</v>
      </c>
      <c r="L237" s="282">
        <v>16684</v>
      </c>
      <c r="M237" s="282">
        <v>16593.900000000001</v>
      </c>
      <c r="N237" s="282">
        <f t="shared" si="28"/>
        <v>0</v>
      </c>
      <c r="O237" s="282">
        <v>16593.900000000001</v>
      </c>
      <c r="P237" s="283">
        <f t="shared" si="29"/>
        <v>99.459961639894516</v>
      </c>
      <c r="Q237" s="283">
        <f t="shared" si="30"/>
        <v>99.459961639894516</v>
      </c>
      <c r="R237" s="284"/>
      <c r="S237" s="284"/>
      <c r="T237" s="284"/>
      <c r="U237" s="284"/>
      <c r="V237" s="242">
        <f t="shared" si="31"/>
        <v>0</v>
      </c>
      <c r="W237" s="242">
        <f t="shared" si="32"/>
        <v>0</v>
      </c>
      <c r="X237" s="242">
        <f t="shared" si="33"/>
        <v>0</v>
      </c>
      <c r="Y237" s="242">
        <f t="shared" si="34"/>
        <v>0</v>
      </c>
    </row>
    <row r="238" spans="1:25" ht="12.75">
      <c r="A238" s="280"/>
      <c r="B238" s="280"/>
      <c r="C238" s="280"/>
      <c r="D238" s="280"/>
      <c r="E238" s="280" t="s">
        <v>858</v>
      </c>
      <c r="F238" s="280"/>
      <c r="G238" s="281" t="s">
        <v>921</v>
      </c>
      <c r="H238" s="282">
        <v>0</v>
      </c>
      <c r="I238" s="282">
        <v>0</v>
      </c>
      <c r="J238" s="282">
        <v>7700</v>
      </c>
      <c r="K238" s="282">
        <v>7700</v>
      </c>
      <c r="L238" s="282">
        <v>7700</v>
      </c>
      <c r="M238" s="282">
        <v>7700</v>
      </c>
      <c r="N238" s="282">
        <f t="shared" si="28"/>
        <v>0</v>
      </c>
      <c r="O238" s="282">
        <v>7700</v>
      </c>
      <c r="P238" s="283">
        <f t="shared" si="29"/>
        <v>100</v>
      </c>
      <c r="Q238" s="283">
        <f t="shared" si="30"/>
        <v>100</v>
      </c>
      <c r="R238" s="285"/>
      <c r="S238" s="285"/>
      <c r="T238" s="285"/>
      <c r="U238" s="287"/>
      <c r="V238" s="242">
        <f t="shared" si="31"/>
        <v>0</v>
      </c>
      <c r="W238" s="242">
        <f t="shared" si="32"/>
        <v>0</v>
      </c>
      <c r="X238" s="242">
        <f t="shared" si="33"/>
        <v>0</v>
      </c>
      <c r="Y238" s="242">
        <f t="shared" si="34"/>
        <v>0</v>
      </c>
    </row>
    <row r="239" spans="1:25" ht="12.75">
      <c r="A239" s="280"/>
      <c r="B239" s="280"/>
      <c r="C239" s="280"/>
      <c r="D239" s="280"/>
      <c r="E239" s="280" t="s">
        <v>905</v>
      </c>
      <c r="F239" s="280"/>
      <c r="G239" s="281" t="s">
        <v>918</v>
      </c>
      <c r="H239" s="282">
        <v>0</v>
      </c>
      <c r="I239" s="282">
        <v>0</v>
      </c>
      <c r="J239" s="282">
        <v>8984</v>
      </c>
      <c r="K239" s="282">
        <v>8984</v>
      </c>
      <c r="L239" s="282">
        <v>8984</v>
      </c>
      <c r="M239" s="282">
        <v>8893.9</v>
      </c>
      <c r="N239" s="282">
        <f t="shared" si="28"/>
        <v>0</v>
      </c>
      <c r="O239" s="282">
        <v>8893.9</v>
      </c>
      <c r="P239" s="283">
        <f t="shared" si="29"/>
        <v>98.997105966162053</v>
      </c>
      <c r="Q239" s="283">
        <f t="shared" si="30"/>
        <v>98.997105966162053</v>
      </c>
      <c r="R239" s="285"/>
      <c r="S239" s="285"/>
      <c r="T239" s="285"/>
      <c r="U239" s="287"/>
      <c r="V239" s="242">
        <f t="shared" si="31"/>
        <v>0</v>
      </c>
      <c r="W239" s="242">
        <f t="shared" si="32"/>
        <v>0</v>
      </c>
      <c r="X239" s="242">
        <f t="shared" si="33"/>
        <v>0</v>
      </c>
      <c r="Y239" s="242">
        <f t="shared" si="34"/>
        <v>0</v>
      </c>
    </row>
    <row r="240" spans="1:25" s="1242" customFormat="1" ht="21">
      <c r="A240" s="1236"/>
      <c r="B240" s="1236"/>
      <c r="C240" s="1236"/>
      <c r="D240" s="1236" t="s">
        <v>941</v>
      </c>
      <c r="E240" s="1236"/>
      <c r="F240" s="1236"/>
      <c r="G240" s="1237" t="s">
        <v>1026</v>
      </c>
      <c r="H240" s="1238">
        <v>3353</v>
      </c>
      <c r="I240" s="1238">
        <v>7433</v>
      </c>
      <c r="J240" s="1238">
        <v>7433</v>
      </c>
      <c r="K240" s="1238">
        <v>7433</v>
      </c>
      <c r="L240" s="1238">
        <v>7433</v>
      </c>
      <c r="M240" s="1238">
        <v>7073.7269999999999</v>
      </c>
      <c r="N240" s="1238">
        <f t="shared" si="28"/>
        <v>0</v>
      </c>
      <c r="O240" s="1238">
        <v>7073.7269999999999</v>
      </c>
      <c r="P240" s="1239">
        <f t="shared" si="29"/>
        <v>95.166514193461595</v>
      </c>
      <c r="Q240" s="1239">
        <f t="shared" si="30"/>
        <v>95.166514193461595</v>
      </c>
      <c r="R240" s="1240"/>
      <c r="S240" s="1240"/>
      <c r="T240" s="1240"/>
      <c r="U240" s="1241"/>
      <c r="V240" s="1242">
        <f t="shared" si="31"/>
        <v>0</v>
      </c>
      <c r="W240" s="1242">
        <f t="shared" si="32"/>
        <v>0</v>
      </c>
      <c r="X240" s="1242">
        <f t="shared" si="33"/>
        <v>0</v>
      </c>
      <c r="Y240" s="1242">
        <f t="shared" si="34"/>
        <v>0</v>
      </c>
    </row>
    <row r="241" spans="1:25" s="1242" customFormat="1" ht="21">
      <c r="A241" s="1236"/>
      <c r="B241" s="1236"/>
      <c r="C241" s="1236"/>
      <c r="D241" s="1236" t="s">
        <v>890</v>
      </c>
      <c r="E241" s="1236"/>
      <c r="F241" s="1236"/>
      <c r="G241" s="1237" t="s">
        <v>1027</v>
      </c>
      <c r="H241" s="1238">
        <v>4003223</v>
      </c>
      <c r="I241" s="1238">
        <v>5087542</v>
      </c>
      <c r="J241" s="1238">
        <v>5087542</v>
      </c>
      <c r="K241" s="1238">
        <v>5087542</v>
      </c>
      <c r="L241" s="1238">
        <v>5087542</v>
      </c>
      <c r="M241" s="1238">
        <v>5080360.7582</v>
      </c>
      <c r="N241" s="1238">
        <f t="shared" si="28"/>
        <v>101204.29339999985</v>
      </c>
      <c r="O241" s="1238">
        <v>4979156.4648000002</v>
      </c>
      <c r="P241" s="1239">
        <f t="shared" si="29"/>
        <v>97.86958937734569</v>
      </c>
      <c r="Q241" s="1239">
        <f t="shared" si="30"/>
        <v>97.86958937734569</v>
      </c>
      <c r="V241" s="1242">
        <f t="shared" si="31"/>
        <v>0</v>
      </c>
      <c r="W241" s="1242">
        <f t="shared" si="32"/>
        <v>0</v>
      </c>
      <c r="X241" s="1242">
        <f t="shared" si="33"/>
        <v>0</v>
      </c>
      <c r="Y241" s="1242">
        <f t="shared" si="34"/>
        <v>0</v>
      </c>
    </row>
    <row r="242" spans="1:25" ht="12.75">
      <c r="A242" s="280"/>
      <c r="B242" s="280"/>
      <c r="C242" s="280"/>
      <c r="D242" s="280"/>
      <c r="E242" s="280" t="s">
        <v>858</v>
      </c>
      <c r="F242" s="280"/>
      <c r="G242" s="281" t="s">
        <v>921</v>
      </c>
      <c r="H242" s="282">
        <v>0</v>
      </c>
      <c r="I242" s="282">
        <v>0</v>
      </c>
      <c r="J242" s="282">
        <v>1099514</v>
      </c>
      <c r="K242" s="282">
        <v>1099514</v>
      </c>
      <c r="L242" s="282">
        <v>1099514</v>
      </c>
      <c r="M242" s="282">
        <v>1096748</v>
      </c>
      <c r="N242" s="282">
        <f t="shared" si="28"/>
        <v>0</v>
      </c>
      <c r="O242" s="282">
        <v>1096748</v>
      </c>
      <c r="P242" s="283">
        <f t="shared" si="29"/>
        <v>99.748434308248918</v>
      </c>
      <c r="Q242" s="283">
        <f t="shared" si="30"/>
        <v>99.748434308248918</v>
      </c>
      <c r="R242" s="285"/>
      <c r="S242" s="285"/>
      <c r="T242" s="285"/>
      <c r="U242" s="287"/>
      <c r="V242" s="242">
        <f t="shared" si="31"/>
        <v>0</v>
      </c>
      <c r="W242" s="242">
        <f t="shared" si="32"/>
        <v>0</v>
      </c>
      <c r="X242" s="242">
        <f t="shared" si="33"/>
        <v>0</v>
      </c>
      <c r="Y242" s="242">
        <f t="shared" si="34"/>
        <v>0</v>
      </c>
    </row>
    <row r="243" spans="1:25" ht="12.75">
      <c r="A243" s="280"/>
      <c r="B243" s="280"/>
      <c r="C243" s="280"/>
      <c r="D243" s="280"/>
      <c r="E243" s="280" t="s">
        <v>905</v>
      </c>
      <c r="F243" s="280"/>
      <c r="G243" s="281" t="s">
        <v>918</v>
      </c>
      <c r="H243" s="282">
        <v>0</v>
      </c>
      <c r="I243" s="282">
        <v>0</v>
      </c>
      <c r="J243" s="282">
        <v>3988028</v>
      </c>
      <c r="K243" s="282">
        <v>3988028</v>
      </c>
      <c r="L243" s="282">
        <v>3988028</v>
      </c>
      <c r="M243" s="282">
        <v>3983612.7581000002</v>
      </c>
      <c r="N243" s="282">
        <f t="shared" si="28"/>
        <v>101204.29330000002</v>
      </c>
      <c r="O243" s="282">
        <v>3882408.4648000002</v>
      </c>
      <c r="P243" s="283">
        <f t="shared" si="29"/>
        <v>97.351584913646548</v>
      </c>
      <c r="Q243" s="283">
        <f t="shared" si="30"/>
        <v>97.351584913646548</v>
      </c>
      <c r="R243" s="285"/>
      <c r="S243" s="285"/>
      <c r="T243" s="285"/>
      <c r="U243" s="287"/>
      <c r="V243" s="242">
        <f t="shared" si="31"/>
        <v>0</v>
      </c>
      <c r="W243" s="242">
        <f t="shared" si="32"/>
        <v>0</v>
      </c>
      <c r="X243" s="242">
        <f t="shared" si="33"/>
        <v>0</v>
      </c>
      <c r="Y243" s="242">
        <f t="shared" si="34"/>
        <v>0</v>
      </c>
    </row>
    <row r="244" spans="1:25" ht="21">
      <c r="A244" s="280"/>
      <c r="B244" s="280"/>
      <c r="C244" s="280" t="s">
        <v>919</v>
      </c>
      <c r="D244" s="280"/>
      <c r="E244" s="280"/>
      <c r="F244" s="280"/>
      <c r="G244" s="281" t="s">
        <v>920</v>
      </c>
      <c r="H244" s="282">
        <v>10986053</v>
      </c>
      <c r="I244" s="282">
        <v>16276013.300000001</v>
      </c>
      <c r="J244" s="282">
        <v>16276013.300000001</v>
      </c>
      <c r="K244" s="282">
        <v>16276013.300000001</v>
      </c>
      <c r="L244" s="282">
        <v>16276013.300000001</v>
      </c>
      <c r="M244" s="282">
        <v>16215967.269300001</v>
      </c>
      <c r="N244" s="282">
        <f t="shared" ref="N244:N257" si="35">M244-O244</f>
        <v>159423.73370000161</v>
      </c>
      <c r="O244" s="282">
        <v>16056543.535599999</v>
      </c>
      <c r="P244" s="283">
        <f t="shared" ref="P244:P257" si="36">IF(K244=0,0,O244/K244*100)</f>
        <v>98.65157541742731</v>
      </c>
      <c r="Q244" s="283">
        <f t="shared" ref="Q244:Q257" si="37">IF(J244=0,0,O244/J244*100)</f>
        <v>98.65157541742731</v>
      </c>
      <c r="R244" s="284"/>
      <c r="S244" s="284"/>
      <c r="T244" s="284"/>
      <c r="U244" s="284"/>
      <c r="V244" s="242">
        <f t="shared" si="31"/>
        <v>0</v>
      </c>
      <c r="W244" s="242">
        <f t="shared" si="32"/>
        <v>0</v>
      </c>
      <c r="X244" s="242">
        <f t="shared" si="33"/>
        <v>0</v>
      </c>
      <c r="Y244" s="242">
        <f t="shared" si="34"/>
        <v>0</v>
      </c>
    </row>
    <row r="245" spans="1:25" ht="21">
      <c r="A245" s="280"/>
      <c r="B245" s="280"/>
      <c r="C245" s="280"/>
      <c r="D245" s="280" t="s">
        <v>867</v>
      </c>
      <c r="E245" s="280"/>
      <c r="F245" s="280"/>
      <c r="G245" s="281" t="s">
        <v>920</v>
      </c>
      <c r="H245" s="282">
        <v>544586</v>
      </c>
      <c r="I245" s="282">
        <v>580771</v>
      </c>
      <c r="J245" s="282">
        <v>580771</v>
      </c>
      <c r="K245" s="282">
        <v>580771</v>
      </c>
      <c r="L245" s="282">
        <v>580771</v>
      </c>
      <c r="M245" s="282">
        <v>577356.92500000005</v>
      </c>
      <c r="N245" s="282">
        <f t="shared" si="35"/>
        <v>6044.4119000000646</v>
      </c>
      <c r="O245" s="282">
        <v>571312.51309999998</v>
      </c>
      <c r="P245" s="283">
        <f t="shared" si="36"/>
        <v>98.371391322913851</v>
      </c>
      <c r="Q245" s="283">
        <f t="shared" si="37"/>
        <v>98.371391322913851</v>
      </c>
      <c r="R245" s="284"/>
      <c r="S245" s="284"/>
      <c r="T245" s="284"/>
      <c r="U245" s="284"/>
      <c r="V245" s="242">
        <f t="shared" si="31"/>
        <v>0</v>
      </c>
      <c r="W245" s="242">
        <f t="shared" si="32"/>
        <v>0</v>
      </c>
      <c r="X245" s="242">
        <f t="shared" si="33"/>
        <v>0</v>
      </c>
      <c r="Y245" s="242">
        <f t="shared" si="34"/>
        <v>0</v>
      </c>
    </row>
    <row r="246" spans="1:25" ht="12.75">
      <c r="A246" s="280"/>
      <c r="B246" s="280"/>
      <c r="C246" s="280"/>
      <c r="D246" s="280"/>
      <c r="E246" s="280" t="s">
        <v>858</v>
      </c>
      <c r="F246" s="280"/>
      <c r="G246" s="281" t="s">
        <v>921</v>
      </c>
      <c r="H246" s="282">
        <v>0</v>
      </c>
      <c r="I246" s="282">
        <v>0</v>
      </c>
      <c r="J246" s="282">
        <v>375387</v>
      </c>
      <c r="K246" s="282">
        <v>375387</v>
      </c>
      <c r="L246" s="282">
        <v>375387</v>
      </c>
      <c r="M246" s="282">
        <v>371972.92499999999</v>
      </c>
      <c r="N246" s="282">
        <f t="shared" si="35"/>
        <v>4682.0118999999831</v>
      </c>
      <c r="O246" s="282">
        <v>367290.91310000001</v>
      </c>
      <c r="P246" s="283">
        <f t="shared" si="36"/>
        <v>97.84326923947819</v>
      </c>
      <c r="Q246" s="283">
        <f t="shared" si="37"/>
        <v>97.84326923947819</v>
      </c>
      <c r="R246" s="285"/>
      <c r="S246" s="285"/>
      <c r="T246" s="285"/>
      <c r="U246" s="287"/>
      <c r="V246" s="242">
        <f t="shared" si="31"/>
        <v>0</v>
      </c>
      <c r="W246" s="242">
        <f t="shared" si="32"/>
        <v>0</v>
      </c>
      <c r="X246" s="242">
        <f t="shared" si="33"/>
        <v>0</v>
      </c>
      <c r="Y246" s="242">
        <f t="shared" si="34"/>
        <v>0</v>
      </c>
    </row>
    <row r="247" spans="1:25" ht="12.75">
      <c r="A247" s="280"/>
      <c r="B247" s="280"/>
      <c r="C247" s="280"/>
      <c r="D247" s="280"/>
      <c r="E247" s="280" t="s">
        <v>905</v>
      </c>
      <c r="F247" s="280"/>
      <c r="G247" s="281" t="s">
        <v>918</v>
      </c>
      <c r="H247" s="282">
        <v>0</v>
      </c>
      <c r="I247" s="282">
        <v>0</v>
      </c>
      <c r="J247" s="282">
        <v>205384</v>
      </c>
      <c r="K247" s="282">
        <v>205384</v>
      </c>
      <c r="L247" s="282">
        <v>205384</v>
      </c>
      <c r="M247" s="282">
        <v>205384</v>
      </c>
      <c r="N247" s="282">
        <f t="shared" si="35"/>
        <v>1362.3999999999942</v>
      </c>
      <c r="O247" s="282">
        <v>204021.6</v>
      </c>
      <c r="P247" s="283">
        <f t="shared" si="36"/>
        <v>99.336657188485972</v>
      </c>
      <c r="Q247" s="283">
        <f t="shared" si="37"/>
        <v>99.336657188485972</v>
      </c>
      <c r="R247" s="285"/>
      <c r="S247" s="285"/>
      <c r="T247" s="285"/>
      <c r="U247" s="287"/>
      <c r="V247" s="242">
        <f t="shared" si="31"/>
        <v>0</v>
      </c>
      <c r="W247" s="242">
        <f t="shared" si="32"/>
        <v>0</v>
      </c>
      <c r="X247" s="242">
        <f t="shared" si="33"/>
        <v>0</v>
      </c>
      <c r="Y247" s="242">
        <f t="shared" si="34"/>
        <v>0</v>
      </c>
    </row>
    <row r="248" spans="1:25" ht="21">
      <c r="A248" s="280"/>
      <c r="B248" s="280"/>
      <c r="C248" s="280"/>
      <c r="D248" s="280" t="s">
        <v>894</v>
      </c>
      <c r="E248" s="280"/>
      <c r="F248" s="280"/>
      <c r="G248" s="281" t="s">
        <v>1028</v>
      </c>
      <c r="H248" s="282">
        <v>1528217</v>
      </c>
      <c r="I248" s="282">
        <v>1478653</v>
      </c>
      <c r="J248" s="282">
        <v>1478653</v>
      </c>
      <c r="K248" s="282">
        <v>1478653</v>
      </c>
      <c r="L248" s="282">
        <v>1478653</v>
      </c>
      <c r="M248" s="282">
        <v>1478652.8295</v>
      </c>
      <c r="N248" s="282">
        <f t="shared" si="35"/>
        <v>2618.6114999998827</v>
      </c>
      <c r="O248" s="282">
        <v>1476034.2180000001</v>
      </c>
      <c r="P248" s="283">
        <f t="shared" si="36"/>
        <v>99.822894079949805</v>
      </c>
      <c r="Q248" s="283">
        <f t="shared" si="37"/>
        <v>99.822894079949805</v>
      </c>
      <c r="R248" s="284"/>
      <c r="S248" s="284"/>
      <c r="T248" s="284"/>
      <c r="U248" s="284"/>
      <c r="V248" s="242">
        <f t="shared" si="31"/>
        <v>0</v>
      </c>
      <c r="W248" s="242">
        <f t="shared" si="32"/>
        <v>0</v>
      </c>
      <c r="X248" s="242">
        <f t="shared" si="33"/>
        <v>0</v>
      </c>
      <c r="Y248" s="242">
        <f t="shared" si="34"/>
        <v>0</v>
      </c>
    </row>
    <row r="249" spans="1:25" ht="12.75">
      <c r="A249" s="280"/>
      <c r="B249" s="280"/>
      <c r="C249" s="280"/>
      <c r="D249" s="280"/>
      <c r="E249" s="280" t="s">
        <v>858</v>
      </c>
      <c r="F249" s="280"/>
      <c r="G249" s="281" t="s">
        <v>921</v>
      </c>
      <c r="H249" s="282">
        <v>0</v>
      </c>
      <c r="I249" s="282">
        <v>0</v>
      </c>
      <c r="J249" s="282">
        <v>1461336</v>
      </c>
      <c r="K249" s="282">
        <v>1461336</v>
      </c>
      <c r="L249" s="282">
        <v>1461336</v>
      </c>
      <c r="M249" s="282">
        <v>1461336</v>
      </c>
      <c r="N249" s="282">
        <f t="shared" si="35"/>
        <v>2618.6115000001155</v>
      </c>
      <c r="O249" s="282">
        <v>1458717.3884999999</v>
      </c>
      <c r="P249" s="283">
        <f t="shared" si="36"/>
        <v>99.82080702179374</v>
      </c>
      <c r="Q249" s="283">
        <f t="shared" si="37"/>
        <v>99.82080702179374</v>
      </c>
      <c r="R249" s="285"/>
      <c r="S249" s="285"/>
      <c r="T249" s="285"/>
      <c r="U249" s="287"/>
      <c r="V249" s="242">
        <f t="shared" si="31"/>
        <v>0</v>
      </c>
      <c r="W249" s="242">
        <f t="shared" si="32"/>
        <v>0</v>
      </c>
      <c r="X249" s="242">
        <f t="shared" si="33"/>
        <v>0</v>
      </c>
      <c r="Y249" s="242">
        <f t="shared" si="34"/>
        <v>0</v>
      </c>
    </row>
    <row r="250" spans="1:25" ht="12.75">
      <c r="A250" s="280"/>
      <c r="B250" s="280"/>
      <c r="C250" s="280"/>
      <c r="D250" s="280"/>
      <c r="E250" s="280" t="s">
        <v>905</v>
      </c>
      <c r="F250" s="280"/>
      <c r="G250" s="281" t="s">
        <v>918</v>
      </c>
      <c r="H250" s="282">
        <v>0</v>
      </c>
      <c r="I250" s="282">
        <v>0</v>
      </c>
      <c r="J250" s="282">
        <v>17317</v>
      </c>
      <c r="K250" s="282">
        <v>17317</v>
      </c>
      <c r="L250" s="282">
        <v>17317</v>
      </c>
      <c r="M250" s="282">
        <v>17316.8295</v>
      </c>
      <c r="N250" s="282">
        <f t="shared" si="35"/>
        <v>0</v>
      </c>
      <c r="O250" s="282">
        <v>17316.8295</v>
      </c>
      <c r="P250" s="283">
        <f t="shared" si="36"/>
        <v>99.999015418375009</v>
      </c>
      <c r="Q250" s="283">
        <f t="shared" si="37"/>
        <v>99.999015418375009</v>
      </c>
      <c r="R250" s="285"/>
      <c r="S250" s="285"/>
      <c r="T250" s="285"/>
      <c r="U250" s="287"/>
      <c r="V250" s="242">
        <f t="shared" si="31"/>
        <v>0</v>
      </c>
      <c r="W250" s="242">
        <f t="shared" si="32"/>
        <v>0</v>
      </c>
      <c r="X250" s="242">
        <f t="shared" si="33"/>
        <v>0</v>
      </c>
      <c r="Y250" s="242">
        <f t="shared" si="34"/>
        <v>0</v>
      </c>
    </row>
    <row r="251" spans="1:25" ht="21">
      <c r="A251" s="280"/>
      <c r="B251" s="280"/>
      <c r="C251" s="280"/>
      <c r="D251" s="280" t="s">
        <v>943</v>
      </c>
      <c r="E251" s="280"/>
      <c r="F251" s="280"/>
      <c r="G251" s="281" t="s">
        <v>1004</v>
      </c>
      <c r="H251" s="282">
        <v>8913250</v>
      </c>
      <c r="I251" s="282">
        <v>14216589.300000001</v>
      </c>
      <c r="J251" s="282">
        <v>14216589.300000001</v>
      </c>
      <c r="K251" s="282">
        <v>14216589.300000001</v>
      </c>
      <c r="L251" s="282">
        <v>14216589.300000001</v>
      </c>
      <c r="M251" s="282">
        <v>14159957.514799999</v>
      </c>
      <c r="N251" s="282">
        <f t="shared" si="35"/>
        <v>150760.71029999852</v>
      </c>
      <c r="O251" s="282">
        <v>14009196.804500001</v>
      </c>
      <c r="P251" s="283">
        <f t="shared" si="36"/>
        <v>98.541193734139881</v>
      </c>
      <c r="Q251" s="283">
        <f t="shared" si="37"/>
        <v>98.541193734139881</v>
      </c>
      <c r="R251" s="284"/>
      <c r="S251" s="284"/>
      <c r="T251" s="284"/>
      <c r="U251" s="284"/>
      <c r="V251" s="242">
        <f t="shared" si="31"/>
        <v>0</v>
      </c>
      <c r="W251" s="242">
        <f t="shared" si="32"/>
        <v>0</v>
      </c>
      <c r="X251" s="242">
        <f t="shared" si="33"/>
        <v>0</v>
      </c>
      <c r="Y251" s="242">
        <f t="shared" si="34"/>
        <v>0</v>
      </c>
    </row>
    <row r="252" spans="1:25" ht="12.75">
      <c r="A252" s="280"/>
      <c r="B252" s="280"/>
      <c r="C252" s="280"/>
      <c r="D252" s="280"/>
      <c r="E252" s="280" t="s">
        <v>858</v>
      </c>
      <c r="F252" s="280"/>
      <c r="G252" s="281" t="s">
        <v>921</v>
      </c>
      <c r="H252" s="282">
        <v>0</v>
      </c>
      <c r="I252" s="282">
        <v>0</v>
      </c>
      <c r="J252" s="282">
        <v>11457972</v>
      </c>
      <c r="K252" s="282">
        <v>11457972</v>
      </c>
      <c r="L252" s="282">
        <v>11457972</v>
      </c>
      <c r="M252" s="282">
        <v>11456824.364</v>
      </c>
      <c r="N252" s="282">
        <f t="shared" si="35"/>
        <v>518.81619999930263</v>
      </c>
      <c r="O252" s="282">
        <v>11456305.547800001</v>
      </c>
      <c r="P252" s="283">
        <f t="shared" si="36"/>
        <v>99.9854559585239</v>
      </c>
      <c r="Q252" s="283">
        <f t="shared" si="37"/>
        <v>99.9854559585239</v>
      </c>
      <c r="R252" s="285"/>
      <c r="S252" s="285"/>
      <c r="T252" s="285"/>
      <c r="U252" s="287"/>
      <c r="V252" s="242">
        <f t="shared" si="31"/>
        <v>0</v>
      </c>
      <c r="W252" s="242">
        <f t="shared" si="32"/>
        <v>0</v>
      </c>
      <c r="X252" s="242">
        <f t="shared" si="33"/>
        <v>0</v>
      </c>
      <c r="Y252" s="242">
        <f t="shared" si="34"/>
        <v>0</v>
      </c>
    </row>
    <row r="253" spans="1:25" ht="12.75">
      <c r="A253" s="280"/>
      <c r="B253" s="280"/>
      <c r="C253" s="280"/>
      <c r="D253" s="280"/>
      <c r="E253" s="280" t="s">
        <v>905</v>
      </c>
      <c r="F253" s="280"/>
      <c r="G253" s="281" t="s">
        <v>918</v>
      </c>
      <c r="H253" s="282">
        <v>0</v>
      </c>
      <c r="I253" s="282">
        <v>0</v>
      </c>
      <c r="J253" s="282">
        <v>2758617.3</v>
      </c>
      <c r="K253" s="282">
        <v>2758617.3</v>
      </c>
      <c r="L253" s="282">
        <v>2758617.3</v>
      </c>
      <c r="M253" s="282">
        <v>2703133.1507999999</v>
      </c>
      <c r="N253" s="282">
        <f t="shared" si="35"/>
        <v>150241.89410000015</v>
      </c>
      <c r="O253" s="282">
        <v>2552891.2566999998</v>
      </c>
      <c r="P253" s="283">
        <f t="shared" si="36"/>
        <v>92.542421766875748</v>
      </c>
      <c r="Q253" s="283">
        <f t="shared" si="37"/>
        <v>92.542421766875748</v>
      </c>
      <c r="R253" s="285"/>
      <c r="S253" s="285"/>
      <c r="T253" s="285"/>
      <c r="U253" s="287"/>
      <c r="V253" s="242">
        <f t="shared" si="31"/>
        <v>0</v>
      </c>
      <c r="W253" s="242">
        <f t="shared" si="32"/>
        <v>0</v>
      </c>
      <c r="X253" s="242">
        <f t="shared" si="33"/>
        <v>0</v>
      </c>
      <c r="Y253" s="242">
        <f t="shared" si="34"/>
        <v>0</v>
      </c>
    </row>
    <row r="254" spans="1:25" ht="21">
      <c r="A254" s="280"/>
      <c r="B254" s="280"/>
      <c r="C254" s="280" t="s">
        <v>874</v>
      </c>
      <c r="D254" s="280"/>
      <c r="E254" s="280"/>
      <c r="F254" s="280"/>
      <c r="G254" s="281" t="s">
        <v>63</v>
      </c>
      <c r="H254" s="282">
        <v>382385</v>
      </c>
      <c r="I254" s="282">
        <v>466981</v>
      </c>
      <c r="J254" s="282">
        <v>466981</v>
      </c>
      <c r="K254" s="282">
        <v>466981</v>
      </c>
      <c r="L254" s="282">
        <v>466981</v>
      </c>
      <c r="M254" s="282">
        <v>466378.89</v>
      </c>
      <c r="N254" s="282">
        <f t="shared" si="35"/>
        <v>0</v>
      </c>
      <c r="O254" s="282">
        <v>466378.89</v>
      </c>
      <c r="P254" s="283">
        <f t="shared" si="36"/>
        <v>99.871063276664358</v>
      </c>
      <c r="Q254" s="283">
        <f t="shared" si="37"/>
        <v>99.871063276664358</v>
      </c>
      <c r="R254" s="284"/>
      <c r="S254" s="284"/>
      <c r="T254" s="284"/>
      <c r="U254" s="284"/>
      <c r="V254" s="242">
        <f t="shared" si="31"/>
        <v>0</v>
      </c>
      <c r="W254" s="242">
        <f t="shared" si="32"/>
        <v>0</v>
      </c>
      <c r="X254" s="242">
        <f t="shared" si="33"/>
        <v>0</v>
      </c>
      <c r="Y254" s="242">
        <f t="shared" si="34"/>
        <v>466981</v>
      </c>
    </row>
    <row r="255" spans="1:25" ht="21">
      <c r="A255" s="280"/>
      <c r="B255" s="280"/>
      <c r="C255" s="280"/>
      <c r="D255" s="280" t="s">
        <v>851</v>
      </c>
      <c r="E255" s="280"/>
      <c r="F255" s="280"/>
      <c r="G255" s="281" t="s">
        <v>1029</v>
      </c>
      <c r="H255" s="282">
        <v>76886</v>
      </c>
      <c r="I255" s="282">
        <v>76886</v>
      </c>
      <c r="J255" s="282">
        <v>76886</v>
      </c>
      <c r="K255" s="282">
        <v>76886</v>
      </c>
      <c r="L255" s="282">
        <v>76886</v>
      </c>
      <c r="M255" s="282">
        <v>76886</v>
      </c>
      <c r="N255" s="282">
        <f t="shared" si="35"/>
        <v>0</v>
      </c>
      <c r="O255" s="282">
        <v>76886</v>
      </c>
      <c r="P255" s="283">
        <f t="shared" si="36"/>
        <v>100</v>
      </c>
      <c r="Q255" s="283">
        <f t="shared" si="37"/>
        <v>100</v>
      </c>
      <c r="R255" s="285"/>
      <c r="S255" s="285"/>
      <c r="T255" s="285"/>
      <c r="U255" s="287"/>
      <c r="V255" s="242">
        <f t="shared" si="31"/>
        <v>0</v>
      </c>
      <c r="W255" s="242">
        <f t="shared" si="32"/>
        <v>0</v>
      </c>
      <c r="X255" s="242">
        <f t="shared" si="33"/>
        <v>0</v>
      </c>
      <c r="Y255" s="242">
        <f t="shared" si="34"/>
        <v>0</v>
      </c>
    </row>
    <row r="256" spans="1:25" s="1242" customFormat="1" ht="31.5">
      <c r="A256" s="1236"/>
      <c r="B256" s="1236"/>
      <c r="C256" s="1236"/>
      <c r="D256" s="1236" t="s">
        <v>883</v>
      </c>
      <c r="E256" s="1236"/>
      <c r="F256" s="1236"/>
      <c r="G256" s="1237" t="s">
        <v>1030</v>
      </c>
      <c r="H256" s="1238">
        <v>266499</v>
      </c>
      <c r="I256" s="1238">
        <v>351095</v>
      </c>
      <c r="J256" s="1238">
        <v>351095</v>
      </c>
      <c r="K256" s="1238">
        <v>351095</v>
      </c>
      <c r="L256" s="1238">
        <v>351095</v>
      </c>
      <c r="M256" s="1238">
        <v>350492.89</v>
      </c>
      <c r="N256" s="1238">
        <f t="shared" si="35"/>
        <v>0</v>
      </c>
      <c r="O256" s="1238">
        <v>350492.89</v>
      </c>
      <c r="P256" s="1239">
        <f t="shared" si="36"/>
        <v>99.82850510545579</v>
      </c>
      <c r="Q256" s="1239">
        <f t="shared" si="37"/>
        <v>99.82850510545579</v>
      </c>
      <c r="R256" s="1240"/>
      <c r="S256" s="1240"/>
      <c r="T256" s="1240"/>
      <c r="U256" s="1241"/>
      <c r="V256" s="1242">
        <f t="shared" si="31"/>
        <v>0</v>
      </c>
      <c r="W256" s="1242">
        <f t="shared" si="32"/>
        <v>0</v>
      </c>
      <c r="X256" s="1242">
        <f t="shared" si="33"/>
        <v>0</v>
      </c>
      <c r="Y256" s="1242">
        <f t="shared" si="34"/>
        <v>0</v>
      </c>
    </row>
    <row r="257" spans="1:25" ht="21">
      <c r="A257" s="280"/>
      <c r="B257" s="280"/>
      <c r="C257" s="280"/>
      <c r="D257" s="280" t="s">
        <v>885</v>
      </c>
      <c r="E257" s="280"/>
      <c r="F257" s="280"/>
      <c r="G257" s="281" t="s">
        <v>1031</v>
      </c>
      <c r="H257" s="282">
        <v>39000</v>
      </c>
      <c r="I257" s="282">
        <v>39000</v>
      </c>
      <c r="J257" s="282">
        <v>39000</v>
      </c>
      <c r="K257" s="282">
        <v>39000</v>
      </c>
      <c r="L257" s="282">
        <v>39000</v>
      </c>
      <c r="M257" s="282">
        <v>39000</v>
      </c>
      <c r="N257" s="282">
        <f t="shared" si="35"/>
        <v>0</v>
      </c>
      <c r="O257" s="282">
        <v>39000</v>
      </c>
      <c r="P257" s="283">
        <f t="shared" si="36"/>
        <v>100</v>
      </c>
      <c r="Q257" s="283">
        <f t="shared" si="37"/>
        <v>100</v>
      </c>
      <c r="R257" s="285"/>
      <c r="S257" s="285"/>
      <c r="T257" s="285"/>
      <c r="U257" s="287"/>
      <c r="V257" s="242">
        <f t="shared" si="31"/>
        <v>0</v>
      </c>
      <c r="W257" s="242">
        <f t="shared" si="32"/>
        <v>0</v>
      </c>
      <c r="X257" s="242">
        <f t="shared" si="33"/>
        <v>0</v>
      </c>
      <c r="Y257" s="242">
        <f t="shared" si="34"/>
        <v>0</v>
      </c>
    </row>
    <row r="258" spans="1:25" ht="21">
      <c r="B258" s="274" t="s">
        <v>913</v>
      </c>
      <c r="G258" s="275" t="s">
        <v>1032</v>
      </c>
      <c r="H258" s="276">
        <v>72395915</v>
      </c>
      <c r="I258" s="276">
        <v>78896560.099999994</v>
      </c>
      <c r="J258" s="276">
        <v>33674657.600000001</v>
      </c>
      <c r="K258" s="276">
        <v>33674657.600000001</v>
      </c>
      <c r="L258" s="276">
        <v>33674657.600000001</v>
      </c>
      <c r="M258" s="276">
        <v>33608563.230700001</v>
      </c>
      <c r="N258" s="276">
        <f t="shared" ref="N258:N278" si="38">M258-O258</f>
        <v>110742.50470000133</v>
      </c>
      <c r="O258" s="276">
        <v>33497820.726</v>
      </c>
      <c r="P258" s="277">
        <f t="shared" ref="P258:P283" si="39">IF(K258=0,0,O258/K258*100)</f>
        <v>99.474866601167761</v>
      </c>
      <c r="Q258" s="277">
        <f t="shared" ref="Q258:Q283" si="40">IF(J258=0,0,O258/J258*100)</f>
        <v>99.474866601167761</v>
      </c>
      <c r="V258" s="242">
        <f t="shared" si="31"/>
        <v>0</v>
      </c>
      <c r="W258" s="242">
        <f t="shared" si="32"/>
        <v>0</v>
      </c>
      <c r="X258" s="242">
        <f t="shared" si="33"/>
        <v>0</v>
      </c>
      <c r="Y258" s="242">
        <f t="shared" si="34"/>
        <v>0</v>
      </c>
    </row>
    <row r="259" spans="1:25" ht="21">
      <c r="C259" s="274" t="s">
        <v>903</v>
      </c>
      <c r="G259" s="275" t="s">
        <v>71</v>
      </c>
      <c r="H259" s="276">
        <v>64725312</v>
      </c>
      <c r="I259" s="276">
        <v>68198151</v>
      </c>
      <c r="J259" s="276">
        <v>22933349.800000001</v>
      </c>
      <c r="K259" s="276">
        <v>22933349.800000001</v>
      </c>
      <c r="L259" s="276">
        <v>22933349.800000001</v>
      </c>
      <c r="M259" s="276">
        <v>22916140.204799999</v>
      </c>
      <c r="N259" s="276">
        <f t="shared" si="38"/>
        <v>79674.977799996734</v>
      </c>
      <c r="O259" s="276">
        <v>22836465.227000002</v>
      </c>
      <c r="P259" s="277">
        <f t="shared" si="39"/>
        <v>99.577538502465089</v>
      </c>
      <c r="Q259" s="277">
        <f t="shared" si="40"/>
        <v>99.577538502465089</v>
      </c>
      <c r="V259" s="242">
        <f t="shared" si="31"/>
        <v>0</v>
      </c>
      <c r="W259" s="242">
        <f t="shared" si="32"/>
        <v>0</v>
      </c>
      <c r="X259" s="242">
        <f t="shared" si="33"/>
        <v>0</v>
      </c>
      <c r="Y259" s="242">
        <f t="shared" si="34"/>
        <v>0</v>
      </c>
    </row>
    <row r="260" spans="1:25" ht="21">
      <c r="D260" s="274" t="s">
        <v>846</v>
      </c>
      <c r="G260" s="275" t="s">
        <v>1033</v>
      </c>
      <c r="H260" s="276">
        <v>3152337</v>
      </c>
      <c r="I260" s="276">
        <v>2975308</v>
      </c>
      <c r="J260" s="276">
        <v>2975308</v>
      </c>
      <c r="K260" s="276">
        <v>2975308</v>
      </c>
      <c r="L260" s="276">
        <v>2975308</v>
      </c>
      <c r="M260" s="276">
        <v>2969513.7319999998</v>
      </c>
      <c r="N260" s="276">
        <f t="shared" si="38"/>
        <v>365.97779999999329</v>
      </c>
      <c r="O260" s="276">
        <v>2969147.7541999999</v>
      </c>
      <c r="P260" s="277">
        <f t="shared" si="39"/>
        <v>99.792954349600109</v>
      </c>
      <c r="Q260" s="277">
        <f t="shared" si="40"/>
        <v>99.792954349600109</v>
      </c>
      <c r="V260" s="242">
        <f t="shared" si="31"/>
        <v>0</v>
      </c>
      <c r="W260" s="242">
        <f t="shared" si="32"/>
        <v>0</v>
      </c>
      <c r="X260" s="242">
        <f t="shared" si="33"/>
        <v>0</v>
      </c>
      <c r="Y260" s="242">
        <f t="shared" si="34"/>
        <v>0</v>
      </c>
    </row>
    <row r="261" spans="1:25" ht="31.5">
      <c r="E261" s="274" t="s">
        <v>848</v>
      </c>
      <c r="G261" s="275" t="s">
        <v>1034</v>
      </c>
      <c r="H261" s="276">
        <v>0</v>
      </c>
      <c r="I261" s="276">
        <v>0</v>
      </c>
      <c r="J261" s="276">
        <v>2851887.4</v>
      </c>
      <c r="K261" s="276">
        <v>2851887.4</v>
      </c>
      <c r="L261" s="276">
        <v>2851887.4</v>
      </c>
      <c r="M261" s="276">
        <v>2846615.6886999998</v>
      </c>
      <c r="N261" s="276">
        <f t="shared" si="38"/>
        <v>344.0276999999769</v>
      </c>
      <c r="O261" s="276">
        <v>2846271.6609999998</v>
      </c>
      <c r="P261" s="277">
        <f t="shared" si="39"/>
        <v>99.803086931131986</v>
      </c>
      <c r="Q261" s="277">
        <f t="shared" si="40"/>
        <v>99.803086931131986</v>
      </c>
      <c r="V261" s="242">
        <f t="shared" si="31"/>
        <v>0</v>
      </c>
      <c r="W261" s="242">
        <f t="shared" si="32"/>
        <v>0</v>
      </c>
      <c r="X261" s="242">
        <f t="shared" si="33"/>
        <v>0</v>
      </c>
      <c r="Y261" s="242">
        <f t="shared" si="34"/>
        <v>0</v>
      </c>
    </row>
    <row r="262" spans="1:25" ht="21">
      <c r="E262" s="274" t="s">
        <v>879</v>
      </c>
      <c r="G262" s="275" t="s">
        <v>880</v>
      </c>
      <c r="H262" s="276">
        <v>0</v>
      </c>
      <c r="I262" s="276">
        <v>0</v>
      </c>
      <c r="J262" s="276">
        <v>80604.5</v>
      </c>
      <c r="K262" s="276">
        <v>80604.5</v>
      </c>
      <c r="L262" s="276">
        <v>80604.5</v>
      </c>
      <c r="M262" s="276">
        <v>80604.5</v>
      </c>
      <c r="N262" s="276">
        <f t="shared" si="38"/>
        <v>0</v>
      </c>
      <c r="O262" s="276">
        <v>80604.5</v>
      </c>
      <c r="P262" s="277">
        <f t="shared" si="39"/>
        <v>100</v>
      </c>
      <c r="Q262" s="277">
        <f t="shared" si="40"/>
        <v>100</v>
      </c>
      <c r="V262" s="242">
        <f t="shared" si="31"/>
        <v>0</v>
      </c>
      <c r="W262" s="242">
        <f t="shared" si="32"/>
        <v>0</v>
      </c>
      <c r="X262" s="242">
        <f t="shared" si="33"/>
        <v>0</v>
      </c>
      <c r="Y262" s="242">
        <f t="shared" si="34"/>
        <v>0</v>
      </c>
    </row>
    <row r="263" spans="1:25" ht="31.5">
      <c r="E263" s="274" t="s">
        <v>855</v>
      </c>
      <c r="G263" s="275" t="s">
        <v>856</v>
      </c>
      <c r="H263" s="276">
        <v>0</v>
      </c>
      <c r="I263" s="276">
        <v>0</v>
      </c>
      <c r="J263" s="276">
        <v>42816.1</v>
      </c>
      <c r="K263" s="276">
        <v>42816.1</v>
      </c>
      <c r="L263" s="276">
        <v>42816.1</v>
      </c>
      <c r="M263" s="276">
        <v>42293.543400000002</v>
      </c>
      <c r="N263" s="276">
        <f t="shared" si="38"/>
        <v>21.950000000004366</v>
      </c>
      <c r="O263" s="276">
        <v>42271.593399999998</v>
      </c>
      <c r="P263" s="277">
        <f t="shared" si="39"/>
        <v>98.72826670341297</v>
      </c>
      <c r="Q263" s="277">
        <f t="shared" si="40"/>
        <v>98.72826670341297</v>
      </c>
      <c r="V263" s="242">
        <f t="shared" si="31"/>
        <v>0</v>
      </c>
      <c r="W263" s="242">
        <f t="shared" si="32"/>
        <v>0</v>
      </c>
      <c r="X263" s="242">
        <f t="shared" si="33"/>
        <v>0</v>
      </c>
      <c r="Y263" s="242">
        <f t="shared" si="34"/>
        <v>0</v>
      </c>
    </row>
    <row r="264" spans="1:25">
      <c r="D264" s="274" t="s">
        <v>864</v>
      </c>
      <c r="G264" s="275" t="s">
        <v>946</v>
      </c>
      <c r="H264" s="276">
        <v>71395</v>
      </c>
      <c r="I264" s="276">
        <v>71395</v>
      </c>
      <c r="J264" s="276">
        <v>71395</v>
      </c>
      <c r="K264" s="276">
        <v>71395</v>
      </c>
      <c r="L264" s="276">
        <v>71395</v>
      </c>
      <c r="M264" s="276">
        <v>71395</v>
      </c>
      <c r="N264" s="276">
        <f t="shared" si="38"/>
        <v>0</v>
      </c>
      <c r="O264" s="276">
        <v>71395</v>
      </c>
      <c r="P264" s="277">
        <f t="shared" si="39"/>
        <v>100</v>
      </c>
      <c r="Q264" s="277">
        <f t="shared" si="40"/>
        <v>100</v>
      </c>
      <c r="V264" s="242">
        <f t="shared" si="31"/>
        <v>0</v>
      </c>
      <c r="W264" s="242">
        <f t="shared" si="32"/>
        <v>0</v>
      </c>
      <c r="X264" s="242">
        <f t="shared" si="33"/>
        <v>0</v>
      </c>
      <c r="Y264" s="242">
        <f t="shared" si="34"/>
        <v>0</v>
      </c>
    </row>
    <row r="265" spans="1:25">
      <c r="E265" s="274" t="s">
        <v>848</v>
      </c>
      <c r="G265" s="275" t="s">
        <v>1035</v>
      </c>
      <c r="H265" s="276">
        <v>0</v>
      </c>
      <c r="I265" s="276">
        <v>0</v>
      </c>
      <c r="J265" s="276">
        <v>71395</v>
      </c>
      <c r="K265" s="276">
        <v>71395</v>
      </c>
      <c r="L265" s="276">
        <v>71395</v>
      </c>
      <c r="M265" s="276">
        <v>71395</v>
      </c>
      <c r="N265" s="276">
        <f t="shared" si="38"/>
        <v>0</v>
      </c>
      <c r="O265" s="276">
        <v>71395</v>
      </c>
      <c r="P265" s="277">
        <f t="shared" si="39"/>
        <v>100</v>
      </c>
      <c r="Q265" s="277">
        <f t="shared" si="40"/>
        <v>100</v>
      </c>
      <c r="V265" s="242">
        <f t="shared" si="31"/>
        <v>0</v>
      </c>
      <c r="W265" s="242">
        <f t="shared" si="32"/>
        <v>0</v>
      </c>
      <c r="X265" s="242">
        <f t="shared" si="33"/>
        <v>0</v>
      </c>
      <c r="Y265" s="242">
        <f t="shared" si="34"/>
        <v>0</v>
      </c>
    </row>
    <row r="266" spans="1:25" ht="21">
      <c r="D266" s="274" t="s">
        <v>881</v>
      </c>
      <c r="G266" s="275" t="s">
        <v>1036</v>
      </c>
      <c r="H266" s="276">
        <v>129344</v>
      </c>
      <c r="I266" s="276">
        <v>142923</v>
      </c>
      <c r="J266" s="276">
        <v>142923</v>
      </c>
      <c r="K266" s="276">
        <v>142923</v>
      </c>
      <c r="L266" s="276">
        <v>142923</v>
      </c>
      <c r="M266" s="276">
        <v>142911.45569999999</v>
      </c>
      <c r="N266" s="276">
        <f t="shared" si="38"/>
        <v>0</v>
      </c>
      <c r="O266" s="276">
        <v>142911.45569999999</v>
      </c>
      <c r="P266" s="277">
        <f t="shared" si="39"/>
        <v>99.991922713629009</v>
      </c>
      <c r="Q266" s="277">
        <f t="shared" si="40"/>
        <v>99.991922713629009</v>
      </c>
      <c r="V266" s="242">
        <f t="shared" si="31"/>
        <v>0</v>
      </c>
      <c r="W266" s="242">
        <f t="shared" si="32"/>
        <v>0</v>
      </c>
      <c r="X266" s="242">
        <f t="shared" si="33"/>
        <v>0</v>
      </c>
      <c r="Y266" s="242">
        <f t="shared" si="34"/>
        <v>0</v>
      </c>
    </row>
    <row r="267" spans="1:25">
      <c r="D267" s="274" t="s">
        <v>858</v>
      </c>
      <c r="G267" s="275" t="s">
        <v>1037</v>
      </c>
      <c r="H267" s="276">
        <v>19315457</v>
      </c>
      <c r="I267" s="276">
        <v>18613709</v>
      </c>
      <c r="J267" s="276">
        <v>18613709</v>
      </c>
      <c r="K267" s="276">
        <v>18613709</v>
      </c>
      <c r="L267" s="276">
        <v>18613709</v>
      </c>
      <c r="M267" s="276">
        <v>18613709</v>
      </c>
      <c r="N267" s="276">
        <f t="shared" si="38"/>
        <v>0</v>
      </c>
      <c r="O267" s="276">
        <v>18613709</v>
      </c>
      <c r="P267" s="277">
        <f t="shared" si="39"/>
        <v>100</v>
      </c>
      <c r="Q267" s="277">
        <f t="shared" si="40"/>
        <v>100</v>
      </c>
      <c r="V267" s="242">
        <f t="shared" si="31"/>
        <v>0</v>
      </c>
      <c r="W267" s="242">
        <f t="shared" si="32"/>
        <v>0</v>
      </c>
      <c r="X267" s="242">
        <f t="shared" si="33"/>
        <v>0</v>
      </c>
      <c r="Y267" s="242">
        <f t="shared" si="34"/>
        <v>0</v>
      </c>
    </row>
    <row r="268" spans="1:25" ht="21">
      <c r="D268" s="274" t="s">
        <v>882</v>
      </c>
      <c r="G268" s="275" t="s">
        <v>1038</v>
      </c>
      <c r="H268" s="276">
        <v>286911</v>
      </c>
      <c r="I268" s="276">
        <v>252269</v>
      </c>
      <c r="J268" s="276">
        <v>252269</v>
      </c>
      <c r="K268" s="276">
        <v>252269</v>
      </c>
      <c r="L268" s="276">
        <v>252269</v>
      </c>
      <c r="M268" s="276">
        <v>247462.72099999999</v>
      </c>
      <c r="N268" s="276">
        <f t="shared" si="38"/>
        <v>4309</v>
      </c>
      <c r="O268" s="276">
        <v>243153.72099999999</v>
      </c>
      <c r="P268" s="277">
        <f t="shared" si="39"/>
        <v>96.386682866305406</v>
      </c>
      <c r="Q268" s="277">
        <f t="shared" si="40"/>
        <v>96.386682866305406</v>
      </c>
      <c r="V268" s="242">
        <f t="shared" si="31"/>
        <v>0</v>
      </c>
      <c r="W268" s="242">
        <f t="shared" si="32"/>
        <v>0</v>
      </c>
      <c r="X268" s="242">
        <f t="shared" si="33"/>
        <v>0</v>
      </c>
      <c r="Y268" s="242">
        <f t="shared" si="34"/>
        <v>0</v>
      </c>
    </row>
    <row r="269" spans="1:25" ht="21">
      <c r="D269" s="274" t="s">
        <v>905</v>
      </c>
      <c r="G269" s="275" t="s">
        <v>1039</v>
      </c>
      <c r="H269" s="276">
        <v>574090</v>
      </c>
      <c r="I269" s="276">
        <v>555181</v>
      </c>
      <c r="J269" s="276">
        <v>555181</v>
      </c>
      <c r="K269" s="276">
        <v>555181</v>
      </c>
      <c r="L269" s="276">
        <v>555181</v>
      </c>
      <c r="M269" s="276">
        <v>548788.61300000001</v>
      </c>
      <c r="N269" s="276">
        <f t="shared" si="38"/>
        <v>0</v>
      </c>
      <c r="O269" s="276">
        <v>548788.61300000001</v>
      </c>
      <c r="P269" s="277">
        <f t="shared" si="39"/>
        <v>98.848594062116675</v>
      </c>
      <c r="Q269" s="277">
        <f t="shared" si="40"/>
        <v>98.848594062116675</v>
      </c>
      <c r="V269" s="242">
        <f t="shared" ref="V269:V285" si="41">IF(C269="226",J269,0)</f>
        <v>0</v>
      </c>
      <c r="W269" s="242">
        <f t="shared" ref="W269:W285" si="42">IF(C269="253",J269,0)</f>
        <v>0</v>
      </c>
      <c r="X269" s="242">
        <f t="shared" ref="X269:X285" si="43">IF(C269="353",J269,0)</f>
        <v>0</v>
      </c>
      <c r="Y269" s="242">
        <f t="shared" ref="Y269:Y285" si="44">IF(C269="694",J269,0)</f>
        <v>0</v>
      </c>
    </row>
    <row r="270" spans="1:25" ht="31.5">
      <c r="D270" s="274" t="s">
        <v>883</v>
      </c>
      <c r="G270" s="275" t="s">
        <v>1040</v>
      </c>
      <c r="H270" s="276">
        <v>30932</v>
      </c>
      <c r="I270" s="276">
        <v>33932</v>
      </c>
      <c r="J270" s="276">
        <v>33932</v>
      </c>
      <c r="K270" s="276">
        <v>33932</v>
      </c>
      <c r="L270" s="276">
        <v>33932</v>
      </c>
      <c r="M270" s="276">
        <v>33932</v>
      </c>
      <c r="N270" s="276">
        <f t="shared" si="38"/>
        <v>0</v>
      </c>
      <c r="O270" s="276">
        <v>33932</v>
      </c>
      <c r="P270" s="277">
        <f t="shared" si="39"/>
        <v>100</v>
      </c>
      <c r="Q270" s="277">
        <f t="shared" si="40"/>
        <v>100</v>
      </c>
      <c r="V270" s="242">
        <f t="shared" si="41"/>
        <v>0</v>
      </c>
      <c r="W270" s="242">
        <f t="shared" si="42"/>
        <v>0</v>
      </c>
      <c r="X270" s="242">
        <f t="shared" si="43"/>
        <v>0</v>
      </c>
      <c r="Y270" s="242">
        <f t="shared" si="44"/>
        <v>0</v>
      </c>
    </row>
    <row r="271" spans="1:25" ht="31.5">
      <c r="D271" s="274" t="s">
        <v>886</v>
      </c>
      <c r="G271" s="275" t="s">
        <v>1041</v>
      </c>
      <c r="H271" s="276">
        <v>27473</v>
      </c>
      <c r="I271" s="276">
        <v>27473</v>
      </c>
      <c r="J271" s="276">
        <v>27473</v>
      </c>
      <c r="K271" s="276">
        <v>27473</v>
      </c>
      <c r="L271" s="276">
        <v>27473</v>
      </c>
      <c r="M271" s="276">
        <v>27473</v>
      </c>
      <c r="N271" s="276">
        <f t="shared" si="38"/>
        <v>0</v>
      </c>
      <c r="O271" s="276">
        <v>27473</v>
      </c>
      <c r="P271" s="277">
        <f t="shared" si="39"/>
        <v>100</v>
      </c>
      <c r="Q271" s="277">
        <f t="shared" si="40"/>
        <v>100</v>
      </c>
      <c r="V271" s="242">
        <f t="shared" si="41"/>
        <v>0</v>
      </c>
      <c r="W271" s="242">
        <f t="shared" si="42"/>
        <v>0</v>
      </c>
      <c r="X271" s="242">
        <f t="shared" si="43"/>
        <v>0</v>
      </c>
      <c r="Y271" s="242">
        <f t="shared" si="44"/>
        <v>0</v>
      </c>
    </row>
    <row r="272" spans="1:25" ht="21">
      <c r="E272" s="274" t="s">
        <v>863</v>
      </c>
      <c r="G272" s="275" t="s">
        <v>908</v>
      </c>
      <c r="H272" s="276">
        <v>0</v>
      </c>
      <c r="I272" s="276">
        <v>0</v>
      </c>
      <c r="J272" s="276">
        <v>22572</v>
      </c>
      <c r="K272" s="276">
        <v>22572</v>
      </c>
      <c r="L272" s="276">
        <v>22572</v>
      </c>
      <c r="M272" s="276">
        <v>22572</v>
      </c>
      <c r="N272" s="276">
        <f t="shared" si="38"/>
        <v>0</v>
      </c>
      <c r="O272" s="276">
        <v>22572</v>
      </c>
      <c r="P272" s="277">
        <f t="shared" si="39"/>
        <v>100</v>
      </c>
      <c r="Q272" s="277">
        <f t="shared" si="40"/>
        <v>100</v>
      </c>
      <c r="V272" s="242">
        <f t="shared" si="41"/>
        <v>0</v>
      </c>
      <c r="W272" s="242">
        <f t="shared" si="42"/>
        <v>0</v>
      </c>
      <c r="X272" s="242">
        <f t="shared" si="43"/>
        <v>0</v>
      </c>
      <c r="Y272" s="242">
        <f t="shared" si="44"/>
        <v>0</v>
      </c>
    </row>
    <row r="273" spans="3:25">
      <c r="E273" s="274" t="s">
        <v>896</v>
      </c>
      <c r="G273" s="275" t="s">
        <v>909</v>
      </c>
      <c r="H273" s="276">
        <v>0</v>
      </c>
      <c r="I273" s="276">
        <v>0</v>
      </c>
      <c r="J273" s="276">
        <v>4901</v>
      </c>
      <c r="K273" s="276">
        <v>4901</v>
      </c>
      <c r="L273" s="276">
        <v>4901</v>
      </c>
      <c r="M273" s="276">
        <v>4901</v>
      </c>
      <c r="N273" s="276">
        <f t="shared" si="38"/>
        <v>0</v>
      </c>
      <c r="O273" s="276">
        <v>4901</v>
      </c>
      <c r="P273" s="277">
        <f t="shared" si="39"/>
        <v>100</v>
      </c>
      <c r="Q273" s="277">
        <f t="shared" si="40"/>
        <v>100</v>
      </c>
      <c r="V273" s="242">
        <f t="shared" si="41"/>
        <v>0</v>
      </c>
      <c r="W273" s="242">
        <f t="shared" si="42"/>
        <v>0</v>
      </c>
      <c r="X273" s="242">
        <f t="shared" si="43"/>
        <v>0</v>
      </c>
      <c r="Y273" s="242">
        <f t="shared" si="44"/>
        <v>0</v>
      </c>
    </row>
    <row r="274" spans="3:25" ht="21">
      <c r="D274" s="274" t="s">
        <v>897</v>
      </c>
      <c r="G274" s="275" t="s">
        <v>1042</v>
      </c>
      <c r="H274" s="276">
        <v>16083</v>
      </c>
      <c r="I274" s="276">
        <v>16083</v>
      </c>
      <c r="J274" s="276">
        <v>16083</v>
      </c>
      <c r="K274" s="276">
        <v>16083</v>
      </c>
      <c r="L274" s="276">
        <v>16083</v>
      </c>
      <c r="M274" s="276">
        <v>16074.7991</v>
      </c>
      <c r="N274" s="276">
        <f t="shared" si="38"/>
        <v>0</v>
      </c>
      <c r="O274" s="276">
        <v>16074.7991</v>
      </c>
      <c r="P274" s="277">
        <f t="shared" si="39"/>
        <v>99.949008891375996</v>
      </c>
      <c r="Q274" s="277">
        <f t="shared" si="40"/>
        <v>99.949008891375996</v>
      </c>
      <c r="V274" s="242">
        <f t="shared" si="41"/>
        <v>0</v>
      </c>
      <c r="W274" s="242">
        <f t="shared" si="42"/>
        <v>0</v>
      </c>
      <c r="X274" s="242">
        <f t="shared" si="43"/>
        <v>0</v>
      </c>
      <c r="Y274" s="242">
        <f t="shared" si="44"/>
        <v>0</v>
      </c>
    </row>
    <row r="275" spans="3:25" ht="42">
      <c r="D275" s="274" t="s">
        <v>890</v>
      </c>
      <c r="G275" s="275" t="s">
        <v>1043</v>
      </c>
      <c r="H275" s="276">
        <v>75396</v>
      </c>
      <c r="I275" s="276">
        <v>231000</v>
      </c>
      <c r="J275" s="276">
        <v>231000</v>
      </c>
      <c r="K275" s="276">
        <v>231000</v>
      </c>
      <c r="L275" s="276">
        <v>231000</v>
      </c>
      <c r="M275" s="276">
        <v>231000</v>
      </c>
      <c r="N275" s="276">
        <f t="shared" si="38"/>
        <v>75000</v>
      </c>
      <c r="O275" s="276">
        <v>156000</v>
      </c>
      <c r="P275" s="277">
        <f t="shared" si="39"/>
        <v>67.532467532467535</v>
      </c>
      <c r="Q275" s="277">
        <f t="shared" si="40"/>
        <v>67.532467532467535</v>
      </c>
      <c r="V275" s="242">
        <f t="shared" si="41"/>
        <v>0</v>
      </c>
      <c r="W275" s="242">
        <f t="shared" si="42"/>
        <v>0</v>
      </c>
      <c r="X275" s="242">
        <f t="shared" si="43"/>
        <v>0</v>
      </c>
      <c r="Y275" s="242">
        <f t="shared" si="44"/>
        <v>0</v>
      </c>
    </row>
    <row r="276" spans="3:25" ht="21">
      <c r="D276" s="274" t="s">
        <v>845</v>
      </c>
      <c r="G276" s="275" t="s">
        <v>857</v>
      </c>
      <c r="H276" s="276">
        <v>0</v>
      </c>
      <c r="I276" s="276">
        <v>0</v>
      </c>
      <c r="J276" s="276">
        <v>2291.4</v>
      </c>
      <c r="K276" s="276">
        <v>2291.4</v>
      </c>
      <c r="L276" s="276">
        <v>2291.4</v>
      </c>
      <c r="M276" s="276">
        <v>2094.4839999999999</v>
      </c>
      <c r="N276" s="276">
        <f t="shared" si="38"/>
        <v>0</v>
      </c>
      <c r="O276" s="276">
        <v>2094.4839999999999</v>
      </c>
      <c r="P276" s="277">
        <f t="shared" si="39"/>
        <v>91.406301824212264</v>
      </c>
      <c r="Q276" s="277">
        <f t="shared" si="40"/>
        <v>91.406301824212264</v>
      </c>
      <c r="V276" s="242">
        <f t="shared" si="41"/>
        <v>0</v>
      </c>
      <c r="W276" s="242">
        <f t="shared" si="42"/>
        <v>0</v>
      </c>
      <c r="X276" s="242">
        <f t="shared" si="43"/>
        <v>0</v>
      </c>
      <c r="Y276" s="242">
        <f t="shared" si="44"/>
        <v>0</v>
      </c>
    </row>
    <row r="277" spans="3:25" ht="31.5">
      <c r="D277" s="274" t="s">
        <v>852</v>
      </c>
      <c r="G277" s="275" t="s">
        <v>853</v>
      </c>
      <c r="H277" s="276">
        <v>0</v>
      </c>
      <c r="I277" s="276">
        <v>0</v>
      </c>
      <c r="J277" s="276">
        <v>313.39999999999998</v>
      </c>
      <c r="K277" s="276">
        <v>313.39999999999998</v>
      </c>
      <c r="L277" s="276">
        <v>313.39999999999998</v>
      </c>
      <c r="M277" s="276">
        <v>313.39999999999998</v>
      </c>
      <c r="N277" s="276">
        <f t="shared" si="38"/>
        <v>0</v>
      </c>
      <c r="O277" s="276">
        <v>313.39999999999998</v>
      </c>
      <c r="P277" s="277">
        <f t="shared" si="39"/>
        <v>100</v>
      </c>
      <c r="Q277" s="277">
        <f t="shared" si="40"/>
        <v>100</v>
      </c>
      <c r="V277" s="242">
        <f t="shared" si="41"/>
        <v>0</v>
      </c>
      <c r="W277" s="242">
        <f t="shared" si="42"/>
        <v>0</v>
      </c>
      <c r="X277" s="242">
        <f t="shared" si="43"/>
        <v>0</v>
      </c>
      <c r="Y277" s="242">
        <f t="shared" si="44"/>
        <v>0</v>
      </c>
    </row>
    <row r="278" spans="3:25" ht="42">
      <c r="D278" s="274" t="s">
        <v>860</v>
      </c>
      <c r="G278" s="275" t="s">
        <v>925</v>
      </c>
      <c r="H278" s="276">
        <v>0</v>
      </c>
      <c r="I278" s="276">
        <v>0</v>
      </c>
      <c r="J278" s="276">
        <v>11472</v>
      </c>
      <c r="K278" s="276">
        <v>11472</v>
      </c>
      <c r="L278" s="276">
        <v>11472</v>
      </c>
      <c r="M278" s="276">
        <v>11472</v>
      </c>
      <c r="N278" s="276">
        <f t="shared" si="38"/>
        <v>0</v>
      </c>
      <c r="O278" s="276">
        <v>11472</v>
      </c>
      <c r="P278" s="277">
        <f t="shared" si="39"/>
        <v>100</v>
      </c>
      <c r="Q278" s="277">
        <f t="shared" si="40"/>
        <v>100</v>
      </c>
      <c r="R278" s="278"/>
      <c r="S278" s="278"/>
      <c r="T278" s="278"/>
      <c r="U278" s="279"/>
      <c r="V278" s="242">
        <f t="shared" si="41"/>
        <v>0</v>
      </c>
      <c r="W278" s="242">
        <f t="shared" si="42"/>
        <v>0</v>
      </c>
      <c r="X278" s="242">
        <f t="shared" si="43"/>
        <v>0</v>
      </c>
      <c r="Y278" s="242">
        <f t="shared" si="44"/>
        <v>0</v>
      </c>
    </row>
    <row r="279" spans="3:25" ht="21">
      <c r="D279" s="274" t="s">
        <v>1044</v>
      </c>
      <c r="G279" s="275" t="s">
        <v>1045</v>
      </c>
      <c r="H279" s="276">
        <v>41045894</v>
      </c>
      <c r="I279" s="276">
        <v>45278878</v>
      </c>
      <c r="J279" s="276">
        <v>0</v>
      </c>
      <c r="K279" s="276">
        <v>0</v>
      </c>
      <c r="L279" s="276"/>
      <c r="M279" s="276"/>
      <c r="N279" s="276"/>
      <c r="O279" s="276">
        <v>0</v>
      </c>
      <c r="P279" s="277">
        <f t="shared" si="39"/>
        <v>0</v>
      </c>
      <c r="Q279" s="277">
        <f t="shared" si="40"/>
        <v>0</v>
      </c>
      <c r="V279" s="242">
        <f t="shared" si="41"/>
        <v>0</v>
      </c>
      <c r="W279" s="242">
        <f t="shared" si="42"/>
        <v>0</v>
      </c>
      <c r="X279" s="242">
        <f t="shared" si="43"/>
        <v>0</v>
      </c>
      <c r="Y279" s="242">
        <f t="shared" si="44"/>
        <v>0</v>
      </c>
    </row>
    <row r="280" spans="3:25">
      <c r="C280" s="294" t="s">
        <v>936</v>
      </c>
      <c r="D280" s="294"/>
      <c r="E280" s="294"/>
      <c r="F280" s="294"/>
      <c r="G280" s="295" t="s">
        <v>937</v>
      </c>
      <c r="H280" s="296">
        <v>0</v>
      </c>
      <c r="I280" s="296">
        <v>641022.69999999995</v>
      </c>
      <c r="J280" s="296">
        <v>641022.69999999995</v>
      </c>
      <c r="K280" s="296">
        <v>641022.69999999995</v>
      </c>
      <c r="L280" s="296">
        <v>641022.69999999995</v>
      </c>
      <c r="M280" s="296">
        <v>634112.84739999997</v>
      </c>
      <c r="N280" s="296">
        <f t="shared" ref="N280:N285" si="45">M280-O280</f>
        <v>0</v>
      </c>
      <c r="O280" s="296">
        <v>634112.84739999997</v>
      </c>
      <c r="P280" s="297">
        <f t="shared" si="39"/>
        <v>98.922058048802327</v>
      </c>
      <c r="Q280" s="297">
        <f t="shared" si="40"/>
        <v>98.922058048802327</v>
      </c>
      <c r="R280" s="298"/>
      <c r="S280" s="298"/>
      <c r="T280" s="298"/>
      <c r="V280" s="242">
        <f t="shared" si="41"/>
        <v>0</v>
      </c>
      <c r="W280" s="242">
        <f t="shared" si="42"/>
        <v>641022.69999999995</v>
      </c>
      <c r="X280" s="242">
        <f t="shared" si="43"/>
        <v>0</v>
      </c>
      <c r="Y280" s="242">
        <f t="shared" si="44"/>
        <v>0</v>
      </c>
    </row>
    <row r="281" spans="3:25" ht="21">
      <c r="C281" s="294"/>
      <c r="D281" s="294" t="s">
        <v>926</v>
      </c>
      <c r="E281" s="294"/>
      <c r="F281" s="294"/>
      <c r="G281" s="295" t="s">
        <v>1046</v>
      </c>
      <c r="H281" s="296">
        <v>0</v>
      </c>
      <c r="I281" s="296">
        <v>641022.69999999995</v>
      </c>
      <c r="J281" s="296">
        <v>641022.69999999995</v>
      </c>
      <c r="K281" s="296">
        <v>641022.69999999995</v>
      </c>
      <c r="L281" s="296">
        <v>641022.69999999995</v>
      </c>
      <c r="M281" s="296">
        <v>634112.84739999997</v>
      </c>
      <c r="N281" s="296">
        <f t="shared" si="45"/>
        <v>0</v>
      </c>
      <c r="O281" s="296">
        <v>634112.84739999997</v>
      </c>
      <c r="P281" s="297">
        <f t="shared" si="39"/>
        <v>98.922058048802327</v>
      </c>
      <c r="Q281" s="297">
        <f t="shared" si="40"/>
        <v>98.922058048802327</v>
      </c>
      <c r="R281" s="298"/>
      <c r="S281" s="298"/>
      <c r="T281" s="298"/>
      <c r="V281" s="242">
        <f t="shared" si="41"/>
        <v>0</v>
      </c>
      <c r="W281" s="242">
        <f t="shared" si="42"/>
        <v>0</v>
      </c>
      <c r="X281" s="242">
        <f t="shared" si="43"/>
        <v>0</v>
      </c>
      <c r="Y281" s="242">
        <f t="shared" si="44"/>
        <v>0</v>
      </c>
    </row>
    <row r="282" spans="3:25">
      <c r="C282" s="294"/>
      <c r="D282" s="294"/>
      <c r="E282" s="294" t="s">
        <v>858</v>
      </c>
      <c r="F282" s="294"/>
      <c r="G282" s="295" t="s">
        <v>921</v>
      </c>
      <c r="H282" s="296">
        <v>0</v>
      </c>
      <c r="I282" s="296">
        <v>0</v>
      </c>
      <c r="J282" s="296">
        <v>625057.69999999995</v>
      </c>
      <c r="K282" s="296">
        <v>625057.69999999995</v>
      </c>
      <c r="L282" s="296">
        <v>625057.69999999995</v>
      </c>
      <c r="M282" s="296">
        <v>618147.84739999997</v>
      </c>
      <c r="N282" s="296">
        <f t="shared" si="45"/>
        <v>0</v>
      </c>
      <c r="O282" s="296">
        <v>618147.84739999997</v>
      </c>
      <c r="P282" s="297">
        <f t="shared" si="39"/>
        <v>98.894525641392789</v>
      </c>
      <c r="Q282" s="297">
        <f t="shared" si="40"/>
        <v>98.894525641392789</v>
      </c>
      <c r="R282" s="298"/>
      <c r="S282" s="298"/>
      <c r="T282" s="298"/>
      <c r="V282" s="242">
        <f t="shared" si="41"/>
        <v>0</v>
      </c>
      <c r="W282" s="242">
        <f t="shared" si="42"/>
        <v>0</v>
      </c>
      <c r="X282" s="242">
        <f t="shared" si="43"/>
        <v>0</v>
      </c>
      <c r="Y282" s="242">
        <f t="shared" si="44"/>
        <v>0</v>
      </c>
    </row>
    <row r="283" spans="3:25">
      <c r="C283" s="294"/>
      <c r="D283" s="294"/>
      <c r="E283" s="294" t="s">
        <v>905</v>
      </c>
      <c r="F283" s="294"/>
      <c r="G283" s="295" t="s">
        <v>918</v>
      </c>
      <c r="H283" s="296">
        <v>0</v>
      </c>
      <c r="I283" s="296">
        <v>0</v>
      </c>
      <c r="J283" s="296">
        <v>15965</v>
      </c>
      <c r="K283" s="296">
        <v>15965</v>
      </c>
      <c r="L283" s="296">
        <v>15965</v>
      </c>
      <c r="M283" s="296">
        <v>15965</v>
      </c>
      <c r="N283" s="296">
        <f t="shared" si="45"/>
        <v>0</v>
      </c>
      <c r="O283" s="296">
        <v>15965</v>
      </c>
      <c r="P283" s="297">
        <f t="shared" si="39"/>
        <v>100</v>
      </c>
      <c r="Q283" s="297">
        <f t="shared" si="40"/>
        <v>100</v>
      </c>
      <c r="R283" s="298"/>
      <c r="S283" s="298"/>
      <c r="T283" s="298"/>
      <c r="V283" s="242">
        <f t="shared" si="41"/>
        <v>0</v>
      </c>
      <c r="W283" s="242">
        <f t="shared" si="42"/>
        <v>0</v>
      </c>
      <c r="X283" s="242">
        <f t="shared" si="43"/>
        <v>0</v>
      </c>
      <c r="Y283" s="242">
        <f t="shared" si="44"/>
        <v>0</v>
      </c>
    </row>
    <row r="284" spans="3:25" ht="21">
      <c r="C284" s="294" t="s">
        <v>906</v>
      </c>
      <c r="D284" s="294"/>
      <c r="E284" s="294"/>
      <c r="F284" s="294"/>
      <c r="G284" s="295" t="s">
        <v>55</v>
      </c>
      <c r="H284" s="296">
        <v>14556</v>
      </c>
      <c r="I284" s="296">
        <v>14556</v>
      </c>
      <c r="J284" s="296">
        <v>14556</v>
      </c>
      <c r="K284" s="296">
        <v>14556</v>
      </c>
      <c r="L284" s="296">
        <v>14556</v>
      </c>
      <c r="M284" s="296">
        <v>14556</v>
      </c>
      <c r="N284" s="296">
        <f t="shared" si="45"/>
        <v>0</v>
      </c>
      <c r="O284" s="296">
        <v>14556</v>
      </c>
      <c r="P284" s="297">
        <f>IF(K284=0,0,O284/K284*100)</f>
        <v>100</v>
      </c>
      <c r="Q284" s="297">
        <f>IF(J284=0,0,O284/J284*100)</f>
        <v>100</v>
      </c>
      <c r="R284" s="298"/>
      <c r="S284" s="298"/>
      <c r="T284" s="298"/>
      <c r="U284" s="298"/>
      <c r="V284" s="242">
        <f t="shared" si="41"/>
        <v>14556</v>
      </c>
      <c r="W284" s="242">
        <f t="shared" si="42"/>
        <v>0</v>
      </c>
      <c r="X284" s="242">
        <f t="shared" si="43"/>
        <v>0</v>
      </c>
      <c r="Y284" s="242">
        <f t="shared" si="44"/>
        <v>0</v>
      </c>
    </row>
    <row r="285" spans="3:25" ht="21">
      <c r="C285" s="294"/>
      <c r="D285" s="294" t="s">
        <v>876</v>
      </c>
      <c r="E285" s="294"/>
      <c r="F285" s="294"/>
      <c r="G285" s="295" t="s">
        <v>1047</v>
      </c>
      <c r="H285" s="296">
        <v>14556</v>
      </c>
      <c r="I285" s="296">
        <v>14556</v>
      </c>
      <c r="J285" s="296">
        <v>14556</v>
      </c>
      <c r="K285" s="296">
        <v>14556</v>
      </c>
      <c r="L285" s="296">
        <v>14556</v>
      </c>
      <c r="M285" s="296">
        <v>14556</v>
      </c>
      <c r="N285" s="296">
        <f t="shared" si="45"/>
        <v>0</v>
      </c>
      <c r="O285" s="296">
        <v>14556</v>
      </c>
      <c r="P285" s="297">
        <f>IF(K285=0,0,O285/K285*100)</f>
        <v>100</v>
      </c>
      <c r="Q285" s="297">
        <f>IF(J285=0,0,O285/J285*100)</f>
        <v>100</v>
      </c>
      <c r="R285" s="298"/>
      <c r="S285" s="298"/>
      <c r="T285" s="298"/>
      <c r="U285" s="298"/>
      <c r="V285" s="242">
        <f t="shared" si="41"/>
        <v>0</v>
      </c>
      <c r="W285" s="242">
        <f t="shared" si="42"/>
        <v>0</v>
      </c>
      <c r="X285" s="242">
        <f t="shared" si="43"/>
        <v>0</v>
      </c>
      <c r="Y285" s="242">
        <f t="shared" si="44"/>
        <v>0</v>
      </c>
    </row>
    <row r="289" spans="1:14" ht="12">
      <c r="A289" s="299"/>
      <c r="B289" s="300"/>
      <c r="C289" s="300"/>
      <c r="D289" s="300"/>
      <c r="E289" s="300"/>
      <c r="F289" s="300"/>
      <c r="G289" s="301"/>
      <c r="H289" s="301"/>
      <c r="I289" s="301"/>
      <c r="J289" s="301"/>
      <c r="K289" s="301"/>
      <c r="L289" s="301"/>
      <c r="M289" s="301"/>
      <c r="N289" s="301"/>
    </row>
  </sheetData>
  <mergeCells count="12">
    <mergeCell ref="M7:M8"/>
    <mergeCell ref="N7:N8"/>
    <mergeCell ref="O7:O8"/>
    <mergeCell ref="P7:P8"/>
    <mergeCell ref="Q7:Q8"/>
    <mergeCell ref="J7:J8"/>
    <mergeCell ref="K7:L7"/>
    <mergeCell ref="A9:F9"/>
    <mergeCell ref="A7:F8"/>
    <mergeCell ref="G7:G8"/>
    <mergeCell ref="H7:H8"/>
    <mergeCell ref="I7:I8"/>
  </mergeCells>
  <printOptions horizontalCentered="1"/>
  <pageMargins left="0.19685039370078741" right="0.19685039370078741" top="0.78740157480314965" bottom="0.35433070866141736" header="0.39370078740157483" footer="0.19685039370078741"/>
  <pageSetup paperSize="9" scale="88" firstPageNumber="22" fitToHeight="0" orientation="portrait" useFirstPageNumber="1" horizontalDpi="4294967295" r:id="rId1"/>
  <headerFooter alignWithMargins="0">
    <oddFooter>&amp;R&amp;8&amp;P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A4" sqref="A4:XFD4"/>
    </sheetView>
  </sheetViews>
  <sheetFormatPr defaultRowHeight="12.75"/>
  <cols>
    <col min="1" max="1" width="9.140625" style="561"/>
    <col min="2" max="2" width="93.85546875" style="561" customWidth="1"/>
    <col min="3" max="4" width="24" style="561" customWidth="1"/>
    <col min="5" max="257" width="9.140625" style="561"/>
    <col min="258" max="258" width="93.85546875" style="561" customWidth="1"/>
    <col min="259" max="260" width="24" style="561" customWidth="1"/>
    <col min="261" max="513" width="9.140625" style="561"/>
    <col min="514" max="514" width="93.85546875" style="561" customWidth="1"/>
    <col min="515" max="516" width="24" style="561" customWidth="1"/>
    <col min="517" max="769" width="9.140625" style="561"/>
    <col min="770" max="770" width="93.85546875" style="561" customWidth="1"/>
    <col min="771" max="772" width="24" style="561" customWidth="1"/>
    <col min="773" max="1025" width="9.140625" style="561"/>
    <col min="1026" max="1026" width="93.85546875" style="561" customWidth="1"/>
    <col min="1027" max="1028" width="24" style="561" customWidth="1"/>
    <col min="1029" max="1281" width="9.140625" style="561"/>
    <col min="1282" max="1282" width="93.85546875" style="561" customWidth="1"/>
    <col min="1283" max="1284" width="24" style="561" customWidth="1"/>
    <col min="1285" max="1537" width="9.140625" style="561"/>
    <col min="1538" max="1538" width="93.85546875" style="561" customWidth="1"/>
    <col min="1539" max="1540" width="24" style="561" customWidth="1"/>
    <col min="1541" max="1793" width="9.140625" style="561"/>
    <col min="1794" max="1794" width="93.85546875" style="561" customWidth="1"/>
    <col min="1795" max="1796" width="24" style="561" customWidth="1"/>
    <col min="1797" max="2049" width="9.140625" style="561"/>
    <col min="2050" max="2050" width="93.85546875" style="561" customWidth="1"/>
    <col min="2051" max="2052" width="24" style="561" customWidth="1"/>
    <col min="2053" max="2305" width="9.140625" style="561"/>
    <col min="2306" max="2306" width="93.85546875" style="561" customWidth="1"/>
    <col min="2307" max="2308" width="24" style="561" customWidth="1"/>
    <col min="2309" max="2561" width="9.140625" style="561"/>
    <col min="2562" max="2562" width="93.85546875" style="561" customWidth="1"/>
    <col min="2563" max="2564" width="24" style="561" customWidth="1"/>
    <col min="2565" max="2817" width="9.140625" style="561"/>
    <col min="2818" max="2818" width="93.85546875" style="561" customWidth="1"/>
    <col min="2819" max="2820" width="24" style="561" customWidth="1"/>
    <col min="2821" max="3073" width="9.140625" style="561"/>
    <col min="3074" max="3074" width="93.85546875" style="561" customWidth="1"/>
    <col min="3075" max="3076" width="24" style="561" customWidth="1"/>
    <col min="3077" max="3329" width="9.140625" style="561"/>
    <col min="3330" max="3330" width="93.85546875" style="561" customWidth="1"/>
    <col min="3331" max="3332" width="24" style="561" customWidth="1"/>
    <col min="3333" max="3585" width="9.140625" style="561"/>
    <col min="3586" max="3586" width="93.85546875" style="561" customWidth="1"/>
    <col min="3587" max="3588" width="24" style="561" customWidth="1"/>
    <col min="3589" max="3841" width="9.140625" style="561"/>
    <col min="3842" max="3842" width="93.85546875" style="561" customWidth="1"/>
    <col min="3843" max="3844" width="24" style="561" customWidth="1"/>
    <col min="3845" max="4097" width="9.140625" style="561"/>
    <col min="4098" max="4098" width="93.85546875" style="561" customWidth="1"/>
    <col min="4099" max="4100" width="24" style="561" customWidth="1"/>
    <col min="4101" max="4353" width="9.140625" style="561"/>
    <col min="4354" max="4354" width="93.85546875" style="561" customWidth="1"/>
    <col min="4355" max="4356" width="24" style="561" customWidth="1"/>
    <col min="4357" max="4609" width="9.140625" style="561"/>
    <col min="4610" max="4610" width="93.85546875" style="561" customWidth="1"/>
    <col min="4611" max="4612" width="24" style="561" customWidth="1"/>
    <col min="4613" max="4865" width="9.140625" style="561"/>
    <col min="4866" max="4866" width="93.85546875" style="561" customWidth="1"/>
    <col min="4867" max="4868" width="24" style="561" customWidth="1"/>
    <col min="4869" max="5121" width="9.140625" style="561"/>
    <col min="5122" max="5122" width="93.85546875" style="561" customWidth="1"/>
    <col min="5123" max="5124" width="24" style="561" customWidth="1"/>
    <col min="5125" max="5377" width="9.140625" style="561"/>
    <col min="5378" max="5378" width="93.85546875" style="561" customWidth="1"/>
    <col min="5379" max="5380" width="24" style="561" customWidth="1"/>
    <col min="5381" max="5633" width="9.140625" style="561"/>
    <col min="5634" max="5634" width="93.85546875" style="561" customWidth="1"/>
    <col min="5635" max="5636" width="24" style="561" customWidth="1"/>
    <col min="5637" max="5889" width="9.140625" style="561"/>
    <col min="5890" max="5890" width="93.85546875" style="561" customWidth="1"/>
    <col min="5891" max="5892" width="24" style="561" customWidth="1"/>
    <col min="5893" max="6145" width="9.140625" style="561"/>
    <col min="6146" max="6146" width="93.85546875" style="561" customWidth="1"/>
    <col min="6147" max="6148" width="24" style="561" customWidth="1"/>
    <col min="6149" max="6401" width="9.140625" style="561"/>
    <col min="6402" max="6402" width="93.85546875" style="561" customWidth="1"/>
    <col min="6403" max="6404" width="24" style="561" customWidth="1"/>
    <col min="6405" max="6657" width="9.140625" style="561"/>
    <col min="6658" max="6658" width="93.85546875" style="561" customWidth="1"/>
    <col min="6659" max="6660" width="24" style="561" customWidth="1"/>
    <col min="6661" max="6913" width="9.140625" style="561"/>
    <col min="6914" max="6914" width="93.85546875" style="561" customWidth="1"/>
    <col min="6915" max="6916" width="24" style="561" customWidth="1"/>
    <col min="6917" max="7169" width="9.140625" style="561"/>
    <col min="7170" max="7170" width="93.85546875" style="561" customWidth="1"/>
    <col min="7171" max="7172" width="24" style="561" customWidth="1"/>
    <col min="7173" max="7425" width="9.140625" style="561"/>
    <col min="7426" max="7426" width="93.85546875" style="561" customWidth="1"/>
    <col min="7427" max="7428" width="24" style="561" customWidth="1"/>
    <col min="7429" max="7681" width="9.140625" style="561"/>
    <col min="7682" max="7682" width="93.85546875" style="561" customWidth="1"/>
    <col min="7683" max="7684" width="24" style="561" customWidth="1"/>
    <col min="7685" max="7937" width="9.140625" style="561"/>
    <col min="7938" max="7938" width="93.85546875" style="561" customWidth="1"/>
    <col min="7939" max="7940" width="24" style="561" customWidth="1"/>
    <col min="7941" max="8193" width="9.140625" style="561"/>
    <col min="8194" max="8194" width="93.85546875" style="561" customWidth="1"/>
    <col min="8195" max="8196" width="24" style="561" customWidth="1"/>
    <col min="8197" max="8449" width="9.140625" style="561"/>
    <col min="8450" max="8450" width="93.85546875" style="561" customWidth="1"/>
    <col min="8451" max="8452" width="24" style="561" customWidth="1"/>
    <col min="8453" max="8705" width="9.140625" style="561"/>
    <col min="8706" max="8706" width="93.85546875" style="561" customWidth="1"/>
    <col min="8707" max="8708" width="24" style="561" customWidth="1"/>
    <col min="8709" max="8961" width="9.140625" style="561"/>
    <col min="8962" max="8962" width="93.85546875" style="561" customWidth="1"/>
    <col min="8963" max="8964" width="24" style="561" customWidth="1"/>
    <col min="8965" max="9217" width="9.140625" style="561"/>
    <col min="9218" max="9218" width="93.85546875" style="561" customWidth="1"/>
    <col min="9219" max="9220" width="24" style="561" customWidth="1"/>
    <col min="9221" max="9473" width="9.140625" style="561"/>
    <col min="9474" max="9474" width="93.85546875" style="561" customWidth="1"/>
    <col min="9475" max="9476" width="24" style="561" customWidth="1"/>
    <col min="9477" max="9729" width="9.140625" style="561"/>
    <col min="9730" max="9730" width="93.85546875" style="561" customWidth="1"/>
    <col min="9731" max="9732" width="24" style="561" customWidth="1"/>
    <col min="9733" max="9985" width="9.140625" style="561"/>
    <col min="9986" max="9986" width="93.85546875" style="561" customWidth="1"/>
    <col min="9987" max="9988" width="24" style="561" customWidth="1"/>
    <col min="9989" max="10241" width="9.140625" style="561"/>
    <col min="10242" max="10242" width="93.85546875" style="561" customWidth="1"/>
    <col min="10243" max="10244" width="24" style="561" customWidth="1"/>
    <col min="10245" max="10497" width="9.140625" style="561"/>
    <col min="10498" max="10498" width="93.85546875" style="561" customWidth="1"/>
    <col min="10499" max="10500" width="24" style="561" customWidth="1"/>
    <col min="10501" max="10753" width="9.140625" style="561"/>
    <col min="10754" max="10754" width="93.85546875" style="561" customWidth="1"/>
    <col min="10755" max="10756" width="24" style="561" customWidth="1"/>
    <col min="10757" max="11009" width="9.140625" style="561"/>
    <col min="11010" max="11010" width="93.85546875" style="561" customWidth="1"/>
    <col min="11011" max="11012" width="24" style="561" customWidth="1"/>
    <col min="11013" max="11265" width="9.140625" style="561"/>
    <col min="11266" max="11266" width="93.85546875" style="561" customWidth="1"/>
    <col min="11267" max="11268" width="24" style="561" customWidth="1"/>
    <col min="11269" max="11521" width="9.140625" style="561"/>
    <col min="11522" max="11522" width="93.85546875" style="561" customWidth="1"/>
    <col min="11523" max="11524" width="24" style="561" customWidth="1"/>
    <col min="11525" max="11777" width="9.140625" style="561"/>
    <col min="11778" max="11778" width="93.85546875" style="561" customWidth="1"/>
    <col min="11779" max="11780" width="24" style="561" customWidth="1"/>
    <col min="11781" max="12033" width="9.140625" style="561"/>
    <col min="12034" max="12034" width="93.85546875" style="561" customWidth="1"/>
    <col min="12035" max="12036" width="24" style="561" customWidth="1"/>
    <col min="12037" max="12289" width="9.140625" style="561"/>
    <col min="12290" max="12290" width="93.85546875" style="561" customWidth="1"/>
    <col min="12291" max="12292" width="24" style="561" customWidth="1"/>
    <col min="12293" max="12545" width="9.140625" style="561"/>
    <col min="12546" max="12546" width="93.85546875" style="561" customWidth="1"/>
    <col min="12547" max="12548" width="24" style="561" customWidth="1"/>
    <col min="12549" max="12801" width="9.140625" style="561"/>
    <col min="12802" max="12802" width="93.85546875" style="561" customWidth="1"/>
    <col min="12803" max="12804" width="24" style="561" customWidth="1"/>
    <col min="12805" max="13057" width="9.140625" style="561"/>
    <col min="13058" max="13058" width="93.85546875" style="561" customWidth="1"/>
    <col min="13059" max="13060" width="24" style="561" customWidth="1"/>
    <col min="13061" max="13313" width="9.140625" style="561"/>
    <col min="13314" max="13314" width="93.85546875" style="561" customWidth="1"/>
    <col min="13315" max="13316" width="24" style="561" customWidth="1"/>
    <col min="13317" max="13569" width="9.140625" style="561"/>
    <col min="13570" max="13570" width="93.85546875" style="561" customWidth="1"/>
    <col min="13571" max="13572" width="24" style="561" customWidth="1"/>
    <col min="13573" max="13825" width="9.140625" style="561"/>
    <col min="13826" max="13826" width="93.85546875" style="561" customWidth="1"/>
    <col min="13827" max="13828" width="24" style="561" customWidth="1"/>
    <col min="13829" max="14081" width="9.140625" style="561"/>
    <col min="14082" max="14082" width="93.85546875" style="561" customWidth="1"/>
    <col min="14083" max="14084" width="24" style="561" customWidth="1"/>
    <col min="14085" max="14337" width="9.140625" style="561"/>
    <col min="14338" max="14338" width="93.85546875" style="561" customWidth="1"/>
    <col min="14339" max="14340" width="24" style="561" customWidth="1"/>
    <col min="14341" max="14593" width="9.140625" style="561"/>
    <col min="14594" max="14594" width="93.85546875" style="561" customWidth="1"/>
    <col min="14595" max="14596" width="24" style="561" customWidth="1"/>
    <col min="14597" max="14849" width="9.140625" style="561"/>
    <col min="14850" max="14850" width="93.85546875" style="561" customWidth="1"/>
    <col min="14851" max="14852" width="24" style="561" customWidth="1"/>
    <col min="14853" max="15105" width="9.140625" style="561"/>
    <col min="15106" max="15106" width="93.85546875" style="561" customWidth="1"/>
    <col min="15107" max="15108" width="24" style="561" customWidth="1"/>
    <col min="15109" max="15361" width="9.140625" style="561"/>
    <col min="15362" max="15362" width="93.85546875" style="561" customWidth="1"/>
    <col min="15363" max="15364" width="24" style="561" customWidth="1"/>
    <col min="15365" max="15617" width="9.140625" style="561"/>
    <col min="15618" max="15618" width="93.85546875" style="561" customWidth="1"/>
    <col min="15619" max="15620" width="24" style="561" customWidth="1"/>
    <col min="15621" max="15873" width="9.140625" style="561"/>
    <col min="15874" max="15874" width="93.85546875" style="561" customWidth="1"/>
    <col min="15875" max="15876" width="24" style="561" customWidth="1"/>
    <col min="15877" max="16129" width="9.140625" style="561"/>
    <col min="16130" max="16130" width="93.85546875" style="561" customWidth="1"/>
    <col min="16131" max="16132" width="24" style="561" customWidth="1"/>
    <col min="16133" max="16384" width="9.140625" style="561"/>
  </cols>
  <sheetData>
    <row r="1" spans="1:5">
      <c r="B1" s="561" t="s">
        <v>1166</v>
      </c>
      <c r="C1" s="561" t="s">
        <v>2625</v>
      </c>
    </row>
    <row r="2" spans="1:5" ht="15">
      <c r="A2" s="880" t="s">
        <v>2626</v>
      </c>
      <c r="B2" s="595" t="s">
        <v>2627</v>
      </c>
      <c r="C2" s="941">
        <v>304098</v>
      </c>
      <c r="D2" s="561" t="s">
        <v>8</v>
      </c>
    </row>
    <row r="3" spans="1:5" ht="15">
      <c r="A3" s="880" t="s">
        <v>2626</v>
      </c>
      <c r="B3" s="561" t="s">
        <v>2628</v>
      </c>
      <c r="C3" s="941">
        <v>957313</v>
      </c>
      <c r="D3" s="561" t="s">
        <v>8</v>
      </c>
    </row>
    <row r="4" spans="1:5" ht="15">
      <c r="A4" s="880" t="s">
        <v>2626</v>
      </c>
      <c r="B4" s="561" t="s">
        <v>2629</v>
      </c>
      <c r="C4" s="941">
        <v>184944</v>
      </c>
      <c r="D4" s="561" t="s">
        <v>8</v>
      </c>
    </row>
    <row r="5" spans="1:5" ht="15">
      <c r="A5" s="971" t="s">
        <v>2626</v>
      </c>
      <c r="B5" s="561" t="s">
        <v>2630</v>
      </c>
      <c r="C5" s="611">
        <v>1171021</v>
      </c>
      <c r="E5" s="561" t="s">
        <v>8</v>
      </c>
    </row>
    <row r="6" spans="1:5" ht="15">
      <c r="A6" s="971" t="s">
        <v>2631</v>
      </c>
      <c r="B6" s="561" t="s">
        <v>2632</v>
      </c>
      <c r="C6" s="611">
        <v>295657</v>
      </c>
      <c r="E6" s="561" t="s">
        <v>8</v>
      </c>
    </row>
    <row r="7" spans="1:5" ht="15">
      <c r="A7" s="971" t="s">
        <v>2631</v>
      </c>
      <c r="B7" s="561" t="s">
        <v>2633</v>
      </c>
      <c r="C7" s="611">
        <v>1810380</v>
      </c>
      <c r="E7" s="561" t="s">
        <v>8</v>
      </c>
    </row>
    <row r="8" spans="1:5" ht="15">
      <c r="A8" s="972" t="s">
        <v>2631</v>
      </c>
      <c r="B8" s="561" t="s">
        <v>2634</v>
      </c>
      <c r="C8" s="611">
        <v>429386</v>
      </c>
    </row>
    <row r="9" spans="1:5" ht="15">
      <c r="A9" s="972" t="s">
        <v>2631</v>
      </c>
      <c r="B9" s="561" t="s">
        <v>2635</v>
      </c>
      <c r="C9" s="611">
        <v>19200</v>
      </c>
    </row>
    <row r="11" spans="1:5">
      <c r="C11" s="949">
        <f>C3+C4+C5+C7</f>
        <v>4123658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38"/>
  <sheetViews>
    <sheetView workbookViewId="0">
      <selection activeCell="D37" sqref="D37"/>
    </sheetView>
  </sheetViews>
  <sheetFormatPr defaultRowHeight="12.75"/>
  <cols>
    <col min="1" max="1" width="25.5703125" style="561" customWidth="1"/>
    <col min="2" max="2" width="22" style="561" bestFit="1" customWidth="1"/>
    <col min="3" max="4" width="12" style="561" customWidth="1"/>
    <col min="5" max="5" width="13.140625" style="561" customWidth="1"/>
    <col min="6" max="16384" width="9.140625" style="561"/>
  </cols>
  <sheetData>
    <row r="4" spans="1:5">
      <c r="A4" s="561" t="s">
        <v>2655</v>
      </c>
      <c r="B4" s="561" t="s">
        <v>2654</v>
      </c>
    </row>
    <row r="5" spans="1:5">
      <c r="A5" s="561" t="s">
        <v>2047</v>
      </c>
      <c r="B5" s="561">
        <v>2010</v>
      </c>
      <c r="C5" s="561">
        <v>2011</v>
      </c>
      <c r="D5" s="561">
        <v>2012</v>
      </c>
      <c r="E5" s="561" t="s">
        <v>2057</v>
      </c>
    </row>
    <row r="6" spans="1:5">
      <c r="A6" s="975" t="s">
        <v>2658</v>
      </c>
      <c r="B6" s="949">
        <v>188279.07216000004</v>
      </c>
      <c r="C6" s="949">
        <v>95891.503619915849</v>
      </c>
      <c r="D6" s="949">
        <v>308791.41200673999</v>
      </c>
      <c r="E6" s="949">
        <v>592961.9877866559</v>
      </c>
    </row>
    <row r="7" spans="1:5">
      <c r="A7" s="976" t="s">
        <v>130</v>
      </c>
      <c r="B7" s="949">
        <v>188279.07216000004</v>
      </c>
      <c r="C7" s="949">
        <v>95891.503619915849</v>
      </c>
      <c r="D7" s="949">
        <v>308791.41200673999</v>
      </c>
      <c r="E7" s="949">
        <v>592961.9877866559</v>
      </c>
    </row>
    <row r="8" spans="1:5">
      <c r="A8" s="975" t="s">
        <v>218</v>
      </c>
      <c r="B8" s="949">
        <v>552.59999999999854</v>
      </c>
      <c r="C8" s="949">
        <v>172.85764900000001</v>
      </c>
      <c r="D8" s="949">
        <v>344.05044960000004</v>
      </c>
      <c r="E8" s="949">
        <v>1069.5080985999987</v>
      </c>
    </row>
    <row r="9" spans="1:5">
      <c r="A9" s="976" t="s">
        <v>2639</v>
      </c>
      <c r="B9" s="949">
        <v>552.59999999999854</v>
      </c>
      <c r="C9" s="949">
        <v>172.85764900000001</v>
      </c>
      <c r="D9" s="949">
        <v>344.05044960000004</v>
      </c>
      <c r="E9" s="949">
        <v>1069.5080985999987</v>
      </c>
    </row>
    <row r="10" spans="1:5">
      <c r="A10" s="975" t="s">
        <v>222</v>
      </c>
      <c r="B10" s="949">
        <v>606753.70436388627</v>
      </c>
      <c r="C10" s="949">
        <v>1080075.1925583035</v>
      </c>
      <c r="D10" s="949">
        <v>1296093.8678934779</v>
      </c>
      <c r="E10" s="949">
        <v>2982922.7648156681</v>
      </c>
    </row>
    <row r="11" spans="1:5">
      <c r="A11" s="976" t="s">
        <v>130</v>
      </c>
      <c r="B11" s="949">
        <v>85759.28559588769</v>
      </c>
      <c r="C11" s="949">
        <v>135218.49513430521</v>
      </c>
      <c r="D11" s="949">
        <v>81561.302100179804</v>
      </c>
      <c r="E11" s="949">
        <v>302539.08283037273</v>
      </c>
    </row>
    <row r="12" spans="1:5">
      <c r="A12" s="976" t="s">
        <v>2639</v>
      </c>
      <c r="B12" s="949">
        <v>520994.41876799858</v>
      </c>
      <c r="C12" s="949">
        <v>944856.69742399838</v>
      </c>
      <c r="D12" s="949">
        <v>1214532.5657932982</v>
      </c>
      <c r="E12" s="949">
        <v>2680383.6819852954</v>
      </c>
    </row>
    <row r="13" spans="1:5">
      <c r="A13" s="975" t="s">
        <v>2659</v>
      </c>
      <c r="B13" s="949">
        <v>70000.995169736882</v>
      </c>
      <c r="C13" s="949">
        <v>154570.38787879093</v>
      </c>
      <c r="D13" s="949">
        <v>151667.56432784203</v>
      </c>
      <c r="E13" s="949">
        <v>376238.94737636985</v>
      </c>
    </row>
    <row r="14" spans="1:5">
      <c r="A14" s="976" t="s">
        <v>130</v>
      </c>
      <c r="B14" s="949">
        <v>22518.65596973693</v>
      </c>
      <c r="C14" s="949">
        <v>150426.90667879093</v>
      </c>
      <c r="D14" s="949">
        <v>99940.85799784206</v>
      </c>
      <c r="E14" s="949">
        <v>272886.42064636992</v>
      </c>
    </row>
    <row r="15" spans="1:5">
      <c r="A15" s="976" t="s">
        <v>2639</v>
      </c>
      <c r="B15" s="949">
        <v>47482.339199999959</v>
      </c>
      <c r="C15" s="949">
        <v>4143.4812000000002</v>
      </c>
      <c r="D15" s="949">
        <v>51726.706329999965</v>
      </c>
      <c r="E15" s="949">
        <v>103352.52672999993</v>
      </c>
    </row>
    <row r="16" spans="1:5">
      <c r="A16" s="975" t="s">
        <v>252</v>
      </c>
      <c r="B16" s="949">
        <v>35554.873439999959</v>
      </c>
      <c r="C16" s="949">
        <v>19714.484146399987</v>
      </c>
      <c r="D16" s="949">
        <v>67335.011789500015</v>
      </c>
      <c r="E16" s="949">
        <v>122604.36937589996</v>
      </c>
    </row>
    <row r="17" spans="1:5">
      <c r="A17" s="976" t="s">
        <v>130</v>
      </c>
      <c r="B17" s="949">
        <v>22460.463839999975</v>
      </c>
      <c r="C17" s="949">
        <v>16613.218960000002</v>
      </c>
      <c r="D17" s="949">
        <v>37865.888060000005</v>
      </c>
      <c r="E17" s="949">
        <v>76939.570859999978</v>
      </c>
    </row>
    <row r="18" spans="1:5">
      <c r="A18" s="976" t="s">
        <v>2639</v>
      </c>
      <c r="B18" s="949">
        <v>13094.409599999986</v>
      </c>
      <c r="C18" s="949">
        <v>3101.265186399984</v>
      </c>
      <c r="D18" s="949">
        <v>29469.123729500003</v>
      </c>
      <c r="E18" s="949">
        <v>45664.798515899973</v>
      </c>
    </row>
    <row r="19" spans="1:5">
      <c r="A19" s="975" t="s">
        <v>266</v>
      </c>
      <c r="B19" s="949">
        <v>172303.21049324493</v>
      </c>
      <c r="C19" s="949">
        <v>110586.88872999992</v>
      </c>
      <c r="D19" s="949">
        <v>85893.742981285221</v>
      </c>
      <c r="E19" s="949">
        <v>368783.84220453008</v>
      </c>
    </row>
    <row r="20" spans="1:5">
      <c r="A20" s="976" t="s">
        <v>130</v>
      </c>
      <c r="B20" s="949">
        <v>117554.54969324496</v>
      </c>
      <c r="C20" s="949">
        <v>31749.681279999983</v>
      </c>
      <c r="D20" s="949">
        <v>57381.227001285282</v>
      </c>
      <c r="E20" s="949">
        <v>206685.45797453023</v>
      </c>
    </row>
    <row r="21" spans="1:5">
      <c r="A21" s="976" t="s">
        <v>2639</v>
      </c>
      <c r="B21" s="949">
        <v>54748.660799999969</v>
      </c>
      <c r="C21" s="949">
        <v>78837.207449999943</v>
      </c>
      <c r="D21" s="949">
        <v>28512.515979999938</v>
      </c>
      <c r="E21" s="949">
        <v>162098.38422999985</v>
      </c>
    </row>
    <row r="22" spans="1:5">
      <c r="A22" s="975" t="s">
        <v>270</v>
      </c>
      <c r="B22" s="949">
        <v>70819.300319999849</v>
      </c>
      <c r="C22" s="949">
        <v>139556.77787783719</v>
      </c>
      <c r="D22" s="949">
        <v>13629.548659999999</v>
      </c>
      <c r="E22" s="949">
        <v>224005.62685783705</v>
      </c>
    </row>
    <row r="23" spans="1:5">
      <c r="A23" s="976" t="s">
        <v>130</v>
      </c>
      <c r="B23" s="949">
        <v>70819.300319999849</v>
      </c>
      <c r="C23" s="949">
        <v>139556.77787783719</v>
      </c>
      <c r="D23" s="949">
        <v>13629.548659999999</v>
      </c>
      <c r="E23" s="949">
        <v>224005.62685783705</v>
      </c>
    </row>
    <row r="24" spans="1:5">
      <c r="A24" s="975" t="s">
        <v>271</v>
      </c>
      <c r="B24" s="949">
        <v>2432849.3510399982</v>
      </c>
      <c r="C24" s="949">
        <v>2566050.4793907986</v>
      </c>
      <c r="D24" s="949">
        <v>1892549.6760871985</v>
      </c>
      <c r="E24" s="949">
        <v>6891449.5065179951</v>
      </c>
    </row>
    <row r="25" spans="1:5">
      <c r="A25" s="976" t="s">
        <v>130</v>
      </c>
      <c r="B25" s="949">
        <v>84867.129119999852</v>
      </c>
      <c r="C25" s="949">
        <v>573827.47695079842</v>
      </c>
      <c r="D25" s="949">
        <v>397423.70608719974</v>
      </c>
      <c r="E25" s="949">
        <v>1056118.3121579979</v>
      </c>
    </row>
    <row r="26" spans="1:5">
      <c r="A26" s="976" t="s">
        <v>2639</v>
      </c>
      <c r="B26" s="949">
        <v>2347982.2219199985</v>
      </c>
      <c r="C26" s="949">
        <v>1992223.0024400002</v>
      </c>
      <c r="D26" s="949">
        <v>1495125.9699999988</v>
      </c>
      <c r="E26" s="949">
        <v>5835331.1943599973</v>
      </c>
    </row>
    <row r="27" spans="1:5">
      <c r="A27" s="975" t="s">
        <v>275</v>
      </c>
      <c r="B27" s="949">
        <v>11485.696757912574</v>
      </c>
      <c r="C27" s="949">
        <v>9835.7814244883029</v>
      </c>
      <c r="D27" s="949">
        <v>8861.0445074956169</v>
      </c>
      <c r="E27" s="949">
        <v>30182.52268989649</v>
      </c>
    </row>
    <row r="28" spans="1:5">
      <c r="A28" s="976" t="s">
        <v>130</v>
      </c>
      <c r="B28" s="949">
        <v>11485.696757912574</v>
      </c>
      <c r="C28" s="949">
        <v>9835.7814244883029</v>
      </c>
      <c r="D28" s="949">
        <v>8861.0445074956169</v>
      </c>
      <c r="E28" s="949">
        <v>30182.52268989649</v>
      </c>
    </row>
    <row r="29" spans="1:5">
      <c r="A29" s="975" t="s">
        <v>287</v>
      </c>
      <c r="B29" s="949">
        <v>1628463.2470079972</v>
      </c>
      <c r="C29" s="949">
        <v>21018.42351631268</v>
      </c>
      <c r="D29" s="949">
        <v>24632.899010654848</v>
      </c>
      <c r="E29" s="949">
        <v>1674114.5695349646</v>
      </c>
    </row>
    <row r="30" spans="1:5">
      <c r="A30" s="976" t="s">
        <v>130</v>
      </c>
      <c r="B30" s="949">
        <v>1628463.2470079972</v>
      </c>
      <c r="C30" s="949">
        <v>21018.42351631268</v>
      </c>
      <c r="D30" s="949">
        <v>24632.899010654848</v>
      </c>
      <c r="E30" s="949">
        <v>1674114.5695349646</v>
      </c>
    </row>
    <row r="31" spans="1:5">
      <c r="A31" s="975" t="s">
        <v>289</v>
      </c>
      <c r="B31" s="949">
        <v>1541.53296</v>
      </c>
      <c r="C31" s="949">
        <v>2955.4765854060065</v>
      </c>
      <c r="D31" s="949">
        <v>1276.6798200000003</v>
      </c>
      <c r="E31" s="949">
        <v>5773.6893654060068</v>
      </c>
    </row>
    <row r="32" spans="1:5">
      <c r="A32" s="976" t="s">
        <v>130</v>
      </c>
      <c r="B32" s="949">
        <v>1541.53296</v>
      </c>
      <c r="C32" s="949">
        <v>2222.17272</v>
      </c>
      <c r="D32" s="949">
        <v>1276.6798200000003</v>
      </c>
      <c r="E32" s="949">
        <v>5040.3855000000003</v>
      </c>
    </row>
    <row r="33" spans="1:5">
      <c r="A33" s="976" t="s">
        <v>2639</v>
      </c>
      <c r="B33" s="949"/>
      <c r="C33" s="949">
        <v>733.30386540600659</v>
      </c>
      <c r="D33" s="949"/>
      <c r="E33" s="949">
        <v>733.30386540600659</v>
      </c>
    </row>
    <row r="34" spans="1:5">
      <c r="A34" s="975" t="s">
        <v>291</v>
      </c>
      <c r="B34" s="949">
        <v>2012.9375999999988</v>
      </c>
      <c r="C34" s="949"/>
      <c r="D34" s="949"/>
      <c r="E34" s="949">
        <v>2012.9375999999988</v>
      </c>
    </row>
    <row r="35" spans="1:5">
      <c r="A35" s="976" t="s">
        <v>2639</v>
      </c>
      <c r="B35" s="949">
        <v>2012.9375999999988</v>
      </c>
      <c r="C35" s="949"/>
      <c r="D35" s="949"/>
      <c r="E35" s="949">
        <v>2012.9375999999988</v>
      </c>
    </row>
    <row r="36" spans="1:5">
      <c r="A36" s="975" t="s">
        <v>301</v>
      </c>
      <c r="B36" s="949"/>
      <c r="C36" s="949"/>
      <c r="D36" s="949">
        <v>8628.0353710395102</v>
      </c>
      <c r="E36" s="949">
        <v>8628.0353710395102</v>
      </c>
    </row>
    <row r="37" spans="1:5">
      <c r="A37" s="976" t="s">
        <v>130</v>
      </c>
      <c r="B37" s="949"/>
      <c r="C37" s="949"/>
      <c r="D37" s="949">
        <v>8628.0353710395102</v>
      </c>
      <c r="E37" s="949">
        <v>8628.0353710395102</v>
      </c>
    </row>
    <row r="38" spans="1:5">
      <c r="A38" s="975" t="s">
        <v>2057</v>
      </c>
      <c r="B38" s="949">
        <v>5220616.521312776</v>
      </c>
      <c r="C38" s="949">
        <v>4200428.2533772532</v>
      </c>
      <c r="D38" s="949">
        <v>3859703.532904834</v>
      </c>
      <c r="E38" s="949">
        <v>13280748.307594864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DH8733"/>
  <sheetViews>
    <sheetView view="pageBreakPreview" topLeftCell="B4" zoomScale="70" zoomScaleNormal="100" zoomScaleSheetLayoutView="70" workbookViewId="0">
      <pane xSplit="1" topLeftCell="CL1" activePane="topRight" state="frozen"/>
      <selection activeCell="B4" sqref="B4"/>
      <selection pane="topRight" activeCell="CY5" sqref="CY5"/>
    </sheetView>
  </sheetViews>
  <sheetFormatPr defaultRowHeight="12.75"/>
  <cols>
    <col min="1" max="1" width="2.85546875" style="561" hidden="1" customWidth="1"/>
    <col min="2" max="2" width="68.5703125" style="561" customWidth="1"/>
    <col min="3" max="3" width="7.7109375" style="561" customWidth="1"/>
    <col min="4" max="4" width="14.7109375" style="561" hidden="1" customWidth="1"/>
    <col min="5" max="5" width="12.7109375" style="561" hidden="1" customWidth="1"/>
    <col min="6" max="6" width="12.140625" style="561" hidden="1" customWidth="1"/>
    <col min="7" max="7" width="11" style="561" hidden="1" customWidth="1"/>
    <col min="8" max="8" width="12.140625" style="561" hidden="1" customWidth="1"/>
    <col min="9" max="9" width="8" style="561" hidden="1" customWidth="1"/>
    <col min="10" max="10" width="10.42578125" style="561" hidden="1" customWidth="1"/>
    <col min="11" max="11" width="9.28515625" style="561" hidden="1" customWidth="1"/>
    <col min="12" max="12" width="11.85546875" style="561" hidden="1" customWidth="1"/>
    <col min="13" max="13" width="12" style="561" hidden="1" customWidth="1"/>
    <col min="14" max="14" width="11" style="561" hidden="1" customWidth="1"/>
    <col min="15" max="15" width="8.28515625" style="561" hidden="1" customWidth="1"/>
    <col min="16" max="16" width="17.140625" style="561" customWidth="1"/>
    <col min="17" max="17" width="11" style="561" hidden="1" customWidth="1"/>
    <col min="18" max="18" width="9.140625" style="561" hidden="1" customWidth="1"/>
    <col min="19" max="20" width="9" style="561" hidden="1" customWidth="1"/>
    <col min="21" max="21" width="11.85546875" style="561" hidden="1" customWidth="1"/>
    <col min="22" max="22" width="10.140625" style="561" hidden="1" customWidth="1"/>
    <col min="23" max="23" width="12.85546875" style="561" hidden="1" customWidth="1"/>
    <col min="24" max="24" width="7.5703125" style="561" hidden="1" customWidth="1"/>
    <col min="25" max="25" width="10.5703125" style="561" hidden="1" customWidth="1"/>
    <col min="26" max="26" width="9.5703125" style="561" hidden="1" customWidth="1"/>
    <col min="27" max="27" width="11.7109375" style="561" hidden="1" customWidth="1"/>
    <col min="28" max="28" width="11.85546875" style="561" hidden="1" customWidth="1"/>
    <col min="29" max="29" width="11.28515625" style="561" hidden="1" customWidth="1"/>
    <col min="30" max="30" width="11.5703125" style="561" hidden="1" customWidth="1"/>
    <col min="31" max="31" width="13.28515625" style="561" hidden="1" customWidth="1"/>
    <col min="32" max="32" width="12.42578125" style="561" hidden="1" customWidth="1"/>
    <col min="33" max="33" width="10.85546875" style="561" hidden="1" customWidth="1"/>
    <col min="34" max="34" width="10" style="561" hidden="1" customWidth="1"/>
    <col min="35" max="36" width="15.140625" style="561" customWidth="1"/>
    <col min="37" max="37" width="9.140625" style="561"/>
    <col min="38" max="38" width="24.28515625" style="561" customWidth="1"/>
    <col min="39" max="39" width="23.85546875" style="561" customWidth="1"/>
    <col min="40" max="41" width="18.140625" style="561" customWidth="1"/>
    <col min="42" max="43" width="9.140625" style="561" customWidth="1"/>
    <col min="44" max="44" width="30.5703125" style="561" customWidth="1"/>
    <col min="45" max="45" width="16.85546875" style="561" customWidth="1"/>
    <col min="46" max="46" width="17.85546875" style="561" customWidth="1"/>
    <col min="47" max="47" width="18.7109375" style="561" customWidth="1"/>
    <col min="48" max="49" width="9.140625" style="561" customWidth="1"/>
    <col min="50" max="50" width="19.5703125" style="561" customWidth="1"/>
    <col min="51" max="51" width="17.42578125" style="561" customWidth="1"/>
    <col min="52" max="52" width="9.140625" style="561" customWidth="1"/>
    <col min="53" max="53" width="15" style="561" customWidth="1"/>
    <col min="54" max="54" width="18.7109375" style="561" customWidth="1"/>
    <col min="55" max="55" width="16.85546875" style="561" customWidth="1"/>
    <col min="56" max="56" width="18.28515625" style="561" bestFit="1" customWidth="1"/>
    <col min="57" max="64" width="9.140625" style="561"/>
    <col min="65" max="65" width="16.140625" style="561" customWidth="1"/>
    <col min="66" max="71" width="9.140625" style="561"/>
    <col min="72" max="72" width="15" style="561" bestFit="1" customWidth="1"/>
    <col min="73" max="75" width="9.140625" style="561"/>
    <col min="76" max="76" width="15" style="561" bestFit="1" customWidth="1"/>
    <col min="77" max="77" width="38.5703125" style="561" bestFit="1" customWidth="1"/>
    <col min="78" max="78" width="22" style="561" bestFit="1" customWidth="1"/>
    <col min="79" max="79" width="18.28515625" style="561" bestFit="1" customWidth="1"/>
    <col min="80" max="80" width="16.7109375" style="561" customWidth="1"/>
    <col min="81" max="82" width="9.140625" style="561"/>
    <col min="83" max="83" width="18.7109375" style="561" customWidth="1"/>
    <col min="84" max="105" width="9.140625" style="561"/>
    <col min="106" max="106" width="22.7109375" style="561" customWidth="1"/>
    <col min="107" max="111" width="9.140625" style="561"/>
    <col min="112" max="112" width="17.42578125" style="561" bestFit="1" customWidth="1"/>
    <col min="113" max="256" width="9.140625" style="561"/>
    <col min="257" max="257" width="2.85546875" style="561" customWidth="1"/>
    <col min="258" max="258" width="49.5703125" style="561" customWidth="1"/>
    <col min="259" max="259" width="8.42578125" style="561" customWidth="1"/>
    <col min="260" max="271" width="0" style="561" hidden="1" customWidth="1"/>
    <col min="272" max="272" width="15.28515625" style="561" customWidth="1"/>
    <col min="273" max="290" width="0" style="561" hidden="1" customWidth="1"/>
    <col min="291" max="291" width="0.42578125" style="561" customWidth="1"/>
    <col min="292" max="293" width="9.140625" style="561"/>
    <col min="294" max="294" width="24.28515625" style="561" customWidth="1"/>
    <col min="295" max="295" width="9.140625" style="561"/>
    <col min="296" max="296" width="18.140625" style="561" bestFit="1" customWidth="1"/>
    <col min="297" max="297" width="18.140625" style="561" customWidth="1"/>
    <col min="298" max="299" width="9.140625" style="561"/>
    <col min="300" max="300" width="30.5703125" style="561" bestFit="1" customWidth="1"/>
    <col min="301" max="301" width="16.85546875" style="561" customWidth="1"/>
    <col min="302" max="302" width="15" style="561" bestFit="1" customWidth="1"/>
    <col min="303" max="305" width="9.140625" style="561"/>
    <col min="306" max="306" width="16.85546875" style="561" bestFit="1" customWidth="1"/>
    <col min="307" max="307" width="17.42578125" style="561" bestFit="1" customWidth="1"/>
    <col min="308" max="308" width="9.140625" style="561"/>
    <col min="309" max="309" width="15" style="561" bestFit="1" customWidth="1"/>
    <col min="310" max="310" width="18.7109375" style="561" bestFit="1" customWidth="1"/>
    <col min="311" max="311" width="16.85546875" style="561" bestFit="1" customWidth="1"/>
    <col min="312" max="312" width="18.28515625" style="561" bestFit="1" customWidth="1"/>
    <col min="313" max="327" width="9.140625" style="561"/>
    <col min="328" max="328" width="15" style="561" bestFit="1" customWidth="1"/>
    <col min="329" max="331" width="9.140625" style="561"/>
    <col min="332" max="332" width="15" style="561" bestFit="1" customWidth="1"/>
    <col min="333" max="333" width="38.5703125" style="561" bestFit="1" customWidth="1"/>
    <col min="334" max="334" width="22" style="561" bestFit="1" customWidth="1"/>
    <col min="335" max="335" width="18.28515625" style="561" bestFit="1" customWidth="1"/>
    <col min="336" max="338" width="9.140625" style="561"/>
    <col min="339" max="339" width="18.7109375" style="561" customWidth="1"/>
    <col min="340" max="361" width="9.140625" style="561"/>
    <col min="362" max="362" width="10.85546875" style="561" customWidth="1"/>
    <col min="363" max="512" width="9.140625" style="561"/>
    <col min="513" max="513" width="2.85546875" style="561" customWidth="1"/>
    <col min="514" max="514" width="49.5703125" style="561" customWidth="1"/>
    <col min="515" max="515" width="8.42578125" style="561" customWidth="1"/>
    <col min="516" max="527" width="0" style="561" hidden="1" customWidth="1"/>
    <col min="528" max="528" width="15.28515625" style="561" customWidth="1"/>
    <col min="529" max="546" width="0" style="561" hidden="1" customWidth="1"/>
    <col min="547" max="547" width="0.42578125" style="561" customWidth="1"/>
    <col min="548" max="549" width="9.140625" style="561"/>
    <col min="550" max="550" width="24.28515625" style="561" customWidth="1"/>
    <col min="551" max="551" width="9.140625" style="561"/>
    <col min="552" max="552" width="18.140625" style="561" bestFit="1" customWidth="1"/>
    <col min="553" max="553" width="18.140625" style="561" customWidth="1"/>
    <col min="554" max="555" width="9.140625" style="561"/>
    <col min="556" max="556" width="30.5703125" style="561" bestFit="1" customWidth="1"/>
    <col min="557" max="557" width="16.85546875" style="561" customWidth="1"/>
    <col min="558" max="558" width="15" style="561" bestFit="1" customWidth="1"/>
    <col min="559" max="561" width="9.140625" style="561"/>
    <col min="562" max="562" width="16.85546875" style="561" bestFit="1" customWidth="1"/>
    <col min="563" max="563" width="17.42578125" style="561" bestFit="1" customWidth="1"/>
    <col min="564" max="564" width="9.140625" style="561"/>
    <col min="565" max="565" width="15" style="561" bestFit="1" customWidth="1"/>
    <col min="566" max="566" width="18.7109375" style="561" bestFit="1" customWidth="1"/>
    <col min="567" max="567" width="16.85546875" style="561" bestFit="1" customWidth="1"/>
    <col min="568" max="568" width="18.28515625" style="561" bestFit="1" customWidth="1"/>
    <col min="569" max="583" width="9.140625" style="561"/>
    <col min="584" max="584" width="15" style="561" bestFit="1" customWidth="1"/>
    <col min="585" max="587" width="9.140625" style="561"/>
    <col min="588" max="588" width="15" style="561" bestFit="1" customWidth="1"/>
    <col min="589" max="589" width="38.5703125" style="561" bestFit="1" customWidth="1"/>
    <col min="590" max="590" width="22" style="561" bestFit="1" customWidth="1"/>
    <col min="591" max="591" width="18.28515625" style="561" bestFit="1" customWidth="1"/>
    <col min="592" max="594" width="9.140625" style="561"/>
    <col min="595" max="595" width="18.7109375" style="561" customWidth="1"/>
    <col min="596" max="617" width="9.140625" style="561"/>
    <col min="618" max="618" width="10.85546875" style="561" customWidth="1"/>
    <col min="619" max="768" width="9.140625" style="561"/>
    <col min="769" max="769" width="2.85546875" style="561" customWidth="1"/>
    <col min="770" max="770" width="49.5703125" style="561" customWidth="1"/>
    <col min="771" max="771" width="8.42578125" style="561" customWidth="1"/>
    <col min="772" max="783" width="0" style="561" hidden="1" customWidth="1"/>
    <col min="784" max="784" width="15.28515625" style="561" customWidth="1"/>
    <col min="785" max="802" width="0" style="561" hidden="1" customWidth="1"/>
    <col min="803" max="803" width="0.42578125" style="561" customWidth="1"/>
    <col min="804" max="805" width="9.140625" style="561"/>
    <col min="806" max="806" width="24.28515625" style="561" customWidth="1"/>
    <col min="807" max="807" width="9.140625" style="561"/>
    <col min="808" max="808" width="18.140625" style="561" bestFit="1" customWidth="1"/>
    <col min="809" max="809" width="18.140625" style="561" customWidth="1"/>
    <col min="810" max="811" width="9.140625" style="561"/>
    <col min="812" max="812" width="30.5703125" style="561" bestFit="1" customWidth="1"/>
    <col min="813" max="813" width="16.85546875" style="561" customWidth="1"/>
    <col min="814" max="814" width="15" style="561" bestFit="1" customWidth="1"/>
    <col min="815" max="817" width="9.140625" style="561"/>
    <col min="818" max="818" width="16.85546875" style="561" bestFit="1" customWidth="1"/>
    <col min="819" max="819" width="17.42578125" style="561" bestFit="1" customWidth="1"/>
    <col min="820" max="820" width="9.140625" style="561"/>
    <col min="821" max="821" width="15" style="561" bestFit="1" customWidth="1"/>
    <col min="822" max="822" width="18.7109375" style="561" bestFit="1" customWidth="1"/>
    <col min="823" max="823" width="16.85546875" style="561" bestFit="1" customWidth="1"/>
    <col min="824" max="824" width="18.28515625" style="561" bestFit="1" customWidth="1"/>
    <col min="825" max="839" width="9.140625" style="561"/>
    <col min="840" max="840" width="15" style="561" bestFit="1" customWidth="1"/>
    <col min="841" max="843" width="9.140625" style="561"/>
    <col min="844" max="844" width="15" style="561" bestFit="1" customWidth="1"/>
    <col min="845" max="845" width="38.5703125" style="561" bestFit="1" customWidth="1"/>
    <col min="846" max="846" width="22" style="561" bestFit="1" customWidth="1"/>
    <col min="847" max="847" width="18.28515625" style="561" bestFit="1" customWidth="1"/>
    <col min="848" max="850" width="9.140625" style="561"/>
    <col min="851" max="851" width="18.7109375" style="561" customWidth="1"/>
    <col min="852" max="873" width="9.140625" style="561"/>
    <col min="874" max="874" width="10.85546875" style="561" customWidth="1"/>
    <col min="875" max="1024" width="9.140625" style="561"/>
    <col min="1025" max="1025" width="2.85546875" style="561" customWidth="1"/>
    <col min="1026" max="1026" width="49.5703125" style="561" customWidth="1"/>
    <col min="1027" max="1027" width="8.42578125" style="561" customWidth="1"/>
    <col min="1028" max="1039" width="0" style="561" hidden="1" customWidth="1"/>
    <col min="1040" max="1040" width="15.28515625" style="561" customWidth="1"/>
    <col min="1041" max="1058" width="0" style="561" hidden="1" customWidth="1"/>
    <col min="1059" max="1059" width="0.42578125" style="561" customWidth="1"/>
    <col min="1060" max="1061" width="9.140625" style="561"/>
    <col min="1062" max="1062" width="24.28515625" style="561" customWidth="1"/>
    <col min="1063" max="1063" width="9.140625" style="561"/>
    <col min="1064" max="1064" width="18.140625" style="561" bestFit="1" customWidth="1"/>
    <col min="1065" max="1065" width="18.140625" style="561" customWidth="1"/>
    <col min="1066" max="1067" width="9.140625" style="561"/>
    <col min="1068" max="1068" width="30.5703125" style="561" bestFit="1" customWidth="1"/>
    <col min="1069" max="1069" width="16.85546875" style="561" customWidth="1"/>
    <col min="1070" max="1070" width="15" style="561" bestFit="1" customWidth="1"/>
    <col min="1071" max="1073" width="9.140625" style="561"/>
    <col min="1074" max="1074" width="16.85546875" style="561" bestFit="1" customWidth="1"/>
    <col min="1075" max="1075" width="17.42578125" style="561" bestFit="1" customWidth="1"/>
    <col min="1076" max="1076" width="9.140625" style="561"/>
    <col min="1077" max="1077" width="15" style="561" bestFit="1" customWidth="1"/>
    <col min="1078" max="1078" width="18.7109375" style="561" bestFit="1" customWidth="1"/>
    <col min="1079" max="1079" width="16.85546875" style="561" bestFit="1" customWidth="1"/>
    <col min="1080" max="1080" width="18.28515625" style="561" bestFit="1" customWidth="1"/>
    <col min="1081" max="1095" width="9.140625" style="561"/>
    <col min="1096" max="1096" width="15" style="561" bestFit="1" customWidth="1"/>
    <col min="1097" max="1099" width="9.140625" style="561"/>
    <col min="1100" max="1100" width="15" style="561" bestFit="1" customWidth="1"/>
    <col min="1101" max="1101" width="38.5703125" style="561" bestFit="1" customWidth="1"/>
    <col min="1102" max="1102" width="22" style="561" bestFit="1" customWidth="1"/>
    <col min="1103" max="1103" width="18.28515625" style="561" bestFit="1" customWidth="1"/>
    <col min="1104" max="1106" width="9.140625" style="561"/>
    <col min="1107" max="1107" width="18.7109375" style="561" customWidth="1"/>
    <col min="1108" max="1129" width="9.140625" style="561"/>
    <col min="1130" max="1130" width="10.85546875" style="561" customWidth="1"/>
    <col min="1131" max="1280" width="9.140625" style="561"/>
    <col min="1281" max="1281" width="2.85546875" style="561" customWidth="1"/>
    <col min="1282" max="1282" width="49.5703125" style="561" customWidth="1"/>
    <col min="1283" max="1283" width="8.42578125" style="561" customWidth="1"/>
    <col min="1284" max="1295" width="0" style="561" hidden="1" customWidth="1"/>
    <col min="1296" max="1296" width="15.28515625" style="561" customWidth="1"/>
    <col min="1297" max="1314" width="0" style="561" hidden="1" customWidth="1"/>
    <col min="1315" max="1315" width="0.42578125" style="561" customWidth="1"/>
    <col min="1316" max="1317" width="9.140625" style="561"/>
    <col min="1318" max="1318" width="24.28515625" style="561" customWidth="1"/>
    <col min="1319" max="1319" width="9.140625" style="561"/>
    <col min="1320" max="1320" width="18.140625" style="561" bestFit="1" customWidth="1"/>
    <col min="1321" max="1321" width="18.140625" style="561" customWidth="1"/>
    <col min="1322" max="1323" width="9.140625" style="561"/>
    <col min="1324" max="1324" width="30.5703125" style="561" bestFit="1" customWidth="1"/>
    <col min="1325" max="1325" width="16.85546875" style="561" customWidth="1"/>
    <col min="1326" max="1326" width="15" style="561" bestFit="1" customWidth="1"/>
    <col min="1327" max="1329" width="9.140625" style="561"/>
    <col min="1330" max="1330" width="16.85546875" style="561" bestFit="1" customWidth="1"/>
    <col min="1331" max="1331" width="17.42578125" style="561" bestFit="1" customWidth="1"/>
    <col min="1332" max="1332" width="9.140625" style="561"/>
    <col min="1333" max="1333" width="15" style="561" bestFit="1" customWidth="1"/>
    <col min="1334" max="1334" width="18.7109375" style="561" bestFit="1" customWidth="1"/>
    <col min="1335" max="1335" width="16.85546875" style="561" bestFit="1" customWidth="1"/>
    <col min="1336" max="1336" width="18.28515625" style="561" bestFit="1" customWidth="1"/>
    <col min="1337" max="1351" width="9.140625" style="561"/>
    <col min="1352" max="1352" width="15" style="561" bestFit="1" customWidth="1"/>
    <col min="1353" max="1355" width="9.140625" style="561"/>
    <col min="1356" max="1356" width="15" style="561" bestFit="1" customWidth="1"/>
    <col min="1357" max="1357" width="38.5703125" style="561" bestFit="1" customWidth="1"/>
    <col min="1358" max="1358" width="22" style="561" bestFit="1" customWidth="1"/>
    <col min="1359" max="1359" width="18.28515625" style="561" bestFit="1" customWidth="1"/>
    <col min="1360" max="1362" width="9.140625" style="561"/>
    <col min="1363" max="1363" width="18.7109375" style="561" customWidth="1"/>
    <col min="1364" max="1385" width="9.140625" style="561"/>
    <col min="1386" max="1386" width="10.85546875" style="561" customWidth="1"/>
    <col min="1387" max="1536" width="9.140625" style="561"/>
    <col min="1537" max="1537" width="2.85546875" style="561" customWidth="1"/>
    <col min="1538" max="1538" width="49.5703125" style="561" customWidth="1"/>
    <col min="1539" max="1539" width="8.42578125" style="561" customWidth="1"/>
    <col min="1540" max="1551" width="0" style="561" hidden="1" customWidth="1"/>
    <col min="1552" max="1552" width="15.28515625" style="561" customWidth="1"/>
    <col min="1553" max="1570" width="0" style="561" hidden="1" customWidth="1"/>
    <col min="1571" max="1571" width="0.42578125" style="561" customWidth="1"/>
    <col min="1572" max="1573" width="9.140625" style="561"/>
    <col min="1574" max="1574" width="24.28515625" style="561" customWidth="1"/>
    <col min="1575" max="1575" width="9.140625" style="561"/>
    <col min="1576" max="1576" width="18.140625" style="561" bestFit="1" customWidth="1"/>
    <col min="1577" max="1577" width="18.140625" style="561" customWidth="1"/>
    <col min="1578" max="1579" width="9.140625" style="561"/>
    <col min="1580" max="1580" width="30.5703125" style="561" bestFit="1" customWidth="1"/>
    <col min="1581" max="1581" width="16.85546875" style="561" customWidth="1"/>
    <col min="1582" max="1582" width="15" style="561" bestFit="1" customWidth="1"/>
    <col min="1583" max="1585" width="9.140625" style="561"/>
    <col min="1586" max="1586" width="16.85546875" style="561" bestFit="1" customWidth="1"/>
    <col min="1587" max="1587" width="17.42578125" style="561" bestFit="1" customWidth="1"/>
    <col min="1588" max="1588" width="9.140625" style="561"/>
    <col min="1589" max="1589" width="15" style="561" bestFit="1" customWidth="1"/>
    <col min="1590" max="1590" width="18.7109375" style="561" bestFit="1" customWidth="1"/>
    <col min="1591" max="1591" width="16.85546875" style="561" bestFit="1" customWidth="1"/>
    <col min="1592" max="1592" width="18.28515625" style="561" bestFit="1" customWidth="1"/>
    <col min="1593" max="1607" width="9.140625" style="561"/>
    <col min="1608" max="1608" width="15" style="561" bestFit="1" customWidth="1"/>
    <col min="1609" max="1611" width="9.140625" style="561"/>
    <col min="1612" max="1612" width="15" style="561" bestFit="1" customWidth="1"/>
    <col min="1613" max="1613" width="38.5703125" style="561" bestFit="1" customWidth="1"/>
    <col min="1614" max="1614" width="22" style="561" bestFit="1" customWidth="1"/>
    <col min="1615" max="1615" width="18.28515625" style="561" bestFit="1" customWidth="1"/>
    <col min="1616" max="1618" width="9.140625" style="561"/>
    <col min="1619" max="1619" width="18.7109375" style="561" customWidth="1"/>
    <col min="1620" max="1641" width="9.140625" style="561"/>
    <col min="1642" max="1642" width="10.85546875" style="561" customWidth="1"/>
    <col min="1643" max="1792" width="9.140625" style="561"/>
    <col min="1793" max="1793" width="2.85546875" style="561" customWidth="1"/>
    <col min="1794" max="1794" width="49.5703125" style="561" customWidth="1"/>
    <col min="1795" max="1795" width="8.42578125" style="561" customWidth="1"/>
    <col min="1796" max="1807" width="0" style="561" hidden="1" customWidth="1"/>
    <col min="1808" max="1808" width="15.28515625" style="561" customWidth="1"/>
    <col min="1809" max="1826" width="0" style="561" hidden="1" customWidth="1"/>
    <col min="1827" max="1827" width="0.42578125" style="561" customWidth="1"/>
    <col min="1828" max="1829" width="9.140625" style="561"/>
    <col min="1830" max="1830" width="24.28515625" style="561" customWidth="1"/>
    <col min="1831" max="1831" width="9.140625" style="561"/>
    <col min="1832" max="1832" width="18.140625" style="561" bestFit="1" customWidth="1"/>
    <col min="1833" max="1833" width="18.140625" style="561" customWidth="1"/>
    <col min="1834" max="1835" width="9.140625" style="561"/>
    <col min="1836" max="1836" width="30.5703125" style="561" bestFit="1" customWidth="1"/>
    <col min="1837" max="1837" width="16.85546875" style="561" customWidth="1"/>
    <col min="1838" max="1838" width="15" style="561" bestFit="1" customWidth="1"/>
    <col min="1839" max="1841" width="9.140625" style="561"/>
    <col min="1842" max="1842" width="16.85546875" style="561" bestFit="1" customWidth="1"/>
    <col min="1843" max="1843" width="17.42578125" style="561" bestFit="1" customWidth="1"/>
    <col min="1844" max="1844" width="9.140625" style="561"/>
    <col min="1845" max="1845" width="15" style="561" bestFit="1" customWidth="1"/>
    <col min="1846" max="1846" width="18.7109375" style="561" bestFit="1" customWidth="1"/>
    <col min="1847" max="1847" width="16.85546875" style="561" bestFit="1" customWidth="1"/>
    <col min="1848" max="1848" width="18.28515625" style="561" bestFit="1" customWidth="1"/>
    <col min="1849" max="1863" width="9.140625" style="561"/>
    <col min="1864" max="1864" width="15" style="561" bestFit="1" customWidth="1"/>
    <col min="1865" max="1867" width="9.140625" style="561"/>
    <col min="1868" max="1868" width="15" style="561" bestFit="1" customWidth="1"/>
    <col min="1869" max="1869" width="38.5703125" style="561" bestFit="1" customWidth="1"/>
    <col min="1870" max="1870" width="22" style="561" bestFit="1" customWidth="1"/>
    <col min="1871" max="1871" width="18.28515625" style="561" bestFit="1" customWidth="1"/>
    <col min="1872" max="1874" width="9.140625" style="561"/>
    <col min="1875" max="1875" width="18.7109375" style="561" customWidth="1"/>
    <col min="1876" max="1897" width="9.140625" style="561"/>
    <col min="1898" max="1898" width="10.85546875" style="561" customWidth="1"/>
    <col min="1899" max="2048" width="9.140625" style="561"/>
    <col min="2049" max="2049" width="2.85546875" style="561" customWidth="1"/>
    <col min="2050" max="2050" width="49.5703125" style="561" customWidth="1"/>
    <col min="2051" max="2051" width="8.42578125" style="561" customWidth="1"/>
    <col min="2052" max="2063" width="0" style="561" hidden="1" customWidth="1"/>
    <col min="2064" max="2064" width="15.28515625" style="561" customWidth="1"/>
    <col min="2065" max="2082" width="0" style="561" hidden="1" customWidth="1"/>
    <col min="2083" max="2083" width="0.42578125" style="561" customWidth="1"/>
    <col min="2084" max="2085" width="9.140625" style="561"/>
    <col min="2086" max="2086" width="24.28515625" style="561" customWidth="1"/>
    <col min="2087" max="2087" width="9.140625" style="561"/>
    <col min="2088" max="2088" width="18.140625" style="561" bestFit="1" customWidth="1"/>
    <col min="2089" max="2089" width="18.140625" style="561" customWidth="1"/>
    <col min="2090" max="2091" width="9.140625" style="561"/>
    <col min="2092" max="2092" width="30.5703125" style="561" bestFit="1" customWidth="1"/>
    <col min="2093" max="2093" width="16.85546875" style="561" customWidth="1"/>
    <col min="2094" max="2094" width="15" style="561" bestFit="1" customWidth="1"/>
    <col min="2095" max="2097" width="9.140625" style="561"/>
    <col min="2098" max="2098" width="16.85546875" style="561" bestFit="1" customWidth="1"/>
    <col min="2099" max="2099" width="17.42578125" style="561" bestFit="1" customWidth="1"/>
    <col min="2100" max="2100" width="9.140625" style="561"/>
    <col min="2101" max="2101" width="15" style="561" bestFit="1" customWidth="1"/>
    <col min="2102" max="2102" width="18.7109375" style="561" bestFit="1" customWidth="1"/>
    <col min="2103" max="2103" width="16.85546875" style="561" bestFit="1" customWidth="1"/>
    <col min="2104" max="2104" width="18.28515625" style="561" bestFit="1" customWidth="1"/>
    <col min="2105" max="2119" width="9.140625" style="561"/>
    <col min="2120" max="2120" width="15" style="561" bestFit="1" customWidth="1"/>
    <col min="2121" max="2123" width="9.140625" style="561"/>
    <col min="2124" max="2124" width="15" style="561" bestFit="1" customWidth="1"/>
    <col min="2125" max="2125" width="38.5703125" style="561" bestFit="1" customWidth="1"/>
    <col min="2126" max="2126" width="22" style="561" bestFit="1" customWidth="1"/>
    <col min="2127" max="2127" width="18.28515625" style="561" bestFit="1" customWidth="1"/>
    <col min="2128" max="2130" width="9.140625" style="561"/>
    <col min="2131" max="2131" width="18.7109375" style="561" customWidth="1"/>
    <col min="2132" max="2153" width="9.140625" style="561"/>
    <col min="2154" max="2154" width="10.85546875" style="561" customWidth="1"/>
    <col min="2155" max="2304" width="9.140625" style="561"/>
    <col min="2305" max="2305" width="2.85546875" style="561" customWidth="1"/>
    <col min="2306" max="2306" width="49.5703125" style="561" customWidth="1"/>
    <col min="2307" max="2307" width="8.42578125" style="561" customWidth="1"/>
    <col min="2308" max="2319" width="0" style="561" hidden="1" customWidth="1"/>
    <col min="2320" max="2320" width="15.28515625" style="561" customWidth="1"/>
    <col min="2321" max="2338" width="0" style="561" hidden="1" customWidth="1"/>
    <col min="2339" max="2339" width="0.42578125" style="561" customWidth="1"/>
    <col min="2340" max="2341" width="9.140625" style="561"/>
    <col min="2342" max="2342" width="24.28515625" style="561" customWidth="1"/>
    <col min="2343" max="2343" width="9.140625" style="561"/>
    <col min="2344" max="2344" width="18.140625" style="561" bestFit="1" customWidth="1"/>
    <col min="2345" max="2345" width="18.140625" style="561" customWidth="1"/>
    <col min="2346" max="2347" width="9.140625" style="561"/>
    <col min="2348" max="2348" width="30.5703125" style="561" bestFit="1" customWidth="1"/>
    <col min="2349" max="2349" width="16.85546875" style="561" customWidth="1"/>
    <col min="2350" max="2350" width="15" style="561" bestFit="1" customWidth="1"/>
    <col min="2351" max="2353" width="9.140625" style="561"/>
    <col min="2354" max="2354" width="16.85546875" style="561" bestFit="1" customWidth="1"/>
    <col min="2355" max="2355" width="17.42578125" style="561" bestFit="1" customWidth="1"/>
    <col min="2356" max="2356" width="9.140625" style="561"/>
    <col min="2357" max="2357" width="15" style="561" bestFit="1" customWidth="1"/>
    <col min="2358" max="2358" width="18.7109375" style="561" bestFit="1" customWidth="1"/>
    <col min="2359" max="2359" width="16.85546875" style="561" bestFit="1" customWidth="1"/>
    <col min="2360" max="2360" width="18.28515625" style="561" bestFit="1" customWidth="1"/>
    <col min="2361" max="2375" width="9.140625" style="561"/>
    <col min="2376" max="2376" width="15" style="561" bestFit="1" customWidth="1"/>
    <col min="2377" max="2379" width="9.140625" style="561"/>
    <col min="2380" max="2380" width="15" style="561" bestFit="1" customWidth="1"/>
    <col min="2381" max="2381" width="38.5703125" style="561" bestFit="1" customWidth="1"/>
    <col min="2382" max="2382" width="22" style="561" bestFit="1" customWidth="1"/>
    <col min="2383" max="2383" width="18.28515625" style="561" bestFit="1" customWidth="1"/>
    <col min="2384" max="2386" width="9.140625" style="561"/>
    <col min="2387" max="2387" width="18.7109375" style="561" customWidth="1"/>
    <col min="2388" max="2409" width="9.140625" style="561"/>
    <col min="2410" max="2410" width="10.85546875" style="561" customWidth="1"/>
    <col min="2411" max="2560" width="9.140625" style="561"/>
    <col min="2561" max="2561" width="2.85546875" style="561" customWidth="1"/>
    <col min="2562" max="2562" width="49.5703125" style="561" customWidth="1"/>
    <col min="2563" max="2563" width="8.42578125" style="561" customWidth="1"/>
    <col min="2564" max="2575" width="0" style="561" hidden="1" customWidth="1"/>
    <col min="2576" max="2576" width="15.28515625" style="561" customWidth="1"/>
    <col min="2577" max="2594" width="0" style="561" hidden="1" customWidth="1"/>
    <col min="2595" max="2595" width="0.42578125" style="561" customWidth="1"/>
    <col min="2596" max="2597" width="9.140625" style="561"/>
    <col min="2598" max="2598" width="24.28515625" style="561" customWidth="1"/>
    <col min="2599" max="2599" width="9.140625" style="561"/>
    <col min="2600" max="2600" width="18.140625" style="561" bestFit="1" customWidth="1"/>
    <col min="2601" max="2601" width="18.140625" style="561" customWidth="1"/>
    <col min="2602" max="2603" width="9.140625" style="561"/>
    <col min="2604" max="2604" width="30.5703125" style="561" bestFit="1" customWidth="1"/>
    <col min="2605" max="2605" width="16.85546875" style="561" customWidth="1"/>
    <col min="2606" max="2606" width="15" style="561" bestFit="1" customWidth="1"/>
    <col min="2607" max="2609" width="9.140625" style="561"/>
    <col min="2610" max="2610" width="16.85546875" style="561" bestFit="1" customWidth="1"/>
    <col min="2611" max="2611" width="17.42578125" style="561" bestFit="1" customWidth="1"/>
    <col min="2612" max="2612" width="9.140625" style="561"/>
    <col min="2613" max="2613" width="15" style="561" bestFit="1" customWidth="1"/>
    <col min="2614" max="2614" width="18.7109375" style="561" bestFit="1" customWidth="1"/>
    <col min="2615" max="2615" width="16.85546875" style="561" bestFit="1" customWidth="1"/>
    <col min="2616" max="2616" width="18.28515625" style="561" bestFit="1" customWidth="1"/>
    <col min="2617" max="2631" width="9.140625" style="561"/>
    <col min="2632" max="2632" width="15" style="561" bestFit="1" customWidth="1"/>
    <col min="2633" max="2635" width="9.140625" style="561"/>
    <col min="2636" max="2636" width="15" style="561" bestFit="1" customWidth="1"/>
    <col min="2637" max="2637" width="38.5703125" style="561" bestFit="1" customWidth="1"/>
    <col min="2638" max="2638" width="22" style="561" bestFit="1" customWidth="1"/>
    <col min="2639" max="2639" width="18.28515625" style="561" bestFit="1" customWidth="1"/>
    <col min="2640" max="2642" width="9.140625" style="561"/>
    <col min="2643" max="2643" width="18.7109375" style="561" customWidth="1"/>
    <col min="2644" max="2665" width="9.140625" style="561"/>
    <col min="2666" max="2666" width="10.85546875" style="561" customWidth="1"/>
    <col min="2667" max="2816" width="9.140625" style="561"/>
    <col min="2817" max="2817" width="2.85546875" style="561" customWidth="1"/>
    <col min="2818" max="2818" width="49.5703125" style="561" customWidth="1"/>
    <col min="2819" max="2819" width="8.42578125" style="561" customWidth="1"/>
    <col min="2820" max="2831" width="0" style="561" hidden="1" customWidth="1"/>
    <col min="2832" max="2832" width="15.28515625" style="561" customWidth="1"/>
    <col min="2833" max="2850" width="0" style="561" hidden="1" customWidth="1"/>
    <col min="2851" max="2851" width="0.42578125" style="561" customWidth="1"/>
    <col min="2852" max="2853" width="9.140625" style="561"/>
    <col min="2854" max="2854" width="24.28515625" style="561" customWidth="1"/>
    <col min="2855" max="2855" width="9.140625" style="561"/>
    <col min="2856" max="2856" width="18.140625" style="561" bestFit="1" customWidth="1"/>
    <col min="2857" max="2857" width="18.140625" style="561" customWidth="1"/>
    <col min="2858" max="2859" width="9.140625" style="561"/>
    <col min="2860" max="2860" width="30.5703125" style="561" bestFit="1" customWidth="1"/>
    <col min="2861" max="2861" width="16.85546875" style="561" customWidth="1"/>
    <col min="2862" max="2862" width="15" style="561" bestFit="1" customWidth="1"/>
    <col min="2863" max="2865" width="9.140625" style="561"/>
    <col min="2866" max="2866" width="16.85546875" style="561" bestFit="1" customWidth="1"/>
    <col min="2867" max="2867" width="17.42578125" style="561" bestFit="1" customWidth="1"/>
    <col min="2868" max="2868" width="9.140625" style="561"/>
    <col min="2869" max="2869" width="15" style="561" bestFit="1" customWidth="1"/>
    <col min="2870" max="2870" width="18.7109375" style="561" bestFit="1" customWidth="1"/>
    <col min="2871" max="2871" width="16.85546875" style="561" bestFit="1" customWidth="1"/>
    <col min="2872" max="2872" width="18.28515625" style="561" bestFit="1" customWidth="1"/>
    <col min="2873" max="2887" width="9.140625" style="561"/>
    <col min="2888" max="2888" width="15" style="561" bestFit="1" customWidth="1"/>
    <col min="2889" max="2891" width="9.140625" style="561"/>
    <col min="2892" max="2892" width="15" style="561" bestFit="1" customWidth="1"/>
    <col min="2893" max="2893" width="38.5703125" style="561" bestFit="1" customWidth="1"/>
    <col min="2894" max="2894" width="22" style="561" bestFit="1" customWidth="1"/>
    <col min="2895" max="2895" width="18.28515625" style="561" bestFit="1" customWidth="1"/>
    <col min="2896" max="2898" width="9.140625" style="561"/>
    <col min="2899" max="2899" width="18.7109375" style="561" customWidth="1"/>
    <col min="2900" max="2921" width="9.140625" style="561"/>
    <col min="2922" max="2922" width="10.85546875" style="561" customWidth="1"/>
    <col min="2923" max="3072" width="9.140625" style="561"/>
    <col min="3073" max="3073" width="2.85546875" style="561" customWidth="1"/>
    <col min="3074" max="3074" width="49.5703125" style="561" customWidth="1"/>
    <col min="3075" max="3075" width="8.42578125" style="561" customWidth="1"/>
    <col min="3076" max="3087" width="0" style="561" hidden="1" customWidth="1"/>
    <col min="3088" max="3088" width="15.28515625" style="561" customWidth="1"/>
    <col min="3089" max="3106" width="0" style="561" hidden="1" customWidth="1"/>
    <col min="3107" max="3107" width="0.42578125" style="561" customWidth="1"/>
    <col min="3108" max="3109" width="9.140625" style="561"/>
    <col min="3110" max="3110" width="24.28515625" style="561" customWidth="1"/>
    <col min="3111" max="3111" width="9.140625" style="561"/>
    <col min="3112" max="3112" width="18.140625" style="561" bestFit="1" customWidth="1"/>
    <col min="3113" max="3113" width="18.140625" style="561" customWidth="1"/>
    <col min="3114" max="3115" width="9.140625" style="561"/>
    <col min="3116" max="3116" width="30.5703125" style="561" bestFit="1" customWidth="1"/>
    <col min="3117" max="3117" width="16.85546875" style="561" customWidth="1"/>
    <col min="3118" max="3118" width="15" style="561" bestFit="1" customWidth="1"/>
    <col min="3119" max="3121" width="9.140625" style="561"/>
    <col min="3122" max="3122" width="16.85546875" style="561" bestFit="1" customWidth="1"/>
    <col min="3123" max="3123" width="17.42578125" style="561" bestFit="1" customWidth="1"/>
    <col min="3124" max="3124" width="9.140625" style="561"/>
    <col min="3125" max="3125" width="15" style="561" bestFit="1" customWidth="1"/>
    <col min="3126" max="3126" width="18.7109375" style="561" bestFit="1" customWidth="1"/>
    <col min="3127" max="3127" width="16.85546875" style="561" bestFit="1" customWidth="1"/>
    <col min="3128" max="3128" width="18.28515625" style="561" bestFit="1" customWidth="1"/>
    <col min="3129" max="3143" width="9.140625" style="561"/>
    <col min="3144" max="3144" width="15" style="561" bestFit="1" customWidth="1"/>
    <col min="3145" max="3147" width="9.140625" style="561"/>
    <col min="3148" max="3148" width="15" style="561" bestFit="1" customWidth="1"/>
    <col min="3149" max="3149" width="38.5703125" style="561" bestFit="1" customWidth="1"/>
    <col min="3150" max="3150" width="22" style="561" bestFit="1" customWidth="1"/>
    <col min="3151" max="3151" width="18.28515625" style="561" bestFit="1" customWidth="1"/>
    <col min="3152" max="3154" width="9.140625" style="561"/>
    <col min="3155" max="3155" width="18.7109375" style="561" customWidth="1"/>
    <col min="3156" max="3177" width="9.140625" style="561"/>
    <col min="3178" max="3178" width="10.85546875" style="561" customWidth="1"/>
    <col min="3179" max="3328" width="9.140625" style="561"/>
    <col min="3329" max="3329" width="2.85546875" style="561" customWidth="1"/>
    <col min="3330" max="3330" width="49.5703125" style="561" customWidth="1"/>
    <col min="3331" max="3331" width="8.42578125" style="561" customWidth="1"/>
    <col min="3332" max="3343" width="0" style="561" hidden="1" customWidth="1"/>
    <col min="3344" max="3344" width="15.28515625" style="561" customWidth="1"/>
    <col min="3345" max="3362" width="0" style="561" hidden="1" customWidth="1"/>
    <col min="3363" max="3363" width="0.42578125" style="561" customWidth="1"/>
    <col min="3364" max="3365" width="9.140625" style="561"/>
    <col min="3366" max="3366" width="24.28515625" style="561" customWidth="1"/>
    <col min="3367" max="3367" width="9.140625" style="561"/>
    <col min="3368" max="3368" width="18.140625" style="561" bestFit="1" customWidth="1"/>
    <col min="3369" max="3369" width="18.140625" style="561" customWidth="1"/>
    <col min="3370" max="3371" width="9.140625" style="561"/>
    <col min="3372" max="3372" width="30.5703125" style="561" bestFit="1" customWidth="1"/>
    <col min="3373" max="3373" width="16.85546875" style="561" customWidth="1"/>
    <col min="3374" max="3374" width="15" style="561" bestFit="1" customWidth="1"/>
    <col min="3375" max="3377" width="9.140625" style="561"/>
    <col min="3378" max="3378" width="16.85546875" style="561" bestFit="1" customWidth="1"/>
    <col min="3379" max="3379" width="17.42578125" style="561" bestFit="1" customWidth="1"/>
    <col min="3380" max="3380" width="9.140625" style="561"/>
    <col min="3381" max="3381" width="15" style="561" bestFit="1" customWidth="1"/>
    <col min="3382" max="3382" width="18.7109375" style="561" bestFit="1" customWidth="1"/>
    <col min="3383" max="3383" width="16.85546875" style="561" bestFit="1" customWidth="1"/>
    <col min="3384" max="3384" width="18.28515625" style="561" bestFit="1" customWidth="1"/>
    <col min="3385" max="3399" width="9.140625" style="561"/>
    <col min="3400" max="3400" width="15" style="561" bestFit="1" customWidth="1"/>
    <col min="3401" max="3403" width="9.140625" style="561"/>
    <col min="3404" max="3404" width="15" style="561" bestFit="1" customWidth="1"/>
    <col min="3405" max="3405" width="38.5703125" style="561" bestFit="1" customWidth="1"/>
    <col min="3406" max="3406" width="22" style="561" bestFit="1" customWidth="1"/>
    <col min="3407" max="3407" width="18.28515625" style="561" bestFit="1" customWidth="1"/>
    <col min="3408" max="3410" width="9.140625" style="561"/>
    <col min="3411" max="3411" width="18.7109375" style="561" customWidth="1"/>
    <col min="3412" max="3433" width="9.140625" style="561"/>
    <col min="3434" max="3434" width="10.85546875" style="561" customWidth="1"/>
    <col min="3435" max="3584" width="9.140625" style="561"/>
    <col min="3585" max="3585" width="2.85546875" style="561" customWidth="1"/>
    <col min="3586" max="3586" width="49.5703125" style="561" customWidth="1"/>
    <col min="3587" max="3587" width="8.42578125" style="561" customWidth="1"/>
    <col min="3588" max="3599" width="0" style="561" hidden="1" customWidth="1"/>
    <col min="3600" max="3600" width="15.28515625" style="561" customWidth="1"/>
    <col min="3601" max="3618" width="0" style="561" hidden="1" customWidth="1"/>
    <col min="3619" max="3619" width="0.42578125" style="561" customWidth="1"/>
    <col min="3620" max="3621" width="9.140625" style="561"/>
    <col min="3622" max="3622" width="24.28515625" style="561" customWidth="1"/>
    <col min="3623" max="3623" width="9.140625" style="561"/>
    <col min="3624" max="3624" width="18.140625" style="561" bestFit="1" customWidth="1"/>
    <col min="3625" max="3625" width="18.140625" style="561" customWidth="1"/>
    <col min="3626" max="3627" width="9.140625" style="561"/>
    <col min="3628" max="3628" width="30.5703125" style="561" bestFit="1" customWidth="1"/>
    <col min="3629" max="3629" width="16.85546875" style="561" customWidth="1"/>
    <col min="3630" max="3630" width="15" style="561" bestFit="1" customWidth="1"/>
    <col min="3631" max="3633" width="9.140625" style="561"/>
    <col min="3634" max="3634" width="16.85546875" style="561" bestFit="1" customWidth="1"/>
    <col min="3635" max="3635" width="17.42578125" style="561" bestFit="1" customWidth="1"/>
    <col min="3636" max="3636" width="9.140625" style="561"/>
    <col min="3637" max="3637" width="15" style="561" bestFit="1" customWidth="1"/>
    <col min="3638" max="3638" width="18.7109375" style="561" bestFit="1" customWidth="1"/>
    <col min="3639" max="3639" width="16.85546875" style="561" bestFit="1" customWidth="1"/>
    <col min="3640" max="3640" width="18.28515625" style="561" bestFit="1" customWidth="1"/>
    <col min="3641" max="3655" width="9.140625" style="561"/>
    <col min="3656" max="3656" width="15" style="561" bestFit="1" customWidth="1"/>
    <col min="3657" max="3659" width="9.140625" style="561"/>
    <col min="3660" max="3660" width="15" style="561" bestFit="1" customWidth="1"/>
    <col min="3661" max="3661" width="38.5703125" style="561" bestFit="1" customWidth="1"/>
    <col min="3662" max="3662" width="22" style="561" bestFit="1" customWidth="1"/>
    <col min="3663" max="3663" width="18.28515625" style="561" bestFit="1" customWidth="1"/>
    <col min="3664" max="3666" width="9.140625" style="561"/>
    <col min="3667" max="3667" width="18.7109375" style="561" customWidth="1"/>
    <col min="3668" max="3689" width="9.140625" style="561"/>
    <col min="3690" max="3690" width="10.85546875" style="561" customWidth="1"/>
    <col min="3691" max="3840" width="9.140625" style="561"/>
    <col min="3841" max="3841" width="2.85546875" style="561" customWidth="1"/>
    <col min="3842" max="3842" width="49.5703125" style="561" customWidth="1"/>
    <col min="3843" max="3843" width="8.42578125" style="561" customWidth="1"/>
    <col min="3844" max="3855" width="0" style="561" hidden="1" customWidth="1"/>
    <col min="3856" max="3856" width="15.28515625" style="561" customWidth="1"/>
    <col min="3857" max="3874" width="0" style="561" hidden="1" customWidth="1"/>
    <col min="3875" max="3875" width="0.42578125" style="561" customWidth="1"/>
    <col min="3876" max="3877" width="9.140625" style="561"/>
    <col min="3878" max="3878" width="24.28515625" style="561" customWidth="1"/>
    <col min="3879" max="3879" width="9.140625" style="561"/>
    <col min="3880" max="3880" width="18.140625" style="561" bestFit="1" customWidth="1"/>
    <col min="3881" max="3881" width="18.140625" style="561" customWidth="1"/>
    <col min="3882" max="3883" width="9.140625" style="561"/>
    <col min="3884" max="3884" width="30.5703125" style="561" bestFit="1" customWidth="1"/>
    <col min="3885" max="3885" width="16.85546875" style="561" customWidth="1"/>
    <col min="3886" max="3886" width="15" style="561" bestFit="1" customWidth="1"/>
    <col min="3887" max="3889" width="9.140625" style="561"/>
    <col min="3890" max="3890" width="16.85546875" style="561" bestFit="1" customWidth="1"/>
    <col min="3891" max="3891" width="17.42578125" style="561" bestFit="1" customWidth="1"/>
    <col min="3892" max="3892" width="9.140625" style="561"/>
    <col min="3893" max="3893" width="15" style="561" bestFit="1" customWidth="1"/>
    <col min="3894" max="3894" width="18.7109375" style="561" bestFit="1" customWidth="1"/>
    <col min="3895" max="3895" width="16.85546875" style="561" bestFit="1" customWidth="1"/>
    <col min="3896" max="3896" width="18.28515625" style="561" bestFit="1" customWidth="1"/>
    <col min="3897" max="3911" width="9.140625" style="561"/>
    <col min="3912" max="3912" width="15" style="561" bestFit="1" customWidth="1"/>
    <col min="3913" max="3915" width="9.140625" style="561"/>
    <col min="3916" max="3916" width="15" style="561" bestFit="1" customWidth="1"/>
    <col min="3917" max="3917" width="38.5703125" style="561" bestFit="1" customWidth="1"/>
    <col min="3918" max="3918" width="22" style="561" bestFit="1" customWidth="1"/>
    <col min="3919" max="3919" width="18.28515625" style="561" bestFit="1" customWidth="1"/>
    <col min="3920" max="3922" width="9.140625" style="561"/>
    <col min="3923" max="3923" width="18.7109375" style="561" customWidth="1"/>
    <col min="3924" max="3945" width="9.140625" style="561"/>
    <col min="3946" max="3946" width="10.85546875" style="561" customWidth="1"/>
    <col min="3947" max="4096" width="9.140625" style="561"/>
    <col min="4097" max="4097" width="2.85546875" style="561" customWidth="1"/>
    <col min="4098" max="4098" width="49.5703125" style="561" customWidth="1"/>
    <col min="4099" max="4099" width="8.42578125" style="561" customWidth="1"/>
    <col min="4100" max="4111" width="0" style="561" hidden="1" customWidth="1"/>
    <col min="4112" max="4112" width="15.28515625" style="561" customWidth="1"/>
    <col min="4113" max="4130" width="0" style="561" hidden="1" customWidth="1"/>
    <col min="4131" max="4131" width="0.42578125" style="561" customWidth="1"/>
    <col min="4132" max="4133" width="9.140625" style="561"/>
    <col min="4134" max="4134" width="24.28515625" style="561" customWidth="1"/>
    <col min="4135" max="4135" width="9.140625" style="561"/>
    <col min="4136" max="4136" width="18.140625" style="561" bestFit="1" customWidth="1"/>
    <col min="4137" max="4137" width="18.140625" style="561" customWidth="1"/>
    <col min="4138" max="4139" width="9.140625" style="561"/>
    <col min="4140" max="4140" width="30.5703125" style="561" bestFit="1" customWidth="1"/>
    <col min="4141" max="4141" width="16.85546875" style="561" customWidth="1"/>
    <col min="4142" max="4142" width="15" style="561" bestFit="1" customWidth="1"/>
    <col min="4143" max="4145" width="9.140625" style="561"/>
    <col min="4146" max="4146" width="16.85546875" style="561" bestFit="1" customWidth="1"/>
    <col min="4147" max="4147" width="17.42578125" style="561" bestFit="1" customWidth="1"/>
    <col min="4148" max="4148" width="9.140625" style="561"/>
    <col min="4149" max="4149" width="15" style="561" bestFit="1" customWidth="1"/>
    <col min="4150" max="4150" width="18.7109375" style="561" bestFit="1" customWidth="1"/>
    <col min="4151" max="4151" width="16.85546875" style="561" bestFit="1" customWidth="1"/>
    <col min="4152" max="4152" width="18.28515625" style="561" bestFit="1" customWidth="1"/>
    <col min="4153" max="4167" width="9.140625" style="561"/>
    <col min="4168" max="4168" width="15" style="561" bestFit="1" customWidth="1"/>
    <col min="4169" max="4171" width="9.140625" style="561"/>
    <col min="4172" max="4172" width="15" style="561" bestFit="1" customWidth="1"/>
    <col min="4173" max="4173" width="38.5703125" style="561" bestFit="1" customWidth="1"/>
    <col min="4174" max="4174" width="22" style="561" bestFit="1" customWidth="1"/>
    <col min="4175" max="4175" width="18.28515625" style="561" bestFit="1" customWidth="1"/>
    <col min="4176" max="4178" width="9.140625" style="561"/>
    <col min="4179" max="4179" width="18.7109375" style="561" customWidth="1"/>
    <col min="4180" max="4201" width="9.140625" style="561"/>
    <col min="4202" max="4202" width="10.85546875" style="561" customWidth="1"/>
    <col min="4203" max="4352" width="9.140625" style="561"/>
    <col min="4353" max="4353" width="2.85546875" style="561" customWidth="1"/>
    <col min="4354" max="4354" width="49.5703125" style="561" customWidth="1"/>
    <col min="4355" max="4355" width="8.42578125" style="561" customWidth="1"/>
    <col min="4356" max="4367" width="0" style="561" hidden="1" customWidth="1"/>
    <col min="4368" max="4368" width="15.28515625" style="561" customWidth="1"/>
    <col min="4369" max="4386" width="0" style="561" hidden="1" customWidth="1"/>
    <col min="4387" max="4387" width="0.42578125" style="561" customWidth="1"/>
    <col min="4388" max="4389" width="9.140625" style="561"/>
    <col min="4390" max="4390" width="24.28515625" style="561" customWidth="1"/>
    <col min="4391" max="4391" width="9.140625" style="561"/>
    <col min="4392" max="4392" width="18.140625" style="561" bestFit="1" customWidth="1"/>
    <col min="4393" max="4393" width="18.140625" style="561" customWidth="1"/>
    <col min="4394" max="4395" width="9.140625" style="561"/>
    <col min="4396" max="4396" width="30.5703125" style="561" bestFit="1" customWidth="1"/>
    <col min="4397" max="4397" width="16.85546875" style="561" customWidth="1"/>
    <col min="4398" max="4398" width="15" style="561" bestFit="1" customWidth="1"/>
    <col min="4399" max="4401" width="9.140625" style="561"/>
    <col min="4402" max="4402" width="16.85546875" style="561" bestFit="1" customWidth="1"/>
    <col min="4403" max="4403" width="17.42578125" style="561" bestFit="1" customWidth="1"/>
    <col min="4404" max="4404" width="9.140625" style="561"/>
    <col min="4405" max="4405" width="15" style="561" bestFit="1" customWidth="1"/>
    <col min="4406" max="4406" width="18.7109375" style="561" bestFit="1" customWidth="1"/>
    <col min="4407" max="4407" width="16.85546875" style="561" bestFit="1" customWidth="1"/>
    <col min="4408" max="4408" width="18.28515625" style="561" bestFit="1" customWidth="1"/>
    <col min="4409" max="4423" width="9.140625" style="561"/>
    <col min="4424" max="4424" width="15" style="561" bestFit="1" customWidth="1"/>
    <col min="4425" max="4427" width="9.140625" style="561"/>
    <col min="4428" max="4428" width="15" style="561" bestFit="1" customWidth="1"/>
    <col min="4429" max="4429" width="38.5703125" style="561" bestFit="1" customWidth="1"/>
    <col min="4430" max="4430" width="22" style="561" bestFit="1" customWidth="1"/>
    <col min="4431" max="4431" width="18.28515625" style="561" bestFit="1" customWidth="1"/>
    <col min="4432" max="4434" width="9.140625" style="561"/>
    <col min="4435" max="4435" width="18.7109375" style="561" customWidth="1"/>
    <col min="4436" max="4457" width="9.140625" style="561"/>
    <col min="4458" max="4458" width="10.85546875" style="561" customWidth="1"/>
    <col min="4459" max="4608" width="9.140625" style="561"/>
    <col min="4609" max="4609" width="2.85546875" style="561" customWidth="1"/>
    <col min="4610" max="4610" width="49.5703125" style="561" customWidth="1"/>
    <col min="4611" max="4611" width="8.42578125" style="561" customWidth="1"/>
    <col min="4612" max="4623" width="0" style="561" hidden="1" customWidth="1"/>
    <col min="4624" max="4624" width="15.28515625" style="561" customWidth="1"/>
    <col min="4625" max="4642" width="0" style="561" hidden="1" customWidth="1"/>
    <col min="4643" max="4643" width="0.42578125" style="561" customWidth="1"/>
    <col min="4644" max="4645" width="9.140625" style="561"/>
    <col min="4646" max="4646" width="24.28515625" style="561" customWidth="1"/>
    <col min="4647" max="4647" width="9.140625" style="561"/>
    <col min="4648" max="4648" width="18.140625" style="561" bestFit="1" customWidth="1"/>
    <col min="4649" max="4649" width="18.140625" style="561" customWidth="1"/>
    <col min="4650" max="4651" width="9.140625" style="561"/>
    <col min="4652" max="4652" width="30.5703125" style="561" bestFit="1" customWidth="1"/>
    <col min="4653" max="4653" width="16.85546875" style="561" customWidth="1"/>
    <col min="4654" max="4654" width="15" style="561" bestFit="1" customWidth="1"/>
    <col min="4655" max="4657" width="9.140625" style="561"/>
    <col min="4658" max="4658" width="16.85546875" style="561" bestFit="1" customWidth="1"/>
    <col min="4659" max="4659" width="17.42578125" style="561" bestFit="1" customWidth="1"/>
    <col min="4660" max="4660" width="9.140625" style="561"/>
    <col min="4661" max="4661" width="15" style="561" bestFit="1" customWidth="1"/>
    <col min="4662" max="4662" width="18.7109375" style="561" bestFit="1" customWidth="1"/>
    <col min="4663" max="4663" width="16.85546875" style="561" bestFit="1" customWidth="1"/>
    <col min="4664" max="4664" width="18.28515625" style="561" bestFit="1" customWidth="1"/>
    <col min="4665" max="4679" width="9.140625" style="561"/>
    <col min="4680" max="4680" width="15" style="561" bestFit="1" customWidth="1"/>
    <col min="4681" max="4683" width="9.140625" style="561"/>
    <col min="4684" max="4684" width="15" style="561" bestFit="1" customWidth="1"/>
    <col min="4685" max="4685" width="38.5703125" style="561" bestFit="1" customWidth="1"/>
    <col min="4686" max="4686" width="22" style="561" bestFit="1" customWidth="1"/>
    <col min="4687" max="4687" width="18.28515625" style="561" bestFit="1" customWidth="1"/>
    <col min="4688" max="4690" width="9.140625" style="561"/>
    <col min="4691" max="4691" width="18.7109375" style="561" customWidth="1"/>
    <col min="4692" max="4713" width="9.140625" style="561"/>
    <col min="4714" max="4714" width="10.85546875" style="561" customWidth="1"/>
    <col min="4715" max="4864" width="9.140625" style="561"/>
    <col min="4865" max="4865" width="2.85546875" style="561" customWidth="1"/>
    <col min="4866" max="4866" width="49.5703125" style="561" customWidth="1"/>
    <col min="4867" max="4867" width="8.42578125" style="561" customWidth="1"/>
    <col min="4868" max="4879" width="0" style="561" hidden="1" customWidth="1"/>
    <col min="4880" max="4880" width="15.28515625" style="561" customWidth="1"/>
    <col min="4881" max="4898" width="0" style="561" hidden="1" customWidth="1"/>
    <col min="4899" max="4899" width="0.42578125" style="561" customWidth="1"/>
    <col min="4900" max="4901" width="9.140625" style="561"/>
    <col min="4902" max="4902" width="24.28515625" style="561" customWidth="1"/>
    <col min="4903" max="4903" width="9.140625" style="561"/>
    <col min="4904" max="4904" width="18.140625" style="561" bestFit="1" customWidth="1"/>
    <col min="4905" max="4905" width="18.140625" style="561" customWidth="1"/>
    <col min="4906" max="4907" width="9.140625" style="561"/>
    <col min="4908" max="4908" width="30.5703125" style="561" bestFit="1" customWidth="1"/>
    <col min="4909" max="4909" width="16.85546875" style="561" customWidth="1"/>
    <col min="4910" max="4910" width="15" style="561" bestFit="1" customWidth="1"/>
    <col min="4911" max="4913" width="9.140625" style="561"/>
    <col min="4914" max="4914" width="16.85546875" style="561" bestFit="1" customWidth="1"/>
    <col min="4915" max="4915" width="17.42578125" style="561" bestFit="1" customWidth="1"/>
    <col min="4916" max="4916" width="9.140625" style="561"/>
    <col min="4917" max="4917" width="15" style="561" bestFit="1" customWidth="1"/>
    <col min="4918" max="4918" width="18.7109375" style="561" bestFit="1" customWidth="1"/>
    <col min="4919" max="4919" width="16.85546875" style="561" bestFit="1" customWidth="1"/>
    <col min="4920" max="4920" width="18.28515625" style="561" bestFit="1" customWidth="1"/>
    <col min="4921" max="4935" width="9.140625" style="561"/>
    <col min="4936" max="4936" width="15" style="561" bestFit="1" customWidth="1"/>
    <col min="4937" max="4939" width="9.140625" style="561"/>
    <col min="4940" max="4940" width="15" style="561" bestFit="1" customWidth="1"/>
    <col min="4941" max="4941" width="38.5703125" style="561" bestFit="1" customWidth="1"/>
    <col min="4942" max="4942" width="22" style="561" bestFit="1" customWidth="1"/>
    <col min="4943" max="4943" width="18.28515625" style="561" bestFit="1" customWidth="1"/>
    <col min="4944" max="4946" width="9.140625" style="561"/>
    <col min="4947" max="4947" width="18.7109375" style="561" customWidth="1"/>
    <col min="4948" max="4969" width="9.140625" style="561"/>
    <col min="4970" max="4970" width="10.85546875" style="561" customWidth="1"/>
    <col min="4971" max="5120" width="9.140625" style="561"/>
    <col min="5121" max="5121" width="2.85546875" style="561" customWidth="1"/>
    <col min="5122" max="5122" width="49.5703125" style="561" customWidth="1"/>
    <col min="5123" max="5123" width="8.42578125" style="561" customWidth="1"/>
    <col min="5124" max="5135" width="0" style="561" hidden="1" customWidth="1"/>
    <col min="5136" max="5136" width="15.28515625" style="561" customWidth="1"/>
    <col min="5137" max="5154" width="0" style="561" hidden="1" customWidth="1"/>
    <col min="5155" max="5155" width="0.42578125" style="561" customWidth="1"/>
    <col min="5156" max="5157" width="9.140625" style="561"/>
    <col min="5158" max="5158" width="24.28515625" style="561" customWidth="1"/>
    <col min="5159" max="5159" width="9.140625" style="561"/>
    <col min="5160" max="5160" width="18.140625" style="561" bestFit="1" customWidth="1"/>
    <col min="5161" max="5161" width="18.140625" style="561" customWidth="1"/>
    <col min="5162" max="5163" width="9.140625" style="561"/>
    <col min="5164" max="5164" width="30.5703125" style="561" bestFit="1" customWidth="1"/>
    <col min="5165" max="5165" width="16.85546875" style="561" customWidth="1"/>
    <col min="5166" max="5166" width="15" style="561" bestFit="1" customWidth="1"/>
    <col min="5167" max="5169" width="9.140625" style="561"/>
    <col min="5170" max="5170" width="16.85546875" style="561" bestFit="1" customWidth="1"/>
    <col min="5171" max="5171" width="17.42578125" style="561" bestFit="1" customWidth="1"/>
    <col min="5172" max="5172" width="9.140625" style="561"/>
    <col min="5173" max="5173" width="15" style="561" bestFit="1" customWidth="1"/>
    <col min="5174" max="5174" width="18.7109375" style="561" bestFit="1" customWidth="1"/>
    <col min="5175" max="5175" width="16.85546875" style="561" bestFit="1" customWidth="1"/>
    <col min="5176" max="5176" width="18.28515625" style="561" bestFit="1" customWidth="1"/>
    <col min="5177" max="5191" width="9.140625" style="561"/>
    <col min="5192" max="5192" width="15" style="561" bestFit="1" customWidth="1"/>
    <col min="5193" max="5195" width="9.140625" style="561"/>
    <col min="5196" max="5196" width="15" style="561" bestFit="1" customWidth="1"/>
    <col min="5197" max="5197" width="38.5703125" style="561" bestFit="1" customWidth="1"/>
    <col min="5198" max="5198" width="22" style="561" bestFit="1" customWidth="1"/>
    <col min="5199" max="5199" width="18.28515625" style="561" bestFit="1" customWidth="1"/>
    <col min="5200" max="5202" width="9.140625" style="561"/>
    <col min="5203" max="5203" width="18.7109375" style="561" customWidth="1"/>
    <col min="5204" max="5225" width="9.140625" style="561"/>
    <col min="5226" max="5226" width="10.85546875" style="561" customWidth="1"/>
    <col min="5227" max="5376" width="9.140625" style="561"/>
    <col min="5377" max="5377" width="2.85546875" style="561" customWidth="1"/>
    <col min="5378" max="5378" width="49.5703125" style="561" customWidth="1"/>
    <col min="5379" max="5379" width="8.42578125" style="561" customWidth="1"/>
    <col min="5380" max="5391" width="0" style="561" hidden="1" customWidth="1"/>
    <col min="5392" max="5392" width="15.28515625" style="561" customWidth="1"/>
    <col min="5393" max="5410" width="0" style="561" hidden="1" customWidth="1"/>
    <col min="5411" max="5411" width="0.42578125" style="561" customWidth="1"/>
    <col min="5412" max="5413" width="9.140625" style="561"/>
    <col min="5414" max="5414" width="24.28515625" style="561" customWidth="1"/>
    <col min="5415" max="5415" width="9.140625" style="561"/>
    <col min="5416" max="5416" width="18.140625" style="561" bestFit="1" customWidth="1"/>
    <col min="5417" max="5417" width="18.140625" style="561" customWidth="1"/>
    <col min="5418" max="5419" width="9.140625" style="561"/>
    <col min="5420" max="5420" width="30.5703125" style="561" bestFit="1" customWidth="1"/>
    <col min="5421" max="5421" width="16.85546875" style="561" customWidth="1"/>
    <col min="5422" max="5422" width="15" style="561" bestFit="1" customWidth="1"/>
    <col min="5423" max="5425" width="9.140625" style="561"/>
    <col min="5426" max="5426" width="16.85546875" style="561" bestFit="1" customWidth="1"/>
    <col min="5427" max="5427" width="17.42578125" style="561" bestFit="1" customWidth="1"/>
    <col min="5428" max="5428" width="9.140625" style="561"/>
    <col min="5429" max="5429" width="15" style="561" bestFit="1" customWidth="1"/>
    <col min="5430" max="5430" width="18.7109375" style="561" bestFit="1" customWidth="1"/>
    <col min="5431" max="5431" width="16.85546875" style="561" bestFit="1" customWidth="1"/>
    <col min="5432" max="5432" width="18.28515625" style="561" bestFit="1" customWidth="1"/>
    <col min="5433" max="5447" width="9.140625" style="561"/>
    <col min="5448" max="5448" width="15" style="561" bestFit="1" customWidth="1"/>
    <col min="5449" max="5451" width="9.140625" style="561"/>
    <col min="5452" max="5452" width="15" style="561" bestFit="1" customWidth="1"/>
    <col min="5453" max="5453" width="38.5703125" style="561" bestFit="1" customWidth="1"/>
    <col min="5454" max="5454" width="22" style="561" bestFit="1" customWidth="1"/>
    <col min="5455" max="5455" width="18.28515625" style="561" bestFit="1" customWidth="1"/>
    <col min="5456" max="5458" width="9.140625" style="561"/>
    <col min="5459" max="5459" width="18.7109375" style="561" customWidth="1"/>
    <col min="5460" max="5481" width="9.140625" style="561"/>
    <col min="5482" max="5482" width="10.85546875" style="561" customWidth="1"/>
    <col min="5483" max="5632" width="9.140625" style="561"/>
    <col min="5633" max="5633" width="2.85546875" style="561" customWidth="1"/>
    <col min="5634" max="5634" width="49.5703125" style="561" customWidth="1"/>
    <col min="5635" max="5635" width="8.42578125" style="561" customWidth="1"/>
    <col min="5636" max="5647" width="0" style="561" hidden="1" customWidth="1"/>
    <col min="5648" max="5648" width="15.28515625" style="561" customWidth="1"/>
    <col min="5649" max="5666" width="0" style="561" hidden="1" customWidth="1"/>
    <col min="5667" max="5667" width="0.42578125" style="561" customWidth="1"/>
    <col min="5668" max="5669" width="9.140625" style="561"/>
    <col min="5670" max="5670" width="24.28515625" style="561" customWidth="1"/>
    <col min="5671" max="5671" width="9.140625" style="561"/>
    <col min="5672" max="5672" width="18.140625" style="561" bestFit="1" customWidth="1"/>
    <col min="5673" max="5673" width="18.140625" style="561" customWidth="1"/>
    <col min="5674" max="5675" width="9.140625" style="561"/>
    <col min="5676" max="5676" width="30.5703125" style="561" bestFit="1" customWidth="1"/>
    <col min="5677" max="5677" width="16.85546875" style="561" customWidth="1"/>
    <col min="5678" max="5678" width="15" style="561" bestFit="1" customWidth="1"/>
    <col min="5679" max="5681" width="9.140625" style="561"/>
    <col min="5682" max="5682" width="16.85546875" style="561" bestFit="1" customWidth="1"/>
    <col min="5683" max="5683" width="17.42578125" style="561" bestFit="1" customWidth="1"/>
    <col min="5684" max="5684" width="9.140625" style="561"/>
    <col min="5685" max="5685" width="15" style="561" bestFit="1" customWidth="1"/>
    <col min="5686" max="5686" width="18.7109375" style="561" bestFit="1" customWidth="1"/>
    <col min="5687" max="5687" width="16.85546875" style="561" bestFit="1" customWidth="1"/>
    <col min="5688" max="5688" width="18.28515625" style="561" bestFit="1" customWidth="1"/>
    <col min="5689" max="5703" width="9.140625" style="561"/>
    <col min="5704" max="5704" width="15" style="561" bestFit="1" customWidth="1"/>
    <col min="5705" max="5707" width="9.140625" style="561"/>
    <col min="5708" max="5708" width="15" style="561" bestFit="1" customWidth="1"/>
    <col min="5709" max="5709" width="38.5703125" style="561" bestFit="1" customWidth="1"/>
    <col min="5710" max="5710" width="22" style="561" bestFit="1" customWidth="1"/>
    <col min="5711" max="5711" width="18.28515625" style="561" bestFit="1" customWidth="1"/>
    <col min="5712" max="5714" width="9.140625" style="561"/>
    <col min="5715" max="5715" width="18.7109375" style="561" customWidth="1"/>
    <col min="5716" max="5737" width="9.140625" style="561"/>
    <col min="5738" max="5738" width="10.85546875" style="561" customWidth="1"/>
    <col min="5739" max="5888" width="9.140625" style="561"/>
    <col min="5889" max="5889" width="2.85546875" style="561" customWidth="1"/>
    <col min="5890" max="5890" width="49.5703125" style="561" customWidth="1"/>
    <col min="5891" max="5891" width="8.42578125" style="561" customWidth="1"/>
    <col min="5892" max="5903" width="0" style="561" hidden="1" customWidth="1"/>
    <col min="5904" max="5904" width="15.28515625" style="561" customWidth="1"/>
    <col min="5905" max="5922" width="0" style="561" hidden="1" customWidth="1"/>
    <col min="5923" max="5923" width="0.42578125" style="561" customWidth="1"/>
    <col min="5924" max="5925" width="9.140625" style="561"/>
    <col min="5926" max="5926" width="24.28515625" style="561" customWidth="1"/>
    <col min="5927" max="5927" width="9.140625" style="561"/>
    <col min="5928" max="5928" width="18.140625" style="561" bestFit="1" customWidth="1"/>
    <col min="5929" max="5929" width="18.140625" style="561" customWidth="1"/>
    <col min="5930" max="5931" width="9.140625" style="561"/>
    <col min="5932" max="5932" width="30.5703125" style="561" bestFit="1" customWidth="1"/>
    <col min="5933" max="5933" width="16.85546875" style="561" customWidth="1"/>
    <col min="5934" max="5934" width="15" style="561" bestFit="1" customWidth="1"/>
    <col min="5935" max="5937" width="9.140625" style="561"/>
    <col min="5938" max="5938" width="16.85546875" style="561" bestFit="1" customWidth="1"/>
    <col min="5939" max="5939" width="17.42578125" style="561" bestFit="1" customWidth="1"/>
    <col min="5940" max="5940" width="9.140625" style="561"/>
    <col min="5941" max="5941" width="15" style="561" bestFit="1" customWidth="1"/>
    <col min="5942" max="5942" width="18.7109375" style="561" bestFit="1" customWidth="1"/>
    <col min="5943" max="5943" width="16.85546875" style="561" bestFit="1" customWidth="1"/>
    <col min="5944" max="5944" width="18.28515625" style="561" bestFit="1" customWidth="1"/>
    <col min="5945" max="5959" width="9.140625" style="561"/>
    <col min="5960" max="5960" width="15" style="561" bestFit="1" customWidth="1"/>
    <col min="5961" max="5963" width="9.140625" style="561"/>
    <col min="5964" max="5964" width="15" style="561" bestFit="1" customWidth="1"/>
    <col min="5965" max="5965" width="38.5703125" style="561" bestFit="1" customWidth="1"/>
    <col min="5966" max="5966" width="22" style="561" bestFit="1" customWidth="1"/>
    <col min="5967" max="5967" width="18.28515625" style="561" bestFit="1" customWidth="1"/>
    <col min="5968" max="5970" width="9.140625" style="561"/>
    <col min="5971" max="5971" width="18.7109375" style="561" customWidth="1"/>
    <col min="5972" max="5993" width="9.140625" style="561"/>
    <col min="5994" max="5994" width="10.85546875" style="561" customWidth="1"/>
    <col min="5995" max="6144" width="9.140625" style="561"/>
    <col min="6145" max="6145" width="2.85546875" style="561" customWidth="1"/>
    <col min="6146" max="6146" width="49.5703125" style="561" customWidth="1"/>
    <col min="6147" max="6147" width="8.42578125" style="561" customWidth="1"/>
    <col min="6148" max="6159" width="0" style="561" hidden="1" customWidth="1"/>
    <col min="6160" max="6160" width="15.28515625" style="561" customWidth="1"/>
    <col min="6161" max="6178" width="0" style="561" hidden="1" customWidth="1"/>
    <col min="6179" max="6179" width="0.42578125" style="561" customWidth="1"/>
    <col min="6180" max="6181" width="9.140625" style="561"/>
    <col min="6182" max="6182" width="24.28515625" style="561" customWidth="1"/>
    <col min="6183" max="6183" width="9.140625" style="561"/>
    <col min="6184" max="6184" width="18.140625" style="561" bestFit="1" customWidth="1"/>
    <col min="6185" max="6185" width="18.140625" style="561" customWidth="1"/>
    <col min="6186" max="6187" width="9.140625" style="561"/>
    <col min="6188" max="6188" width="30.5703125" style="561" bestFit="1" customWidth="1"/>
    <col min="6189" max="6189" width="16.85546875" style="561" customWidth="1"/>
    <col min="6190" max="6190" width="15" style="561" bestFit="1" customWidth="1"/>
    <col min="6191" max="6193" width="9.140625" style="561"/>
    <col min="6194" max="6194" width="16.85546875" style="561" bestFit="1" customWidth="1"/>
    <col min="6195" max="6195" width="17.42578125" style="561" bestFit="1" customWidth="1"/>
    <col min="6196" max="6196" width="9.140625" style="561"/>
    <col min="6197" max="6197" width="15" style="561" bestFit="1" customWidth="1"/>
    <col min="6198" max="6198" width="18.7109375" style="561" bestFit="1" customWidth="1"/>
    <col min="6199" max="6199" width="16.85546875" style="561" bestFit="1" customWidth="1"/>
    <col min="6200" max="6200" width="18.28515625" style="561" bestFit="1" customWidth="1"/>
    <col min="6201" max="6215" width="9.140625" style="561"/>
    <col min="6216" max="6216" width="15" style="561" bestFit="1" customWidth="1"/>
    <col min="6217" max="6219" width="9.140625" style="561"/>
    <col min="6220" max="6220" width="15" style="561" bestFit="1" customWidth="1"/>
    <col min="6221" max="6221" width="38.5703125" style="561" bestFit="1" customWidth="1"/>
    <col min="6222" max="6222" width="22" style="561" bestFit="1" customWidth="1"/>
    <col min="6223" max="6223" width="18.28515625" style="561" bestFit="1" customWidth="1"/>
    <col min="6224" max="6226" width="9.140625" style="561"/>
    <col min="6227" max="6227" width="18.7109375" style="561" customWidth="1"/>
    <col min="6228" max="6249" width="9.140625" style="561"/>
    <col min="6250" max="6250" width="10.85546875" style="561" customWidth="1"/>
    <col min="6251" max="6400" width="9.140625" style="561"/>
    <col min="6401" max="6401" width="2.85546875" style="561" customWidth="1"/>
    <col min="6402" max="6402" width="49.5703125" style="561" customWidth="1"/>
    <col min="6403" max="6403" width="8.42578125" style="561" customWidth="1"/>
    <col min="6404" max="6415" width="0" style="561" hidden="1" customWidth="1"/>
    <col min="6416" max="6416" width="15.28515625" style="561" customWidth="1"/>
    <col min="6417" max="6434" width="0" style="561" hidden="1" customWidth="1"/>
    <col min="6435" max="6435" width="0.42578125" style="561" customWidth="1"/>
    <col min="6436" max="6437" width="9.140625" style="561"/>
    <col min="6438" max="6438" width="24.28515625" style="561" customWidth="1"/>
    <col min="6439" max="6439" width="9.140625" style="561"/>
    <col min="6440" max="6440" width="18.140625" style="561" bestFit="1" customWidth="1"/>
    <col min="6441" max="6441" width="18.140625" style="561" customWidth="1"/>
    <col min="6442" max="6443" width="9.140625" style="561"/>
    <col min="6444" max="6444" width="30.5703125" style="561" bestFit="1" customWidth="1"/>
    <col min="6445" max="6445" width="16.85546875" style="561" customWidth="1"/>
    <col min="6446" max="6446" width="15" style="561" bestFit="1" customWidth="1"/>
    <col min="6447" max="6449" width="9.140625" style="561"/>
    <col min="6450" max="6450" width="16.85546875" style="561" bestFit="1" customWidth="1"/>
    <col min="6451" max="6451" width="17.42578125" style="561" bestFit="1" customWidth="1"/>
    <col min="6452" max="6452" width="9.140625" style="561"/>
    <col min="6453" max="6453" width="15" style="561" bestFit="1" customWidth="1"/>
    <col min="6454" max="6454" width="18.7109375" style="561" bestFit="1" customWidth="1"/>
    <col min="6455" max="6455" width="16.85546875" style="561" bestFit="1" customWidth="1"/>
    <col min="6456" max="6456" width="18.28515625" style="561" bestFit="1" customWidth="1"/>
    <col min="6457" max="6471" width="9.140625" style="561"/>
    <col min="6472" max="6472" width="15" style="561" bestFit="1" customWidth="1"/>
    <col min="6473" max="6475" width="9.140625" style="561"/>
    <col min="6476" max="6476" width="15" style="561" bestFit="1" customWidth="1"/>
    <col min="6477" max="6477" width="38.5703125" style="561" bestFit="1" customWidth="1"/>
    <col min="6478" max="6478" width="22" style="561" bestFit="1" customWidth="1"/>
    <col min="6479" max="6479" width="18.28515625" style="561" bestFit="1" customWidth="1"/>
    <col min="6480" max="6482" width="9.140625" style="561"/>
    <col min="6483" max="6483" width="18.7109375" style="561" customWidth="1"/>
    <col min="6484" max="6505" width="9.140625" style="561"/>
    <col min="6506" max="6506" width="10.85546875" style="561" customWidth="1"/>
    <col min="6507" max="6656" width="9.140625" style="561"/>
    <col min="6657" max="6657" width="2.85546875" style="561" customWidth="1"/>
    <col min="6658" max="6658" width="49.5703125" style="561" customWidth="1"/>
    <col min="6659" max="6659" width="8.42578125" style="561" customWidth="1"/>
    <col min="6660" max="6671" width="0" style="561" hidden="1" customWidth="1"/>
    <col min="6672" max="6672" width="15.28515625" style="561" customWidth="1"/>
    <col min="6673" max="6690" width="0" style="561" hidden="1" customWidth="1"/>
    <col min="6691" max="6691" width="0.42578125" style="561" customWidth="1"/>
    <col min="6692" max="6693" width="9.140625" style="561"/>
    <col min="6694" max="6694" width="24.28515625" style="561" customWidth="1"/>
    <col min="6695" max="6695" width="9.140625" style="561"/>
    <col min="6696" max="6696" width="18.140625" style="561" bestFit="1" customWidth="1"/>
    <col min="6697" max="6697" width="18.140625" style="561" customWidth="1"/>
    <col min="6698" max="6699" width="9.140625" style="561"/>
    <col min="6700" max="6700" width="30.5703125" style="561" bestFit="1" customWidth="1"/>
    <col min="6701" max="6701" width="16.85546875" style="561" customWidth="1"/>
    <col min="6702" max="6702" width="15" style="561" bestFit="1" customWidth="1"/>
    <col min="6703" max="6705" width="9.140625" style="561"/>
    <col min="6706" max="6706" width="16.85546875" style="561" bestFit="1" customWidth="1"/>
    <col min="6707" max="6707" width="17.42578125" style="561" bestFit="1" customWidth="1"/>
    <col min="6708" max="6708" width="9.140625" style="561"/>
    <col min="6709" max="6709" width="15" style="561" bestFit="1" customWidth="1"/>
    <col min="6710" max="6710" width="18.7109375" style="561" bestFit="1" customWidth="1"/>
    <col min="6711" max="6711" width="16.85546875" style="561" bestFit="1" customWidth="1"/>
    <col min="6712" max="6712" width="18.28515625" style="561" bestFit="1" customWidth="1"/>
    <col min="6713" max="6727" width="9.140625" style="561"/>
    <col min="6728" max="6728" width="15" style="561" bestFit="1" customWidth="1"/>
    <col min="6729" max="6731" width="9.140625" style="561"/>
    <col min="6732" max="6732" width="15" style="561" bestFit="1" customWidth="1"/>
    <col min="6733" max="6733" width="38.5703125" style="561" bestFit="1" customWidth="1"/>
    <col min="6734" max="6734" width="22" style="561" bestFit="1" customWidth="1"/>
    <col min="6735" max="6735" width="18.28515625" style="561" bestFit="1" customWidth="1"/>
    <col min="6736" max="6738" width="9.140625" style="561"/>
    <col min="6739" max="6739" width="18.7109375" style="561" customWidth="1"/>
    <col min="6740" max="6761" width="9.140625" style="561"/>
    <col min="6762" max="6762" width="10.85546875" style="561" customWidth="1"/>
    <col min="6763" max="6912" width="9.140625" style="561"/>
    <col min="6913" max="6913" width="2.85546875" style="561" customWidth="1"/>
    <col min="6914" max="6914" width="49.5703125" style="561" customWidth="1"/>
    <col min="6915" max="6915" width="8.42578125" style="561" customWidth="1"/>
    <col min="6916" max="6927" width="0" style="561" hidden="1" customWidth="1"/>
    <col min="6928" max="6928" width="15.28515625" style="561" customWidth="1"/>
    <col min="6929" max="6946" width="0" style="561" hidden="1" customWidth="1"/>
    <col min="6947" max="6947" width="0.42578125" style="561" customWidth="1"/>
    <col min="6948" max="6949" width="9.140625" style="561"/>
    <col min="6950" max="6950" width="24.28515625" style="561" customWidth="1"/>
    <col min="6951" max="6951" width="9.140625" style="561"/>
    <col min="6952" max="6952" width="18.140625" style="561" bestFit="1" customWidth="1"/>
    <col min="6953" max="6953" width="18.140625" style="561" customWidth="1"/>
    <col min="6954" max="6955" width="9.140625" style="561"/>
    <col min="6956" max="6956" width="30.5703125" style="561" bestFit="1" customWidth="1"/>
    <col min="6957" max="6957" width="16.85546875" style="561" customWidth="1"/>
    <col min="6958" max="6958" width="15" style="561" bestFit="1" customWidth="1"/>
    <col min="6959" max="6961" width="9.140625" style="561"/>
    <col min="6962" max="6962" width="16.85546875" style="561" bestFit="1" customWidth="1"/>
    <col min="6963" max="6963" width="17.42578125" style="561" bestFit="1" customWidth="1"/>
    <col min="6964" max="6964" width="9.140625" style="561"/>
    <col min="6965" max="6965" width="15" style="561" bestFit="1" customWidth="1"/>
    <col min="6966" max="6966" width="18.7109375" style="561" bestFit="1" customWidth="1"/>
    <col min="6967" max="6967" width="16.85546875" style="561" bestFit="1" customWidth="1"/>
    <col min="6968" max="6968" width="18.28515625" style="561" bestFit="1" customWidth="1"/>
    <col min="6969" max="6983" width="9.140625" style="561"/>
    <col min="6984" max="6984" width="15" style="561" bestFit="1" customWidth="1"/>
    <col min="6985" max="6987" width="9.140625" style="561"/>
    <col min="6988" max="6988" width="15" style="561" bestFit="1" customWidth="1"/>
    <col min="6989" max="6989" width="38.5703125" style="561" bestFit="1" customWidth="1"/>
    <col min="6990" max="6990" width="22" style="561" bestFit="1" customWidth="1"/>
    <col min="6991" max="6991" width="18.28515625" style="561" bestFit="1" customWidth="1"/>
    <col min="6992" max="6994" width="9.140625" style="561"/>
    <col min="6995" max="6995" width="18.7109375" style="561" customWidth="1"/>
    <col min="6996" max="7017" width="9.140625" style="561"/>
    <col min="7018" max="7018" width="10.85546875" style="561" customWidth="1"/>
    <col min="7019" max="7168" width="9.140625" style="561"/>
    <col min="7169" max="7169" width="2.85546875" style="561" customWidth="1"/>
    <col min="7170" max="7170" width="49.5703125" style="561" customWidth="1"/>
    <col min="7171" max="7171" width="8.42578125" style="561" customWidth="1"/>
    <col min="7172" max="7183" width="0" style="561" hidden="1" customWidth="1"/>
    <col min="7184" max="7184" width="15.28515625" style="561" customWidth="1"/>
    <col min="7185" max="7202" width="0" style="561" hidden="1" customWidth="1"/>
    <col min="7203" max="7203" width="0.42578125" style="561" customWidth="1"/>
    <col min="7204" max="7205" width="9.140625" style="561"/>
    <col min="7206" max="7206" width="24.28515625" style="561" customWidth="1"/>
    <col min="7207" max="7207" width="9.140625" style="561"/>
    <col min="7208" max="7208" width="18.140625" style="561" bestFit="1" customWidth="1"/>
    <col min="7209" max="7209" width="18.140625" style="561" customWidth="1"/>
    <col min="7210" max="7211" width="9.140625" style="561"/>
    <col min="7212" max="7212" width="30.5703125" style="561" bestFit="1" customWidth="1"/>
    <col min="7213" max="7213" width="16.85546875" style="561" customWidth="1"/>
    <col min="7214" max="7214" width="15" style="561" bestFit="1" customWidth="1"/>
    <col min="7215" max="7217" width="9.140625" style="561"/>
    <col min="7218" max="7218" width="16.85546875" style="561" bestFit="1" customWidth="1"/>
    <col min="7219" max="7219" width="17.42578125" style="561" bestFit="1" customWidth="1"/>
    <col min="7220" max="7220" width="9.140625" style="561"/>
    <col min="7221" max="7221" width="15" style="561" bestFit="1" customWidth="1"/>
    <col min="7222" max="7222" width="18.7109375" style="561" bestFit="1" customWidth="1"/>
    <col min="7223" max="7223" width="16.85546875" style="561" bestFit="1" customWidth="1"/>
    <col min="7224" max="7224" width="18.28515625" style="561" bestFit="1" customWidth="1"/>
    <col min="7225" max="7239" width="9.140625" style="561"/>
    <col min="7240" max="7240" width="15" style="561" bestFit="1" customWidth="1"/>
    <col min="7241" max="7243" width="9.140625" style="561"/>
    <col min="7244" max="7244" width="15" style="561" bestFit="1" customWidth="1"/>
    <col min="7245" max="7245" width="38.5703125" style="561" bestFit="1" customWidth="1"/>
    <col min="7246" max="7246" width="22" style="561" bestFit="1" customWidth="1"/>
    <col min="7247" max="7247" width="18.28515625" style="561" bestFit="1" customWidth="1"/>
    <col min="7248" max="7250" width="9.140625" style="561"/>
    <col min="7251" max="7251" width="18.7109375" style="561" customWidth="1"/>
    <col min="7252" max="7273" width="9.140625" style="561"/>
    <col min="7274" max="7274" width="10.85546875" style="561" customWidth="1"/>
    <col min="7275" max="7424" width="9.140625" style="561"/>
    <col min="7425" max="7425" width="2.85546875" style="561" customWidth="1"/>
    <col min="7426" max="7426" width="49.5703125" style="561" customWidth="1"/>
    <col min="7427" max="7427" width="8.42578125" style="561" customWidth="1"/>
    <col min="7428" max="7439" width="0" style="561" hidden="1" customWidth="1"/>
    <col min="7440" max="7440" width="15.28515625" style="561" customWidth="1"/>
    <col min="7441" max="7458" width="0" style="561" hidden="1" customWidth="1"/>
    <col min="7459" max="7459" width="0.42578125" style="561" customWidth="1"/>
    <col min="7460" max="7461" width="9.140625" style="561"/>
    <col min="7462" max="7462" width="24.28515625" style="561" customWidth="1"/>
    <col min="7463" max="7463" width="9.140625" style="561"/>
    <col min="7464" max="7464" width="18.140625" style="561" bestFit="1" customWidth="1"/>
    <col min="7465" max="7465" width="18.140625" style="561" customWidth="1"/>
    <col min="7466" max="7467" width="9.140625" style="561"/>
    <col min="7468" max="7468" width="30.5703125" style="561" bestFit="1" customWidth="1"/>
    <col min="7469" max="7469" width="16.85546875" style="561" customWidth="1"/>
    <col min="7470" max="7470" width="15" style="561" bestFit="1" customWidth="1"/>
    <col min="7471" max="7473" width="9.140625" style="561"/>
    <col min="7474" max="7474" width="16.85546875" style="561" bestFit="1" customWidth="1"/>
    <col min="7475" max="7475" width="17.42578125" style="561" bestFit="1" customWidth="1"/>
    <col min="7476" max="7476" width="9.140625" style="561"/>
    <col min="7477" max="7477" width="15" style="561" bestFit="1" customWidth="1"/>
    <col min="7478" max="7478" width="18.7109375" style="561" bestFit="1" customWidth="1"/>
    <col min="7479" max="7479" width="16.85546875" style="561" bestFit="1" customWidth="1"/>
    <col min="7480" max="7480" width="18.28515625" style="561" bestFit="1" customWidth="1"/>
    <col min="7481" max="7495" width="9.140625" style="561"/>
    <col min="7496" max="7496" width="15" style="561" bestFit="1" customWidth="1"/>
    <col min="7497" max="7499" width="9.140625" style="561"/>
    <col min="7500" max="7500" width="15" style="561" bestFit="1" customWidth="1"/>
    <col min="7501" max="7501" width="38.5703125" style="561" bestFit="1" customWidth="1"/>
    <col min="7502" max="7502" width="22" style="561" bestFit="1" customWidth="1"/>
    <col min="7503" max="7503" width="18.28515625" style="561" bestFit="1" customWidth="1"/>
    <col min="7504" max="7506" width="9.140625" style="561"/>
    <col min="7507" max="7507" width="18.7109375" style="561" customWidth="1"/>
    <col min="7508" max="7529" width="9.140625" style="561"/>
    <col min="7530" max="7530" width="10.85546875" style="561" customWidth="1"/>
    <col min="7531" max="7680" width="9.140625" style="561"/>
    <col min="7681" max="7681" width="2.85546875" style="561" customWidth="1"/>
    <col min="7682" max="7682" width="49.5703125" style="561" customWidth="1"/>
    <col min="7683" max="7683" width="8.42578125" style="561" customWidth="1"/>
    <col min="7684" max="7695" width="0" style="561" hidden="1" customWidth="1"/>
    <col min="7696" max="7696" width="15.28515625" style="561" customWidth="1"/>
    <col min="7697" max="7714" width="0" style="561" hidden="1" customWidth="1"/>
    <col min="7715" max="7715" width="0.42578125" style="561" customWidth="1"/>
    <col min="7716" max="7717" width="9.140625" style="561"/>
    <col min="7718" max="7718" width="24.28515625" style="561" customWidth="1"/>
    <col min="7719" max="7719" width="9.140625" style="561"/>
    <col min="7720" max="7720" width="18.140625" style="561" bestFit="1" customWidth="1"/>
    <col min="7721" max="7721" width="18.140625" style="561" customWidth="1"/>
    <col min="7722" max="7723" width="9.140625" style="561"/>
    <col min="7724" max="7724" width="30.5703125" style="561" bestFit="1" customWidth="1"/>
    <col min="7725" max="7725" width="16.85546875" style="561" customWidth="1"/>
    <col min="7726" max="7726" width="15" style="561" bestFit="1" customWidth="1"/>
    <col min="7727" max="7729" width="9.140625" style="561"/>
    <col min="7730" max="7730" width="16.85546875" style="561" bestFit="1" customWidth="1"/>
    <col min="7731" max="7731" width="17.42578125" style="561" bestFit="1" customWidth="1"/>
    <col min="7732" max="7732" width="9.140625" style="561"/>
    <col min="7733" max="7733" width="15" style="561" bestFit="1" customWidth="1"/>
    <col min="7734" max="7734" width="18.7109375" style="561" bestFit="1" customWidth="1"/>
    <col min="7735" max="7735" width="16.85546875" style="561" bestFit="1" customWidth="1"/>
    <col min="7736" max="7736" width="18.28515625" style="561" bestFit="1" customWidth="1"/>
    <col min="7737" max="7751" width="9.140625" style="561"/>
    <col min="7752" max="7752" width="15" style="561" bestFit="1" customWidth="1"/>
    <col min="7753" max="7755" width="9.140625" style="561"/>
    <col min="7756" max="7756" width="15" style="561" bestFit="1" customWidth="1"/>
    <col min="7757" max="7757" width="38.5703125" style="561" bestFit="1" customWidth="1"/>
    <col min="7758" max="7758" width="22" style="561" bestFit="1" customWidth="1"/>
    <col min="7759" max="7759" width="18.28515625" style="561" bestFit="1" customWidth="1"/>
    <col min="7760" max="7762" width="9.140625" style="561"/>
    <col min="7763" max="7763" width="18.7109375" style="561" customWidth="1"/>
    <col min="7764" max="7785" width="9.140625" style="561"/>
    <col min="7786" max="7786" width="10.85546875" style="561" customWidth="1"/>
    <col min="7787" max="7936" width="9.140625" style="561"/>
    <col min="7937" max="7937" width="2.85546875" style="561" customWidth="1"/>
    <col min="7938" max="7938" width="49.5703125" style="561" customWidth="1"/>
    <col min="7939" max="7939" width="8.42578125" style="561" customWidth="1"/>
    <col min="7940" max="7951" width="0" style="561" hidden="1" customWidth="1"/>
    <col min="7952" max="7952" width="15.28515625" style="561" customWidth="1"/>
    <col min="7953" max="7970" width="0" style="561" hidden="1" customWidth="1"/>
    <col min="7971" max="7971" width="0.42578125" style="561" customWidth="1"/>
    <col min="7972" max="7973" width="9.140625" style="561"/>
    <col min="7974" max="7974" width="24.28515625" style="561" customWidth="1"/>
    <col min="7975" max="7975" width="9.140625" style="561"/>
    <col min="7976" max="7976" width="18.140625" style="561" bestFit="1" customWidth="1"/>
    <col min="7977" max="7977" width="18.140625" style="561" customWidth="1"/>
    <col min="7978" max="7979" width="9.140625" style="561"/>
    <col min="7980" max="7980" width="30.5703125" style="561" bestFit="1" customWidth="1"/>
    <col min="7981" max="7981" width="16.85546875" style="561" customWidth="1"/>
    <col min="7982" max="7982" width="15" style="561" bestFit="1" customWidth="1"/>
    <col min="7983" max="7985" width="9.140625" style="561"/>
    <col min="7986" max="7986" width="16.85546875" style="561" bestFit="1" customWidth="1"/>
    <col min="7987" max="7987" width="17.42578125" style="561" bestFit="1" customWidth="1"/>
    <col min="7988" max="7988" width="9.140625" style="561"/>
    <col min="7989" max="7989" width="15" style="561" bestFit="1" customWidth="1"/>
    <col min="7990" max="7990" width="18.7109375" style="561" bestFit="1" customWidth="1"/>
    <col min="7991" max="7991" width="16.85546875" style="561" bestFit="1" customWidth="1"/>
    <col min="7992" max="7992" width="18.28515625" style="561" bestFit="1" customWidth="1"/>
    <col min="7993" max="8007" width="9.140625" style="561"/>
    <col min="8008" max="8008" width="15" style="561" bestFit="1" customWidth="1"/>
    <col min="8009" max="8011" width="9.140625" style="561"/>
    <col min="8012" max="8012" width="15" style="561" bestFit="1" customWidth="1"/>
    <col min="8013" max="8013" width="38.5703125" style="561" bestFit="1" customWidth="1"/>
    <col min="8014" max="8014" width="22" style="561" bestFit="1" customWidth="1"/>
    <col min="8015" max="8015" width="18.28515625" style="561" bestFit="1" customWidth="1"/>
    <col min="8016" max="8018" width="9.140625" style="561"/>
    <col min="8019" max="8019" width="18.7109375" style="561" customWidth="1"/>
    <col min="8020" max="8041" width="9.140625" style="561"/>
    <col min="8042" max="8042" width="10.85546875" style="561" customWidth="1"/>
    <col min="8043" max="8192" width="9.140625" style="561"/>
    <col min="8193" max="8193" width="2.85546875" style="561" customWidth="1"/>
    <col min="8194" max="8194" width="49.5703125" style="561" customWidth="1"/>
    <col min="8195" max="8195" width="8.42578125" style="561" customWidth="1"/>
    <col min="8196" max="8207" width="0" style="561" hidden="1" customWidth="1"/>
    <col min="8208" max="8208" width="15.28515625" style="561" customWidth="1"/>
    <col min="8209" max="8226" width="0" style="561" hidden="1" customWidth="1"/>
    <col min="8227" max="8227" width="0.42578125" style="561" customWidth="1"/>
    <col min="8228" max="8229" width="9.140625" style="561"/>
    <col min="8230" max="8230" width="24.28515625" style="561" customWidth="1"/>
    <col min="8231" max="8231" width="9.140625" style="561"/>
    <col min="8232" max="8232" width="18.140625" style="561" bestFit="1" customWidth="1"/>
    <col min="8233" max="8233" width="18.140625" style="561" customWidth="1"/>
    <col min="8234" max="8235" width="9.140625" style="561"/>
    <col min="8236" max="8236" width="30.5703125" style="561" bestFit="1" customWidth="1"/>
    <col min="8237" max="8237" width="16.85546875" style="561" customWidth="1"/>
    <col min="8238" max="8238" width="15" style="561" bestFit="1" customWidth="1"/>
    <col min="8239" max="8241" width="9.140625" style="561"/>
    <col min="8242" max="8242" width="16.85546875" style="561" bestFit="1" customWidth="1"/>
    <col min="8243" max="8243" width="17.42578125" style="561" bestFit="1" customWidth="1"/>
    <col min="8244" max="8244" width="9.140625" style="561"/>
    <col min="8245" max="8245" width="15" style="561" bestFit="1" customWidth="1"/>
    <col min="8246" max="8246" width="18.7109375" style="561" bestFit="1" customWidth="1"/>
    <col min="8247" max="8247" width="16.85546875" style="561" bestFit="1" customWidth="1"/>
    <col min="8248" max="8248" width="18.28515625" style="561" bestFit="1" customWidth="1"/>
    <col min="8249" max="8263" width="9.140625" style="561"/>
    <col min="8264" max="8264" width="15" style="561" bestFit="1" customWidth="1"/>
    <col min="8265" max="8267" width="9.140625" style="561"/>
    <col min="8268" max="8268" width="15" style="561" bestFit="1" customWidth="1"/>
    <col min="8269" max="8269" width="38.5703125" style="561" bestFit="1" customWidth="1"/>
    <col min="8270" max="8270" width="22" style="561" bestFit="1" customWidth="1"/>
    <col min="8271" max="8271" width="18.28515625" style="561" bestFit="1" customWidth="1"/>
    <col min="8272" max="8274" width="9.140625" style="561"/>
    <col min="8275" max="8275" width="18.7109375" style="561" customWidth="1"/>
    <col min="8276" max="8297" width="9.140625" style="561"/>
    <col min="8298" max="8298" width="10.85546875" style="561" customWidth="1"/>
    <col min="8299" max="8448" width="9.140625" style="561"/>
    <col min="8449" max="8449" width="2.85546875" style="561" customWidth="1"/>
    <col min="8450" max="8450" width="49.5703125" style="561" customWidth="1"/>
    <col min="8451" max="8451" width="8.42578125" style="561" customWidth="1"/>
    <col min="8452" max="8463" width="0" style="561" hidden="1" customWidth="1"/>
    <col min="8464" max="8464" width="15.28515625" style="561" customWidth="1"/>
    <col min="8465" max="8482" width="0" style="561" hidden="1" customWidth="1"/>
    <col min="8483" max="8483" width="0.42578125" style="561" customWidth="1"/>
    <col min="8484" max="8485" width="9.140625" style="561"/>
    <col min="8486" max="8486" width="24.28515625" style="561" customWidth="1"/>
    <col min="8487" max="8487" width="9.140625" style="561"/>
    <col min="8488" max="8488" width="18.140625" style="561" bestFit="1" customWidth="1"/>
    <col min="8489" max="8489" width="18.140625" style="561" customWidth="1"/>
    <col min="8490" max="8491" width="9.140625" style="561"/>
    <col min="8492" max="8492" width="30.5703125" style="561" bestFit="1" customWidth="1"/>
    <col min="8493" max="8493" width="16.85546875" style="561" customWidth="1"/>
    <col min="8494" max="8494" width="15" style="561" bestFit="1" customWidth="1"/>
    <col min="8495" max="8497" width="9.140625" style="561"/>
    <col min="8498" max="8498" width="16.85546875" style="561" bestFit="1" customWidth="1"/>
    <col min="8499" max="8499" width="17.42578125" style="561" bestFit="1" customWidth="1"/>
    <col min="8500" max="8500" width="9.140625" style="561"/>
    <col min="8501" max="8501" width="15" style="561" bestFit="1" customWidth="1"/>
    <col min="8502" max="8502" width="18.7109375" style="561" bestFit="1" customWidth="1"/>
    <col min="8503" max="8503" width="16.85546875" style="561" bestFit="1" customWidth="1"/>
    <col min="8504" max="8504" width="18.28515625" style="561" bestFit="1" customWidth="1"/>
    <col min="8505" max="8519" width="9.140625" style="561"/>
    <col min="8520" max="8520" width="15" style="561" bestFit="1" customWidth="1"/>
    <col min="8521" max="8523" width="9.140625" style="561"/>
    <col min="8524" max="8524" width="15" style="561" bestFit="1" customWidth="1"/>
    <col min="8525" max="8525" width="38.5703125" style="561" bestFit="1" customWidth="1"/>
    <col min="8526" max="8526" width="22" style="561" bestFit="1" customWidth="1"/>
    <col min="8527" max="8527" width="18.28515625" style="561" bestFit="1" customWidth="1"/>
    <col min="8528" max="8530" width="9.140625" style="561"/>
    <col min="8531" max="8531" width="18.7109375" style="561" customWidth="1"/>
    <col min="8532" max="8553" width="9.140625" style="561"/>
    <col min="8554" max="8554" width="10.85546875" style="561" customWidth="1"/>
    <col min="8555" max="8704" width="9.140625" style="561"/>
    <col min="8705" max="8705" width="2.85546875" style="561" customWidth="1"/>
    <col min="8706" max="8706" width="49.5703125" style="561" customWidth="1"/>
    <col min="8707" max="8707" width="8.42578125" style="561" customWidth="1"/>
    <col min="8708" max="8719" width="0" style="561" hidden="1" customWidth="1"/>
    <col min="8720" max="8720" width="15.28515625" style="561" customWidth="1"/>
    <col min="8721" max="8738" width="0" style="561" hidden="1" customWidth="1"/>
    <col min="8739" max="8739" width="0.42578125" style="561" customWidth="1"/>
    <col min="8740" max="8741" width="9.140625" style="561"/>
    <col min="8742" max="8742" width="24.28515625" style="561" customWidth="1"/>
    <col min="8743" max="8743" width="9.140625" style="561"/>
    <col min="8744" max="8744" width="18.140625" style="561" bestFit="1" customWidth="1"/>
    <col min="8745" max="8745" width="18.140625" style="561" customWidth="1"/>
    <col min="8746" max="8747" width="9.140625" style="561"/>
    <col min="8748" max="8748" width="30.5703125" style="561" bestFit="1" customWidth="1"/>
    <col min="8749" max="8749" width="16.85546875" style="561" customWidth="1"/>
    <col min="8750" max="8750" width="15" style="561" bestFit="1" customWidth="1"/>
    <col min="8751" max="8753" width="9.140625" style="561"/>
    <col min="8754" max="8754" width="16.85546875" style="561" bestFit="1" customWidth="1"/>
    <col min="8755" max="8755" width="17.42578125" style="561" bestFit="1" customWidth="1"/>
    <col min="8756" max="8756" width="9.140625" style="561"/>
    <col min="8757" max="8757" width="15" style="561" bestFit="1" customWidth="1"/>
    <col min="8758" max="8758" width="18.7109375" style="561" bestFit="1" customWidth="1"/>
    <col min="8759" max="8759" width="16.85546875" style="561" bestFit="1" customWidth="1"/>
    <col min="8760" max="8760" width="18.28515625" style="561" bestFit="1" customWidth="1"/>
    <col min="8761" max="8775" width="9.140625" style="561"/>
    <col min="8776" max="8776" width="15" style="561" bestFit="1" customWidth="1"/>
    <col min="8777" max="8779" width="9.140625" style="561"/>
    <col min="8780" max="8780" width="15" style="561" bestFit="1" customWidth="1"/>
    <col min="8781" max="8781" width="38.5703125" style="561" bestFit="1" customWidth="1"/>
    <col min="8782" max="8782" width="22" style="561" bestFit="1" customWidth="1"/>
    <col min="8783" max="8783" width="18.28515625" style="561" bestFit="1" customWidth="1"/>
    <col min="8784" max="8786" width="9.140625" style="561"/>
    <col min="8787" max="8787" width="18.7109375" style="561" customWidth="1"/>
    <col min="8788" max="8809" width="9.140625" style="561"/>
    <col min="8810" max="8810" width="10.85546875" style="561" customWidth="1"/>
    <col min="8811" max="8960" width="9.140625" style="561"/>
    <col min="8961" max="8961" width="2.85546875" style="561" customWidth="1"/>
    <col min="8962" max="8962" width="49.5703125" style="561" customWidth="1"/>
    <col min="8963" max="8963" width="8.42578125" style="561" customWidth="1"/>
    <col min="8964" max="8975" width="0" style="561" hidden="1" customWidth="1"/>
    <col min="8976" max="8976" width="15.28515625" style="561" customWidth="1"/>
    <col min="8977" max="8994" width="0" style="561" hidden="1" customWidth="1"/>
    <col min="8995" max="8995" width="0.42578125" style="561" customWidth="1"/>
    <col min="8996" max="8997" width="9.140625" style="561"/>
    <col min="8998" max="8998" width="24.28515625" style="561" customWidth="1"/>
    <col min="8999" max="8999" width="9.140625" style="561"/>
    <col min="9000" max="9000" width="18.140625" style="561" bestFit="1" customWidth="1"/>
    <col min="9001" max="9001" width="18.140625" style="561" customWidth="1"/>
    <col min="9002" max="9003" width="9.140625" style="561"/>
    <col min="9004" max="9004" width="30.5703125" style="561" bestFit="1" customWidth="1"/>
    <col min="9005" max="9005" width="16.85546875" style="561" customWidth="1"/>
    <col min="9006" max="9006" width="15" style="561" bestFit="1" customWidth="1"/>
    <col min="9007" max="9009" width="9.140625" style="561"/>
    <col min="9010" max="9010" width="16.85546875" style="561" bestFit="1" customWidth="1"/>
    <col min="9011" max="9011" width="17.42578125" style="561" bestFit="1" customWidth="1"/>
    <col min="9012" max="9012" width="9.140625" style="561"/>
    <col min="9013" max="9013" width="15" style="561" bestFit="1" customWidth="1"/>
    <col min="9014" max="9014" width="18.7109375" style="561" bestFit="1" customWidth="1"/>
    <col min="9015" max="9015" width="16.85546875" style="561" bestFit="1" customWidth="1"/>
    <col min="9016" max="9016" width="18.28515625" style="561" bestFit="1" customWidth="1"/>
    <col min="9017" max="9031" width="9.140625" style="561"/>
    <col min="9032" max="9032" width="15" style="561" bestFit="1" customWidth="1"/>
    <col min="9033" max="9035" width="9.140625" style="561"/>
    <col min="9036" max="9036" width="15" style="561" bestFit="1" customWidth="1"/>
    <col min="9037" max="9037" width="38.5703125" style="561" bestFit="1" customWidth="1"/>
    <col min="9038" max="9038" width="22" style="561" bestFit="1" customWidth="1"/>
    <col min="9039" max="9039" width="18.28515625" style="561" bestFit="1" customWidth="1"/>
    <col min="9040" max="9042" width="9.140625" style="561"/>
    <col min="9043" max="9043" width="18.7109375" style="561" customWidth="1"/>
    <col min="9044" max="9065" width="9.140625" style="561"/>
    <col min="9066" max="9066" width="10.85546875" style="561" customWidth="1"/>
    <col min="9067" max="9216" width="9.140625" style="561"/>
    <col min="9217" max="9217" width="2.85546875" style="561" customWidth="1"/>
    <col min="9218" max="9218" width="49.5703125" style="561" customWidth="1"/>
    <col min="9219" max="9219" width="8.42578125" style="561" customWidth="1"/>
    <col min="9220" max="9231" width="0" style="561" hidden="1" customWidth="1"/>
    <col min="9232" max="9232" width="15.28515625" style="561" customWidth="1"/>
    <col min="9233" max="9250" width="0" style="561" hidden="1" customWidth="1"/>
    <col min="9251" max="9251" width="0.42578125" style="561" customWidth="1"/>
    <col min="9252" max="9253" width="9.140625" style="561"/>
    <col min="9254" max="9254" width="24.28515625" style="561" customWidth="1"/>
    <col min="9255" max="9255" width="9.140625" style="561"/>
    <col min="9256" max="9256" width="18.140625" style="561" bestFit="1" customWidth="1"/>
    <col min="9257" max="9257" width="18.140625" style="561" customWidth="1"/>
    <col min="9258" max="9259" width="9.140625" style="561"/>
    <col min="9260" max="9260" width="30.5703125" style="561" bestFit="1" customWidth="1"/>
    <col min="9261" max="9261" width="16.85546875" style="561" customWidth="1"/>
    <col min="9262" max="9262" width="15" style="561" bestFit="1" customWidth="1"/>
    <col min="9263" max="9265" width="9.140625" style="561"/>
    <col min="9266" max="9266" width="16.85546875" style="561" bestFit="1" customWidth="1"/>
    <col min="9267" max="9267" width="17.42578125" style="561" bestFit="1" customWidth="1"/>
    <col min="9268" max="9268" width="9.140625" style="561"/>
    <col min="9269" max="9269" width="15" style="561" bestFit="1" customWidth="1"/>
    <col min="9270" max="9270" width="18.7109375" style="561" bestFit="1" customWidth="1"/>
    <col min="9271" max="9271" width="16.85546875" style="561" bestFit="1" customWidth="1"/>
    <col min="9272" max="9272" width="18.28515625" style="561" bestFit="1" customWidth="1"/>
    <col min="9273" max="9287" width="9.140625" style="561"/>
    <col min="9288" max="9288" width="15" style="561" bestFit="1" customWidth="1"/>
    <col min="9289" max="9291" width="9.140625" style="561"/>
    <col min="9292" max="9292" width="15" style="561" bestFit="1" customWidth="1"/>
    <col min="9293" max="9293" width="38.5703125" style="561" bestFit="1" customWidth="1"/>
    <col min="9294" max="9294" width="22" style="561" bestFit="1" customWidth="1"/>
    <col min="9295" max="9295" width="18.28515625" style="561" bestFit="1" customWidth="1"/>
    <col min="9296" max="9298" width="9.140625" style="561"/>
    <col min="9299" max="9299" width="18.7109375" style="561" customWidth="1"/>
    <col min="9300" max="9321" width="9.140625" style="561"/>
    <col min="9322" max="9322" width="10.85546875" style="561" customWidth="1"/>
    <col min="9323" max="9472" width="9.140625" style="561"/>
    <col min="9473" max="9473" width="2.85546875" style="561" customWidth="1"/>
    <col min="9474" max="9474" width="49.5703125" style="561" customWidth="1"/>
    <col min="9475" max="9475" width="8.42578125" style="561" customWidth="1"/>
    <col min="9476" max="9487" width="0" style="561" hidden="1" customWidth="1"/>
    <col min="9488" max="9488" width="15.28515625" style="561" customWidth="1"/>
    <col min="9489" max="9506" width="0" style="561" hidden="1" customWidth="1"/>
    <col min="9507" max="9507" width="0.42578125" style="561" customWidth="1"/>
    <col min="9508" max="9509" width="9.140625" style="561"/>
    <col min="9510" max="9510" width="24.28515625" style="561" customWidth="1"/>
    <col min="9511" max="9511" width="9.140625" style="561"/>
    <col min="9512" max="9512" width="18.140625" style="561" bestFit="1" customWidth="1"/>
    <col min="9513" max="9513" width="18.140625" style="561" customWidth="1"/>
    <col min="9514" max="9515" width="9.140625" style="561"/>
    <col min="9516" max="9516" width="30.5703125" style="561" bestFit="1" customWidth="1"/>
    <col min="9517" max="9517" width="16.85546875" style="561" customWidth="1"/>
    <col min="9518" max="9518" width="15" style="561" bestFit="1" customWidth="1"/>
    <col min="9519" max="9521" width="9.140625" style="561"/>
    <col min="9522" max="9522" width="16.85546875" style="561" bestFit="1" customWidth="1"/>
    <col min="9523" max="9523" width="17.42578125" style="561" bestFit="1" customWidth="1"/>
    <col min="9524" max="9524" width="9.140625" style="561"/>
    <col min="9525" max="9525" width="15" style="561" bestFit="1" customWidth="1"/>
    <col min="9526" max="9526" width="18.7109375" style="561" bestFit="1" customWidth="1"/>
    <col min="9527" max="9527" width="16.85546875" style="561" bestFit="1" customWidth="1"/>
    <col min="9528" max="9528" width="18.28515625" style="561" bestFit="1" customWidth="1"/>
    <col min="9529" max="9543" width="9.140625" style="561"/>
    <col min="9544" max="9544" width="15" style="561" bestFit="1" customWidth="1"/>
    <col min="9545" max="9547" width="9.140625" style="561"/>
    <col min="9548" max="9548" width="15" style="561" bestFit="1" customWidth="1"/>
    <col min="9549" max="9549" width="38.5703125" style="561" bestFit="1" customWidth="1"/>
    <col min="9550" max="9550" width="22" style="561" bestFit="1" customWidth="1"/>
    <col min="9551" max="9551" width="18.28515625" style="561" bestFit="1" customWidth="1"/>
    <col min="9552" max="9554" width="9.140625" style="561"/>
    <col min="9555" max="9555" width="18.7109375" style="561" customWidth="1"/>
    <col min="9556" max="9577" width="9.140625" style="561"/>
    <col min="9578" max="9578" width="10.85546875" style="561" customWidth="1"/>
    <col min="9579" max="9728" width="9.140625" style="561"/>
    <col min="9729" max="9729" width="2.85546875" style="561" customWidth="1"/>
    <col min="9730" max="9730" width="49.5703125" style="561" customWidth="1"/>
    <col min="9731" max="9731" width="8.42578125" style="561" customWidth="1"/>
    <col min="9732" max="9743" width="0" style="561" hidden="1" customWidth="1"/>
    <col min="9744" max="9744" width="15.28515625" style="561" customWidth="1"/>
    <col min="9745" max="9762" width="0" style="561" hidden="1" customWidth="1"/>
    <col min="9763" max="9763" width="0.42578125" style="561" customWidth="1"/>
    <col min="9764" max="9765" width="9.140625" style="561"/>
    <col min="9766" max="9766" width="24.28515625" style="561" customWidth="1"/>
    <col min="9767" max="9767" width="9.140625" style="561"/>
    <col min="9768" max="9768" width="18.140625" style="561" bestFit="1" customWidth="1"/>
    <col min="9769" max="9769" width="18.140625" style="561" customWidth="1"/>
    <col min="9770" max="9771" width="9.140625" style="561"/>
    <col min="9772" max="9772" width="30.5703125" style="561" bestFit="1" customWidth="1"/>
    <col min="9773" max="9773" width="16.85546875" style="561" customWidth="1"/>
    <col min="9774" max="9774" width="15" style="561" bestFit="1" customWidth="1"/>
    <col min="9775" max="9777" width="9.140625" style="561"/>
    <col min="9778" max="9778" width="16.85546875" style="561" bestFit="1" customWidth="1"/>
    <col min="9779" max="9779" width="17.42578125" style="561" bestFit="1" customWidth="1"/>
    <col min="9780" max="9780" width="9.140625" style="561"/>
    <col min="9781" max="9781" width="15" style="561" bestFit="1" customWidth="1"/>
    <col min="9782" max="9782" width="18.7109375" style="561" bestFit="1" customWidth="1"/>
    <col min="9783" max="9783" width="16.85546875" style="561" bestFit="1" customWidth="1"/>
    <col min="9784" max="9784" width="18.28515625" style="561" bestFit="1" customWidth="1"/>
    <col min="9785" max="9799" width="9.140625" style="561"/>
    <col min="9800" max="9800" width="15" style="561" bestFit="1" customWidth="1"/>
    <col min="9801" max="9803" width="9.140625" style="561"/>
    <col min="9804" max="9804" width="15" style="561" bestFit="1" customWidth="1"/>
    <col min="9805" max="9805" width="38.5703125" style="561" bestFit="1" customWidth="1"/>
    <col min="9806" max="9806" width="22" style="561" bestFit="1" customWidth="1"/>
    <col min="9807" max="9807" width="18.28515625" style="561" bestFit="1" customWidth="1"/>
    <col min="9808" max="9810" width="9.140625" style="561"/>
    <col min="9811" max="9811" width="18.7109375" style="561" customWidth="1"/>
    <col min="9812" max="9833" width="9.140625" style="561"/>
    <col min="9834" max="9834" width="10.85546875" style="561" customWidth="1"/>
    <col min="9835" max="9984" width="9.140625" style="561"/>
    <col min="9985" max="9985" width="2.85546875" style="561" customWidth="1"/>
    <col min="9986" max="9986" width="49.5703125" style="561" customWidth="1"/>
    <col min="9987" max="9987" width="8.42578125" style="561" customWidth="1"/>
    <col min="9988" max="9999" width="0" style="561" hidden="1" customWidth="1"/>
    <col min="10000" max="10000" width="15.28515625" style="561" customWidth="1"/>
    <col min="10001" max="10018" width="0" style="561" hidden="1" customWidth="1"/>
    <col min="10019" max="10019" width="0.42578125" style="561" customWidth="1"/>
    <col min="10020" max="10021" width="9.140625" style="561"/>
    <col min="10022" max="10022" width="24.28515625" style="561" customWidth="1"/>
    <col min="10023" max="10023" width="9.140625" style="561"/>
    <col min="10024" max="10024" width="18.140625" style="561" bestFit="1" customWidth="1"/>
    <col min="10025" max="10025" width="18.140625" style="561" customWidth="1"/>
    <col min="10026" max="10027" width="9.140625" style="561"/>
    <col min="10028" max="10028" width="30.5703125" style="561" bestFit="1" customWidth="1"/>
    <col min="10029" max="10029" width="16.85546875" style="561" customWidth="1"/>
    <col min="10030" max="10030" width="15" style="561" bestFit="1" customWidth="1"/>
    <col min="10031" max="10033" width="9.140625" style="561"/>
    <col min="10034" max="10034" width="16.85546875" style="561" bestFit="1" customWidth="1"/>
    <col min="10035" max="10035" width="17.42578125" style="561" bestFit="1" customWidth="1"/>
    <col min="10036" max="10036" width="9.140625" style="561"/>
    <col min="10037" max="10037" width="15" style="561" bestFit="1" customWidth="1"/>
    <col min="10038" max="10038" width="18.7109375" style="561" bestFit="1" customWidth="1"/>
    <col min="10039" max="10039" width="16.85546875" style="561" bestFit="1" customWidth="1"/>
    <col min="10040" max="10040" width="18.28515625" style="561" bestFit="1" customWidth="1"/>
    <col min="10041" max="10055" width="9.140625" style="561"/>
    <col min="10056" max="10056" width="15" style="561" bestFit="1" customWidth="1"/>
    <col min="10057" max="10059" width="9.140625" style="561"/>
    <col min="10060" max="10060" width="15" style="561" bestFit="1" customWidth="1"/>
    <col min="10061" max="10061" width="38.5703125" style="561" bestFit="1" customWidth="1"/>
    <col min="10062" max="10062" width="22" style="561" bestFit="1" customWidth="1"/>
    <col min="10063" max="10063" width="18.28515625" style="561" bestFit="1" customWidth="1"/>
    <col min="10064" max="10066" width="9.140625" style="561"/>
    <col min="10067" max="10067" width="18.7109375" style="561" customWidth="1"/>
    <col min="10068" max="10089" width="9.140625" style="561"/>
    <col min="10090" max="10090" width="10.85546875" style="561" customWidth="1"/>
    <col min="10091" max="10240" width="9.140625" style="561"/>
    <col min="10241" max="10241" width="2.85546875" style="561" customWidth="1"/>
    <col min="10242" max="10242" width="49.5703125" style="561" customWidth="1"/>
    <col min="10243" max="10243" width="8.42578125" style="561" customWidth="1"/>
    <col min="10244" max="10255" width="0" style="561" hidden="1" customWidth="1"/>
    <col min="10256" max="10256" width="15.28515625" style="561" customWidth="1"/>
    <col min="10257" max="10274" width="0" style="561" hidden="1" customWidth="1"/>
    <col min="10275" max="10275" width="0.42578125" style="561" customWidth="1"/>
    <col min="10276" max="10277" width="9.140625" style="561"/>
    <col min="10278" max="10278" width="24.28515625" style="561" customWidth="1"/>
    <col min="10279" max="10279" width="9.140625" style="561"/>
    <col min="10280" max="10280" width="18.140625" style="561" bestFit="1" customWidth="1"/>
    <col min="10281" max="10281" width="18.140625" style="561" customWidth="1"/>
    <col min="10282" max="10283" width="9.140625" style="561"/>
    <col min="10284" max="10284" width="30.5703125" style="561" bestFit="1" customWidth="1"/>
    <col min="10285" max="10285" width="16.85546875" style="561" customWidth="1"/>
    <col min="10286" max="10286" width="15" style="561" bestFit="1" customWidth="1"/>
    <col min="10287" max="10289" width="9.140625" style="561"/>
    <col min="10290" max="10290" width="16.85546875" style="561" bestFit="1" customWidth="1"/>
    <col min="10291" max="10291" width="17.42578125" style="561" bestFit="1" customWidth="1"/>
    <col min="10292" max="10292" width="9.140625" style="561"/>
    <col min="10293" max="10293" width="15" style="561" bestFit="1" customWidth="1"/>
    <col min="10294" max="10294" width="18.7109375" style="561" bestFit="1" customWidth="1"/>
    <col min="10295" max="10295" width="16.85546875" style="561" bestFit="1" customWidth="1"/>
    <col min="10296" max="10296" width="18.28515625" style="561" bestFit="1" customWidth="1"/>
    <col min="10297" max="10311" width="9.140625" style="561"/>
    <col min="10312" max="10312" width="15" style="561" bestFit="1" customWidth="1"/>
    <col min="10313" max="10315" width="9.140625" style="561"/>
    <col min="10316" max="10316" width="15" style="561" bestFit="1" customWidth="1"/>
    <col min="10317" max="10317" width="38.5703125" style="561" bestFit="1" customWidth="1"/>
    <col min="10318" max="10318" width="22" style="561" bestFit="1" customWidth="1"/>
    <col min="10319" max="10319" width="18.28515625" style="561" bestFit="1" customWidth="1"/>
    <col min="10320" max="10322" width="9.140625" style="561"/>
    <col min="10323" max="10323" width="18.7109375" style="561" customWidth="1"/>
    <col min="10324" max="10345" width="9.140625" style="561"/>
    <col min="10346" max="10346" width="10.85546875" style="561" customWidth="1"/>
    <col min="10347" max="10496" width="9.140625" style="561"/>
    <col min="10497" max="10497" width="2.85546875" style="561" customWidth="1"/>
    <col min="10498" max="10498" width="49.5703125" style="561" customWidth="1"/>
    <col min="10499" max="10499" width="8.42578125" style="561" customWidth="1"/>
    <col min="10500" max="10511" width="0" style="561" hidden="1" customWidth="1"/>
    <col min="10512" max="10512" width="15.28515625" style="561" customWidth="1"/>
    <col min="10513" max="10530" width="0" style="561" hidden="1" customWidth="1"/>
    <col min="10531" max="10531" width="0.42578125" style="561" customWidth="1"/>
    <col min="10532" max="10533" width="9.140625" style="561"/>
    <col min="10534" max="10534" width="24.28515625" style="561" customWidth="1"/>
    <col min="10535" max="10535" width="9.140625" style="561"/>
    <col min="10536" max="10536" width="18.140625" style="561" bestFit="1" customWidth="1"/>
    <col min="10537" max="10537" width="18.140625" style="561" customWidth="1"/>
    <col min="10538" max="10539" width="9.140625" style="561"/>
    <col min="10540" max="10540" width="30.5703125" style="561" bestFit="1" customWidth="1"/>
    <col min="10541" max="10541" width="16.85546875" style="561" customWidth="1"/>
    <col min="10542" max="10542" width="15" style="561" bestFit="1" customWidth="1"/>
    <col min="10543" max="10545" width="9.140625" style="561"/>
    <col min="10546" max="10546" width="16.85546875" style="561" bestFit="1" customWidth="1"/>
    <col min="10547" max="10547" width="17.42578125" style="561" bestFit="1" customWidth="1"/>
    <col min="10548" max="10548" width="9.140625" style="561"/>
    <col min="10549" max="10549" width="15" style="561" bestFit="1" customWidth="1"/>
    <col min="10550" max="10550" width="18.7109375" style="561" bestFit="1" customWidth="1"/>
    <col min="10551" max="10551" width="16.85546875" style="561" bestFit="1" customWidth="1"/>
    <col min="10552" max="10552" width="18.28515625" style="561" bestFit="1" customWidth="1"/>
    <col min="10553" max="10567" width="9.140625" style="561"/>
    <col min="10568" max="10568" width="15" style="561" bestFit="1" customWidth="1"/>
    <col min="10569" max="10571" width="9.140625" style="561"/>
    <col min="10572" max="10572" width="15" style="561" bestFit="1" customWidth="1"/>
    <col min="10573" max="10573" width="38.5703125" style="561" bestFit="1" customWidth="1"/>
    <col min="10574" max="10574" width="22" style="561" bestFit="1" customWidth="1"/>
    <col min="10575" max="10575" width="18.28515625" style="561" bestFit="1" customWidth="1"/>
    <col min="10576" max="10578" width="9.140625" style="561"/>
    <col min="10579" max="10579" width="18.7109375" style="561" customWidth="1"/>
    <col min="10580" max="10601" width="9.140625" style="561"/>
    <col min="10602" max="10602" width="10.85546875" style="561" customWidth="1"/>
    <col min="10603" max="10752" width="9.140625" style="561"/>
    <col min="10753" max="10753" width="2.85546875" style="561" customWidth="1"/>
    <col min="10754" max="10754" width="49.5703125" style="561" customWidth="1"/>
    <col min="10755" max="10755" width="8.42578125" style="561" customWidth="1"/>
    <col min="10756" max="10767" width="0" style="561" hidden="1" customWidth="1"/>
    <col min="10768" max="10768" width="15.28515625" style="561" customWidth="1"/>
    <col min="10769" max="10786" width="0" style="561" hidden="1" customWidth="1"/>
    <col min="10787" max="10787" width="0.42578125" style="561" customWidth="1"/>
    <col min="10788" max="10789" width="9.140625" style="561"/>
    <col min="10790" max="10790" width="24.28515625" style="561" customWidth="1"/>
    <col min="10791" max="10791" width="9.140625" style="561"/>
    <col min="10792" max="10792" width="18.140625" style="561" bestFit="1" customWidth="1"/>
    <col min="10793" max="10793" width="18.140625" style="561" customWidth="1"/>
    <col min="10794" max="10795" width="9.140625" style="561"/>
    <col min="10796" max="10796" width="30.5703125" style="561" bestFit="1" customWidth="1"/>
    <col min="10797" max="10797" width="16.85546875" style="561" customWidth="1"/>
    <col min="10798" max="10798" width="15" style="561" bestFit="1" customWidth="1"/>
    <col min="10799" max="10801" width="9.140625" style="561"/>
    <col min="10802" max="10802" width="16.85546875" style="561" bestFit="1" customWidth="1"/>
    <col min="10803" max="10803" width="17.42578125" style="561" bestFit="1" customWidth="1"/>
    <col min="10804" max="10804" width="9.140625" style="561"/>
    <col min="10805" max="10805" width="15" style="561" bestFit="1" customWidth="1"/>
    <col min="10806" max="10806" width="18.7109375" style="561" bestFit="1" customWidth="1"/>
    <col min="10807" max="10807" width="16.85546875" style="561" bestFit="1" customWidth="1"/>
    <col min="10808" max="10808" width="18.28515625" style="561" bestFit="1" customWidth="1"/>
    <col min="10809" max="10823" width="9.140625" style="561"/>
    <col min="10824" max="10824" width="15" style="561" bestFit="1" customWidth="1"/>
    <col min="10825" max="10827" width="9.140625" style="561"/>
    <col min="10828" max="10828" width="15" style="561" bestFit="1" customWidth="1"/>
    <col min="10829" max="10829" width="38.5703125" style="561" bestFit="1" customWidth="1"/>
    <col min="10830" max="10830" width="22" style="561" bestFit="1" customWidth="1"/>
    <col min="10831" max="10831" width="18.28515625" style="561" bestFit="1" customWidth="1"/>
    <col min="10832" max="10834" width="9.140625" style="561"/>
    <col min="10835" max="10835" width="18.7109375" style="561" customWidth="1"/>
    <col min="10836" max="10857" width="9.140625" style="561"/>
    <col min="10858" max="10858" width="10.85546875" style="561" customWidth="1"/>
    <col min="10859" max="11008" width="9.140625" style="561"/>
    <col min="11009" max="11009" width="2.85546875" style="561" customWidth="1"/>
    <col min="11010" max="11010" width="49.5703125" style="561" customWidth="1"/>
    <col min="11011" max="11011" width="8.42578125" style="561" customWidth="1"/>
    <col min="11012" max="11023" width="0" style="561" hidden="1" customWidth="1"/>
    <col min="11024" max="11024" width="15.28515625" style="561" customWidth="1"/>
    <col min="11025" max="11042" width="0" style="561" hidden="1" customWidth="1"/>
    <col min="11043" max="11043" width="0.42578125" style="561" customWidth="1"/>
    <col min="11044" max="11045" width="9.140625" style="561"/>
    <col min="11046" max="11046" width="24.28515625" style="561" customWidth="1"/>
    <col min="11047" max="11047" width="9.140625" style="561"/>
    <col min="11048" max="11048" width="18.140625" style="561" bestFit="1" customWidth="1"/>
    <col min="11049" max="11049" width="18.140625" style="561" customWidth="1"/>
    <col min="11050" max="11051" width="9.140625" style="561"/>
    <col min="11052" max="11052" width="30.5703125" style="561" bestFit="1" customWidth="1"/>
    <col min="11053" max="11053" width="16.85546875" style="561" customWidth="1"/>
    <col min="11054" max="11054" width="15" style="561" bestFit="1" customWidth="1"/>
    <col min="11055" max="11057" width="9.140625" style="561"/>
    <col min="11058" max="11058" width="16.85546875" style="561" bestFit="1" customWidth="1"/>
    <col min="11059" max="11059" width="17.42578125" style="561" bestFit="1" customWidth="1"/>
    <col min="11060" max="11060" width="9.140625" style="561"/>
    <col min="11061" max="11061" width="15" style="561" bestFit="1" customWidth="1"/>
    <col min="11062" max="11062" width="18.7109375" style="561" bestFit="1" customWidth="1"/>
    <col min="11063" max="11063" width="16.85546875" style="561" bestFit="1" customWidth="1"/>
    <col min="11064" max="11064" width="18.28515625" style="561" bestFit="1" customWidth="1"/>
    <col min="11065" max="11079" width="9.140625" style="561"/>
    <col min="11080" max="11080" width="15" style="561" bestFit="1" customWidth="1"/>
    <col min="11081" max="11083" width="9.140625" style="561"/>
    <col min="11084" max="11084" width="15" style="561" bestFit="1" customWidth="1"/>
    <col min="11085" max="11085" width="38.5703125" style="561" bestFit="1" customWidth="1"/>
    <col min="11086" max="11086" width="22" style="561" bestFit="1" customWidth="1"/>
    <col min="11087" max="11087" width="18.28515625" style="561" bestFit="1" customWidth="1"/>
    <col min="11088" max="11090" width="9.140625" style="561"/>
    <col min="11091" max="11091" width="18.7109375" style="561" customWidth="1"/>
    <col min="11092" max="11113" width="9.140625" style="561"/>
    <col min="11114" max="11114" width="10.85546875" style="561" customWidth="1"/>
    <col min="11115" max="11264" width="9.140625" style="561"/>
    <col min="11265" max="11265" width="2.85546875" style="561" customWidth="1"/>
    <col min="11266" max="11266" width="49.5703125" style="561" customWidth="1"/>
    <col min="11267" max="11267" width="8.42578125" style="561" customWidth="1"/>
    <col min="11268" max="11279" width="0" style="561" hidden="1" customWidth="1"/>
    <col min="11280" max="11280" width="15.28515625" style="561" customWidth="1"/>
    <col min="11281" max="11298" width="0" style="561" hidden="1" customWidth="1"/>
    <col min="11299" max="11299" width="0.42578125" style="561" customWidth="1"/>
    <col min="11300" max="11301" width="9.140625" style="561"/>
    <col min="11302" max="11302" width="24.28515625" style="561" customWidth="1"/>
    <col min="11303" max="11303" width="9.140625" style="561"/>
    <col min="11304" max="11304" width="18.140625" style="561" bestFit="1" customWidth="1"/>
    <col min="11305" max="11305" width="18.140625" style="561" customWidth="1"/>
    <col min="11306" max="11307" width="9.140625" style="561"/>
    <col min="11308" max="11308" width="30.5703125" style="561" bestFit="1" customWidth="1"/>
    <col min="11309" max="11309" width="16.85546875" style="561" customWidth="1"/>
    <col min="11310" max="11310" width="15" style="561" bestFit="1" customWidth="1"/>
    <col min="11311" max="11313" width="9.140625" style="561"/>
    <col min="11314" max="11314" width="16.85546875" style="561" bestFit="1" customWidth="1"/>
    <col min="11315" max="11315" width="17.42578125" style="561" bestFit="1" customWidth="1"/>
    <col min="11316" max="11316" width="9.140625" style="561"/>
    <col min="11317" max="11317" width="15" style="561" bestFit="1" customWidth="1"/>
    <col min="11318" max="11318" width="18.7109375" style="561" bestFit="1" customWidth="1"/>
    <col min="11319" max="11319" width="16.85546875" style="561" bestFit="1" customWidth="1"/>
    <col min="11320" max="11320" width="18.28515625" style="561" bestFit="1" customWidth="1"/>
    <col min="11321" max="11335" width="9.140625" style="561"/>
    <col min="11336" max="11336" width="15" style="561" bestFit="1" customWidth="1"/>
    <col min="11337" max="11339" width="9.140625" style="561"/>
    <col min="11340" max="11340" width="15" style="561" bestFit="1" customWidth="1"/>
    <col min="11341" max="11341" width="38.5703125" style="561" bestFit="1" customWidth="1"/>
    <col min="11342" max="11342" width="22" style="561" bestFit="1" customWidth="1"/>
    <col min="11343" max="11343" width="18.28515625" style="561" bestFit="1" customWidth="1"/>
    <col min="11344" max="11346" width="9.140625" style="561"/>
    <col min="11347" max="11347" width="18.7109375" style="561" customWidth="1"/>
    <col min="11348" max="11369" width="9.140625" style="561"/>
    <col min="11370" max="11370" width="10.85546875" style="561" customWidth="1"/>
    <col min="11371" max="11520" width="9.140625" style="561"/>
    <col min="11521" max="11521" width="2.85546875" style="561" customWidth="1"/>
    <col min="11522" max="11522" width="49.5703125" style="561" customWidth="1"/>
    <col min="11523" max="11523" width="8.42578125" style="561" customWidth="1"/>
    <col min="11524" max="11535" width="0" style="561" hidden="1" customWidth="1"/>
    <col min="11536" max="11536" width="15.28515625" style="561" customWidth="1"/>
    <col min="11537" max="11554" width="0" style="561" hidden="1" customWidth="1"/>
    <col min="11555" max="11555" width="0.42578125" style="561" customWidth="1"/>
    <col min="11556" max="11557" width="9.140625" style="561"/>
    <col min="11558" max="11558" width="24.28515625" style="561" customWidth="1"/>
    <col min="11559" max="11559" width="9.140625" style="561"/>
    <col min="11560" max="11560" width="18.140625" style="561" bestFit="1" customWidth="1"/>
    <col min="11561" max="11561" width="18.140625" style="561" customWidth="1"/>
    <col min="11562" max="11563" width="9.140625" style="561"/>
    <col min="11564" max="11564" width="30.5703125" style="561" bestFit="1" customWidth="1"/>
    <col min="11565" max="11565" width="16.85546875" style="561" customWidth="1"/>
    <col min="11566" max="11566" width="15" style="561" bestFit="1" customWidth="1"/>
    <col min="11567" max="11569" width="9.140625" style="561"/>
    <col min="11570" max="11570" width="16.85546875" style="561" bestFit="1" customWidth="1"/>
    <col min="11571" max="11571" width="17.42578125" style="561" bestFit="1" customWidth="1"/>
    <col min="11572" max="11572" width="9.140625" style="561"/>
    <col min="11573" max="11573" width="15" style="561" bestFit="1" customWidth="1"/>
    <col min="11574" max="11574" width="18.7109375" style="561" bestFit="1" customWidth="1"/>
    <col min="11575" max="11575" width="16.85546875" style="561" bestFit="1" customWidth="1"/>
    <col min="11576" max="11576" width="18.28515625" style="561" bestFit="1" customWidth="1"/>
    <col min="11577" max="11591" width="9.140625" style="561"/>
    <col min="11592" max="11592" width="15" style="561" bestFit="1" customWidth="1"/>
    <col min="11593" max="11595" width="9.140625" style="561"/>
    <col min="11596" max="11596" width="15" style="561" bestFit="1" customWidth="1"/>
    <col min="11597" max="11597" width="38.5703125" style="561" bestFit="1" customWidth="1"/>
    <col min="11598" max="11598" width="22" style="561" bestFit="1" customWidth="1"/>
    <col min="11599" max="11599" width="18.28515625" style="561" bestFit="1" customWidth="1"/>
    <col min="11600" max="11602" width="9.140625" style="561"/>
    <col min="11603" max="11603" width="18.7109375" style="561" customWidth="1"/>
    <col min="11604" max="11625" width="9.140625" style="561"/>
    <col min="11626" max="11626" width="10.85546875" style="561" customWidth="1"/>
    <col min="11627" max="11776" width="9.140625" style="561"/>
    <col min="11777" max="11777" width="2.85546875" style="561" customWidth="1"/>
    <col min="11778" max="11778" width="49.5703125" style="561" customWidth="1"/>
    <col min="11779" max="11779" width="8.42578125" style="561" customWidth="1"/>
    <col min="11780" max="11791" width="0" style="561" hidden="1" customWidth="1"/>
    <col min="11792" max="11792" width="15.28515625" style="561" customWidth="1"/>
    <col min="11793" max="11810" width="0" style="561" hidden="1" customWidth="1"/>
    <col min="11811" max="11811" width="0.42578125" style="561" customWidth="1"/>
    <col min="11812" max="11813" width="9.140625" style="561"/>
    <col min="11814" max="11814" width="24.28515625" style="561" customWidth="1"/>
    <col min="11815" max="11815" width="9.140625" style="561"/>
    <col min="11816" max="11816" width="18.140625" style="561" bestFit="1" customWidth="1"/>
    <col min="11817" max="11817" width="18.140625" style="561" customWidth="1"/>
    <col min="11818" max="11819" width="9.140625" style="561"/>
    <col min="11820" max="11820" width="30.5703125" style="561" bestFit="1" customWidth="1"/>
    <col min="11821" max="11821" width="16.85546875" style="561" customWidth="1"/>
    <col min="11822" max="11822" width="15" style="561" bestFit="1" customWidth="1"/>
    <col min="11823" max="11825" width="9.140625" style="561"/>
    <col min="11826" max="11826" width="16.85546875" style="561" bestFit="1" customWidth="1"/>
    <col min="11827" max="11827" width="17.42578125" style="561" bestFit="1" customWidth="1"/>
    <col min="11828" max="11828" width="9.140625" style="561"/>
    <col min="11829" max="11829" width="15" style="561" bestFit="1" customWidth="1"/>
    <col min="11830" max="11830" width="18.7109375" style="561" bestFit="1" customWidth="1"/>
    <col min="11831" max="11831" width="16.85546875" style="561" bestFit="1" customWidth="1"/>
    <col min="11832" max="11832" width="18.28515625" style="561" bestFit="1" customWidth="1"/>
    <col min="11833" max="11847" width="9.140625" style="561"/>
    <col min="11848" max="11848" width="15" style="561" bestFit="1" customWidth="1"/>
    <col min="11849" max="11851" width="9.140625" style="561"/>
    <col min="11852" max="11852" width="15" style="561" bestFit="1" customWidth="1"/>
    <col min="11853" max="11853" width="38.5703125" style="561" bestFit="1" customWidth="1"/>
    <col min="11854" max="11854" width="22" style="561" bestFit="1" customWidth="1"/>
    <col min="11855" max="11855" width="18.28515625" style="561" bestFit="1" customWidth="1"/>
    <col min="11856" max="11858" width="9.140625" style="561"/>
    <col min="11859" max="11859" width="18.7109375" style="561" customWidth="1"/>
    <col min="11860" max="11881" width="9.140625" style="561"/>
    <col min="11882" max="11882" width="10.85546875" style="561" customWidth="1"/>
    <col min="11883" max="12032" width="9.140625" style="561"/>
    <col min="12033" max="12033" width="2.85546875" style="561" customWidth="1"/>
    <col min="12034" max="12034" width="49.5703125" style="561" customWidth="1"/>
    <col min="12035" max="12035" width="8.42578125" style="561" customWidth="1"/>
    <col min="12036" max="12047" width="0" style="561" hidden="1" customWidth="1"/>
    <col min="12048" max="12048" width="15.28515625" style="561" customWidth="1"/>
    <col min="12049" max="12066" width="0" style="561" hidden="1" customWidth="1"/>
    <col min="12067" max="12067" width="0.42578125" style="561" customWidth="1"/>
    <col min="12068" max="12069" width="9.140625" style="561"/>
    <col min="12070" max="12070" width="24.28515625" style="561" customWidth="1"/>
    <col min="12071" max="12071" width="9.140625" style="561"/>
    <col min="12072" max="12072" width="18.140625" style="561" bestFit="1" customWidth="1"/>
    <col min="12073" max="12073" width="18.140625" style="561" customWidth="1"/>
    <col min="12074" max="12075" width="9.140625" style="561"/>
    <col min="12076" max="12076" width="30.5703125" style="561" bestFit="1" customWidth="1"/>
    <col min="12077" max="12077" width="16.85546875" style="561" customWidth="1"/>
    <col min="12078" max="12078" width="15" style="561" bestFit="1" customWidth="1"/>
    <col min="12079" max="12081" width="9.140625" style="561"/>
    <col min="12082" max="12082" width="16.85546875" style="561" bestFit="1" customWidth="1"/>
    <col min="12083" max="12083" width="17.42578125" style="561" bestFit="1" customWidth="1"/>
    <col min="12084" max="12084" width="9.140625" style="561"/>
    <col min="12085" max="12085" width="15" style="561" bestFit="1" customWidth="1"/>
    <col min="12086" max="12086" width="18.7109375" style="561" bestFit="1" customWidth="1"/>
    <col min="12087" max="12087" width="16.85546875" style="561" bestFit="1" customWidth="1"/>
    <col min="12088" max="12088" width="18.28515625" style="561" bestFit="1" customWidth="1"/>
    <col min="12089" max="12103" width="9.140625" style="561"/>
    <col min="12104" max="12104" width="15" style="561" bestFit="1" customWidth="1"/>
    <col min="12105" max="12107" width="9.140625" style="561"/>
    <col min="12108" max="12108" width="15" style="561" bestFit="1" customWidth="1"/>
    <col min="12109" max="12109" width="38.5703125" style="561" bestFit="1" customWidth="1"/>
    <col min="12110" max="12110" width="22" style="561" bestFit="1" customWidth="1"/>
    <col min="12111" max="12111" width="18.28515625" style="561" bestFit="1" customWidth="1"/>
    <col min="12112" max="12114" width="9.140625" style="561"/>
    <col min="12115" max="12115" width="18.7109375" style="561" customWidth="1"/>
    <col min="12116" max="12137" width="9.140625" style="561"/>
    <col min="12138" max="12138" width="10.85546875" style="561" customWidth="1"/>
    <col min="12139" max="12288" width="9.140625" style="561"/>
    <col min="12289" max="12289" width="2.85546875" style="561" customWidth="1"/>
    <col min="12290" max="12290" width="49.5703125" style="561" customWidth="1"/>
    <col min="12291" max="12291" width="8.42578125" style="561" customWidth="1"/>
    <col min="12292" max="12303" width="0" style="561" hidden="1" customWidth="1"/>
    <col min="12304" max="12304" width="15.28515625" style="561" customWidth="1"/>
    <col min="12305" max="12322" width="0" style="561" hidden="1" customWidth="1"/>
    <col min="12323" max="12323" width="0.42578125" style="561" customWidth="1"/>
    <col min="12324" max="12325" width="9.140625" style="561"/>
    <col min="12326" max="12326" width="24.28515625" style="561" customWidth="1"/>
    <col min="12327" max="12327" width="9.140625" style="561"/>
    <col min="12328" max="12328" width="18.140625" style="561" bestFit="1" customWidth="1"/>
    <col min="12329" max="12329" width="18.140625" style="561" customWidth="1"/>
    <col min="12330" max="12331" width="9.140625" style="561"/>
    <col min="12332" max="12332" width="30.5703125" style="561" bestFit="1" customWidth="1"/>
    <col min="12333" max="12333" width="16.85546875" style="561" customWidth="1"/>
    <col min="12334" max="12334" width="15" style="561" bestFit="1" customWidth="1"/>
    <col min="12335" max="12337" width="9.140625" style="561"/>
    <col min="12338" max="12338" width="16.85546875" style="561" bestFit="1" customWidth="1"/>
    <col min="12339" max="12339" width="17.42578125" style="561" bestFit="1" customWidth="1"/>
    <col min="12340" max="12340" width="9.140625" style="561"/>
    <col min="12341" max="12341" width="15" style="561" bestFit="1" customWidth="1"/>
    <col min="12342" max="12342" width="18.7109375" style="561" bestFit="1" customWidth="1"/>
    <col min="12343" max="12343" width="16.85546875" style="561" bestFit="1" customWidth="1"/>
    <col min="12344" max="12344" width="18.28515625" style="561" bestFit="1" customWidth="1"/>
    <col min="12345" max="12359" width="9.140625" style="561"/>
    <col min="12360" max="12360" width="15" style="561" bestFit="1" customWidth="1"/>
    <col min="12361" max="12363" width="9.140625" style="561"/>
    <col min="12364" max="12364" width="15" style="561" bestFit="1" customWidth="1"/>
    <col min="12365" max="12365" width="38.5703125" style="561" bestFit="1" customWidth="1"/>
    <col min="12366" max="12366" width="22" style="561" bestFit="1" customWidth="1"/>
    <col min="12367" max="12367" width="18.28515625" style="561" bestFit="1" customWidth="1"/>
    <col min="12368" max="12370" width="9.140625" style="561"/>
    <col min="12371" max="12371" width="18.7109375" style="561" customWidth="1"/>
    <col min="12372" max="12393" width="9.140625" style="561"/>
    <col min="12394" max="12394" width="10.85546875" style="561" customWidth="1"/>
    <col min="12395" max="12544" width="9.140625" style="561"/>
    <col min="12545" max="12545" width="2.85546875" style="561" customWidth="1"/>
    <col min="12546" max="12546" width="49.5703125" style="561" customWidth="1"/>
    <col min="12547" max="12547" width="8.42578125" style="561" customWidth="1"/>
    <col min="12548" max="12559" width="0" style="561" hidden="1" customWidth="1"/>
    <col min="12560" max="12560" width="15.28515625" style="561" customWidth="1"/>
    <col min="12561" max="12578" width="0" style="561" hidden="1" customWidth="1"/>
    <col min="12579" max="12579" width="0.42578125" style="561" customWidth="1"/>
    <col min="12580" max="12581" width="9.140625" style="561"/>
    <col min="12582" max="12582" width="24.28515625" style="561" customWidth="1"/>
    <col min="12583" max="12583" width="9.140625" style="561"/>
    <col min="12584" max="12584" width="18.140625" style="561" bestFit="1" customWidth="1"/>
    <col min="12585" max="12585" width="18.140625" style="561" customWidth="1"/>
    <col min="12586" max="12587" width="9.140625" style="561"/>
    <col min="12588" max="12588" width="30.5703125" style="561" bestFit="1" customWidth="1"/>
    <col min="12589" max="12589" width="16.85546875" style="561" customWidth="1"/>
    <col min="12590" max="12590" width="15" style="561" bestFit="1" customWidth="1"/>
    <col min="12591" max="12593" width="9.140625" style="561"/>
    <col min="12594" max="12594" width="16.85546875" style="561" bestFit="1" customWidth="1"/>
    <col min="12595" max="12595" width="17.42578125" style="561" bestFit="1" customWidth="1"/>
    <col min="12596" max="12596" width="9.140625" style="561"/>
    <col min="12597" max="12597" width="15" style="561" bestFit="1" customWidth="1"/>
    <col min="12598" max="12598" width="18.7109375" style="561" bestFit="1" customWidth="1"/>
    <col min="12599" max="12599" width="16.85546875" style="561" bestFit="1" customWidth="1"/>
    <col min="12600" max="12600" width="18.28515625" style="561" bestFit="1" customWidth="1"/>
    <col min="12601" max="12615" width="9.140625" style="561"/>
    <col min="12616" max="12616" width="15" style="561" bestFit="1" customWidth="1"/>
    <col min="12617" max="12619" width="9.140625" style="561"/>
    <col min="12620" max="12620" width="15" style="561" bestFit="1" customWidth="1"/>
    <col min="12621" max="12621" width="38.5703125" style="561" bestFit="1" customWidth="1"/>
    <col min="12622" max="12622" width="22" style="561" bestFit="1" customWidth="1"/>
    <col min="12623" max="12623" width="18.28515625" style="561" bestFit="1" customWidth="1"/>
    <col min="12624" max="12626" width="9.140625" style="561"/>
    <col min="12627" max="12627" width="18.7109375" style="561" customWidth="1"/>
    <col min="12628" max="12649" width="9.140625" style="561"/>
    <col min="12650" max="12650" width="10.85546875" style="561" customWidth="1"/>
    <col min="12651" max="12800" width="9.140625" style="561"/>
    <col min="12801" max="12801" width="2.85546875" style="561" customWidth="1"/>
    <col min="12802" max="12802" width="49.5703125" style="561" customWidth="1"/>
    <col min="12803" max="12803" width="8.42578125" style="561" customWidth="1"/>
    <col min="12804" max="12815" width="0" style="561" hidden="1" customWidth="1"/>
    <col min="12816" max="12816" width="15.28515625" style="561" customWidth="1"/>
    <col min="12817" max="12834" width="0" style="561" hidden="1" customWidth="1"/>
    <col min="12835" max="12835" width="0.42578125" style="561" customWidth="1"/>
    <col min="12836" max="12837" width="9.140625" style="561"/>
    <col min="12838" max="12838" width="24.28515625" style="561" customWidth="1"/>
    <col min="12839" max="12839" width="9.140625" style="561"/>
    <col min="12840" max="12840" width="18.140625" style="561" bestFit="1" customWidth="1"/>
    <col min="12841" max="12841" width="18.140625" style="561" customWidth="1"/>
    <col min="12842" max="12843" width="9.140625" style="561"/>
    <col min="12844" max="12844" width="30.5703125" style="561" bestFit="1" customWidth="1"/>
    <col min="12845" max="12845" width="16.85546875" style="561" customWidth="1"/>
    <col min="12846" max="12846" width="15" style="561" bestFit="1" customWidth="1"/>
    <col min="12847" max="12849" width="9.140625" style="561"/>
    <col min="12850" max="12850" width="16.85546875" style="561" bestFit="1" customWidth="1"/>
    <col min="12851" max="12851" width="17.42578125" style="561" bestFit="1" customWidth="1"/>
    <col min="12852" max="12852" width="9.140625" style="561"/>
    <col min="12853" max="12853" width="15" style="561" bestFit="1" customWidth="1"/>
    <col min="12854" max="12854" width="18.7109375" style="561" bestFit="1" customWidth="1"/>
    <col min="12855" max="12855" width="16.85546875" style="561" bestFit="1" customWidth="1"/>
    <col min="12856" max="12856" width="18.28515625" style="561" bestFit="1" customWidth="1"/>
    <col min="12857" max="12871" width="9.140625" style="561"/>
    <col min="12872" max="12872" width="15" style="561" bestFit="1" customWidth="1"/>
    <col min="12873" max="12875" width="9.140625" style="561"/>
    <col min="12876" max="12876" width="15" style="561" bestFit="1" customWidth="1"/>
    <col min="12877" max="12877" width="38.5703125" style="561" bestFit="1" customWidth="1"/>
    <col min="12878" max="12878" width="22" style="561" bestFit="1" customWidth="1"/>
    <col min="12879" max="12879" width="18.28515625" style="561" bestFit="1" customWidth="1"/>
    <col min="12880" max="12882" width="9.140625" style="561"/>
    <col min="12883" max="12883" width="18.7109375" style="561" customWidth="1"/>
    <col min="12884" max="12905" width="9.140625" style="561"/>
    <col min="12906" max="12906" width="10.85546875" style="561" customWidth="1"/>
    <col min="12907" max="13056" width="9.140625" style="561"/>
    <col min="13057" max="13057" width="2.85546875" style="561" customWidth="1"/>
    <col min="13058" max="13058" width="49.5703125" style="561" customWidth="1"/>
    <col min="13059" max="13059" width="8.42578125" style="561" customWidth="1"/>
    <col min="13060" max="13071" width="0" style="561" hidden="1" customWidth="1"/>
    <col min="13072" max="13072" width="15.28515625" style="561" customWidth="1"/>
    <col min="13073" max="13090" width="0" style="561" hidden="1" customWidth="1"/>
    <col min="13091" max="13091" width="0.42578125" style="561" customWidth="1"/>
    <col min="13092" max="13093" width="9.140625" style="561"/>
    <col min="13094" max="13094" width="24.28515625" style="561" customWidth="1"/>
    <col min="13095" max="13095" width="9.140625" style="561"/>
    <col min="13096" max="13096" width="18.140625" style="561" bestFit="1" customWidth="1"/>
    <col min="13097" max="13097" width="18.140625" style="561" customWidth="1"/>
    <col min="13098" max="13099" width="9.140625" style="561"/>
    <col min="13100" max="13100" width="30.5703125" style="561" bestFit="1" customWidth="1"/>
    <col min="13101" max="13101" width="16.85546875" style="561" customWidth="1"/>
    <col min="13102" max="13102" width="15" style="561" bestFit="1" customWidth="1"/>
    <col min="13103" max="13105" width="9.140625" style="561"/>
    <col min="13106" max="13106" width="16.85546875" style="561" bestFit="1" customWidth="1"/>
    <col min="13107" max="13107" width="17.42578125" style="561" bestFit="1" customWidth="1"/>
    <col min="13108" max="13108" width="9.140625" style="561"/>
    <col min="13109" max="13109" width="15" style="561" bestFit="1" customWidth="1"/>
    <col min="13110" max="13110" width="18.7109375" style="561" bestFit="1" customWidth="1"/>
    <col min="13111" max="13111" width="16.85546875" style="561" bestFit="1" customWidth="1"/>
    <col min="13112" max="13112" width="18.28515625" style="561" bestFit="1" customWidth="1"/>
    <col min="13113" max="13127" width="9.140625" style="561"/>
    <col min="13128" max="13128" width="15" style="561" bestFit="1" customWidth="1"/>
    <col min="13129" max="13131" width="9.140625" style="561"/>
    <col min="13132" max="13132" width="15" style="561" bestFit="1" customWidth="1"/>
    <col min="13133" max="13133" width="38.5703125" style="561" bestFit="1" customWidth="1"/>
    <col min="13134" max="13134" width="22" style="561" bestFit="1" customWidth="1"/>
    <col min="13135" max="13135" width="18.28515625" style="561" bestFit="1" customWidth="1"/>
    <col min="13136" max="13138" width="9.140625" style="561"/>
    <col min="13139" max="13139" width="18.7109375" style="561" customWidth="1"/>
    <col min="13140" max="13161" width="9.140625" style="561"/>
    <col min="13162" max="13162" width="10.85546875" style="561" customWidth="1"/>
    <col min="13163" max="13312" width="9.140625" style="561"/>
    <col min="13313" max="13313" width="2.85546875" style="561" customWidth="1"/>
    <col min="13314" max="13314" width="49.5703125" style="561" customWidth="1"/>
    <col min="13315" max="13315" width="8.42578125" style="561" customWidth="1"/>
    <col min="13316" max="13327" width="0" style="561" hidden="1" customWidth="1"/>
    <col min="13328" max="13328" width="15.28515625" style="561" customWidth="1"/>
    <col min="13329" max="13346" width="0" style="561" hidden="1" customWidth="1"/>
    <col min="13347" max="13347" width="0.42578125" style="561" customWidth="1"/>
    <col min="13348" max="13349" width="9.140625" style="561"/>
    <col min="13350" max="13350" width="24.28515625" style="561" customWidth="1"/>
    <col min="13351" max="13351" width="9.140625" style="561"/>
    <col min="13352" max="13352" width="18.140625" style="561" bestFit="1" customWidth="1"/>
    <col min="13353" max="13353" width="18.140625" style="561" customWidth="1"/>
    <col min="13354" max="13355" width="9.140625" style="561"/>
    <col min="13356" max="13356" width="30.5703125" style="561" bestFit="1" customWidth="1"/>
    <col min="13357" max="13357" width="16.85546875" style="561" customWidth="1"/>
    <col min="13358" max="13358" width="15" style="561" bestFit="1" customWidth="1"/>
    <col min="13359" max="13361" width="9.140625" style="561"/>
    <col min="13362" max="13362" width="16.85546875" style="561" bestFit="1" customWidth="1"/>
    <col min="13363" max="13363" width="17.42578125" style="561" bestFit="1" customWidth="1"/>
    <col min="13364" max="13364" width="9.140625" style="561"/>
    <col min="13365" max="13365" width="15" style="561" bestFit="1" customWidth="1"/>
    <col min="13366" max="13366" width="18.7109375" style="561" bestFit="1" customWidth="1"/>
    <col min="13367" max="13367" width="16.85546875" style="561" bestFit="1" customWidth="1"/>
    <col min="13368" max="13368" width="18.28515625" style="561" bestFit="1" customWidth="1"/>
    <col min="13369" max="13383" width="9.140625" style="561"/>
    <col min="13384" max="13384" width="15" style="561" bestFit="1" customWidth="1"/>
    <col min="13385" max="13387" width="9.140625" style="561"/>
    <col min="13388" max="13388" width="15" style="561" bestFit="1" customWidth="1"/>
    <col min="13389" max="13389" width="38.5703125" style="561" bestFit="1" customWidth="1"/>
    <col min="13390" max="13390" width="22" style="561" bestFit="1" customWidth="1"/>
    <col min="13391" max="13391" width="18.28515625" style="561" bestFit="1" customWidth="1"/>
    <col min="13392" max="13394" width="9.140625" style="561"/>
    <col min="13395" max="13395" width="18.7109375" style="561" customWidth="1"/>
    <col min="13396" max="13417" width="9.140625" style="561"/>
    <col min="13418" max="13418" width="10.85546875" style="561" customWidth="1"/>
    <col min="13419" max="13568" width="9.140625" style="561"/>
    <col min="13569" max="13569" width="2.85546875" style="561" customWidth="1"/>
    <col min="13570" max="13570" width="49.5703125" style="561" customWidth="1"/>
    <col min="13571" max="13571" width="8.42578125" style="561" customWidth="1"/>
    <col min="13572" max="13583" width="0" style="561" hidden="1" customWidth="1"/>
    <col min="13584" max="13584" width="15.28515625" style="561" customWidth="1"/>
    <col min="13585" max="13602" width="0" style="561" hidden="1" customWidth="1"/>
    <col min="13603" max="13603" width="0.42578125" style="561" customWidth="1"/>
    <col min="13604" max="13605" width="9.140625" style="561"/>
    <col min="13606" max="13606" width="24.28515625" style="561" customWidth="1"/>
    <col min="13607" max="13607" width="9.140625" style="561"/>
    <col min="13608" max="13608" width="18.140625" style="561" bestFit="1" customWidth="1"/>
    <col min="13609" max="13609" width="18.140625" style="561" customWidth="1"/>
    <col min="13610" max="13611" width="9.140625" style="561"/>
    <col min="13612" max="13612" width="30.5703125" style="561" bestFit="1" customWidth="1"/>
    <col min="13613" max="13613" width="16.85546875" style="561" customWidth="1"/>
    <col min="13614" max="13614" width="15" style="561" bestFit="1" customWidth="1"/>
    <col min="13615" max="13617" width="9.140625" style="561"/>
    <col min="13618" max="13618" width="16.85546875" style="561" bestFit="1" customWidth="1"/>
    <col min="13619" max="13619" width="17.42578125" style="561" bestFit="1" customWidth="1"/>
    <col min="13620" max="13620" width="9.140625" style="561"/>
    <col min="13621" max="13621" width="15" style="561" bestFit="1" customWidth="1"/>
    <col min="13622" max="13622" width="18.7109375" style="561" bestFit="1" customWidth="1"/>
    <col min="13623" max="13623" width="16.85546875" style="561" bestFit="1" customWidth="1"/>
    <col min="13624" max="13624" width="18.28515625" style="561" bestFit="1" customWidth="1"/>
    <col min="13625" max="13639" width="9.140625" style="561"/>
    <col min="13640" max="13640" width="15" style="561" bestFit="1" customWidth="1"/>
    <col min="13641" max="13643" width="9.140625" style="561"/>
    <col min="13644" max="13644" width="15" style="561" bestFit="1" customWidth="1"/>
    <col min="13645" max="13645" width="38.5703125" style="561" bestFit="1" customWidth="1"/>
    <col min="13646" max="13646" width="22" style="561" bestFit="1" customWidth="1"/>
    <col min="13647" max="13647" width="18.28515625" style="561" bestFit="1" customWidth="1"/>
    <col min="13648" max="13650" width="9.140625" style="561"/>
    <col min="13651" max="13651" width="18.7109375" style="561" customWidth="1"/>
    <col min="13652" max="13673" width="9.140625" style="561"/>
    <col min="13674" max="13674" width="10.85546875" style="561" customWidth="1"/>
    <col min="13675" max="13824" width="9.140625" style="561"/>
    <col min="13825" max="13825" width="2.85546875" style="561" customWidth="1"/>
    <col min="13826" max="13826" width="49.5703125" style="561" customWidth="1"/>
    <col min="13827" max="13827" width="8.42578125" style="561" customWidth="1"/>
    <col min="13828" max="13839" width="0" style="561" hidden="1" customWidth="1"/>
    <col min="13840" max="13840" width="15.28515625" style="561" customWidth="1"/>
    <col min="13841" max="13858" width="0" style="561" hidden="1" customWidth="1"/>
    <col min="13859" max="13859" width="0.42578125" style="561" customWidth="1"/>
    <col min="13860" max="13861" width="9.140625" style="561"/>
    <col min="13862" max="13862" width="24.28515625" style="561" customWidth="1"/>
    <col min="13863" max="13863" width="9.140625" style="561"/>
    <col min="13864" max="13864" width="18.140625" style="561" bestFit="1" customWidth="1"/>
    <col min="13865" max="13865" width="18.140625" style="561" customWidth="1"/>
    <col min="13866" max="13867" width="9.140625" style="561"/>
    <col min="13868" max="13868" width="30.5703125" style="561" bestFit="1" customWidth="1"/>
    <col min="13869" max="13869" width="16.85546875" style="561" customWidth="1"/>
    <col min="13870" max="13870" width="15" style="561" bestFit="1" customWidth="1"/>
    <col min="13871" max="13873" width="9.140625" style="561"/>
    <col min="13874" max="13874" width="16.85546875" style="561" bestFit="1" customWidth="1"/>
    <col min="13875" max="13875" width="17.42578125" style="561" bestFit="1" customWidth="1"/>
    <col min="13876" max="13876" width="9.140625" style="561"/>
    <col min="13877" max="13877" width="15" style="561" bestFit="1" customWidth="1"/>
    <col min="13878" max="13878" width="18.7109375" style="561" bestFit="1" customWidth="1"/>
    <col min="13879" max="13879" width="16.85546875" style="561" bestFit="1" customWidth="1"/>
    <col min="13880" max="13880" width="18.28515625" style="561" bestFit="1" customWidth="1"/>
    <col min="13881" max="13895" width="9.140625" style="561"/>
    <col min="13896" max="13896" width="15" style="561" bestFit="1" customWidth="1"/>
    <col min="13897" max="13899" width="9.140625" style="561"/>
    <col min="13900" max="13900" width="15" style="561" bestFit="1" customWidth="1"/>
    <col min="13901" max="13901" width="38.5703125" style="561" bestFit="1" customWidth="1"/>
    <col min="13902" max="13902" width="22" style="561" bestFit="1" customWidth="1"/>
    <col min="13903" max="13903" width="18.28515625" style="561" bestFit="1" customWidth="1"/>
    <col min="13904" max="13906" width="9.140625" style="561"/>
    <col min="13907" max="13907" width="18.7109375" style="561" customWidth="1"/>
    <col min="13908" max="13929" width="9.140625" style="561"/>
    <col min="13930" max="13930" width="10.85546875" style="561" customWidth="1"/>
    <col min="13931" max="14080" width="9.140625" style="561"/>
    <col min="14081" max="14081" width="2.85546875" style="561" customWidth="1"/>
    <col min="14082" max="14082" width="49.5703125" style="561" customWidth="1"/>
    <col min="14083" max="14083" width="8.42578125" style="561" customWidth="1"/>
    <col min="14084" max="14095" width="0" style="561" hidden="1" customWidth="1"/>
    <col min="14096" max="14096" width="15.28515625" style="561" customWidth="1"/>
    <col min="14097" max="14114" width="0" style="561" hidden="1" customWidth="1"/>
    <col min="14115" max="14115" width="0.42578125" style="561" customWidth="1"/>
    <col min="14116" max="14117" width="9.140625" style="561"/>
    <col min="14118" max="14118" width="24.28515625" style="561" customWidth="1"/>
    <col min="14119" max="14119" width="9.140625" style="561"/>
    <col min="14120" max="14120" width="18.140625" style="561" bestFit="1" customWidth="1"/>
    <col min="14121" max="14121" width="18.140625" style="561" customWidth="1"/>
    <col min="14122" max="14123" width="9.140625" style="561"/>
    <col min="14124" max="14124" width="30.5703125" style="561" bestFit="1" customWidth="1"/>
    <col min="14125" max="14125" width="16.85546875" style="561" customWidth="1"/>
    <col min="14126" max="14126" width="15" style="561" bestFit="1" customWidth="1"/>
    <col min="14127" max="14129" width="9.140625" style="561"/>
    <col min="14130" max="14130" width="16.85546875" style="561" bestFit="1" customWidth="1"/>
    <col min="14131" max="14131" width="17.42578125" style="561" bestFit="1" customWidth="1"/>
    <col min="14132" max="14132" width="9.140625" style="561"/>
    <col min="14133" max="14133" width="15" style="561" bestFit="1" customWidth="1"/>
    <col min="14134" max="14134" width="18.7109375" style="561" bestFit="1" customWidth="1"/>
    <col min="14135" max="14135" width="16.85546875" style="561" bestFit="1" customWidth="1"/>
    <col min="14136" max="14136" width="18.28515625" style="561" bestFit="1" customWidth="1"/>
    <col min="14137" max="14151" width="9.140625" style="561"/>
    <col min="14152" max="14152" width="15" style="561" bestFit="1" customWidth="1"/>
    <col min="14153" max="14155" width="9.140625" style="561"/>
    <col min="14156" max="14156" width="15" style="561" bestFit="1" customWidth="1"/>
    <col min="14157" max="14157" width="38.5703125" style="561" bestFit="1" customWidth="1"/>
    <col min="14158" max="14158" width="22" style="561" bestFit="1" customWidth="1"/>
    <col min="14159" max="14159" width="18.28515625" style="561" bestFit="1" customWidth="1"/>
    <col min="14160" max="14162" width="9.140625" style="561"/>
    <col min="14163" max="14163" width="18.7109375" style="561" customWidth="1"/>
    <col min="14164" max="14185" width="9.140625" style="561"/>
    <col min="14186" max="14186" width="10.85546875" style="561" customWidth="1"/>
    <col min="14187" max="14336" width="9.140625" style="561"/>
    <col min="14337" max="14337" width="2.85546875" style="561" customWidth="1"/>
    <col min="14338" max="14338" width="49.5703125" style="561" customWidth="1"/>
    <col min="14339" max="14339" width="8.42578125" style="561" customWidth="1"/>
    <col min="14340" max="14351" width="0" style="561" hidden="1" customWidth="1"/>
    <col min="14352" max="14352" width="15.28515625" style="561" customWidth="1"/>
    <col min="14353" max="14370" width="0" style="561" hidden="1" customWidth="1"/>
    <col min="14371" max="14371" width="0.42578125" style="561" customWidth="1"/>
    <col min="14372" max="14373" width="9.140625" style="561"/>
    <col min="14374" max="14374" width="24.28515625" style="561" customWidth="1"/>
    <col min="14375" max="14375" width="9.140625" style="561"/>
    <col min="14376" max="14376" width="18.140625" style="561" bestFit="1" customWidth="1"/>
    <col min="14377" max="14377" width="18.140625" style="561" customWidth="1"/>
    <col min="14378" max="14379" width="9.140625" style="561"/>
    <col min="14380" max="14380" width="30.5703125" style="561" bestFit="1" customWidth="1"/>
    <col min="14381" max="14381" width="16.85546875" style="561" customWidth="1"/>
    <col min="14382" max="14382" width="15" style="561" bestFit="1" customWidth="1"/>
    <col min="14383" max="14385" width="9.140625" style="561"/>
    <col min="14386" max="14386" width="16.85546875" style="561" bestFit="1" customWidth="1"/>
    <col min="14387" max="14387" width="17.42578125" style="561" bestFit="1" customWidth="1"/>
    <col min="14388" max="14388" width="9.140625" style="561"/>
    <col min="14389" max="14389" width="15" style="561" bestFit="1" customWidth="1"/>
    <col min="14390" max="14390" width="18.7109375" style="561" bestFit="1" customWidth="1"/>
    <col min="14391" max="14391" width="16.85546875" style="561" bestFit="1" customWidth="1"/>
    <col min="14392" max="14392" width="18.28515625" style="561" bestFit="1" customWidth="1"/>
    <col min="14393" max="14407" width="9.140625" style="561"/>
    <col min="14408" max="14408" width="15" style="561" bestFit="1" customWidth="1"/>
    <col min="14409" max="14411" width="9.140625" style="561"/>
    <col min="14412" max="14412" width="15" style="561" bestFit="1" customWidth="1"/>
    <col min="14413" max="14413" width="38.5703125" style="561" bestFit="1" customWidth="1"/>
    <col min="14414" max="14414" width="22" style="561" bestFit="1" customWidth="1"/>
    <col min="14415" max="14415" width="18.28515625" style="561" bestFit="1" customWidth="1"/>
    <col min="14416" max="14418" width="9.140625" style="561"/>
    <col min="14419" max="14419" width="18.7109375" style="561" customWidth="1"/>
    <col min="14420" max="14441" width="9.140625" style="561"/>
    <col min="14442" max="14442" width="10.85546875" style="561" customWidth="1"/>
    <col min="14443" max="14592" width="9.140625" style="561"/>
    <col min="14593" max="14593" width="2.85546875" style="561" customWidth="1"/>
    <col min="14594" max="14594" width="49.5703125" style="561" customWidth="1"/>
    <col min="14595" max="14595" width="8.42578125" style="561" customWidth="1"/>
    <col min="14596" max="14607" width="0" style="561" hidden="1" customWidth="1"/>
    <col min="14608" max="14608" width="15.28515625" style="561" customWidth="1"/>
    <col min="14609" max="14626" width="0" style="561" hidden="1" customWidth="1"/>
    <col min="14627" max="14627" width="0.42578125" style="561" customWidth="1"/>
    <col min="14628" max="14629" width="9.140625" style="561"/>
    <col min="14630" max="14630" width="24.28515625" style="561" customWidth="1"/>
    <col min="14631" max="14631" width="9.140625" style="561"/>
    <col min="14632" max="14632" width="18.140625" style="561" bestFit="1" customWidth="1"/>
    <col min="14633" max="14633" width="18.140625" style="561" customWidth="1"/>
    <col min="14634" max="14635" width="9.140625" style="561"/>
    <col min="14636" max="14636" width="30.5703125" style="561" bestFit="1" customWidth="1"/>
    <col min="14637" max="14637" width="16.85546875" style="561" customWidth="1"/>
    <col min="14638" max="14638" width="15" style="561" bestFit="1" customWidth="1"/>
    <col min="14639" max="14641" width="9.140625" style="561"/>
    <col min="14642" max="14642" width="16.85546875" style="561" bestFit="1" customWidth="1"/>
    <col min="14643" max="14643" width="17.42578125" style="561" bestFit="1" customWidth="1"/>
    <col min="14644" max="14644" width="9.140625" style="561"/>
    <col min="14645" max="14645" width="15" style="561" bestFit="1" customWidth="1"/>
    <col min="14646" max="14646" width="18.7109375" style="561" bestFit="1" customWidth="1"/>
    <col min="14647" max="14647" width="16.85546875" style="561" bestFit="1" customWidth="1"/>
    <col min="14648" max="14648" width="18.28515625" style="561" bestFit="1" customWidth="1"/>
    <col min="14649" max="14663" width="9.140625" style="561"/>
    <col min="14664" max="14664" width="15" style="561" bestFit="1" customWidth="1"/>
    <col min="14665" max="14667" width="9.140625" style="561"/>
    <col min="14668" max="14668" width="15" style="561" bestFit="1" customWidth="1"/>
    <col min="14669" max="14669" width="38.5703125" style="561" bestFit="1" customWidth="1"/>
    <col min="14670" max="14670" width="22" style="561" bestFit="1" customWidth="1"/>
    <col min="14671" max="14671" width="18.28515625" style="561" bestFit="1" customWidth="1"/>
    <col min="14672" max="14674" width="9.140625" style="561"/>
    <col min="14675" max="14675" width="18.7109375" style="561" customWidth="1"/>
    <col min="14676" max="14697" width="9.140625" style="561"/>
    <col min="14698" max="14698" width="10.85546875" style="561" customWidth="1"/>
    <col min="14699" max="14848" width="9.140625" style="561"/>
    <col min="14849" max="14849" width="2.85546875" style="561" customWidth="1"/>
    <col min="14850" max="14850" width="49.5703125" style="561" customWidth="1"/>
    <col min="14851" max="14851" width="8.42578125" style="561" customWidth="1"/>
    <col min="14852" max="14863" width="0" style="561" hidden="1" customWidth="1"/>
    <col min="14864" max="14864" width="15.28515625" style="561" customWidth="1"/>
    <col min="14865" max="14882" width="0" style="561" hidden="1" customWidth="1"/>
    <col min="14883" max="14883" width="0.42578125" style="561" customWidth="1"/>
    <col min="14884" max="14885" width="9.140625" style="561"/>
    <col min="14886" max="14886" width="24.28515625" style="561" customWidth="1"/>
    <col min="14887" max="14887" width="9.140625" style="561"/>
    <col min="14888" max="14888" width="18.140625" style="561" bestFit="1" customWidth="1"/>
    <col min="14889" max="14889" width="18.140625" style="561" customWidth="1"/>
    <col min="14890" max="14891" width="9.140625" style="561"/>
    <col min="14892" max="14892" width="30.5703125" style="561" bestFit="1" customWidth="1"/>
    <col min="14893" max="14893" width="16.85546875" style="561" customWidth="1"/>
    <col min="14894" max="14894" width="15" style="561" bestFit="1" customWidth="1"/>
    <col min="14895" max="14897" width="9.140625" style="561"/>
    <col min="14898" max="14898" width="16.85546875" style="561" bestFit="1" customWidth="1"/>
    <col min="14899" max="14899" width="17.42578125" style="561" bestFit="1" customWidth="1"/>
    <col min="14900" max="14900" width="9.140625" style="561"/>
    <col min="14901" max="14901" width="15" style="561" bestFit="1" customWidth="1"/>
    <col min="14902" max="14902" width="18.7109375" style="561" bestFit="1" customWidth="1"/>
    <col min="14903" max="14903" width="16.85546875" style="561" bestFit="1" customWidth="1"/>
    <col min="14904" max="14904" width="18.28515625" style="561" bestFit="1" customWidth="1"/>
    <col min="14905" max="14919" width="9.140625" style="561"/>
    <col min="14920" max="14920" width="15" style="561" bestFit="1" customWidth="1"/>
    <col min="14921" max="14923" width="9.140625" style="561"/>
    <col min="14924" max="14924" width="15" style="561" bestFit="1" customWidth="1"/>
    <col min="14925" max="14925" width="38.5703125" style="561" bestFit="1" customWidth="1"/>
    <col min="14926" max="14926" width="22" style="561" bestFit="1" customWidth="1"/>
    <col min="14927" max="14927" width="18.28515625" style="561" bestFit="1" customWidth="1"/>
    <col min="14928" max="14930" width="9.140625" style="561"/>
    <col min="14931" max="14931" width="18.7109375" style="561" customWidth="1"/>
    <col min="14932" max="14953" width="9.140625" style="561"/>
    <col min="14954" max="14954" width="10.85546875" style="561" customWidth="1"/>
    <col min="14955" max="15104" width="9.140625" style="561"/>
    <col min="15105" max="15105" width="2.85546875" style="561" customWidth="1"/>
    <col min="15106" max="15106" width="49.5703125" style="561" customWidth="1"/>
    <col min="15107" max="15107" width="8.42578125" style="561" customWidth="1"/>
    <col min="15108" max="15119" width="0" style="561" hidden="1" customWidth="1"/>
    <col min="15120" max="15120" width="15.28515625" style="561" customWidth="1"/>
    <col min="15121" max="15138" width="0" style="561" hidden="1" customWidth="1"/>
    <col min="15139" max="15139" width="0.42578125" style="561" customWidth="1"/>
    <col min="15140" max="15141" width="9.140625" style="561"/>
    <col min="15142" max="15142" width="24.28515625" style="561" customWidth="1"/>
    <col min="15143" max="15143" width="9.140625" style="561"/>
    <col min="15144" max="15144" width="18.140625" style="561" bestFit="1" customWidth="1"/>
    <col min="15145" max="15145" width="18.140625" style="561" customWidth="1"/>
    <col min="15146" max="15147" width="9.140625" style="561"/>
    <col min="15148" max="15148" width="30.5703125" style="561" bestFit="1" customWidth="1"/>
    <col min="15149" max="15149" width="16.85546875" style="561" customWidth="1"/>
    <col min="15150" max="15150" width="15" style="561" bestFit="1" customWidth="1"/>
    <col min="15151" max="15153" width="9.140625" style="561"/>
    <col min="15154" max="15154" width="16.85546875" style="561" bestFit="1" customWidth="1"/>
    <col min="15155" max="15155" width="17.42578125" style="561" bestFit="1" customWidth="1"/>
    <col min="15156" max="15156" width="9.140625" style="561"/>
    <col min="15157" max="15157" width="15" style="561" bestFit="1" customWidth="1"/>
    <col min="15158" max="15158" width="18.7109375" style="561" bestFit="1" customWidth="1"/>
    <col min="15159" max="15159" width="16.85546875" style="561" bestFit="1" customWidth="1"/>
    <col min="15160" max="15160" width="18.28515625" style="561" bestFit="1" customWidth="1"/>
    <col min="15161" max="15175" width="9.140625" style="561"/>
    <col min="15176" max="15176" width="15" style="561" bestFit="1" customWidth="1"/>
    <col min="15177" max="15179" width="9.140625" style="561"/>
    <col min="15180" max="15180" width="15" style="561" bestFit="1" customWidth="1"/>
    <col min="15181" max="15181" width="38.5703125" style="561" bestFit="1" customWidth="1"/>
    <col min="15182" max="15182" width="22" style="561" bestFit="1" customWidth="1"/>
    <col min="15183" max="15183" width="18.28515625" style="561" bestFit="1" customWidth="1"/>
    <col min="15184" max="15186" width="9.140625" style="561"/>
    <col min="15187" max="15187" width="18.7109375" style="561" customWidth="1"/>
    <col min="15188" max="15209" width="9.140625" style="561"/>
    <col min="15210" max="15210" width="10.85546875" style="561" customWidth="1"/>
    <col min="15211" max="15360" width="9.140625" style="561"/>
    <col min="15361" max="15361" width="2.85546875" style="561" customWidth="1"/>
    <col min="15362" max="15362" width="49.5703125" style="561" customWidth="1"/>
    <col min="15363" max="15363" width="8.42578125" style="561" customWidth="1"/>
    <col min="15364" max="15375" width="0" style="561" hidden="1" customWidth="1"/>
    <col min="15376" max="15376" width="15.28515625" style="561" customWidth="1"/>
    <col min="15377" max="15394" width="0" style="561" hidden="1" customWidth="1"/>
    <col min="15395" max="15395" width="0.42578125" style="561" customWidth="1"/>
    <col min="15396" max="15397" width="9.140625" style="561"/>
    <col min="15398" max="15398" width="24.28515625" style="561" customWidth="1"/>
    <col min="15399" max="15399" width="9.140625" style="561"/>
    <col min="15400" max="15400" width="18.140625" style="561" bestFit="1" customWidth="1"/>
    <col min="15401" max="15401" width="18.140625" style="561" customWidth="1"/>
    <col min="15402" max="15403" width="9.140625" style="561"/>
    <col min="15404" max="15404" width="30.5703125" style="561" bestFit="1" customWidth="1"/>
    <col min="15405" max="15405" width="16.85546875" style="561" customWidth="1"/>
    <col min="15406" max="15406" width="15" style="561" bestFit="1" customWidth="1"/>
    <col min="15407" max="15409" width="9.140625" style="561"/>
    <col min="15410" max="15410" width="16.85546875" style="561" bestFit="1" customWidth="1"/>
    <col min="15411" max="15411" width="17.42578125" style="561" bestFit="1" customWidth="1"/>
    <col min="15412" max="15412" width="9.140625" style="561"/>
    <col min="15413" max="15413" width="15" style="561" bestFit="1" customWidth="1"/>
    <col min="15414" max="15414" width="18.7109375" style="561" bestFit="1" customWidth="1"/>
    <col min="15415" max="15415" width="16.85546875" style="561" bestFit="1" customWidth="1"/>
    <col min="15416" max="15416" width="18.28515625" style="561" bestFit="1" customWidth="1"/>
    <col min="15417" max="15431" width="9.140625" style="561"/>
    <col min="15432" max="15432" width="15" style="561" bestFit="1" customWidth="1"/>
    <col min="15433" max="15435" width="9.140625" style="561"/>
    <col min="15436" max="15436" width="15" style="561" bestFit="1" customWidth="1"/>
    <col min="15437" max="15437" width="38.5703125" style="561" bestFit="1" customWidth="1"/>
    <col min="15438" max="15438" width="22" style="561" bestFit="1" customWidth="1"/>
    <col min="15439" max="15439" width="18.28515625" style="561" bestFit="1" customWidth="1"/>
    <col min="15440" max="15442" width="9.140625" style="561"/>
    <col min="15443" max="15443" width="18.7109375" style="561" customWidth="1"/>
    <col min="15444" max="15465" width="9.140625" style="561"/>
    <col min="15466" max="15466" width="10.85546875" style="561" customWidth="1"/>
    <col min="15467" max="15616" width="9.140625" style="561"/>
    <col min="15617" max="15617" width="2.85546875" style="561" customWidth="1"/>
    <col min="15618" max="15618" width="49.5703125" style="561" customWidth="1"/>
    <col min="15619" max="15619" width="8.42578125" style="561" customWidth="1"/>
    <col min="15620" max="15631" width="0" style="561" hidden="1" customWidth="1"/>
    <col min="15632" max="15632" width="15.28515625" style="561" customWidth="1"/>
    <col min="15633" max="15650" width="0" style="561" hidden="1" customWidth="1"/>
    <col min="15651" max="15651" width="0.42578125" style="561" customWidth="1"/>
    <col min="15652" max="15653" width="9.140625" style="561"/>
    <col min="15654" max="15654" width="24.28515625" style="561" customWidth="1"/>
    <col min="15655" max="15655" width="9.140625" style="561"/>
    <col min="15656" max="15656" width="18.140625" style="561" bestFit="1" customWidth="1"/>
    <col min="15657" max="15657" width="18.140625" style="561" customWidth="1"/>
    <col min="15658" max="15659" width="9.140625" style="561"/>
    <col min="15660" max="15660" width="30.5703125" style="561" bestFit="1" customWidth="1"/>
    <col min="15661" max="15661" width="16.85546875" style="561" customWidth="1"/>
    <col min="15662" max="15662" width="15" style="561" bestFit="1" customWidth="1"/>
    <col min="15663" max="15665" width="9.140625" style="561"/>
    <col min="15666" max="15666" width="16.85546875" style="561" bestFit="1" customWidth="1"/>
    <col min="15667" max="15667" width="17.42578125" style="561" bestFit="1" customWidth="1"/>
    <col min="15668" max="15668" width="9.140625" style="561"/>
    <col min="15669" max="15669" width="15" style="561" bestFit="1" customWidth="1"/>
    <col min="15670" max="15670" width="18.7109375" style="561" bestFit="1" customWidth="1"/>
    <col min="15671" max="15671" width="16.85546875" style="561" bestFit="1" customWidth="1"/>
    <col min="15672" max="15672" width="18.28515625" style="561" bestFit="1" customWidth="1"/>
    <col min="15673" max="15687" width="9.140625" style="561"/>
    <col min="15688" max="15688" width="15" style="561" bestFit="1" customWidth="1"/>
    <col min="15689" max="15691" width="9.140625" style="561"/>
    <col min="15692" max="15692" width="15" style="561" bestFit="1" customWidth="1"/>
    <col min="15693" max="15693" width="38.5703125" style="561" bestFit="1" customWidth="1"/>
    <col min="15694" max="15694" width="22" style="561" bestFit="1" customWidth="1"/>
    <col min="15695" max="15695" width="18.28515625" style="561" bestFit="1" customWidth="1"/>
    <col min="15696" max="15698" width="9.140625" style="561"/>
    <col min="15699" max="15699" width="18.7109375" style="561" customWidth="1"/>
    <col min="15700" max="15721" width="9.140625" style="561"/>
    <col min="15722" max="15722" width="10.85546875" style="561" customWidth="1"/>
    <col min="15723" max="15872" width="9.140625" style="561"/>
    <col min="15873" max="15873" width="2.85546875" style="561" customWidth="1"/>
    <col min="15874" max="15874" width="49.5703125" style="561" customWidth="1"/>
    <col min="15875" max="15875" width="8.42578125" style="561" customWidth="1"/>
    <col min="15876" max="15887" width="0" style="561" hidden="1" customWidth="1"/>
    <col min="15888" max="15888" width="15.28515625" style="561" customWidth="1"/>
    <col min="15889" max="15906" width="0" style="561" hidden="1" customWidth="1"/>
    <col min="15907" max="15907" width="0.42578125" style="561" customWidth="1"/>
    <col min="15908" max="15909" width="9.140625" style="561"/>
    <col min="15910" max="15910" width="24.28515625" style="561" customWidth="1"/>
    <col min="15911" max="15911" width="9.140625" style="561"/>
    <col min="15912" max="15912" width="18.140625" style="561" bestFit="1" customWidth="1"/>
    <col min="15913" max="15913" width="18.140625" style="561" customWidth="1"/>
    <col min="15914" max="15915" width="9.140625" style="561"/>
    <col min="15916" max="15916" width="30.5703125" style="561" bestFit="1" customWidth="1"/>
    <col min="15917" max="15917" width="16.85546875" style="561" customWidth="1"/>
    <col min="15918" max="15918" width="15" style="561" bestFit="1" customWidth="1"/>
    <col min="15919" max="15921" width="9.140625" style="561"/>
    <col min="15922" max="15922" width="16.85546875" style="561" bestFit="1" customWidth="1"/>
    <col min="15923" max="15923" width="17.42578125" style="561" bestFit="1" customWidth="1"/>
    <col min="15924" max="15924" width="9.140625" style="561"/>
    <col min="15925" max="15925" width="15" style="561" bestFit="1" customWidth="1"/>
    <col min="15926" max="15926" width="18.7109375" style="561" bestFit="1" customWidth="1"/>
    <col min="15927" max="15927" width="16.85546875" style="561" bestFit="1" customWidth="1"/>
    <col min="15928" max="15928" width="18.28515625" style="561" bestFit="1" customWidth="1"/>
    <col min="15929" max="15943" width="9.140625" style="561"/>
    <col min="15944" max="15944" width="15" style="561" bestFit="1" customWidth="1"/>
    <col min="15945" max="15947" width="9.140625" style="561"/>
    <col min="15948" max="15948" width="15" style="561" bestFit="1" customWidth="1"/>
    <col min="15949" max="15949" width="38.5703125" style="561" bestFit="1" customWidth="1"/>
    <col min="15950" max="15950" width="22" style="561" bestFit="1" customWidth="1"/>
    <col min="15951" max="15951" width="18.28515625" style="561" bestFit="1" customWidth="1"/>
    <col min="15952" max="15954" width="9.140625" style="561"/>
    <col min="15955" max="15955" width="18.7109375" style="561" customWidth="1"/>
    <col min="15956" max="15977" width="9.140625" style="561"/>
    <col min="15978" max="15978" width="10.85546875" style="561" customWidth="1"/>
    <col min="15979" max="16128" width="9.140625" style="561"/>
    <col min="16129" max="16129" width="2.85546875" style="561" customWidth="1"/>
    <col min="16130" max="16130" width="49.5703125" style="561" customWidth="1"/>
    <col min="16131" max="16131" width="8.42578125" style="561" customWidth="1"/>
    <col min="16132" max="16143" width="0" style="561" hidden="1" customWidth="1"/>
    <col min="16144" max="16144" width="15.28515625" style="561" customWidth="1"/>
    <col min="16145" max="16162" width="0" style="561" hidden="1" customWidth="1"/>
    <col min="16163" max="16163" width="0.42578125" style="561" customWidth="1"/>
    <col min="16164" max="16165" width="9.140625" style="561"/>
    <col min="16166" max="16166" width="24.28515625" style="561" customWidth="1"/>
    <col min="16167" max="16167" width="9.140625" style="561"/>
    <col min="16168" max="16168" width="18.140625" style="561" bestFit="1" customWidth="1"/>
    <col min="16169" max="16169" width="18.140625" style="561" customWidth="1"/>
    <col min="16170" max="16171" width="9.140625" style="561"/>
    <col min="16172" max="16172" width="30.5703125" style="561" bestFit="1" customWidth="1"/>
    <col min="16173" max="16173" width="16.85546875" style="561" customWidth="1"/>
    <col min="16174" max="16174" width="15" style="561" bestFit="1" customWidth="1"/>
    <col min="16175" max="16177" width="9.140625" style="561"/>
    <col min="16178" max="16178" width="16.85546875" style="561" bestFit="1" customWidth="1"/>
    <col min="16179" max="16179" width="17.42578125" style="561" bestFit="1" customWidth="1"/>
    <col min="16180" max="16180" width="9.140625" style="561"/>
    <col min="16181" max="16181" width="15" style="561" bestFit="1" customWidth="1"/>
    <col min="16182" max="16182" width="18.7109375" style="561" bestFit="1" customWidth="1"/>
    <col min="16183" max="16183" width="16.85546875" style="561" bestFit="1" customWidth="1"/>
    <col min="16184" max="16184" width="18.28515625" style="561" bestFit="1" customWidth="1"/>
    <col min="16185" max="16199" width="9.140625" style="561"/>
    <col min="16200" max="16200" width="15" style="561" bestFit="1" customWidth="1"/>
    <col min="16201" max="16203" width="9.140625" style="561"/>
    <col min="16204" max="16204" width="15" style="561" bestFit="1" customWidth="1"/>
    <col min="16205" max="16205" width="38.5703125" style="561" bestFit="1" customWidth="1"/>
    <col min="16206" max="16206" width="22" style="561" bestFit="1" customWidth="1"/>
    <col min="16207" max="16207" width="18.28515625" style="561" bestFit="1" customWidth="1"/>
    <col min="16208" max="16210" width="9.140625" style="561"/>
    <col min="16211" max="16211" width="18.7109375" style="561" customWidth="1"/>
    <col min="16212" max="16233" width="9.140625" style="561"/>
    <col min="16234" max="16234" width="10.85546875" style="561" customWidth="1"/>
    <col min="16235" max="16384" width="9.140625" style="561"/>
  </cols>
  <sheetData>
    <row r="1" spans="1:112" ht="131.25" hidden="1" customHeight="1">
      <c r="B1" s="562"/>
      <c r="D1" s="563" t="s">
        <v>1254</v>
      </c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</row>
    <row r="2" spans="1:112" ht="14.25" hidden="1" customHeight="1">
      <c r="A2" s="564"/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5"/>
      <c r="T2" s="565"/>
      <c r="U2" s="564"/>
      <c r="V2" s="564"/>
      <c r="W2" s="564"/>
      <c r="X2" s="564"/>
      <c r="Y2" s="564"/>
      <c r="Z2" s="564"/>
      <c r="AA2" s="564"/>
      <c r="AB2" s="566"/>
      <c r="AC2" s="564"/>
      <c r="AD2" s="564"/>
      <c r="AE2" s="564"/>
      <c r="AF2" s="564"/>
      <c r="AG2" s="564"/>
      <c r="AH2" s="564"/>
    </row>
    <row r="3" spans="1:112" ht="21.75" hidden="1" customHeight="1">
      <c r="A3" s="1803" t="s">
        <v>1148</v>
      </c>
      <c r="B3" s="1803" t="s">
        <v>1166</v>
      </c>
      <c r="C3" s="1810"/>
      <c r="D3" s="1803" t="s">
        <v>1167</v>
      </c>
      <c r="E3" s="1803" t="s">
        <v>1168</v>
      </c>
      <c r="F3" s="1804" t="s">
        <v>1169</v>
      </c>
      <c r="G3" s="1805"/>
      <c r="H3" s="1805"/>
      <c r="I3" s="1805"/>
      <c r="J3" s="1805"/>
      <c r="K3" s="1805"/>
      <c r="L3" s="1805"/>
      <c r="M3" s="1805"/>
      <c r="N3" s="1805"/>
      <c r="O3" s="1805"/>
      <c r="P3" s="1805"/>
      <c r="Q3" s="1805"/>
      <c r="R3" s="1805"/>
      <c r="S3" s="1805"/>
      <c r="T3" s="1806"/>
      <c r="U3" s="1802" t="s">
        <v>1255</v>
      </c>
      <c r="V3" s="1802"/>
      <c r="W3" s="1802"/>
      <c r="X3" s="1802"/>
      <c r="Y3" s="1802"/>
      <c r="Z3" s="1802"/>
      <c r="AA3" s="1802"/>
      <c r="AB3" s="1802"/>
      <c r="AC3" s="1802"/>
      <c r="AD3" s="1802"/>
      <c r="AE3" s="1802"/>
      <c r="AF3" s="1802"/>
      <c r="AG3" s="1802"/>
      <c r="AH3" s="1802"/>
      <c r="AI3" s="1802"/>
    </row>
    <row r="4" spans="1:112" ht="62.25" customHeight="1">
      <c r="A4" s="1809"/>
      <c r="B4" s="1809"/>
      <c r="C4" s="1811"/>
      <c r="D4" s="1809"/>
      <c r="E4" s="1809"/>
      <c r="F4" s="1802" t="s">
        <v>1171</v>
      </c>
      <c r="G4" s="1802" t="s">
        <v>1172</v>
      </c>
      <c r="H4" s="1802"/>
      <c r="I4" s="1802" t="s">
        <v>1173</v>
      </c>
      <c r="J4" s="1802"/>
      <c r="K4" s="1802" t="s">
        <v>1174</v>
      </c>
      <c r="L4" s="1802"/>
      <c r="M4" s="1802" t="s">
        <v>1175</v>
      </c>
      <c r="N4" s="1802" t="s">
        <v>1176</v>
      </c>
      <c r="O4" s="1802"/>
      <c r="P4" s="1802" t="s">
        <v>1177</v>
      </c>
      <c r="Q4" s="1802" t="s">
        <v>1178</v>
      </c>
      <c r="R4" s="1807" t="s">
        <v>1179</v>
      </c>
      <c r="S4" s="1802" t="s">
        <v>1180</v>
      </c>
      <c r="T4" s="1803" t="s">
        <v>1256</v>
      </c>
      <c r="U4" s="1801" t="s">
        <v>1183</v>
      </c>
      <c r="V4" s="1801" t="s">
        <v>1172</v>
      </c>
      <c r="W4" s="1801"/>
      <c r="X4" s="1801" t="s">
        <v>1173</v>
      </c>
      <c r="Y4" s="1801"/>
      <c r="Z4" s="1801" t="s">
        <v>1174</v>
      </c>
      <c r="AA4" s="1801"/>
      <c r="AB4" s="1801" t="s">
        <v>1175</v>
      </c>
      <c r="AC4" s="1801" t="s">
        <v>1184</v>
      </c>
      <c r="AD4" s="1801"/>
      <c r="AE4" s="1801" t="s">
        <v>1185</v>
      </c>
      <c r="AF4" s="1801" t="s">
        <v>1178</v>
      </c>
      <c r="AG4" s="1801" t="s">
        <v>1186</v>
      </c>
      <c r="AH4" s="1801" t="s">
        <v>1187</v>
      </c>
      <c r="AI4" s="1803" t="s">
        <v>1257</v>
      </c>
      <c r="AJ4" s="23" t="s">
        <v>334</v>
      </c>
      <c r="AK4" s="24" t="s">
        <v>337</v>
      </c>
      <c r="AL4" s="25" t="s">
        <v>340</v>
      </c>
      <c r="AM4" s="25" t="s">
        <v>342</v>
      </c>
      <c r="AN4" s="25" t="s">
        <v>344</v>
      </c>
      <c r="AO4" s="24" t="s">
        <v>346</v>
      </c>
      <c r="AP4" s="25" t="s">
        <v>349</v>
      </c>
      <c r="AQ4" s="25" t="s">
        <v>351</v>
      </c>
      <c r="AR4" s="24" t="s">
        <v>353</v>
      </c>
      <c r="AS4" s="27" t="s">
        <v>355</v>
      </c>
      <c r="AT4" s="27" t="s">
        <v>357</v>
      </c>
      <c r="AU4" s="27" t="s">
        <v>359</v>
      </c>
      <c r="AV4" s="27" t="s">
        <v>361</v>
      </c>
      <c r="AW4" s="27" t="s">
        <v>363</v>
      </c>
      <c r="AX4" s="27" t="s">
        <v>365</v>
      </c>
      <c r="AY4" s="27" t="s">
        <v>367</v>
      </c>
      <c r="AZ4" s="27" t="s">
        <v>369</v>
      </c>
      <c r="BA4" s="27" t="s">
        <v>371</v>
      </c>
      <c r="BB4" s="27" t="s">
        <v>373</v>
      </c>
      <c r="BC4" s="27" t="s">
        <v>375</v>
      </c>
      <c r="BD4" s="27" t="s">
        <v>377</v>
      </c>
      <c r="BE4" s="23" t="s">
        <v>379</v>
      </c>
      <c r="BF4" s="24" t="s">
        <v>383</v>
      </c>
      <c r="BG4" s="30" t="s">
        <v>387</v>
      </c>
      <c r="BH4" s="30" t="s">
        <v>389</v>
      </c>
      <c r="BI4" s="24" t="s">
        <v>391</v>
      </c>
      <c r="BJ4" s="30" t="s">
        <v>394</v>
      </c>
      <c r="BK4" s="24" t="s">
        <v>396</v>
      </c>
      <c r="BL4" s="25" t="s">
        <v>400</v>
      </c>
      <c r="BM4" s="23" t="s">
        <v>402</v>
      </c>
      <c r="BN4" s="24" t="s">
        <v>404</v>
      </c>
      <c r="BO4" s="33" t="s">
        <v>406</v>
      </c>
      <c r="BP4" s="33" t="s">
        <v>409</v>
      </c>
      <c r="BQ4" s="33" t="s">
        <v>412</v>
      </c>
      <c r="BR4" s="24" t="s">
        <v>415</v>
      </c>
      <c r="BS4" s="24" t="s">
        <v>418</v>
      </c>
      <c r="BT4" s="24" t="s">
        <v>421</v>
      </c>
      <c r="BU4" s="33" t="s">
        <v>423</v>
      </c>
      <c r="BV4" s="33" t="s">
        <v>425</v>
      </c>
      <c r="BW4" s="33" t="s">
        <v>428</v>
      </c>
      <c r="BX4" s="33" t="s">
        <v>431</v>
      </c>
      <c r="BY4" s="26" t="s">
        <v>434</v>
      </c>
      <c r="BZ4" s="26" t="s">
        <v>436</v>
      </c>
      <c r="CA4" s="33" t="s">
        <v>438</v>
      </c>
      <c r="CB4" s="33" t="s">
        <v>441</v>
      </c>
      <c r="CC4" s="24" t="s">
        <v>443</v>
      </c>
      <c r="CD4" s="23" t="s">
        <v>446</v>
      </c>
      <c r="CE4" s="24" t="s">
        <v>449</v>
      </c>
      <c r="CF4" s="24" t="s">
        <v>452</v>
      </c>
      <c r="CG4" s="24" t="s">
        <v>455</v>
      </c>
      <c r="CH4" s="23" t="s">
        <v>458</v>
      </c>
      <c r="CI4" s="24" t="s">
        <v>460</v>
      </c>
      <c r="CJ4" s="24" t="s">
        <v>464</v>
      </c>
      <c r="CK4" s="25" t="s">
        <v>469</v>
      </c>
      <c r="CL4" s="567" t="s">
        <v>472</v>
      </c>
      <c r="CM4" s="568" t="s">
        <v>475</v>
      </c>
      <c r="CN4" s="28" t="s">
        <v>480</v>
      </c>
      <c r="CO4" s="28" t="s">
        <v>483</v>
      </c>
      <c r="CP4" s="568" t="s">
        <v>488</v>
      </c>
      <c r="CQ4" s="569" t="s">
        <v>493</v>
      </c>
      <c r="CR4" s="569" t="s">
        <v>496</v>
      </c>
      <c r="CS4" s="568" t="s">
        <v>498</v>
      </c>
      <c r="CT4" s="568" t="s">
        <v>502</v>
      </c>
      <c r="CU4" s="568" t="s">
        <v>507</v>
      </c>
      <c r="CV4" s="21" t="s">
        <v>512</v>
      </c>
      <c r="CW4" s="21" t="s">
        <v>514</v>
      </c>
      <c r="CX4" s="28" t="s">
        <v>516</v>
      </c>
      <c r="CY4" s="568" t="s">
        <v>519</v>
      </c>
      <c r="CZ4" s="568" t="s">
        <v>524</v>
      </c>
      <c r="DA4" s="568" t="s">
        <v>527</v>
      </c>
      <c r="DB4" s="24" t="s">
        <v>532</v>
      </c>
      <c r="DC4" s="24" t="s">
        <v>535</v>
      </c>
      <c r="DD4" s="23" t="s">
        <v>568</v>
      </c>
      <c r="DE4" s="19" t="s">
        <v>570</v>
      </c>
      <c r="DF4" s="19" t="s">
        <v>573</v>
      </c>
      <c r="DG4" s="19" t="s">
        <v>576</v>
      </c>
    </row>
    <row r="5" spans="1:112" ht="84" customHeight="1">
      <c r="A5" s="1801"/>
      <c r="B5" s="1801"/>
      <c r="C5" s="1812"/>
      <c r="D5" s="1801"/>
      <c r="E5" s="1801"/>
      <c r="F5" s="1802"/>
      <c r="G5" s="635" t="s">
        <v>1188</v>
      </c>
      <c r="H5" s="635" t="s">
        <v>1189</v>
      </c>
      <c r="I5" s="635" t="s">
        <v>1188</v>
      </c>
      <c r="J5" s="635" t="s">
        <v>1189</v>
      </c>
      <c r="K5" s="635" t="s">
        <v>1188</v>
      </c>
      <c r="L5" s="635" t="s">
        <v>1189</v>
      </c>
      <c r="M5" s="1802"/>
      <c r="N5" s="635" t="s">
        <v>1190</v>
      </c>
      <c r="O5" s="635" t="s">
        <v>1191</v>
      </c>
      <c r="P5" s="1802"/>
      <c r="Q5" s="1802"/>
      <c r="R5" s="1808"/>
      <c r="S5" s="1802"/>
      <c r="T5" s="1801"/>
      <c r="U5" s="1802"/>
      <c r="V5" s="635" t="s">
        <v>1188</v>
      </c>
      <c r="W5" s="635" t="s">
        <v>1189</v>
      </c>
      <c r="X5" s="635" t="s">
        <v>1188</v>
      </c>
      <c r="Y5" s="635" t="s">
        <v>1189</v>
      </c>
      <c r="Z5" s="635" t="s">
        <v>1188</v>
      </c>
      <c r="AA5" s="635" t="s">
        <v>1189</v>
      </c>
      <c r="AB5" s="1802"/>
      <c r="AC5" s="635" t="s">
        <v>1190</v>
      </c>
      <c r="AD5" s="635" t="s">
        <v>1191</v>
      </c>
      <c r="AE5" s="1802"/>
      <c r="AF5" s="1802"/>
      <c r="AG5" s="1802"/>
      <c r="AH5" s="1802"/>
      <c r="AI5" s="1801"/>
      <c r="AJ5" s="18" t="s">
        <v>336</v>
      </c>
      <c r="AK5" s="18" t="s">
        <v>339</v>
      </c>
      <c r="AL5" s="144" t="s">
        <v>341</v>
      </c>
      <c r="AM5" s="18" t="s">
        <v>343</v>
      </c>
      <c r="AN5" s="18" t="s">
        <v>345</v>
      </c>
      <c r="AO5" s="18" t="s">
        <v>348</v>
      </c>
      <c r="AP5" s="18" t="s">
        <v>350</v>
      </c>
      <c r="AQ5" s="18" t="s">
        <v>352</v>
      </c>
      <c r="AR5" s="21" t="s">
        <v>354</v>
      </c>
      <c r="AS5" s="27" t="s">
        <v>356</v>
      </c>
      <c r="AT5" s="143" t="s">
        <v>358</v>
      </c>
      <c r="AU5" s="27" t="s">
        <v>360</v>
      </c>
      <c r="AV5" s="27" t="s">
        <v>809</v>
      </c>
      <c r="AW5" s="27" t="s">
        <v>364</v>
      </c>
      <c r="AX5" s="27" t="s">
        <v>366</v>
      </c>
      <c r="AY5" s="143" t="s">
        <v>368</v>
      </c>
      <c r="AZ5" s="27" t="s">
        <v>810</v>
      </c>
      <c r="BA5" s="27" t="s">
        <v>372</v>
      </c>
      <c r="BB5" s="143" t="s">
        <v>808</v>
      </c>
      <c r="BC5" s="27" t="s">
        <v>376</v>
      </c>
      <c r="BD5" s="143" t="s">
        <v>378</v>
      </c>
      <c r="BE5" s="28" t="s">
        <v>381</v>
      </c>
      <c r="BF5" s="29" t="s">
        <v>385</v>
      </c>
      <c r="BG5" s="31" t="s">
        <v>388</v>
      </c>
      <c r="BH5" s="31"/>
      <c r="BI5" s="21" t="s">
        <v>393</v>
      </c>
      <c r="BJ5" s="32" t="s">
        <v>395</v>
      </c>
      <c r="BK5" s="21" t="s">
        <v>398</v>
      </c>
      <c r="BL5" s="31" t="s">
        <v>401</v>
      </c>
      <c r="BM5" s="28" t="s">
        <v>812</v>
      </c>
      <c r="BN5" s="21" t="s">
        <v>811</v>
      </c>
      <c r="BO5" s="21" t="s">
        <v>408</v>
      </c>
      <c r="BP5" s="18" t="s">
        <v>411</v>
      </c>
      <c r="BQ5" s="18" t="s">
        <v>414</v>
      </c>
      <c r="BR5" s="18" t="s">
        <v>417</v>
      </c>
      <c r="BS5" s="18" t="s">
        <v>420</v>
      </c>
      <c r="BT5" s="18" t="s">
        <v>422</v>
      </c>
      <c r="BU5" s="18" t="s">
        <v>424</v>
      </c>
      <c r="BV5" s="18" t="s">
        <v>426</v>
      </c>
      <c r="BW5" s="18" t="s">
        <v>429</v>
      </c>
      <c r="BX5" s="18" t="s">
        <v>432</v>
      </c>
      <c r="BY5" s="27" t="s">
        <v>435</v>
      </c>
      <c r="BZ5" s="143" t="s">
        <v>437</v>
      </c>
      <c r="CA5" s="18" t="s">
        <v>439</v>
      </c>
      <c r="CB5" s="18" t="s">
        <v>442</v>
      </c>
      <c r="CC5" s="18" t="s">
        <v>445</v>
      </c>
      <c r="CD5" s="35" t="s">
        <v>448</v>
      </c>
      <c r="CE5" s="18" t="s">
        <v>451</v>
      </c>
      <c r="CF5" s="18" t="s">
        <v>454</v>
      </c>
      <c r="CG5" s="18" t="s">
        <v>457</v>
      </c>
      <c r="CH5" s="35" t="s">
        <v>813</v>
      </c>
      <c r="CI5" s="18" t="s">
        <v>462</v>
      </c>
      <c r="CJ5" s="18" t="s">
        <v>466</v>
      </c>
      <c r="CK5" s="32"/>
      <c r="CL5" s="32" t="s">
        <v>473</v>
      </c>
      <c r="CM5" s="570" t="s">
        <v>477</v>
      </c>
      <c r="CN5" s="20" t="s">
        <v>482</v>
      </c>
      <c r="CO5" s="20" t="s">
        <v>485</v>
      </c>
      <c r="CP5" s="21" t="s">
        <v>490</v>
      </c>
      <c r="CQ5" s="21" t="s">
        <v>494</v>
      </c>
      <c r="CR5" s="21" t="s">
        <v>77</v>
      </c>
      <c r="CS5" s="21" t="s">
        <v>500</v>
      </c>
      <c r="CT5" s="21" t="s">
        <v>504</v>
      </c>
      <c r="CU5" s="21" t="s">
        <v>509</v>
      </c>
      <c r="CV5" s="21" t="s">
        <v>513</v>
      </c>
      <c r="CW5" s="21" t="s">
        <v>515</v>
      </c>
      <c r="CX5" s="21" t="s">
        <v>517</v>
      </c>
      <c r="CY5" s="21" t="s">
        <v>521</v>
      </c>
      <c r="CZ5" s="21" t="s">
        <v>525</v>
      </c>
      <c r="DA5" s="21" t="s">
        <v>529</v>
      </c>
      <c r="DB5" s="143" t="s">
        <v>533</v>
      </c>
      <c r="DC5" s="18" t="s">
        <v>536</v>
      </c>
      <c r="DD5" s="35" t="s">
        <v>40</v>
      </c>
      <c r="DE5" s="20" t="s">
        <v>571</v>
      </c>
      <c r="DF5" s="38" t="s">
        <v>574</v>
      </c>
      <c r="DG5" s="38" t="s">
        <v>577</v>
      </c>
      <c r="DH5" s="561" t="s">
        <v>2058</v>
      </c>
    </row>
    <row r="6" spans="1:112" ht="84" customHeight="1">
      <c r="A6" s="571"/>
      <c r="B6" s="572" t="s">
        <v>1197</v>
      </c>
      <c r="C6" s="573"/>
      <c r="D6" s="572"/>
      <c r="E6" s="572"/>
      <c r="F6" s="636"/>
      <c r="G6" s="636"/>
      <c r="H6" s="636"/>
      <c r="I6" s="636"/>
      <c r="J6" s="636"/>
      <c r="K6" s="636"/>
      <c r="L6" s="636"/>
      <c r="M6" s="636"/>
      <c r="N6" s="636"/>
      <c r="O6" s="636"/>
      <c r="P6" s="659">
        <f>SUM(AJ6:DG6)</f>
        <v>168016502.99324611</v>
      </c>
      <c r="Q6" s="635"/>
      <c r="R6" s="637"/>
      <c r="S6" s="635"/>
      <c r="T6" s="634"/>
      <c r="U6" s="635"/>
      <c r="V6" s="635"/>
      <c r="W6" s="635"/>
      <c r="X6" s="635"/>
      <c r="Y6" s="635"/>
      <c r="Z6" s="635"/>
      <c r="AA6" s="635"/>
      <c r="AB6" s="635"/>
      <c r="AC6" s="635"/>
      <c r="AD6" s="635"/>
      <c r="AE6" s="635"/>
      <c r="AF6" s="635"/>
      <c r="AG6" s="635"/>
      <c r="AH6" s="635"/>
      <c r="AI6" s="634"/>
      <c r="AJ6" s="142"/>
      <c r="AK6" s="930"/>
      <c r="AL6" s="638">
        <v>104776723.00914511</v>
      </c>
      <c r="AM6" s="638">
        <v>5195108.2034283802</v>
      </c>
      <c r="AN6" s="638">
        <v>2815304.8286487004</v>
      </c>
      <c r="AO6" s="638">
        <v>0</v>
      </c>
      <c r="AP6" s="638">
        <v>0</v>
      </c>
      <c r="AQ6" s="638">
        <v>0</v>
      </c>
      <c r="AR6" s="638">
        <v>1109093.9031956154</v>
      </c>
      <c r="AS6" s="638">
        <v>0</v>
      </c>
      <c r="AT6" s="638">
        <v>1287033.8496066625</v>
      </c>
      <c r="AU6" s="638">
        <v>445574.05640713172</v>
      </c>
      <c r="AV6" s="638">
        <v>0</v>
      </c>
      <c r="AW6" s="638">
        <v>0</v>
      </c>
      <c r="AX6" s="638">
        <v>9447910.9437169712</v>
      </c>
      <c r="AY6" s="638">
        <v>1265324.9430076685</v>
      </c>
      <c r="AZ6" s="638"/>
      <c r="BA6" s="638">
        <v>251948.20017133447</v>
      </c>
      <c r="BB6" s="638">
        <v>21806418.801811818</v>
      </c>
      <c r="BC6" s="638">
        <v>1983851.5618386739</v>
      </c>
      <c r="BD6" s="638">
        <v>14651925.651784573</v>
      </c>
      <c r="BE6" s="638">
        <v>0</v>
      </c>
      <c r="BF6" s="638">
        <v>0</v>
      </c>
      <c r="BG6" s="638">
        <v>0</v>
      </c>
      <c r="BH6" s="638">
        <v>0</v>
      </c>
      <c r="BI6" s="638">
        <v>0</v>
      </c>
      <c r="BJ6" s="638">
        <v>0</v>
      </c>
      <c r="BK6" s="638">
        <v>0</v>
      </c>
      <c r="BL6" s="638">
        <v>0</v>
      </c>
      <c r="BM6" s="638">
        <v>0</v>
      </c>
      <c r="BN6" s="638">
        <v>0</v>
      </c>
      <c r="BO6" s="638">
        <v>0</v>
      </c>
      <c r="BP6" s="638">
        <v>0</v>
      </c>
      <c r="BQ6" s="638">
        <v>0</v>
      </c>
      <c r="BR6" s="638">
        <v>0</v>
      </c>
      <c r="BS6" s="638">
        <v>0</v>
      </c>
      <c r="BT6" s="638">
        <v>418784.75616683072</v>
      </c>
      <c r="BU6" s="638">
        <v>0</v>
      </c>
      <c r="BV6" s="638">
        <v>0</v>
      </c>
      <c r="BW6" s="638">
        <v>0</v>
      </c>
      <c r="BX6" s="638">
        <v>222596.61517562831</v>
      </c>
      <c r="BY6" s="638">
        <v>0</v>
      </c>
      <c r="BZ6" s="638">
        <v>59822.086840157244</v>
      </c>
      <c r="CA6" s="638">
        <v>0</v>
      </c>
      <c r="CB6" s="638">
        <v>0</v>
      </c>
      <c r="CC6" s="638">
        <v>0</v>
      </c>
      <c r="CD6" s="638">
        <v>0</v>
      </c>
      <c r="CE6" s="638">
        <v>0</v>
      </c>
      <c r="CF6" s="638">
        <v>0</v>
      </c>
      <c r="CG6" s="638">
        <v>0</v>
      </c>
      <c r="CH6" s="638">
        <v>0</v>
      </c>
      <c r="CI6" s="638">
        <v>0</v>
      </c>
      <c r="CJ6" s="638">
        <v>0</v>
      </c>
      <c r="CK6" s="638">
        <v>0</v>
      </c>
      <c r="CL6" s="638">
        <v>0</v>
      </c>
      <c r="CM6" s="638">
        <v>0</v>
      </c>
      <c r="CN6" s="638">
        <v>0</v>
      </c>
      <c r="CO6" s="638">
        <v>0</v>
      </c>
      <c r="CP6" s="638">
        <v>0</v>
      </c>
      <c r="CQ6" s="638">
        <v>0</v>
      </c>
      <c r="CR6" s="638">
        <v>0</v>
      </c>
      <c r="CS6" s="638">
        <v>0</v>
      </c>
      <c r="CT6" s="638">
        <v>0</v>
      </c>
      <c r="CU6" s="638">
        <v>0</v>
      </c>
      <c r="CV6" s="638">
        <v>0</v>
      </c>
      <c r="CW6" s="638">
        <v>0</v>
      </c>
      <c r="CX6" s="638">
        <v>0</v>
      </c>
      <c r="CY6" s="638">
        <v>0</v>
      </c>
      <c r="CZ6" s="638">
        <v>0</v>
      </c>
      <c r="DA6" s="638">
        <v>0</v>
      </c>
      <c r="DB6" s="638">
        <v>2279081.5823008204</v>
      </c>
      <c r="DC6" s="638">
        <v>0</v>
      </c>
      <c r="DD6" s="638">
        <v>0</v>
      </c>
      <c r="DE6" s="638">
        <v>0</v>
      </c>
      <c r="DF6" s="638">
        <v>0</v>
      </c>
      <c r="DG6" s="638">
        <v>0</v>
      </c>
      <c r="DH6" s="649">
        <f>SUM(AJ6:DG10)</f>
        <v>234106442.24284458</v>
      </c>
    </row>
    <row r="7" spans="1:112" ht="84" customHeight="1">
      <c r="A7" s="571"/>
      <c r="B7" s="572" t="s">
        <v>1198</v>
      </c>
      <c r="C7" s="573"/>
      <c r="D7" s="572"/>
      <c r="E7" s="572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59">
        <f>SUM(AJ7:DG7)</f>
        <v>43364874.941625193</v>
      </c>
      <c r="Q7" s="635"/>
      <c r="R7" s="637"/>
      <c r="S7" s="635"/>
      <c r="T7" s="634"/>
      <c r="U7" s="635"/>
      <c r="V7" s="635"/>
      <c r="W7" s="635"/>
      <c r="X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  <c r="AI7" s="634"/>
      <c r="AJ7" s="142"/>
      <c r="AK7" s="142"/>
      <c r="AL7" s="638">
        <v>13453820.02607411</v>
      </c>
      <c r="AM7" s="638">
        <v>5903948.7690206291</v>
      </c>
      <c r="AN7" s="638">
        <v>0</v>
      </c>
      <c r="AO7" s="638">
        <v>0</v>
      </c>
      <c r="AP7" s="638">
        <v>0</v>
      </c>
      <c r="AQ7" s="638">
        <v>0</v>
      </c>
      <c r="AR7" s="638">
        <v>1501225.8131640668</v>
      </c>
      <c r="AS7" s="638">
        <v>0</v>
      </c>
      <c r="AT7" s="638">
        <v>0</v>
      </c>
      <c r="AU7" s="638">
        <v>0</v>
      </c>
      <c r="AV7" s="638">
        <v>0</v>
      </c>
      <c r="AW7" s="638">
        <v>0</v>
      </c>
      <c r="AX7" s="638">
        <v>12017002.494602239</v>
      </c>
      <c r="AY7" s="638">
        <v>0</v>
      </c>
      <c r="AZ7" s="638">
        <v>0</v>
      </c>
      <c r="BA7" s="638">
        <v>0</v>
      </c>
      <c r="BB7" s="638">
        <v>1428.5715520044448</v>
      </c>
      <c r="BC7" s="638">
        <v>0</v>
      </c>
      <c r="BD7" s="638">
        <v>10412316.397097738</v>
      </c>
      <c r="BE7" s="638">
        <v>0</v>
      </c>
      <c r="BF7" s="638">
        <v>0</v>
      </c>
      <c r="BG7" s="638">
        <v>0</v>
      </c>
      <c r="BH7" s="638">
        <v>0</v>
      </c>
      <c r="BI7" s="638">
        <v>0</v>
      </c>
      <c r="BJ7" s="638">
        <v>0</v>
      </c>
      <c r="BK7" s="638">
        <v>0</v>
      </c>
      <c r="BL7" s="638">
        <v>0</v>
      </c>
      <c r="BM7" s="638">
        <v>0</v>
      </c>
      <c r="BN7" s="638">
        <v>0</v>
      </c>
      <c r="BO7" s="638">
        <v>0</v>
      </c>
      <c r="BP7" s="638">
        <v>0</v>
      </c>
      <c r="BQ7" s="638">
        <v>0</v>
      </c>
      <c r="BR7" s="638">
        <v>0</v>
      </c>
      <c r="BS7" s="638">
        <v>0</v>
      </c>
      <c r="BT7" s="638">
        <v>0</v>
      </c>
      <c r="BU7" s="638">
        <v>0</v>
      </c>
      <c r="BV7" s="638">
        <v>0</v>
      </c>
      <c r="BW7" s="638">
        <v>0</v>
      </c>
      <c r="BX7" s="638">
        <v>0</v>
      </c>
      <c r="BY7" s="638">
        <v>0</v>
      </c>
      <c r="BZ7" s="638">
        <v>0</v>
      </c>
      <c r="CA7" s="638">
        <v>0</v>
      </c>
      <c r="CB7" s="638">
        <v>0</v>
      </c>
      <c r="CC7" s="638">
        <v>0</v>
      </c>
      <c r="CD7" s="638">
        <v>0</v>
      </c>
      <c r="CE7" s="638">
        <v>0</v>
      </c>
      <c r="CF7" s="638">
        <v>0</v>
      </c>
      <c r="CG7" s="638">
        <v>0</v>
      </c>
      <c r="CH7" s="638">
        <v>0</v>
      </c>
      <c r="CI7" s="638">
        <v>0</v>
      </c>
      <c r="CJ7" s="638">
        <v>0</v>
      </c>
      <c r="CK7" s="638">
        <v>0</v>
      </c>
      <c r="CL7" s="638">
        <v>0</v>
      </c>
      <c r="CM7" s="638">
        <v>0</v>
      </c>
      <c r="CN7" s="638">
        <v>0</v>
      </c>
      <c r="CO7" s="638">
        <v>0</v>
      </c>
      <c r="CP7" s="638">
        <v>0</v>
      </c>
      <c r="CQ7" s="638">
        <v>0</v>
      </c>
      <c r="CR7" s="638">
        <v>0</v>
      </c>
      <c r="CS7" s="638">
        <v>0</v>
      </c>
      <c r="CT7" s="638">
        <v>0</v>
      </c>
      <c r="CU7" s="638">
        <v>0</v>
      </c>
      <c r="CV7" s="638">
        <v>0</v>
      </c>
      <c r="CW7" s="638">
        <v>0</v>
      </c>
      <c r="CX7" s="638">
        <v>0</v>
      </c>
      <c r="CY7" s="638">
        <v>0</v>
      </c>
      <c r="CZ7" s="638">
        <v>0</v>
      </c>
      <c r="DA7" s="638">
        <v>0</v>
      </c>
      <c r="DB7" s="638">
        <v>75132.870114397694</v>
      </c>
      <c r="DC7" s="638">
        <v>0</v>
      </c>
      <c r="DD7" s="638">
        <v>0</v>
      </c>
      <c r="DE7" s="638">
        <v>0</v>
      </c>
      <c r="DF7" s="638">
        <v>0</v>
      </c>
      <c r="DG7" s="638">
        <v>0</v>
      </c>
      <c r="DH7" s="649">
        <v>234243100</v>
      </c>
    </row>
    <row r="8" spans="1:112" ht="84" customHeight="1">
      <c r="A8" s="571"/>
      <c r="B8" s="572" t="s">
        <v>1199</v>
      </c>
      <c r="C8" s="573"/>
      <c r="D8" s="572"/>
      <c r="E8" s="572"/>
      <c r="F8" s="636"/>
      <c r="G8" s="636"/>
      <c r="H8" s="636"/>
      <c r="I8" s="636"/>
      <c r="J8" s="636"/>
      <c r="K8" s="636"/>
      <c r="L8" s="636"/>
      <c r="M8" s="636"/>
      <c r="N8" s="636"/>
      <c r="O8" s="636"/>
      <c r="P8" s="659">
        <f>SUM(AJ8:DG8)</f>
        <v>20586158.889774613</v>
      </c>
      <c r="Q8" s="635"/>
      <c r="R8" s="637"/>
      <c r="S8" s="635"/>
      <c r="T8" s="634"/>
      <c r="U8" s="635"/>
      <c r="V8" s="635"/>
      <c r="W8" s="635"/>
      <c r="X8" s="635"/>
      <c r="Y8" s="635"/>
      <c r="Z8" s="635"/>
      <c r="AA8" s="635"/>
      <c r="AB8" s="635"/>
      <c r="AC8" s="635"/>
      <c r="AD8" s="635"/>
      <c r="AE8" s="635"/>
      <c r="AF8" s="635"/>
      <c r="AG8" s="635"/>
      <c r="AH8" s="635"/>
      <c r="AI8" s="634"/>
      <c r="AJ8" s="142"/>
      <c r="AK8" s="142"/>
      <c r="AL8" s="638">
        <v>12944299.657420222</v>
      </c>
      <c r="AM8" s="638">
        <v>76149.506700809899</v>
      </c>
      <c r="AN8" s="638">
        <v>5467.190754592757</v>
      </c>
      <c r="AO8" s="638">
        <v>0</v>
      </c>
      <c r="AP8" s="638">
        <v>0</v>
      </c>
      <c r="AQ8" s="638">
        <v>0</v>
      </c>
      <c r="AR8" s="638">
        <v>86370.663779974479</v>
      </c>
      <c r="AS8" s="638">
        <v>0</v>
      </c>
      <c r="AT8" s="638">
        <v>41824.20528131786</v>
      </c>
      <c r="AU8" s="638">
        <v>0</v>
      </c>
      <c r="AV8" s="638">
        <v>0</v>
      </c>
      <c r="AW8" s="638">
        <v>0</v>
      </c>
      <c r="AX8" s="638">
        <v>21365.80151832191</v>
      </c>
      <c r="AY8" s="638">
        <v>141702.4882027423</v>
      </c>
      <c r="AZ8" s="638">
        <v>0</v>
      </c>
      <c r="BA8" s="638">
        <v>27085.1300202534</v>
      </c>
      <c r="BB8" s="638">
        <v>295117.52351618547</v>
      </c>
      <c r="BC8" s="638">
        <v>0</v>
      </c>
      <c r="BD8" s="638">
        <v>1676900.398647547</v>
      </c>
      <c r="BE8" s="638">
        <v>0</v>
      </c>
      <c r="BF8" s="638">
        <v>0</v>
      </c>
      <c r="BG8" s="638">
        <v>0</v>
      </c>
      <c r="BH8" s="638">
        <v>0</v>
      </c>
      <c r="BI8" s="638">
        <v>0</v>
      </c>
      <c r="BJ8" s="638">
        <v>0</v>
      </c>
      <c r="BK8" s="638">
        <v>0</v>
      </c>
      <c r="BL8" s="638">
        <v>0</v>
      </c>
      <c r="BM8" s="638">
        <v>176684.23576120715</v>
      </c>
      <c r="BN8" s="638">
        <v>0</v>
      </c>
      <c r="BO8" s="638">
        <v>0</v>
      </c>
      <c r="BP8" s="638">
        <v>0</v>
      </c>
      <c r="BQ8" s="638">
        <v>0</v>
      </c>
      <c r="BR8" s="638">
        <v>0</v>
      </c>
      <c r="BS8" s="638">
        <v>0</v>
      </c>
      <c r="BT8" s="638">
        <v>0</v>
      </c>
      <c r="BU8" s="638">
        <v>0</v>
      </c>
      <c r="BV8" s="638">
        <v>0</v>
      </c>
      <c r="BW8" s="638">
        <v>0</v>
      </c>
      <c r="BX8" s="638">
        <v>196989.32185152589</v>
      </c>
      <c r="BY8" s="638">
        <v>375879.21890577499</v>
      </c>
      <c r="BZ8" s="638">
        <v>4490022.1749889655</v>
      </c>
      <c r="CA8" s="638">
        <v>0</v>
      </c>
      <c r="CB8" s="638">
        <v>6780.0381786911175</v>
      </c>
      <c r="CC8" s="638">
        <v>0</v>
      </c>
      <c r="CD8" s="638">
        <v>0</v>
      </c>
      <c r="CE8" s="638">
        <v>0</v>
      </c>
      <c r="CF8" s="638">
        <v>0</v>
      </c>
      <c r="CG8" s="638">
        <v>0</v>
      </c>
      <c r="CH8" s="638">
        <v>0</v>
      </c>
      <c r="CI8" s="638">
        <v>0</v>
      </c>
      <c r="CJ8" s="638">
        <v>0</v>
      </c>
      <c r="CK8" s="638">
        <v>0</v>
      </c>
      <c r="CL8" s="638">
        <v>0</v>
      </c>
      <c r="CM8" s="638">
        <v>0</v>
      </c>
      <c r="CN8" s="638">
        <v>0</v>
      </c>
      <c r="CO8" s="638">
        <v>0</v>
      </c>
      <c r="CP8" s="638">
        <v>0</v>
      </c>
      <c r="CQ8" s="638">
        <v>0</v>
      </c>
      <c r="CR8" s="638">
        <v>0</v>
      </c>
      <c r="CS8" s="638">
        <v>0</v>
      </c>
      <c r="CT8" s="638">
        <v>0</v>
      </c>
      <c r="CU8" s="638">
        <v>0</v>
      </c>
      <c r="CV8" s="638">
        <v>0</v>
      </c>
      <c r="CW8" s="638">
        <v>0</v>
      </c>
      <c r="CX8" s="638">
        <v>0</v>
      </c>
      <c r="CY8" s="638">
        <v>0</v>
      </c>
      <c r="CZ8" s="638">
        <v>0</v>
      </c>
      <c r="DA8" s="638">
        <v>0</v>
      </c>
      <c r="DB8" s="638">
        <v>23521.334246487724</v>
      </c>
      <c r="DC8" s="638">
        <v>0</v>
      </c>
      <c r="DD8" s="638">
        <v>0</v>
      </c>
      <c r="DE8" s="638">
        <v>0</v>
      </c>
      <c r="DF8" s="638">
        <v>0</v>
      </c>
      <c r="DG8" s="638">
        <v>0</v>
      </c>
    </row>
    <row r="9" spans="1:112" ht="84" customHeight="1">
      <c r="A9" s="571"/>
      <c r="B9" s="572" t="s">
        <v>1203</v>
      </c>
      <c r="C9" s="573"/>
      <c r="D9" s="572"/>
      <c r="E9" s="572"/>
      <c r="F9" s="636"/>
      <c r="G9" s="636"/>
      <c r="H9" s="636"/>
      <c r="I9" s="636"/>
      <c r="J9" s="636"/>
      <c r="K9" s="636"/>
      <c r="L9" s="636"/>
      <c r="M9" s="636"/>
      <c r="N9" s="636"/>
      <c r="O9" s="636"/>
      <c r="P9" s="659">
        <f>SUM(AJ9:DG9)</f>
        <v>254372.7248991477</v>
      </c>
      <c r="Q9" s="635"/>
      <c r="R9" s="637"/>
      <c r="S9" s="635"/>
      <c r="T9" s="634"/>
      <c r="U9" s="635"/>
      <c r="V9" s="635"/>
      <c r="W9" s="635"/>
      <c r="X9" s="635"/>
      <c r="Y9" s="635"/>
      <c r="Z9" s="635"/>
      <c r="AA9" s="635"/>
      <c r="AB9" s="635"/>
      <c r="AC9" s="635"/>
      <c r="AD9" s="635"/>
      <c r="AE9" s="635"/>
      <c r="AF9" s="635"/>
      <c r="AG9" s="635"/>
      <c r="AH9" s="635"/>
      <c r="AI9" s="634"/>
      <c r="AJ9" s="142"/>
      <c r="AK9" s="142"/>
      <c r="AL9" s="559">
        <v>254372.7248991477</v>
      </c>
      <c r="AM9" s="638"/>
      <c r="AN9" s="638"/>
      <c r="AO9" s="638"/>
      <c r="AP9" s="638"/>
      <c r="AQ9" s="638"/>
      <c r="AR9" s="638"/>
      <c r="AS9" s="638"/>
      <c r="AT9" s="638"/>
      <c r="AU9" s="638"/>
      <c r="AV9" s="638"/>
      <c r="AW9" s="638"/>
      <c r="AX9" s="638"/>
      <c r="AY9" s="638"/>
      <c r="AZ9" s="638"/>
      <c r="BA9" s="638"/>
      <c r="BB9" s="638"/>
      <c r="BC9" s="638"/>
      <c r="BD9" s="638"/>
      <c r="BE9" s="638"/>
      <c r="BF9" s="638"/>
      <c r="BG9" s="638"/>
      <c r="BH9" s="638"/>
      <c r="BI9" s="638"/>
      <c r="BJ9" s="638"/>
      <c r="BK9" s="638"/>
      <c r="BL9" s="638"/>
      <c r="BM9" s="638"/>
      <c r="BN9" s="638"/>
      <c r="BO9" s="638"/>
      <c r="BP9" s="638"/>
      <c r="BQ9" s="638"/>
      <c r="BR9" s="638"/>
      <c r="BS9" s="638"/>
      <c r="BT9" s="638"/>
      <c r="BU9" s="638"/>
      <c r="BV9" s="638"/>
      <c r="BW9" s="638"/>
      <c r="BX9" s="638"/>
      <c r="BY9" s="638"/>
      <c r="BZ9" s="638"/>
      <c r="CA9" s="638"/>
      <c r="CB9" s="638"/>
      <c r="CC9" s="638"/>
      <c r="CD9" s="638"/>
      <c r="CE9" s="638"/>
      <c r="CF9" s="638"/>
      <c r="CG9" s="638"/>
      <c r="CH9" s="638"/>
      <c r="CI9" s="638"/>
      <c r="CJ9" s="638"/>
      <c r="CK9" s="638"/>
      <c r="CL9" s="638"/>
      <c r="CM9" s="638"/>
      <c r="CN9" s="638"/>
      <c r="CO9" s="638"/>
      <c r="CP9" s="638"/>
      <c r="CQ9" s="638"/>
      <c r="CR9" s="638"/>
      <c r="CS9" s="638"/>
      <c r="CT9" s="638"/>
      <c r="CU9" s="638"/>
      <c r="CV9" s="638"/>
      <c r="CW9" s="638"/>
      <c r="CX9" s="638"/>
      <c r="CY9" s="638"/>
      <c r="CZ9" s="638"/>
      <c r="DA9" s="638"/>
      <c r="DB9" s="638"/>
      <c r="DC9" s="638"/>
      <c r="DD9" s="638"/>
      <c r="DE9" s="638"/>
      <c r="DF9" s="638"/>
      <c r="DG9" s="638"/>
    </row>
    <row r="10" spans="1:112" ht="84" customHeight="1">
      <c r="A10" s="571"/>
      <c r="B10" s="572" t="s">
        <v>1258</v>
      </c>
      <c r="C10" s="573"/>
      <c r="D10" s="572"/>
      <c r="E10" s="572"/>
      <c r="F10" s="636"/>
      <c r="G10" s="636"/>
      <c r="H10" s="636"/>
      <c r="I10" s="636"/>
      <c r="J10" s="636"/>
      <c r="K10" s="636"/>
      <c r="L10" s="636"/>
      <c r="M10" s="636"/>
      <c r="N10" s="636"/>
      <c r="O10" s="636"/>
      <c r="P10" s="659">
        <f>SUM(AJ10:DG10)</f>
        <v>1884532.6932996064</v>
      </c>
      <c r="Q10" s="635"/>
      <c r="R10" s="637"/>
      <c r="S10" s="635"/>
      <c r="T10" s="634"/>
      <c r="U10" s="635"/>
      <c r="V10" s="635"/>
      <c r="W10" s="635"/>
      <c r="X10" s="635"/>
      <c r="Y10" s="635"/>
      <c r="Z10" s="635"/>
      <c r="AA10" s="635"/>
      <c r="AB10" s="635"/>
      <c r="AC10" s="635"/>
      <c r="AD10" s="635"/>
      <c r="AE10" s="635"/>
      <c r="AF10" s="635"/>
      <c r="AG10" s="635"/>
      <c r="AH10" s="635"/>
      <c r="AI10" s="634"/>
      <c r="AJ10" s="142"/>
      <c r="AK10" s="142"/>
      <c r="AL10" s="574"/>
      <c r="AM10" s="638"/>
      <c r="AN10" s="638"/>
      <c r="AO10" s="638"/>
      <c r="AP10" s="638"/>
      <c r="AQ10" s="638"/>
      <c r="AR10" s="638"/>
      <c r="AS10" s="638"/>
      <c r="AT10" s="638"/>
      <c r="AU10" s="638"/>
      <c r="AV10" s="638"/>
      <c r="AW10" s="638"/>
      <c r="AX10" s="638"/>
      <c r="AY10" s="638"/>
      <c r="AZ10" s="638"/>
      <c r="BA10" s="638"/>
      <c r="BB10" s="638"/>
      <c r="BC10" s="638"/>
      <c r="BD10" s="638"/>
      <c r="BE10" s="638"/>
      <c r="BF10" s="638"/>
      <c r="BG10" s="638"/>
      <c r="BH10" s="638"/>
      <c r="BI10" s="638"/>
      <c r="BJ10" s="638"/>
      <c r="BK10" s="638"/>
      <c r="BL10" s="638"/>
      <c r="BM10" s="638"/>
      <c r="BN10" s="638"/>
      <c r="BO10" s="638"/>
      <c r="BP10" s="638"/>
      <c r="BQ10" s="638"/>
      <c r="BR10" s="638"/>
      <c r="BS10" s="638"/>
      <c r="BT10" s="638"/>
      <c r="BU10" s="638"/>
      <c r="BV10" s="638"/>
      <c r="BW10" s="638"/>
      <c r="BX10" s="638"/>
      <c r="BY10" s="638"/>
      <c r="BZ10" s="638"/>
      <c r="CA10" s="638"/>
      <c r="CB10" s="638"/>
      <c r="CC10" s="638"/>
      <c r="CD10" s="638"/>
      <c r="CE10" s="638">
        <v>1884532.6932996064</v>
      </c>
      <c r="CF10" s="638"/>
      <c r="CG10" s="638"/>
      <c r="CH10" s="638"/>
      <c r="CI10" s="638"/>
      <c r="CJ10" s="638"/>
      <c r="CK10" s="638"/>
      <c r="CL10" s="638"/>
      <c r="CM10" s="638"/>
      <c r="CN10" s="638"/>
      <c r="CO10" s="638"/>
      <c r="CP10" s="638"/>
      <c r="CQ10" s="638"/>
      <c r="CR10" s="638"/>
      <c r="CS10" s="638"/>
      <c r="CT10" s="638"/>
      <c r="CU10" s="638"/>
      <c r="CV10" s="638"/>
      <c r="CW10" s="638"/>
      <c r="CX10" s="638"/>
      <c r="CY10" s="638"/>
      <c r="CZ10" s="638"/>
      <c r="DA10" s="638"/>
      <c r="DB10" s="638"/>
      <c r="DC10" s="638"/>
      <c r="DD10" s="638"/>
      <c r="DE10" s="638"/>
      <c r="DF10" s="638"/>
      <c r="DG10" s="638"/>
    </row>
    <row r="11" spans="1:112" ht="84" customHeight="1">
      <c r="A11" s="1804" t="s">
        <v>1151</v>
      </c>
      <c r="B11" s="1805"/>
      <c r="C11" s="1805"/>
      <c r="D11" s="1805"/>
      <c r="E11" s="1805"/>
      <c r="F11" s="1805"/>
      <c r="G11" s="1805"/>
      <c r="H11" s="1805"/>
      <c r="I11" s="1805"/>
      <c r="J11" s="1805"/>
      <c r="K11" s="1805"/>
      <c r="L11" s="1805"/>
      <c r="M11" s="1805"/>
      <c r="N11" s="1805"/>
      <c r="O11" s="1805"/>
      <c r="P11" s="1806"/>
      <c r="Q11" s="635"/>
      <c r="R11" s="637"/>
      <c r="S11" s="635"/>
      <c r="T11" s="634"/>
      <c r="U11" s="635"/>
      <c r="V11" s="635"/>
      <c r="W11" s="635"/>
      <c r="X11" s="635"/>
      <c r="Y11" s="635"/>
      <c r="Z11" s="635"/>
      <c r="AA11" s="635"/>
      <c r="AB11" s="635"/>
      <c r="AC11" s="635"/>
      <c r="AD11" s="635"/>
      <c r="AE11" s="635"/>
      <c r="AF11" s="635"/>
      <c r="AG11" s="635"/>
      <c r="AH11" s="635"/>
      <c r="AI11" s="634"/>
      <c r="AJ11" s="142"/>
      <c r="AK11" s="142"/>
      <c r="AL11" s="142"/>
      <c r="AM11" s="142"/>
      <c r="AN11" s="142"/>
      <c r="AO11" s="142"/>
      <c r="AP11" s="142"/>
      <c r="AQ11" s="142"/>
      <c r="AR11" s="575"/>
      <c r="AS11" s="576"/>
      <c r="AT11" s="576"/>
      <c r="AU11" s="576"/>
      <c r="AV11" s="576"/>
      <c r="AW11" s="576"/>
      <c r="AX11" s="576"/>
      <c r="AY11" s="576"/>
      <c r="AZ11" s="576"/>
      <c r="BA11" s="576"/>
      <c r="BB11" s="576"/>
      <c r="BC11" s="576"/>
      <c r="BD11" s="576"/>
      <c r="BE11" s="577"/>
      <c r="BF11" s="578"/>
      <c r="BG11" s="579"/>
      <c r="BH11" s="579"/>
      <c r="BI11" s="575"/>
      <c r="BJ11" s="580"/>
      <c r="BK11" s="575"/>
      <c r="BL11" s="579"/>
      <c r="BM11" s="577"/>
      <c r="BN11" s="575"/>
      <c r="BO11" s="575"/>
      <c r="BP11" s="142"/>
      <c r="BQ11" s="142"/>
      <c r="BR11" s="142"/>
      <c r="BS11" s="142"/>
      <c r="BT11" s="142"/>
      <c r="BU11" s="142"/>
      <c r="BV11" s="142"/>
      <c r="BW11" s="142"/>
      <c r="BX11" s="142"/>
      <c r="BY11" s="576"/>
      <c r="BZ11" s="576"/>
      <c r="CA11" s="142"/>
      <c r="CB11" s="142"/>
      <c r="CC11" s="142"/>
      <c r="CD11" s="581"/>
      <c r="CE11" s="142"/>
      <c r="CF11" s="142"/>
      <c r="CG11" s="142"/>
      <c r="CH11" s="581"/>
      <c r="CI11" s="142"/>
      <c r="CJ11" s="142"/>
      <c r="CK11" s="580"/>
      <c r="CL11" s="580"/>
      <c r="CM11" s="582"/>
      <c r="CN11" s="583"/>
      <c r="CO11" s="583"/>
      <c r="CP11" s="575"/>
      <c r="CQ11" s="575"/>
      <c r="CR11" s="575"/>
      <c r="CS11" s="575"/>
      <c r="CT11" s="575"/>
      <c r="CU11" s="575"/>
      <c r="CV11" s="575"/>
      <c r="CW11" s="575"/>
      <c r="CX11" s="575"/>
      <c r="CY11" s="575"/>
      <c r="CZ11" s="575"/>
      <c r="DA11" s="575"/>
      <c r="DB11" s="580"/>
      <c r="DC11" s="142"/>
      <c r="DD11" s="581"/>
      <c r="DE11" s="583"/>
      <c r="DF11" s="584"/>
      <c r="DG11" s="584"/>
    </row>
    <row r="12" spans="1:112" s="353" customFormat="1">
      <c r="A12" s="1792" t="s">
        <v>1197</v>
      </c>
      <c r="B12" s="1793"/>
      <c r="C12" s="1793"/>
      <c r="D12" s="1793"/>
      <c r="E12" s="1793"/>
      <c r="F12" s="1793"/>
      <c r="G12" s="1793"/>
      <c r="H12" s="1793"/>
      <c r="I12" s="1793"/>
      <c r="J12" s="1793"/>
      <c r="K12" s="1793"/>
      <c r="L12" s="1793"/>
      <c r="M12" s="1793"/>
      <c r="N12" s="1793"/>
      <c r="O12" s="1793"/>
      <c r="P12" s="1794"/>
      <c r="Q12" s="585">
        <v>14</v>
      </c>
      <c r="R12" s="585">
        <v>15</v>
      </c>
      <c r="S12" s="585">
        <v>16</v>
      </c>
      <c r="T12" s="585">
        <v>17</v>
      </c>
      <c r="U12" s="585">
        <v>18</v>
      </c>
      <c r="V12" s="585">
        <v>19</v>
      </c>
      <c r="W12" s="585">
        <v>20</v>
      </c>
      <c r="X12" s="585">
        <v>21</v>
      </c>
      <c r="Y12" s="585">
        <v>22</v>
      </c>
      <c r="Z12" s="585">
        <v>23</v>
      </c>
      <c r="AA12" s="585">
        <v>24</v>
      </c>
      <c r="AB12" s="585">
        <v>25</v>
      </c>
      <c r="AC12" s="585">
        <v>26</v>
      </c>
      <c r="AD12" s="585">
        <v>27</v>
      </c>
      <c r="AE12" s="585">
        <v>28</v>
      </c>
      <c r="AF12" s="585">
        <v>29</v>
      </c>
      <c r="AG12" s="585">
        <v>30</v>
      </c>
      <c r="AH12" s="585">
        <v>31</v>
      </c>
      <c r="AI12" s="585">
        <v>32</v>
      </c>
      <c r="AL12" s="586">
        <f>SUM(AL18:AL112)</f>
        <v>4545885.9052899992</v>
      </c>
      <c r="AM12" s="586"/>
      <c r="AN12" s="586">
        <f>SUM(AN110:AN112)</f>
        <v>477164.32299999997</v>
      </c>
      <c r="AO12" s="586"/>
      <c r="AP12" s="586"/>
      <c r="AQ12" s="586"/>
      <c r="AR12" s="586"/>
      <c r="AS12" s="586"/>
      <c r="AT12" s="586"/>
      <c r="AU12" s="586"/>
      <c r="AV12" s="586"/>
      <c r="AW12" s="586"/>
      <c r="AX12" s="586"/>
      <c r="AY12" s="586">
        <f>SUM(AY13:AY112)</f>
        <v>62445.024999999994</v>
      </c>
      <c r="AZ12" s="586"/>
      <c r="BA12" s="586"/>
      <c r="BB12" s="586">
        <f>SUM(BB13:BB112)</f>
        <v>427959.74700000009</v>
      </c>
      <c r="BC12" s="586"/>
      <c r="BD12" s="586"/>
      <c r="BE12" s="586"/>
      <c r="BF12" s="586"/>
      <c r="BG12" s="586"/>
      <c r="BH12" s="586"/>
      <c r="BI12" s="586"/>
      <c r="BJ12" s="586"/>
      <c r="BK12" s="586"/>
      <c r="BL12" s="586"/>
      <c r="BM12" s="586"/>
      <c r="BN12" s="586"/>
      <c r="BO12" s="586"/>
      <c r="BP12" s="586"/>
      <c r="BQ12" s="586"/>
      <c r="BR12" s="586"/>
      <c r="BS12" s="586"/>
      <c r="BT12" s="586"/>
      <c r="BU12" s="586"/>
    </row>
    <row r="13" spans="1:112" s="590" customFormat="1">
      <c r="A13" s="1795"/>
      <c r="B13" s="1798" t="s">
        <v>1259</v>
      </c>
      <c r="C13" s="587" t="s">
        <v>1196</v>
      </c>
      <c r="D13" s="557">
        <f t="shared" ref="D13:S13" si="0">D14+D15+D16+D17</f>
        <v>9029171.9650000036</v>
      </c>
      <c r="E13" s="557">
        <f t="shared" si="0"/>
        <v>2569853.1</v>
      </c>
      <c r="F13" s="557">
        <f t="shared" si="0"/>
        <v>6459318.8650000002</v>
      </c>
      <c r="G13" s="557">
        <f t="shared" si="0"/>
        <v>141844</v>
      </c>
      <c r="H13" s="557">
        <f t="shared" si="0"/>
        <v>9256662.9850200005</v>
      </c>
      <c r="I13" s="557">
        <f t="shared" si="0"/>
        <v>556</v>
      </c>
      <c r="J13" s="557">
        <f t="shared" si="0"/>
        <v>227491.41479000013</v>
      </c>
      <c r="K13" s="557">
        <f t="shared" si="0"/>
        <v>141288</v>
      </c>
      <c r="L13" s="557">
        <f t="shared" si="0"/>
        <v>9029171.9647700023</v>
      </c>
      <c r="M13" s="557">
        <f t="shared" si="0"/>
        <v>9029171.9647700023</v>
      </c>
      <c r="N13" s="557">
        <f t="shared" si="0"/>
        <v>2569853.1</v>
      </c>
      <c r="O13" s="557">
        <f t="shared" si="0"/>
        <v>0</v>
      </c>
      <c r="P13" s="557">
        <f>P14+P15+P16+AL9</f>
        <v>6711523.5896691475</v>
      </c>
      <c r="Q13" s="557">
        <f t="shared" si="0"/>
        <v>6459318.8647699999</v>
      </c>
      <c r="R13" s="557">
        <f t="shared" si="0"/>
        <v>0</v>
      </c>
      <c r="S13" s="557">
        <f t="shared" si="0"/>
        <v>2.3000022747510229E-4</v>
      </c>
      <c r="T13" s="588">
        <f t="shared" ref="T13:T76" si="1">(O13+Q13)/F13</f>
        <v>0.99999999996439248</v>
      </c>
      <c r="U13" s="557">
        <f t="shared" ref="U13:AH13" si="2">U14+U15+U16+U17</f>
        <v>334134.55100000004</v>
      </c>
      <c r="V13" s="557">
        <f t="shared" si="2"/>
        <v>5688</v>
      </c>
      <c r="W13" s="557">
        <f t="shared" si="2"/>
        <v>329919.03999999998</v>
      </c>
      <c r="X13" s="557">
        <f t="shared" si="2"/>
        <v>29</v>
      </c>
      <c r="Y13" s="557">
        <f t="shared" si="2"/>
        <v>8959.3280000000032</v>
      </c>
      <c r="Z13" s="557">
        <f t="shared" si="2"/>
        <v>5659</v>
      </c>
      <c r="AA13" s="557">
        <f t="shared" si="2"/>
        <v>334134.55100000004</v>
      </c>
      <c r="AB13" s="557">
        <f t="shared" si="2"/>
        <v>334134.55100000004</v>
      </c>
      <c r="AC13" s="557">
        <f t="shared" si="2"/>
        <v>0</v>
      </c>
      <c r="AD13" s="557">
        <f t="shared" si="2"/>
        <v>0</v>
      </c>
      <c r="AE13" s="557">
        <f t="shared" si="2"/>
        <v>334134.55100000004</v>
      </c>
      <c r="AF13" s="557">
        <f t="shared" si="2"/>
        <v>334134.55100000004</v>
      </c>
      <c r="AG13" s="557">
        <f t="shared" si="2"/>
        <v>0</v>
      </c>
      <c r="AH13" s="557">
        <f t="shared" si="2"/>
        <v>0</v>
      </c>
      <c r="AI13" s="589">
        <f>AD13+AF13/U13</f>
        <v>1</v>
      </c>
      <c r="AL13" s="591"/>
      <c r="AM13" s="591"/>
      <c r="AN13" s="591"/>
      <c r="AO13" s="591"/>
      <c r="AP13" s="591"/>
      <c r="AQ13" s="591"/>
      <c r="AR13" s="591"/>
      <c r="AS13" s="591"/>
      <c r="AT13" s="591"/>
      <c r="AU13" s="591"/>
      <c r="AV13" s="591"/>
      <c r="AW13" s="591"/>
      <c r="AX13" s="591"/>
      <c r="AY13" s="591"/>
      <c r="AZ13" s="591"/>
      <c r="BA13" s="591"/>
      <c r="BB13" s="591"/>
      <c r="BC13" s="591"/>
      <c r="BD13" s="591"/>
      <c r="BE13" s="591"/>
      <c r="BF13" s="591"/>
      <c r="BG13" s="591"/>
      <c r="BH13" s="591"/>
      <c r="BI13" s="591"/>
      <c r="BJ13" s="591"/>
      <c r="BK13" s="591"/>
      <c r="BL13" s="591"/>
      <c r="BM13" s="591"/>
      <c r="BN13" s="591"/>
      <c r="BO13" s="591"/>
      <c r="BP13" s="591"/>
      <c r="BQ13" s="591"/>
      <c r="BR13" s="591"/>
      <c r="BS13" s="591"/>
      <c r="BT13" s="591"/>
      <c r="BU13" s="591"/>
    </row>
    <row r="14" spans="1:112" s="595" customFormat="1" ht="15">
      <c r="A14" s="1796"/>
      <c r="B14" s="1799"/>
      <c r="C14" s="558" t="s">
        <v>1197</v>
      </c>
      <c r="D14" s="592">
        <f t="shared" ref="D14:S14" si="3">D19+D23+D27+D30+D33+D35+D39+D42+D53+D58+D61+D64+D67+D70+D73+D78+D81+D84+D87+D90+D93+D96+D99+D102+D105+D110+D112</f>
        <v>7781397.0240000039</v>
      </c>
      <c r="E14" s="592">
        <f t="shared" si="3"/>
        <v>2272350</v>
      </c>
      <c r="F14" s="592">
        <f t="shared" si="3"/>
        <v>5509047.0240000002</v>
      </c>
      <c r="G14" s="592">
        <f t="shared" si="3"/>
        <v>104865</v>
      </c>
      <c r="H14" s="592">
        <f t="shared" si="3"/>
        <v>7994323.6070700008</v>
      </c>
      <c r="I14" s="592">
        <f t="shared" si="3"/>
        <v>439</v>
      </c>
      <c r="J14" s="592">
        <f t="shared" si="3"/>
        <v>208518.0362700001</v>
      </c>
      <c r="K14" s="592">
        <f t="shared" si="3"/>
        <v>104426</v>
      </c>
      <c r="L14" s="592">
        <f t="shared" si="3"/>
        <v>7785805.0002900027</v>
      </c>
      <c r="M14" s="592">
        <f t="shared" si="3"/>
        <v>7785805.0002900027</v>
      </c>
      <c r="N14" s="592">
        <f t="shared" si="3"/>
        <v>2272350</v>
      </c>
      <c r="O14" s="592">
        <f t="shared" si="3"/>
        <v>0</v>
      </c>
      <c r="P14" s="592">
        <f>AL19+AL23+BB27+AY30+AL33+AL35+AL39+AL42+AL53+AL58+AL61+AL64+AL67+AL70+AL73+AL78+AL81+AL84+AL87+AL90+AL93+AL96+AL99+AL102+AL105+AN110+AN112</f>
        <v>5513455.0002899999</v>
      </c>
      <c r="Q14" s="592">
        <f t="shared" si="3"/>
        <v>5513455.0002899999</v>
      </c>
      <c r="R14" s="592">
        <f t="shared" si="3"/>
        <v>0</v>
      </c>
      <c r="S14" s="592">
        <f t="shared" si="3"/>
        <v>-4407.9762899999187</v>
      </c>
      <c r="T14" s="593">
        <f t="shared" si="1"/>
        <v>1.0008001340832264</v>
      </c>
      <c r="U14" s="592">
        <f t="shared" ref="U14:AH14" si="4">U19+U23+U27+U30+U33+U35+U39+U42+U53+U58+U61+U64+U67+U70+U73+U78+U81+U84+U87+U90+U93+U96+U99+U102+U105+U110+U112</f>
        <v>295141.853</v>
      </c>
      <c r="V14" s="592">
        <f t="shared" si="4"/>
        <v>3942</v>
      </c>
      <c r="W14" s="592">
        <f t="shared" si="4"/>
        <v>288981.51099999994</v>
      </c>
      <c r="X14" s="592">
        <f t="shared" si="4"/>
        <v>25</v>
      </c>
      <c r="Y14" s="592">
        <f t="shared" si="4"/>
        <v>7014.4970000000012</v>
      </c>
      <c r="Z14" s="592">
        <f t="shared" si="4"/>
        <v>3917</v>
      </c>
      <c r="AA14" s="592">
        <f t="shared" si="4"/>
        <v>295141.853</v>
      </c>
      <c r="AB14" s="592">
        <f t="shared" si="4"/>
        <v>295141.853</v>
      </c>
      <c r="AC14" s="592">
        <f t="shared" si="4"/>
        <v>0</v>
      </c>
      <c r="AD14" s="592">
        <f t="shared" si="4"/>
        <v>0</v>
      </c>
      <c r="AE14" s="592">
        <f t="shared" si="4"/>
        <v>295141.853</v>
      </c>
      <c r="AF14" s="592">
        <f t="shared" si="4"/>
        <v>295141.853</v>
      </c>
      <c r="AG14" s="592">
        <f t="shared" si="4"/>
        <v>0</v>
      </c>
      <c r="AH14" s="592">
        <f t="shared" si="4"/>
        <v>0</v>
      </c>
      <c r="AI14" s="594">
        <f>AD14+AF14/U14</f>
        <v>1</v>
      </c>
      <c r="AL14" s="596"/>
      <c r="AM14" s="596"/>
      <c r="AN14" s="596"/>
      <c r="AO14" s="596"/>
      <c r="AP14" s="596"/>
      <c r="AQ14" s="596"/>
      <c r="AR14" s="596"/>
      <c r="AS14" s="596"/>
      <c r="AT14" s="596"/>
      <c r="AU14" s="596"/>
      <c r="AV14" s="596"/>
      <c r="AW14" s="596"/>
      <c r="AX14" s="596"/>
      <c r="AY14" s="596"/>
      <c r="AZ14" s="596"/>
      <c r="BA14" s="596"/>
      <c r="BB14" s="596"/>
      <c r="BC14" s="596"/>
      <c r="BD14" s="596"/>
      <c r="BE14" s="596"/>
      <c r="BF14" s="596"/>
      <c r="BG14" s="596"/>
      <c r="BH14" s="596"/>
      <c r="BI14" s="596"/>
      <c r="BJ14" s="596"/>
      <c r="BK14" s="596"/>
      <c r="BL14" s="596"/>
      <c r="BM14" s="596"/>
      <c r="BN14" s="596"/>
      <c r="BO14" s="596"/>
      <c r="BP14" s="596"/>
      <c r="BQ14" s="596"/>
      <c r="BR14" s="596"/>
      <c r="BS14" s="596"/>
      <c r="BT14" s="596"/>
      <c r="BU14" s="596"/>
    </row>
    <row r="15" spans="1:112" s="595" customFormat="1" ht="15">
      <c r="A15" s="1796"/>
      <c r="B15" s="1799"/>
      <c r="C15" s="558" t="s">
        <v>1198</v>
      </c>
      <c r="D15" s="559">
        <f t="shared" ref="D15:S15" si="5">D20+D24</f>
        <v>572135.15500000014</v>
      </c>
      <c r="E15" s="559">
        <f t="shared" si="5"/>
        <v>103184.7</v>
      </c>
      <c r="F15" s="559">
        <f t="shared" si="5"/>
        <v>468950.45500000007</v>
      </c>
      <c r="G15" s="559">
        <f t="shared" si="5"/>
        <v>637</v>
      </c>
      <c r="H15" s="559">
        <f t="shared" si="5"/>
        <v>574995.924</v>
      </c>
      <c r="I15" s="559">
        <f t="shared" si="5"/>
        <v>3</v>
      </c>
      <c r="J15" s="559">
        <f t="shared" si="5"/>
        <v>4883.9900000000598</v>
      </c>
      <c r="K15" s="559">
        <f t="shared" si="5"/>
        <v>634</v>
      </c>
      <c r="L15" s="559">
        <f t="shared" si="5"/>
        <v>570111.93399999989</v>
      </c>
      <c r="M15" s="559">
        <f t="shared" si="5"/>
        <v>570111.93399999989</v>
      </c>
      <c r="N15" s="559">
        <f t="shared" si="5"/>
        <v>103184.7</v>
      </c>
      <c r="O15" s="559">
        <f t="shared" si="5"/>
        <v>0</v>
      </c>
      <c r="P15" s="559">
        <f>P20+P24</f>
        <v>466927.23399999988</v>
      </c>
      <c r="Q15" s="559">
        <f t="shared" si="5"/>
        <v>466927.23399999988</v>
      </c>
      <c r="R15" s="559">
        <f t="shared" si="5"/>
        <v>0</v>
      </c>
      <c r="S15" s="559">
        <f t="shared" si="5"/>
        <v>2023.2210000001778</v>
      </c>
      <c r="T15" s="597">
        <f t="shared" si="1"/>
        <v>0.99568564018132744</v>
      </c>
      <c r="U15" s="559">
        <f t="shared" ref="U15:AH15" si="6">U20+U24</f>
        <v>10319.666999999999</v>
      </c>
      <c r="V15" s="559">
        <f t="shared" si="6"/>
        <v>9</v>
      </c>
      <c r="W15" s="559">
        <f t="shared" si="6"/>
        <v>12068.905000000001</v>
      </c>
      <c r="X15" s="559">
        <f t="shared" si="6"/>
        <v>1</v>
      </c>
      <c r="Y15" s="559">
        <f t="shared" si="6"/>
        <v>1749.238000000001</v>
      </c>
      <c r="Z15" s="559">
        <f t="shared" si="6"/>
        <v>8</v>
      </c>
      <c r="AA15" s="559">
        <f t="shared" si="6"/>
        <v>10319.666999999999</v>
      </c>
      <c r="AB15" s="559">
        <f t="shared" si="6"/>
        <v>10319.666999999999</v>
      </c>
      <c r="AC15" s="559">
        <f t="shared" si="6"/>
        <v>0</v>
      </c>
      <c r="AD15" s="559">
        <f t="shared" si="6"/>
        <v>0</v>
      </c>
      <c r="AE15" s="559">
        <f t="shared" si="6"/>
        <v>10319.666999999999</v>
      </c>
      <c r="AF15" s="559">
        <f t="shared" si="6"/>
        <v>10319.666999999999</v>
      </c>
      <c r="AG15" s="559">
        <f t="shared" si="6"/>
        <v>0</v>
      </c>
      <c r="AH15" s="559">
        <f t="shared" si="6"/>
        <v>0</v>
      </c>
      <c r="AI15" s="594">
        <f>AD15+AF15/U15</f>
        <v>1</v>
      </c>
      <c r="AL15" s="596"/>
      <c r="AM15" s="596"/>
      <c r="AN15" s="596"/>
      <c r="AO15" s="596"/>
      <c r="AP15" s="596"/>
      <c r="AQ15" s="596"/>
      <c r="AR15" s="596"/>
      <c r="AS15" s="596"/>
      <c r="AT15" s="596"/>
      <c r="AU15" s="596"/>
      <c r="AV15" s="596"/>
      <c r="AW15" s="596"/>
      <c r="AX15" s="596"/>
      <c r="AY15" s="596"/>
      <c r="AZ15" s="596"/>
      <c r="BA15" s="596"/>
      <c r="BB15" s="596"/>
      <c r="BC15" s="596"/>
      <c r="BD15" s="596"/>
      <c r="BE15" s="596"/>
      <c r="BF15" s="596"/>
      <c r="BG15" s="596"/>
      <c r="BH15" s="596"/>
      <c r="BI15" s="596"/>
      <c r="BJ15" s="596"/>
      <c r="BK15" s="596"/>
      <c r="BL15" s="596"/>
      <c r="BM15" s="596"/>
      <c r="BN15" s="596"/>
      <c r="BO15" s="596"/>
      <c r="BP15" s="596"/>
      <c r="BQ15" s="596"/>
      <c r="BR15" s="596"/>
      <c r="BS15" s="596"/>
      <c r="BT15" s="596"/>
      <c r="BU15" s="596"/>
    </row>
    <row r="16" spans="1:112" s="595" customFormat="1" ht="15">
      <c r="A16" s="1796"/>
      <c r="B16" s="1799"/>
      <c r="C16" s="558" t="s">
        <v>1199</v>
      </c>
      <c r="D16" s="559">
        <f t="shared" ref="D16:S16" si="7">D21+D25+D28+D31+D36+D40+D43+D45+D47+D49+D51+D54+D56+D59+D62+D65+D68+D71+D74+D76+D79+D82+D85+D88+D91+D94+D97+D100+D103+D106+D108</f>
        <v>673471.78599999985</v>
      </c>
      <c r="E16" s="559">
        <f t="shared" si="7"/>
        <v>194318.39999999997</v>
      </c>
      <c r="F16" s="559">
        <f t="shared" si="7"/>
        <v>479153.38599999988</v>
      </c>
      <c r="G16" s="559">
        <f t="shared" si="7"/>
        <v>36276</v>
      </c>
      <c r="H16" s="559">
        <f t="shared" si="7"/>
        <v>685175.45394999976</v>
      </c>
      <c r="I16" s="559">
        <f t="shared" si="7"/>
        <v>114</v>
      </c>
      <c r="J16" s="559">
        <f t="shared" si="7"/>
        <v>14089.388519999984</v>
      </c>
      <c r="K16" s="559">
        <f t="shared" si="7"/>
        <v>36162</v>
      </c>
      <c r="L16" s="559">
        <f t="shared" si="7"/>
        <v>671087.03047999996</v>
      </c>
      <c r="M16" s="559">
        <f t="shared" si="7"/>
        <v>671087.03047999996</v>
      </c>
      <c r="N16" s="559">
        <f t="shared" si="7"/>
        <v>194318.39999999997</v>
      </c>
      <c r="O16" s="559">
        <f t="shared" si="7"/>
        <v>0</v>
      </c>
      <c r="P16" s="559">
        <f t="shared" si="7"/>
        <v>476768.63047999999</v>
      </c>
      <c r="Q16" s="559">
        <f t="shared" si="7"/>
        <v>476768.63047999999</v>
      </c>
      <c r="R16" s="559">
        <f t="shared" si="7"/>
        <v>0</v>
      </c>
      <c r="S16" s="559">
        <f t="shared" si="7"/>
        <v>2384.7555199999683</v>
      </c>
      <c r="T16" s="597">
        <f t="shared" si="1"/>
        <v>0.99502298097085784</v>
      </c>
      <c r="U16" s="559">
        <f t="shared" ref="U16:AH16" si="8">U21+U25+U28+U31+U36+U40+U43+U45+U47+U49+U51+U54+U56+U59+U62+U65+U68+U71+U74+U76+U79+U82+U85+U88+U91+U94+U97+U100+U103+U106+U108</f>
        <v>28673.031000000003</v>
      </c>
      <c r="V16" s="559">
        <f t="shared" si="8"/>
        <v>1737</v>
      </c>
      <c r="W16" s="559">
        <f t="shared" si="8"/>
        <v>28868.624</v>
      </c>
      <c r="X16" s="559">
        <f t="shared" si="8"/>
        <v>3</v>
      </c>
      <c r="Y16" s="559">
        <f t="shared" si="8"/>
        <v>195.59300000000036</v>
      </c>
      <c r="Z16" s="559">
        <f t="shared" si="8"/>
        <v>1734</v>
      </c>
      <c r="AA16" s="559">
        <f t="shared" si="8"/>
        <v>28673.031000000003</v>
      </c>
      <c r="AB16" s="559">
        <f t="shared" si="8"/>
        <v>28673.031000000003</v>
      </c>
      <c r="AC16" s="559">
        <f t="shared" si="8"/>
        <v>0</v>
      </c>
      <c r="AD16" s="559">
        <f t="shared" si="8"/>
        <v>0</v>
      </c>
      <c r="AE16" s="559">
        <f t="shared" si="8"/>
        <v>28673.031000000003</v>
      </c>
      <c r="AF16" s="559">
        <f t="shared" si="8"/>
        <v>28673.031000000003</v>
      </c>
      <c r="AG16" s="559">
        <f t="shared" si="8"/>
        <v>0</v>
      </c>
      <c r="AH16" s="559">
        <f t="shared" si="8"/>
        <v>0</v>
      </c>
      <c r="AI16" s="594">
        <f>AD16+AF16/U16</f>
        <v>1</v>
      </c>
      <c r="AL16" s="596"/>
      <c r="AM16" s="596"/>
      <c r="AN16" s="596"/>
      <c r="AO16" s="596"/>
      <c r="AP16" s="596"/>
      <c r="AQ16" s="596"/>
      <c r="AR16" s="596"/>
      <c r="AS16" s="596"/>
      <c r="AT16" s="596"/>
      <c r="AU16" s="596"/>
      <c r="AV16" s="596"/>
      <c r="AW16" s="596"/>
      <c r="AX16" s="596"/>
      <c r="AY16" s="596"/>
      <c r="AZ16" s="596"/>
      <c r="BA16" s="596"/>
      <c r="BB16" s="596"/>
      <c r="BC16" s="596"/>
      <c r="BD16" s="596"/>
      <c r="BE16" s="596"/>
      <c r="BF16" s="596"/>
      <c r="BG16" s="596"/>
      <c r="BH16" s="596"/>
      <c r="BI16" s="596"/>
      <c r="BJ16" s="596"/>
      <c r="BK16" s="596"/>
      <c r="BL16" s="596"/>
      <c r="BM16" s="596"/>
      <c r="BN16" s="596"/>
      <c r="BO16" s="596"/>
      <c r="BP16" s="596"/>
      <c r="BQ16" s="596"/>
      <c r="BR16" s="596"/>
      <c r="BS16" s="596"/>
      <c r="BT16" s="596"/>
      <c r="BU16" s="596"/>
    </row>
    <row r="17" spans="1:73" s="595" customFormat="1" ht="15">
      <c r="A17" s="1797"/>
      <c r="B17" s="1800"/>
      <c r="C17" s="558" t="s">
        <v>1203</v>
      </c>
      <c r="D17" s="559">
        <f t="shared" ref="D17:S17" si="9">D37</f>
        <v>2168</v>
      </c>
      <c r="E17" s="559">
        <f t="shared" si="9"/>
        <v>0</v>
      </c>
      <c r="F17" s="559">
        <f t="shared" si="9"/>
        <v>2168</v>
      </c>
      <c r="G17" s="559">
        <f t="shared" si="9"/>
        <v>66</v>
      </c>
      <c r="H17" s="559">
        <f t="shared" si="9"/>
        <v>2168</v>
      </c>
      <c r="I17" s="559">
        <f t="shared" si="9"/>
        <v>0</v>
      </c>
      <c r="J17" s="559">
        <f t="shared" si="9"/>
        <v>0</v>
      </c>
      <c r="K17" s="559">
        <f t="shared" si="9"/>
        <v>66</v>
      </c>
      <c r="L17" s="559">
        <f t="shared" si="9"/>
        <v>2168</v>
      </c>
      <c r="M17" s="559">
        <f t="shared" si="9"/>
        <v>2168</v>
      </c>
      <c r="N17" s="559">
        <f t="shared" si="9"/>
        <v>0</v>
      </c>
      <c r="O17" s="559">
        <f t="shared" si="9"/>
        <v>0</v>
      </c>
      <c r="Q17" s="559">
        <f t="shared" si="9"/>
        <v>2168</v>
      </c>
      <c r="R17" s="559">
        <f t="shared" si="9"/>
        <v>0</v>
      </c>
      <c r="S17" s="559">
        <f t="shared" si="9"/>
        <v>0</v>
      </c>
      <c r="T17" s="597">
        <f t="shared" si="1"/>
        <v>1</v>
      </c>
      <c r="U17" s="559">
        <f t="shared" ref="U17:AH17" si="10">U37</f>
        <v>0</v>
      </c>
      <c r="V17" s="559">
        <f t="shared" si="10"/>
        <v>0</v>
      </c>
      <c r="W17" s="559">
        <f t="shared" si="10"/>
        <v>0</v>
      </c>
      <c r="X17" s="559">
        <f t="shared" si="10"/>
        <v>0</v>
      </c>
      <c r="Y17" s="559">
        <f t="shared" si="10"/>
        <v>0</v>
      </c>
      <c r="Z17" s="559">
        <f t="shared" si="10"/>
        <v>0</v>
      </c>
      <c r="AA17" s="559">
        <f t="shared" si="10"/>
        <v>0</v>
      </c>
      <c r="AB17" s="559">
        <f t="shared" si="10"/>
        <v>0</v>
      </c>
      <c r="AC17" s="559">
        <f t="shared" si="10"/>
        <v>0</v>
      </c>
      <c r="AD17" s="559">
        <f t="shared" si="10"/>
        <v>0</v>
      </c>
      <c r="AE17" s="559">
        <f t="shared" si="10"/>
        <v>0</v>
      </c>
      <c r="AF17" s="559">
        <f t="shared" si="10"/>
        <v>0</v>
      </c>
      <c r="AG17" s="559">
        <f t="shared" si="10"/>
        <v>0</v>
      </c>
      <c r="AH17" s="559">
        <f t="shared" si="10"/>
        <v>0</v>
      </c>
      <c r="AI17" s="594"/>
      <c r="AL17" s="596"/>
      <c r="AM17" s="596"/>
      <c r="AN17" s="596"/>
      <c r="AO17" s="596"/>
      <c r="AP17" s="596"/>
      <c r="AQ17" s="596"/>
      <c r="AR17" s="596"/>
      <c r="AS17" s="596"/>
      <c r="AT17" s="596"/>
      <c r="AU17" s="596"/>
      <c r="AV17" s="596"/>
      <c r="AW17" s="596"/>
      <c r="AX17" s="596"/>
      <c r="AY17" s="596"/>
      <c r="AZ17" s="596"/>
      <c r="BA17" s="596"/>
      <c r="BB17" s="596"/>
      <c r="BC17" s="596"/>
      <c r="BD17" s="596"/>
      <c r="BE17" s="596"/>
      <c r="BF17" s="596"/>
      <c r="BG17" s="596"/>
      <c r="BH17" s="596"/>
      <c r="BI17" s="596"/>
      <c r="BJ17" s="596"/>
      <c r="BK17" s="596"/>
      <c r="BL17" s="596"/>
      <c r="BM17" s="596"/>
      <c r="BN17" s="596"/>
      <c r="BO17" s="596"/>
      <c r="BP17" s="596"/>
      <c r="BQ17" s="596"/>
      <c r="BR17" s="596"/>
      <c r="BS17" s="596"/>
      <c r="BT17" s="596"/>
      <c r="BU17" s="596"/>
    </row>
    <row r="18" spans="1:73" s="590" customFormat="1">
      <c r="A18" s="1786">
        <v>1</v>
      </c>
      <c r="B18" s="1775" t="s">
        <v>1216</v>
      </c>
      <c r="C18" s="556" t="str">
        <f>[6]аоб!C9</f>
        <v>ИТОГО</v>
      </c>
      <c r="D18" s="557">
        <f t="shared" ref="D18:D81" si="11">E18+F18</f>
        <v>2095887.327</v>
      </c>
      <c r="E18" s="557">
        <f t="shared" ref="E18:S18" si="12">E19+E20+E21</f>
        <v>489868.5</v>
      </c>
      <c r="F18" s="557">
        <f t="shared" si="12"/>
        <v>1606018.827</v>
      </c>
      <c r="G18" s="557">
        <f t="shared" si="12"/>
        <v>14935</v>
      </c>
      <c r="H18" s="557">
        <f t="shared" si="12"/>
        <v>2126728.773</v>
      </c>
      <c r="I18" s="557">
        <f t="shared" si="12"/>
        <v>41</v>
      </c>
      <c r="J18" s="557">
        <f t="shared" si="12"/>
        <v>30841.525000000169</v>
      </c>
      <c r="K18" s="557">
        <f t="shared" si="12"/>
        <v>14894</v>
      </c>
      <c r="L18" s="557">
        <f t="shared" si="12"/>
        <v>2095887.3269999998</v>
      </c>
      <c r="M18" s="557">
        <f t="shared" si="12"/>
        <v>2095887.3269999998</v>
      </c>
      <c r="N18" s="557">
        <f t="shared" si="12"/>
        <v>489868.5</v>
      </c>
      <c r="O18" s="557">
        <f t="shared" si="12"/>
        <v>0</v>
      </c>
      <c r="P18" s="557">
        <f>AL19+P20+P21</f>
        <v>1606018.8269999998</v>
      </c>
      <c r="Q18" s="557">
        <f t="shared" si="12"/>
        <v>1606018.8269999998</v>
      </c>
      <c r="R18" s="557">
        <f t="shared" si="12"/>
        <v>0</v>
      </c>
      <c r="S18" s="557">
        <f t="shared" si="12"/>
        <v>3.4924596548080444E-10</v>
      </c>
      <c r="T18" s="588">
        <f t="shared" si="1"/>
        <v>0.99999999999999989</v>
      </c>
      <c r="U18" s="557">
        <f t="shared" ref="U18:AH18" si="13">U19+U20+U21</f>
        <v>37079.219000000005</v>
      </c>
      <c r="V18" s="557">
        <f t="shared" si="13"/>
        <v>275</v>
      </c>
      <c r="W18" s="557">
        <f t="shared" si="13"/>
        <v>39430.272000000004</v>
      </c>
      <c r="X18" s="557">
        <f t="shared" si="13"/>
        <v>5</v>
      </c>
      <c r="Y18" s="557">
        <f t="shared" si="13"/>
        <v>2351.0529999999999</v>
      </c>
      <c r="Z18" s="557">
        <f t="shared" si="13"/>
        <v>270</v>
      </c>
      <c r="AA18" s="557">
        <f t="shared" si="13"/>
        <v>37079.219000000005</v>
      </c>
      <c r="AB18" s="557">
        <f t="shared" si="13"/>
        <v>37079.219000000005</v>
      </c>
      <c r="AC18" s="557">
        <f t="shared" si="13"/>
        <v>0</v>
      </c>
      <c r="AD18" s="557">
        <f t="shared" si="13"/>
        <v>0</v>
      </c>
      <c r="AE18" s="557">
        <f t="shared" si="13"/>
        <v>37079.219000000005</v>
      </c>
      <c r="AF18" s="557">
        <f t="shared" si="13"/>
        <v>37079.219000000005</v>
      </c>
      <c r="AG18" s="557">
        <f t="shared" si="13"/>
        <v>0</v>
      </c>
      <c r="AH18" s="557">
        <f t="shared" si="13"/>
        <v>0</v>
      </c>
      <c r="AI18" s="589">
        <f t="shared" ref="AI18:AI36" si="14">AD18+AF18/U18</f>
        <v>1</v>
      </c>
      <c r="AL18" s="591"/>
      <c r="AM18" s="591"/>
      <c r="AN18" s="591"/>
      <c r="AO18" s="591"/>
      <c r="AP18" s="591"/>
      <c r="AQ18" s="591"/>
      <c r="AR18" s="591"/>
      <c r="AS18" s="591"/>
      <c r="AT18" s="591"/>
      <c r="AU18" s="591"/>
      <c r="AV18" s="591"/>
      <c r="AW18" s="591"/>
      <c r="AX18" s="591"/>
      <c r="AY18" s="591"/>
      <c r="AZ18" s="591"/>
      <c r="BA18" s="591"/>
      <c r="BB18" s="591"/>
      <c r="BC18" s="591"/>
      <c r="BD18" s="591"/>
      <c r="BE18" s="591"/>
      <c r="BF18" s="591"/>
      <c r="BG18" s="591"/>
      <c r="BH18" s="591"/>
      <c r="BI18" s="591"/>
      <c r="BJ18" s="591"/>
      <c r="BK18" s="591"/>
      <c r="BL18" s="591"/>
      <c r="BM18" s="591"/>
      <c r="BN18" s="591"/>
      <c r="BO18" s="591"/>
      <c r="BP18" s="591"/>
      <c r="BQ18" s="591"/>
      <c r="BR18" s="591"/>
      <c r="BS18" s="591"/>
      <c r="BT18" s="591"/>
      <c r="BU18" s="591"/>
    </row>
    <row r="19" spans="1:73" s="595" customFormat="1" ht="13.5" customHeight="1">
      <c r="A19" s="1786"/>
      <c r="B19" s="1775"/>
      <c r="C19" s="558" t="str">
        <f>[6]аоб!C10</f>
        <v>СМП</v>
      </c>
      <c r="D19" s="559">
        <f t="shared" si="11"/>
        <v>1389981.5090000001</v>
      </c>
      <c r="E19" s="559">
        <v>340291.5</v>
      </c>
      <c r="F19" s="559">
        <v>1049690.0090000001</v>
      </c>
      <c r="G19" s="559">
        <v>13292</v>
      </c>
      <c r="H19" s="559">
        <v>1413449.3159999999</v>
      </c>
      <c r="I19" s="559">
        <v>37</v>
      </c>
      <c r="J19" s="559">
        <v>24467.39000000013</v>
      </c>
      <c r="K19" s="559">
        <v>13255</v>
      </c>
      <c r="L19" s="559">
        <f>1388981.926+0.079</f>
        <v>1388982.0049999999</v>
      </c>
      <c r="M19" s="559">
        <f>L19</f>
        <v>1388982.0049999999</v>
      </c>
      <c r="N19" s="559">
        <v>340291.5</v>
      </c>
      <c r="O19" s="559">
        <v>0</v>
      </c>
      <c r="Q19" s="559">
        <f>AL19</f>
        <v>1048690.5049999999</v>
      </c>
      <c r="R19" s="559">
        <f>AL19-Q19</f>
        <v>0</v>
      </c>
      <c r="S19" s="559">
        <f>F19-Q19</f>
        <v>999.50400000018999</v>
      </c>
      <c r="T19" s="597">
        <f t="shared" si="1"/>
        <v>0.99904781031406364</v>
      </c>
      <c r="U19" s="559">
        <v>26595.109</v>
      </c>
      <c r="V19" s="559">
        <v>241</v>
      </c>
      <c r="W19" s="559">
        <v>27196.924999999999</v>
      </c>
      <c r="X19" s="559">
        <v>4</v>
      </c>
      <c r="Y19" s="559">
        <v>601.81599999999889</v>
      </c>
      <c r="Z19" s="559">
        <v>237</v>
      </c>
      <c r="AA19" s="559">
        <v>26595.109</v>
      </c>
      <c r="AB19" s="559">
        <f>AA19</f>
        <v>26595.109</v>
      </c>
      <c r="AC19" s="559">
        <v>0</v>
      </c>
      <c r="AD19" s="559">
        <v>0</v>
      </c>
      <c r="AE19" s="559">
        <f>AB19-AC19-AD19</f>
        <v>26595.109</v>
      </c>
      <c r="AF19" s="559">
        <f>AE19</f>
        <v>26595.109</v>
      </c>
      <c r="AG19" s="559">
        <f>AE19-AF19</f>
        <v>0</v>
      </c>
      <c r="AH19" s="559">
        <f>U19-AF19</f>
        <v>0</v>
      </c>
      <c r="AI19" s="594">
        <f t="shared" si="14"/>
        <v>1</v>
      </c>
      <c r="AL19" s="598">
        <f>M19-N19-O19</f>
        <v>1048690.5049999999</v>
      </c>
      <c r="AM19" s="596"/>
      <c r="AN19" s="596"/>
      <c r="AO19" s="596"/>
      <c r="AP19" s="596"/>
      <c r="AQ19" s="596"/>
      <c r="AR19" s="596"/>
      <c r="AS19" s="596"/>
      <c r="AT19" s="596"/>
      <c r="AU19" s="596"/>
      <c r="AV19" s="596"/>
      <c r="AW19" s="596"/>
      <c r="AX19" s="596"/>
      <c r="AY19" s="596"/>
      <c r="AZ19" s="596"/>
      <c r="BA19" s="596"/>
      <c r="BB19" s="596"/>
      <c r="BC19" s="596"/>
      <c r="BD19" s="596"/>
      <c r="BE19" s="596"/>
      <c r="BF19" s="596"/>
      <c r="BG19" s="596"/>
      <c r="BH19" s="596"/>
      <c r="BI19" s="596"/>
      <c r="BJ19" s="596"/>
      <c r="BK19" s="596"/>
      <c r="BL19" s="596"/>
      <c r="BM19" s="596"/>
      <c r="BN19" s="596"/>
      <c r="BO19" s="596"/>
      <c r="BP19" s="596"/>
      <c r="BQ19" s="596"/>
      <c r="BR19" s="596"/>
      <c r="BS19" s="596"/>
      <c r="BT19" s="596"/>
      <c r="BU19" s="596"/>
    </row>
    <row r="20" spans="1:73" s="595" customFormat="1" ht="12.75" customHeight="1">
      <c r="A20" s="1786"/>
      <c r="B20" s="1775"/>
      <c r="C20" s="558" t="str">
        <f>[6]аоб!C11</f>
        <v>ВСМП</v>
      </c>
      <c r="D20" s="559">
        <f t="shared" si="11"/>
        <v>565352.58100000012</v>
      </c>
      <c r="E20" s="559">
        <v>100641.3</v>
      </c>
      <c r="F20" s="559">
        <v>464711.28100000008</v>
      </c>
      <c r="G20" s="559">
        <v>629</v>
      </c>
      <c r="H20" s="559">
        <v>573164.46699999995</v>
      </c>
      <c r="I20" s="559">
        <v>3</v>
      </c>
      <c r="J20" s="559">
        <v>4619.9890000000596</v>
      </c>
      <c r="K20" s="559">
        <v>626</v>
      </c>
      <c r="L20" s="559">
        <v>568544.47799999989</v>
      </c>
      <c r="M20" s="559">
        <f>L20</f>
        <v>568544.47799999989</v>
      </c>
      <c r="N20" s="559">
        <v>100641.3</v>
      </c>
      <c r="O20" s="559">
        <v>0</v>
      </c>
      <c r="P20" s="559">
        <f>M20-N20-O20</f>
        <v>467903.1779999999</v>
      </c>
      <c r="Q20" s="559">
        <f>P20</f>
        <v>467903.1779999999</v>
      </c>
      <c r="R20" s="559">
        <f>P20-Q20</f>
        <v>0</v>
      </c>
      <c r="S20" s="559">
        <f>F20-Q20</f>
        <v>-3191.8969999998226</v>
      </c>
      <c r="T20" s="597">
        <f t="shared" si="1"/>
        <v>1.0068685593195226</v>
      </c>
      <c r="U20" s="559">
        <v>9901.3009999999995</v>
      </c>
      <c r="V20" s="599">
        <v>8</v>
      </c>
      <c r="W20" s="599">
        <v>11650.538</v>
      </c>
      <c r="X20" s="592">
        <v>1</v>
      </c>
      <c r="Y20" s="592">
        <v>1749.237000000001</v>
      </c>
      <c r="Z20" s="592">
        <v>7</v>
      </c>
      <c r="AA20" s="592">
        <v>9901.3009999999995</v>
      </c>
      <c r="AB20" s="559">
        <f>AA20</f>
        <v>9901.3009999999995</v>
      </c>
      <c r="AC20" s="559">
        <v>0</v>
      </c>
      <c r="AD20" s="559">
        <v>0</v>
      </c>
      <c r="AE20" s="559">
        <f>AB20-AC20-AD20</f>
        <v>9901.3009999999995</v>
      </c>
      <c r="AF20" s="559">
        <f>AE20</f>
        <v>9901.3009999999995</v>
      </c>
      <c r="AG20" s="559">
        <f>AE20-AF20</f>
        <v>0</v>
      </c>
      <c r="AH20" s="559">
        <f>U20-AF20</f>
        <v>0</v>
      </c>
      <c r="AI20" s="594">
        <f t="shared" si="14"/>
        <v>1</v>
      </c>
      <c r="AL20" s="596"/>
      <c r="AM20" s="596"/>
      <c r="AN20" s="596"/>
      <c r="AO20" s="596"/>
      <c r="AP20" s="596"/>
      <c r="AQ20" s="596"/>
      <c r="AR20" s="596"/>
      <c r="AS20" s="596"/>
      <c r="AT20" s="596"/>
      <c r="AU20" s="596"/>
      <c r="AV20" s="596"/>
      <c r="AW20" s="596"/>
      <c r="AX20" s="596"/>
      <c r="AY20" s="596"/>
      <c r="AZ20" s="596"/>
      <c r="BA20" s="596"/>
      <c r="BB20" s="596"/>
      <c r="BC20" s="596"/>
      <c r="BD20" s="596"/>
      <c r="BE20" s="596"/>
      <c r="BF20" s="596"/>
      <c r="BG20" s="596"/>
      <c r="BH20" s="596"/>
      <c r="BI20" s="596"/>
      <c r="BJ20" s="596"/>
      <c r="BK20" s="596"/>
      <c r="BL20" s="596"/>
      <c r="BM20" s="596"/>
      <c r="BN20" s="596"/>
      <c r="BO20" s="596"/>
      <c r="BP20" s="596"/>
      <c r="BQ20" s="596"/>
      <c r="BR20" s="596"/>
      <c r="BS20" s="596"/>
      <c r="BT20" s="596"/>
      <c r="BU20" s="596"/>
    </row>
    <row r="21" spans="1:73" s="595" customFormat="1" ht="12.75" customHeight="1">
      <c r="A21" s="1786"/>
      <c r="B21" s="1775"/>
      <c r="C21" s="558" t="str">
        <f>[6]аоб!C12</f>
        <v>СЗП</v>
      </c>
      <c r="D21" s="559">
        <f t="shared" si="11"/>
        <v>140553.23699999999</v>
      </c>
      <c r="E21" s="559">
        <v>48935.7</v>
      </c>
      <c r="F21" s="559">
        <v>91617.536999999997</v>
      </c>
      <c r="G21" s="559">
        <v>1014</v>
      </c>
      <c r="H21" s="559">
        <v>140114.99</v>
      </c>
      <c r="I21" s="559">
        <v>1</v>
      </c>
      <c r="J21" s="559">
        <v>1754.1459999999788</v>
      </c>
      <c r="K21" s="559">
        <v>1013</v>
      </c>
      <c r="L21" s="559">
        <v>138360.84400000001</v>
      </c>
      <c r="M21" s="559">
        <f>L21</f>
        <v>138360.84400000001</v>
      </c>
      <c r="N21" s="559">
        <v>48935.7</v>
      </c>
      <c r="O21" s="559">
        <v>0</v>
      </c>
      <c r="P21" s="559">
        <f>M21-N21-O21</f>
        <v>89425.144000000015</v>
      </c>
      <c r="Q21" s="559">
        <f>P21</f>
        <v>89425.144000000015</v>
      </c>
      <c r="R21" s="559">
        <f>P21-Q21</f>
        <v>0</v>
      </c>
      <c r="S21" s="559">
        <f>F21-Q21</f>
        <v>2192.3929999999818</v>
      </c>
      <c r="T21" s="597">
        <f t="shared" si="1"/>
        <v>0.97607016001750868</v>
      </c>
      <c r="U21" s="559">
        <v>582.80899999999997</v>
      </c>
      <c r="V21" s="600">
        <v>26</v>
      </c>
      <c r="W21" s="601">
        <v>582.80899999999997</v>
      </c>
      <c r="X21" s="592">
        <v>0</v>
      </c>
      <c r="Y21" s="592">
        <v>0</v>
      </c>
      <c r="Z21" s="559">
        <v>26</v>
      </c>
      <c r="AA21" s="602">
        <v>582.80899999999997</v>
      </c>
      <c r="AB21" s="559">
        <f>AA21</f>
        <v>582.80899999999997</v>
      </c>
      <c r="AC21" s="559">
        <v>0</v>
      </c>
      <c r="AD21" s="559">
        <v>0</v>
      </c>
      <c r="AE21" s="559">
        <f>AB21-AC21-AD21</f>
        <v>582.80899999999997</v>
      </c>
      <c r="AF21" s="559">
        <f>AE21</f>
        <v>582.80899999999997</v>
      </c>
      <c r="AG21" s="559">
        <f>AE21-AF21</f>
        <v>0</v>
      </c>
      <c r="AH21" s="559">
        <f>U21-AF21</f>
        <v>0</v>
      </c>
      <c r="AI21" s="594">
        <f t="shared" si="14"/>
        <v>1</v>
      </c>
      <c r="AL21" s="596"/>
      <c r="AM21" s="596"/>
      <c r="AN21" s="596"/>
      <c r="AO21" s="596"/>
      <c r="AP21" s="596"/>
      <c r="AQ21" s="596"/>
      <c r="AR21" s="596"/>
      <c r="AS21" s="596"/>
      <c r="AT21" s="596"/>
      <c r="AU21" s="596"/>
      <c r="AV21" s="596"/>
      <c r="AW21" s="596"/>
      <c r="AX21" s="596"/>
      <c r="AY21" s="596"/>
      <c r="AZ21" s="596"/>
      <c r="BA21" s="596"/>
      <c r="BB21" s="596"/>
      <c r="BC21" s="596"/>
      <c r="BD21" s="596"/>
      <c r="BE21" s="596"/>
      <c r="BF21" s="596"/>
      <c r="BG21" s="596"/>
      <c r="BH21" s="596"/>
      <c r="BI21" s="596"/>
      <c r="BJ21" s="596"/>
      <c r="BK21" s="596"/>
      <c r="BL21" s="596"/>
      <c r="BM21" s="596"/>
      <c r="BN21" s="596"/>
      <c r="BO21" s="596"/>
      <c r="BP21" s="596"/>
      <c r="BQ21" s="596"/>
      <c r="BR21" s="596"/>
      <c r="BS21" s="596"/>
      <c r="BT21" s="596"/>
      <c r="BU21" s="596"/>
    </row>
    <row r="22" spans="1:73" s="590" customFormat="1" ht="15.75" customHeight="1">
      <c r="A22" s="1786">
        <v>2</v>
      </c>
      <c r="B22" s="1783" t="s">
        <v>1217</v>
      </c>
      <c r="C22" s="556" t="str">
        <f>[6]аоб!C13</f>
        <v>ИТОГО</v>
      </c>
      <c r="D22" s="557">
        <f t="shared" si="11"/>
        <v>575033.65500000003</v>
      </c>
      <c r="E22" s="557">
        <f t="shared" ref="E22:S22" si="15">E23+E24+E25</f>
        <v>189004.19999999998</v>
      </c>
      <c r="F22" s="557">
        <f t="shared" si="15"/>
        <v>386029.45500000002</v>
      </c>
      <c r="G22" s="557">
        <f t="shared" si="15"/>
        <v>8404</v>
      </c>
      <c r="H22" s="557">
        <f t="shared" si="15"/>
        <v>595327.06800000009</v>
      </c>
      <c r="I22" s="557">
        <f t="shared" si="15"/>
        <v>25</v>
      </c>
      <c r="J22" s="557">
        <f t="shared" si="15"/>
        <v>20294.110000000055</v>
      </c>
      <c r="K22" s="557">
        <f t="shared" si="15"/>
        <v>8379</v>
      </c>
      <c r="L22" s="557">
        <f t="shared" si="15"/>
        <v>575033.65500000003</v>
      </c>
      <c r="M22" s="557">
        <f t="shared" si="15"/>
        <v>575033.65500000003</v>
      </c>
      <c r="N22" s="557">
        <f t="shared" si="15"/>
        <v>189004.19999999998</v>
      </c>
      <c r="O22" s="557">
        <f t="shared" si="15"/>
        <v>0</v>
      </c>
      <c r="P22" s="557">
        <f>AL23+P24+P25</f>
        <v>386029.45500000002</v>
      </c>
      <c r="Q22" s="557">
        <f t="shared" si="15"/>
        <v>386029.45500000002</v>
      </c>
      <c r="R22" s="557">
        <f t="shared" si="15"/>
        <v>0</v>
      </c>
      <c r="S22" s="557">
        <f t="shared" si="15"/>
        <v>-2.0008883439004421E-11</v>
      </c>
      <c r="T22" s="588">
        <f t="shared" si="1"/>
        <v>1</v>
      </c>
      <c r="U22" s="557">
        <f t="shared" ref="U22:AH22" si="16">U23+U24+U25</f>
        <v>19948.73</v>
      </c>
      <c r="V22" s="557">
        <f t="shared" si="16"/>
        <v>265</v>
      </c>
      <c r="W22" s="557">
        <f t="shared" si="16"/>
        <v>20667.639999999996</v>
      </c>
      <c r="X22" s="557">
        <f t="shared" si="16"/>
        <v>0</v>
      </c>
      <c r="Y22" s="557">
        <f t="shared" si="16"/>
        <v>718.90999999999963</v>
      </c>
      <c r="Z22" s="557">
        <f t="shared" si="16"/>
        <v>265</v>
      </c>
      <c r="AA22" s="557">
        <f t="shared" si="16"/>
        <v>19948.73</v>
      </c>
      <c r="AB22" s="557">
        <f t="shared" si="16"/>
        <v>19948.73</v>
      </c>
      <c r="AC22" s="557">
        <f t="shared" si="16"/>
        <v>0</v>
      </c>
      <c r="AD22" s="557">
        <f t="shared" si="16"/>
        <v>0</v>
      </c>
      <c r="AE22" s="557">
        <f t="shared" si="16"/>
        <v>19948.73</v>
      </c>
      <c r="AF22" s="557">
        <f t="shared" si="16"/>
        <v>19948.73</v>
      </c>
      <c r="AG22" s="557">
        <f t="shared" si="16"/>
        <v>0</v>
      </c>
      <c r="AH22" s="557">
        <f t="shared" si="16"/>
        <v>0</v>
      </c>
      <c r="AI22" s="589">
        <f t="shared" si="14"/>
        <v>1</v>
      </c>
      <c r="AL22" s="591"/>
      <c r="AM22" s="591"/>
      <c r="AN22" s="591"/>
      <c r="AO22" s="591"/>
      <c r="AP22" s="591"/>
      <c r="AQ22" s="591"/>
      <c r="AR22" s="591"/>
      <c r="AS22" s="591"/>
      <c r="AT22" s="591"/>
      <c r="AU22" s="591"/>
      <c r="AV22" s="591"/>
      <c r="AW22" s="591"/>
      <c r="AX22" s="591"/>
      <c r="AY22" s="591"/>
      <c r="AZ22" s="591"/>
      <c r="BA22" s="591"/>
      <c r="BB22" s="591"/>
      <c r="BC22" s="591"/>
      <c r="BD22" s="591"/>
      <c r="BE22" s="591"/>
      <c r="BF22" s="591"/>
      <c r="BG22" s="591"/>
      <c r="BH22" s="591"/>
      <c r="BI22" s="591"/>
      <c r="BJ22" s="591"/>
      <c r="BK22" s="591"/>
      <c r="BL22" s="591"/>
      <c r="BM22" s="591"/>
      <c r="BN22" s="591"/>
      <c r="BO22" s="591"/>
      <c r="BP22" s="591"/>
      <c r="BQ22" s="591"/>
      <c r="BR22" s="591"/>
      <c r="BS22" s="591"/>
      <c r="BT22" s="591"/>
      <c r="BU22" s="591"/>
    </row>
    <row r="23" spans="1:73" s="595" customFormat="1" ht="14.25" customHeight="1">
      <c r="A23" s="1786"/>
      <c r="B23" s="1784"/>
      <c r="C23" s="558" t="str">
        <f>[6]аоб!C14</f>
        <v>СМП</v>
      </c>
      <c r="D23" s="559">
        <f t="shared" si="11"/>
        <v>560490.64800000004</v>
      </c>
      <c r="E23" s="559">
        <v>183760.8</v>
      </c>
      <c r="F23" s="559">
        <f>376729.148+0.7</f>
        <v>376729.848</v>
      </c>
      <c r="G23" s="559">
        <v>7761</v>
      </c>
      <c r="H23" s="559">
        <v>585981.69400000002</v>
      </c>
      <c r="I23" s="559">
        <v>23</v>
      </c>
      <c r="J23" s="559">
        <v>20002.109000000055</v>
      </c>
      <c r="K23" s="559">
        <v>7738</v>
      </c>
      <c r="L23" s="559">
        <f>565980.585-0.303</f>
        <v>565980.28200000001</v>
      </c>
      <c r="M23" s="559">
        <f>L23</f>
        <v>565980.28200000001</v>
      </c>
      <c r="N23" s="559">
        <v>183760.8</v>
      </c>
      <c r="O23" s="559">
        <v>0</v>
      </c>
      <c r="Q23" s="559">
        <f>AL23</f>
        <v>382219.48200000002</v>
      </c>
      <c r="R23" s="559">
        <f>AL23-Q23</f>
        <v>0</v>
      </c>
      <c r="S23" s="559">
        <f>F23-Q23</f>
        <v>-5489.63400000002</v>
      </c>
      <c r="T23" s="597">
        <f t="shared" si="1"/>
        <v>1.0145718053112691</v>
      </c>
      <c r="U23" s="559">
        <v>19339.207999999999</v>
      </c>
      <c r="V23" s="599">
        <v>249</v>
      </c>
      <c r="W23" s="599">
        <v>20058.116999999998</v>
      </c>
      <c r="X23" s="592">
        <v>0</v>
      </c>
      <c r="Y23" s="592">
        <v>718.90899999999965</v>
      </c>
      <c r="Z23" s="592">
        <v>249</v>
      </c>
      <c r="AA23" s="592">
        <v>19339.207999999999</v>
      </c>
      <c r="AB23" s="559">
        <f>AA23</f>
        <v>19339.207999999999</v>
      </c>
      <c r="AC23" s="559">
        <v>0</v>
      </c>
      <c r="AD23" s="559">
        <v>0</v>
      </c>
      <c r="AE23" s="559">
        <f>AB23-AC23-AD23</f>
        <v>19339.207999999999</v>
      </c>
      <c r="AF23" s="559">
        <f>AE23</f>
        <v>19339.207999999999</v>
      </c>
      <c r="AG23" s="559">
        <f>AE23-AF23</f>
        <v>0</v>
      </c>
      <c r="AH23" s="559">
        <f>U23-AF23</f>
        <v>0</v>
      </c>
      <c r="AI23" s="594">
        <f t="shared" si="14"/>
        <v>1</v>
      </c>
      <c r="AL23" s="598">
        <f>M23-N23-O23</f>
        <v>382219.48200000002</v>
      </c>
      <c r="AM23" s="596"/>
      <c r="AN23" s="596"/>
      <c r="AO23" s="596"/>
      <c r="AP23" s="596"/>
      <c r="AQ23" s="596"/>
      <c r="AR23" s="596"/>
      <c r="AS23" s="596"/>
      <c r="AT23" s="596"/>
      <c r="AU23" s="596"/>
      <c r="AV23" s="596"/>
      <c r="AW23" s="596"/>
      <c r="AX23" s="596"/>
      <c r="AY23" s="596"/>
      <c r="AZ23" s="596"/>
      <c r="BA23" s="596"/>
      <c r="BB23" s="596"/>
      <c r="BC23" s="596"/>
      <c r="BD23" s="596"/>
      <c r="BE23" s="596"/>
      <c r="BF23" s="596"/>
      <c r="BG23" s="596"/>
      <c r="BH23" s="596"/>
      <c r="BI23" s="596"/>
      <c r="BJ23" s="596"/>
      <c r="BK23" s="596"/>
      <c r="BL23" s="596"/>
      <c r="BM23" s="596"/>
      <c r="BN23" s="596"/>
      <c r="BO23" s="596"/>
      <c r="BP23" s="596"/>
      <c r="BQ23" s="596"/>
      <c r="BR23" s="596"/>
      <c r="BS23" s="596"/>
      <c r="BT23" s="596"/>
      <c r="BU23" s="596"/>
    </row>
    <row r="24" spans="1:73" s="595" customFormat="1" ht="15">
      <c r="A24" s="1786"/>
      <c r="B24" s="1784"/>
      <c r="C24" s="558" t="str">
        <f>[6]аоб!C15</f>
        <v>ВСМП</v>
      </c>
      <c r="D24" s="559">
        <f t="shared" si="11"/>
        <v>6782.5740000000005</v>
      </c>
      <c r="E24" s="559">
        <v>2543.4</v>
      </c>
      <c r="F24" s="559">
        <v>4239.174</v>
      </c>
      <c r="G24" s="559">
        <v>8</v>
      </c>
      <c r="H24" s="559">
        <v>1831.4569999999999</v>
      </c>
      <c r="I24" s="559">
        <v>0</v>
      </c>
      <c r="J24" s="559">
        <v>264.00099999999998</v>
      </c>
      <c r="K24" s="559">
        <v>8</v>
      </c>
      <c r="L24" s="559">
        <v>1567.4559999999999</v>
      </c>
      <c r="M24" s="559">
        <f>L24</f>
        <v>1567.4559999999999</v>
      </c>
      <c r="N24" s="559">
        <v>2543.4</v>
      </c>
      <c r="O24" s="559">
        <v>0</v>
      </c>
      <c r="P24" s="559">
        <f>M24-N24-O24</f>
        <v>-975.94400000000019</v>
      </c>
      <c r="Q24" s="559">
        <f>P24</f>
        <v>-975.94400000000019</v>
      </c>
      <c r="R24" s="559">
        <f>P24-Q24</f>
        <v>0</v>
      </c>
      <c r="S24" s="559">
        <f>F24-Q24</f>
        <v>5215.1180000000004</v>
      </c>
      <c r="T24" s="597">
        <f t="shared" si="1"/>
        <v>-0.23022032122295527</v>
      </c>
      <c r="U24" s="559">
        <v>418.36599999999999</v>
      </c>
      <c r="V24" s="599">
        <v>1</v>
      </c>
      <c r="W24" s="599">
        <v>418.36700000000002</v>
      </c>
      <c r="X24" s="592">
        <v>0</v>
      </c>
      <c r="Y24" s="592">
        <v>1.0000000000331966E-3</v>
      </c>
      <c r="Z24" s="592">
        <v>1</v>
      </c>
      <c r="AA24" s="592">
        <v>418.36599999999999</v>
      </c>
      <c r="AB24" s="559">
        <f>AA24</f>
        <v>418.36599999999999</v>
      </c>
      <c r="AC24" s="559">
        <v>0</v>
      </c>
      <c r="AD24" s="559">
        <v>0</v>
      </c>
      <c r="AE24" s="559">
        <f>AB24-AC24-AD24</f>
        <v>418.36599999999999</v>
      </c>
      <c r="AF24" s="559">
        <f>AE24</f>
        <v>418.36599999999999</v>
      </c>
      <c r="AG24" s="559">
        <f>AE24-AF24</f>
        <v>0</v>
      </c>
      <c r="AH24" s="559">
        <f>U24-AF24</f>
        <v>0</v>
      </c>
      <c r="AI24" s="594">
        <f t="shared" si="14"/>
        <v>1</v>
      </c>
      <c r="AL24" s="596"/>
      <c r="AM24" s="596"/>
      <c r="AN24" s="596"/>
      <c r="AO24" s="596"/>
      <c r="AP24" s="596"/>
      <c r="AQ24" s="596"/>
      <c r="AR24" s="596"/>
      <c r="AS24" s="596"/>
      <c r="AT24" s="596"/>
      <c r="AU24" s="596"/>
      <c r="AV24" s="596"/>
      <c r="AW24" s="596"/>
      <c r="AX24" s="596"/>
      <c r="AY24" s="596"/>
      <c r="AZ24" s="596"/>
      <c r="BA24" s="596"/>
      <c r="BB24" s="596"/>
      <c r="BC24" s="596"/>
      <c r="BD24" s="596"/>
      <c r="BE24" s="596"/>
      <c r="BF24" s="596"/>
      <c r="BG24" s="596"/>
      <c r="BH24" s="596"/>
      <c r="BI24" s="596"/>
      <c r="BJ24" s="596"/>
      <c r="BK24" s="596"/>
      <c r="BL24" s="596"/>
      <c r="BM24" s="596"/>
      <c r="BN24" s="596"/>
      <c r="BO24" s="596"/>
      <c r="BP24" s="596"/>
      <c r="BQ24" s="596"/>
      <c r="BR24" s="596"/>
      <c r="BS24" s="596"/>
      <c r="BT24" s="596"/>
      <c r="BU24" s="596"/>
    </row>
    <row r="25" spans="1:73" s="595" customFormat="1" ht="15">
      <c r="A25" s="1786"/>
      <c r="B25" s="1785"/>
      <c r="C25" s="558" t="str">
        <f>[6]аоб!C16</f>
        <v>СЗП</v>
      </c>
      <c r="D25" s="559">
        <f t="shared" si="11"/>
        <v>7760.433</v>
      </c>
      <c r="E25" s="559">
        <v>2700</v>
      </c>
      <c r="F25" s="559">
        <v>5060.433</v>
      </c>
      <c r="G25" s="559">
        <v>635</v>
      </c>
      <c r="H25" s="559">
        <v>7513.9170000000004</v>
      </c>
      <c r="I25" s="559">
        <v>2</v>
      </c>
      <c r="J25" s="559">
        <v>28</v>
      </c>
      <c r="K25" s="559">
        <v>633</v>
      </c>
      <c r="L25" s="559">
        <v>7485.9170000000004</v>
      </c>
      <c r="M25" s="559">
        <f>L25</f>
        <v>7485.9170000000004</v>
      </c>
      <c r="N25" s="559">
        <v>2700</v>
      </c>
      <c r="O25" s="559">
        <v>0</v>
      </c>
      <c r="P25" s="559">
        <f>M25-N25-O25</f>
        <v>4785.9170000000004</v>
      </c>
      <c r="Q25" s="559">
        <f>P25</f>
        <v>4785.9170000000004</v>
      </c>
      <c r="R25" s="559">
        <f>P25-Q25</f>
        <v>0</v>
      </c>
      <c r="S25" s="559">
        <f>F25-Q25</f>
        <v>274.51599999999962</v>
      </c>
      <c r="T25" s="597">
        <f t="shared" si="1"/>
        <v>0.9457524682176407</v>
      </c>
      <c r="U25" s="559">
        <v>191.15600000000001</v>
      </c>
      <c r="V25" s="599">
        <v>15</v>
      </c>
      <c r="W25" s="599">
        <v>191.15600000000001</v>
      </c>
      <c r="X25" s="592">
        <v>0</v>
      </c>
      <c r="Y25" s="592">
        <v>0</v>
      </c>
      <c r="Z25" s="592">
        <v>15</v>
      </c>
      <c r="AA25" s="592">
        <v>191.15600000000001</v>
      </c>
      <c r="AB25" s="559">
        <f>AA25</f>
        <v>191.15600000000001</v>
      </c>
      <c r="AC25" s="559">
        <v>0</v>
      </c>
      <c r="AD25" s="559">
        <v>0</v>
      </c>
      <c r="AE25" s="559">
        <f>AB25-AC25-AD25</f>
        <v>191.15600000000001</v>
      </c>
      <c r="AF25" s="559">
        <f>AE25</f>
        <v>191.15600000000001</v>
      </c>
      <c r="AG25" s="559">
        <f>AE25-AF25</f>
        <v>0</v>
      </c>
      <c r="AH25" s="559">
        <f>U25-AF25</f>
        <v>0</v>
      </c>
      <c r="AI25" s="594">
        <f t="shared" si="14"/>
        <v>1</v>
      </c>
      <c r="AL25" s="596"/>
      <c r="AM25" s="596"/>
      <c r="AN25" s="596"/>
      <c r="AO25" s="596"/>
      <c r="AP25" s="596"/>
      <c r="AQ25" s="596"/>
      <c r="AR25" s="596"/>
      <c r="AS25" s="596"/>
      <c r="AT25" s="596"/>
      <c r="AU25" s="596"/>
      <c r="AV25" s="596"/>
      <c r="AW25" s="596"/>
      <c r="AX25" s="596"/>
      <c r="AY25" s="596"/>
      <c r="AZ25" s="596"/>
      <c r="BA25" s="596"/>
      <c r="BB25" s="596"/>
      <c r="BC25" s="596"/>
      <c r="BD25" s="596"/>
      <c r="BE25" s="596"/>
      <c r="BF25" s="596"/>
      <c r="BG25" s="596"/>
      <c r="BH25" s="596"/>
      <c r="BI25" s="596"/>
      <c r="BJ25" s="596"/>
      <c r="BK25" s="596"/>
      <c r="BL25" s="596"/>
      <c r="BM25" s="596"/>
      <c r="BN25" s="596"/>
      <c r="BO25" s="596"/>
      <c r="BP25" s="596"/>
      <c r="BQ25" s="596"/>
      <c r="BR25" s="596"/>
      <c r="BS25" s="596"/>
      <c r="BT25" s="596"/>
      <c r="BU25" s="596"/>
    </row>
    <row r="26" spans="1:73" s="590" customFormat="1">
      <c r="A26" s="1786">
        <v>3</v>
      </c>
      <c r="B26" s="1775" t="s">
        <v>1218</v>
      </c>
      <c r="C26" s="556" t="str">
        <f>[6]аоб!C17</f>
        <v>ИТОГО</v>
      </c>
      <c r="D26" s="557">
        <f t="shared" si="11"/>
        <v>630264.03</v>
      </c>
      <c r="E26" s="557">
        <f t="shared" ref="E26:S26" si="17">E27+E28</f>
        <v>188745.60000000001</v>
      </c>
      <c r="F26" s="557">
        <f t="shared" si="17"/>
        <v>441518.43</v>
      </c>
      <c r="G26" s="557">
        <f t="shared" si="17"/>
        <v>9655</v>
      </c>
      <c r="H26" s="557">
        <f t="shared" si="17"/>
        <v>635955.5</v>
      </c>
      <c r="I26" s="557">
        <f t="shared" si="17"/>
        <v>29</v>
      </c>
      <c r="J26" s="557">
        <f t="shared" si="17"/>
        <v>5690.9340000000084</v>
      </c>
      <c r="K26" s="557">
        <f t="shared" si="17"/>
        <v>9626</v>
      </c>
      <c r="L26" s="557">
        <f t="shared" si="17"/>
        <v>630264.03000000014</v>
      </c>
      <c r="M26" s="557">
        <f t="shared" si="17"/>
        <v>630264.03000000014</v>
      </c>
      <c r="N26" s="557">
        <f t="shared" si="17"/>
        <v>188745.60000000001</v>
      </c>
      <c r="O26" s="557">
        <f t="shared" si="17"/>
        <v>0</v>
      </c>
      <c r="P26" s="557">
        <f>BB27+P28</f>
        <v>441518.43000000011</v>
      </c>
      <c r="Q26" s="557">
        <f t="shared" si="17"/>
        <v>441518.43000000011</v>
      </c>
      <c r="R26" s="557">
        <f t="shared" si="17"/>
        <v>0</v>
      </c>
      <c r="S26" s="557">
        <f t="shared" si="17"/>
        <v>-9.276845958083868E-11</v>
      </c>
      <c r="T26" s="588">
        <f t="shared" si="1"/>
        <v>1.0000000000000002</v>
      </c>
      <c r="U26" s="557">
        <f t="shared" ref="U26:AH26" si="18">U27+U28</f>
        <v>30300.936000000002</v>
      </c>
      <c r="V26" s="557">
        <f t="shared" si="18"/>
        <v>428</v>
      </c>
      <c r="W26" s="557">
        <f t="shared" si="18"/>
        <v>30985.888999999999</v>
      </c>
      <c r="X26" s="557">
        <f t="shared" si="18"/>
        <v>2</v>
      </c>
      <c r="Y26" s="557">
        <f t="shared" si="18"/>
        <v>684.9529999999977</v>
      </c>
      <c r="Z26" s="557">
        <f t="shared" si="18"/>
        <v>426</v>
      </c>
      <c r="AA26" s="557">
        <f t="shared" si="18"/>
        <v>30300.936000000002</v>
      </c>
      <c r="AB26" s="557">
        <f t="shared" si="18"/>
        <v>30300.936000000002</v>
      </c>
      <c r="AC26" s="557">
        <f t="shared" si="18"/>
        <v>0</v>
      </c>
      <c r="AD26" s="557">
        <f t="shared" si="18"/>
        <v>0</v>
      </c>
      <c r="AE26" s="557">
        <f t="shared" si="18"/>
        <v>30300.936000000002</v>
      </c>
      <c r="AF26" s="557">
        <f t="shared" si="18"/>
        <v>30300.936000000002</v>
      </c>
      <c r="AG26" s="557">
        <f t="shared" si="18"/>
        <v>0</v>
      </c>
      <c r="AH26" s="557">
        <f t="shared" si="18"/>
        <v>0</v>
      </c>
      <c r="AI26" s="589">
        <f t="shared" si="14"/>
        <v>1</v>
      </c>
      <c r="AL26" s="591"/>
      <c r="AM26" s="591"/>
      <c r="AN26" s="591"/>
      <c r="AO26" s="591"/>
      <c r="AP26" s="591"/>
      <c r="AQ26" s="591"/>
      <c r="AR26" s="591"/>
      <c r="AS26" s="591"/>
      <c r="AT26" s="591"/>
      <c r="AU26" s="591"/>
      <c r="AV26" s="591"/>
      <c r="AW26" s="591"/>
      <c r="AX26" s="591"/>
      <c r="AY26" s="591"/>
      <c r="AZ26" s="591"/>
      <c r="BA26" s="591"/>
      <c r="BB26" s="591"/>
      <c r="BC26" s="591"/>
      <c r="BD26" s="591"/>
      <c r="BE26" s="591"/>
      <c r="BF26" s="591"/>
      <c r="BG26" s="591"/>
      <c r="BH26" s="591"/>
      <c r="BI26" s="591"/>
      <c r="BJ26" s="591"/>
      <c r="BK26" s="591"/>
      <c r="BL26" s="591"/>
      <c r="BM26" s="591"/>
      <c r="BN26" s="591"/>
      <c r="BO26" s="591"/>
      <c r="BP26" s="591"/>
      <c r="BQ26" s="591"/>
      <c r="BR26" s="591"/>
      <c r="BS26" s="591"/>
      <c r="BT26" s="591"/>
      <c r="BU26" s="591"/>
    </row>
    <row r="27" spans="1:73" s="595" customFormat="1" ht="15">
      <c r="A27" s="1786"/>
      <c r="B27" s="1775"/>
      <c r="C27" s="558" t="str">
        <f>[6]аоб!C18</f>
        <v>СМП</v>
      </c>
      <c r="D27" s="559">
        <f t="shared" si="11"/>
        <v>616041.78300000005</v>
      </c>
      <c r="E27" s="559">
        <v>187782</v>
      </c>
      <c r="F27" s="559">
        <v>428259.783</v>
      </c>
      <c r="G27" s="559">
        <v>8947</v>
      </c>
      <c r="H27" s="559">
        <v>621401.21699999995</v>
      </c>
      <c r="I27" s="559">
        <v>28</v>
      </c>
      <c r="J27" s="559">
        <v>5658.9340000000084</v>
      </c>
      <c r="K27" s="559">
        <v>8919</v>
      </c>
      <c r="L27" s="559">
        <f>615741.783-0.036</f>
        <v>615741.74700000009</v>
      </c>
      <c r="M27" s="559">
        <f>L27</f>
        <v>615741.74700000009</v>
      </c>
      <c r="N27" s="559">
        <v>187782</v>
      </c>
      <c r="O27" s="559">
        <v>0</v>
      </c>
      <c r="Q27" s="559">
        <f>BB27</f>
        <v>427959.74700000009</v>
      </c>
      <c r="R27" s="559">
        <f>BB27-Q27</f>
        <v>0</v>
      </c>
      <c r="S27" s="559">
        <f>F27-Q27</f>
        <v>300.03599999990547</v>
      </c>
      <c r="T27" s="597">
        <f t="shared" si="1"/>
        <v>0.99929940654735749</v>
      </c>
      <c r="U27" s="559">
        <v>29095.024000000001</v>
      </c>
      <c r="V27" s="599">
        <v>376</v>
      </c>
      <c r="W27" s="599">
        <v>29779.976999999999</v>
      </c>
      <c r="X27" s="592">
        <v>2</v>
      </c>
      <c r="Y27" s="592">
        <v>684.9529999999977</v>
      </c>
      <c r="Z27" s="592">
        <v>374</v>
      </c>
      <c r="AA27" s="592">
        <v>29095.024000000001</v>
      </c>
      <c r="AB27" s="559">
        <f>AA27</f>
        <v>29095.024000000001</v>
      </c>
      <c r="AC27" s="559">
        <v>0</v>
      </c>
      <c r="AD27" s="559">
        <v>0</v>
      </c>
      <c r="AE27" s="559">
        <f>AB27-AC27-AD27</f>
        <v>29095.024000000001</v>
      </c>
      <c r="AF27" s="559">
        <f>AE27</f>
        <v>29095.024000000001</v>
      </c>
      <c r="AG27" s="559">
        <f>AE27-AF27</f>
        <v>0</v>
      </c>
      <c r="AH27" s="559">
        <f>U27-AF27</f>
        <v>0</v>
      </c>
      <c r="AI27" s="594">
        <f t="shared" si="14"/>
        <v>1</v>
      </c>
      <c r="AL27" s="596"/>
      <c r="AM27" s="596"/>
      <c r="AN27" s="596"/>
      <c r="AO27" s="596"/>
      <c r="AP27" s="596"/>
      <c r="AQ27" s="596"/>
      <c r="AR27" s="596"/>
      <c r="AS27" s="596"/>
      <c r="AT27" s="596"/>
      <c r="AU27" s="596"/>
      <c r="AV27" s="596"/>
      <c r="AW27" s="596"/>
      <c r="AX27" s="596"/>
      <c r="AY27" s="596"/>
      <c r="AZ27" s="596"/>
      <c r="BA27" s="596"/>
      <c r="BB27" s="598">
        <f>M27-N27-O27</f>
        <v>427959.74700000009</v>
      </c>
      <c r="BC27" s="596"/>
      <c r="BD27" s="596"/>
      <c r="BE27" s="596"/>
      <c r="BF27" s="596"/>
      <c r="BG27" s="596"/>
      <c r="BH27" s="596"/>
      <c r="BI27" s="596"/>
      <c r="BJ27" s="596"/>
      <c r="BK27" s="596"/>
      <c r="BL27" s="596"/>
      <c r="BM27" s="596"/>
      <c r="BN27" s="596"/>
      <c r="BO27" s="596"/>
      <c r="BP27" s="596"/>
      <c r="BQ27" s="596"/>
      <c r="BR27" s="596"/>
      <c r="BS27" s="596"/>
      <c r="BT27" s="596"/>
      <c r="BU27" s="596"/>
    </row>
    <row r="28" spans="1:73" s="595" customFormat="1" ht="15">
      <c r="A28" s="1786"/>
      <c r="B28" s="1775"/>
      <c r="C28" s="558" t="str">
        <f>[6]аоб!C19</f>
        <v>СЗП</v>
      </c>
      <c r="D28" s="559">
        <f t="shared" si="11"/>
        <v>14222.247000000001</v>
      </c>
      <c r="E28" s="559">
        <v>963.6</v>
      </c>
      <c r="F28" s="559">
        <v>13258.647000000001</v>
      </c>
      <c r="G28" s="559">
        <v>708</v>
      </c>
      <c r="H28" s="559">
        <v>14554.282999999999</v>
      </c>
      <c r="I28" s="559">
        <v>1</v>
      </c>
      <c r="J28" s="559">
        <v>32</v>
      </c>
      <c r="K28" s="559">
        <v>707</v>
      </c>
      <c r="L28" s="559">
        <v>14522.282999999999</v>
      </c>
      <c r="M28" s="559">
        <f>L28</f>
        <v>14522.282999999999</v>
      </c>
      <c r="N28" s="559">
        <v>963.6</v>
      </c>
      <c r="O28" s="559">
        <v>0</v>
      </c>
      <c r="P28" s="559">
        <f>M28-N28-O28</f>
        <v>13558.682999999999</v>
      </c>
      <c r="Q28" s="559">
        <f>P28</f>
        <v>13558.682999999999</v>
      </c>
      <c r="R28" s="559">
        <f>P28-Q28</f>
        <v>0</v>
      </c>
      <c r="S28" s="559">
        <f>F28-Q28</f>
        <v>-300.03599999999824</v>
      </c>
      <c r="T28" s="597">
        <f t="shared" si="1"/>
        <v>1.022629458345184</v>
      </c>
      <c r="U28" s="559">
        <v>1205.912</v>
      </c>
      <c r="V28" s="599">
        <v>52</v>
      </c>
      <c r="W28" s="599">
        <v>1205.912</v>
      </c>
      <c r="X28" s="592">
        <v>0</v>
      </c>
      <c r="Y28" s="592">
        <v>0</v>
      </c>
      <c r="Z28" s="592">
        <v>52</v>
      </c>
      <c r="AA28" s="592">
        <v>1205.912</v>
      </c>
      <c r="AB28" s="559">
        <f>AA28</f>
        <v>1205.912</v>
      </c>
      <c r="AC28" s="559">
        <v>0</v>
      </c>
      <c r="AD28" s="559">
        <v>0</v>
      </c>
      <c r="AE28" s="559">
        <f>AB28-AC28-AD28</f>
        <v>1205.912</v>
      </c>
      <c r="AF28" s="559">
        <f>AE28</f>
        <v>1205.912</v>
      </c>
      <c r="AG28" s="559">
        <f>AE28-AF28</f>
        <v>0</v>
      </c>
      <c r="AH28" s="559">
        <f>U28-AF28</f>
        <v>0</v>
      </c>
      <c r="AI28" s="594">
        <f t="shared" si="14"/>
        <v>1</v>
      </c>
      <c r="AL28" s="596"/>
      <c r="AM28" s="596"/>
      <c r="AN28" s="596"/>
      <c r="AO28" s="596"/>
      <c r="AP28" s="596"/>
      <c r="AQ28" s="596"/>
      <c r="AR28" s="596"/>
      <c r="AS28" s="596"/>
      <c r="AT28" s="596"/>
      <c r="AU28" s="596"/>
      <c r="AV28" s="596"/>
      <c r="AW28" s="596"/>
      <c r="AX28" s="596"/>
      <c r="AY28" s="596"/>
      <c r="AZ28" s="596"/>
      <c r="BA28" s="596"/>
      <c r="BB28" s="596"/>
      <c r="BC28" s="596"/>
      <c r="BD28" s="596"/>
      <c r="BE28" s="596"/>
      <c r="BF28" s="596"/>
      <c r="BG28" s="596"/>
      <c r="BH28" s="596"/>
      <c r="BI28" s="596"/>
      <c r="BJ28" s="596"/>
      <c r="BK28" s="596"/>
      <c r="BL28" s="596"/>
      <c r="BM28" s="596"/>
      <c r="BN28" s="596"/>
      <c r="BO28" s="596"/>
      <c r="BP28" s="596"/>
      <c r="BQ28" s="596"/>
      <c r="BR28" s="596"/>
      <c r="BS28" s="596"/>
      <c r="BT28" s="596"/>
      <c r="BU28" s="596"/>
    </row>
    <row r="29" spans="1:73" s="590" customFormat="1">
      <c r="A29" s="1786">
        <v>4</v>
      </c>
      <c r="B29" s="1775" t="s">
        <v>1219</v>
      </c>
      <c r="C29" s="556" t="str">
        <f>[6]аоб!C20</f>
        <v>ИТОГО</v>
      </c>
      <c r="D29" s="557">
        <f t="shared" si="11"/>
        <v>101397.12700000001</v>
      </c>
      <c r="E29" s="557">
        <f t="shared" ref="E29:S29" si="19">E30+E31</f>
        <v>29779.8</v>
      </c>
      <c r="F29" s="557">
        <f t="shared" si="19"/>
        <v>71617.327000000005</v>
      </c>
      <c r="G29" s="557">
        <f t="shared" si="19"/>
        <v>2472</v>
      </c>
      <c r="H29" s="557">
        <f t="shared" si="19"/>
        <v>103103.886</v>
      </c>
      <c r="I29" s="557">
        <f t="shared" si="19"/>
        <v>31</v>
      </c>
      <c r="J29" s="557">
        <f t="shared" si="19"/>
        <v>1706.3880000000008</v>
      </c>
      <c r="K29" s="557">
        <f t="shared" si="19"/>
        <v>2441</v>
      </c>
      <c r="L29" s="557">
        <f t="shared" si="19"/>
        <v>101397.12699999999</v>
      </c>
      <c r="M29" s="557">
        <f t="shared" si="19"/>
        <v>101397.12699999999</v>
      </c>
      <c r="N29" s="557">
        <f t="shared" si="19"/>
        <v>29779.8</v>
      </c>
      <c r="O29" s="557">
        <f t="shared" si="19"/>
        <v>0</v>
      </c>
      <c r="P29" s="557">
        <f>AY30+P31</f>
        <v>71617.32699999999</v>
      </c>
      <c r="Q29" s="557">
        <f t="shared" si="19"/>
        <v>71617.32699999999</v>
      </c>
      <c r="R29" s="557">
        <f t="shared" si="19"/>
        <v>0</v>
      </c>
      <c r="S29" s="557">
        <f t="shared" si="19"/>
        <v>0</v>
      </c>
      <c r="T29" s="588">
        <f t="shared" si="1"/>
        <v>0.99999999999999978</v>
      </c>
      <c r="U29" s="557">
        <f t="shared" ref="U29:AH29" si="20">U30+U31</f>
        <v>2695.3510000000001</v>
      </c>
      <c r="V29" s="557">
        <f t="shared" si="20"/>
        <v>65</v>
      </c>
      <c r="W29" s="557">
        <f t="shared" si="20"/>
        <v>2918.2460000000001</v>
      </c>
      <c r="X29" s="557">
        <f t="shared" si="20"/>
        <v>7</v>
      </c>
      <c r="Y29" s="557">
        <f t="shared" si="20"/>
        <v>222.89499999999981</v>
      </c>
      <c r="Z29" s="557">
        <f t="shared" si="20"/>
        <v>58</v>
      </c>
      <c r="AA29" s="557">
        <f t="shared" si="20"/>
        <v>2695.3510000000001</v>
      </c>
      <c r="AB29" s="557">
        <f t="shared" si="20"/>
        <v>2695.3510000000001</v>
      </c>
      <c r="AC29" s="557">
        <f t="shared" si="20"/>
        <v>0</v>
      </c>
      <c r="AD29" s="557">
        <f t="shared" si="20"/>
        <v>0</v>
      </c>
      <c r="AE29" s="557">
        <f t="shared" si="20"/>
        <v>2695.3510000000001</v>
      </c>
      <c r="AF29" s="557">
        <f t="shared" si="20"/>
        <v>2695.3510000000001</v>
      </c>
      <c r="AG29" s="557">
        <f t="shared" si="20"/>
        <v>0</v>
      </c>
      <c r="AH29" s="557">
        <f t="shared" si="20"/>
        <v>0</v>
      </c>
      <c r="AI29" s="589">
        <f t="shared" si="14"/>
        <v>1</v>
      </c>
      <c r="AL29" s="591"/>
      <c r="AM29" s="591"/>
      <c r="AN29" s="591"/>
      <c r="AO29" s="591"/>
      <c r="AP29" s="591"/>
      <c r="AQ29" s="591"/>
      <c r="AR29" s="591"/>
      <c r="AS29" s="591"/>
      <c r="AT29" s="591"/>
      <c r="AU29" s="591"/>
      <c r="AV29" s="591"/>
      <c r="AW29" s="591"/>
      <c r="AX29" s="591"/>
      <c r="AY29" s="591"/>
      <c r="AZ29" s="591"/>
      <c r="BA29" s="591"/>
      <c r="BB29" s="591"/>
      <c r="BC29" s="591"/>
      <c r="BD29" s="591"/>
      <c r="BE29" s="591"/>
      <c r="BF29" s="591"/>
      <c r="BG29" s="591"/>
      <c r="BH29" s="591"/>
      <c r="BI29" s="591"/>
      <c r="BJ29" s="591"/>
      <c r="BK29" s="591"/>
      <c r="BL29" s="591"/>
      <c r="BM29" s="591"/>
      <c r="BN29" s="591"/>
      <c r="BO29" s="591"/>
      <c r="BP29" s="591"/>
      <c r="BQ29" s="591"/>
      <c r="BR29" s="591"/>
      <c r="BS29" s="591"/>
      <c r="BT29" s="591"/>
      <c r="BU29" s="591"/>
    </row>
    <row r="30" spans="1:73" s="603" customFormat="1" ht="15">
      <c r="A30" s="1786"/>
      <c r="B30" s="1775"/>
      <c r="C30" s="558" t="str">
        <f>[6]аоб!C21</f>
        <v>СМП</v>
      </c>
      <c r="D30" s="559">
        <f t="shared" si="11"/>
        <v>88372.825000000012</v>
      </c>
      <c r="E30" s="559">
        <v>25927.8</v>
      </c>
      <c r="F30" s="559">
        <v>62445.025000000009</v>
      </c>
      <c r="G30" s="559">
        <v>1372</v>
      </c>
      <c r="H30" s="559">
        <v>88702.881999999998</v>
      </c>
      <c r="I30" s="559">
        <v>4</v>
      </c>
      <c r="J30" s="559">
        <v>329.84500000000116</v>
      </c>
      <c r="K30" s="559">
        <v>1368</v>
      </c>
      <c r="L30" s="559">
        <f>88373.037-0.212</f>
        <v>88372.824999999997</v>
      </c>
      <c r="M30" s="559">
        <f>L30</f>
        <v>88372.824999999997</v>
      </c>
      <c r="N30" s="559">
        <v>25927.8</v>
      </c>
      <c r="O30" s="559">
        <v>0</v>
      </c>
      <c r="Q30" s="559">
        <f>AY30</f>
        <v>62445.024999999994</v>
      </c>
      <c r="R30" s="559">
        <f>AY30-Q30</f>
        <v>0</v>
      </c>
      <c r="S30" s="559">
        <f>F30-Q30</f>
        <v>0</v>
      </c>
      <c r="T30" s="597">
        <f t="shared" si="1"/>
        <v>0.99999999999999978</v>
      </c>
      <c r="U30" s="559">
        <v>2368.6640000000002</v>
      </c>
      <c r="V30" s="599">
        <v>40</v>
      </c>
      <c r="W30" s="599">
        <v>2555.509</v>
      </c>
      <c r="X30" s="592">
        <v>4</v>
      </c>
      <c r="Y30" s="592">
        <v>186.8449999999998</v>
      </c>
      <c r="Z30" s="599">
        <v>36</v>
      </c>
      <c r="AA30" s="599">
        <v>2368.6640000000002</v>
      </c>
      <c r="AB30" s="559">
        <f>AA30</f>
        <v>2368.6640000000002</v>
      </c>
      <c r="AC30" s="559">
        <v>0</v>
      </c>
      <c r="AD30" s="559">
        <v>0</v>
      </c>
      <c r="AE30" s="559">
        <f>AB30-AC30-AD30</f>
        <v>2368.6640000000002</v>
      </c>
      <c r="AF30" s="559">
        <f>AE30</f>
        <v>2368.6640000000002</v>
      </c>
      <c r="AG30" s="559">
        <f>AE30-AF30</f>
        <v>0</v>
      </c>
      <c r="AH30" s="559">
        <f>U30-AF30</f>
        <v>0</v>
      </c>
      <c r="AI30" s="594">
        <f t="shared" si="14"/>
        <v>1</v>
      </c>
      <c r="AL30" s="596"/>
      <c r="AM30" s="596"/>
      <c r="AN30" s="596"/>
      <c r="AO30" s="596"/>
      <c r="AP30" s="596"/>
      <c r="AQ30" s="596"/>
      <c r="AR30" s="596"/>
      <c r="AS30" s="596"/>
      <c r="AT30" s="596"/>
      <c r="AU30" s="596"/>
      <c r="AV30" s="596"/>
      <c r="AW30" s="596"/>
      <c r="AX30" s="596"/>
      <c r="AY30" s="598">
        <f>M30-N30-O30</f>
        <v>62445.024999999994</v>
      </c>
      <c r="AZ30" s="596"/>
      <c r="BA30" s="596"/>
      <c r="BB30" s="596"/>
      <c r="BC30" s="596"/>
      <c r="BD30" s="596"/>
      <c r="BE30" s="596"/>
      <c r="BF30" s="596"/>
      <c r="BG30" s="596"/>
      <c r="BH30" s="596"/>
      <c r="BI30" s="596"/>
      <c r="BJ30" s="596"/>
      <c r="BK30" s="596"/>
      <c r="BL30" s="596"/>
      <c r="BM30" s="596"/>
      <c r="BN30" s="596"/>
      <c r="BO30" s="596"/>
      <c r="BP30" s="596"/>
      <c r="BQ30" s="596"/>
      <c r="BR30" s="596"/>
      <c r="BS30" s="596"/>
      <c r="BT30" s="596"/>
      <c r="BU30" s="596"/>
    </row>
    <row r="31" spans="1:73" s="603" customFormat="1" ht="15">
      <c r="A31" s="1786"/>
      <c r="B31" s="1775"/>
      <c r="C31" s="558" t="str">
        <f>[6]аоб!C22</f>
        <v>СЗП</v>
      </c>
      <c r="D31" s="559">
        <f t="shared" si="11"/>
        <v>13024.302</v>
      </c>
      <c r="E31" s="559">
        <v>3852</v>
      </c>
      <c r="F31" s="559">
        <v>9172.3019999999997</v>
      </c>
      <c r="G31" s="559">
        <v>1100</v>
      </c>
      <c r="H31" s="559">
        <v>14401.003999999999</v>
      </c>
      <c r="I31" s="559">
        <v>27</v>
      </c>
      <c r="J31" s="559">
        <v>1376.5429999999997</v>
      </c>
      <c r="K31" s="559">
        <v>1073</v>
      </c>
      <c r="L31" s="559">
        <f>13024.461-0.159</f>
        <v>13024.302</v>
      </c>
      <c r="M31" s="559">
        <f>L31</f>
        <v>13024.302</v>
      </c>
      <c r="N31" s="559">
        <v>3852</v>
      </c>
      <c r="O31" s="559">
        <v>0</v>
      </c>
      <c r="P31" s="559">
        <f>M31-N31-O31</f>
        <v>9172.3019999999997</v>
      </c>
      <c r="Q31" s="559">
        <f>P31</f>
        <v>9172.3019999999997</v>
      </c>
      <c r="R31" s="559">
        <f>P31-Q31</f>
        <v>0</v>
      </c>
      <c r="S31" s="559">
        <f>F31-Q31</f>
        <v>0</v>
      </c>
      <c r="T31" s="597">
        <f t="shared" si="1"/>
        <v>1</v>
      </c>
      <c r="U31" s="559">
        <v>326.68700000000001</v>
      </c>
      <c r="V31" s="599">
        <v>25</v>
      </c>
      <c r="W31" s="599">
        <v>362.73700000000002</v>
      </c>
      <c r="X31" s="592">
        <v>3</v>
      </c>
      <c r="Y31" s="592">
        <v>36.050000000000011</v>
      </c>
      <c r="Z31" s="599">
        <v>22</v>
      </c>
      <c r="AA31" s="599">
        <v>326.68700000000001</v>
      </c>
      <c r="AB31" s="559">
        <f>AA31</f>
        <v>326.68700000000001</v>
      </c>
      <c r="AC31" s="559">
        <v>0</v>
      </c>
      <c r="AD31" s="559">
        <v>0</v>
      </c>
      <c r="AE31" s="559">
        <f>AB31-AC31-AD31</f>
        <v>326.68700000000001</v>
      </c>
      <c r="AF31" s="559">
        <f>AE31</f>
        <v>326.68700000000001</v>
      </c>
      <c r="AG31" s="559">
        <f>AE31-AF31</f>
        <v>0</v>
      </c>
      <c r="AH31" s="559">
        <f>U31-AF31</f>
        <v>0</v>
      </c>
      <c r="AI31" s="594">
        <f t="shared" si="14"/>
        <v>1</v>
      </c>
      <c r="AL31" s="596"/>
      <c r="AM31" s="596"/>
      <c r="AN31" s="596"/>
      <c r="AO31" s="596"/>
      <c r="AP31" s="596"/>
      <c r="AQ31" s="596"/>
      <c r="AR31" s="596"/>
      <c r="AS31" s="596"/>
      <c r="AT31" s="596"/>
      <c r="AU31" s="596"/>
      <c r="AV31" s="596"/>
      <c r="AW31" s="596"/>
      <c r="AX31" s="596"/>
      <c r="AY31" s="596"/>
      <c r="AZ31" s="596"/>
      <c r="BA31" s="596"/>
      <c r="BB31" s="596"/>
      <c r="BC31" s="596"/>
      <c r="BD31" s="596"/>
      <c r="BE31" s="596"/>
      <c r="BF31" s="596"/>
      <c r="BG31" s="596"/>
      <c r="BH31" s="596"/>
      <c r="BI31" s="596"/>
      <c r="BJ31" s="596"/>
      <c r="BK31" s="596"/>
      <c r="BL31" s="596"/>
      <c r="BM31" s="596"/>
      <c r="BN31" s="596"/>
      <c r="BO31" s="596"/>
      <c r="BP31" s="596"/>
      <c r="BQ31" s="596"/>
      <c r="BR31" s="596"/>
      <c r="BS31" s="596"/>
      <c r="BT31" s="596"/>
      <c r="BU31" s="596"/>
    </row>
    <row r="32" spans="1:73" s="590" customFormat="1" ht="12.75" customHeight="1">
      <c r="A32" s="1789">
        <v>5</v>
      </c>
      <c r="B32" s="1783" t="s">
        <v>1220</v>
      </c>
      <c r="C32" s="556" t="str">
        <f>[6]аоб!C23</f>
        <v>ИТОГО</v>
      </c>
      <c r="D32" s="557">
        <f t="shared" si="11"/>
        <v>418653.39800000004</v>
      </c>
      <c r="E32" s="557">
        <f t="shared" ref="E32:S32" si="21">E33</f>
        <v>122583.9</v>
      </c>
      <c r="F32" s="557">
        <f t="shared" si="21"/>
        <v>296069.49800000002</v>
      </c>
      <c r="G32" s="557">
        <f t="shared" si="21"/>
        <v>7015</v>
      </c>
      <c r="H32" s="557">
        <f t="shared" si="21"/>
        <v>426707.51299999998</v>
      </c>
      <c r="I32" s="557">
        <f t="shared" si="21"/>
        <v>13</v>
      </c>
      <c r="J32" s="557">
        <f t="shared" si="21"/>
        <v>8053.5599999999977</v>
      </c>
      <c r="K32" s="557">
        <f t="shared" si="21"/>
        <v>7002</v>
      </c>
      <c r="L32" s="557">
        <f t="shared" si="21"/>
        <v>418653.39799999999</v>
      </c>
      <c r="M32" s="557">
        <f t="shared" si="21"/>
        <v>418653.39799999999</v>
      </c>
      <c r="N32" s="557">
        <f t="shared" si="21"/>
        <v>122583.9</v>
      </c>
      <c r="O32" s="557">
        <f t="shared" si="21"/>
        <v>0</v>
      </c>
      <c r="P32" s="557">
        <f>AL33</f>
        <v>296069.49800000002</v>
      </c>
      <c r="Q32" s="557">
        <f t="shared" si="21"/>
        <v>296069.49800000002</v>
      </c>
      <c r="R32" s="557">
        <f t="shared" si="21"/>
        <v>0</v>
      </c>
      <c r="S32" s="557">
        <f t="shared" si="21"/>
        <v>0</v>
      </c>
      <c r="T32" s="588">
        <f t="shared" si="1"/>
        <v>1</v>
      </c>
      <c r="U32" s="557">
        <f t="shared" ref="U32:AH32" si="22">U33</f>
        <v>13250.335999999999</v>
      </c>
      <c r="V32" s="557">
        <f t="shared" si="22"/>
        <v>217</v>
      </c>
      <c r="W32" s="557">
        <f t="shared" si="22"/>
        <v>1389.4960000000001</v>
      </c>
      <c r="X32" s="557">
        <f t="shared" si="22"/>
        <v>2</v>
      </c>
      <c r="Y32" s="557">
        <f t="shared" si="22"/>
        <v>0</v>
      </c>
      <c r="Z32" s="557">
        <f t="shared" si="22"/>
        <v>215</v>
      </c>
      <c r="AA32" s="557">
        <f t="shared" si="22"/>
        <v>13250.335999999999</v>
      </c>
      <c r="AB32" s="557">
        <f t="shared" si="22"/>
        <v>13250.335999999999</v>
      </c>
      <c r="AC32" s="557">
        <f t="shared" si="22"/>
        <v>0</v>
      </c>
      <c r="AD32" s="557">
        <f t="shared" si="22"/>
        <v>0</v>
      </c>
      <c r="AE32" s="557">
        <f t="shared" si="22"/>
        <v>13250.335999999999</v>
      </c>
      <c r="AF32" s="557">
        <f t="shared" si="22"/>
        <v>13250.335999999999</v>
      </c>
      <c r="AG32" s="557">
        <f t="shared" si="22"/>
        <v>0</v>
      </c>
      <c r="AH32" s="557">
        <f t="shared" si="22"/>
        <v>0</v>
      </c>
      <c r="AI32" s="589">
        <f t="shared" si="14"/>
        <v>1</v>
      </c>
      <c r="AL32" s="591"/>
      <c r="AM32" s="591"/>
      <c r="AN32" s="591"/>
      <c r="AO32" s="591"/>
      <c r="AP32" s="591"/>
      <c r="AQ32" s="591"/>
      <c r="AR32" s="591"/>
      <c r="AS32" s="591"/>
      <c r="AT32" s="591"/>
      <c r="AU32" s="591"/>
      <c r="AV32" s="591"/>
      <c r="AW32" s="591"/>
      <c r="AX32" s="591"/>
      <c r="AY32" s="591"/>
      <c r="AZ32" s="591"/>
      <c r="BA32" s="591"/>
      <c r="BB32" s="591"/>
      <c r="BC32" s="591"/>
      <c r="BD32" s="591"/>
      <c r="BE32" s="591"/>
      <c r="BF32" s="591"/>
      <c r="BG32" s="591"/>
      <c r="BH32" s="591"/>
      <c r="BI32" s="591"/>
      <c r="BJ32" s="591"/>
      <c r="BK32" s="591"/>
      <c r="BL32" s="591"/>
      <c r="BM32" s="591"/>
      <c r="BN32" s="591"/>
      <c r="BO32" s="591"/>
      <c r="BP32" s="591"/>
      <c r="BQ32" s="591"/>
      <c r="BR32" s="591"/>
      <c r="BS32" s="591"/>
      <c r="BT32" s="591"/>
      <c r="BU32" s="591"/>
    </row>
    <row r="33" spans="1:73" s="603" customFormat="1" ht="15">
      <c r="A33" s="1790"/>
      <c r="B33" s="1784"/>
      <c r="C33" s="558" t="str">
        <f>[6]аоб!C24</f>
        <v>СМП</v>
      </c>
      <c r="D33" s="559">
        <f t="shared" si="11"/>
        <v>418653.39800000004</v>
      </c>
      <c r="E33" s="559">
        <v>122583.9</v>
      </c>
      <c r="F33" s="559">
        <f>296069.998-0.5</f>
        <v>296069.49800000002</v>
      </c>
      <c r="G33" s="559">
        <v>7015</v>
      </c>
      <c r="H33" s="559">
        <v>426707.51299999998</v>
      </c>
      <c r="I33" s="559">
        <v>13</v>
      </c>
      <c r="J33" s="559">
        <v>8053.5599999999977</v>
      </c>
      <c r="K33" s="559">
        <v>7002</v>
      </c>
      <c r="L33" s="559">
        <f>418653.453-0.055</f>
        <v>418653.39799999999</v>
      </c>
      <c r="M33" s="559">
        <f>L33</f>
        <v>418653.39799999999</v>
      </c>
      <c r="N33" s="559">
        <v>122583.9</v>
      </c>
      <c r="O33" s="559">
        <v>0</v>
      </c>
      <c r="Q33" s="559">
        <f>AL33</f>
        <v>296069.49800000002</v>
      </c>
      <c r="R33" s="559">
        <f>AL33-Q33</f>
        <v>0</v>
      </c>
      <c r="S33" s="559">
        <f>F33-Q33</f>
        <v>0</v>
      </c>
      <c r="T33" s="597">
        <f t="shared" si="1"/>
        <v>1</v>
      </c>
      <c r="U33" s="559">
        <v>13250.335999999999</v>
      </c>
      <c r="V33" s="599">
        <v>217</v>
      </c>
      <c r="W33" s="599">
        <v>1389.4960000000001</v>
      </c>
      <c r="X33" s="592">
        <v>2</v>
      </c>
      <c r="Y33" s="592"/>
      <c r="Z33" s="592">
        <v>215</v>
      </c>
      <c r="AA33" s="592">
        <v>13250.335999999999</v>
      </c>
      <c r="AB33" s="559">
        <f>AA33</f>
        <v>13250.335999999999</v>
      </c>
      <c r="AC33" s="559">
        <v>0</v>
      </c>
      <c r="AD33" s="559">
        <v>0</v>
      </c>
      <c r="AE33" s="559">
        <f>AB33-AC33-AD33</f>
        <v>13250.335999999999</v>
      </c>
      <c r="AF33" s="559">
        <f>AE33</f>
        <v>13250.335999999999</v>
      </c>
      <c r="AG33" s="559">
        <f>AE33-AF33</f>
        <v>0</v>
      </c>
      <c r="AH33" s="559">
        <f>U33-AF33</f>
        <v>0</v>
      </c>
      <c r="AI33" s="594">
        <f t="shared" si="14"/>
        <v>1</v>
      </c>
      <c r="AL33" s="598">
        <f>M33-N33-O33</f>
        <v>296069.49800000002</v>
      </c>
      <c r="AM33" s="596"/>
      <c r="AN33" s="596"/>
      <c r="AO33" s="596"/>
      <c r="AP33" s="596"/>
      <c r="AQ33" s="596"/>
      <c r="AR33" s="596"/>
      <c r="AS33" s="596"/>
      <c r="AT33" s="596"/>
      <c r="AU33" s="596"/>
      <c r="AV33" s="596"/>
      <c r="AW33" s="596"/>
      <c r="AX33" s="596"/>
      <c r="AY33" s="596"/>
      <c r="AZ33" s="596"/>
      <c r="BA33" s="596"/>
      <c r="BB33" s="596"/>
      <c r="BC33" s="596"/>
      <c r="BD33" s="596"/>
      <c r="BE33" s="596"/>
      <c r="BF33" s="596"/>
      <c r="BG33" s="596"/>
      <c r="BH33" s="596"/>
      <c r="BI33" s="596"/>
      <c r="BJ33" s="596"/>
      <c r="BK33" s="596"/>
      <c r="BL33" s="596"/>
      <c r="BM33" s="596"/>
      <c r="BN33" s="596"/>
      <c r="BO33" s="596"/>
      <c r="BP33" s="596"/>
      <c r="BQ33" s="596"/>
      <c r="BR33" s="596"/>
      <c r="BS33" s="596"/>
      <c r="BT33" s="596"/>
      <c r="BU33" s="596"/>
    </row>
    <row r="34" spans="1:73" s="590" customFormat="1" ht="12.75" customHeight="1">
      <c r="A34" s="1789">
        <v>6</v>
      </c>
      <c r="B34" s="1783" t="s">
        <v>1221</v>
      </c>
      <c r="C34" s="556" t="str">
        <f>[6]аоб!C25</f>
        <v>ИТОГО</v>
      </c>
      <c r="D34" s="557">
        <f t="shared" si="11"/>
        <v>535249.29200000002</v>
      </c>
      <c r="E34" s="557">
        <f t="shared" ref="E34:S34" si="23">E35+E36+E37</f>
        <v>159651</v>
      </c>
      <c r="F34" s="557">
        <f t="shared" si="23"/>
        <v>375598.29200000002</v>
      </c>
      <c r="G34" s="557">
        <f t="shared" si="23"/>
        <v>7831</v>
      </c>
      <c r="H34" s="557">
        <f t="shared" si="23"/>
        <v>548990.56201999995</v>
      </c>
      <c r="I34" s="557">
        <f t="shared" si="23"/>
        <v>25</v>
      </c>
      <c r="J34" s="557">
        <f t="shared" si="23"/>
        <v>13741.579559999984</v>
      </c>
      <c r="K34" s="557">
        <f t="shared" si="23"/>
        <v>7806</v>
      </c>
      <c r="L34" s="557">
        <f t="shared" si="23"/>
        <v>535249.2919999999</v>
      </c>
      <c r="M34" s="557">
        <f t="shared" si="23"/>
        <v>535249.2919999999</v>
      </c>
      <c r="N34" s="557">
        <f t="shared" si="23"/>
        <v>159651</v>
      </c>
      <c r="O34" s="557">
        <f t="shared" si="23"/>
        <v>0</v>
      </c>
      <c r="P34" s="557">
        <f>AL35+P36+P37</f>
        <v>375598.29199999996</v>
      </c>
      <c r="Q34" s="557">
        <f t="shared" si="23"/>
        <v>375598.29199999996</v>
      </c>
      <c r="R34" s="557">
        <f t="shared" si="23"/>
        <v>0</v>
      </c>
      <c r="S34" s="557">
        <f t="shared" si="23"/>
        <v>0</v>
      </c>
      <c r="T34" s="588">
        <f t="shared" si="1"/>
        <v>0.99999999999999989</v>
      </c>
      <c r="U34" s="557">
        <f t="shared" ref="U34:AH34" si="24">U35+U36+U37</f>
        <v>20495.128000000001</v>
      </c>
      <c r="V34" s="557">
        <f t="shared" si="24"/>
        <v>290</v>
      </c>
      <c r="W34" s="557">
        <f t="shared" si="24"/>
        <v>21053.076000000001</v>
      </c>
      <c r="X34" s="557">
        <f t="shared" si="24"/>
        <v>1</v>
      </c>
      <c r="Y34" s="557">
        <f t="shared" si="24"/>
        <v>557.94800000000032</v>
      </c>
      <c r="Z34" s="557">
        <f t="shared" si="24"/>
        <v>289</v>
      </c>
      <c r="AA34" s="557">
        <f t="shared" si="24"/>
        <v>20495.128000000001</v>
      </c>
      <c r="AB34" s="557">
        <f t="shared" si="24"/>
        <v>20495.128000000001</v>
      </c>
      <c r="AC34" s="557">
        <f t="shared" si="24"/>
        <v>0</v>
      </c>
      <c r="AD34" s="557">
        <f t="shared" si="24"/>
        <v>0</v>
      </c>
      <c r="AE34" s="557">
        <f t="shared" si="24"/>
        <v>20495.128000000001</v>
      </c>
      <c r="AF34" s="557">
        <f t="shared" si="24"/>
        <v>20495.128000000001</v>
      </c>
      <c r="AG34" s="557">
        <f t="shared" si="24"/>
        <v>0</v>
      </c>
      <c r="AH34" s="557">
        <f t="shared" si="24"/>
        <v>0</v>
      </c>
      <c r="AI34" s="589">
        <f t="shared" si="14"/>
        <v>1</v>
      </c>
      <c r="AL34" s="591"/>
      <c r="AM34" s="591"/>
      <c r="AN34" s="591"/>
      <c r="AO34" s="591"/>
      <c r="AP34" s="591"/>
      <c r="AQ34" s="591"/>
      <c r="AR34" s="591"/>
      <c r="AS34" s="591"/>
      <c r="AT34" s="591"/>
      <c r="AU34" s="591"/>
      <c r="AV34" s="591"/>
      <c r="AW34" s="591"/>
      <c r="AX34" s="591"/>
      <c r="AY34" s="591"/>
      <c r="AZ34" s="591"/>
      <c r="BA34" s="591"/>
      <c r="BB34" s="591"/>
      <c r="BC34" s="591"/>
      <c r="BD34" s="591"/>
      <c r="BE34" s="591"/>
      <c r="BF34" s="591"/>
      <c r="BG34" s="591"/>
      <c r="BH34" s="591"/>
      <c r="BI34" s="591"/>
      <c r="BJ34" s="591"/>
      <c r="BK34" s="591"/>
      <c r="BL34" s="591"/>
      <c r="BM34" s="591"/>
      <c r="BN34" s="591"/>
      <c r="BO34" s="591"/>
      <c r="BP34" s="591"/>
      <c r="BQ34" s="591"/>
      <c r="BR34" s="591"/>
      <c r="BS34" s="591"/>
      <c r="BT34" s="591"/>
      <c r="BU34" s="591"/>
    </row>
    <row r="35" spans="1:73" s="603" customFormat="1" ht="15">
      <c r="A35" s="1790"/>
      <c r="B35" s="1784"/>
      <c r="C35" s="558" t="str">
        <f>[6]аоб!C26</f>
        <v>СМП</v>
      </c>
      <c r="D35" s="559">
        <f t="shared" si="11"/>
        <v>529271.90099999995</v>
      </c>
      <c r="E35" s="559">
        <v>158837.4</v>
      </c>
      <c r="F35" s="559">
        <v>370434.50099999999</v>
      </c>
      <c r="G35" s="559">
        <v>7524</v>
      </c>
      <c r="H35" s="559">
        <v>542992.48006999993</v>
      </c>
      <c r="I35" s="559">
        <v>24</v>
      </c>
      <c r="J35" s="559">
        <v>13720.579559999984</v>
      </c>
      <c r="K35" s="559">
        <v>7500</v>
      </c>
      <c r="L35" s="559">
        <v>529271.90099999995</v>
      </c>
      <c r="M35" s="559">
        <f>L35</f>
        <v>529271.90099999995</v>
      </c>
      <c r="N35" s="559">
        <v>158837.4</v>
      </c>
      <c r="O35" s="559">
        <v>0</v>
      </c>
      <c r="Q35" s="559">
        <f>AL35</f>
        <v>370434.50099999993</v>
      </c>
      <c r="R35" s="559">
        <f>AL35-Q35</f>
        <v>0</v>
      </c>
      <c r="S35" s="559">
        <f>F35-Q35</f>
        <v>0</v>
      </c>
      <c r="T35" s="597">
        <f t="shared" si="1"/>
        <v>0.99999999999999989</v>
      </c>
      <c r="U35" s="559">
        <v>20336.985000000001</v>
      </c>
      <c r="V35" s="599">
        <v>280</v>
      </c>
      <c r="W35" s="599">
        <v>20894.933000000001</v>
      </c>
      <c r="X35" s="592">
        <v>1</v>
      </c>
      <c r="Y35" s="592">
        <v>557.94800000000032</v>
      </c>
      <c r="Z35" s="592">
        <v>279</v>
      </c>
      <c r="AA35" s="592">
        <v>20336.985000000001</v>
      </c>
      <c r="AB35" s="559">
        <f>AA35</f>
        <v>20336.985000000001</v>
      </c>
      <c r="AC35" s="559">
        <v>0</v>
      </c>
      <c r="AD35" s="559">
        <v>0</v>
      </c>
      <c r="AE35" s="559">
        <f>AB35-AC35-AD35</f>
        <v>20336.985000000001</v>
      </c>
      <c r="AF35" s="559">
        <f>AE35</f>
        <v>20336.985000000001</v>
      </c>
      <c r="AG35" s="559">
        <f>AE35-AF35</f>
        <v>0</v>
      </c>
      <c r="AH35" s="559">
        <f>U35-AF35</f>
        <v>0</v>
      </c>
      <c r="AI35" s="594">
        <f t="shared" si="14"/>
        <v>1</v>
      </c>
      <c r="AL35" s="598">
        <f>M35-N35-O35</f>
        <v>370434.50099999993</v>
      </c>
      <c r="AM35" s="596"/>
      <c r="AN35" s="596"/>
      <c r="AO35" s="596"/>
      <c r="AP35" s="596"/>
      <c r="AQ35" s="596"/>
      <c r="AR35" s="596"/>
      <c r="AS35" s="596"/>
      <c r="AT35" s="596"/>
      <c r="AU35" s="596"/>
      <c r="AV35" s="596"/>
      <c r="AW35" s="596"/>
      <c r="AX35" s="596"/>
      <c r="AY35" s="596"/>
      <c r="AZ35" s="596"/>
      <c r="BA35" s="596"/>
      <c r="BB35" s="596"/>
      <c r="BC35" s="596"/>
      <c r="BD35" s="596"/>
      <c r="BE35" s="596"/>
      <c r="BF35" s="596"/>
      <c r="BG35" s="596"/>
      <c r="BH35" s="596"/>
      <c r="BI35" s="596"/>
      <c r="BJ35" s="596"/>
      <c r="BK35" s="596"/>
      <c r="BL35" s="596"/>
      <c r="BM35" s="596"/>
      <c r="BN35" s="596"/>
      <c r="BO35" s="596"/>
      <c r="BP35" s="596"/>
      <c r="BQ35" s="596"/>
      <c r="BR35" s="596"/>
      <c r="BS35" s="596"/>
      <c r="BT35" s="596"/>
      <c r="BU35" s="596"/>
    </row>
    <row r="36" spans="1:73" s="603" customFormat="1" ht="15">
      <c r="A36" s="1790"/>
      <c r="B36" s="1784"/>
      <c r="C36" s="558" t="str">
        <f>[6]аоб!C27</f>
        <v>СЗП</v>
      </c>
      <c r="D36" s="559">
        <f t="shared" si="11"/>
        <v>3809.3909999999996</v>
      </c>
      <c r="E36" s="559">
        <v>813.6</v>
      </c>
      <c r="F36" s="559">
        <v>2995.7909999999997</v>
      </c>
      <c r="G36" s="559">
        <v>241</v>
      </c>
      <c r="H36" s="559">
        <v>3830.0819499999998</v>
      </c>
      <c r="I36" s="559">
        <v>1</v>
      </c>
      <c r="J36" s="559">
        <v>21</v>
      </c>
      <c r="K36" s="559">
        <v>240</v>
      </c>
      <c r="L36" s="559">
        <f>3809.391</f>
        <v>3809.3910000000001</v>
      </c>
      <c r="M36" s="559">
        <f>L36</f>
        <v>3809.3910000000001</v>
      </c>
      <c r="N36" s="559">
        <v>813.6</v>
      </c>
      <c r="O36" s="559">
        <v>0</v>
      </c>
      <c r="P36" s="559">
        <f>M36-N36-O36</f>
        <v>2995.7910000000002</v>
      </c>
      <c r="Q36" s="559">
        <f>P36</f>
        <v>2995.7910000000002</v>
      </c>
      <c r="R36" s="559">
        <f>P36-Q36</f>
        <v>0</v>
      </c>
      <c r="S36" s="559">
        <f>F36-Q36</f>
        <v>0</v>
      </c>
      <c r="T36" s="597">
        <f t="shared" si="1"/>
        <v>1.0000000000000002</v>
      </c>
      <c r="U36" s="559">
        <v>158.143</v>
      </c>
      <c r="V36" s="599">
        <v>10</v>
      </c>
      <c r="W36" s="599">
        <v>158.143</v>
      </c>
      <c r="X36" s="592">
        <v>0</v>
      </c>
      <c r="Y36" s="592">
        <v>0</v>
      </c>
      <c r="Z36" s="592">
        <v>10</v>
      </c>
      <c r="AA36" s="592">
        <v>158.143</v>
      </c>
      <c r="AB36" s="559">
        <f>AA36</f>
        <v>158.143</v>
      </c>
      <c r="AC36" s="559">
        <v>0</v>
      </c>
      <c r="AD36" s="559">
        <v>0</v>
      </c>
      <c r="AE36" s="559">
        <f>AB36-AC36-AD36</f>
        <v>158.143</v>
      </c>
      <c r="AF36" s="559">
        <f>AE36</f>
        <v>158.143</v>
      </c>
      <c r="AG36" s="559">
        <f>AE36-AF36</f>
        <v>0</v>
      </c>
      <c r="AH36" s="559">
        <f>U36-AF36</f>
        <v>0</v>
      </c>
      <c r="AI36" s="594">
        <f t="shared" si="14"/>
        <v>1</v>
      </c>
      <c r="AL36" s="596"/>
      <c r="AM36" s="596"/>
      <c r="AN36" s="596"/>
      <c r="AO36" s="596"/>
      <c r="AP36" s="596"/>
      <c r="AQ36" s="596"/>
      <c r="AR36" s="596"/>
      <c r="AS36" s="596"/>
      <c r="AT36" s="596"/>
      <c r="AU36" s="596"/>
      <c r="AV36" s="596"/>
      <c r="AW36" s="596"/>
      <c r="AX36" s="596"/>
      <c r="AY36" s="596"/>
      <c r="AZ36" s="596"/>
      <c r="BA36" s="596"/>
      <c r="BB36" s="596"/>
      <c r="BC36" s="596"/>
      <c r="BD36" s="596"/>
      <c r="BE36" s="596"/>
      <c r="BF36" s="596"/>
      <c r="BG36" s="596"/>
      <c r="BH36" s="596"/>
      <c r="BI36" s="596"/>
      <c r="BJ36" s="596"/>
      <c r="BK36" s="596"/>
      <c r="BL36" s="596"/>
      <c r="BM36" s="596"/>
      <c r="BN36" s="596"/>
      <c r="BO36" s="596"/>
      <c r="BP36" s="596"/>
      <c r="BQ36" s="596"/>
      <c r="BR36" s="596"/>
      <c r="BS36" s="596"/>
      <c r="BT36" s="596"/>
      <c r="BU36" s="596"/>
    </row>
    <row r="37" spans="1:73" s="603" customFormat="1" ht="15">
      <c r="A37" s="1791"/>
      <c r="B37" s="1785"/>
      <c r="C37" s="558" t="s">
        <v>1203</v>
      </c>
      <c r="D37" s="559">
        <f t="shared" si="11"/>
        <v>2168</v>
      </c>
      <c r="E37" s="559"/>
      <c r="F37" s="559">
        <v>2168</v>
      </c>
      <c r="G37" s="559">
        <v>66</v>
      </c>
      <c r="H37" s="559">
        <v>2168</v>
      </c>
      <c r="I37" s="559">
        <v>0</v>
      </c>
      <c r="J37" s="559">
        <v>0</v>
      </c>
      <c r="K37" s="559">
        <v>66</v>
      </c>
      <c r="L37" s="559">
        <v>2168</v>
      </c>
      <c r="M37" s="559">
        <f>L37</f>
        <v>2168</v>
      </c>
      <c r="N37" s="559"/>
      <c r="O37" s="559"/>
      <c r="P37" s="559">
        <f>M37-N37-O37</f>
        <v>2168</v>
      </c>
      <c r="Q37" s="559">
        <f>P37</f>
        <v>2168</v>
      </c>
      <c r="R37" s="559">
        <f>P37-Q37</f>
        <v>0</v>
      </c>
      <c r="S37" s="559">
        <f>F37-Q37</f>
        <v>0</v>
      </c>
      <c r="T37" s="597">
        <f t="shared" si="1"/>
        <v>1</v>
      </c>
      <c r="U37" s="559">
        <v>0</v>
      </c>
      <c r="V37" s="599">
        <v>0</v>
      </c>
      <c r="W37" s="599">
        <v>0</v>
      </c>
      <c r="X37" s="592">
        <v>0</v>
      </c>
      <c r="Y37" s="592">
        <v>0</v>
      </c>
      <c r="Z37" s="592">
        <v>0</v>
      </c>
      <c r="AA37" s="592">
        <v>0</v>
      </c>
      <c r="AB37" s="559">
        <f>AA37</f>
        <v>0</v>
      </c>
      <c r="AC37" s="559"/>
      <c r="AD37" s="559"/>
      <c r="AE37" s="559"/>
      <c r="AF37" s="559"/>
      <c r="AG37" s="559"/>
      <c r="AH37" s="559">
        <f>U37-AF37</f>
        <v>0</v>
      </c>
      <c r="AI37" s="594"/>
      <c r="AL37" s="596"/>
      <c r="AM37" s="596"/>
      <c r="AN37" s="596"/>
      <c r="AO37" s="596"/>
      <c r="AP37" s="596"/>
      <c r="AQ37" s="596"/>
      <c r="AR37" s="596"/>
      <c r="AS37" s="596"/>
      <c r="AT37" s="596"/>
      <c r="AU37" s="596"/>
      <c r="AV37" s="596"/>
      <c r="AW37" s="596"/>
      <c r="AX37" s="596"/>
      <c r="AY37" s="596"/>
      <c r="AZ37" s="596"/>
      <c r="BA37" s="596"/>
      <c r="BB37" s="596"/>
      <c r="BC37" s="596"/>
      <c r="BD37" s="596"/>
      <c r="BE37" s="596"/>
      <c r="BF37" s="596"/>
      <c r="BG37" s="596"/>
      <c r="BH37" s="596"/>
      <c r="BI37" s="596"/>
      <c r="BJ37" s="596"/>
      <c r="BK37" s="596"/>
      <c r="BL37" s="596"/>
      <c r="BM37" s="596"/>
      <c r="BN37" s="596"/>
      <c r="BO37" s="596"/>
      <c r="BP37" s="596"/>
      <c r="BQ37" s="596"/>
      <c r="BR37" s="596"/>
      <c r="BS37" s="596"/>
      <c r="BT37" s="596"/>
      <c r="BU37" s="596"/>
    </row>
    <row r="38" spans="1:73" s="595" customFormat="1" ht="15">
      <c r="A38" s="1786">
        <v>7</v>
      </c>
      <c r="B38" s="1775" t="s">
        <v>1222</v>
      </c>
      <c r="C38" s="556" t="str">
        <f>[6]аоб!C28</f>
        <v>ИТОГО</v>
      </c>
      <c r="D38" s="557">
        <f t="shared" si="11"/>
        <v>57257.422000000006</v>
      </c>
      <c r="E38" s="557">
        <f t="shared" ref="E38:S38" si="25">E39+E40</f>
        <v>17096.7</v>
      </c>
      <c r="F38" s="557">
        <f t="shared" si="25"/>
        <v>40160.722000000002</v>
      </c>
      <c r="G38" s="557">
        <f t="shared" si="25"/>
        <v>1434</v>
      </c>
      <c r="H38" s="557">
        <f t="shared" si="25"/>
        <v>58322.009000000005</v>
      </c>
      <c r="I38" s="557">
        <f t="shared" si="25"/>
        <v>0</v>
      </c>
      <c r="J38" s="557">
        <f t="shared" si="25"/>
        <v>1064.4200000000019</v>
      </c>
      <c r="K38" s="557">
        <f t="shared" si="25"/>
        <v>1434</v>
      </c>
      <c r="L38" s="557">
        <f t="shared" si="25"/>
        <v>57257.421999999999</v>
      </c>
      <c r="M38" s="557">
        <f t="shared" si="25"/>
        <v>57257.421999999999</v>
      </c>
      <c r="N38" s="557">
        <f t="shared" si="25"/>
        <v>17096.7</v>
      </c>
      <c r="O38" s="557">
        <f t="shared" si="25"/>
        <v>0</v>
      </c>
      <c r="P38" s="557">
        <f>AL39+P40</f>
        <v>40160.722000000002</v>
      </c>
      <c r="Q38" s="557">
        <f t="shared" si="25"/>
        <v>40160.722000000002</v>
      </c>
      <c r="R38" s="557">
        <f t="shared" si="25"/>
        <v>0</v>
      </c>
      <c r="S38" s="557">
        <f t="shared" si="25"/>
        <v>0</v>
      </c>
      <c r="T38" s="588">
        <f t="shared" si="1"/>
        <v>1</v>
      </c>
      <c r="U38" s="557">
        <f t="shared" ref="U38:AH38" si="26">U39+U40</f>
        <v>2690.2460000000001</v>
      </c>
      <c r="V38" s="557">
        <f t="shared" si="26"/>
        <v>70</v>
      </c>
      <c r="W38" s="557">
        <f t="shared" si="26"/>
        <v>2690.2460000000001</v>
      </c>
      <c r="X38" s="557">
        <f t="shared" si="26"/>
        <v>0</v>
      </c>
      <c r="Y38" s="557">
        <f t="shared" si="26"/>
        <v>0</v>
      </c>
      <c r="Z38" s="557">
        <f t="shared" si="26"/>
        <v>70</v>
      </c>
      <c r="AA38" s="557">
        <f t="shared" si="26"/>
        <v>2690.2460000000001</v>
      </c>
      <c r="AB38" s="557">
        <f t="shared" si="26"/>
        <v>2690.2460000000001</v>
      </c>
      <c r="AC38" s="557">
        <f t="shared" si="26"/>
        <v>0</v>
      </c>
      <c r="AD38" s="557">
        <f t="shared" si="26"/>
        <v>0</v>
      </c>
      <c r="AE38" s="557">
        <f t="shared" si="26"/>
        <v>2690.2460000000001</v>
      </c>
      <c r="AF38" s="557">
        <f t="shared" si="26"/>
        <v>2690.2460000000001</v>
      </c>
      <c r="AG38" s="557">
        <f t="shared" si="26"/>
        <v>0</v>
      </c>
      <c r="AH38" s="557">
        <f t="shared" si="26"/>
        <v>0</v>
      </c>
      <c r="AI38" s="589">
        <f t="shared" ref="AI38:AI43" si="27">AD38+AF38/U38</f>
        <v>1</v>
      </c>
      <c r="AL38" s="596"/>
      <c r="AM38" s="596"/>
      <c r="AN38" s="596"/>
      <c r="AO38" s="596"/>
      <c r="AP38" s="596"/>
      <c r="AQ38" s="596"/>
      <c r="AR38" s="596"/>
      <c r="AS38" s="596"/>
      <c r="AT38" s="596"/>
      <c r="AU38" s="596"/>
      <c r="AV38" s="596"/>
      <c r="AW38" s="596"/>
      <c r="AX38" s="596"/>
      <c r="AY38" s="596"/>
      <c r="AZ38" s="596"/>
      <c r="BA38" s="596"/>
      <c r="BB38" s="596"/>
      <c r="BC38" s="596"/>
      <c r="BD38" s="596"/>
      <c r="BE38" s="596"/>
      <c r="BF38" s="596"/>
      <c r="BG38" s="596"/>
      <c r="BH38" s="596"/>
      <c r="BI38" s="596"/>
      <c r="BJ38" s="596"/>
      <c r="BK38" s="596"/>
      <c r="BL38" s="596"/>
      <c r="BM38" s="596"/>
      <c r="BN38" s="596"/>
      <c r="BO38" s="596"/>
      <c r="BP38" s="596"/>
      <c r="BQ38" s="596"/>
      <c r="BR38" s="596"/>
      <c r="BS38" s="596"/>
      <c r="BT38" s="596"/>
      <c r="BU38" s="596"/>
    </row>
    <row r="39" spans="1:73" s="603" customFormat="1" ht="15">
      <c r="A39" s="1786"/>
      <c r="B39" s="1775"/>
      <c r="C39" s="558" t="str">
        <f>[6]аоб!C29</f>
        <v>СМП</v>
      </c>
      <c r="D39" s="559">
        <f t="shared" si="11"/>
        <v>49325.764999999999</v>
      </c>
      <c r="E39" s="559">
        <v>14526</v>
      </c>
      <c r="F39" s="559">
        <v>34799.764999999999</v>
      </c>
      <c r="G39" s="559">
        <v>787</v>
      </c>
      <c r="H39" s="559">
        <v>50212.402000000002</v>
      </c>
      <c r="I39" s="559">
        <v>0</v>
      </c>
      <c r="J39" s="559">
        <v>886.47000000000116</v>
      </c>
      <c r="K39" s="559">
        <v>787</v>
      </c>
      <c r="L39" s="559">
        <f>49325.632+0.133</f>
        <v>49325.764999999999</v>
      </c>
      <c r="M39" s="559">
        <f>L39</f>
        <v>49325.764999999999</v>
      </c>
      <c r="N39" s="559">
        <v>14526</v>
      </c>
      <c r="O39" s="559">
        <v>0</v>
      </c>
      <c r="Q39" s="559">
        <f>AL39</f>
        <v>34799.764999999999</v>
      </c>
      <c r="R39" s="559">
        <f>AL39-Q39</f>
        <v>0</v>
      </c>
      <c r="S39" s="559">
        <f>F39-Q39</f>
        <v>0</v>
      </c>
      <c r="T39" s="597">
        <f t="shared" si="1"/>
        <v>1</v>
      </c>
      <c r="U39" s="559">
        <v>2302.857</v>
      </c>
      <c r="V39" s="559">
        <v>39</v>
      </c>
      <c r="W39" s="559">
        <v>2302.857</v>
      </c>
      <c r="X39" s="559">
        <v>0</v>
      </c>
      <c r="Y39" s="559">
        <v>0</v>
      </c>
      <c r="Z39" s="559">
        <v>39</v>
      </c>
      <c r="AA39" s="559">
        <v>2302.857</v>
      </c>
      <c r="AB39" s="559">
        <f>AA39</f>
        <v>2302.857</v>
      </c>
      <c r="AC39" s="559">
        <v>0</v>
      </c>
      <c r="AD39" s="559">
        <v>0</v>
      </c>
      <c r="AE39" s="559">
        <f>AB39-AC39-AD39</f>
        <v>2302.857</v>
      </c>
      <c r="AF39" s="559">
        <f>AE39</f>
        <v>2302.857</v>
      </c>
      <c r="AG39" s="559">
        <f>AE39-AF39</f>
        <v>0</v>
      </c>
      <c r="AH39" s="559">
        <f>U39-AF39</f>
        <v>0</v>
      </c>
      <c r="AI39" s="594">
        <f t="shared" si="27"/>
        <v>1</v>
      </c>
      <c r="AL39" s="598">
        <f>M39-N39-O39</f>
        <v>34799.764999999999</v>
      </c>
      <c r="AM39" s="596"/>
      <c r="AN39" s="596"/>
      <c r="AO39" s="596"/>
      <c r="AP39" s="596"/>
      <c r="AQ39" s="596"/>
      <c r="AR39" s="596"/>
      <c r="AS39" s="596"/>
      <c r="AT39" s="596"/>
      <c r="AU39" s="596"/>
      <c r="AV39" s="596"/>
      <c r="AW39" s="596"/>
      <c r="AX39" s="596"/>
      <c r="AY39" s="596"/>
      <c r="AZ39" s="596"/>
      <c r="BA39" s="596"/>
      <c r="BB39" s="596"/>
      <c r="BC39" s="596"/>
      <c r="BD39" s="596"/>
      <c r="BE39" s="596"/>
      <c r="BF39" s="596"/>
      <c r="BG39" s="596"/>
      <c r="BH39" s="596"/>
      <c r="BI39" s="596"/>
      <c r="BJ39" s="596"/>
      <c r="BK39" s="596"/>
      <c r="BL39" s="596"/>
      <c r="BM39" s="596"/>
      <c r="BN39" s="596"/>
      <c r="BO39" s="596"/>
      <c r="BP39" s="596"/>
      <c r="BQ39" s="596"/>
      <c r="BR39" s="596"/>
      <c r="BS39" s="596"/>
      <c r="BT39" s="596"/>
      <c r="BU39" s="596"/>
    </row>
    <row r="40" spans="1:73" s="603" customFormat="1" ht="15">
      <c r="A40" s="1786"/>
      <c r="B40" s="1775"/>
      <c r="C40" s="558" t="str">
        <f>[6]аоб!C30</f>
        <v>СЗП</v>
      </c>
      <c r="D40" s="559">
        <f t="shared" si="11"/>
        <v>7931.6570000000002</v>
      </c>
      <c r="E40" s="559">
        <v>2570.6999999999998</v>
      </c>
      <c r="F40" s="559">
        <v>5360.9570000000003</v>
      </c>
      <c r="G40" s="559">
        <v>647</v>
      </c>
      <c r="H40" s="559">
        <v>8109.607</v>
      </c>
      <c r="I40" s="559">
        <v>0</v>
      </c>
      <c r="J40" s="559">
        <v>177.95000000000073</v>
      </c>
      <c r="K40" s="559">
        <v>647</v>
      </c>
      <c r="L40" s="559">
        <v>7931.6569999999992</v>
      </c>
      <c r="M40" s="559">
        <f>L40</f>
        <v>7931.6569999999992</v>
      </c>
      <c r="N40" s="559">
        <v>2570.6999999999998</v>
      </c>
      <c r="O40" s="559">
        <v>0</v>
      </c>
      <c r="P40" s="559">
        <f>M40-N40-O40</f>
        <v>5360.9569999999994</v>
      </c>
      <c r="Q40" s="559">
        <f>P40</f>
        <v>5360.9569999999994</v>
      </c>
      <c r="R40" s="559">
        <f>P40-Q40</f>
        <v>0</v>
      </c>
      <c r="S40" s="559">
        <f>F40-Q40</f>
        <v>0</v>
      </c>
      <c r="T40" s="597">
        <f t="shared" si="1"/>
        <v>0.99999999999999978</v>
      </c>
      <c r="U40" s="559">
        <v>387.38900000000001</v>
      </c>
      <c r="V40" s="599">
        <v>31</v>
      </c>
      <c r="W40" s="599">
        <v>387.38900000000001</v>
      </c>
      <c r="X40" s="592">
        <v>0</v>
      </c>
      <c r="Y40" s="592">
        <v>0</v>
      </c>
      <c r="Z40" s="592">
        <v>31</v>
      </c>
      <c r="AA40" s="592">
        <v>387.38900000000001</v>
      </c>
      <c r="AB40" s="559">
        <f>AA40</f>
        <v>387.38900000000001</v>
      </c>
      <c r="AC40" s="559">
        <v>0</v>
      </c>
      <c r="AD40" s="559">
        <v>0</v>
      </c>
      <c r="AE40" s="559">
        <f>AB40-AC40-AD40</f>
        <v>387.38900000000001</v>
      </c>
      <c r="AF40" s="559">
        <f>AE40</f>
        <v>387.38900000000001</v>
      </c>
      <c r="AG40" s="559">
        <f>AE40-AF40</f>
        <v>0</v>
      </c>
      <c r="AH40" s="559">
        <f>U40-AF40</f>
        <v>0</v>
      </c>
      <c r="AI40" s="594">
        <f t="shared" si="27"/>
        <v>1</v>
      </c>
      <c r="AL40" s="596"/>
      <c r="AM40" s="596"/>
      <c r="AN40" s="596"/>
      <c r="AO40" s="596"/>
      <c r="AP40" s="596"/>
      <c r="AQ40" s="596"/>
      <c r="AR40" s="596"/>
      <c r="AS40" s="596"/>
      <c r="AT40" s="596"/>
      <c r="AU40" s="596"/>
      <c r="AV40" s="596"/>
      <c r="AW40" s="596"/>
      <c r="AX40" s="596"/>
      <c r="AY40" s="596"/>
      <c r="AZ40" s="596"/>
      <c r="BA40" s="596"/>
      <c r="BB40" s="596"/>
      <c r="BC40" s="596"/>
      <c r="BD40" s="596"/>
      <c r="BE40" s="596"/>
      <c r="BF40" s="596"/>
      <c r="BG40" s="596"/>
      <c r="BH40" s="596"/>
      <c r="BI40" s="596"/>
      <c r="BJ40" s="596"/>
      <c r="BK40" s="596"/>
      <c r="BL40" s="596"/>
      <c r="BM40" s="596"/>
      <c r="BN40" s="596"/>
      <c r="BO40" s="596"/>
      <c r="BP40" s="596"/>
      <c r="BQ40" s="596"/>
      <c r="BR40" s="596"/>
      <c r="BS40" s="596"/>
      <c r="BT40" s="596"/>
      <c r="BU40" s="596"/>
    </row>
    <row r="41" spans="1:73" s="595" customFormat="1" ht="15">
      <c r="A41" s="1786">
        <v>8</v>
      </c>
      <c r="B41" s="1775" t="s">
        <v>1223</v>
      </c>
      <c r="C41" s="556" t="str">
        <f>[6]аоб!C31</f>
        <v>ИТОГО</v>
      </c>
      <c r="D41" s="557">
        <f t="shared" si="11"/>
        <v>45559.453999999998</v>
      </c>
      <c r="E41" s="557">
        <f t="shared" ref="E41:S41" si="28">E42+E43</f>
        <v>12616.199999999999</v>
      </c>
      <c r="F41" s="557">
        <f t="shared" si="28"/>
        <v>32943.254000000001</v>
      </c>
      <c r="G41" s="557">
        <f t="shared" si="28"/>
        <v>1179</v>
      </c>
      <c r="H41" s="557">
        <f t="shared" si="28"/>
        <v>47772.193999999996</v>
      </c>
      <c r="I41" s="557">
        <f t="shared" si="28"/>
        <v>24</v>
      </c>
      <c r="J41" s="557">
        <f t="shared" si="28"/>
        <v>2213.0789999999961</v>
      </c>
      <c r="K41" s="557">
        <f t="shared" si="28"/>
        <v>1155</v>
      </c>
      <c r="L41" s="557">
        <f t="shared" si="28"/>
        <v>45559.453999999998</v>
      </c>
      <c r="M41" s="557">
        <f t="shared" si="28"/>
        <v>45559.453999999998</v>
      </c>
      <c r="N41" s="557">
        <f t="shared" si="28"/>
        <v>12616.199999999999</v>
      </c>
      <c r="O41" s="557">
        <f t="shared" si="28"/>
        <v>0</v>
      </c>
      <c r="P41" s="557">
        <f>AL42+P43</f>
        <v>32943.254000000001</v>
      </c>
      <c r="Q41" s="557">
        <f t="shared" si="28"/>
        <v>32943.254000000001</v>
      </c>
      <c r="R41" s="557">
        <f t="shared" si="28"/>
        <v>0</v>
      </c>
      <c r="S41" s="557">
        <f t="shared" si="28"/>
        <v>0</v>
      </c>
      <c r="T41" s="588">
        <f t="shared" si="1"/>
        <v>1</v>
      </c>
      <c r="U41" s="557">
        <f t="shared" ref="U41:AH41" si="29">U42+U43</f>
        <v>3591.71</v>
      </c>
      <c r="V41" s="557">
        <f t="shared" si="29"/>
        <v>72</v>
      </c>
      <c r="W41" s="557">
        <f t="shared" si="29"/>
        <v>3663.3559999999998</v>
      </c>
      <c r="X41" s="557">
        <f t="shared" si="29"/>
        <v>0</v>
      </c>
      <c r="Y41" s="557">
        <f t="shared" si="29"/>
        <v>71.645999999999844</v>
      </c>
      <c r="Z41" s="557">
        <f t="shared" si="29"/>
        <v>72</v>
      </c>
      <c r="AA41" s="557">
        <f t="shared" si="29"/>
        <v>3591.71</v>
      </c>
      <c r="AB41" s="557">
        <f t="shared" si="29"/>
        <v>3591.71</v>
      </c>
      <c r="AC41" s="557">
        <f t="shared" si="29"/>
        <v>0</v>
      </c>
      <c r="AD41" s="557">
        <f t="shared" si="29"/>
        <v>0</v>
      </c>
      <c r="AE41" s="557">
        <f t="shared" si="29"/>
        <v>3591.71</v>
      </c>
      <c r="AF41" s="557">
        <f t="shared" si="29"/>
        <v>3591.71</v>
      </c>
      <c r="AG41" s="557">
        <f t="shared" si="29"/>
        <v>0</v>
      </c>
      <c r="AH41" s="557">
        <f t="shared" si="29"/>
        <v>0</v>
      </c>
      <c r="AI41" s="589">
        <f t="shared" si="27"/>
        <v>1</v>
      </c>
      <c r="AL41" s="596"/>
      <c r="AM41" s="596"/>
      <c r="AN41" s="596"/>
      <c r="AO41" s="596"/>
      <c r="AP41" s="596"/>
      <c r="AQ41" s="596"/>
      <c r="AR41" s="596"/>
      <c r="AS41" s="596"/>
      <c r="AT41" s="596"/>
      <c r="AU41" s="596"/>
      <c r="AV41" s="596"/>
      <c r="AW41" s="596"/>
      <c r="AX41" s="596"/>
      <c r="AY41" s="596"/>
      <c r="AZ41" s="596"/>
      <c r="BA41" s="596"/>
      <c r="BB41" s="596"/>
      <c r="BC41" s="596"/>
      <c r="BD41" s="596"/>
      <c r="BE41" s="596"/>
      <c r="BF41" s="596"/>
      <c r="BG41" s="596"/>
      <c r="BH41" s="596"/>
      <c r="BI41" s="596"/>
      <c r="BJ41" s="596"/>
      <c r="BK41" s="596"/>
      <c r="BL41" s="596"/>
      <c r="BM41" s="596"/>
      <c r="BN41" s="596"/>
      <c r="BO41" s="596"/>
      <c r="BP41" s="596"/>
      <c r="BQ41" s="596"/>
      <c r="BR41" s="596"/>
      <c r="BS41" s="596"/>
      <c r="BT41" s="596"/>
      <c r="BU41" s="596"/>
    </row>
    <row r="42" spans="1:73" s="603" customFormat="1" ht="15">
      <c r="A42" s="1786"/>
      <c r="B42" s="1775"/>
      <c r="C42" s="558" t="str">
        <f>[6]аоб!C32</f>
        <v>СМП</v>
      </c>
      <c r="D42" s="559">
        <f t="shared" si="11"/>
        <v>35527.502</v>
      </c>
      <c r="E42" s="559">
        <v>9811.7999999999993</v>
      </c>
      <c r="F42" s="559">
        <v>25715.702000000001</v>
      </c>
      <c r="G42" s="559">
        <v>510</v>
      </c>
      <c r="H42" s="559">
        <v>37711.771999999997</v>
      </c>
      <c r="I42" s="559">
        <v>8</v>
      </c>
      <c r="J42" s="559">
        <v>2184.3229999999967</v>
      </c>
      <c r="K42" s="559">
        <v>502</v>
      </c>
      <c r="L42" s="559">
        <f>35527.649-0.147</f>
        <v>35527.502</v>
      </c>
      <c r="M42" s="559">
        <f>L42</f>
        <v>35527.502</v>
      </c>
      <c r="N42" s="559">
        <v>9811.7999999999993</v>
      </c>
      <c r="O42" s="559">
        <v>0</v>
      </c>
      <c r="Q42" s="559">
        <f>AL42</f>
        <v>25715.702000000001</v>
      </c>
      <c r="R42" s="559">
        <f>AL42-Q42</f>
        <v>0</v>
      </c>
      <c r="S42" s="559">
        <f>F42-Q42</f>
        <v>0</v>
      </c>
      <c r="T42" s="597">
        <f t="shared" si="1"/>
        <v>1</v>
      </c>
      <c r="U42" s="559">
        <v>2990.8310000000001</v>
      </c>
      <c r="V42" s="599">
        <v>37</v>
      </c>
      <c r="W42" s="599">
        <v>3054.721</v>
      </c>
      <c r="X42" s="592">
        <v>0</v>
      </c>
      <c r="Y42" s="592">
        <v>63.889999999999873</v>
      </c>
      <c r="Z42" s="592">
        <v>37</v>
      </c>
      <c r="AA42" s="592">
        <v>2990.8310000000001</v>
      </c>
      <c r="AB42" s="559">
        <f>AA42</f>
        <v>2990.8310000000001</v>
      </c>
      <c r="AC42" s="559">
        <v>0</v>
      </c>
      <c r="AD42" s="559">
        <v>0</v>
      </c>
      <c r="AE42" s="559">
        <f>AB42-AC42-AD42</f>
        <v>2990.8310000000001</v>
      </c>
      <c r="AF42" s="559">
        <f>AE42</f>
        <v>2990.8310000000001</v>
      </c>
      <c r="AG42" s="559">
        <f>AE42-AF42</f>
        <v>0</v>
      </c>
      <c r="AH42" s="559">
        <f>U42-AF42</f>
        <v>0</v>
      </c>
      <c r="AI42" s="594">
        <f t="shared" si="27"/>
        <v>1</v>
      </c>
      <c r="AL42" s="598">
        <f>M42-N42-O42</f>
        <v>25715.702000000001</v>
      </c>
      <c r="AM42" s="596"/>
      <c r="AN42" s="596"/>
      <c r="AO42" s="596"/>
      <c r="AP42" s="596"/>
      <c r="AQ42" s="596"/>
      <c r="AR42" s="596"/>
      <c r="AS42" s="596"/>
      <c r="AT42" s="596"/>
      <c r="AU42" s="596"/>
      <c r="AV42" s="596"/>
      <c r="AW42" s="596"/>
      <c r="AX42" s="596"/>
      <c r="AY42" s="596"/>
      <c r="AZ42" s="596"/>
      <c r="BA42" s="596"/>
      <c r="BB42" s="596"/>
      <c r="BC42" s="596"/>
      <c r="BD42" s="596"/>
      <c r="BE42" s="596"/>
      <c r="BF42" s="596"/>
      <c r="BG42" s="596"/>
      <c r="BH42" s="596"/>
      <c r="BI42" s="596"/>
      <c r="BJ42" s="596"/>
      <c r="BK42" s="596"/>
      <c r="BL42" s="596"/>
      <c r="BM42" s="596"/>
      <c r="BN42" s="596"/>
      <c r="BO42" s="596"/>
      <c r="BP42" s="596"/>
      <c r="BQ42" s="596"/>
      <c r="BR42" s="596"/>
      <c r="BS42" s="596"/>
      <c r="BT42" s="596"/>
      <c r="BU42" s="596"/>
    </row>
    <row r="43" spans="1:73" s="603" customFormat="1" ht="15">
      <c r="A43" s="1786"/>
      <c r="B43" s="1775"/>
      <c r="C43" s="558" t="str">
        <f>[6]аоб!C33</f>
        <v>СЗП</v>
      </c>
      <c r="D43" s="559">
        <f t="shared" si="11"/>
        <v>10031.951999999999</v>
      </c>
      <c r="E43" s="559">
        <v>2804.4</v>
      </c>
      <c r="F43" s="559">
        <v>7227.5519999999997</v>
      </c>
      <c r="G43" s="559">
        <v>669</v>
      </c>
      <c r="H43" s="559">
        <v>10060.422</v>
      </c>
      <c r="I43" s="559">
        <v>16</v>
      </c>
      <c r="J43" s="559">
        <v>28.755999999999403</v>
      </c>
      <c r="K43" s="559">
        <v>653</v>
      </c>
      <c r="L43" s="559">
        <f>10031.666+0.286</f>
        <v>10031.951999999999</v>
      </c>
      <c r="M43" s="559">
        <f>L43</f>
        <v>10031.951999999999</v>
      </c>
      <c r="N43" s="559">
        <v>2804.4</v>
      </c>
      <c r="O43" s="559">
        <v>0</v>
      </c>
      <c r="P43" s="559">
        <f>M43-N43-O43</f>
        <v>7227.5519999999997</v>
      </c>
      <c r="Q43" s="559">
        <f>P43</f>
        <v>7227.5519999999997</v>
      </c>
      <c r="R43" s="559">
        <f>P43-Q43</f>
        <v>0</v>
      </c>
      <c r="S43" s="559">
        <f>F43-Q43</f>
        <v>0</v>
      </c>
      <c r="T43" s="597">
        <f t="shared" si="1"/>
        <v>1</v>
      </c>
      <c r="U43" s="559">
        <v>600.87900000000002</v>
      </c>
      <c r="V43" s="599">
        <v>35</v>
      </c>
      <c r="W43" s="599">
        <v>608.63499999999999</v>
      </c>
      <c r="X43" s="592">
        <v>0</v>
      </c>
      <c r="Y43" s="592">
        <v>7.7559999999999718</v>
      </c>
      <c r="Z43" s="592">
        <v>35</v>
      </c>
      <c r="AA43" s="592">
        <v>600.87900000000002</v>
      </c>
      <c r="AB43" s="559">
        <f>AA43</f>
        <v>600.87900000000002</v>
      </c>
      <c r="AC43" s="559">
        <v>0</v>
      </c>
      <c r="AD43" s="559">
        <v>0</v>
      </c>
      <c r="AE43" s="559">
        <f>AB43-AC43-AD43</f>
        <v>600.87900000000002</v>
      </c>
      <c r="AF43" s="559">
        <f>AE43</f>
        <v>600.87900000000002</v>
      </c>
      <c r="AG43" s="559">
        <f>AE43-AF43</f>
        <v>0</v>
      </c>
      <c r="AH43" s="559">
        <f>U43-AF43</f>
        <v>0</v>
      </c>
      <c r="AI43" s="594">
        <f t="shared" si="27"/>
        <v>1</v>
      </c>
      <c r="AL43" s="596"/>
      <c r="AM43" s="596"/>
      <c r="AN43" s="596"/>
      <c r="AO43" s="596"/>
      <c r="AP43" s="596"/>
      <c r="AQ43" s="596"/>
      <c r="AR43" s="596"/>
      <c r="AS43" s="596"/>
      <c r="AT43" s="596"/>
      <c r="AU43" s="596"/>
      <c r="AV43" s="596"/>
      <c r="AW43" s="596"/>
      <c r="AX43" s="596"/>
      <c r="AY43" s="596"/>
      <c r="AZ43" s="596"/>
      <c r="BA43" s="596"/>
      <c r="BB43" s="596"/>
      <c r="BC43" s="596"/>
      <c r="BD43" s="596"/>
      <c r="BE43" s="596"/>
      <c r="BF43" s="596"/>
      <c r="BG43" s="596"/>
      <c r="BH43" s="596"/>
      <c r="BI43" s="596"/>
      <c r="BJ43" s="596"/>
      <c r="BK43" s="596"/>
      <c r="BL43" s="596"/>
      <c r="BM43" s="596"/>
      <c r="BN43" s="596"/>
      <c r="BO43" s="596"/>
      <c r="BP43" s="596"/>
      <c r="BQ43" s="596"/>
      <c r="BR43" s="596"/>
      <c r="BS43" s="596"/>
      <c r="BT43" s="596"/>
      <c r="BU43" s="596"/>
    </row>
    <row r="44" spans="1:73" s="595" customFormat="1" ht="15">
      <c r="A44" s="1786">
        <v>9</v>
      </c>
      <c r="B44" s="1775" t="s">
        <v>1224</v>
      </c>
      <c r="C44" s="556" t="str">
        <f>[6]аоб!C34</f>
        <v>ИТОГО</v>
      </c>
      <c r="D44" s="557">
        <f t="shared" si="11"/>
        <v>22523.74</v>
      </c>
      <c r="E44" s="557">
        <f t="shared" ref="E44:S44" si="30">E45</f>
        <v>7597.2</v>
      </c>
      <c r="F44" s="557">
        <f t="shared" si="30"/>
        <v>14926.54</v>
      </c>
      <c r="G44" s="557">
        <f t="shared" si="30"/>
        <v>1570</v>
      </c>
      <c r="H44" s="557">
        <f t="shared" si="30"/>
        <v>22851.16</v>
      </c>
      <c r="I44" s="557">
        <f t="shared" si="30"/>
        <v>1</v>
      </c>
      <c r="J44" s="557">
        <f t="shared" si="30"/>
        <v>327.33599999999933</v>
      </c>
      <c r="K44" s="557">
        <f t="shared" si="30"/>
        <v>1569</v>
      </c>
      <c r="L44" s="557">
        <f t="shared" si="30"/>
        <v>22523.74</v>
      </c>
      <c r="M44" s="557">
        <f t="shared" si="30"/>
        <v>22523.74</v>
      </c>
      <c r="N44" s="557">
        <f t="shared" si="30"/>
        <v>7597.2</v>
      </c>
      <c r="O44" s="557">
        <f t="shared" si="30"/>
        <v>0</v>
      </c>
      <c r="P44" s="557">
        <f t="shared" si="30"/>
        <v>14926.54</v>
      </c>
      <c r="Q44" s="557">
        <f t="shared" si="30"/>
        <v>14926.54</v>
      </c>
      <c r="R44" s="557">
        <f t="shared" si="30"/>
        <v>0</v>
      </c>
      <c r="S44" s="557">
        <f t="shared" si="30"/>
        <v>0</v>
      </c>
      <c r="T44" s="588">
        <f t="shared" si="1"/>
        <v>1</v>
      </c>
      <c r="U44" s="557">
        <f t="shared" ref="U44:AH44" si="31">U45</f>
        <v>0</v>
      </c>
      <c r="V44" s="557">
        <f t="shared" si="31"/>
        <v>0</v>
      </c>
      <c r="W44" s="557">
        <f t="shared" si="31"/>
        <v>0</v>
      </c>
      <c r="X44" s="557">
        <f t="shared" si="31"/>
        <v>0</v>
      </c>
      <c r="Y44" s="557">
        <f t="shared" si="31"/>
        <v>0</v>
      </c>
      <c r="Z44" s="557">
        <f t="shared" si="31"/>
        <v>0</v>
      </c>
      <c r="AA44" s="557">
        <f t="shared" si="31"/>
        <v>0</v>
      </c>
      <c r="AB44" s="557">
        <f t="shared" si="31"/>
        <v>0</v>
      </c>
      <c r="AC44" s="557">
        <f t="shared" si="31"/>
        <v>0</v>
      </c>
      <c r="AD44" s="557">
        <f t="shared" si="31"/>
        <v>0</v>
      </c>
      <c r="AE44" s="557">
        <f t="shared" si="31"/>
        <v>0</v>
      </c>
      <c r="AF44" s="557">
        <f t="shared" si="31"/>
        <v>0</v>
      </c>
      <c r="AG44" s="557">
        <f t="shared" si="31"/>
        <v>0</v>
      </c>
      <c r="AH44" s="557">
        <f t="shared" si="31"/>
        <v>0</v>
      </c>
      <c r="AI44" s="594"/>
      <c r="AL44" s="596"/>
      <c r="AM44" s="596"/>
      <c r="AN44" s="596"/>
      <c r="AO44" s="596"/>
      <c r="AP44" s="596"/>
      <c r="AQ44" s="596"/>
      <c r="AR44" s="596"/>
      <c r="AS44" s="596"/>
      <c r="AT44" s="596"/>
      <c r="AU44" s="596"/>
      <c r="AV44" s="596"/>
      <c r="AW44" s="596"/>
      <c r="AX44" s="596"/>
      <c r="AY44" s="596"/>
      <c r="AZ44" s="596"/>
      <c r="BA44" s="596"/>
      <c r="BB44" s="596"/>
      <c r="BC44" s="596"/>
      <c r="BD44" s="596"/>
      <c r="BE44" s="596"/>
      <c r="BF44" s="596"/>
      <c r="BG44" s="596"/>
      <c r="BH44" s="596"/>
      <c r="BI44" s="596"/>
      <c r="BJ44" s="596"/>
      <c r="BK44" s="596"/>
      <c r="BL44" s="596"/>
      <c r="BM44" s="596"/>
      <c r="BN44" s="596"/>
      <c r="BO44" s="596"/>
      <c r="BP44" s="596"/>
      <c r="BQ44" s="596"/>
      <c r="BR44" s="596"/>
      <c r="BS44" s="596"/>
      <c r="BT44" s="596"/>
      <c r="BU44" s="596"/>
    </row>
    <row r="45" spans="1:73" s="603" customFormat="1" ht="15">
      <c r="A45" s="1786"/>
      <c r="B45" s="1775"/>
      <c r="C45" s="558" t="str">
        <f>[6]аоб!C35</f>
        <v>СЗП</v>
      </c>
      <c r="D45" s="559">
        <f t="shared" si="11"/>
        <v>22523.74</v>
      </c>
      <c r="E45" s="559">
        <v>7597.2</v>
      </c>
      <c r="F45" s="559">
        <v>14926.54</v>
      </c>
      <c r="G45" s="559">
        <v>1570</v>
      </c>
      <c r="H45" s="559">
        <v>22851.16</v>
      </c>
      <c r="I45" s="559">
        <v>1</v>
      </c>
      <c r="J45" s="559">
        <v>327.33599999999933</v>
      </c>
      <c r="K45" s="559">
        <v>1569</v>
      </c>
      <c r="L45" s="559">
        <f>22523.824-0.084</f>
        <v>22523.74</v>
      </c>
      <c r="M45" s="559">
        <f>L45</f>
        <v>22523.74</v>
      </c>
      <c r="N45" s="559">
        <v>7597.2</v>
      </c>
      <c r="O45" s="559">
        <v>0</v>
      </c>
      <c r="P45" s="559">
        <f>M45-N45-O45</f>
        <v>14926.54</v>
      </c>
      <c r="Q45" s="559">
        <f>P45</f>
        <v>14926.54</v>
      </c>
      <c r="R45" s="559">
        <f>P45-Q45</f>
        <v>0</v>
      </c>
      <c r="S45" s="559">
        <f>F45-Q45</f>
        <v>0</v>
      </c>
      <c r="T45" s="597">
        <f t="shared" si="1"/>
        <v>1</v>
      </c>
      <c r="U45" s="559">
        <v>0</v>
      </c>
      <c r="V45" s="599">
        <v>0</v>
      </c>
      <c r="W45" s="599">
        <v>0</v>
      </c>
      <c r="X45" s="592">
        <v>0</v>
      </c>
      <c r="Y45" s="592">
        <v>0</v>
      </c>
      <c r="Z45" s="592">
        <v>0</v>
      </c>
      <c r="AA45" s="592">
        <v>0</v>
      </c>
      <c r="AB45" s="559">
        <f>AA45</f>
        <v>0</v>
      </c>
      <c r="AC45" s="559">
        <v>0</v>
      </c>
      <c r="AD45" s="559">
        <v>0</v>
      </c>
      <c r="AE45" s="559">
        <f>AB45-AC45-AD45</f>
        <v>0</v>
      </c>
      <c r="AF45" s="559">
        <f>AE45</f>
        <v>0</v>
      </c>
      <c r="AG45" s="559">
        <f>AE45-AF45</f>
        <v>0</v>
      </c>
      <c r="AH45" s="559">
        <f>U45-AF45</f>
        <v>0</v>
      </c>
      <c r="AI45" s="594"/>
      <c r="AL45" s="596"/>
      <c r="AM45" s="596"/>
      <c r="AN45" s="596"/>
      <c r="AO45" s="596"/>
      <c r="AP45" s="596"/>
      <c r="AQ45" s="596"/>
      <c r="AR45" s="596"/>
      <c r="AS45" s="596"/>
      <c r="AT45" s="596"/>
      <c r="AU45" s="596"/>
      <c r="AV45" s="596"/>
      <c r="AW45" s="596"/>
      <c r="AX45" s="596"/>
      <c r="AY45" s="596"/>
      <c r="AZ45" s="596"/>
      <c r="BA45" s="596"/>
      <c r="BB45" s="596"/>
      <c r="BC45" s="596"/>
      <c r="BD45" s="596"/>
      <c r="BE45" s="596"/>
      <c r="BF45" s="596"/>
      <c r="BG45" s="596"/>
      <c r="BH45" s="596"/>
      <c r="BI45" s="596"/>
      <c r="BJ45" s="596"/>
      <c r="BK45" s="596"/>
      <c r="BL45" s="596"/>
      <c r="BM45" s="596"/>
      <c r="BN45" s="596"/>
      <c r="BO45" s="596"/>
      <c r="BP45" s="596"/>
      <c r="BQ45" s="596"/>
      <c r="BR45" s="596"/>
      <c r="BS45" s="596"/>
      <c r="BT45" s="596"/>
      <c r="BU45" s="596"/>
    </row>
    <row r="46" spans="1:73" s="595" customFormat="1" ht="15">
      <c r="A46" s="1786">
        <v>10</v>
      </c>
      <c r="B46" s="1775" t="s">
        <v>1225</v>
      </c>
      <c r="C46" s="556" t="str">
        <f>[6]аоб!C36</f>
        <v>ИТОГО</v>
      </c>
      <c r="D46" s="557">
        <f t="shared" si="11"/>
        <v>12037.511999999999</v>
      </c>
      <c r="E46" s="557">
        <f t="shared" ref="E46:S46" si="32">E47</f>
        <v>3610.8</v>
      </c>
      <c r="F46" s="557">
        <f t="shared" si="32"/>
        <v>8426.7119999999995</v>
      </c>
      <c r="G46" s="557">
        <f t="shared" si="32"/>
        <v>1347</v>
      </c>
      <c r="H46" s="557">
        <f t="shared" si="32"/>
        <v>12351.242</v>
      </c>
      <c r="I46" s="557">
        <f t="shared" si="32"/>
        <v>1</v>
      </c>
      <c r="J46" s="557">
        <f t="shared" si="32"/>
        <v>314.08399999999892</v>
      </c>
      <c r="K46" s="557">
        <f t="shared" si="32"/>
        <v>1346</v>
      </c>
      <c r="L46" s="557">
        <f t="shared" si="32"/>
        <v>12037.511999999999</v>
      </c>
      <c r="M46" s="557">
        <f t="shared" si="32"/>
        <v>12037.511999999999</v>
      </c>
      <c r="N46" s="557">
        <f t="shared" si="32"/>
        <v>3610.8</v>
      </c>
      <c r="O46" s="557">
        <f t="shared" si="32"/>
        <v>0</v>
      </c>
      <c r="P46" s="557">
        <f t="shared" si="32"/>
        <v>8426.7119999999995</v>
      </c>
      <c r="Q46" s="557">
        <f t="shared" si="32"/>
        <v>8426.7119999999995</v>
      </c>
      <c r="R46" s="557">
        <f t="shared" si="32"/>
        <v>0</v>
      </c>
      <c r="S46" s="557">
        <f t="shared" si="32"/>
        <v>0</v>
      </c>
      <c r="T46" s="588">
        <f t="shared" si="1"/>
        <v>1</v>
      </c>
      <c r="U46" s="557">
        <f t="shared" ref="U46:AH46" si="33">U47</f>
        <v>540.58000000000004</v>
      </c>
      <c r="V46" s="557">
        <f t="shared" si="33"/>
        <v>64</v>
      </c>
      <c r="W46" s="557">
        <f t="shared" si="33"/>
        <v>540.58000000000004</v>
      </c>
      <c r="X46" s="557">
        <f t="shared" si="33"/>
        <v>0</v>
      </c>
      <c r="Y46" s="557">
        <f t="shared" si="33"/>
        <v>0</v>
      </c>
      <c r="Z46" s="557">
        <f t="shared" si="33"/>
        <v>64</v>
      </c>
      <c r="AA46" s="557">
        <f t="shared" si="33"/>
        <v>540.58000000000004</v>
      </c>
      <c r="AB46" s="557">
        <f t="shared" si="33"/>
        <v>540.58000000000004</v>
      </c>
      <c r="AC46" s="557">
        <f t="shared" si="33"/>
        <v>0</v>
      </c>
      <c r="AD46" s="557">
        <f t="shared" si="33"/>
        <v>0</v>
      </c>
      <c r="AE46" s="557">
        <f t="shared" si="33"/>
        <v>540.58000000000004</v>
      </c>
      <c r="AF46" s="557">
        <f t="shared" si="33"/>
        <v>540.58000000000004</v>
      </c>
      <c r="AG46" s="557">
        <f t="shared" si="33"/>
        <v>0</v>
      </c>
      <c r="AH46" s="557">
        <f t="shared" si="33"/>
        <v>0</v>
      </c>
      <c r="AI46" s="589">
        <f t="shared" ref="AI46:AI109" si="34">AD46+AF46/U46</f>
        <v>1</v>
      </c>
      <c r="AL46" s="596"/>
      <c r="AM46" s="596"/>
      <c r="AN46" s="596"/>
      <c r="AO46" s="596"/>
      <c r="AP46" s="596"/>
      <c r="AQ46" s="596"/>
      <c r="AR46" s="596"/>
      <c r="AS46" s="596"/>
      <c r="AT46" s="596"/>
      <c r="AU46" s="596"/>
      <c r="AV46" s="596"/>
      <c r="AW46" s="596"/>
      <c r="AX46" s="596"/>
      <c r="AY46" s="596"/>
      <c r="AZ46" s="596"/>
      <c r="BA46" s="596"/>
      <c r="BB46" s="596"/>
      <c r="BC46" s="596"/>
      <c r="BD46" s="596"/>
      <c r="BE46" s="596"/>
      <c r="BF46" s="596"/>
      <c r="BG46" s="596"/>
      <c r="BH46" s="596"/>
      <c r="BI46" s="596"/>
      <c r="BJ46" s="596"/>
      <c r="BK46" s="596"/>
      <c r="BL46" s="596"/>
      <c r="BM46" s="596"/>
      <c r="BN46" s="596"/>
      <c r="BO46" s="596"/>
      <c r="BP46" s="596"/>
      <c r="BQ46" s="596"/>
      <c r="BR46" s="596"/>
      <c r="BS46" s="596"/>
      <c r="BT46" s="596"/>
      <c r="BU46" s="596"/>
    </row>
    <row r="47" spans="1:73" s="603" customFormat="1" ht="15">
      <c r="A47" s="1786"/>
      <c r="B47" s="1775"/>
      <c r="C47" s="558" t="str">
        <f>[6]аоб!C37</f>
        <v>СЗП</v>
      </c>
      <c r="D47" s="559">
        <f t="shared" si="11"/>
        <v>12037.511999999999</v>
      </c>
      <c r="E47" s="559">
        <v>3610.8</v>
      </c>
      <c r="F47" s="559">
        <v>8426.7119999999995</v>
      </c>
      <c r="G47" s="559">
        <v>1347</v>
      </c>
      <c r="H47" s="559">
        <v>12351.242</v>
      </c>
      <c r="I47" s="559">
        <v>1</v>
      </c>
      <c r="J47" s="559">
        <v>314.08399999999892</v>
      </c>
      <c r="K47" s="559">
        <v>1346</v>
      </c>
      <c r="L47" s="559">
        <f>12037.658-0.146</f>
        <v>12037.511999999999</v>
      </c>
      <c r="M47" s="559">
        <f>L47</f>
        <v>12037.511999999999</v>
      </c>
      <c r="N47" s="559">
        <v>3610.8</v>
      </c>
      <c r="O47" s="559">
        <v>0</v>
      </c>
      <c r="P47" s="559">
        <f>M47-N47-O47</f>
        <v>8426.7119999999995</v>
      </c>
      <c r="Q47" s="559">
        <f>P47</f>
        <v>8426.7119999999995</v>
      </c>
      <c r="R47" s="559">
        <f>P47-Q47</f>
        <v>0</v>
      </c>
      <c r="S47" s="559">
        <f>F47-Q47</f>
        <v>0</v>
      </c>
      <c r="T47" s="597">
        <f t="shared" si="1"/>
        <v>1</v>
      </c>
      <c r="U47" s="559">
        <v>540.58000000000004</v>
      </c>
      <c r="V47" s="600">
        <v>64</v>
      </c>
      <c r="W47" s="600">
        <v>540.58000000000004</v>
      </c>
      <c r="X47" s="592">
        <v>0</v>
      </c>
      <c r="Y47" s="592">
        <v>0</v>
      </c>
      <c r="Z47" s="600">
        <v>64</v>
      </c>
      <c r="AA47" s="600">
        <v>540.58000000000004</v>
      </c>
      <c r="AB47" s="559">
        <f>AA47</f>
        <v>540.58000000000004</v>
      </c>
      <c r="AC47" s="559">
        <v>0</v>
      </c>
      <c r="AD47" s="559">
        <v>0</v>
      </c>
      <c r="AE47" s="559">
        <f>AB47-AC47-AD47</f>
        <v>540.58000000000004</v>
      </c>
      <c r="AF47" s="559">
        <f>AE47</f>
        <v>540.58000000000004</v>
      </c>
      <c r="AG47" s="559">
        <f>AE47-AF47</f>
        <v>0</v>
      </c>
      <c r="AH47" s="559">
        <f>U47-AF47</f>
        <v>0</v>
      </c>
      <c r="AI47" s="594">
        <f t="shared" si="34"/>
        <v>1</v>
      </c>
      <c r="AL47" s="596"/>
      <c r="AM47" s="596"/>
      <c r="AN47" s="596"/>
      <c r="AO47" s="596"/>
      <c r="AP47" s="596"/>
      <c r="AQ47" s="596"/>
      <c r="AR47" s="596"/>
      <c r="AS47" s="596"/>
      <c r="AT47" s="596"/>
      <c r="AU47" s="596"/>
      <c r="AV47" s="596"/>
      <c r="AW47" s="596"/>
      <c r="AX47" s="596"/>
      <c r="AY47" s="596"/>
      <c r="AZ47" s="596"/>
      <c r="BA47" s="596"/>
      <c r="BB47" s="596"/>
      <c r="BC47" s="596"/>
      <c r="BD47" s="596"/>
      <c r="BE47" s="596"/>
      <c r="BF47" s="596"/>
      <c r="BG47" s="596"/>
      <c r="BH47" s="596"/>
      <c r="BI47" s="596"/>
      <c r="BJ47" s="596"/>
      <c r="BK47" s="596"/>
      <c r="BL47" s="596"/>
      <c r="BM47" s="596"/>
      <c r="BN47" s="596"/>
      <c r="BO47" s="596"/>
      <c r="BP47" s="596"/>
      <c r="BQ47" s="596"/>
      <c r="BR47" s="596"/>
      <c r="BS47" s="596"/>
      <c r="BT47" s="596"/>
      <c r="BU47" s="596"/>
    </row>
    <row r="48" spans="1:73" s="595" customFormat="1" ht="15">
      <c r="A48" s="1786">
        <v>11</v>
      </c>
      <c r="B48" s="1775" t="s">
        <v>1226</v>
      </c>
      <c r="C48" s="556" t="str">
        <f>[6]аоб!C38</f>
        <v>ИТОГО</v>
      </c>
      <c r="D48" s="557">
        <f t="shared" si="11"/>
        <v>9300.402</v>
      </c>
      <c r="E48" s="557">
        <f t="shared" ref="E48:S48" si="35">E49</f>
        <v>2750.4</v>
      </c>
      <c r="F48" s="557">
        <f t="shared" si="35"/>
        <v>6550.0020000000004</v>
      </c>
      <c r="G48" s="557">
        <f t="shared" si="35"/>
        <v>764</v>
      </c>
      <c r="H48" s="557">
        <f t="shared" si="35"/>
        <v>9320.9599999999991</v>
      </c>
      <c r="I48" s="557">
        <f t="shared" si="35"/>
        <v>0</v>
      </c>
      <c r="J48" s="557">
        <f t="shared" si="35"/>
        <v>21</v>
      </c>
      <c r="K48" s="557">
        <f t="shared" si="35"/>
        <v>764</v>
      </c>
      <c r="L48" s="557">
        <f t="shared" si="35"/>
        <v>9300.4019999999982</v>
      </c>
      <c r="M48" s="557">
        <f t="shared" si="35"/>
        <v>9300.4019999999982</v>
      </c>
      <c r="N48" s="557">
        <f t="shared" si="35"/>
        <v>2750.4</v>
      </c>
      <c r="O48" s="557">
        <f t="shared" si="35"/>
        <v>0</v>
      </c>
      <c r="P48" s="557">
        <f t="shared" si="35"/>
        <v>6550.0019999999986</v>
      </c>
      <c r="Q48" s="557">
        <f t="shared" si="35"/>
        <v>6550.0019999999986</v>
      </c>
      <c r="R48" s="557">
        <f t="shared" si="35"/>
        <v>0</v>
      </c>
      <c r="S48" s="557">
        <f t="shared" si="35"/>
        <v>0</v>
      </c>
      <c r="T48" s="588">
        <f t="shared" si="1"/>
        <v>0.99999999999999967</v>
      </c>
      <c r="U48" s="557">
        <f t="shared" ref="U48:AH48" si="36">U49</f>
        <v>358.82900000000001</v>
      </c>
      <c r="V48" s="557">
        <f t="shared" si="36"/>
        <v>27</v>
      </c>
      <c r="W48" s="557">
        <f t="shared" si="36"/>
        <v>358.82900000000001</v>
      </c>
      <c r="X48" s="557">
        <f t="shared" si="36"/>
        <v>0</v>
      </c>
      <c r="Y48" s="557">
        <f t="shared" si="36"/>
        <v>0</v>
      </c>
      <c r="Z48" s="557">
        <f t="shared" si="36"/>
        <v>27</v>
      </c>
      <c r="AA48" s="557">
        <f t="shared" si="36"/>
        <v>358.82900000000001</v>
      </c>
      <c r="AB48" s="557">
        <f t="shared" si="36"/>
        <v>358.82900000000001</v>
      </c>
      <c r="AC48" s="557">
        <f t="shared" si="36"/>
        <v>0</v>
      </c>
      <c r="AD48" s="557">
        <f t="shared" si="36"/>
        <v>0</v>
      </c>
      <c r="AE48" s="557">
        <f t="shared" si="36"/>
        <v>358.82900000000001</v>
      </c>
      <c r="AF48" s="557">
        <f t="shared" si="36"/>
        <v>358.82900000000001</v>
      </c>
      <c r="AG48" s="557">
        <f t="shared" si="36"/>
        <v>0</v>
      </c>
      <c r="AH48" s="557">
        <f t="shared" si="36"/>
        <v>0</v>
      </c>
      <c r="AI48" s="589">
        <f t="shared" si="34"/>
        <v>1</v>
      </c>
      <c r="AL48" s="596"/>
      <c r="AM48" s="596"/>
      <c r="AN48" s="596"/>
      <c r="AO48" s="596"/>
      <c r="AP48" s="596"/>
      <c r="AQ48" s="596"/>
      <c r="AR48" s="596"/>
      <c r="AS48" s="596"/>
      <c r="AT48" s="596"/>
      <c r="AU48" s="596"/>
      <c r="AV48" s="596"/>
      <c r="AW48" s="596"/>
      <c r="AX48" s="596"/>
      <c r="AY48" s="596"/>
      <c r="AZ48" s="596"/>
      <c r="BA48" s="596"/>
      <c r="BB48" s="596"/>
      <c r="BC48" s="596"/>
      <c r="BD48" s="596"/>
      <c r="BE48" s="596"/>
      <c r="BF48" s="596"/>
      <c r="BG48" s="596"/>
      <c r="BH48" s="596"/>
      <c r="BI48" s="596"/>
      <c r="BJ48" s="596"/>
      <c r="BK48" s="596"/>
      <c r="BL48" s="596"/>
      <c r="BM48" s="596"/>
      <c r="BN48" s="596"/>
      <c r="BO48" s="596"/>
      <c r="BP48" s="596"/>
      <c r="BQ48" s="596"/>
      <c r="BR48" s="596"/>
      <c r="BS48" s="596"/>
      <c r="BT48" s="596"/>
      <c r="BU48" s="596"/>
    </row>
    <row r="49" spans="1:73" s="603" customFormat="1" ht="15">
      <c r="A49" s="1786"/>
      <c r="B49" s="1775"/>
      <c r="C49" s="558" t="str">
        <f>[6]аоб!C39</f>
        <v>СЗП</v>
      </c>
      <c r="D49" s="559">
        <f t="shared" si="11"/>
        <v>9300.402</v>
      </c>
      <c r="E49" s="559">
        <v>2750.4</v>
      </c>
      <c r="F49" s="559">
        <v>6550.0020000000004</v>
      </c>
      <c r="G49" s="559">
        <v>764</v>
      </c>
      <c r="H49" s="559">
        <v>9320.9599999999991</v>
      </c>
      <c r="I49" s="559">
        <v>0</v>
      </c>
      <c r="J49" s="559">
        <v>21</v>
      </c>
      <c r="K49" s="559">
        <v>764</v>
      </c>
      <c r="L49" s="559">
        <f>9299.96+0.442</f>
        <v>9300.4019999999982</v>
      </c>
      <c r="M49" s="559">
        <f>L49</f>
        <v>9300.4019999999982</v>
      </c>
      <c r="N49" s="559">
        <v>2750.4</v>
      </c>
      <c r="O49" s="559">
        <v>0</v>
      </c>
      <c r="P49" s="559">
        <f>M49-N49-O49</f>
        <v>6550.0019999999986</v>
      </c>
      <c r="Q49" s="559">
        <f>P49</f>
        <v>6550.0019999999986</v>
      </c>
      <c r="R49" s="559">
        <f>P49-Q49</f>
        <v>0</v>
      </c>
      <c r="S49" s="559">
        <f>F49-Q49</f>
        <v>0</v>
      </c>
      <c r="T49" s="597">
        <f t="shared" si="1"/>
        <v>0.99999999999999967</v>
      </c>
      <c r="U49" s="559">
        <v>358.82900000000001</v>
      </c>
      <c r="V49" s="599">
        <v>27</v>
      </c>
      <c r="W49" s="599">
        <v>358.82900000000001</v>
      </c>
      <c r="X49" s="592">
        <v>0</v>
      </c>
      <c r="Y49" s="592">
        <v>0</v>
      </c>
      <c r="Z49" s="599">
        <v>27</v>
      </c>
      <c r="AA49" s="599">
        <v>358.82900000000001</v>
      </c>
      <c r="AB49" s="559">
        <f>AA49</f>
        <v>358.82900000000001</v>
      </c>
      <c r="AC49" s="559">
        <v>0</v>
      </c>
      <c r="AD49" s="559">
        <v>0</v>
      </c>
      <c r="AE49" s="559">
        <f>AB49-AC49-AD49</f>
        <v>358.82900000000001</v>
      </c>
      <c r="AF49" s="559">
        <f>AE49</f>
        <v>358.82900000000001</v>
      </c>
      <c r="AG49" s="559">
        <f>AE49-AF49</f>
        <v>0</v>
      </c>
      <c r="AH49" s="559">
        <f>U49-AF49</f>
        <v>0</v>
      </c>
      <c r="AI49" s="594">
        <f t="shared" si="34"/>
        <v>1</v>
      </c>
      <c r="AL49" s="596"/>
      <c r="AM49" s="596"/>
      <c r="AN49" s="596"/>
      <c r="AO49" s="596"/>
      <c r="AP49" s="596"/>
      <c r="AQ49" s="596"/>
      <c r="AR49" s="596"/>
      <c r="AS49" s="596"/>
      <c r="AT49" s="596"/>
      <c r="AU49" s="596"/>
      <c r="AV49" s="596"/>
      <c r="AW49" s="596"/>
      <c r="AX49" s="596"/>
      <c r="AY49" s="596"/>
      <c r="AZ49" s="596"/>
      <c r="BA49" s="596"/>
      <c r="BB49" s="596"/>
      <c r="BC49" s="596"/>
      <c r="BD49" s="596"/>
      <c r="BE49" s="596"/>
      <c r="BF49" s="596"/>
      <c r="BG49" s="596"/>
      <c r="BH49" s="596"/>
      <c r="BI49" s="596"/>
      <c r="BJ49" s="596"/>
      <c r="BK49" s="596"/>
      <c r="BL49" s="596"/>
      <c r="BM49" s="596"/>
      <c r="BN49" s="596"/>
      <c r="BO49" s="596"/>
      <c r="BP49" s="596"/>
      <c r="BQ49" s="596"/>
      <c r="BR49" s="596"/>
      <c r="BS49" s="596"/>
      <c r="BT49" s="596"/>
      <c r="BU49" s="596"/>
    </row>
    <row r="50" spans="1:73" s="595" customFormat="1" ht="15">
      <c r="A50" s="1786">
        <v>12</v>
      </c>
      <c r="B50" s="1775" t="s">
        <v>1227</v>
      </c>
      <c r="C50" s="556" t="str">
        <f>[6]аоб!C40</f>
        <v>ИТОГО</v>
      </c>
      <c r="D50" s="557">
        <f t="shared" si="11"/>
        <v>11664.897999999999</v>
      </c>
      <c r="E50" s="557">
        <f t="shared" ref="E50:S50" si="37">E51</f>
        <v>3506.4</v>
      </c>
      <c r="F50" s="557">
        <f t="shared" si="37"/>
        <v>8158.4979999999996</v>
      </c>
      <c r="G50" s="557">
        <f t="shared" si="37"/>
        <v>944</v>
      </c>
      <c r="H50" s="557">
        <f t="shared" si="37"/>
        <v>11795.511000000002</v>
      </c>
      <c r="I50" s="557">
        <f t="shared" si="37"/>
        <v>0</v>
      </c>
      <c r="J50" s="557">
        <f t="shared" si="37"/>
        <v>130.99700000000121</v>
      </c>
      <c r="K50" s="557">
        <f t="shared" si="37"/>
        <v>944</v>
      </c>
      <c r="L50" s="557">
        <f t="shared" si="37"/>
        <v>11664.897999999999</v>
      </c>
      <c r="M50" s="557">
        <f t="shared" si="37"/>
        <v>11664.897999999999</v>
      </c>
      <c r="N50" s="557">
        <f t="shared" si="37"/>
        <v>3506.4</v>
      </c>
      <c r="O50" s="557">
        <f t="shared" si="37"/>
        <v>0</v>
      </c>
      <c r="P50" s="557">
        <f t="shared" si="37"/>
        <v>8158.4979999999996</v>
      </c>
      <c r="Q50" s="557">
        <f t="shared" si="37"/>
        <v>8158.4979999999996</v>
      </c>
      <c r="R50" s="557">
        <f t="shared" si="37"/>
        <v>0</v>
      </c>
      <c r="S50" s="557">
        <f t="shared" si="37"/>
        <v>0</v>
      </c>
      <c r="T50" s="588">
        <f t="shared" si="1"/>
        <v>1</v>
      </c>
      <c r="U50" s="557">
        <f t="shared" ref="U50:AH50" si="38">U51</f>
        <v>296.75200000000001</v>
      </c>
      <c r="V50" s="557">
        <f t="shared" si="38"/>
        <v>21</v>
      </c>
      <c r="W50" s="557">
        <f t="shared" si="38"/>
        <v>296.75200000000001</v>
      </c>
      <c r="X50" s="557">
        <f t="shared" si="38"/>
        <v>0</v>
      </c>
      <c r="Y50" s="557">
        <f t="shared" si="38"/>
        <v>0</v>
      </c>
      <c r="Z50" s="557">
        <f t="shared" si="38"/>
        <v>21</v>
      </c>
      <c r="AA50" s="557">
        <f t="shared" si="38"/>
        <v>296.75200000000001</v>
      </c>
      <c r="AB50" s="557">
        <f t="shared" si="38"/>
        <v>296.75200000000001</v>
      </c>
      <c r="AC50" s="557">
        <f t="shared" si="38"/>
        <v>0</v>
      </c>
      <c r="AD50" s="557">
        <f t="shared" si="38"/>
        <v>0</v>
      </c>
      <c r="AE50" s="557">
        <f t="shared" si="38"/>
        <v>296.75200000000001</v>
      </c>
      <c r="AF50" s="557">
        <f t="shared" si="38"/>
        <v>296.75200000000001</v>
      </c>
      <c r="AG50" s="557">
        <f t="shared" si="38"/>
        <v>0</v>
      </c>
      <c r="AH50" s="557">
        <f t="shared" si="38"/>
        <v>0</v>
      </c>
      <c r="AI50" s="589">
        <f t="shared" si="34"/>
        <v>1</v>
      </c>
      <c r="AL50" s="596"/>
      <c r="AM50" s="596"/>
      <c r="AN50" s="596"/>
      <c r="AO50" s="596"/>
      <c r="AP50" s="596"/>
      <c r="AQ50" s="596"/>
      <c r="AR50" s="596"/>
      <c r="AS50" s="596"/>
      <c r="AT50" s="596"/>
      <c r="AU50" s="596"/>
      <c r="AV50" s="596"/>
      <c r="AW50" s="596"/>
      <c r="AX50" s="596"/>
      <c r="AY50" s="596"/>
      <c r="AZ50" s="596"/>
      <c r="BA50" s="596"/>
      <c r="BB50" s="596"/>
      <c r="BC50" s="596"/>
      <c r="BD50" s="596"/>
      <c r="BE50" s="596"/>
      <c r="BF50" s="596"/>
      <c r="BG50" s="596"/>
      <c r="BH50" s="596"/>
      <c r="BI50" s="596"/>
      <c r="BJ50" s="596"/>
      <c r="BK50" s="596"/>
      <c r="BL50" s="596"/>
      <c r="BM50" s="596"/>
      <c r="BN50" s="596"/>
      <c r="BO50" s="596"/>
      <c r="BP50" s="596"/>
      <c r="BQ50" s="596"/>
      <c r="BR50" s="596"/>
      <c r="BS50" s="596"/>
      <c r="BT50" s="596"/>
      <c r="BU50" s="596"/>
    </row>
    <row r="51" spans="1:73" s="603" customFormat="1" ht="14.25" customHeight="1">
      <c r="A51" s="1786"/>
      <c r="B51" s="1775"/>
      <c r="C51" s="558" t="str">
        <f>[6]аоб!C41</f>
        <v>СЗП</v>
      </c>
      <c r="D51" s="559">
        <f t="shared" si="11"/>
        <v>11664.897999999999</v>
      </c>
      <c r="E51" s="559">
        <v>3506.4</v>
      </c>
      <c r="F51" s="559">
        <v>8158.4979999999996</v>
      </c>
      <c r="G51" s="559">
        <v>944</v>
      </c>
      <c r="H51" s="559">
        <v>11795.511000000002</v>
      </c>
      <c r="I51" s="559">
        <v>0</v>
      </c>
      <c r="J51" s="559">
        <v>130.99700000000121</v>
      </c>
      <c r="K51" s="559">
        <v>944</v>
      </c>
      <c r="L51" s="559">
        <f>11664.514+0.384</f>
        <v>11664.897999999999</v>
      </c>
      <c r="M51" s="559">
        <f>L51</f>
        <v>11664.897999999999</v>
      </c>
      <c r="N51" s="559">
        <v>3506.4</v>
      </c>
      <c r="O51" s="559">
        <v>0</v>
      </c>
      <c r="P51" s="559">
        <f>M51-N51-O51</f>
        <v>8158.4979999999996</v>
      </c>
      <c r="Q51" s="559">
        <f>P51</f>
        <v>8158.4979999999996</v>
      </c>
      <c r="R51" s="559">
        <f>P51-Q51</f>
        <v>0</v>
      </c>
      <c r="S51" s="559">
        <f>F51-Q51</f>
        <v>0</v>
      </c>
      <c r="T51" s="597">
        <f t="shared" si="1"/>
        <v>1</v>
      </c>
      <c r="U51" s="559">
        <v>296.75200000000001</v>
      </c>
      <c r="V51" s="600">
        <v>21</v>
      </c>
      <c r="W51" s="600">
        <v>296.75200000000001</v>
      </c>
      <c r="X51" s="592">
        <v>0</v>
      </c>
      <c r="Y51" s="592">
        <v>0</v>
      </c>
      <c r="Z51" s="600">
        <v>21</v>
      </c>
      <c r="AA51" s="600">
        <v>296.75200000000001</v>
      </c>
      <c r="AB51" s="559">
        <f>AA51</f>
        <v>296.75200000000001</v>
      </c>
      <c r="AC51" s="559">
        <v>0</v>
      </c>
      <c r="AD51" s="559">
        <v>0</v>
      </c>
      <c r="AE51" s="559">
        <f>AB51-AC51-AD51</f>
        <v>296.75200000000001</v>
      </c>
      <c r="AF51" s="559">
        <f>AE51</f>
        <v>296.75200000000001</v>
      </c>
      <c r="AG51" s="559">
        <f>AE51-AF51</f>
        <v>0</v>
      </c>
      <c r="AH51" s="559">
        <f>U51-AF51</f>
        <v>0</v>
      </c>
      <c r="AI51" s="594">
        <f t="shared" si="34"/>
        <v>1</v>
      </c>
      <c r="AL51" s="596"/>
      <c r="AM51" s="596"/>
      <c r="AN51" s="596"/>
      <c r="AO51" s="596"/>
      <c r="AP51" s="596"/>
      <c r="AQ51" s="596"/>
      <c r="AR51" s="596"/>
      <c r="AS51" s="596"/>
      <c r="AT51" s="596"/>
      <c r="AU51" s="596"/>
      <c r="AV51" s="596"/>
      <c r="AW51" s="596"/>
      <c r="AX51" s="596"/>
      <c r="AY51" s="596"/>
      <c r="AZ51" s="596"/>
      <c r="BA51" s="596"/>
      <c r="BB51" s="596"/>
      <c r="BC51" s="596"/>
      <c r="BD51" s="596"/>
      <c r="BE51" s="596"/>
      <c r="BF51" s="596"/>
      <c r="BG51" s="596"/>
      <c r="BH51" s="596"/>
      <c r="BI51" s="596"/>
      <c r="BJ51" s="596"/>
      <c r="BK51" s="596"/>
      <c r="BL51" s="596"/>
      <c r="BM51" s="596"/>
      <c r="BN51" s="596"/>
      <c r="BO51" s="596"/>
      <c r="BP51" s="596"/>
      <c r="BQ51" s="596"/>
      <c r="BR51" s="596"/>
      <c r="BS51" s="596"/>
      <c r="BT51" s="596"/>
      <c r="BU51" s="596"/>
    </row>
    <row r="52" spans="1:73" s="595" customFormat="1" ht="18" customHeight="1">
      <c r="A52" s="1786">
        <v>13</v>
      </c>
      <c r="B52" s="1775" t="s">
        <v>1228</v>
      </c>
      <c r="C52" s="556" t="str">
        <f>[6]аоб!C42</f>
        <v>ИТОГО</v>
      </c>
      <c r="D52" s="557">
        <f t="shared" si="11"/>
        <v>669259.87399999995</v>
      </c>
      <c r="E52" s="557">
        <f t="shared" ref="E52:S52" si="39">E53+E54</f>
        <v>204593.4</v>
      </c>
      <c r="F52" s="557">
        <f t="shared" si="39"/>
        <v>464666.47399999999</v>
      </c>
      <c r="G52" s="557">
        <f t="shared" si="39"/>
        <v>11366</v>
      </c>
      <c r="H52" s="557">
        <f t="shared" si="39"/>
        <v>684758.44099999999</v>
      </c>
      <c r="I52" s="557">
        <f t="shared" si="39"/>
        <v>41</v>
      </c>
      <c r="J52" s="557">
        <f t="shared" si="39"/>
        <v>15498.387999999846</v>
      </c>
      <c r="K52" s="557">
        <f t="shared" si="39"/>
        <v>11325</v>
      </c>
      <c r="L52" s="557">
        <f t="shared" si="39"/>
        <v>669259.87399999995</v>
      </c>
      <c r="M52" s="557">
        <f t="shared" si="39"/>
        <v>669259.87399999995</v>
      </c>
      <c r="N52" s="557">
        <f t="shared" si="39"/>
        <v>204593.4</v>
      </c>
      <c r="O52" s="557">
        <f t="shared" si="39"/>
        <v>0</v>
      </c>
      <c r="P52" s="557">
        <f>AL53+P54</f>
        <v>464666.47399999999</v>
      </c>
      <c r="Q52" s="557">
        <f t="shared" si="39"/>
        <v>464666.47399999999</v>
      </c>
      <c r="R52" s="557">
        <f t="shared" si="39"/>
        <v>0</v>
      </c>
      <c r="S52" s="557">
        <f t="shared" si="39"/>
        <v>0</v>
      </c>
      <c r="T52" s="588">
        <f t="shared" si="1"/>
        <v>1</v>
      </c>
      <c r="U52" s="557">
        <f t="shared" ref="U52:AH52" si="40">U53+U54</f>
        <v>28051.806</v>
      </c>
      <c r="V52" s="557">
        <f t="shared" si="40"/>
        <v>458</v>
      </c>
      <c r="W52" s="557">
        <f t="shared" si="40"/>
        <v>28743.183000000001</v>
      </c>
      <c r="X52" s="557">
        <f t="shared" si="40"/>
        <v>0</v>
      </c>
      <c r="Y52" s="557">
        <f t="shared" si="40"/>
        <v>691.37700000000041</v>
      </c>
      <c r="Z52" s="557">
        <f t="shared" si="40"/>
        <v>458</v>
      </c>
      <c r="AA52" s="557">
        <f t="shared" si="40"/>
        <v>28051.806</v>
      </c>
      <c r="AB52" s="557">
        <f t="shared" si="40"/>
        <v>28051.806</v>
      </c>
      <c r="AC52" s="557">
        <f t="shared" si="40"/>
        <v>0</v>
      </c>
      <c r="AD52" s="557">
        <f t="shared" si="40"/>
        <v>0</v>
      </c>
      <c r="AE52" s="557">
        <f t="shared" si="40"/>
        <v>28051.806</v>
      </c>
      <c r="AF52" s="557">
        <f t="shared" si="40"/>
        <v>28051.806</v>
      </c>
      <c r="AG52" s="557">
        <f t="shared" si="40"/>
        <v>0</v>
      </c>
      <c r="AH52" s="557">
        <f t="shared" si="40"/>
        <v>0</v>
      </c>
      <c r="AI52" s="589">
        <f t="shared" si="34"/>
        <v>1</v>
      </c>
      <c r="AL52" s="596"/>
      <c r="AM52" s="596"/>
      <c r="AN52" s="596"/>
      <c r="AO52" s="596"/>
      <c r="AP52" s="596"/>
      <c r="AQ52" s="596"/>
      <c r="AR52" s="596"/>
      <c r="AS52" s="596"/>
      <c r="AT52" s="596"/>
      <c r="AU52" s="596"/>
      <c r="AV52" s="596"/>
      <c r="AW52" s="596"/>
      <c r="AX52" s="596"/>
      <c r="AY52" s="596"/>
      <c r="AZ52" s="596"/>
      <c r="BA52" s="596"/>
      <c r="BB52" s="596"/>
      <c r="BC52" s="596"/>
      <c r="BD52" s="596"/>
      <c r="BE52" s="596"/>
      <c r="BF52" s="596"/>
      <c r="BG52" s="596"/>
      <c r="BH52" s="596"/>
      <c r="BI52" s="596"/>
      <c r="BJ52" s="596"/>
      <c r="BK52" s="596"/>
      <c r="BL52" s="596"/>
      <c r="BM52" s="596"/>
      <c r="BN52" s="596"/>
      <c r="BO52" s="596"/>
      <c r="BP52" s="596"/>
      <c r="BQ52" s="596"/>
      <c r="BR52" s="596"/>
      <c r="BS52" s="596"/>
      <c r="BT52" s="596"/>
      <c r="BU52" s="596"/>
    </row>
    <row r="53" spans="1:73" s="603" customFormat="1" ht="15.75" customHeight="1">
      <c r="A53" s="1786"/>
      <c r="B53" s="1775"/>
      <c r="C53" s="558" t="str">
        <f>[6]аоб!C43</f>
        <v>СМП</v>
      </c>
      <c r="D53" s="559">
        <f t="shared" si="11"/>
        <v>649565.41399999999</v>
      </c>
      <c r="E53" s="559">
        <v>198422.39999999999</v>
      </c>
      <c r="F53" s="559">
        <v>451143.01399999997</v>
      </c>
      <c r="G53" s="559">
        <v>9942</v>
      </c>
      <c r="H53" s="559">
        <v>664904.06299999997</v>
      </c>
      <c r="I53" s="559">
        <v>40</v>
      </c>
      <c r="J53" s="559">
        <v>15338.508999999845</v>
      </c>
      <c r="K53" s="559">
        <v>9902</v>
      </c>
      <c r="L53" s="559">
        <f>649565.254+0.16</f>
        <v>649565.41399999999</v>
      </c>
      <c r="M53" s="559">
        <f>L53</f>
        <v>649565.41399999999</v>
      </c>
      <c r="N53" s="559">
        <v>198422.39999999999</v>
      </c>
      <c r="O53" s="559">
        <v>0</v>
      </c>
      <c r="Q53" s="559">
        <f>AL53</f>
        <v>451143.01399999997</v>
      </c>
      <c r="R53" s="559">
        <f>AL53-Q53</f>
        <v>0</v>
      </c>
      <c r="S53" s="559">
        <f>F53-Q53</f>
        <v>0</v>
      </c>
      <c r="T53" s="597">
        <f t="shared" si="1"/>
        <v>1</v>
      </c>
      <c r="U53" s="559">
        <v>27340.951000000001</v>
      </c>
      <c r="V53" s="599">
        <v>409</v>
      </c>
      <c r="W53" s="599">
        <v>28032.328000000001</v>
      </c>
      <c r="X53" s="592">
        <v>0</v>
      </c>
      <c r="Y53" s="592">
        <v>691.37700000000041</v>
      </c>
      <c r="Z53" s="592">
        <v>409</v>
      </c>
      <c r="AA53" s="592">
        <v>27340.951000000001</v>
      </c>
      <c r="AB53" s="559">
        <f>AA53</f>
        <v>27340.951000000001</v>
      </c>
      <c r="AC53" s="559">
        <v>0</v>
      </c>
      <c r="AD53" s="559">
        <v>0</v>
      </c>
      <c r="AE53" s="559">
        <f>AB53-AC53-AD53</f>
        <v>27340.951000000001</v>
      </c>
      <c r="AF53" s="559">
        <f>AE53</f>
        <v>27340.951000000001</v>
      </c>
      <c r="AG53" s="559">
        <f>AE53-AF53</f>
        <v>0</v>
      </c>
      <c r="AH53" s="559">
        <f>U53-AF53</f>
        <v>0</v>
      </c>
      <c r="AI53" s="594">
        <f t="shared" si="34"/>
        <v>1</v>
      </c>
      <c r="AL53" s="598">
        <f>M53-N53-O53</f>
        <v>451143.01399999997</v>
      </c>
      <c r="AM53" s="596"/>
      <c r="AN53" s="596"/>
      <c r="AO53" s="596"/>
      <c r="AP53" s="596"/>
      <c r="AQ53" s="596"/>
      <c r="AR53" s="596"/>
      <c r="AS53" s="596"/>
      <c r="AT53" s="596"/>
      <c r="AU53" s="596"/>
      <c r="AV53" s="596"/>
      <c r="AW53" s="596"/>
      <c r="AX53" s="596"/>
      <c r="AY53" s="596"/>
      <c r="AZ53" s="596"/>
      <c r="BA53" s="596"/>
      <c r="BB53" s="596"/>
      <c r="BC53" s="596"/>
      <c r="BD53" s="596"/>
      <c r="BE53" s="596"/>
      <c r="BF53" s="596"/>
      <c r="BG53" s="596"/>
      <c r="BH53" s="596"/>
      <c r="BI53" s="596"/>
      <c r="BJ53" s="596"/>
      <c r="BK53" s="596"/>
      <c r="BL53" s="596"/>
      <c r="BM53" s="596"/>
      <c r="BN53" s="596"/>
      <c r="BO53" s="596"/>
      <c r="BP53" s="596"/>
      <c r="BQ53" s="596"/>
      <c r="BR53" s="596"/>
      <c r="BS53" s="596"/>
      <c r="BT53" s="596"/>
      <c r="BU53" s="596"/>
    </row>
    <row r="54" spans="1:73" s="603" customFormat="1" ht="17.25" customHeight="1">
      <c r="A54" s="1786"/>
      <c r="B54" s="1775"/>
      <c r="C54" s="558" t="str">
        <f>[6]аоб!C44</f>
        <v>СЗП</v>
      </c>
      <c r="D54" s="559">
        <f t="shared" si="11"/>
        <v>19694.46</v>
      </c>
      <c r="E54" s="559">
        <v>6171</v>
      </c>
      <c r="F54" s="559">
        <v>13523.46</v>
      </c>
      <c r="G54" s="559">
        <v>1424</v>
      </c>
      <c r="H54" s="559">
        <v>19854.378000000001</v>
      </c>
      <c r="I54" s="559">
        <v>1</v>
      </c>
      <c r="J54" s="559">
        <v>159.87900000000081</v>
      </c>
      <c r="K54" s="559">
        <v>1423</v>
      </c>
      <c r="L54" s="559">
        <f>19694.499-0.039</f>
        <v>19694.46</v>
      </c>
      <c r="M54" s="559">
        <f>L54</f>
        <v>19694.46</v>
      </c>
      <c r="N54" s="559">
        <v>6171</v>
      </c>
      <c r="O54" s="559">
        <v>0</v>
      </c>
      <c r="P54" s="559">
        <f>M54-N54-O54</f>
        <v>13523.46</v>
      </c>
      <c r="Q54" s="559">
        <f>P54</f>
        <v>13523.46</v>
      </c>
      <c r="R54" s="559">
        <f>P54-Q54</f>
        <v>0</v>
      </c>
      <c r="S54" s="559">
        <f>F54-Q54</f>
        <v>0</v>
      </c>
      <c r="T54" s="597">
        <f t="shared" si="1"/>
        <v>1</v>
      </c>
      <c r="U54" s="559">
        <v>710.85500000000002</v>
      </c>
      <c r="V54" s="599">
        <v>49</v>
      </c>
      <c r="W54" s="599">
        <v>710.85500000000002</v>
      </c>
      <c r="X54" s="592">
        <v>0</v>
      </c>
      <c r="Y54" s="592">
        <v>0</v>
      </c>
      <c r="Z54" s="592">
        <v>49</v>
      </c>
      <c r="AA54" s="592">
        <v>710.85500000000002</v>
      </c>
      <c r="AB54" s="559">
        <f>AA54</f>
        <v>710.85500000000002</v>
      </c>
      <c r="AC54" s="559">
        <v>0</v>
      </c>
      <c r="AD54" s="559">
        <v>0</v>
      </c>
      <c r="AE54" s="559">
        <f>AB54-AC54-AD54</f>
        <v>710.85500000000002</v>
      </c>
      <c r="AF54" s="559">
        <f>AE54</f>
        <v>710.85500000000002</v>
      </c>
      <c r="AG54" s="559">
        <f>AE54-AF54</f>
        <v>0</v>
      </c>
      <c r="AH54" s="559">
        <f>U54-AF54</f>
        <v>0</v>
      </c>
      <c r="AI54" s="594">
        <f t="shared" si="34"/>
        <v>1</v>
      </c>
      <c r="AL54" s="596"/>
      <c r="AM54" s="596"/>
      <c r="AN54" s="596"/>
      <c r="AO54" s="596"/>
      <c r="AP54" s="596"/>
      <c r="AQ54" s="596"/>
      <c r="AR54" s="596"/>
      <c r="AS54" s="596"/>
      <c r="AT54" s="596"/>
      <c r="AU54" s="596"/>
      <c r="AV54" s="596"/>
      <c r="AW54" s="596"/>
      <c r="AX54" s="596"/>
      <c r="AY54" s="596"/>
      <c r="AZ54" s="596"/>
      <c r="BA54" s="596"/>
      <c r="BB54" s="596"/>
      <c r="BC54" s="596"/>
      <c r="BD54" s="596"/>
      <c r="BE54" s="596"/>
      <c r="BF54" s="596"/>
      <c r="BG54" s="596"/>
      <c r="BH54" s="596"/>
      <c r="BI54" s="596"/>
      <c r="BJ54" s="596"/>
      <c r="BK54" s="596"/>
      <c r="BL54" s="596"/>
      <c r="BM54" s="596"/>
      <c r="BN54" s="596"/>
      <c r="BO54" s="596"/>
      <c r="BP54" s="596"/>
      <c r="BQ54" s="596"/>
      <c r="BR54" s="596"/>
      <c r="BS54" s="596"/>
      <c r="BT54" s="596"/>
      <c r="BU54" s="596"/>
    </row>
    <row r="55" spans="1:73" s="595" customFormat="1" ht="15">
      <c r="A55" s="1786">
        <v>14</v>
      </c>
      <c r="B55" s="1775" t="s">
        <v>1229</v>
      </c>
      <c r="C55" s="556" t="str">
        <f>[6]аоб!C45</f>
        <v>ИТОГО</v>
      </c>
      <c r="D55" s="557">
        <f t="shared" si="11"/>
        <v>11689.012000000001</v>
      </c>
      <c r="E55" s="557">
        <f t="shared" ref="E55:S55" si="41">E56</f>
        <v>3506.4</v>
      </c>
      <c r="F55" s="557">
        <f t="shared" si="41"/>
        <v>8182.6120000000001</v>
      </c>
      <c r="G55" s="557">
        <f t="shared" si="41"/>
        <v>922</v>
      </c>
      <c r="H55" s="557">
        <f t="shared" si="41"/>
        <v>11701.485999999999</v>
      </c>
      <c r="I55" s="557">
        <f t="shared" si="41"/>
        <v>0</v>
      </c>
      <c r="J55" s="557">
        <f t="shared" si="41"/>
        <v>12</v>
      </c>
      <c r="K55" s="557">
        <f t="shared" si="41"/>
        <v>922</v>
      </c>
      <c r="L55" s="557">
        <f t="shared" si="41"/>
        <v>11689.012000000001</v>
      </c>
      <c r="M55" s="557">
        <f t="shared" si="41"/>
        <v>11689.012000000001</v>
      </c>
      <c r="N55" s="557">
        <f t="shared" si="41"/>
        <v>3506.4</v>
      </c>
      <c r="O55" s="557">
        <f t="shared" si="41"/>
        <v>0</v>
      </c>
      <c r="P55" s="557">
        <f t="shared" si="41"/>
        <v>8182.612000000001</v>
      </c>
      <c r="Q55" s="557">
        <f t="shared" si="41"/>
        <v>8182.612000000001</v>
      </c>
      <c r="R55" s="557">
        <f t="shared" si="41"/>
        <v>0</v>
      </c>
      <c r="S55" s="557">
        <f t="shared" si="41"/>
        <v>0</v>
      </c>
      <c r="T55" s="588">
        <f t="shared" si="1"/>
        <v>1.0000000000000002</v>
      </c>
      <c r="U55" s="557">
        <f t="shared" ref="U55:AH55" si="42">U56</f>
        <v>452.39800000000002</v>
      </c>
      <c r="V55" s="557">
        <f t="shared" si="42"/>
        <v>41</v>
      </c>
      <c r="W55" s="557">
        <f t="shared" si="42"/>
        <v>452.39800000000002</v>
      </c>
      <c r="X55" s="557">
        <f t="shared" si="42"/>
        <v>0</v>
      </c>
      <c r="Y55" s="557">
        <f t="shared" si="42"/>
        <v>0</v>
      </c>
      <c r="Z55" s="557">
        <f t="shared" si="42"/>
        <v>41</v>
      </c>
      <c r="AA55" s="557">
        <f t="shared" si="42"/>
        <v>452.39800000000002</v>
      </c>
      <c r="AB55" s="557">
        <f t="shared" si="42"/>
        <v>452.39800000000002</v>
      </c>
      <c r="AC55" s="557">
        <f t="shared" si="42"/>
        <v>0</v>
      </c>
      <c r="AD55" s="557">
        <f t="shared" si="42"/>
        <v>0</v>
      </c>
      <c r="AE55" s="557">
        <f t="shared" si="42"/>
        <v>452.39800000000002</v>
      </c>
      <c r="AF55" s="557">
        <f t="shared" si="42"/>
        <v>452.39800000000002</v>
      </c>
      <c r="AG55" s="557">
        <f t="shared" si="42"/>
        <v>0</v>
      </c>
      <c r="AH55" s="557">
        <f t="shared" si="42"/>
        <v>0</v>
      </c>
      <c r="AI55" s="589">
        <f t="shared" si="34"/>
        <v>1</v>
      </c>
      <c r="AL55" s="596"/>
      <c r="AM55" s="596"/>
      <c r="AN55" s="596"/>
      <c r="AO55" s="596"/>
      <c r="AP55" s="596"/>
      <c r="AQ55" s="596"/>
      <c r="AR55" s="596"/>
      <c r="AS55" s="596"/>
      <c r="AT55" s="596"/>
      <c r="AU55" s="596"/>
      <c r="AV55" s="596"/>
      <c r="AW55" s="596"/>
      <c r="AX55" s="596"/>
      <c r="AY55" s="596"/>
      <c r="AZ55" s="596"/>
      <c r="BA55" s="596"/>
      <c r="BB55" s="596"/>
      <c r="BC55" s="596"/>
      <c r="BD55" s="596"/>
      <c r="BE55" s="596"/>
      <c r="BF55" s="596"/>
      <c r="BG55" s="596"/>
      <c r="BH55" s="596"/>
      <c r="BI55" s="596"/>
      <c r="BJ55" s="596"/>
      <c r="BK55" s="596"/>
      <c r="BL55" s="596"/>
      <c r="BM55" s="596"/>
      <c r="BN55" s="596"/>
      <c r="BO55" s="596"/>
      <c r="BP55" s="596"/>
      <c r="BQ55" s="596"/>
      <c r="BR55" s="596"/>
      <c r="BS55" s="596"/>
      <c r="BT55" s="596"/>
      <c r="BU55" s="596"/>
    </row>
    <row r="56" spans="1:73" s="603" customFormat="1" ht="27.75" customHeight="1">
      <c r="A56" s="1786"/>
      <c r="B56" s="1775"/>
      <c r="C56" s="558" t="str">
        <f>[6]аоб!C46</f>
        <v>СЗП</v>
      </c>
      <c r="D56" s="559">
        <f t="shared" si="11"/>
        <v>11689.012000000001</v>
      </c>
      <c r="E56" s="559">
        <v>3506.4</v>
      </c>
      <c r="F56" s="559">
        <f>8183.112-0.5</f>
        <v>8182.6120000000001</v>
      </c>
      <c r="G56" s="559">
        <v>922</v>
      </c>
      <c r="H56" s="559">
        <v>11701.485999999999</v>
      </c>
      <c r="I56" s="559">
        <v>0</v>
      </c>
      <c r="J56" s="559">
        <v>12</v>
      </c>
      <c r="K56" s="559">
        <v>922</v>
      </c>
      <c r="L56" s="559">
        <f>11689.486-0.474</f>
        <v>11689.012000000001</v>
      </c>
      <c r="M56" s="559">
        <f>L56</f>
        <v>11689.012000000001</v>
      </c>
      <c r="N56" s="559">
        <v>3506.4</v>
      </c>
      <c r="O56" s="559">
        <v>0</v>
      </c>
      <c r="P56" s="559">
        <f>M56-N56-O56</f>
        <v>8182.612000000001</v>
      </c>
      <c r="Q56" s="559">
        <f>P56</f>
        <v>8182.612000000001</v>
      </c>
      <c r="R56" s="559">
        <f>P56-Q56</f>
        <v>0</v>
      </c>
      <c r="S56" s="559">
        <f>F56-Q56</f>
        <v>0</v>
      </c>
      <c r="T56" s="597">
        <f t="shared" si="1"/>
        <v>1.0000000000000002</v>
      </c>
      <c r="U56" s="559">
        <v>452.39800000000002</v>
      </c>
      <c r="V56" s="599">
        <v>41</v>
      </c>
      <c r="W56" s="599">
        <v>452.39800000000002</v>
      </c>
      <c r="X56" s="592">
        <v>0</v>
      </c>
      <c r="Y56" s="592">
        <v>0</v>
      </c>
      <c r="Z56" s="599">
        <v>41</v>
      </c>
      <c r="AA56" s="599">
        <v>452.39800000000002</v>
      </c>
      <c r="AB56" s="559">
        <f>AA56</f>
        <v>452.39800000000002</v>
      </c>
      <c r="AC56" s="559">
        <v>0</v>
      </c>
      <c r="AD56" s="559">
        <v>0</v>
      </c>
      <c r="AE56" s="559">
        <f>AB56-AC56-AD56</f>
        <v>452.39800000000002</v>
      </c>
      <c r="AF56" s="559">
        <f>AE56</f>
        <v>452.39800000000002</v>
      </c>
      <c r="AG56" s="559">
        <f>AE56-AF56</f>
        <v>0</v>
      </c>
      <c r="AH56" s="559">
        <f>U56-AF56</f>
        <v>0</v>
      </c>
      <c r="AI56" s="594">
        <f t="shared" si="34"/>
        <v>1</v>
      </c>
      <c r="AL56" s="596"/>
      <c r="AM56" s="596"/>
      <c r="AN56" s="596"/>
      <c r="AO56" s="596"/>
      <c r="AP56" s="596"/>
      <c r="AQ56" s="596"/>
      <c r="AR56" s="596"/>
      <c r="AS56" s="596"/>
      <c r="AT56" s="596"/>
      <c r="AU56" s="596"/>
      <c r="AV56" s="596"/>
      <c r="AW56" s="596"/>
      <c r="AX56" s="596"/>
      <c r="AY56" s="596"/>
      <c r="AZ56" s="596"/>
      <c r="BA56" s="596"/>
      <c r="BB56" s="596"/>
      <c r="BC56" s="596"/>
      <c r="BD56" s="596"/>
      <c r="BE56" s="596"/>
      <c r="BF56" s="596"/>
      <c r="BG56" s="596"/>
      <c r="BH56" s="596"/>
      <c r="BI56" s="596"/>
      <c r="BJ56" s="596"/>
      <c r="BK56" s="596"/>
      <c r="BL56" s="596"/>
      <c r="BM56" s="596"/>
      <c r="BN56" s="596"/>
      <c r="BO56" s="596"/>
      <c r="BP56" s="596"/>
      <c r="BQ56" s="596"/>
      <c r="BR56" s="596"/>
      <c r="BS56" s="596"/>
      <c r="BT56" s="596"/>
      <c r="BU56" s="596"/>
    </row>
    <row r="57" spans="1:73" s="595" customFormat="1" ht="15">
      <c r="A57" s="1786">
        <v>15</v>
      </c>
      <c r="B57" s="1775" t="s">
        <v>1230</v>
      </c>
      <c r="C57" s="556" t="str">
        <f>[6]аоб!C47</f>
        <v>ИТОГО</v>
      </c>
      <c r="D57" s="557">
        <f t="shared" si="11"/>
        <v>217891.155</v>
      </c>
      <c r="E57" s="557">
        <f t="shared" ref="E57:S57" si="43">E58+E59</f>
        <v>62487</v>
      </c>
      <c r="F57" s="557">
        <f t="shared" si="43"/>
        <v>155404.155</v>
      </c>
      <c r="G57" s="557">
        <f t="shared" si="43"/>
        <v>5179</v>
      </c>
      <c r="H57" s="557">
        <f t="shared" si="43"/>
        <v>224542.64400000003</v>
      </c>
      <c r="I57" s="557">
        <f t="shared" si="43"/>
        <v>15</v>
      </c>
      <c r="J57" s="557">
        <f t="shared" si="43"/>
        <v>6651.0472300000474</v>
      </c>
      <c r="K57" s="557">
        <f t="shared" si="43"/>
        <v>5164</v>
      </c>
      <c r="L57" s="557">
        <f t="shared" si="43"/>
        <v>217891.15476999999</v>
      </c>
      <c r="M57" s="557">
        <f t="shared" si="43"/>
        <v>217891.15476999999</v>
      </c>
      <c r="N57" s="557">
        <f t="shared" si="43"/>
        <v>62487</v>
      </c>
      <c r="O57" s="557">
        <f t="shared" si="43"/>
        <v>0</v>
      </c>
      <c r="P57" s="557">
        <f>AL58+P59</f>
        <v>155404.15477000002</v>
      </c>
      <c r="Q57" s="557">
        <f t="shared" si="43"/>
        <v>155404.15477000002</v>
      </c>
      <c r="R57" s="557">
        <f t="shared" si="43"/>
        <v>0</v>
      </c>
      <c r="S57" s="557">
        <f t="shared" si="43"/>
        <v>2.2999999055173248E-4</v>
      </c>
      <c r="T57" s="588">
        <f t="shared" si="1"/>
        <v>0.99999999851998822</v>
      </c>
      <c r="U57" s="557">
        <f t="shared" ref="U57:AH57" si="44">U58+U59</f>
        <v>12133.766</v>
      </c>
      <c r="V57" s="557">
        <f t="shared" si="44"/>
        <v>332</v>
      </c>
      <c r="W57" s="557">
        <f t="shared" si="44"/>
        <v>12315.95</v>
      </c>
      <c r="X57" s="557">
        <f t="shared" si="44"/>
        <v>1</v>
      </c>
      <c r="Y57" s="557">
        <f t="shared" si="44"/>
        <v>182.1840000000002</v>
      </c>
      <c r="Z57" s="557">
        <f t="shared" si="44"/>
        <v>331</v>
      </c>
      <c r="AA57" s="557">
        <f t="shared" si="44"/>
        <v>12133.766</v>
      </c>
      <c r="AB57" s="557">
        <f t="shared" si="44"/>
        <v>12133.766</v>
      </c>
      <c r="AC57" s="557">
        <f t="shared" si="44"/>
        <v>0</v>
      </c>
      <c r="AD57" s="557">
        <f t="shared" si="44"/>
        <v>0</v>
      </c>
      <c r="AE57" s="557">
        <f t="shared" si="44"/>
        <v>12133.766</v>
      </c>
      <c r="AF57" s="557">
        <f t="shared" si="44"/>
        <v>12133.766</v>
      </c>
      <c r="AG57" s="557">
        <f t="shared" si="44"/>
        <v>0</v>
      </c>
      <c r="AH57" s="557">
        <f t="shared" si="44"/>
        <v>0</v>
      </c>
      <c r="AI57" s="589">
        <f t="shared" si="34"/>
        <v>1</v>
      </c>
      <c r="AL57" s="596"/>
      <c r="AM57" s="596"/>
      <c r="AN57" s="596"/>
      <c r="AO57" s="596"/>
      <c r="AP57" s="596"/>
      <c r="AQ57" s="596"/>
      <c r="AR57" s="596"/>
      <c r="AS57" s="596"/>
      <c r="AT57" s="596"/>
      <c r="AU57" s="596"/>
      <c r="AV57" s="596"/>
      <c r="AW57" s="596"/>
      <c r="AX57" s="596"/>
      <c r="AY57" s="596"/>
      <c r="AZ57" s="596"/>
      <c r="BA57" s="596"/>
      <c r="BB57" s="596"/>
      <c r="BC57" s="596"/>
      <c r="BD57" s="596"/>
      <c r="BE57" s="596"/>
      <c r="BF57" s="596"/>
      <c r="BG57" s="596"/>
      <c r="BH57" s="596"/>
      <c r="BI57" s="596"/>
      <c r="BJ57" s="596"/>
      <c r="BK57" s="596"/>
      <c r="BL57" s="596"/>
      <c r="BM57" s="596"/>
      <c r="BN57" s="596"/>
      <c r="BO57" s="596"/>
      <c r="BP57" s="596"/>
      <c r="BQ57" s="596"/>
      <c r="BR57" s="596"/>
      <c r="BS57" s="596"/>
      <c r="BT57" s="596"/>
      <c r="BU57" s="596"/>
    </row>
    <row r="58" spans="1:73" s="603" customFormat="1" ht="15">
      <c r="A58" s="1786"/>
      <c r="B58" s="1775"/>
      <c r="C58" s="558" t="str">
        <f>[6]аоб!C48</f>
        <v>СМП</v>
      </c>
      <c r="D58" s="559">
        <f t="shared" si="11"/>
        <v>181764.389</v>
      </c>
      <c r="E58" s="559">
        <v>54098.400000000001</v>
      </c>
      <c r="F58" s="559">
        <v>127665.989</v>
      </c>
      <c r="G58" s="559">
        <v>2764</v>
      </c>
      <c r="H58" s="559">
        <v>187541.04000000004</v>
      </c>
      <c r="I58" s="559">
        <v>15</v>
      </c>
      <c r="J58" s="559">
        <v>5776.536710000044</v>
      </c>
      <c r="K58" s="559">
        <v>2749</v>
      </c>
      <c r="L58" s="559">
        <f>181764.00329+0.386</f>
        <v>181764.38928999999</v>
      </c>
      <c r="M58" s="559">
        <f>L58</f>
        <v>181764.38928999999</v>
      </c>
      <c r="N58" s="559">
        <v>54098.400000000001</v>
      </c>
      <c r="O58" s="559">
        <v>0</v>
      </c>
      <c r="Q58" s="559">
        <f>AL58</f>
        <v>127665.98929</v>
      </c>
      <c r="R58" s="559">
        <f>AL58-Q58</f>
        <v>0</v>
      </c>
      <c r="S58" s="559">
        <f>F58-Q58</f>
        <v>-2.899999963119626E-4</v>
      </c>
      <c r="T58" s="597">
        <f t="shared" si="1"/>
        <v>1.0000000022715525</v>
      </c>
      <c r="U58" s="559">
        <v>9225.8559999999998</v>
      </c>
      <c r="V58" s="599">
        <v>131</v>
      </c>
      <c r="W58" s="599">
        <v>9345.8289999999997</v>
      </c>
      <c r="X58" s="592">
        <v>1</v>
      </c>
      <c r="Y58" s="592">
        <v>119.97299999999996</v>
      </c>
      <c r="Z58" s="592">
        <v>130</v>
      </c>
      <c r="AA58" s="592">
        <v>9225.8559999999998</v>
      </c>
      <c r="AB58" s="559">
        <f>AA58</f>
        <v>9225.8559999999998</v>
      </c>
      <c r="AC58" s="559">
        <v>0</v>
      </c>
      <c r="AD58" s="559">
        <v>0</v>
      </c>
      <c r="AE58" s="559">
        <f>AB58-AC58-AD58</f>
        <v>9225.8559999999998</v>
      </c>
      <c r="AF58" s="559">
        <f>AE58</f>
        <v>9225.8559999999998</v>
      </c>
      <c r="AG58" s="559">
        <f>AE58-AF58</f>
        <v>0</v>
      </c>
      <c r="AH58" s="559">
        <f>U58-AF58</f>
        <v>0</v>
      </c>
      <c r="AI58" s="594">
        <f t="shared" si="34"/>
        <v>1</v>
      </c>
      <c r="AL58" s="598">
        <f>M58-N58-O58</f>
        <v>127665.98929</v>
      </c>
      <c r="AM58" s="596"/>
      <c r="AN58" s="596"/>
      <c r="AO58" s="596"/>
      <c r="AP58" s="596"/>
      <c r="AQ58" s="596"/>
      <c r="AR58" s="596"/>
      <c r="AS58" s="596"/>
      <c r="AT58" s="596"/>
      <c r="AU58" s="596"/>
      <c r="AV58" s="596"/>
      <c r="AW58" s="596"/>
      <c r="AX58" s="596"/>
      <c r="AY58" s="596"/>
      <c r="AZ58" s="596"/>
      <c r="BA58" s="596"/>
      <c r="BB58" s="596"/>
      <c r="BC58" s="596"/>
      <c r="BD58" s="596"/>
      <c r="BE58" s="596"/>
      <c r="BF58" s="596"/>
      <c r="BG58" s="596"/>
      <c r="BH58" s="596"/>
      <c r="BI58" s="596"/>
      <c r="BJ58" s="596"/>
      <c r="BK58" s="596"/>
      <c r="BL58" s="596"/>
      <c r="BM58" s="596"/>
      <c r="BN58" s="596"/>
      <c r="BO58" s="596"/>
      <c r="BP58" s="596"/>
      <c r="BQ58" s="596"/>
      <c r="BR58" s="596"/>
      <c r="BS58" s="596"/>
      <c r="BT58" s="596"/>
      <c r="BU58" s="596"/>
    </row>
    <row r="59" spans="1:73" s="603" customFormat="1" ht="15">
      <c r="A59" s="1786"/>
      <c r="B59" s="1775"/>
      <c r="C59" s="558" t="str">
        <f>[6]аоб!C49</f>
        <v>СЗП</v>
      </c>
      <c r="D59" s="559">
        <f t="shared" si="11"/>
        <v>36126.765999999996</v>
      </c>
      <c r="E59" s="559">
        <v>8388.6</v>
      </c>
      <c r="F59" s="559">
        <v>27738.165999999997</v>
      </c>
      <c r="G59" s="559">
        <v>2415</v>
      </c>
      <c r="H59" s="559">
        <v>37001.603999999999</v>
      </c>
      <c r="I59" s="559">
        <v>0</v>
      </c>
      <c r="J59" s="559">
        <v>874.51052000000345</v>
      </c>
      <c r="K59" s="559">
        <v>2415</v>
      </c>
      <c r="L59" s="559">
        <f>36127.09348-0.327-0.001</f>
        <v>36126.765480000009</v>
      </c>
      <c r="M59" s="559">
        <f>L59</f>
        <v>36126.765480000009</v>
      </c>
      <c r="N59" s="559">
        <v>8388.6</v>
      </c>
      <c r="O59" s="559">
        <v>0</v>
      </c>
      <c r="P59" s="559">
        <f>M59-N59-O59</f>
        <v>27738.165480000011</v>
      </c>
      <c r="Q59" s="559">
        <f>P59</f>
        <v>27738.165480000011</v>
      </c>
      <c r="R59" s="559">
        <f>P59-Q59</f>
        <v>0</v>
      </c>
      <c r="S59" s="559">
        <f>F59-Q59</f>
        <v>5.1999998686369509E-4</v>
      </c>
      <c r="T59" s="597">
        <f t="shared" si="1"/>
        <v>0.99999998125326717</v>
      </c>
      <c r="U59" s="559">
        <v>2907.91</v>
      </c>
      <c r="V59" s="599">
        <v>201</v>
      </c>
      <c r="W59" s="599">
        <v>2970.1210000000001</v>
      </c>
      <c r="X59" s="592">
        <v>0</v>
      </c>
      <c r="Y59" s="592">
        <v>62.21100000000024</v>
      </c>
      <c r="Z59" s="592">
        <v>201</v>
      </c>
      <c r="AA59" s="592">
        <v>2907.91</v>
      </c>
      <c r="AB59" s="559">
        <f>AA59</f>
        <v>2907.91</v>
      </c>
      <c r="AC59" s="559">
        <v>0</v>
      </c>
      <c r="AD59" s="559">
        <v>0</v>
      </c>
      <c r="AE59" s="559">
        <f>AB59-AC59-AD59</f>
        <v>2907.91</v>
      </c>
      <c r="AF59" s="559">
        <f>AE59</f>
        <v>2907.91</v>
      </c>
      <c r="AG59" s="559">
        <f>AE59-AF59</f>
        <v>0</v>
      </c>
      <c r="AH59" s="559">
        <f>U59-AF59</f>
        <v>0</v>
      </c>
      <c r="AI59" s="594">
        <f t="shared" si="34"/>
        <v>1</v>
      </c>
      <c r="AL59" s="596"/>
      <c r="AM59" s="596"/>
      <c r="AN59" s="596"/>
      <c r="AO59" s="596"/>
      <c r="AP59" s="596"/>
      <c r="AQ59" s="596"/>
      <c r="AR59" s="596"/>
      <c r="AS59" s="596"/>
      <c r="AT59" s="596"/>
      <c r="AU59" s="596"/>
      <c r="AV59" s="596"/>
      <c r="AW59" s="596"/>
      <c r="AX59" s="596"/>
      <c r="AY59" s="596"/>
      <c r="AZ59" s="596"/>
      <c r="BA59" s="596"/>
      <c r="BB59" s="596"/>
      <c r="BC59" s="596"/>
      <c r="BD59" s="596"/>
      <c r="BE59" s="596"/>
      <c r="BF59" s="596"/>
      <c r="BG59" s="596"/>
      <c r="BH59" s="596"/>
      <c r="BI59" s="596"/>
      <c r="BJ59" s="596"/>
      <c r="BK59" s="596"/>
      <c r="BL59" s="596"/>
      <c r="BM59" s="596"/>
      <c r="BN59" s="596"/>
      <c r="BO59" s="596"/>
      <c r="BP59" s="596"/>
      <c r="BQ59" s="596"/>
      <c r="BR59" s="596"/>
      <c r="BS59" s="596"/>
      <c r="BT59" s="596"/>
      <c r="BU59" s="596"/>
    </row>
    <row r="60" spans="1:73" s="595" customFormat="1" ht="15">
      <c r="A60" s="1786">
        <v>16</v>
      </c>
      <c r="B60" s="1775" t="s">
        <v>1231</v>
      </c>
      <c r="C60" s="556" t="str">
        <f>[6]аоб!C50</f>
        <v>ИТОГО</v>
      </c>
      <c r="D60" s="557">
        <f t="shared" si="11"/>
        <v>181612.67300000001</v>
      </c>
      <c r="E60" s="557">
        <f t="shared" ref="E60:S60" si="45">E61+E62</f>
        <v>51878.700000000004</v>
      </c>
      <c r="F60" s="557">
        <f t="shared" si="45"/>
        <v>129733.973</v>
      </c>
      <c r="G60" s="557">
        <f t="shared" si="45"/>
        <v>3953</v>
      </c>
      <c r="H60" s="557">
        <f t="shared" si="45"/>
        <v>187912.83800000002</v>
      </c>
      <c r="I60" s="557">
        <f t="shared" si="45"/>
        <v>9</v>
      </c>
      <c r="J60" s="557">
        <f t="shared" si="45"/>
        <v>6300.3859999999913</v>
      </c>
      <c r="K60" s="557">
        <f t="shared" si="45"/>
        <v>3944</v>
      </c>
      <c r="L60" s="557">
        <f t="shared" si="45"/>
        <v>181612.67300000001</v>
      </c>
      <c r="M60" s="557">
        <f t="shared" si="45"/>
        <v>181612.67300000001</v>
      </c>
      <c r="N60" s="557">
        <f t="shared" si="45"/>
        <v>51878.700000000004</v>
      </c>
      <c r="O60" s="557">
        <f t="shared" si="45"/>
        <v>0</v>
      </c>
      <c r="P60" s="557">
        <f>AL61+P62</f>
        <v>129733.97300000003</v>
      </c>
      <c r="Q60" s="557">
        <f t="shared" si="45"/>
        <v>129733.97300000003</v>
      </c>
      <c r="R60" s="557">
        <f t="shared" si="45"/>
        <v>0</v>
      </c>
      <c r="S60" s="557">
        <f t="shared" si="45"/>
        <v>0</v>
      </c>
      <c r="T60" s="588">
        <f t="shared" si="1"/>
        <v>1.0000000000000002</v>
      </c>
      <c r="U60" s="557">
        <f t="shared" ref="U60:AH60" si="46">U61+U62</f>
        <v>8755.884</v>
      </c>
      <c r="V60" s="557">
        <f t="shared" si="46"/>
        <v>200</v>
      </c>
      <c r="W60" s="557">
        <f t="shared" si="46"/>
        <v>8517.7649999999994</v>
      </c>
      <c r="X60" s="557">
        <f t="shared" si="46"/>
        <v>0</v>
      </c>
      <c r="Y60" s="557">
        <f t="shared" si="46"/>
        <v>35.538999999999987</v>
      </c>
      <c r="Z60" s="557">
        <f t="shared" si="46"/>
        <v>200</v>
      </c>
      <c r="AA60" s="557">
        <f t="shared" si="46"/>
        <v>8755.884</v>
      </c>
      <c r="AB60" s="557">
        <f t="shared" si="46"/>
        <v>8755.884</v>
      </c>
      <c r="AC60" s="557">
        <f t="shared" si="46"/>
        <v>0</v>
      </c>
      <c r="AD60" s="557">
        <f t="shared" si="46"/>
        <v>0</v>
      </c>
      <c r="AE60" s="557">
        <f t="shared" si="46"/>
        <v>8755.884</v>
      </c>
      <c r="AF60" s="557">
        <f t="shared" si="46"/>
        <v>8755.884</v>
      </c>
      <c r="AG60" s="557">
        <f t="shared" si="46"/>
        <v>0</v>
      </c>
      <c r="AH60" s="557">
        <f t="shared" si="46"/>
        <v>0</v>
      </c>
      <c r="AI60" s="589">
        <f t="shared" si="34"/>
        <v>1</v>
      </c>
      <c r="AL60" s="596"/>
      <c r="AM60" s="596"/>
      <c r="AN60" s="596"/>
      <c r="AO60" s="596"/>
      <c r="AP60" s="596"/>
      <c r="AQ60" s="596"/>
      <c r="AR60" s="596"/>
      <c r="AS60" s="596"/>
      <c r="AT60" s="596"/>
      <c r="AU60" s="596"/>
      <c r="AV60" s="596"/>
      <c r="AW60" s="596"/>
      <c r="AX60" s="596"/>
      <c r="AY60" s="596"/>
      <c r="AZ60" s="596"/>
      <c r="BA60" s="596"/>
      <c r="BB60" s="596"/>
      <c r="BC60" s="596"/>
      <c r="BD60" s="596"/>
      <c r="BE60" s="596"/>
      <c r="BF60" s="596"/>
      <c r="BG60" s="596"/>
      <c r="BH60" s="596"/>
      <c r="BI60" s="596"/>
      <c r="BJ60" s="596"/>
      <c r="BK60" s="596"/>
      <c r="BL60" s="596"/>
      <c r="BM60" s="596"/>
      <c r="BN60" s="596"/>
      <c r="BO60" s="596"/>
      <c r="BP60" s="596"/>
      <c r="BQ60" s="596"/>
      <c r="BR60" s="596"/>
      <c r="BS60" s="596"/>
      <c r="BT60" s="596"/>
      <c r="BU60" s="596"/>
    </row>
    <row r="61" spans="1:73" s="603" customFormat="1" ht="15">
      <c r="A61" s="1786"/>
      <c r="B61" s="1775"/>
      <c r="C61" s="558" t="str">
        <f>[6]аоб!C51</f>
        <v>СМП</v>
      </c>
      <c r="D61" s="559">
        <f t="shared" si="11"/>
        <v>154121.31300000002</v>
      </c>
      <c r="E61" s="559">
        <v>45744.3</v>
      </c>
      <c r="F61" s="559">
        <v>108377.01300000001</v>
      </c>
      <c r="G61" s="559">
        <v>2259</v>
      </c>
      <c r="H61" s="559">
        <v>159479.399</v>
      </c>
      <c r="I61" s="559">
        <v>8</v>
      </c>
      <c r="J61" s="559">
        <v>5358.4789999999921</v>
      </c>
      <c r="K61" s="559">
        <v>2251</v>
      </c>
      <c r="L61" s="559">
        <f>154121.42-0.107</f>
        <v>154121.31300000002</v>
      </c>
      <c r="M61" s="559">
        <f>L61</f>
        <v>154121.31300000002</v>
      </c>
      <c r="N61" s="559">
        <v>45744.3</v>
      </c>
      <c r="O61" s="559">
        <v>0</v>
      </c>
      <c r="Q61" s="559">
        <f>AL61</f>
        <v>108377.01300000002</v>
      </c>
      <c r="R61" s="559">
        <f>AL61-Q61</f>
        <v>0</v>
      </c>
      <c r="S61" s="559">
        <f>F61-Q61</f>
        <v>0</v>
      </c>
      <c r="T61" s="597">
        <f t="shared" si="1"/>
        <v>1.0000000000000002</v>
      </c>
      <c r="U61" s="559">
        <v>6888.116</v>
      </c>
      <c r="V61" s="599">
        <v>91</v>
      </c>
      <c r="W61" s="599">
        <v>6614.4579999999996</v>
      </c>
      <c r="X61" s="592">
        <v>0</v>
      </c>
      <c r="Y61" s="592"/>
      <c r="Z61" s="592">
        <v>91</v>
      </c>
      <c r="AA61" s="592">
        <v>6888.116</v>
      </c>
      <c r="AB61" s="559">
        <f>AA61</f>
        <v>6888.116</v>
      </c>
      <c r="AC61" s="559">
        <v>0</v>
      </c>
      <c r="AD61" s="559">
        <v>0</v>
      </c>
      <c r="AE61" s="559">
        <f>AB61-AC61-AD61</f>
        <v>6888.116</v>
      </c>
      <c r="AF61" s="559">
        <f>AE61</f>
        <v>6888.116</v>
      </c>
      <c r="AG61" s="559">
        <f>AE61-AF61</f>
        <v>0</v>
      </c>
      <c r="AH61" s="559">
        <f>U61-AF61</f>
        <v>0</v>
      </c>
      <c r="AI61" s="594">
        <f t="shared" si="34"/>
        <v>1</v>
      </c>
      <c r="AL61" s="598">
        <f>M61-N61-O61</f>
        <v>108377.01300000002</v>
      </c>
      <c r="AM61" s="596"/>
      <c r="AN61" s="596"/>
      <c r="AO61" s="596"/>
      <c r="AP61" s="596"/>
      <c r="AQ61" s="596"/>
      <c r="AR61" s="596"/>
      <c r="AS61" s="596"/>
      <c r="AT61" s="596"/>
      <c r="AU61" s="596"/>
      <c r="AV61" s="596"/>
      <c r="AW61" s="596"/>
      <c r="AX61" s="596"/>
      <c r="AY61" s="596"/>
      <c r="AZ61" s="596"/>
      <c r="BA61" s="596"/>
      <c r="BB61" s="596"/>
      <c r="BC61" s="596"/>
      <c r="BD61" s="596"/>
      <c r="BE61" s="596"/>
      <c r="BF61" s="596"/>
      <c r="BG61" s="596"/>
      <c r="BH61" s="596"/>
      <c r="BI61" s="596"/>
      <c r="BJ61" s="596"/>
      <c r="BK61" s="596"/>
      <c r="BL61" s="596"/>
      <c r="BM61" s="596"/>
      <c r="BN61" s="596"/>
      <c r="BO61" s="596"/>
      <c r="BP61" s="596"/>
      <c r="BQ61" s="596"/>
      <c r="BR61" s="596"/>
      <c r="BS61" s="596"/>
      <c r="BT61" s="596"/>
      <c r="BU61" s="596"/>
    </row>
    <row r="62" spans="1:73" s="603" customFormat="1" ht="15">
      <c r="A62" s="1786"/>
      <c r="B62" s="1775"/>
      <c r="C62" s="558" t="str">
        <f>[6]аоб!C52</f>
        <v>СЗП</v>
      </c>
      <c r="D62" s="559">
        <f t="shared" si="11"/>
        <v>27491.360000000001</v>
      </c>
      <c r="E62" s="559">
        <v>6134.4</v>
      </c>
      <c r="F62" s="559">
        <v>21356.959999999999</v>
      </c>
      <c r="G62" s="559">
        <v>1694</v>
      </c>
      <c r="H62" s="559">
        <v>28433.439000000002</v>
      </c>
      <c r="I62" s="559">
        <v>1</v>
      </c>
      <c r="J62" s="559">
        <v>941.90699999999924</v>
      </c>
      <c r="K62" s="559">
        <v>1693</v>
      </c>
      <c r="L62" s="559">
        <f>27491.532-0.172</f>
        <v>27491.360000000001</v>
      </c>
      <c r="M62" s="559">
        <f>L62</f>
        <v>27491.360000000001</v>
      </c>
      <c r="N62" s="559">
        <v>6134.4</v>
      </c>
      <c r="O62" s="559">
        <v>0</v>
      </c>
      <c r="P62" s="559">
        <f>M62-N62-O62</f>
        <v>21356.959999999999</v>
      </c>
      <c r="Q62" s="559">
        <f>P62</f>
        <v>21356.959999999999</v>
      </c>
      <c r="R62" s="559">
        <f>P62-Q62</f>
        <v>0</v>
      </c>
      <c r="S62" s="559">
        <f>F62-Q62</f>
        <v>0</v>
      </c>
      <c r="T62" s="597">
        <f t="shared" si="1"/>
        <v>1</v>
      </c>
      <c r="U62" s="559">
        <v>1867.768</v>
      </c>
      <c r="V62" s="599">
        <v>109</v>
      </c>
      <c r="W62" s="599">
        <v>1903.307</v>
      </c>
      <c r="X62" s="592">
        <v>0</v>
      </c>
      <c r="Y62" s="592">
        <v>35.538999999999987</v>
      </c>
      <c r="Z62" s="592">
        <v>109</v>
      </c>
      <c r="AA62" s="592">
        <v>1867.768</v>
      </c>
      <c r="AB62" s="559">
        <f>AA62</f>
        <v>1867.768</v>
      </c>
      <c r="AC62" s="559">
        <v>0</v>
      </c>
      <c r="AD62" s="559">
        <v>0</v>
      </c>
      <c r="AE62" s="559">
        <f>AB62-AC62-AD62</f>
        <v>1867.768</v>
      </c>
      <c r="AF62" s="559">
        <f>AE62</f>
        <v>1867.768</v>
      </c>
      <c r="AG62" s="559">
        <f>AE62-AF62</f>
        <v>0</v>
      </c>
      <c r="AH62" s="559">
        <f>U62-AF62</f>
        <v>0</v>
      </c>
      <c r="AI62" s="594">
        <f t="shared" si="34"/>
        <v>1</v>
      </c>
      <c r="AL62" s="596"/>
      <c r="AM62" s="596"/>
      <c r="AN62" s="596"/>
      <c r="AO62" s="596"/>
      <c r="AP62" s="596"/>
      <c r="AQ62" s="596"/>
      <c r="AR62" s="596"/>
      <c r="AS62" s="596"/>
      <c r="AT62" s="596"/>
      <c r="AU62" s="596"/>
      <c r="AV62" s="596"/>
      <c r="AW62" s="596"/>
      <c r="AX62" s="596"/>
      <c r="AY62" s="596"/>
      <c r="AZ62" s="596"/>
      <c r="BA62" s="596"/>
      <c r="BB62" s="596"/>
      <c r="BC62" s="596"/>
      <c r="BD62" s="596"/>
      <c r="BE62" s="596"/>
      <c r="BF62" s="596"/>
      <c r="BG62" s="596"/>
      <c r="BH62" s="596"/>
      <c r="BI62" s="596"/>
      <c r="BJ62" s="596"/>
      <c r="BK62" s="596"/>
      <c r="BL62" s="596"/>
      <c r="BM62" s="596"/>
      <c r="BN62" s="596"/>
      <c r="BO62" s="596"/>
      <c r="BP62" s="596"/>
      <c r="BQ62" s="596"/>
      <c r="BR62" s="596"/>
      <c r="BS62" s="596"/>
      <c r="BT62" s="596"/>
      <c r="BU62" s="596"/>
    </row>
    <row r="63" spans="1:73" s="595" customFormat="1" ht="15">
      <c r="A63" s="1786">
        <v>17</v>
      </c>
      <c r="B63" s="1775" t="s">
        <v>1232</v>
      </c>
      <c r="C63" s="556" t="str">
        <f>[6]аоб!C53</f>
        <v>ИТОГО</v>
      </c>
      <c r="D63" s="557">
        <f t="shared" si="11"/>
        <v>178443.12599999999</v>
      </c>
      <c r="E63" s="557">
        <f t="shared" ref="E63:S63" si="47">E64+E65</f>
        <v>53136</v>
      </c>
      <c r="F63" s="557">
        <f t="shared" si="47"/>
        <v>125307.126</v>
      </c>
      <c r="G63" s="557">
        <f t="shared" si="47"/>
        <v>3910</v>
      </c>
      <c r="H63" s="557">
        <f t="shared" si="47"/>
        <v>184870.15199999997</v>
      </c>
      <c r="I63" s="557">
        <f t="shared" si="47"/>
        <v>11</v>
      </c>
      <c r="J63" s="557">
        <f t="shared" si="47"/>
        <v>6426.8419999999933</v>
      </c>
      <c r="K63" s="557">
        <f t="shared" si="47"/>
        <v>3899</v>
      </c>
      <c r="L63" s="557">
        <f t="shared" si="47"/>
        <v>178443.12599999999</v>
      </c>
      <c r="M63" s="557">
        <f t="shared" si="47"/>
        <v>178443.12599999999</v>
      </c>
      <c r="N63" s="557">
        <f t="shared" si="47"/>
        <v>53136</v>
      </c>
      <c r="O63" s="557">
        <f t="shared" si="47"/>
        <v>0</v>
      </c>
      <c r="P63" s="557">
        <f>AL64+P65</f>
        <v>125307.12599999999</v>
      </c>
      <c r="Q63" s="557">
        <f t="shared" si="47"/>
        <v>125307.12599999999</v>
      </c>
      <c r="R63" s="557">
        <f t="shared" si="47"/>
        <v>0</v>
      </c>
      <c r="S63" s="557">
        <f t="shared" si="47"/>
        <v>0</v>
      </c>
      <c r="T63" s="588">
        <f t="shared" si="1"/>
        <v>0.99999999999999989</v>
      </c>
      <c r="U63" s="557">
        <f t="shared" ref="U63:AH63" si="48">U64+U65</f>
        <v>9243.4140000000007</v>
      </c>
      <c r="V63" s="557">
        <f t="shared" si="48"/>
        <v>235</v>
      </c>
      <c r="W63" s="557">
        <f t="shared" si="48"/>
        <v>9435.6200000000008</v>
      </c>
      <c r="X63" s="557">
        <f t="shared" si="48"/>
        <v>0</v>
      </c>
      <c r="Y63" s="557">
        <f t="shared" si="48"/>
        <v>192.20600000000059</v>
      </c>
      <c r="Z63" s="557">
        <f t="shared" si="48"/>
        <v>235</v>
      </c>
      <c r="AA63" s="557">
        <f t="shared" si="48"/>
        <v>9243.4140000000007</v>
      </c>
      <c r="AB63" s="557">
        <f t="shared" si="48"/>
        <v>9243.4140000000007</v>
      </c>
      <c r="AC63" s="557">
        <f t="shared" si="48"/>
        <v>0</v>
      </c>
      <c r="AD63" s="557">
        <f t="shared" si="48"/>
        <v>0</v>
      </c>
      <c r="AE63" s="557">
        <f t="shared" si="48"/>
        <v>9243.4140000000007</v>
      </c>
      <c r="AF63" s="557">
        <f t="shared" si="48"/>
        <v>9243.4140000000007</v>
      </c>
      <c r="AG63" s="557">
        <f t="shared" si="48"/>
        <v>0</v>
      </c>
      <c r="AH63" s="557">
        <f t="shared" si="48"/>
        <v>0</v>
      </c>
      <c r="AI63" s="589">
        <f t="shared" si="34"/>
        <v>1</v>
      </c>
      <c r="AL63" s="596"/>
      <c r="AM63" s="596"/>
      <c r="AN63" s="596"/>
      <c r="AO63" s="596"/>
      <c r="AP63" s="596"/>
      <c r="AQ63" s="596"/>
      <c r="AR63" s="596"/>
      <c r="AS63" s="596"/>
      <c r="AT63" s="596"/>
      <c r="AU63" s="596"/>
      <c r="AV63" s="596"/>
      <c r="AW63" s="596"/>
      <c r="AX63" s="596"/>
      <c r="AY63" s="596"/>
      <c r="AZ63" s="596"/>
      <c r="BA63" s="596"/>
      <c r="BB63" s="596"/>
      <c r="BC63" s="596"/>
      <c r="BD63" s="596"/>
      <c r="BE63" s="596"/>
      <c r="BF63" s="596"/>
      <c r="BG63" s="596"/>
      <c r="BH63" s="596"/>
      <c r="BI63" s="596"/>
      <c r="BJ63" s="596"/>
      <c r="BK63" s="596"/>
      <c r="BL63" s="596"/>
      <c r="BM63" s="596"/>
      <c r="BN63" s="596"/>
      <c r="BO63" s="596"/>
      <c r="BP63" s="596"/>
      <c r="BQ63" s="596"/>
      <c r="BR63" s="596"/>
      <c r="BS63" s="596"/>
      <c r="BT63" s="596"/>
      <c r="BU63" s="596"/>
    </row>
    <row r="64" spans="1:73" s="603" customFormat="1" ht="15">
      <c r="A64" s="1786"/>
      <c r="B64" s="1775"/>
      <c r="C64" s="558" t="str">
        <f>[6]аоб!C54</f>
        <v>СМП</v>
      </c>
      <c r="D64" s="559">
        <f t="shared" si="11"/>
        <v>149433.70699999999</v>
      </c>
      <c r="E64" s="559">
        <v>45810</v>
      </c>
      <c r="F64" s="559">
        <v>103623.70700000001</v>
      </c>
      <c r="G64" s="559">
        <v>2074</v>
      </c>
      <c r="H64" s="559">
        <v>155394.62899999999</v>
      </c>
      <c r="I64" s="559">
        <v>9</v>
      </c>
      <c r="J64" s="559">
        <v>5960.9759999999951</v>
      </c>
      <c r="K64" s="559">
        <v>2065</v>
      </c>
      <c r="L64" s="559">
        <f>149433.653+0.054</f>
        <v>149433.70699999999</v>
      </c>
      <c r="M64" s="559">
        <f>L64</f>
        <v>149433.70699999999</v>
      </c>
      <c r="N64" s="559">
        <v>45810</v>
      </c>
      <c r="O64" s="559">
        <v>0</v>
      </c>
      <c r="Q64" s="559">
        <f>AL64</f>
        <v>103623.70699999999</v>
      </c>
      <c r="R64" s="559">
        <f>AL64-Q64</f>
        <v>0</v>
      </c>
      <c r="S64" s="559">
        <f>F64-Q64</f>
        <v>0</v>
      </c>
      <c r="T64" s="597">
        <f t="shared" si="1"/>
        <v>0.99999999999999989</v>
      </c>
      <c r="U64" s="559">
        <v>6763.607</v>
      </c>
      <c r="V64" s="599">
        <v>91</v>
      </c>
      <c r="W64" s="599">
        <v>6944.1490000000003</v>
      </c>
      <c r="X64" s="592">
        <v>0</v>
      </c>
      <c r="Y64" s="592">
        <v>180.54200000000037</v>
      </c>
      <c r="Z64" s="592">
        <v>91</v>
      </c>
      <c r="AA64" s="592">
        <v>6763.607</v>
      </c>
      <c r="AB64" s="559">
        <f>AA64</f>
        <v>6763.607</v>
      </c>
      <c r="AC64" s="559">
        <v>0</v>
      </c>
      <c r="AD64" s="559">
        <v>0</v>
      </c>
      <c r="AE64" s="559">
        <f>AB64-AC64-AD64</f>
        <v>6763.607</v>
      </c>
      <c r="AF64" s="559">
        <f>AE64</f>
        <v>6763.607</v>
      </c>
      <c r="AG64" s="559">
        <f>AE64-AF64</f>
        <v>0</v>
      </c>
      <c r="AH64" s="559">
        <f>U64-AF64</f>
        <v>0</v>
      </c>
      <c r="AI64" s="594">
        <f t="shared" si="34"/>
        <v>1</v>
      </c>
      <c r="AL64" s="598">
        <f>M64-N64-O64</f>
        <v>103623.70699999999</v>
      </c>
      <c r="AM64" s="596"/>
      <c r="AN64" s="596"/>
      <c r="AO64" s="596"/>
      <c r="AP64" s="596"/>
      <c r="AQ64" s="596"/>
      <c r="AR64" s="596"/>
      <c r="AS64" s="596"/>
      <c r="AT64" s="596"/>
      <c r="AU64" s="596"/>
      <c r="AV64" s="596"/>
      <c r="AW64" s="596"/>
      <c r="AX64" s="596"/>
      <c r="AY64" s="596"/>
      <c r="AZ64" s="596"/>
      <c r="BA64" s="596"/>
      <c r="BB64" s="596"/>
      <c r="BC64" s="596"/>
      <c r="BD64" s="596"/>
      <c r="BE64" s="596"/>
      <c r="BF64" s="596"/>
      <c r="BG64" s="596"/>
      <c r="BH64" s="596"/>
      <c r="BI64" s="596"/>
      <c r="BJ64" s="596"/>
      <c r="BK64" s="596"/>
      <c r="BL64" s="596"/>
      <c r="BM64" s="596"/>
      <c r="BN64" s="596"/>
      <c r="BO64" s="596"/>
      <c r="BP64" s="596"/>
      <c r="BQ64" s="596"/>
      <c r="BR64" s="596"/>
      <c r="BS64" s="596"/>
      <c r="BT64" s="596"/>
      <c r="BU64" s="596"/>
    </row>
    <row r="65" spans="1:73" s="603" customFormat="1" ht="15">
      <c r="A65" s="1786"/>
      <c r="B65" s="1775"/>
      <c r="C65" s="558" t="str">
        <f>[6]аоб!C55</f>
        <v>СЗП</v>
      </c>
      <c r="D65" s="559">
        <f t="shared" si="11"/>
        <v>29009.418999999998</v>
      </c>
      <c r="E65" s="559">
        <v>7326</v>
      </c>
      <c r="F65" s="559">
        <v>21683.418999999998</v>
      </c>
      <c r="G65" s="559">
        <v>1836</v>
      </c>
      <c r="H65" s="559">
        <v>29475.522999999997</v>
      </c>
      <c r="I65" s="559">
        <v>2</v>
      </c>
      <c r="J65" s="559">
        <v>465.86599999999817</v>
      </c>
      <c r="K65" s="559">
        <v>1834</v>
      </c>
      <c r="L65" s="559">
        <f>29009.657-0.238</f>
        <v>29009.418999999998</v>
      </c>
      <c r="M65" s="559">
        <f>L65</f>
        <v>29009.418999999998</v>
      </c>
      <c r="N65" s="559">
        <v>7326</v>
      </c>
      <c r="O65" s="559">
        <v>0</v>
      </c>
      <c r="P65" s="559">
        <f>M65-N65-O65</f>
        <v>21683.418999999998</v>
      </c>
      <c r="Q65" s="559">
        <f>P65</f>
        <v>21683.418999999998</v>
      </c>
      <c r="R65" s="559">
        <f>P65-Q65</f>
        <v>0</v>
      </c>
      <c r="S65" s="559">
        <f>F65-Q65</f>
        <v>0</v>
      </c>
      <c r="T65" s="597">
        <f t="shared" si="1"/>
        <v>1</v>
      </c>
      <c r="U65" s="559">
        <v>2479.8069999999998</v>
      </c>
      <c r="V65" s="599">
        <v>144</v>
      </c>
      <c r="W65" s="599">
        <v>2491.471</v>
      </c>
      <c r="X65" s="592">
        <v>0</v>
      </c>
      <c r="Y65" s="592">
        <v>11.664000000000215</v>
      </c>
      <c r="Z65" s="592">
        <v>144</v>
      </c>
      <c r="AA65" s="592">
        <v>2479.8069999999998</v>
      </c>
      <c r="AB65" s="559">
        <f>AA65</f>
        <v>2479.8069999999998</v>
      </c>
      <c r="AC65" s="559">
        <v>0</v>
      </c>
      <c r="AD65" s="559">
        <v>0</v>
      </c>
      <c r="AE65" s="559">
        <f>AB65-AC65-AD65</f>
        <v>2479.8069999999998</v>
      </c>
      <c r="AF65" s="559">
        <f>AE65</f>
        <v>2479.8069999999998</v>
      </c>
      <c r="AG65" s="559">
        <f>AE65-AF65</f>
        <v>0</v>
      </c>
      <c r="AH65" s="559">
        <f>U65-AF65</f>
        <v>0</v>
      </c>
      <c r="AI65" s="594">
        <f t="shared" si="34"/>
        <v>1</v>
      </c>
      <c r="AL65" s="596"/>
      <c r="AM65" s="596"/>
      <c r="AN65" s="596"/>
      <c r="AO65" s="596"/>
      <c r="AP65" s="596"/>
      <c r="AQ65" s="596"/>
      <c r="AR65" s="596"/>
      <c r="AS65" s="596"/>
      <c r="AT65" s="596"/>
      <c r="AU65" s="596"/>
      <c r="AV65" s="596"/>
      <c r="AW65" s="596"/>
      <c r="AX65" s="596"/>
      <c r="AY65" s="596"/>
      <c r="AZ65" s="596"/>
      <c r="BA65" s="596"/>
      <c r="BB65" s="596"/>
      <c r="BC65" s="596"/>
      <c r="BD65" s="596"/>
      <c r="BE65" s="596"/>
      <c r="BF65" s="596"/>
      <c r="BG65" s="596"/>
      <c r="BH65" s="596"/>
      <c r="BI65" s="596"/>
      <c r="BJ65" s="596"/>
      <c r="BK65" s="596"/>
      <c r="BL65" s="596"/>
      <c r="BM65" s="596"/>
      <c r="BN65" s="596"/>
      <c r="BO65" s="596"/>
      <c r="BP65" s="596"/>
      <c r="BQ65" s="596"/>
      <c r="BR65" s="596"/>
      <c r="BS65" s="596"/>
      <c r="BT65" s="596"/>
      <c r="BU65" s="596"/>
    </row>
    <row r="66" spans="1:73" s="595" customFormat="1" ht="15">
      <c r="A66" s="1786">
        <v>18</v>
      </c>
      <c r="B66" s="1775" t="s">
        <v>1233</v>
      </c>
      <c r="C66" s="556" t="str">
        <f>[6]аоб!C56</f>
        <v>ИТОГО</v>
      </c>
      <c r="D66" s="557">
        <f t="shared" si="11"/>
        <v>391923.91800000001</v>
      </c>
      <c r="E66" s="557">
        <f t="shared" ref="E66:S66" si="49">E67+E68</f>
        <v>113800.8</v>
      </c>
      <c r="F66" s="557">
        <f t="shared" si="49"/>
        <v>278123.11800000002</v>
      </c>
      <c r="G66" s="557">
        <f t="shared" si="49"/>
        <v>7474</v>
      </c>
      <c r="H66" s="557">
        <f t="shared" si="49"/>
        <v>410987.70199999999</v>
      </c>
      <c r="I66" s="557">
        <f t="shared" si="49"/>
        <v>44</v>
      </c>
      <c r="J66" s="557">
        <f t="shared" si="49"/>
        <v>19064.172000000013</v>
      </c>
      <c r="K66" s="557">
        <f t="shared" si="49"/>
        <v>7430</v>
      </c>
      <c r="L66" s="557">
        <f t="shared" si="49"/>
        <v>391923.91800000001</v>
      </c>
      <c r="M66" s="557">
        <f t="shared" si="49"/>
        <v>391923.91800000001</v>
      </c>
      <c r="N66" s="557">
        <f t="shared" si="49"/>
        <v>113800.8</v>
      </c>
      <c r="O66" s="557">
        <f t="shared" si="49"/>
        <v>0</v>
      </c>
      <c r="P66" s="557">
        <f>AL67+P68</f>
        <v>278123.11800000002</v>
      </c>
      <c r="Q66" s="557">
        <f t="shared" si="49"/>
        <v>278123.11800000002</v>
      </c>
      <c r="R66" s="557">
        <f t="shared" si="49"/>
        <v>0</v>
      </c>
      <c r="S66" s="557">
        <f t="shared" si="49"/>
        <v>0</v>
      </c>
      <c r="T66" s="588">
        <f t="shared" si="1"/>
        <v>1</v>
      </c>
      <c r="U66" s="557">
        <f t="shared" ref="U66:AH66" si="50">U67+U68</f>
        <v>20551.190999999999</v>
      </c>
      <c r="V66" s="557">
        <f t="shared" si="50"/>
        <v>378</v>
      </c>
      <c r="W66" s="557">
        <f t="shared" si="50"/>
        <v>21775.882000000001</v>
      </c>
      <c r="X66" s="557">
        <f t="shared" si="50"/>
        <v>4</v>
      </c>
      <c r="Y66" s="557">
        <f t="shared" si="50"/>
        <v>1224.691000000003</v>
      </c>
      <c r="Z66" s="557">
        <f t="shared" si="50"/>
        <v>374</v>
      </c>
      <c r="AA66" s="557">
        <f t="shared" si="50"/>
        <v>20551.190999999999</v>
      </c>
      <c r="AB66" s="557">
        <f t="shared" si="50"/>
        <v>20551.190999999999</v>
      </c>
      <c r="AC66" s="557">
        <f t="shared" si="50"/>
        <v>0</v>
      </c>
      <c r="AD66" s="557">
        <f t="shared" si="50"/>
        <v>0</v>
      </c>
      <c r="AE66" s="557">
        <f t="shared" si="50"/>
        <v>20551.190999999999</v>
      </c>
      <c r="AF66" s="557">
        <f t="shared" si="50"/>
        <v>20551.190999999999</v>
      </c>
      <c r="AG66" s="557">
        <f t="shared" si="50"/>
        <v>0</v>
      </c>
      <c r="AH66" s="557">
        <f t="shared" si="50"/>
        <v>0</v>
      </c>
      <c r="AI66" s="589">
        <f t="shared" si="34"/>
        <v>1</v>
      </c>
      <c r="AL66" s="596"/>
      <c r="AM66" s="596"/>
      <c r="AN66" s="596"/>
      <c r="AO66" s="596"/>
      <c r="AP66" s="596"/>
      <c r="AQ66" s="596"/>
      <c r="AR66" s="596"/>
      <c r="AS66" s="596"/>
      <c r="AT66" s="596"/>
      <c r="AU66" s="596"/>
      <c r="AV66" s="596"/>
      <c r="AW66" s="596"/>
      <c r="AX66" s="596"/>
      <c r="AY66" s="596"/>
      <c r="AZ66" s="596"/>
      <c r="BA66" s="596"/>
      <c r="BB66" s="596"/>
      <c r="BC66" s="596"/>
      <c r="BD66" s="596"/>
      <c r="BE66" s="596"/>
      <c r="BF66" s="596"/>
      <c r="BG66" s="596"/>
      <c r="BH66" s="596"/>
      <c r="BI66" s="596"/>
      <c r="BJ66" s="596"/>
      <c r="BK66" s="596"/>
      <c r="BL66" s="596"/>
      <c r="BM66" s="596"/>
      <c r="BN66" s="596"/>
      <c r="BO66" s="596"/>
      <c r="BP66" s="596"/>
      <c r="BQ66" s="596"/>
      <c r="BR66" s="596"/>
      <c r="BS66" s="596"/>
      <c r="BT66" s="596"/>
      <c r="BU66" s="596"/>
    </row>
    <row r="67" spans="1:73" s="603" customFormat="1" ht="15">
      <c r="A67" s="1786"/>
      <c r="B67" s="1775"/>
      <c r="C67" s="558" t="str">
        <f>[6]аоб!C57</f>
        <v>СМП</v>
      </c>
      <c r="D67" s="559">
        <f t="shared" si="11"/>
        <v>348906.15500000003</v>
      </c>
      <c r="E67" s="559">
        <v>101532.6</v>
      </c>
      <c r="F67" s="559">
        <v>247373.55499999999</v>
      </c>
      <c r="G67" s="559">
        <v>5408</v>
      </c>
      <c r="H67" s="559">
        <v>367308.53700000001</v>
      </c>
      <c r="I67" s="559">
        <v>39</v>
      </c>
      <c r="J67" s="559">
        <v>18402.624000000011</v>
      </c>
      <c r="K67" s="559">
        <v>5369</v>
      </c>
      <c r="L67" s="559">
        <f>348905.913+0.242</f>
        <v>348906.15500000003</v>
      </c>
      <c r="M67" s="559">
        <f>L67</f>
        <v>348906.15500000003</v>
      </c>
      <c r="N67" s="559">
        <v>101532.6</v>
      </c>
      <c r="O67" s="559">
        <v>0</v>
      </c>
      <c r="Q67" s="559">
        <f>AL67</f>
        <v>247373.55500000002</v>
      </c>
      <c r="R67" s="559">
        <f>AL67-Q67</f>
        <v>0</v>
      </c>
      <c r="S67" s="559">
        <f>F67-Q67</f>
        <v>0</v>
      </c>
      <c r="T67" s="597">
        <f t="shared" si="1"/>
        <v>1.0000000000000002</v>
      </c>
      <c r="U67" s="559">
        <v>17868.973999999998</v>
      </c>
      <c r="V67" s="599">
        <v>258</v>
      </c>
      <c r="W67" s="599">
        <v>19088.560000000001</v>
      </c>
      <c r="X67" s="592">
        <v>4</v>
      </c>
      <c r="Y67" s="592">
        <v>1219.586000000003</v>
      </c>
      <c r="Z67" s="592">
        <v>254</v>
      </c>
      <c r="AA67" s="592">
        <v>17868.973999999998</v>
      </c>
      <c r="AB67" s="559">
        <f>AA67</f>
        <v>17868.973999999998</v>
      </c>
      <c r="AC67" s="559">
        <v>0</v>
      </c>
      <c r="AD67" s="559">
        <v>0</v>
      </c>
      <c r="AE67" s="559">
        <f>AB67-AC67-AD67</f>
        <v>17868.973999999998</v>
      </c>
      <c r="AF67" s="559">
        <f>AE67</f>
        <v>17868.973999999998</v>
      </c>
      <c r="AG67" s="559">
        <f>AE67-AF67</f>
        <v>0</v>
      </c>
      <c r="AH67" s="559">
        <f>U67-AF67</f>
        <v>0</v>
      </c>
      <c r="AI67" s="594">
        <f t="shared" si="34"/>
        <v>1</v>
      </c>
      <c r="AL67" s="598">
        <f>M67-N67-O67</f>
        <v>247373.55500000002</v>
      </c>
      <c r="AM67" s="596"/>
      <c r="AN67" s="596"/>
      <c r="AO67" s="596"/>
      <c r="AP67" s="596"/>
      <c r="AQ67" s="596"/>
      <c r="AR67" s="596"/>
      <c r="AS67" s="596"/>
      <c r="AT67" s="596"/>
      <c r="AU67" s="596"/>
      <c r="AV67" s="596"/>
      <c r="AW67" s="596"/>
      <c r="AX67" s="596"/>
      <c r="AY67" s="596"/>
      <c r="AZ67" s="596"/>
      <c r="BA67" s="596"/>
      <c r="BB67" s="596"/>
      <c r="BC67" s="596"/>
      <c r="BD67" s="596"/>
      <c r="BE67" s="596"/>
      <c r="BF67" s="596"/>
      <c r="BG67" s="596"/>
      <c r="BH67" s="596"/>
      <c r="BI67" s="596"/>
      <c r="BJ67" s="596"/>
      <c r="BK67" s="596"/>
      <c r="BL67" s="596"/>
      <c r="BM67" s="596"/>
      <c r="BN67" s="596"/>
      <c r="BO67" s="596"/>
      <c r="BP67" s="596"/>
      <c r="BQ67" s="596"/>
      <c r="BR67" s="596"/>
      <c r="BS67" s="596"/>
      <c r="BT67" s="596"/>
      <c r="BU67" s="596"/>
    </row>
    <row r="68" spans="1:73" s="603" customFormat="1" ht="15">
      <c r="A68" s="1786"/>
      <c r="B68" s="1775"/>
      <c r="C68" s="558" t="str">
        <f>[6]аоб!C58</f>
        <v>СЗП</v>
      </c>
      <c r="D68" s="559">
        <f t="shared" si="11"/>
        <v>43017.762999999999</v>
      </c>
      <c r="E68" s="559">
        <v>12268.2</v>
      </c>
      <c r="F68" s="559">
        <v>30749.562999999998</v>
      </c>
      <c r="G68" s="559">
        <v>2066</v>
      </c>
      <c r="H68" s="559">
        <v>43679.165000000001</v>
      </c>
      <c r="I68" s="559">
        <v>5</v>
      </c>
      <c r="J68" s="559">
        <v>661.5480000000025</v>
      </c>
      <c r="K68" s="559">
        <v>2061</v>
      </c>
      <c r="L68" s="559">
        <f>43017.617+0.146</f>
        <v>43017.762999999999</v>
      </c>
      <c r="M68" s="559">
        <f>L68</f>
        <v>43017.762999999999</v>
      </c>
      <c r="N68" s="559">
        <v>12268.2</v>
      </c>
      <c r="O68" s="559">
        <v>0</v>
      </c>
      <c r="P68" s="559">
        <f>M68-N68-O68</f>
        <v>30749.562999999998</v>
      </c>
      <c r="Q68" s="559">
        <f>P68</f>
        <v>30749.562999999998</v>
      </c>
      <c r="R68" s="559">
        <f>P68-Q68</f>
        <v>0</v>
      </c>
      <c r="S68" s="559">
        <f>F68-Q68</f>
        <v>0</v>
      </c>
      <c r="T68" s="597">
        <f t="shared" si="1"/>
        <v>1</v>
      </c>
      <c r="U68" s="559">
        <v>2682.2170000000001</v>
      </c>
      <c r="V68" s="599">
        <v>120</v>
      </c>
      <c r="W68" s="599">
        <v>2687.3220000000001</v>
      </c>
      <c r="X68" s="592">
        <v>0</v>
      </c>
      <c r="Y68" s="592">
        <v>5.1050000000000182</v>
      </c>
      <c r="Z68" s="592">
        <v>120</v>
      </c>
      <c r="AA68" s="592">
        <v>2682.2170000000001</v>
      </c>
      <c r="AB68" s="559">
        <f>AA68</f>
        <v>2682.2170000000001</v>
      </c>
      <c r="AC68" s="559">
        <v>0</v>
      </c>
      <c r="AD68" s="559">
        <v>0</v>
      </c>
      <c r="AE68" s="559">
        <f>AB68-AC68-AD68</f>
        <v>2682.2170000000001</v>
      </c>
      <c r="AF68" s="559">
        <f>AE68</f>
        <v>2682.2170000000001</v>
      </c>
      <c r="AG68" s="559">
        <f>AE68-AF68</f>
        <v>0</v>
      </c>
      <c r="AH68" s="559">
        <f>U68-AF68</f>
        <v>0</v>
      </c>
      <c r="AI68" s="594">
        <f t="shared" si="34"/>
        <v>1</v>
      </c>
      <c r="AL68" s="596"/>
      <c r="AM68" s="596"/>
      <c r="AN68" s="596"/>
      <c r="AO68" s="596"/>
      <c r="AP68" s="596"/>
      <c r="AQ68" s="596"/>
      <c r="AR68" s="596"/>
      <c r="AS68" s="596"/>
      <c r="AT68" s="596"/>
      <c r="AU68" s="596"/>
      <c r="AV68" s="596"/>
      <c r="AW68" s="596"/>
      <c r="AX68" s="596"/>
      <c r="AY68" s="596"/>
      <c r="AZ68" s="596"/>
      <c r="BA68" s="596"/>
      <c r="BB68" s="596"/>
      <c r="BC68" s="596"/>
      <c r="BD68" s="596"/>
      <c r="BE68" s="596"/>
      <c r="BF68" s="596"/>
      <c r="BG68" s="596"/>
      <c r="BH68" s="596"/>
      <c r="BI68" s="596"/>
      <c r="BJ68" s="596"/>
      <c r="BK68" s="596"/>
      <c r="BL68" s="596"/>
      <c r="BM68" s="596"/>
      <c r="BN68" s="596"/>
      <c r="BO68" s="596"/>
      <c r="BP68" s="596"/>
      <c r="BQ68" s="596"/>
      <c r="BR68" s="596"/>
      <c r="BS68" s="596"/>
      <c r="BT68" s="596"/>
      <c r="BU68" s="596"/>
    </row>
    <row r="69" spans="1:73" s="595" customFormat="1" ht="15">
      <c r="A69" s="1786">
        <v>19</v>
      </c>
      <c r="B69" s="1775" t="s">
        <v>1234</v>
      </c>
      <c r="C69" s="556" t="str">
        <f>[6]аоб!C59</f>
        <v>ИТОГО</v>
      </c>
      <c r="D69" s="557">
        <f t="shared" si="11"/>
        <v>239140.72700000001</v>
      </c>
      <c r="E69" s="557">
        <f t="shared" ref="E69:S69" si="51">E70+E71</f>
        <v>70099.8</v>
      </c>
      <c r="F69" s="557">
        <f t="shared" si="51"/>
        <v>169040.92700000003</v>
      </c>
      <c r="G69" s="557">
        <f t="shared" si="51"/>
        <v>4448</v>
      </c>
      <c r="H69" s="557">
        <f t="shared" si="51"/>
        <v>248103.85900000003</v>
      </c>
      <c r="I69" s="557">
        <f t="shared" si="51"/>
        <v>11</v>
      </c>
      <c r="J69" s="557">
        <f t="shared" si="51"/>
        <v>8963.3640000000232</v>
      </c>
      <c r="K69" s="557">
        <f t="shared" si="51"/>
        <v>4437</v>
      </c>
      <c r="L69" s="557">
        <f t="shared" si="51"/>
        <v>239140.72700000001</v>
      </c>
      <c r="M69" s="557">
        <f t="shared" si="51"/>
        <v>239140.72700000001</v>
      </c>
      <c r="N69" s="557">
        <f t="shared" si="51"/>
        <v>70099.8</v>
      </c>
      <c r="O69" s="557">
        <f t="shared" si="51"/>
        <v>0</v>
      </c>
      <c r="P69" s="557">
        <f>AL70+P71</f>
        <v>169040.92700000003</v>
      </c>
      <c r="Q69" s="557">
        <f t="shared" si="51"/>
        <v>169040.92700000003</v>
      </c>
      <c r="R69" s="557">
        <f t="shared" si="51"/>
        <v>0</v>
      </c>
      <c r="S69" s="557">
        <f t="shared" si="51"/>
        <v>0</v>
      </c>
      <c r="T69" s="588">
        <f t="shared" si="1"/>
        <v>1</v>
      </c>
      <c r="U69" s="557">
        <f t="shared" ref="U69:AH69" si="52">U70+U71</f>
        <v>11089.422</v>
      </c>
      <c r="V69" s="557">
        <f t="shared" si="52"/>
        <v>216</v>
      </c>
      <c r="W69" s="557">
        <f t="shared" si="52"/>
        <v>11278.038</v>
      </c>
      <c r="X69" s="557">
        <f t="shared" si="52"/>
        <v>1</v>
      </c>
      <c r="Y69" s="557">
        <f t="shared" si="52"/>
        <v>188.61599999999999</v>
      </c>
      <c r="Z69" s="557">
        <f t="shared" si="52"/>
        <v>215</v>
      </c>
      <c r="AA69" s="557">
        <f t="shared" si="52"/>
        <v>11089.422</v>
      </c>
      <c r="AB69" s="557">
        <f t="shared" si="52"/>
        <v>11089.422</v>
      </c>
      <c r="AC69" s="557">
        <f t="shared" si="52"/>
        <v>0</v>
      </c>
      <c r="AD69" s="557">
        <f t="shared" si="52"/>
        <v>0</v>
      </c>
      <c r="AE69" s="557">
        <f t="shared" si="52"/>
        <v>11089.422</v>
      </c>
      <c r="AF69" s="557">
        <f t="shared" si="52"/>
        <v>11089.422</v>
      </c>
      <c r="AG69" s="557">
        <f t="shared" si="52"/>
        <v>0</v>
      </c>
      <c r="AH69" s="557">
        <f t="shared" si="52"/>
        <v>0</v>
      </c>
      <c r="AI69" s="589">
        <f t="shared" si="34"/>
        <v>1</v>
      </c>
      <c r="AL69" s="596"/>
      <c r="AM69" s="596"/>
      <c r="AN69" s="596"/>
      <c r="AO69" s="596"/>
      <c r="AP69" s="596"/>
      <c r="AQ69" s="596"/>
      <c r="AR69" s="596"/>
      <c r="AS69" s="596"/>
      <c r="AT69" s="596"/>
      <c r="AU69" s="596"/>
      <c r="AV69" s="596"/>
      <c r="AW69" s="596"/>
      <c r="AX69" s="596"/>
      <c r="AY69" s="596"/>
      <c r="AZ69" s="596"/>
      <c r="BA69" s="596"/>
      <c r="BB69" s="596"/>
      <c r="BC69" s="596"/>
      <c r="BD69" s="596"/>
      <c r="BE69" s="596"/>
      <c r="BF69" s="596"/>
      <c r="BG69" s="596"/>
      <c r="BH69" s="596"/>
      <c r="BI69" s="596"/>
      <c r="BJ69" s="596"/>
      <c r="BK69" s="596"/>
      <c r="BL69" s="596"/>
      <c r="BM69" s="596"/>
      <c r="BN69" s="596"/>
      <c r="BO69" s="596"/>
      <c r="BP69" s="596"/>
      <c r="BQ69" s="596"/>
      <c r="BR69" s="596"/>
      <c r="BS69" s="596"/>
      <c r="BT69" s="596"/>
      <c r="BU69" s="596"/>
    </row>
    <row r="70" spans="1:73" s="603" customFormat="1" ht="15">
      <c r="A70" s="1786"/>
      <c r="B70" s="1775"/>
      <c r="C70" s="558" t="str">
        <f>[6]аоб!C60</f>
        <v>СМП</v>
      </c>
      <c r="D70" s="559">
        <f t="shared" si="11"/>
        <v>222999.64600000001</v>
      </c>
      <c r="E70" s="559">
        <v>64892.4</v>
      </c>
      <c r="F70" s="559">
        <f>158106.746+0.5</f>
        <v>158107.24600000001</v>
      </c>
      <c r="G70" s="559">
        <v>3426</v>
      </c>
      <c r="H70" s="559">
        <v>231683.43800000002</v>
      </c>
      <c r="I70" s="559">
        <v>10</v>
      </c>
      <c r="J70" s="559">
        <v>8683.9950000000244</v>
      </c>
      <c r="K70" s="559">
        <v>3416</v>
      </c>
      <c r="L70" s="559">
        <f>222999.943-0.297</f>
        <v>222999.64600000001</v>
      </c>
      <c r="M70" s="559">
        <f>L70</f>
        <v>222999.64600000001</v>
      </c>
      <c r="N70" s="559">
        <v>64892.4</v>
      </c>
      <c r="O70" s="559">
        <v>0</v>
      </c>
      <c r="Q70" s="559">
        <f>AL70</f>
        <v>158107.24600000001</v>
      </c>
      <c r="R70" s="559">
        <f>AL70-Q70</f>
        <v>0</v>
      </c>
      <c r="S70" s="559">
        <f>F70-Q70</f>
        <v>0</v>
      </c>
      <c r="T70" s="597">
        <f t="shared" si="1"/>
        <v>1</v>
      </c>
      <c r="U70" s="559">
        <v>9781.6880000000001</v>
      </c>
      <c r="V70" s="599">
        <v>138</v>
      </c>
      <c r="W70" s="599">
        <v>9970.3040000000001</v>
      </c>
      <c r="X70" s="592">
        <v>1</v>
      </c>
      <c r="Y70" s="592">
        <v>188.61599999999999</v>
      </c>
      <c r="Z70" s="592">
        <v>137</v>
      </c>
      <c r="AA70" s="592">
        <v>9781.6880000000001</v>
      </c>
      <c r="AB70" s="559">
        <f>AA70</f>
        <v>9781.6880000000001</v>
      </c>
      <c r="AC70" s="559">
        <v>0</v>
      </c>
      <c r="AD70" s="559">
        <v>0</v>
      </c>
      <c r="AE70" s="559">
        <f>AB70-AC70-AD70</f>
        <v>9781.6880000000001</v>
      </c>
      <c r="AF70" s="559">
        <f>AE70</f>
        <v>9781.6880000000001</v>
      </c>
      <c r="AG70" s="559">
        <f>AE70-AF70</f>
        <v>0</v>
      </c>
      <c r="AH70" s="559">
        <f>U70-AF70</f>
        <v>0</v>
      </c>
      <c r="AI70" s="594">
        <f t="shared" si="34"/>
        <v>1</v>
      </c>
      <c r="AL70" s="598">
        <f>M70-N70-O70</f>
        <v>158107.24600000001</v>
      </c>
      <c r="AM70" s="596"/>
      <c r="AN70" s="596"/>
      <c r="AO70" s="596"/>
      <c r="AP70" s="596"/>
      <c r="AQ70" s="596"/>
      <c r="AR70" s="596"/>
      <c r="AS70" s="596"/>
      <c r="AT70" s="596"/>
      <c r="AU70" s="596"/>
      <c r="AV70" s="596"/>
      <c r="AW70" s="596"/>
      <c r="AX70" s="596"/>
      <c r="AY70" s="596"/>
      <c r="AZ70" s="596"/>
      <c r="BA70" s="596"/>
      <c r="BB70" s="596"/>
      <c r="BC70" s="596"/>
      <c r="BD70" s="596"/>
      <c r="BE70" s="596"/>
      <c r="BF70" s="596"/>
      <c r="BG70" s="596"/>
      <c r="BH70" s="596"/>
      <c r="BI70" s="596"/>
      <c r="BJ70" s="596"/>
      <c r="BK70" s="596"/>
      <c r="BL70" s="596"/>
      <c r="BM70" s="596"/>
      <c r="BN70" s="596"/>
      <c r="BO70" s="596"/>
      <c r="BP70" s="596"/>
      <c r="BQ70" s="596"/>
      <c r="BR70" s="596"/>
      <c r="BS70" s="596"/>
      <c r="BT70" s="596"/>
      <c r="BU70" s="596"/>
    </row>
    <row r="71" spans="1:73" s="603" customFormat="1" ht="15">
      <c r="A71" s="1786"/>
      <c r="B71" s="1775"/>
      <c r="C71" s="558" t="str">
        <f>[6]аоб!C61</f>
        <v>СЗП</v>
      </c>
      <c r="D71" s="559">
        <f t="shared" si="11"/>
        <v>16141.081</v>
      </c>
      <c r="E71" s="559">
        <v>5207.3999999999996</v>
      </c>
      <c r="F71" s="559">
        <v>10933.681</v>
      </c>
      <c r="G71" s="559">
        <v>1022</v>
      </c>
      <c r="H71" s="559">
        <v>16420.420999999998</v>
      </c>
      <c r="I71" s="559">
        <v>1</v>
      </c>
      <c r="J71" s="559">
        <v>279.36899999999878</v>
      </c>
      <c r="K71" s="559">
        <v>1021</v>
      </c>
      <c r="L71" s="559">
        <f>16141.052+0.029</f>
        <v>16141.081</v>
      </c>
      <c r="M71" s="559">
        <f>L71</f>
        <v>16141.081</v>
      </c>
      <c r="N71" s="559">
        <v>5207.3999999999996</v>
      </c>
      <c r="O71" s="559">
        <v>0</v>
      </c>
      <c r="P71" s="559">
        <f>M71-N71-O71</f>
        <v>10933.681</v>
      </c>
      <c r="Q71" s="559">
        <f>P71</f>
        <v>10933.681</v>
      </c>
      <c r="R71" s="559">
        <f>P71-Q71</f>
        <v>0</v>
      </c>
      <c r="S71" s="559">
        <f>F71-Q71</f>
        <v>0</v>
      </c>
      <c r="T71" s="597">
        <f t="shared" si="1"/>
        <v>1</v>
      </c>
      <c r="U71" s="559">
        <v>1307.7339999999999</v>
      </c>
      <c r="V71" s="599">
        <v>78</v>
      </c>
      <c r="W71" s="599">
        <v>1307.7339999999999</v>
      </c>
      <c r="X71" s="592">
        <v>0</v>
      </c>
      <c r="Y71" s="592">
        <v>0</v>
      </c>
      <c r="Z71" s="592">
        <v>78</v>
      </c>
      <c r="AA71" s="592">
        <v>1307.7339999999999</v>
      </c>
      <c r="AB71" s="559">
        <f>AA71</f>
        <v>1307.7339999999999</v>
      </c>
      <c r="AC71" s="559">
        <v>0</v>
      </c>
      <c r="AD71" s="559">
        <v>0</v>
      </c>
      <c r="AE71" s="559">
        <f>AB71-AC71-AD71</f>
        <v>1307.7339999999999</v>
      </c>
      <c r="AF71" s="559">
        <f>AE71</f>
        <v>1307.7339999999999</v>
      </c>
      <c r="AG71" s="559">
        <f>AE71-AF71</f>
        <v>0</v>
      </c>
      <c r="AH71" s="559">
        <f>U71-AF71</f>
        <v>0</v>
      </c>
      <c r="AI71" s="594">
        <f t="shared" si="34"/>
        <v>1</v>
      </c>
      <c r="AL71" s="596"/>
      <c r="AM71" s="596"/>
      <c r="AN71" s="596"/>
      <c r="AO71" s="596"/>
      <c r="AP71" s="596"/>
      <c r="AQ71" s="596"/>
      <c r="AR71" s="596"/>
      <c r="AS71" s="596"/>
      <c r="AT71" s="596"/>
      <c r="AU71" s="596"/>
      <c r="AV71" s="596"/>
      <c r="AW71" s="596"/>
      <c r="AX71" s="596"/>
      <c r="AY71" s="596"/>
      <c r="AZ71" s="596"/>
      <c r="BA71" s="596"/>
      <c r="BB71" s="596"/>
      <c r="BC71" s="596"/>
      <c r="BD71" s="596"/>
      <c r="BE71" s="596"/>
      <c r="BF71" s="596"/>
      <c r="BG71" s="596"/>
      <c r="BH71" s="596"/>
      <c r="BI71" s="596"/>
      <c r="BJ71" s="596"/>
      <c r="BK71" s="596"/>
      <c r="BL71" s="596"/>
      <c r="BM71" s="596"/>
      <c r="BN71" s="596"/>
      <c r="BO71" s="596"/>
      <c r="BP71" s="596"/>
      <c r="BQ71" s="596"/>
      <c r="BR71" s="596"/>
      <c r="BS71" s="596"/>
      <c r="BT71" s="596"/>
      <c r="BU71" s="596"/>
    </row>
    <row r="72" spans="1:73" s="595" customFormat="1" ht="15">
      <c r="A72" s="1786">
        <v>20</v>
      </c>
      <c r="B72" s="1775" t="s">
        <v>1235</v>
      </c>
      <c r="C72" s="556" t="str">
        <f>[6]аоб!C62</f>
        <v>ИТОГО</v>
      </c>
      <c r="D72" s="557">
        <f t="shared" si="11"/>
        <v>422746.62</v>
      </c>
      <c r="E72" s="557">
        <f t="shared" ref="E72:S72" si="53">E73+E74</f>
        <v>133049.4</v>
      </c>
      <c r="F72" s="557">
        <f t="shared" si="53"/>
        <v>289697.21999999997</v>
      </c>
      <c r="G72" s="557">
        <f t="shared" si="53"/>
        <v>7226</v>
      </c>
      <c r="H72" s="557">
        <f t="shared" si="53"/>
        <v>442463.21199999994</v>
      </c>
      <c r="I72" s="557">
        <f t="shared" si="53"/>
        <v>89</v>
      </c>
      <c r="J72" s="557">
        <f t="shared" si="53"/>
        <v>19716.186999999987</v>
      </c>
      <c r="K72" s="557">
        <f t="shared" si="53"/>
        <v>7137</v>
      </c>
      <c r="L72" s="557">
        <f t="shared" si="53"/>
        <v>422746.62</v>
      </c>
      <c r="M72" s="557">
        <f t="shared" si="53"/>
        <v>422746.62</v>
      </c>
      <c r="N72" s="557">
        <f t="shared" si="53"/>
        <v>133049.4</v>
      </c>
      <c r="O72" s="557">
        <f t="shared" si="53"/>
        <v>0</v>
      </c>
      <c r="P72" s="557">
        <f>AL73+P74</f>
        <v>289697.21999999997</v>
      </c>
      <c r="Q72" s="557">
        <f t="shared" si="53"/>
        <v>289697.21999999997</v>
      </c>
      <c r="R72" s="557">
        <f t="shared" si="53"/>
        <v>0</v>
      </c>
      <c r="S72" s="557">
        <f t="shared" si="53"/>
        <v>5.4569682106375694E-12</v>
      </c>
      <c r="T72" s="588">
        <f t="shared" si="1"/>
        <v>1</v>
      </c>
      <c r="U72" s="557">
        <f t="shared" ref="U72:AH72" si="54">U73+U74</f>
        <v>20401.384999999998</v>
      </c>
      <c r="V72" s="557">
        <f t="shared" si="54"/>
        <v>308</v>
      </c>
      <c r="W72" s="557">
        <f t="shared" si="54"/>
        <v>21153.593000000001</v>
      </c>
      <c r="X72" s="557">
        <f t="shared" si="54"/>
        <v>3</v>
      </c>
      <c r="Y72" s="557">
        <f t="shared" si="54"/>
        <v>752.20800000000236</v>
      </c>
      <c r="Z72" s="557">
        <f t="shared" si="54"/>
        <v>305</v>
      </c>
      <c r="AA72" s="557">
        <f t="shared" si="54"/>
        <v>20401.384999999998</v>
      </c>
      <c r="AB72" s="557">
        <f t="shared" si="54"/>
        <v>20401.384999999998</v>
      </c>
      <c r="AC72" s="557">
        <f t="shared" si="54"/>
        <v>0</v>
      </c>
      <c r="AD72" s="557">
        <f t="shared" si="54"/>
        <v>0</v>
      </c>
      <c r="AE72" s="557">
        <f t="shared" si="54"/>
        <v>20401.384999999998</v>
      </c>
      <c r="AF72" s="557">
        <f t="shared" si="54"/>
        <v>20401.384999999998</v>
      </c>
      <c r="AG72" s="557">
        <f t="shared" si="54"/>
        <v>0</v>
      </c>
      <c r="AH72" s="557">
        <f t="shared" si="54"/>
        <v>0</v>
      </c>
      <c r="AI72" s="589">
        <f t="shared" si="34"/>
        <v>1</v>
      </c>
      <c r="AL72" s="596"/>
      <c r="AM72" s="596"/>
      <c r="AN72" s="596"/>
      <c r="AO72" s="596"/>
      <c r="AP72" s="596"/>
      <c r="AQ72" s="596"/>
      <c r="AR72" s="596"/>
      <c r="AS72" s="596"/>
      <c r="AT72" s="596"/>
      <c r="AU72" s="596"/>
      <c r="AV72" s="596"/>
      <c r="AW72" s="596"/>
      <c r="AX72" s="596"/>
      <c r="AY72" s="596"/>
      <c r="AZ72" s="596"/>
      <c r="BA72" s="596"/>
      <c r="BB72" s="596"/>
      <c r="BC72" s="596"/>
      <c r="BD72" s="596"/>
      <c r="BE72" s="596"/>
      <c r="BF72" s="596"/>
      <c r="BG72" s="596"/>
      <c r="BH72" s="596"/>
      <c r="BI72" s="596"/>
      <c r="BJ72" s="596"/>
      <c r="BK72" s="596"/>
      <c r="BL72" s="596"/>
      <c r="BM72" s="596"/>
      <c r="BN72" s="596"/>
      <c r="BO72" s="596"/>
      <c r="BP72" s="596"/>
      <c r="BQ72" s="596"/>
      <c r="BR72" s="596"/>
      <c r="BS72" s="596"/>
      <c r="BT72" s="596"/>
      <c r="BU72" s="596"/>
    </row>
    <row r="73" spans="1:73" s="603" customFormat="1" ht="15">
      <c r="A73" s="1786"/>
      <c r="B73" s="1775"/>
      <c r="C73" s="558" t="str">
        <f>[6]аоб!C63</f>
        <v>СМП</v>
      </c>
      <c r="D73" s="559">
        <f t="shared" si="11"/>
        <v>416916.609</v>
      </c>
      <c r="E73" s="559">
        <v>131056.2</v>
      </c>
      <c r="F73" s="559">
        <v>285860.40899999999</v>
      </c>
      <c r="G73" s="559">
        <v>6951</v>
      </c>
      <c r="H73" s="559">
        <v>438735.35799999995</v>
      </c>
      <c r="I73" s="559">
        <v>88</v>
      </c>
      <c r="J73" s="559">
        <v>19654.799999999988</v>
      </c>
      <c r="K73" s="559">
        <v>6863</v>
      </c>
      <c r="L73" s="559">
        <f>419080.558-0.405</f>
        <v>419080.15299999999</v>
      </c>
      <c r="M73" s="559">
        <f>L73</f>
        <v>419080.15299999999</v>
      </c>
      <c r="N73" s="559">
        <v>131056.2</v>
      </c>
      <c r="O73" s="559">
        <v>0</v>
      </c>
      <c r="Q73" s="559">
        <f>AL73</f>
        <v>288023.95299999998</v>
      </c>
      <c r="R73" s="559">
        <f>AL73-Q73</f>
        <v>0</v>
      </c>
      <c r="S73" s="559">
        <f>F73-Q73</f>
        <v>-2163.5439999999944</v>
      </c>
      <c r="T73" s="597">
        <f t="shared" si="1"/>
        <v>1.0075685332137057</v>
      </c>
      <c r="U73" s="559">
        <v>20321.794999999998</v>
      </c>
      <c r="V73" s="599">
        <v>303</v>
      </c>
      <c r="W73" s="599">
        <v>21074.003000000001</v>
      </c>
      <c r="X73" s="592">
        <v>3</v>
      </c>
      <c r="Y73" s="592">
        <v>752.20800000000236</v>
      </c>
      <c r="Z73" s="592">
        <v>300</v>
      </c>
      <c r="AA73" s="592">
        <v>20321.794999999998</v>
      </c>
      <c r="AB73" s="559">
        <f>AA73</f>
        <v>20321.794999999998</v>
      </c>
      <c r="AC73" s="559">
        <v>0</v>
      </c>
      <c r="AD73" s="559">
        <v>0</v>
      </c>
      <c r="AE73" s="559">
        <f>AB73-AC73-AD73</f>
        <v>20321.794999999998</v>
      </c>
      <c r="AF73" s="559">
        <f>AE73</f>
        <v>20321.794999999998</v>
      </c>
      <c r="AG73" s="559">
        <f>AE73-AF73</f>
        <v>0</v>
      </c>
      <c r="AH73" s="559">
        <f>U73-AF73</f>
        <v>0</v>
      </c>
      <c r="AI73" s="594">
        <f t="shared" si="34"/>
        <v>1</v>
      </c>
      <c r="AL73" s="598">
        <f>M73-N73-O73</f>
        <v>288023.95299999998</v>
      </c>
      <c r="AM73" s="596"/>
      <c r="AN73" s="596"/>
      <c r="AO73" s="596"/>
      <c r="AP73" s="596"/>
      <c r="AQ73" s="596"/>
      <c r="AR73" s="596"/>
      <c r="AS73" s="596"/>
      <c r="AT73" s="596"/>
      <c r="AU73" s="596"/>
      <c r="AV73" s="596"/>
      <c r="AW73" s="596"/>
      <c r="AX73" s="596"/>
      <c r="AY73" s="596"/>
      <c r="AZ73" s="596"/>
      <c r="BA73" s="596"/>
      <c r="BB73" s="596"/>
      <c r="BC73" s="596"/>
      <c r="BD73" s="596"/>
      <c r="BE73" s="596"/>
      <c r="BF73" s="596"/>
      <c r="BG73" s="596"/>
      <c r="BH73" s="596"/>
      <c r="BI73" s="596"/>
      <c r="BJ73" s="596"/>
      <c r="BK73" s="596"/>
      <c r="BL73" s="596"/>
      <c r="BM73" s="596"/>
      <c r="BN73" s="596"/>
      <c r="BO73" s="596"/>
      <c r="BP73" s="596"/>
      <c r="BQ73" s="596"/>
      <c r="BR73" s="596"/>
      <c r="BS73" s="596"/>
      <c r="BT73" s="596"/>
      <c r="BU73" s="596"/>
    </row>
    <row r="74" spans="1:73" s="603" customFormat="1" ht="15">
      <c r="A74" s="1786"/>
      <c r="B74" s="1775"/>
      <c r="C74" s="558" t="str">
        <f>[6]аоб!C64</f>
        <v>СЗП</v>
      </c>
      <c r="D74" s="559">
        <f t="shared" si="11"/>
        <v>5830.0109999999995</v>
      </c>
      <c r="E74" s="559">
        <v>1993.2</v>
      </c>
      <c r="F74" s="559">
        <v>3836.8109999999997</v>
      </c>
      <c r="G74" s="559">
        <v>275</v>
      </c>
      <c r="H74" s="559">
        <v>3727.8540000000003</v>
      </c>
      <c r="I74" s="559">
        <v>1</v>
      </c>
      <c r="J74" s="559">
        <v>61.387000000000171</v>
      </c>
      <c r="K74" s="559">
        <v>274</v>
      </c>
      <c r="L74" s="559">
        <v>3666.4670000000001</v>
      </c>
      <c r="M74" s="559">
        <f>L74</f>
        <v>3666.4670000000001</v>
      </c>
      <c r="N74" s="559">
        <v>1993.2</v>
      </c>
      <c r="O74" s="559">
        <v>0</v>
      </c>
      <c r="P74" s="559">
        <f>M74-N74-O74</f>
        <v>1673.2670000000001</v>
      </c>
      <c r="Q74" s="559">
        <f>P74</f>
        <v>1673.2670000000001</v>
      </c>
      <c r="R74" s="559">
        <f>P74-Q74</f>
        <v>0</v>
      </c>
      <c r="S74" s="559">
        <f>F74-Q74</f>
        <v>2163.5439999999999</v>
      </c>
      <c r="T74" s="597">
        <f t="shared" si="1"/>
        <v>0.43610878930445107</v>
      </c>
      <c r="U74" s="559">
        <v>79.59</v>
      </c>
      <c r="V74" s="599">
        <v>5</v>
      </c>
      <c r="W74" s="599">
        <v>79.59</v>
      </c>
      <c r="X74" s="592">
        <v>0</v>
      </c>
      <c r="Y74" s="592">
        <v>0</v>
      </c>
      <c r="Z74" s="592">
        <v>5</v>
      </c>
      <c r="AA74" s="592">
        <v>79.59</v>
      </c>
      <c r="AB74" s="559">
        <f>AA74</f>
        <v>79.59</v>
      </c>
      <c r="AC74" s="559">
        <v>0</v>
      </c>
      <c r="AD74" s="559">
        <v>0</v>
      </c>
      <c r="AE74" s="559">
        <f>AB74-AC74-AD74</f>
        <v>79.59</v>
      </c>
      <c r="AF74" s="559">
        <f>AE74</f>
        <v>79.59</v>
      </c>
      <c r="AG74" s="559">
        <f>AE74-AF74</f>
        <v>0</v>
      </c>
      <c r="AH74" s="559">
        <f>U74-AF74</f>
        <v>0</v>
      </c>
      <c r="AI74" s="594">
        <f t="shared" si="34"/>
        <v>1</v>
      </c>
      <c r="AL74" s="596"/>
      <c r="AM74" s="596"/>
      <c r="AN74" s="596"/>
      <c r="AO74" s="596"/>
      <c r="AP74" s="596"/>
      <c r="AQ74" s="596"/>
      <c r="AR74" s="596"/>
      <c r="AS74" s="596"/>
      <c r="AT74" s="596"/>
      <c r="AU74" s="596"/>
      <c r="AV74" s="596"/>
      <c r="AW74" s="596"/>
      <c r="AX74" s="596"/>
      <c r="AY74" s="596"/>
      <c r="AZ74" s="596"/>
      <c r="BA74" s="596"/>
      <c r="BB74" s="596"/>
      <c r="BC74" s="596"/>
      <c r="BD74" s="596"/>
      <c r="BE74" s="596"/>
      <c r="BF74" s="596"/>
      <c r="BG74" s="596"/>
      <c r="BH74" s="596"/>
      <c r="BI74" s="596"/>
      <c r="BJ74" s="596"/>
      <c r="BK74" s="596"/>
      <c r="BL74" s="596"/>
      <c r="BM74" s="596"/>
      <c r="BN74" s="596"/>
      <c r="BO74" s="596"/>
      <c r="BP74" s="596"/>
      <c r="BQ74" s="596"/>
      <c r="BR74" s="596"/>
      <c r="BS74" s="596"/>
      <c r="BT74" s="596"/>
      <c r="BU74" s="596"/>
    </row>
    <row r="75" spans="1:73" s="595" customFormat="1" ht="15">
      <c r="A75" s="1786">
        <v>21</v>
      </c>
      <c r="B75" s="1775" t="s">
        <v>1236</v>
      </c>
      <c r="C75" s="556" t="str">
        <f>[6]аоб!C65</f>
        <v>ИТОГО</v>
      </c>
      <c r="D75" s="557">
        <f t="shared" si="11"/>
        <v>23406.686999999998</v>
      </c>
      <c r="E75" s="557">
        <f t="shared" ref="E75:S75" si="55">E76</f>
        <v>7012.8</v>
      </c>
      <c r="F75" s="557">
        <f t="shared" si="55"/>
        <v>16393.886999999999</v>
      </c>
      <c r="G75" s="557">
        <f t="shared" si="55"/>
        <v>1373</v>
      </c>
      <c r="H75" s="557">
        <f t="shared" si="55"/>
        <v>24895.59</v>
      </c>
      <c r="I75" s="557">
        <f t="shared" si="55"/>
        <v>40</v>
      </c>
      <c r="J75" s="557">
        <f t="shared" si="55"/>
        <v>1489.0810000000019</v>
      </c>
      <c r="K75" s="557">
        <f t="shared" si="55"/>
        <v>1333</v>
      </c>
      <c r="L75" s="557">
        <f t="shared" si="55"/>
        <v>23406.686999999998</v>
      </c>
      <c r="M75" s="557">
        <f t="shared" si="55"/>
        <v>23406.686999999998</v>
      </c>
      <c r="N75" s="557">
        <f t="shared" si="55"/>
        <v>7012.8</v>
      </c>
      <c r="O75" s="557">
        <f t="shared" si="55"/>
        <v>0</v>
      </c>
      <c r="P75" s="557">
        <f t="shared" si="55"/>
        <v>16393.886999999999</v>
      </c>
      <c r="Q75" s="557">
        <f t="shared" si="55"/>
        <v>16393.886999999999</v>
      </c>
      <c r="R75" s="557">
        <f t="shared" si="55"/>
        <v>0</v>
      </c>
      <c r="S75" s="557">
        <f t="shared" si="55"/>
        <v>0</v>
      </c>
      <c r="T75" s="588">
        <f t="shared" si="1"/>
        <v>1</v>
      </c>
      <c r="U75" s="557">
        <f t="shared" ref="U75:AH75" si="56">U76</f>
        <v>1408.663</v>
      </c>
      <c r="V75" s="557">
        <f t="shared" si="56"/>
        <v>74</v>
      </c>
      <c r="W75" s="557">
        <f t="shared" si="56"/>
        <v>1408.663</v>
      </c>
      <c r="X75" s="557">
        <f t="shared" si="56"/>
        <v>0</v>
      </c>
      <c r="Y75" s="557">
        <f t="shared" si="56"/>
        <v>0</v>
      </c>
      <c r="Z75" s="557">
        <f t="shared" si="56"/>
        <v>74</v>
      </c>
      <c r="AA75" s="557">
        <f t="shared" si="56"/>
        <v>1408.663</v>
      </c>
      <c r="AB75" s="557">
        <f t="shared" si="56"/>
        <v>1408.663</v>
      </c>
      <c r="AC75" s="557">
        <f t="shared" si="56"/>
        <v>0</v>
      </c>
      <c r="AD75" s="557">
        <f t="shared" si="56"/>
        <v>0</v>
      </c>
      <c r="AE75" s="557">
        <f t="shared" si="56"/>
        <v>1408.663</v>
      </c>
      <c r="AF75" s="557">
        <f t="shared" si="56"/>
        <v>1408.663</v>
      </c>
      <c r="AG75" s="557">
        <f t="shared" si="56"/>
        <v>0</v>
      </c>
      <c r="AH75" s="557">
        <f t="shared" si="56"/>
        <v>0</v>
      </c>
      <c r="AI75" s="589">
        <f t="shared" si="34"/>
        <v>1</v>
      </c>
      <c r="AL75" s="596"/>
      <c r="AM75" s="596"/>
      <c r="AN75" s="596"/>
      <c r="AO75" s="596"/>
      <c r="AP75" s="596"/>
      <c r="AQ75" s="596"/>
      <c r="AR75" s="596"/>
      <c r="AS75" s="596"/>
      <c r="AT75" s="596"/>
      <c r="AU75" s="596"/>
      <c r="AV75" s="596"/>
      <c r="AW75" s="596"/>
      <c r="AX75" s="596"/>
      <c r="AY75" s="596"/>
      <c r="AZ75" s="596"/>
      <c r="BA75" s="596"/>
      <c r="BB75" s="596"/>
      <c r="BC75" s="596"/>
      <c r="BD75" s="596"/>
      <c r="BE75" s="596"/>
      <c r="BF75" s="596"/>
      <c r="BG75" s="596"/>
      <c r="BH75" s="596"/>
      <c r="BI75" s="596"/>
      <c r="BJ75" s="596"/>
      <c r="BK75" s="596"/>
      <c r="BL75" s="596"/>
      <c r="BM75" s="596"/>
      <c r="BN75" s="596"/>
      <c r="BO75" s="596"/>
      <c r="BP75" s="596"/>
      <c r="BQ75" s="596"/>
      <c r="BR75" s="596"/>
      <c r="BS75" s="596"/>
      <c r="BT75" s="596"/>
      <c r="BU75" s="596"/>
    </row>
    <row r="76" spans="1:73" s="603" customFormat="1" ht="15">
      <c r="A76" s="1786"/>
      <c r="B76" s="1775"/>
      <c r="C76" s="558" t="str">
        <f>[6]аоб!C66</f>
        <v>СЗП</v>
      </c>
      <c r="D76" s="559">
        <f t="shared" si="11"/>
        <v>23406.686999999998</v>
      </c>
      <c r="E76" s="559">
        <v>7012.8</v>
      </c>
      <c r="F76" s="559">
        <v>16393.886999999999</v>
      </c>
      <c r="G76" s="559">
        <v>1373</v>
      </c>
      <c r="H76" s="559">
        <v>24895.59</v>
      </c>
      <c r="I76" s="559">
        <v>40</v>
      </c>
      <c r="J76" s="559">
        <v>1489.0810000000019</v>
      </c>
      <c r="K76" s="559">
        <v>1333</v>
      </c>
      <c r="L76" s="559">
        <f>23406.509+0.178</f>
        <v>23406.686999999998</v>
      </c>
      <c r="M76" s="559">
        <f>L76</f>
        <v>23406.686999999998</v>
      </c>
      <c r="N76" s="559">
        <v>7012.8</v>
      </c>
      <c r="O76" s="559">
        <v>0</v>
      </c>
      <c r="P76" s="559">
        <f>M76-N76-O76</f>
        <v>16393.886999999999</v>
      </c>
      <c r="Q76" s="559">
        <f>P76</f>
        <v>16393.886999999999</v>
      </c>
      <c r="R76" s="559">
        <f>P76-Q76</f>
        <v>0</v>
      </c>
      <c r="S76" s="559">
        <f>F76-Q76</f>
        <v>0</v>
      </c>
      <c r="T76" s="597">
        <f t="shared" si="1"/>
        <v>1</v>
      </c>
      <c r="U76" s="559">
        <v>1408.663</v>
      </c>
      <c r="V76" s="599">
        <v>74</v>
      </c>
      <c r="W76" s="599">
        <v>1408.663</v>
      </c>
      <c r="X76" s="592">
        <v>0</v>
      </c>
      <c r="Y76" s="592">
        <v>0</v>
      </c>
      <c r="Z76" s="599">
        <v>74</v>
      </c>
      <c r="AA76" s="599">
        <v>1408.663</v>
      </c>
      <c r="AB76" s="559">
        <f>AA76</f>
        <v>1408.663</v>
      </c>
      <c r="AC76" s="559">
        <v>0</v>
      </c>
      <c r="AD76" s="559">
        <v>0</v>
      </c>
      <c r="AE76" s="559">
        <f>AB76-AC76-AD76</f>
        <v>1408.663</v>
      </c>
      <c r="AF76" s="559">
        <f>AE76</f>
        <v>1408.663</v>
      </c>
      <c r="AG76" s="559">
        <f>AE76-AF76</f>
        <v>0</v>
      </c>
      <c r="AH76" s="559">
        <f>U76-AF76</f>
        <v>0</v>
      </c>
      <c r="AI76" s="594">
        <f t="shared" si="34"/>
        <v>1</v>
      </c>
      <c r="AL76" s="596"/>
      <c r="AM76" s="596"/>
      <c r="AN76" s="596"/>
      <c r="AO76" s="596"/>
      <c r="AP76" s="596"/>
      <c r="AQ76" s="596"/>
      <c r="AR76" s="596"/>
      <c r="AS76" s="596"/>
      <c r="AT76" s="596"/>
      <c r="AU76" s="596"/>
      <c r="AV76" s="596"/>
      <c r="AW76" s="596"/>
      <c r="AX76" s="596"/>
      <c r="AY76" s="596"/>
      <c r="AZ76" s="596"/>
      <c r="BA76" s="596"/>
      <c r="BB76" s="596"/>
      <c r="BC76" s="596"/>
      <c r="BD76" s="596"/>
      <c r="BE76" s="596"/>
      <c r="BF76" s="596"/>
      <c r="BG76" s="596"/>
      <c r="BH76" s="596"/>
      <c r="BI76" s="596"/>
      <c r="BJ76" s="596"/>
      <c r="BK76" s="596"/>
      <c r="BL76" s="596"/>
      <c r="BM76" s="596"/>
      <c r="BN76" s="596"/>
      <c r="BO76" s="596"/>
      <c r="BP76" s="596"/>
      <c r="BQ76" s="596"/>
      <c r="BR76" s="596"/>
      <c r="BS76" s="596"/>
      <c r="BT76" s="596"/>
      <c r="BU76" s="596"/>
    </row>
    <row r="77" spans="1:73" s="595" customFormat="1" ht="15">
      <c r="A77" s="1786">
        <v>22</v>
      </c>
      <c r="B77" s="1775" t="s">
        <v>1237</v>
      </c>
      <c r="C77" s="556" t="str">
        <f>[6]аоб!C67</f>
        <v>ИТОГО</v>
      </c>
      <c r="D77" s="557">
        <f t="shared" si="11"/>
        <v>77902.680000000008</v>
      </c>
      <c r="E77" s="557">
        <f t="shared" ref="E77:S77" si="57">E78+E79</f>
        <v>23233.8</v>
      </c>
      <c r="F77" s="557">
        <f t="shared" si="57"/>
        <v>54668.880000000005</v>
      </c>
      <c r="G77" s="557">
        <f t="shared" si="57"/>
        <v>1770</v>
      </c>
      <c r="H77" s="557">
        <f t="shared" si="57"/>
        <v>79799.35500000001</v>
      </c>
      <c r="I77" s="557">
        <f t="shared" si="57"/>
        <v>4</v>
      </c>
      <c r="J77" s="557">
        <f t="shared" si="57"/>
        <v>1897.1489999999994</v>
      </c>
      <c r="K77" s="557">
        <f t="shared" si="57"/>
        <v>1766</v>
      </c>
      <c r="L77" s="557">
        <f t="shared" si="57"/>
        <v>77902.679999999993</v>
      </c>
      <c r="M77" s="557">
        <f t="shared" si="57"/>
        <v>77902.679999999993</v>
      </c>
      <c r="N77" s="557">
        <f t="shared" si="57"/>
        <v>23233.8</v>
      </c>
      <c r="O77" s="557">
        <f t="shared" si="57"/>
        <v>0</v>
      </c>
      <c r="P77" s="557">
        <f>AL78+P79</f>
        <v>54668.88</v>
      </c>
      <c r="Q77" s="557">
        <f t="shared" si="57"/>
        <v>54668.88</v>
      </c>
      <c r="R77" s="557">
        <f t="shared" si="57"/>
        <v>0</v>
      </c>
      <c r="S77" s="557">
        <f t="shared" si="57"/>
        <v>0</v>
      </c>
      <c r="T77" s="588">
        <f t="shared" ref="T77:T112" si="58">(O77+Q77)/F77</f>
        <v>0.99999999999999989</v>
      </c>
      <c r="U77" s="557">
        <f t="shared" ref="U77:AH77" si="59">U78+U79</f>
        <v>3603.3199999999997</v>
      </c>
      <c r="V77" s="557">
        <f t="shared" si="59"/>
        <v>71</v>
      </c>
      <c r="W77" s="557">
        <f t="shared" si="59"/>
        <v>3645.6099999999997</v>
      </c>
      <c r="X77" s="557">
        <f t="shared" si="59"/>
        <v>0</v>
      </c>
      <c r="Y77" s="557">
        <f t="shared" si="59"/>
        <v>42.289999999999964</v>
      </c>
      <c r="Z77" s="557">
        <f t="shared" si="59"/>
        <v>71</v>
      </c>
      <c r="AA77" s="557">
        <f t="shared" si="59"/>
        <v>3603.3199999999997</v>
      </c>
      <c r="AB77" s="557">
        <f t="shared" si="59"/>
        <v>3603.3199999999997</v>
      </c>
      <c r="AC77" s="557">
        <f t="shared" si="59"/>
        <v>0</v>
      </c>
      <c r="AD77" s="557">
        <f t="shared" si="59"/>
        <v>0</v>
      </c>
      <c r="AE77" s="557">
        <f t="shared" si="59"/>
        <v>3603.3199999999997</v>
      </c>
      <c r="AF77" s="557">
        <f t="shared" si="59"/>
        <v>3603.3199999999997</v>
      </c>
      <c r="AG77" s="557">
        <f t="shared" si="59"/>
        <v>0</v>
      </c>
      <c r="AH77" s="557">
        <f t="shared" si="59"/>
        <v>0</v>
      </c>
      <c r="AI77" s="589">
        <f t="shared" si="34"/>
        <v>1</v>
      </c>
      <c r="AL77" s="596"/>
      <c r="AM77" s="596"/>
      <c r="AN77" s="596"/>
      <c r="AO77" s="596"/>
      <c r="AP77" s="596"/>
      <c r="AQ77" s="596"/>
      <c r="AR77" s="596"/>
      <c r="AS77" s="596"/>
      <c r="AT77" s="596"/>
      <c r="AU77" s="596"/>
      <c r="AV77" s="596"/>
      <c r="AW77" s="596"/>
      <c r="AX77" s="596"/>
      <c r="AY77" s="596"/>
      <c r="AZ77" s="596"/>
      <c r="BA77" s="596"/>
      <c r="BB77" s="596"/>
      <c r="BC77" s="596"/>
      <c r="BD77" s="596"/>
      <c r="BE77" s="596"/>
      <c r="BF77" s="596"/>
      <c r="BG77" s="596"/>
      <c r="BH77" s="596"/>
      <c r="BI77" s="596"/>
      <c r="BJ77" s="596"/>
      <c r="BK77" s="596"/>
      <c r="BL77" s="596"/>
      <c r="BM77" s="596"/>
      <c r="BN77" s="596"/>
      <c r="BO77" s="596"/>
      <c r="BP77" s="596"/>
      <c r="BQ77" s="596"/>
      <c r="BR77" s="596"/>
      <c r="BS77" s="596"/>
      <c r="BT77" s="596"/>
      <c r="BU77" s="596"/>
    </row>
    <row r="78" spans="1:73" s="603" customFormat="1" ht="15">
      <c r="A78" s="1786"/>
      <c r="B78" s="1775"/>
      <c r="C78" s="558" t="str">
        <f>[6]аоб!C68</f>
        <v>СМП</v>
      </c>
      <c r="D78" s="559">
        <f t="shared" si="11"/>
        <v>67615.981</v>
      </c>
      <c r="E78" s="559">
        <v>20019.599999999999</v>
      </c>
      <c r="F78" s="559">
        <v>47596.381000000008</v>
      </c>
      <c r="G78" s="559">
        <v>1065</v>
      </c>
      <c r="H78" s="559">
        <v>69281.078000000009</v>
      </c>
      <c r="I78" s="559">
        <v>4</v>
      </c>
      <c r="J78" s="559">
        <v>1665.226999999999</v>
      </c>
      <c r="K78" s="559">
        <v>1061</v>
      </c>
      <c r="L78" s="559">
        <f>67616.351-0.37</f>
        <v>67615.981</v>
      </c>
      <c r="M78" s="559">
        <f>L78</f>
        <v>67615.981</v>
      </c>
      <c r="N78" s="559">
        <v>20019.599999999999</v>
      </c>
      <c r="O78" s="559">
        <v>0</v>
      </c>
      <c r="Q78" s="559">
        <f>AL78</f>
        <v>47596.381000000001</v>
      </c>
      <c r="R78" s="559">
        <f>AL78-Q78</f>
        <v>0</v>
      </c>
      <c r="S78" s="559">
        <f>F78-Q78</f>
        <v>0</v>
      </c>
      <c r="T78" s="597">
        <f t="shared" si="58"/>
        <v>0.99999999999999989</v>
      </c>
      <c r="U78" s="559">
        <v>3184.9879999999998</v>
      </c>
      <c r="V78" s="592">
        <v>45</v>
      </c>
      <c r="W78" s="592">
        <v>3227.2779999999998</v>
      </c>
      <c r="X78" s="592">
        <v>0</v>
      </c>
      <c r="Y78" s="592">
        <v>42.289999999999964</v>
      </c>
      <c r="Z78" s="592">
        <v>45</v>
      </c>
      <c r="AA78" s="592">
        <v>3184.9879999999998</v>
      </c>
      <c r="AB78" s="559">
        <f>AA78</f>
        <v>3184.9879999999998</v>
      </c>
      <c r="AC78" s="559">
        <v>0</v>
      </c>
      <c r="AD78" s="559">
        <v>0</v>
      </c>
      <c r="AE78" s="559">
        <f>AB78-AC78-AD78</f>
        <v>3184.9879999999998</v>
      </c>
      <c r="AF78" s="559">
        <f>AE78</f>
        <v>3184.9879999999998</v>
      </c>
      <c r="AG78" s="559">
        <f>AE78-AF78</f>
        <v>0</v>
      </c>
      <c r="AH78" s="559">
        <f>U78-AF78</f>
        <v>0</v>
      </c>
      <c r="AI78" s="594">
        <f t="shared" si="34"/>
        <v>1</v>
      </c>
      <c r="AL78" s="598">
        <f>M78-N78-O78</f>
        <v>47596.381000000001</v>
      </c>
      <c r="AM78" s="596"/>
      <c r="AN78" s="596"/>
      <c r="AO78" s="596"/>
      <c r="AP78" s="596"/>
      <c r="AQ78" s="596"/>
      <c r="AR78" s="596"/>
      <c r="AS78" s="596"/>
      <c r="AT78" s="596"/>
      <c r="AU78" s="596"/>
      <c r="AV78" s="596"/>
      <c r="AW78" s="596"/>
      <c r="AX78" s="596"/>
      <c r="AY78" s="596"/>
      <c r="AZ78" s="596"/>
      <c r="BA78" s="596"/>
      <c r="BB78" s="596"/>
      <c r="BC78" s="596"/>
      <c r="BD78" s="596"/>
      <c r="BE78" s="596"/>
      <c r="BF78" s="596"/>
      <c r="BG78" s="596"/>
      <c r="BH78" s="596"/>
      <c r="BI78" s="596"/>
      <c r="BJ78" s="596"/>
      <c r="BK78" s="596"/>
      <c r="BL78" s="596"/>
      <c r="BM78" s="596"/>
      <c r="BN78" s="596"/>
      <c r="BO78" s="596"/>
      <c r="BP78" s="596"/>
      <c r="BQ78" s="596"/>
      <c r="BR78" s="596"/>
      <c r="BS78" s="596"/>
      <c r="BT78" s="596"/>
      <c r="BU78" s="596"/>
    </row>
    <row r="79" spans="1:73" s="603" customFormat="1" ht="15">
      <c r="A79" s="1786"/>
      <c r="B79" s="1775"/>
      <c r="C79" s="558" t="str">
        <f>[6]аоб!C69</f>
        <v>СЗП</v>
      </c>
      <c r="D79" s="559">
        <f t="shared" si="11"/>
        <v>10286.699000000001</v>
      </c>
      <c r="E79" s="559">
        <v>3214.2</v>
      </c>
      <c r="F79" s="559">
        <v>7072.4989999999998</v>
      </c>
      <c r="G79" s="559">
        <v>705</v>
      </c>
      <c r="H79" s="559">
        <v>10518.277</v>
      </c>
      <c r="I79" s="559">
        <v>0</v>
      </c>
      <c r="J79" s="559">
        <v>231.92200000000048</v>
      </c>
      <c r="K79" s="559">
        <v>705</v>
      </c>
      <c r="L79" s="559">
        <f>10286.355+0.344</f>
        <v>10286.698999999999</v>
      </c>
      <c r="M79" s="559">
        <f>L79</f>
        <v>10286.698999999999</v>
      </c>
      <c r="N79" s="559">
        <v>3214.2</v>
      </c>
      <c r="O79" s="559">
        <v>0</v>
      </c>
      <c r="P79" s="559">
        <f>M79-N79-O79</f>
        <v>7072.4989999999989</v>
      </c>
      <c r="Q79" s="559">
        <f>P79</f>
        <v>7072.4989999999989</v>
      </c>
      <c r="R79" s="559">
        <f>P79-Q79</f>
        <v>0</v>
      </c>
      <c r="S79" s="559">
        <f>F79-Q79</f>
        <v>0</v>
      </c>
      <c r="T79" s="597">
        <f t="shared" si="58"/>
        <v>0.99999999999999989</v>
      </c>
      <c r="U79" s="559">
        <v>418.33199999999999</v>
      </c>
      <c r="V79" s="592">
        <v>26</v>
      </c>
      <c r="W79" s="592">
        <v>418.33199999999999</v>
      </c>
      <c r="X79" s="592">
        <v>0</v>
      </c>
      <c r="Y79" s="592">
        <v>0</v>
      </c>
      <c r="Z79" s="592">
        <v>26</v>
      </c>
      <c r="AA79" s="592">
        <v>418.33199999999999</v>
      </c>
      <c r="AB79" s="559">
        <f>AA79</f>
        <v>418.33199999999999</v>
      </c>
      <c r="AC79" s="559">
        <v>0</v>
      </c>
      <c r="AD79" s="559">
        <v>0</v>
      </c>
      <c r="AE79" s="559">
        <f>AB79-AC79-AD79</f>
        <v>418.33199999999999</v>
      </c>
      <c r="AF79" s="559">
        <f>AE79</f>
        <v>418.33199999999999</v>
      </c>
      <c r="AG79" s="559">
        <f>AE79-AF79</f>
        <v>0</v>
      </c>
      <c r="AH79" s="559">
        <f>U79-AF79</f>
        <v>0</v>
      </c>
      <c r="AI79" s="594">
        <f t="shared" si="34"/>
        <v>1</v>
      </c>
      <c r="AL79" s="596"/>
      <c r="AM79" s="596"/>
      <c r="AN79" s="596"/>
      <c r="AO79" s="596"/>
      <c r="AP79" s="596"/>
      <c r="AQ79" s="596"/>
      <c r="AR79" s="596"/>
      <c r="AS79" s="596"/>
      <c r="AT79" s="596"/>
      <c r="AU79" s="596"/>
      <c r="AV79" s="596"/>
      <c r="AW79" s="596"/>
      <c r="AX79" s="596"/>
      <c r="AY79" s="596"/>
      <c r="AZ79" s="596"/>
      <c r="BA79" s="596"/>
      <c r="BB79" s="596"/>
      <c r="BC79" s="596"/>
      <c r="BD79" s="596"/>
      <c r="BE79" s="596"/>
      <c r="BF79" s="596"/>
      <c r="BG79" s="596"/>
      <c r="BH79" s="596"/>
      <c r="BI79" s="596"/>
      <c r="BJ79" s="596"/>
      <c r="BK79" s="596"/>
      <c r="BL79" s="596"/>
      <c r="BM79" s="596"/>
      <c r="BN79" s="596"/>
      <c r="BO79" s="596"/>
      <c r="BP79" s="596"/>
      <c r="BQ79" s="596"/>
      <c r="BR79" s="596"/>
      <c r="BS79" s="596"/>
      <c r="BT79" s="596"/>
      <c r="BU79" s="596"/>
    </row>
    <row r="80" spans="1:73" s="595" customFormat="1" ht="15">
      <c r="A80" s="1786">
        <v>23</v>
      </c>
      <c r="B80" s="1775" t="s">
        <v>1238</v>
      </c>
      <c r="C80" s="556" t="str">
        <f>[6]аоб!C70</f>
        <v>ИТОГО</v>
      </c>
      <c r="D80" s="557">
        <f t="shared" si="11"/>
        <v>111835.371</v>
      </c>
      <c r="E80" s="557">
        <f t="shared" ref="E80:S80" si="60">E81+E82</f>
        <v>33315.300000000003</v>
      </c>
      <c r="F80" s="557">
        <f t="shared" si="60"/>
        <v>78520.070999999996</v>
      </c>
      <c r="G80" s="557">
        <f t="shared" si="60"/>
        <v>2574</v>
      </c>
      <c r="H80" s="557">
        <f t="shared" si="60"/>
        <v>115912.59199999999</v>
      </c>
      <c r="I80" s="557">
        <f t="shared" si="60"/>
        <v>6</v>
      </c>
      <c r="J80" s="557">
        <f t="shared" si="60"/>
        <v>4077.1569999999865</v>
      </c>
      <c r="K80" s="557">
        <f t="shared" si="60"/>
        <v>2568</v>
      </c>
      <c r="L80" s="557">
        <f t="shared" si="60"/>
        <v>111835.37100000001</v>
      </c>
      <c r="M80" s="557">
        <f t="shared" si="60"/>
        <v>111835.37100000001</v>
      </c>
      <c r="N80" s="557">
        <f t="shared" si="60"/>
        <v>33315.300000000003</v>
      </c>
      <c r="O80" s="557">
        <f t="shared" si="60"/>
        <v>0</v>
      </c>
      <c r="P80" s="557">
        <f>AL81+P82</f>
        <v>78520.071000000011</v>
      </c>
      <c r="Q80" s="557">
        <f t="shared" si="60"/>
        <v>78520.071000000011</v>
      </c>
      <c r="R80" s="557">
        <f t="shared" si="60"/>
        <v>0</v>
      </c>
      <c r="S80" s="557">
        <f t="shared" si="60"/>
        <v>0</v>
      </c>
      <c r="T80" s="588">
        <f t="shared" si="58"/>
        <v>1.0000000000000002</v>
      </c>
      <c r="U80" s="557">
        <f t="shared" ref="U80:AH80" si="61">U81+U82</f>
        <v>6239.6469999999999</v>
      </c>
      <c r="V80" s="557">
        <f t="shared" si="61"/>
        <v>135</v>
      </c>
      <c r="W80" s="557">
        <f t="shared" si="61"/>
        <v>6256.3940000000002</v>
      </c>
      <c r="X80" s="557">
        <f t="shared" si="61"/>
        <v>0</v>
      </c>
      <c r="Y80" s="557">
        <f t="shared" si="61"/>
        <v>16.747000000000298</v>
      </c>
      <c r="Z80" s="557">
        <f t="shared" si="61"/>
        <v>135</v>
      </c>
      <c r="AA80" s="557">
        <f t="shared" si="61"/>
        <v>6239.6469999999999</v>
      </c>
      <c r="AB80" s="557">
        <f t="shared" si="61"/>
        <v>6239.6469999999999</v>
      </c>
      <c r="AC80" s="557">
        <f t="shared" si="61"/>
        <v>0</v>
      </c>
      <c r="AD80" s="557">
        <f t="shared" si="61"/>
        <v>0</v>
      </c>
      <c r="AE80" s="557">
        <f t="shared" si="61"/>
        <v>6239.6469999999999</v>
      </c>
      <c r="AF80" s="557">
        <f t="shared" si="61"/>
        <v>6239.6469999999999</v>
      </c>
      <c r="AG80" s="557">
        <f t="shared" si="61"/>
        <v>0</v>
      </c>
      <c r="AH80" s="557">
        <f t="shared" si="61"/>
        <v>0</v>
      </c>
      <c r="AI80" s="589">
        <f t="shared" si="34"/>
        <v>1</v>
      </c>
      <c r="AL80" s="596"/>
      <c r="AM80" s="596"/>
      <c r="AN80" s="596"/>
      <c r="AO80" s="596"/>
      <c r="AP80" s="596"/>
      <c r="AQ80" s="596"/>
      <c r="AR80" s="596"/>
      <c r="AS80" s="596"/>
      <c r="AT80" s="596"/>
      <c r="AU80" s="596"/>
      <c r="AV80" s="596"/>
      <c r="AW80" s="596"/>
      <c r="AX80" s="596"/>
      <c r="AY80" s="596"/>
      <c r="AZ80" s="596"/>
      <c r="BA80" s="596"/>
      <c r="BB80" s="596"/>
      <c r="BC80" s="596"/>
      <c r="BD80" s="596"/>
      <c r="BE80" s="596"/>
      <c r="BF80" s="596"/>
      <c r="BG80" s="596"/>
      <c r="BH80" s="596"/>
      <c r="BI80" s="596"/>
      <c r="BJ80" s="596"/>
      <c r="BK80" s="596"/>
      <c r="BL80" s="596"/>
      <c r="BM80" s="596"/>
      <c r="BN80" s="596"/>
      <c r="BO80" s="596"/>
      <c r="BP80" s="596"/>
      <c r="BQ80" s="596"/>
      <c r="BR80" s="596"/>
      <c r="BS80" s="596"/>
      <c r="BT80" s="596"/>
      <c r="BU80" s="596"/>
    </row>
    <row r="81" spans="1:73" s="603" customFormat="1" ht="15">
      <c r="A81" s="1786"/>
      <c r="B81" s="1775"/>
      <c r="C81" s="558" t="str">
        <f>[6]аоб!C71</f>
        <v>СМП</v>
      </c>
      <c r="D81" s="559">
        <f t="shared" si="11"/>
        <v>96391.331999999995</v>
      </c>
      <c r="E81" s="559">
        <v>29748</v>
      </c>
      <c r="F81" s="559">
        <v>66643.331999999995</v>
      </c>
      <c r="G81" s="559">
        <v>1528</v>
      </c>
      <c r="H81" s="559">
        <v>100302.84299999999</v>
      </c>
      <c r="I81" s="559">
        <v>6</v>
      </c>
      <c r="J81" s="559">
        <v>3911.8189999999886</v>
      </c>
      <c r="K81" s="559">
        <v>1522</v>
      </c>
      <c r="L81" s="559">
        <f>96391.024+0.308</f>
        <v>96391.332000000009</v>
      </c>
      <c r="M81" s="559">
        <f>L81</f>
        <v>96391.332000000009</v>
      </c>
      <c r="N81" s="559">
        <v>29748</v>
      </c>
      <c r="O81" s="559">
        <v>0</v>
      </c>
      <c r="Q81" s="559">
        <f>AL81</f>
        <v>66643.332000000009</v>
      </c>
      <c r="R81" s="559">
        <f>AL81-Q81</f>
        <v>0</v>
      </c>
      <c r="S81" s="559">
        <f>F81-Q81</f>
        <v>0</v>
      </c>
      <c r="T81" s="597">
        <f t="shared" si="58"/>
        <v>1.0000000000000002</v>
      </c>
      <c r="U81" s="559">
        <v>5520.7839999999997</v>
      </c>
      <c r="V81" s="592">
        <v>82</v>
      </c>
      <c r="W81" s="592">
        <v>5537.5309999999999</v>
      </c>
      <c r="X81" s="592">
        <v>0</v>
      </c>
      <c r="Y81" s="592">
        <v>16.747000000000298</v>
      </c>
      <c r="Z81" s="592">
        <v>82</v>
      </c>
      <c r="AA81" s="592">
        <v>5520.7839999999997</v>
      </c>
      <c r="AB81" s="559">
        <f>AA81</f>
        <v>5520.7839999999997</v>
      </c>
      <c r="AC81" s="559">
        <v>0</v>
      </c>
      <c r="AD81" s="559">
        <v>0</v>
      </c>
      <c r="AE81" s="559">
        <f>AB81-AC81-AD81</f>
        <v>5520.7839999999997</v>
      </c>
      <c r="AF81" s="559">
        <f>AE81</f>
        <v>5520.7839999999997</v>
      </c>
      <c r="AG81" s="559">
        <f>AE81-AF81</f>
        <v>0</v>
      </c>
      <c r="AH81" s="559">
        <f>U81-AF81</f>
        <v>0</v>
      </c>
      <c r="AI81" s="594">
        <f t="shared" si="34"/>
        <v>1</v>
      </c>
      <c r="AL81" s="598">
        <f>M81-N81-O81</f>
        <v>66643.332000000009</v>
      </c>
      <c r="AM81" s="596"/>
      <c r="AN81" s="596"/>
      <c r="AO81" s="596"/>
      <c r="AP81" s="596"/>
      <c r="AQ81" s="596"/>
      <c r="AR81" s="596"/>
      <c r="AS81" s="596"/>
      <c r="AT81" s="596"/>
      <c r="AU81" s="596"/>
      <c r="AV81" s="596"/>
      <c r="AW81" s="596"/>
      <c r="AX81" s="596"/>
      <c r="AY81" s="596"/>
      <c r="AZ81" s="596"/>
      <c r="BA81" s="596"/>
      <c r="BB81" s="596"/>
      <c r="BC81" s="596"/>
      <c r="BD81" s="596"/>
      <c r="BE81" s="596"/>
      <c r="BF81" s="596"/>
      <c r="BG81" s="596"/>
      <c r="BH81" s="596"/>
      <c r="BI81" s="596"/>
      <c r="BJ81" s="596"/>
      <c r="BK81" s="596"/>
      <c r="BL81" s="596"/>
      <c r="BM81" s="596"/>
      <c r="BN81" s="596"/>
      <c r="BO81" s="596"/>
      <c r="BP81" s="596"/>
      <c r="BQ81" s="596"/>
      <c r="BR81" s="596"/>
      <c r="BS81" s="596"/>
      <c r="BT81" s="596"/>
      <c r="BU81" s="596"/>
    </row>
    <row r="82" spans="1:73" s="603" customFormat="1" ht="15">
      <c r="A82" s="1786"/>
      <c r="B82" s="1775"/>
      <c r="C82" s="558" t="str">
        <f>[6]аоб!C72</f>
        <v>СЗП</v>
      </c>
      <c r="D82" s="559">
        <f t="shared" ref="D82:D112" si="62">E82+F82</f>
        <v>15444.039000000001</v>
      </c>
      <c r="E82" s="559">
        <v>3567.3</v>
      </c>
      <c r="F82" s="559">
        <v>11876.739000000001</v>
      </c>
      <c r="G82" s="559">
        <v>1046</v>
      </c>
      <c r="H82" s="559">
        <v>15609.749</v>
      </c>
      <c r="I82" s="559">
        <v>0</v>
      </c>
      <c r="J82" s="559">
        <v>165.33799999999792</v>
      </c>
      <c r="K82" s="559">
        <v>1046</v>
      </c>
      <c r="L82" s="559">
        <f>15444.411-0.372</f>
        <v>15444.039000000001</v>
      </c>
      <c r="M82" s="559">
        <f>L82</f>
        <v>15444.039000000001</v>
      </c>
      <c r="N82" s="559">
        <v>3567.3</v>
      </c>
      <c r="O82" s="559">
        <v>0</v>
      </c>
      <c r="P82" s="559">
        <f>M82-N82-O82</f>
        <v>11876.739000000001</v>
      </c>
      <c r="Q82" s="559">
        <f>P82</f>
        <v>11876.739000000001</v>
      </c>
      <c r="R82" s="559">
        <f>P82-Q82</f>
        <v>0</v>
      </c>
      <c r="S82" s="559">
        <f>F82-Q82</f>
        <v>0</v>
      </c>
      <c r="T82" s="597">
        <f t="shared" si="58"/>
        <v>1</v>
      </c>
      <c r="U82" s="559">
        <v>718.86300000000006</v>
      </c>
      <c r="V82" s="592">
        <v>53</v>
      </c>
      <c r="W82" s="592">
        <v>718.86300000000006</v>
      </c>
      <c r="X82" s="592">
        <v>0</v>
      </c>
      <c r="Y82" s="592">
        <v>0</v>
      </c>
      <c r="Z82" s="592">
        <v>53</v>
      </c>
      <c r="AA82" s="592">
        <v>718.86300000000006</v>
      </c>
      <c r="AB82" s="559">
        <f>AA82</f>
        <v>718.86300000000006</v>
      </c>
      <c r="AC82" s="559">
        <v>0</v>
      </c>
      <c r="AD82" s="559">
        <v>0</v>
      </c>
      <c r="AE82" s="559">
        <f>AB82-AC82-AD82</f>
        <v>718.86300000000006</v>
      </c>
      <c r="AF82" s="559">
        <f>AE82</f>
        <v>718.86300000000006</v>
      </c>
      <c r="AG82" s="559">
        <f>AE82-AF82</f>
        <v>0</v>
      </c>
      <c r="AH82" s="559">
        <f>U82-AF82</f>
        <v>0</v>
      </c>
      <c r="AI82" s="594">
        <f t="shared" si="34"/>
        <v>1</v>
      </c>
      <c r="AL82" s="596"/>
      <c r="AM82" s="596"/>
      <c r="AN82" s="596"/>
      <c r="AO82" s="596"/>
      <c r="AP82" s="596"/>
      <c r="AQ82" s="596"/>
      <c r="AR82" s="596"/>
      <c r="AS82" s="596"/>
      <c r="AT82" s="596"/>
      <c r="AU82" s="596"/>
      <c r="AV82" s="596"/>
      <c r="AW82" s="596"/>
      <c r="AX82" s="596"/>
      <c r="AY82" s="596"/>
      <c r="AZ82" s="596"/>
      <c r="BA82" s="596"/>
      <c r="BB82" s="596"/>
      <c r="BC82" s="596"/>
      <c r="BD82" s="596"/>
      <c r="BE82" s="596"/>
      <c r="BF82" s="596"/>
      <c r="BG82" s="596"/>
      <c r="BH82" s="596"/>
      <c r="BI82" s="596"/>
      <c r="BJ82" s="596"/>
      <c r="BK82" s="596"/>
      <c r="BL82" s="596"/>
      <c r="BM82" s="596"/>
      <c r="BN82" s="596"/>
      <c r="BO82" s="596"/>
      <c r="BP82" s="596"/>
      <c r="BQ82" s="596"/>
      <c r="BR82" s="596"/>
      <c r="BS82" s="596"/>
      <c r="BT82" s="596"/>
      <c r="BU82" s="596"/>
    </row>
    <row r="83" spans="1:73" s="595" customFormat="1" ht="15">
      <c r="A83" s="1786">
        <v>24</v>
      </c>
      <c r="B83" s="1775" t="s">
        <v>1239</v>
      </c>
      <c r="C83" s="556" t="str">
        <f>[6]аоб!C73</f>
        <v>ИТОГО</v>
      </c>
      <c r="D83" s="557">
        <f t="shared" si="62"/>
        <v>222704.745</v>
      </c>
      <c r="E83" s="557">
        <f t="shared" ref="E83:S83" si="63">E84+E85</f>
        <v>65328.3</v>
      </c>
      <c r="F83" s="557">
        <f t="shared" si="63"/>
        <v>157376.44500000001</v>
      </c>
      <c r="G83" s="557">
        <f t="shared" si="63"/>
        <v>4465</v>
      </c>
      <c r="H83" s="557">
        <f t="shared" si="63"/>
        <v>231367.84599999996</v>
      </c>
      <c r="I83" s="557">
        <f t="shared" si="63"/>
        <v>15</v>
      </c>
      <c r="J83" s="557">
        <f t="shared" si="63"/>
        <v>8663.025999999998</v>
      </c>
      <c r="K83" s="557">
        <f t="shared" si="63"/>
        <v>4450</v>
      </c>
      <c r="L83" s="557">
        <f t="shared" si="63"/>
        <v>222704.745</v>
      </c>
      <c r="M83" s="557">
        <f t="shared" si="63"/>
        <v>222704.745</v>
      </c>
      <c r="N83" s="557">
        <f t="shared" si="63"/>
        <v>65328.3</v>
      </c>
      <c r="O83" s="557">
        <f t="shared" si="63"/>
        <v>0</v>
      </c>
      <c r="P83" s="557">
        <f>AL84+P85</f>
        <v>157376.44500000001</v>
      </c>
      <c r="Q83" s="557">
        <f t="shared" si="63"/>
        <v>157376.44500000001</v>
      </c>
      <c r="R83" s="557">
        <f t="shared" si="63"/>
        <v>0</v>
      </c>
      <c r="S83" s="557">
        <f t="shared" si="63"/>
        <v>-1.8189894035458565E-12</v>
      </c>
      <c r="T83" s="588">
        <f t="shared" si="58"/>
        <v>1</v>
      </c>
      <c r="U83" s="557">
        <f t="shared" ref="U83:AH83" si="64">U84+U85</f>
        <v>11429.612000000001</v>
      </c>
      <c r="V83" s="557">
        <f t="shared" si="64"/>
        <v>200</v>
      </c>
      <c r="W83" s="557">
        <f t="shared" si="64"/>
        <v>11990.672999999999</v>
      </c>
      <c r="X83" s="557">
        <f t="shared" si="64"/>
        <v>1</v>
      </c>
      <c r="Y83" s="557">
        <f t="shared" si="64"/>
        <v>561.06099999999913</v>
      </c>
      <c r="Z83" s="557">
        <f t="shared" si="64"/>
        <v>199</v>
      </c>
      <c r="AA83" s="557">
        <f t="shared" si="64"/>
        <v>11429.612000000001</v>
      </c>
      <c r="AB83" s="557">
        <f t="shared" si="64"/>
        <v>11429.612000000001</v>
      </c>
      <c r="AC83" s="557">
        <f t="shared" si="64"/>
        <v>0</v>
      </c>
      <c r="AD83" s="557">
        <f t="shared" si="64"/>
        <v>0</v>
      </c>
      <c r="AE83" s="557">
        <f t="shared" si="64"/>
        <v>11429.612000000001</v>
      </c>
      <c r="AF83" s="557">
        <f t="shared" si="64"/>
        <v>11429.612000000001</v>
      </c>
      <c r="AG83" s="557">
        <f t="shared" si="64"/>
        <v>0</v>
      </c>
      <c r="AH83" s="557">
        <f t="shared" si="64"/>
        <v>0</v>
      </c>
      <c r="AI83" s="589">
        <f t="shared" si="34"/>
        <v>1</v>
      </c>
      <c r="AL83" s="596"/>
      <c r="AM83" s="596"/>
      <c r="AN83" s="596"/>
      <c r="AO83" s="596"/>
      <c r="AP83" s="596"/>
      <c r="AQ83" s="596"/>
      <c r="AR83" s="596"/>
      <c r="AS83" s="596"/>
      <c r="AT83" s="596"/>
      <c r="AU83" s="596"/>
      <c r="AV83" s="596"/>
      <c r="AW83" s="596"/>
      <c r="AX83" s="596"/>
      <c r="AY83" s="596"/>
      <c r="AZ83" s="596"/>
      <c r="BA83" s="596"/>
      <c r="BB83" s="596"/>
      <c r="BC83" s="596"/>
      <c r="BD83" s="596"/>
      <c r="BE83" s="596"/>
      <c r="BF83" s="596"/>
      <c r="BG83" s="596"/>
      <c r="BH83" s="596"/>
      <c r="BI83" s="596"/>
      <c r="BJ83" s="596"/>
      <c r="BK83" s="596"/>
      <c r="BL83" s="596"/>
      <c r="BM83" s="596"/>
      <c r="BN83" s="596"/>
      <c r="BO83" s="596"/>
      <c r="BP83" s="596"/>
      <c r="BQ83" s="596"/>
      <c r="BR83" s="596"/>
      <c r="BS83" s="596"/>
      <c r="BT83" s="596"/>
      <c r="BU83" s="596"/>
    </row>
    <row r="84" spans="1:73" s="603" customFormat="1" ht="15">
      <c r="A84" s="1786"/>
      <c r="B84" s="1775"/>
      <c r="C84" s="558" t="str">
        <f>[6]аоб!C74</f>
        <v>СМП</v>
      </c>
      <c r="D84" s="559">
        <f t="shared" si="62"/>
        <v>204096.389</v>
      </c>
      <c r="E84" s="559">
        <v>58981.5</v>
      </c>
      <c r="F84" s="559">
        <v>145114.889</v>
      </c>
      <c r="G84" s="559">
        <v>3344</v>
      </c>
      <c r="H84" s="559">
        <v>212883.64899999998</v>
      </c>
      <c r="I84" s="559">
        <v>13</v>
      </c>
      <c r="J84" s="559">
        <v>8455.5679999999993</v>
      </c>
      <c r="K84" s="559">
        <v>3331</v>
      </c>
      <c r="L84" s="559">
        <f>204428.081-0.075</f>
        <v>204428.00599999999</v>
      </c>
      <c r="M84" s="559">
        <f>L84</f>
        <v>204428.00599999999</v>
      </c>
      <c r="N84" s="559">
        <v>58981.5</v>
      </c>
      <c r="O84" s="559">
        <v>0</v>
      </c>
      <c r="Q84" s="559">
        <f>AL84</f>
        <v>145446.50599999999</v>
      </c>
      <c r="R84" s="559">
        <f>AL84-Q84</f>
        <v>0</v>
      </c>
      <c r="S84" s="559">
        <f>F84-Q84</f>
        <v>-331.61699999999837</v>
      </c>
      <c r="T84" s="597">
        <f t="shared" si="58"/>
        <v>1.0022852031399756</v>
      </c>
      <c r="U84" s="559">
        <v>10681.289000000001</v>
      </c>
      <c r="V84" s="592">
        <v>159</v>
      </c>
      <c r="W84" s="592">
        <v>11237.892</v>
      </c>
      <c r="X84" s="592">
        <v>1</v>
      </c>
      <c r="Y84" s="592">
        <v>556.60299999999916</v>
      </c>
      <c r="Z84" s="592">
        <v>158</v>
      </c>
      <c r="AA84" s="592">
        <v>10681.289000000001</v>
      </c>
      <c r="AB84" s="559">
        <f>AA84</f>
        <v>10681.289000000001</v>
      </c>
      <c r="AC84" s="559">
        <v>0</v>
      </c>
      <c r="AD84" s="559">
        <v>0</v>
      </c>
      <c r="AE84" s="559">
        <f>AB84-AC84-AD84</f>
        <v>10681.289000000001</v>
      </c>
      <c r="AF84" s="559">
        <f>AE84</f>
        <v>10681.289000000001</v>
      </c>
      <c r="AG84" s="559">
        <f>AE84-AF84</f>
        <v>0</v>
      </c>
      <c r="AH84" s="559">
        <f>U84-AF84</f>
        <v>0</v>
      </c>
      <c r="AI84" s="594">
        <f t="shared" si="34"/>
        <v>1</v>
      </c>
      <c r="AL84" s="598">
        <f>M84-N84-O84</f>
        <v>145446.50599999999</v>
      </c>
      <c r="AM84" s="596"/>
      <c r="AN84" s="596"/>
      <c r="AO84" s="596"/>
      <c r="AP84" s="596"/>
      <c r="AQ84" s="596"/>
      <c r="AR84" s="596"/>
      <c r="AS84" s="596"/>
      <c r="AT84" s="596"/>
      <c r="AU84" s="596"/>
      <c r="AV84" s="596"/>
      <c r="AW84" s="596"/>
      <c r="AX84" s="596"/>
      <c r="AY84" s="596"/>
      <c r="AZ84" s="596"/>
      <c r="BA84" s="596"/>
      <c r="BB84" s="596"/>
      <c r="BC84" s="596"/>
      <c r="BD84" s="596"/>
      <c r="BE84" s="596"/>
      <c r="BF84" s="596"/>
      <c r="BG84" s="596"/>
      <c r="BH84" s="596"/>
      <c r="BI84" s="596"/>
      <c r="BJ84" s="596"/>
      <c r="BK84" s="596"/>
      <c r="BL84" s="596"/>
      <c r="BM84" s="596"/>
      <c r="BN84" s="596"/>
      <c r="BO84" s="596"/>
      <c r="BP84" s="596"/>
      <c r="BQ84" s="596"/>
      <c r="BR84" s="596"/>
      <c r="BS84" s="596"/>
      <c r="BT84" s="596"/>
      <c r="BU84" s="596"/>
    </row>
    <row r="85" spans="1:73" s="603" customFormat="1" ht="15">
      <c r="A85" s="1786"/>
      <c r="B85" s="1775"/>
      <c r="C85" s="558" t="str">
        <f>[6]аоб!C75</f>
        <v>СЗП</v>
      </c>
      <c r="D85" s="559">
        <f t="shared" si="62"/>
        <v>18608.356</v>
      </c>
      <c r="E85" s="559">
        <v>6346.8</v>
      </c>
      <c r="F85" s="559">
        <v>12261.555999999999</v>
      </c>
      <c r="G85" s="559">
        <v>1121</v>
      </c>
      <c r="H85" s="559">
        <v>18484.197</v>
      </c>
      <c r="I85" s="559">
        <v>2</v>
      </c>
      <c r="J85" s="559">
        <v>207.45799999999872</v>
      </c>
      <c r="K85" s="559">
        <v>1119</v>
      </c>
      <c r="L85" s="559">
        <v>18276.739000000001</v>
      </c>
      <c r="M85" s="559">
        <f>L85</f>
        <v>18276.739000000001</v>
      </c>
      <c r="N85" s="559">
        <v>6346.8</v>
      </c>
      <c r="O85" s="559">
        <v>0</v>
      </c>
      <c r="P85" s="559">
        <f>M85-N85-O85</f>
        <v>11929.939000000002</v>
      </c>
      <c r="Q85" s="559">
        <f>P85</f>
        <v>11929.939000000002</v>
      </c>
      <c r="R85" s="559">
        <f>P85-Q85</f>
        <v>0</v>
      </c>
      <c r="S85" s="559">
        <f>F85-Q85</f>
        <v>331.61699999999655</v>
      </c>
      <c r="T85" s="597">
        <f t="shared" si="58"/>
        <v>0.97295473755533179</v>
      </c>
      <c r="U85" s="559">
        <v>748.32299999999998</v>
      </c>
      <c r="V85" s="592">
        <v>41</v>
      </c>
      <c r="W85" s="592">
        <v>752.78099999999995</v>
      </c>
      <c r="X85" s="592">
        <v>0</v>
      </c>
      <c r="Y85" s="592">
        <v>4.45799999999997</v>
      </c>
      <c r="Z85" s="592">
        <v>41</v>
      </c>
      <c r="AA85" s="592">
        <v>748.32299999999998</v>
      </c>
      <c r="AB85" s="559">
        <f>AA85</f>
        <v>748.32299999999998</v>
      </c>
      <c r="AC85" s="559">
        <v>0</v>
      </c>
      <c r="AD85" s="559">
        <v>0</v>
      </c>
      <c r="AE85" s="559">
        <f>AB85-AC85-AD85</f>
        <v>748.32299999999998</v>
      </c>
      <c r="AF85" s="559">
        <f>AE85</f>
        <v>748.32299999999998</v>
      </c>
      <c r="AG85" s="559">
        <f>AE85-AF85</f>
        <v>0</v>
      </c>
      <c r="AH85" s="559">
        <f>U85-AF85</f>
        <v>0</v>
      </c>
      <c r="AI85" s="594">
        <f t="shared" si="34"/>
        <v>1</v>
      </c>
      <c r="AL85" s="596"/>
      <c r="AM85" s="596"/>
      <c r="AN85" s="596"/>
      <c r="AO85" s="596"/>
      <c r="AP85" s="596"/>
      <c r="AQ85" s="596"/>
      <c r="AR85" s="596"/>
      <c r="AS85" s="596"/>
      <c r="AT85" s="596"/>
      <c r="AU85" s="596"/>
      <c r="AV85" s="596"/>
      <c r="AW85" s="596"/>
      <c r="AX85" s="596"/>
      <c r="AY85" s="596"/>
      <c r="AZ85" s="596"/>
      <c r="BA85" s="596"/>
      <c r="BB85" s="596"/>
      <c r="BC85" s="596"/>
      <c r="BD85" s="596"/>
      <c r="BE85" s="596"/>
      <c r="BF85" s="596"/>
      <c r="BG85" s="596"/>
      <c r="BH85" s="596"/>
      <c r="BI85" s="596"/>
      <c r="BJ85" s="596"/>
      <c r="BK85" s="596"/>
      <c r="BL85" s="596"/>
      <c r="BM85" s="596"/>
      <c r="BN85" s="596"/>
      <c r="BO85" s="596"/>
      <c r="BP85" s="596"/>
      <c r="BQ85" s="596"/>
      <c r="BR85" s="596"/>
      <c r="BS85" s="596"/>
      <c r="BT85" s="596"/>
      <c r="BU85" s="596"/>
    </row>
    <row r="86" spans="1:73" s="595" customFormat="1" ht="15">
      <c r="A86" s="1786">
        <v>25</v>
      </c>
      <c r="B86" s="1775" t="s">
        <v>1240</v>
      </c>
      <c r="C86" s="556" t="str">
        <f>[6]аоб!C76</f>
        <v>ИТОГО</v>
      </c>
      <c r="D86" s="557">
        <f t="shared" si="62"/>
        <v>206514.09700000001</v>
      </c>
      <c r="E86" s="557">
        <f t="shared" ref="E86:S86" si="65">E87+E88</f>
        <v>62091.9</v>
      </c>
      <c r="F86" s="557">
        <f t="shared" si="65"/>
        <v>144422.19700000001</v>
      </c>
      <c r="G86" s="557">
        <f t="shared" si="65"/>
        <v>4999</v>
      </c>
      <c r="H86" s="557">
        <f t="shared" si="65"/>
        <v>214336.467</v>
      </c>
      <c r="I86" s="557">
        <f t="shared" si="65"/>
        <v>26</v>
      </c>
      <c r="J86" s="557">
        <f t="shared" si="65"/>
        <v>7822.3120000000345</v>
      </c>
      <c r="K86" s="557">
        <f t="shared" si="65"/>
        <v>4973</v>
      </c>
      <c r="L86" s="557">
        <f t="shared" si="65"/>
        <v>206514.09699999998</v>
      </c>
      <c r="M86" s="557">
        <f t="shared" si="65"/>
        <v>206514.09699999998</v>
      </c>
      <c r="N86" s="557">
        <f t="shared" si="65"/>
        <v>62091.9</v>
      </c>
      <c r="O86" s="557">
        <f t="shared" si="65"/>
        <v>0</v>
      </c>
      <c r="P86" s="557">
        <f>AL87+P88</f>
        <v>144422.19699999999</v>
      </c>
      <c r="Q86" s="557">
        <f t="shared" si="65"/>
        <v>144422.19699999999</v>
      </c>
      <c r="R86" s="557">
        <f t="shared" si="65"/>
        <v>0</v>
      </c>
      <c r="S86" s="557">
        <f t="shared" si="65"/>
        <v>0</v>
      </c>
      <c r="T86" s="588">
        <f t="shared" si="58"/>
        <v>0.99999999999999978</v>
      </c>
      <c r="U86" s="557">
        <f t="shared" ref="U86:AH86" si="66">U87+U88</f>
        <v>10000.448</v>
      </c>
      <c r="V86" s="557">
        <f t="shared" si="66"/>
        <v>218</v>
      </c>
      <c r="W86" s="557">
        <f t="shared" si="66"/>
        <v>10047.454000000002</v>
      </c>
      <c r="X86" s="557">
        <f t="shared" si="66"/>
        <v>1</v>
      </c>
      <c r="Y86" s="557">
        <f t="shared" si="66"/>
        <v>47.005999999999858</v>
      </c>
      <c r="Z86" s="557">
        <f t="shared" si="66"/>
        <v>217</v>
      </c>
      <c r="AA86" s="557">
        <f t="shared" si="66"/>
        <v>10000.448</v>
      </c>
      <c r="AB86" s="557">
        <f t="shared" si="66"/>
        <v>10000.448</v>
      </c>
      <c r="AC86" s="557">
        <f t="shared" si="66"/>
        <v>0</v>
      </c>
      <c r="AD86" s="557">
        <f t="shared" si="66"/>
        <v>0</v>
      </c>
      <c r="AE86" s="557">
        <f t="shared" si="66"/>
        <v>10000.448</v>
      </c>
      <c r="AF86" s="557">
        <f t="shared" si="66"/>
        <v>10000.448</v>
      </c>
      <c r="AG86" s="557">
        <f t="shared" si="66"/>
        <v>0</v>
      </c>
      <c r="AH86" s="557">
        <f t="shared" si="66"/>
        <v>0</v>
      </c>
      <c r="AI86" s="589">
        <f t="shared" si="34"/>
        <v>1</v>
      </c>
      <c r="AL86" s="596"/>
      <c r="AM86" s="596"/>
      <c r="AN86" s="596"/>
      <c r="AO86" s="596"/>
      <c r="AP86" s="596"/>
      <c r="AQ86" s="596"/>
      <c r="AR86" s="596"/>
      <c r="AS86" s="596"/>
      <c r="AT86" s="596"/>
      <c r="AU86" s="596"/>
      <c r="AV86" s="596"/>
      <c r="AW86" s="596"/>
      <c r="AX86" s="596"/>
      <c r="AY86" s="596"/>
      <c r="AZ86" s="596"/>
      <c r="BA86" s="596"/>
      <c r="BB86" s="596"/>
      <c r="BC86" s="596"/>
      <c r="BD86" s="596"/>
      <c r="BE86" s="596"/>
      <c r="BF86" s="596"/>
      <c r="BG86" s="596"/>
      <c r="BH86" s="596"/>
      <c r="BI86" s="596"/>
      <c r="BJ86" s="596"/>
      <c r="BK86" s="596"/>
      <c r="BL86" s="596"/>
      <c r="BM86" s="596"/>
      <c r="BN86" s="596"/>
      <c r="BO86" s="596"/>
      <c r="BP86" s="596"/>
      <c r="BQ86" s="596"/>
      <c r="BR86" s="596"/>
      <c r="BS86" s="596"/>
      <c r="BT86" s="596"/>
      <c r="BU86" s="596"/>
    </row>
    <row r="87" spans="1:73" s="603" customFormat="1" ht="15">
      <c r="A87" s="1786"/>
      <c r="B87" s="1775"/>
      <c r="C87" s="558" t="str">
        <f>[6]аоб!C77</f>
        <v>СМП</v>
      </c>
      <c r="D87" s="559">
        <f t="shared" si="62"/>
        <v>172825.62700000001</v>
      </c>
      <c r="E87" s="559">
        <v>51576.3</v>
      </c>
      <c r="F87" s="559">
        <v>121249.327</v>
      </c>
      <c r="G87" s="559">
        <v>2749</v>
      </c>
      <c r="H87" s="559">
        <v>180121.50599999999</v>
      </c>
      <c r="I87" s="559">
        <v>25</v>
      </c>
      <c r="J87" s="559">
        <v>7295.4780000000319</v>
      </c>
      <c r="K87" s="559">
        <v>2724</v>
      </c>
      <c r="L87" s="559">
        <f>172826.028-0.401</f>
        <v>172825.62699999998</v>
      </c>
      <c r="M87" s="559">
        <f>L87</f>
        <v>172825.62699999998</v>
      </c>
      <c r="N87" s="559">
        <v>51576.3</v>
      </c>
      <c r="O87" s="559">
        <v>0</v>
      </c>
      <c r="Q87" s="559">
        <f>AL87</f>
        <v>121249.32699999998</v>
      </c>
      <c r="R87" s="559">
        <f>AL87-Q87</f>
        <v>0</v>
      </c>
      <c r="S87" s="559">
        <f>F87-Q87</f>
        <v>0</v>
      </c>
      <c r="T87" s="597">
        <f t="shared" si="58"/>
        <v>0.99999999999999978</v>
      </c>
      <c r="U87" s="559">
        <v>8224.2180000000008</v>
      </c>
      <c r="V87" s="592">
        <v>116</v>
      </c>
      <c r="W87" s="592">
        <v>8266.8160000000007</v>
      </c>
      <c r="X87" s="592">
        <v>1</v>
      </c>
      <c r="Y87" s="592">
        <v>42.597999999999956</v>
      </c>
      <c r="Z87" s="592">
        <v>115</v>
      </c>
      <c r="AA87" s="592">
        <v>8224.2180000000008</v>
      </c>
      <c r="AB87" s="559">
        <f>AA87</f>
        <v>8224.2180000000008</v>
      </c>
      <c r="AC87" s="559">
        <v>0</v>
      </c>
      <c r="AD87" s="559">
        <v>0</v>
      </c>
      <c r="AE87" s="559">
        <f>AB87-AC87-AD87</f>
        <v>8224.2180000000008</v>
      </c>
      <c r="AF87" s="559">
        <f>AE87</f>
        <v>8224.2180000000008</v>
      </c>
      <c r="AG87" s="559">
        <f>AE87-AF87</f>
        <v>0</v>
      </c>
      <c r="AH87" s="559">
        <f>U87-AF87</f>
        <v>0</v>
      </c>
      <c r="AI87" s="594">
        <f t="shared" si="34"/>
        <v>1</v>
      </c>
      <c r="AL87" s="598">
        <f>M87-N87-O87</f>
        <v>121249.32699999998</v>
      </c>
      <c r="AM87" s="596"/>
      <c r="AN87" s="596"/>
      <c r="AO87" s="596"/>
      <c r="AP87" s="596"/>
      <c r="AQ87" s="596"/>
      <c r="AR87" s="596"/>
      <c r="AS87" s="596"/>
      <c r="AT87" s="596"/>
      <c r="AU87" s="596"/>
      <c r="AV87" s="596"/>
      <c r="AW87" s="596"/>
      <c r="AX87" s="596"/>
      <c r="AY87" s="596"/>
      <c r="AZ87" s="596"/>
      <c r="BA87" s="596"/>
      <c r="BB87" s="596"/>
      <c r="BC87" s="596"/>
      <c r="BD87" s="596"/>
      <c r="BE87" s="596"/>
      <c r="BF87" s="596"/>
      <c r="BG87" s="596"/>
      <c r="BH87" s="596"/>
      <c r="BI87" s="596"/>
      <c r="BJ87" s="596"/>
      <c r="BK87" s="596"/>
      <c r="BL87" s="596"/>
      <c r="BM87" s="596"/>
      <c r="BN87" s="596"/>
      <c r="BO87" s="596"/>
      <c r="BP87" s="596"/>
      <c r="BQ87" s="596"/>
      <c r="BR87" s="596"/>
      <c r="BS87" s="596"/>
      <c r="BT87" s="596"/>
      <c r="BU87" s="596"/>
    </row>
    <row r="88" spans="1:73" s="603" customFormat="1" ht="15">
      <c r="A88" s="1786"/>
      <c r="B88" s="1775"/>
      <c r="C88" s="558" t="str">
        <f>[6]аоб!C78</f>
        <v>СЗП</v>
      </c>
      <c r="D88" s="559">
        <f t="shared" si="62"/>
        <v>33688.47</v>
      </c>
      <c r="E88" s="559">
        <v>10515.6</v>
      </c>
      <c r="F88" s="559">
        <v>23172.87</v>
      </c>
      <c r="G88" s="559">
        <v>2250</v>
      </c>
      <c r="H88" s="559">
        <v>34214.961000000003</v>
      </c>
      <c r="I88" s="559">
        <v>1</v>
      </c>
      <c r="J88" s="559">
        <v>526.83400000000256</v>
      </c>
      <c r="K88" s="559">
        <v>2249</v>
      </c>
      <c r="L88" s="559">
        <f>33688.127+0.343</f>
        <v>33688.47</v>
      </c>
      <c r="M88" s="559">
        <f>L88</f>
        <v>33688.47</v>
      </c>
      <c r="N88" s="559">
        <v>10515.6</v>
      </c>
      <c r="O88" s="559">
        <v>0</v>
      </c>
      <c r="P88" s="559">
        <f>M88-N88-O88</f>
        <v>23172.870000000003</v>
      </c>
      <c r="Q88" s="559">
        <f>P88</f>
        <v>23172.870000000003</v>
      </c>
      <c r="R88" s="559">
        <f>P88-Q88</f>
        <v>0</v>
      </c>
      <c r="S88" s="559">
        <f>F88-Q88</f>
        <v>0</v>
      </c>
      <c r="T88" s="597">
        <f t="shared" si="58"/>
        <v>1.0000000000000002</v>
      </c>
      <c r="U88" s="559">
        <v>1776.23</v>
      </c>
      <c r="V88" s="592">
        <v>102</v>
      </c>
      <c r="W88" s="592">
        <v>1780.6379999999999</v>
      </c>
      <c r="X88" s="592">
        <v>0</v>
      </c>
      <c r="Y88" s="592">
        <v>4.4079999999999018</v>
      </c>
      <c r="Z88" s="592">
        <v>102</v>
      </c>
      <c r="AA88" s="592">
        <v>1776.23</v>
      </c>
      <c r="AB88" s="559">
        <f>AA88</f>
        <v>1776.23</v>
      </c>
      <c r="AC88" s="559">
        <v>0</v>
      </c>
      <c r="AD88" s="559">
        <v>0</v>
      </c>
      <c r="AE88" s="559">
        <f>AB88-AC88-AD88</f>
        <v>1776.23</v>
      </c>
      <c r="AF88" s="559">
        <f>AE88</f>
        <v>1776.23</v>
      </c>
      <c r="AG88" s="559">
        <f>AE88-AF88</f>
        <v>0</v>
      </c>
      <c r="AH88" s="559">
        <f>U88-AF88</f>
        <v>0</v>
      </c>
      <c r="AI88" s="594">
        <f t="shared" si="34"/>
        <v>1</v>
      </c>
      <c r="AL88" s="596"/>
      <c r="AM88" s="596"/>
      <c r="AN88" s="596"/>
      <c r="AO88" s="596"/>
      <c r="AP88" s="596"/>
      <c r="AQ88" s="596"/>
      <c r="AR88" s="596"/>
      <c r="AS88" s="596"/>
      <c r="AT88" s="596"/>
      <c r="AU88" s="596"/>
      <c r="AV88" s="596"/>
      <c r="AW88" s="596"/>
      <c r="AX88" s="596"/>
      <c r="AY88" s="596"/>
      <c r="AZ88" s="596"/>
      <c r="BA88" s="596"/>
      <c r="BB88" s="596"/>
      <c r="BC88" s="596"/>
      <c r="BD88" s="596"/>
      <c r="BE88" s="596"/>
      <c r="BF88" s="596"/>
      <c r="BG88" s="596"/>
      <c r="BH88" s="596"/>
      <c r="BI88" s="596"/>
      <c r="BJ88" s="596"/>
      <c r="BK88" s="596"/>
      <c r="BL88" s="596"/>
      <c r="BM88" s="596"/>
      <c r="BN88" s="596"/>
      <c r="BO88" s="596"/>
      <c r="BP88" s="596"/>
      <c r="BQ88" s="596"/>
      <c r="BR88" s="596"/>
      <c r="BS88" s="596"/>
      <c r="BT88" s="596"/>
      <c r="BU88" s="596"/>
    </row>
    <row r="89" spans="1:73" s="595" customFormat="1" ht="15">
      <c r="A89" s="1786">
        <v>26</v>
      </c>
      <c r="B89" s="1775" t="s">
        <v>1241</v>
      </c>
      <c r="C89" s="556" t="str">
        <f>[6]аоб!C79</f>
        <v>ИТОГО</v>
      </c>
      <c r="D89" s="557">
        <f t="shared" si="62"/>
        <v>151537.20299999998</v>
      </c>
      <c r="E89" s="557">
        <f t="shared" ref="E89:S89" si="67">E90+E91</f>
        <v>44331</v>
      </c>
      <c r="F89" s="557">
        <f t="shared" si="67"/>
        <v>107206.20299999999</v>
      </c>
      <c r="G89" s="557">
        <f t="shared" si="67"/>
        <v>3373</v>
      </c>
      <c r="H89" s="557">
        <f t="shared" si="67"/>
        <v>159710.05300000001</v>
      </c>
      <c r="I89" s="557">
        <f t="shared" si="67"/>
        <v>8</v>
      </c>
      <c r="J89" s="557">
        <f t="shared" si="67"/>
        <v>8172.7740000000267</v>
      </c>
      <c r="K89" s="557">
        <f t="shared" si="67"/>
        <v>3365</v>
      </c>
      <c r="L89" s="557">
        <f t="shared" si="67"/>
        <v>151537.20299999998</v>
      </c>
      <c r="M89" s="557">
        <f t="shared" si="67"/>
        <v>151537.20299999998</v>
      </c>
      <c r="N89" s="557">
        <f t="shared" si="67"/>
        <v>44331</v>
      </c>
      <c r="O89" s="557">
        <f t="shared" si="67"/>
        <v>0</v>
      </c>
      <c r="P89" s="557">
        <f>AL90+P91</f>
        <v>107206.20299999998</v>
      </c>
      <c r="Q89" s="557">
        <f t="shared" si="67"/>
        <v>107206.20299999998</v>
      </c>
      <c r="R89" s="557">
        <f t="shared" si="67"/>
        <v>0</v>
      </c>
      <c r="S89" s="557">
        <f t="shared" si="67"/>
        <v>9.0949470177292824E-12</v>
      </c>
      <c r="T89" s="588">
        <f t="shared" si="58"/>
        <v>0.99999999999999989</v>
      </c>
      <c r="U89" s="557">
        <f t="shared" ref="U89:AH89" si="68">U90+U91</f>
        <v>6785.3190000000004</v>
      </c>
      <c r="V89" s="557">
        <f t="shared" si="68"/>
        <v>148</v>
      </c>
      <c r="W89" s="557">
        <f t="shared" si="68"/>
        <v>6785.3190000000004</v>
      </c>
      <c r="X89" s="557">
        <f t="shared" si="68"/>
        <v>0</v>
      </c>
      <c r="Y89" s="557">
        <f t="shared" si="68"/>
        <v>0</v>
      </c>
      <c r="Z89" s="557">
        <f t="shared" si="68"/>
        <v>148</v>
      </c>
      <c r="AA89" s="557">
        <f t="shared" si="68"/>
        <v>6785.3190000000004</v>
      </c>
      <c r="AB89" s="557">
        <f t="shared" si="68"/>
        <v>6785.3190000000004</v>
      </c>
      <c r="AC89" s="557">
        <f t="shared" si="68"/>
        <v>0</v>
      </c>
      <c r="AD89" s="557">
        <f t="shared" si="68"/>
        <v>0</v>
      </c>
      <c r="AE89" s="557">
        <f t="shared" si="68"/>
        <v>6785.3190000000004</v>
      </c>
      <c r="AF89" s="557">
        <f t="shared" si="68"/>
        <v>6785.3190000000004</v>
      </c>
      <c r="AG89" s="557">
        <f t="shared" si="68"/>
        <v>0</v>
      </c>
      <c r="AH89" s="557">
        <f t="shared" si="68"/>
        <v>0</v>
      </c>
      <c r="AI89" s="589">
        <f t="shared" si="34"/>
        <v>1</v>
      </c>
      <c r="AL89" s="596"/>
      <c r="AM89" s="596"/>
      <c r="AN89" s="596"/>
      <c r="AO89" s="596"/>
      <c r="AP89" s="596"/>
      <c r="AQ89" s="596"/>
      <c r="AR89" s="596"/>
      <c r="AS89" s="596"/>
      <c r="AT89" s="596"/>
      <c r="AU89" s="596"/>
      <c r="AV89" s="596"/>
      <c r="AW89" s="596"/>
      <c r="AX89" s="596"/>
      <c r="AY89" s="596"/>
      <c r="AZ89" s="596"/>
      <c r="BA89" s="596"/>
      <c r="BB89" s="596"/>
      <c r="BC89" s="596"/>
      <c r="BD89" s="596"/>
      <c r="BE89" s="596"/>
      <c r="BF89" s="596"/>
      <c r="BG89" s="596"/>
      <c r="BH89" s="596"/>
      <c r="BI89" s="596"/>
      <c r="BJ89" s="596"/>
      <c r="BK89" s="596"/>
      <c r="BL89" s="596"/>
      <c r="BM89" s="596"/>
      <c r="BN89" s="596"/>
      <c r="BO89" s="596"/>
      <c r="BP89" s="596"/>
      <c r="BQ89" s="596"/>
      <c r="BR89" s="596"/>
      <c r="BS89" s="596"/>
      <c r="BT89" s="596"/>
      <c r="BU89" s="596"/>
    </row>
    <row r="90" spans="1:73" s="603" customFormat="1" ht="15">
      <c r="A90" s="1786"/>
      <c r="B90" s="1775"/>
      <c r="C90" s="558" t="str">
        <f>[6]аоб!C80</f>
        <v>СМП</v>
      </c>
      <c r="D90" s="559">
        <f t="shared" si="62"/>
        <v>132366.821</v>
      </c>
      <c r="E90" s="559">
        <v>39480</v>
      </c>
      <c r="F90" s="559">
        <v>92886.820999999996</v>
      </c>
      <c r="G90" s="559">
        <v>1938</v>
      </c>
      <c r="H90" s="559">
        <v>135318.17000000001</v>
      </c>
      <c r="I90" s="559">
        <v>8</v>
      </c>
      <c r="J90" s="559">
        <v>7638.7640000000247</v>
      </c>
      <c r="K90" s="559">
        <v>1930</v>
      </c>
      <c r="L90" s="559">
        <v>127679.40599999999</v>
      </c>
      <c r="M90" s="559">
        <f>L90</f>
        <v>127679.40599999999</v>
      </c>
      <c r="N90" s="559">
        <v>39480</v>
      </c>
      <c r="O90" s="559">
        <v>0</v>
      </c>
      <c r="Q90" s="559">
        <f>AL90</f>
        <v>88199.405999999988</v>
      </c>
      <c r="R90" s="559">
        <f>AL90-Q90</f>
        <v>0</v>
      </c>
      <c r="S90" s="559">
        <f>F90-Q90</f>
        <v>4687.4150000000081</v>
      </c>
      <c r="T90" s="597">
        <f t="shared" si="58"/>
        <v>0.94953627490384229</v>
      </c>
      <c r="U90" s="559">
        <v>5598.1750000000002</v>
      </c>
      <c r="V90" s="604">
        <v>79</v>
      </c>
      <c r="W90" s="604">
        <v>5598.1750000000002</v>
      </c>
      <c r="X90" s="592">
        <v>0</v>
      </c>
      <c r="Y90" s="592">
        <v>0</v>
      </c>
      <c r="Z90" s="592">
        <v>79</v>
      </c>
      <c r="AA90" s="592">
        <v>5598.1750000000002</v>
      </c>
      <c r="AB90" s="559">
        <f>AA90</f>
        <v>5598.1750000000002</v>
      </c>
      <c r="AC90" s="559">
        <v>0</v>
      </c>
      <c r="AD90" s="559">
        <v>0</v>
      </c>
      <c r="AE90" s="559">
        <f>AB90-AC90-AD90</f>
        <v>5598.1750000000002</v>
      </c>
      <c r="AF90" s="559">
        <f>AE90</f>
        <v>5598.1750000000002</v>
      </c>
      <c r="AG90" s="559">
        <f>AE90-AF90</f>
        <v>0</v>
      </c>
      <c r="AH90" s="559">
        <f>U90-AF90</f>
        <v>0</v>
      </c>
      <c r="AI90" s="594">
        <f t="shared" si="34"/>
        <v>1</v>
      </c>
      <c r="AL90" s="598">
        <f>M90-N90-O90</f>
        <v>88199.405999999988</v>
      </c>
      <c r="AM90" s="596"/>
      <c r="AN90" s="596"/>
      <c r="AO90" s="596"/>
      <c r="AP90" s="596"/>
      <c r="AQ90" s="596"/>
      <c r="AR90" s="596"/>
      <c r="AS90" s="596"/>
      <c r="AT90" s="596"/>
      <c r="AU90" s="596"/>
      <c r="AV90" s="596"/>
      <c r="AW90" s="596"/>
      <c r="AX90" s="596"/>
      <c r="AY90" s="596"/>
      <c r="AZ90" s="596"/>
      <c r="BA90" s="596"/>
      <c r="BB90" s="596"/>
      <c r="BC90" s="596"/>
      <c r="BD90" s="596"/>
      <c r="BE90" s="596"/>
      <c r="BF90" s="596"/>
      <c r="BG90" s="596"/>
      <c r="BH90" s="596"/>
      <c r="BI90" s="596"/>
      <c r="BJ90" s="596"/>
      <c r="BK90" s="596"/>
      <c r="BL90" s="596"/>
      <c r="BM90" s="596"/>
      <c r="BN90" s="596"/>
      <c r="BO90" s="596"/>
      <c r="BP90" s="596"/>
      <c r="BQ90" s="596"/>
      <c r="BR90" s="596"/>
      <c r="BS90" s="596"/>
      <c r="BT90" s="596"/>
      <c r="BU90" s="596"/>
    </row>
    <row r="91" spans="1:73" s="603" customFormat="1" ht="15">
      <c r="A91" s="1786"/>
      <c r="B91" s="1775"/>
      <c r="C91" s="558" t="str">
        <f>[6]аоб!C81</f>
        <v>СЗП</v>
      </c>
      <c r="D91" s="559">
        <f t="shared" si="62"/>
        <v>19170.381999999998</v>
      </c>
      <c r="E91" s="559">
        <v>4851</v>
      </c>
      <c r="F91" s="559">
        <v>14319.382</v>
      </c>
      <c r="G91" s="559">
        <v>1435</v>
      </c>
      <c r="H91" s="559">
        <v>24391.883000000002</v>
      </c>
      <c r="I91" s="559">
        <v>0</v>
      </c>
      <c r="J91" s="559">
        <v>534.01000000000204</v>
      </c>
      <c r="K91" s="559">
        <v>1435</v>
      </c>
      <c r="L91" s="559">
        <f>23857.873-0.076</f>
        <v>23857.796999999999</v>
      </c>
      <c r="M91" s="559">
        <f>L91</f>
        <v>23857.796999999999</v>
      </c>
      <c r="N91" s="559">
        <v>4851</v>
      </c>
      <c r="O91" s="559">
        <v>0</v>
      </c>
      <c r="P91" s="559">
        <f>M91-N91-O91</f>
        <v>19006.796999999999</v>
      </c>
      <c r="Q91" s="559">
        <f>P91</f>
        <v>19006.796999999999</v>
      </c>
      <c r="R91" s="559">
        <f>P91-Q91</f>
        <v>0</v>
      </c>
      <c r="S91" s="559">
        <f>F91-Q91</f>
        <v>-4687.4149999999991</v>
      </c>
      <c r="T91" s="597">
        <f t="shared" si="58"/>
        <v>1.3273475768716834</v>
      </c>
      <c r="U91" s="559">
        <v>1187.144</v>
      </c>
      <c r="V91" s="592">
        <v>69</v>
      </c>
      <c r="W91" s="592">
        <v>1187.144</v>
      </c>
      <c r="X91" s="592">
        <v>0</v>
      </c>
      <c r="Y91" s="592">
        <v>0</v>
      </c>
      <c r="Z91" s="592">
        <v>69</v>
      </c>
      <c r="AA91" s="592">
        <v>1187.144</v>
      </c>
      <c r="AB91" s="559">
        <f>AA91</f>
        <v>1187.144</v>
      </c>
      <c r="AC91" s="559">
        <v>0</v>
      </c>
      <c r="AD91" s="559">
        <v>0</v>
      </c>
      <c r="AE91" s="559">
        <f>AB91-AC91-AD91</f>
        <v>1187.144</v>
      </c>
      <c r="AF91" s="559">
        <f>AE91</f>
        <v>1187.144</v>
      </c>
      <c r="AG91" s="559">
        <f>AE91-AF91</f>
        <v>0</v>
      </c>
      <c r="AH91" s="559">
        <f>U91-AF91</f>
        <v>0</v>
      </c>
      <c r="AI91" s="594">
        <f t="shared" si="34"/>
        <v>1</v>
      </c>
      <c r="AL91" s="596"/>
      <c r="AM91" s="596"/>
      <c r="AN91" s="596"/>
      <c r="AO91" s="596"/>
      <c r="AP91" s="596"/>
      <c r="AQ91" s="596"/>
      <c r="AR91" s="596"/>
      <c r="AS91" s="596"/>
      <c r="AT91" s="596"/>
      <c r="AU91" s="596"/>
      <c r="AV91" s="596"/>
      <c r="AW91" s="596"/>
      <c r="AX91" s="596"/>
      <c r="AY91" s="596"/>
      <c r="AZ91" s="596"/>
      <c r="BA91" s="596"/>
      <c r="BB91" s="596"/>
      <c r="BC91" s="596"/>
      <c r="BD91" s="596"/>
      <c r="BE91" s="596"/>
      <c r="BF91" s="596"/>
      <c r="BG91" s="596"/>
      <c r="BH91" s="596"/>
      <c r="BI91" s="596"/>
      <c r="BJ91" s="596"/>
      <c r="BK91" s="596"/>
      <c r="BL91" s="596"/>
      <c r="BM91" s="596"/>
      <c r="BN91" s="596"/>
      <c r="BO91" s="596"/>
      <c r="BP91" s="596"/>
      <c r="BQ91" s="596"/>
      <c r="BR91" s="596"/>
      <c r="BS91" s="596"/>
      <c r="BT91" s="596"/>
      <c r="BU91" s="596"/>
    </row>
    <row r="92" spans="1:73" s="595" customFormat="1" ht="15">
      <c r="A92" s="1786">
        <v>27</v>
      </c>
      <c r="B92" s="1775" t="s">
        <v>1242</v>
      </c>
      <c r="C92" s="556" t="str">
        <f>[6]аоб!C82</f>
        <v>ИТОГО</v>
      </c>
      <c r="D92" s="557">
        <f t="shared" si="62"/>
        <v>98154.412000000011</v>
      </c>
      <c r="E92" s="557">
        <f t="shared" ref="E92:S92" si="69">E93+E94</f>
        <v>29432.100000000002</v>
      </c>
      <c r="F92" s="557">
        <f t="shared" si="69"/>
        <v>68722.312000000005</v>
      </c>
      <c r="G92" s="557">
        <f t="shared" si="69"/>
        <v>2208</v>
      </c>
      <c r="H92" s="557">
        <f t="shared" si="69"/>
        <v>103570.88900000001</v>
      </c>
      <c r="I92" s="557">
        <f t="shared" si="69"/>
        <v>15</v>
      </c>
      <c r="J92" s="557">
        <f t="shared" si="69"/>
        <v>5416.0430000000124</v>
      </c>
      <c r="K92" s="557">
        <f t="shared" si="69"/>
        <v>2193</v>
      </c>
      <c r="L92" s="557">
        <f t="shared" si="69"/>
        <v>98154.411999999997</v>
      </c>
      <c r="M92" s="557">
        <f t="shared" si="69"/>
        <v>98154.411999999997</v>
      </c>
      <c r="N92" s="557">
        <f t="shared" si="69"/>
        <v>29432.100000000002</v>
      </c>
      <c r="O92" s="557">
        <f t="shared" si="69"/>
        <v>0</v>
      </c>
      <c r="P92" s="557">
        <f>AL93+P94</f>
        <v>68722.311999999991</v>
      </c>
      <c r="Q92" s="557">
        <f t="shared" si="69"/>
        <v>68722.311999999991</v>
      </c>
      <c r="R92" s="557">
        <f t="shared" si="69"/>
        <v>0</v>
      </c>
      <c r="S92" s="557">
        <f t="shared" si="69"/>
        <v>0</v>
      </c>
      <c r="T92" s="588">
        <f t="shared" si="58"/>
        <v>0.99999999999999978</v>
      </c>
      <c r="U92" s="557">
        <f t="shared" ref="U92:AH92" si="70">U93+U94</f>
        <v>4684.0640000000003</v>
      </c>
      <c r="V92" s="557">
        <f t="shared" si="70"/>
        <v>102</v>
      </c>
      <c r="W92" s="557">
        <f t="shared" si="70"/>
        <v>4751.2329999999993</v>
      </c>
      <c r="X92" s="557">
        <f t="shared" si="70"/>
        <v>0</v>
      </c>
      <c r="Y92" s="557">
        <f t="shared" si="70"/>
        <v>67.168999999999528</v>
      </c>
      <c r="Z92" s="557">
        <f t="shared" si="70"/>
        <v>102</v>
      </c>
      <c r="AA92" s="557">
        <f t="shared" si="70"/>
        <v>4684.0640000000003</v>
      </c>
      <c r="AB92" s="557">
        <f t="shared" si="70"/>
        <v>4684.0640000000003</v>
      </c>
      <c r="AC92" s="557">
        <f t="shared" si="70"/>
        <v>0</v>
      </c>
      <c r="AD92" s="557">
        <f t="shared" si="70"/>
        <v>0</v>
      </c>
      <c r="AE92" s="557">
        <f t="shared" si="70"/>
        <v>4684.0640000000003</v>
      </c>
      <c r="AF92" s="557">
        <f t="shared" si="70"/>
        <v>4684.0640000000003</v>
      </c>
      <c r="AG92" s="557">
        <f t="shared" si="70"/>
        <v>0</v>
      </c>
      <c r="AH92" s="557">
        <f t="shared" si="70"/>
        <v>0</v>
      </c>
      <c r="AI92" s="589">
        <f t="shared" si="34"/>
        <v>1</v>
      </c>
      <c r="AL92" s="596"/>
      <c r="AM92" s="596"/>
      <c r="AN92" s="596"/>
      <c r="AO92" s="596"/>
      <c r="AP92" s="596"/>
      <c r="AQ92" s="596"/>
      <c r="AR92" s="596"/>
      <c r="AS92" s="596"/>
      <c r="AT92" s="596"/>
      <c r="AU92" s="596"/>
      <c r="AV92" s="596"/>
      <c r="AW92" s="596"/>
      <c r="AX92" s="596"/>
      <c r="AY92" s="596"/>
      <c r="AZ92" s="596"/>
      <c r="BA92" s="596"/>
      <c r="BB92" s="596"/>
      <c r="BC92" s="596"/>
      <c r="BD92" s="596"/>
      <c r="BE92" s="596"/>
      <c r="BF92" s="596"/>
      <c r="BG92" s="596"/>
      <c r="BH92" s="596"/>
      <c r="BI92" s="596"/>
      <c r="BJ92" s="596"/>
      <c r="BK92" s="596"/>
      <c r="BL92" s="596"/>
      <c r="BM92" s="596"/>
      <c r="BN92" s="596"/>
      <c r="BO92" s="596"/>
      <c r="BP92" s="596"/>
      <c r="BQ92" s="596"/>
      <c r="BR92" s="596"/>
      <c r="BS92" s="596"/>
      <c r="BT92" s="596"/>
      <c r="BU92" s="596"/>
    </row>
    <row r="93" spans="1:73" s="603" customFormat="1" ht="15">
      <c r="A93" s="1786"/>
      <c r="B93" s="1775"/>
      <c r="C93" s="558" t="str">
        <f>[6]аоб!C83</f>
        <v>СМП</v>
      </c>
      <c r="D93" s="559">
        <f t="shared" si="62"/>
        <v>85738.96100000001</v>
      </c>
      <c r="E93" s="559">
        <v>25574.400000000001</v>
      </c>
      <c r="F93" s="559">
        <v>60164.561000000002</v>
      </c>
      <c r="G93" s="559">
        <v>1414</v>
      </c>
      <c r="H93" s="559">
        <v>90387.054000000004</v>
      </c>
      <c r="I93" s="559">
        <v>6</v>
      </c>
      <c r="J93" s="559">
        <v>4647.6160000000091</v>
      </c>
      <c r="K93" s="559">
        <v>1408</v>
      </c>
      <c r="L93" s="559">
        <f>85738.938+0.023</f>
        <v>85738.960999999996</v>
      </c>
      <c r="M93" s="559">
        <f>L93</f>
        <v>85738.960999999996</v>
      </c>
      <c r="N93" s="559">
        <v>25574.400000000001</v>
      </c>
      <c r="O93" s="559">
        <v>0</v>
      </c>
      <c r="Q93" s="559">
        <f>AL93</f>
        <v>60164.560999999994</v>
      </c>
      <c r="R93" s="559">
        <f>AL93-Q93</f>
        <v>0</v>
      </c>
      <c r="S93" s="559">
        <f>F93-Q93</f>
        <v>0</v>
      </c>
      <c r="T93" s="597">
        <f t="shared" si="58"/>
        <v>0.99999999999999989</v>
      </c>
      <c r="U93" s="559">
        <v>4217.8890000000001</v>
      </c>
      <c r="V93" s="592">
        <v>65</v>
      </c>
      <c r="W93" s="592">
        <v>4265.4179999999997</v>
      </c>
      <c r="X93" s="592">
        <v>0</v>
      </c>
      <c r="Y93" s="592">
        <v>47.528999999999542</v>
      </c>
      <c r="Z93" s="592">
        <v>65</v>
      </c>
      <c r="AA93" s="592">
        <v>4217.8890000000001</v>
      </c>
      <c r="AB93" s="559">
        <f>AA93</f>
        <v>4217.8890000000001</v>
      </c>
      <c r="AC93" s="559">
        <v>0</v>
      </c>
      <c r="AD93" s="559">
        <v>0</v>
      </c>
      <c r="AE93" s="559">
        <f>AB93-AC93-AD93</f>
        <v>4217.8890000000001</v>
      </c>
      <c r="AF93" s="559">
        <f>AE93</f>
        <v>4217.8890000000001</v>
      </c>
      <c r="AG93" s="559">
        <f>AE93-AF93</f>
        <v>0</v>
      </c>
      <c r="AH93" s="559">
        <f>U93-AF93</f>
        <v>0</v>
      </c>
      <c r="AI93" s="594">
        <f t="shared" si="34"/>
        <v>1</v>
      </c>
      <c r="AL93" s="598">
        <f>M93-N93-O93</f>
        <v>60164.560999999994</v>
      </c>
      <c r="AM93" s="596"/>
      <c r="AN93" s="596"/>
      <c r="AO93" s="596"/>
      <c r="AP93" s="596"/>
      <c r="AQ93" s="596"/>
      <c r="AR93" s="596"/>
      <c r="AS93" s="596"/>
      <c r="AT93" s="596"/>
      <c r="AU93" s="596"/>
      <c r="AV93" s="596"/>
      <c r="AW93" s="596"/>
      <c r="AX93" s="596"/>
      <c r="AY93" s="596"/>
      <c r="AZ93" s="596"/>
      <c r="BA93" s="596"/>
      <c r="BB93" s="596"/>
      <c r="BC93" s="596"/>
      <c r="BD93" s="596"/>
      <c r="BE93" s="596"/>
      <c r="BF93" s="596"/>
      <c r="BG93" s="596"/>
      <c r="BH93" s="596"/>
      <c r="BI93" s="596"/>
      <c r="BJ93" s="596"/>
      <c r="BK93" s="596"/>
      <c r="BL93" s="596"/>
      <c r="BM93" s="596"/>
      <c r="BN93" s="596"/>
      <c r="BO93" s="596"/>
      <c r="BP93" s="596"/>
      <c r="BQ93" s="596"/>
      <c r="BR93" s="596"/>
      <c r="BS93" s="596"/>
      <c r="BT93" s="596"/>
      <c r="BU93" s="596"/>
    </row>
    <row r="94" spans="1:73" s="603" customFormat="1" ht="15">
      <c r="A94" s="1786"/>
      <c r="B94" s="1775"/>
      <c r="C94" s="558" t="str">
        <f>[6]аоб!C84</f>
        <v>СЗП</v>
      </c>
      <c r="D94" s="559">
        <f t="shared" si="62"/>
        <v>12415.451000000001</v>
      </c>
      <c r="E94" s="559">
        <v>3857.7</v>
      </c>
      <c r="F94" s="559">
        <v>8557.7510000000002</v>
      </c>
      <c r="G94" s="559">
        <v>794</v>
      </c>
      <c r="H94" s="559">
        <v>13183.835000000001</v>
      </c>
      <c r="I94" s="559">
        <v>9</v>
      </c>
      <c r="J94" s="559">
        <v>768.42700000000332</v>
      </c>
      <c r="K94" s="559">
        <v>785</v>
      </c>
      <c r="L94" s="559">
        <f>12415.408+0.043</f>
        <v>12415.450999999999</v>
      </c>
      <c r="M94" s="559">
        <f>L94</f>
        <v>12415.450999999999</v>
      </c>
      <c r="N94" s="559">
        <v>3857.7</v>
      </c>
      <c r="O94" s="559">
        <v>0</v>
      </c>
      <c r="P94" s="559">
        <f>M94-N94-O94</f>
        <v>8557.7510000000002</v>
      </c>
      <c r="Q94" s="559">
        <f>P94</f>
        <v>8557.7510000000002</v>
      </c>
      <c r="R94" s="559">
        <f>P94-Q94</f>
        <v>0</v>
      </c>
      <c r="S94" s="559">
        <f>F94-Q94</f>
        <v>0</v>
      </c>
      <c r="T94" s="597">
        <f t="shared" si="58"/>
        <v>1</v>
      </c>
      <c r="U94" s="559">
        <v>466.17500000000001</v>
      </c>
      <c r="V94" s="592">
        <v>37</v>
      </c>
      <c r="W94" s="592">
        <v>485.815</v>
      </c>
      <c r="X94" s="592">
        <v>0</v>
      </c>
      <c r="Y94" s="592">
        <v>19.639999999999986</v>
      </c>
      <c r="Z94" s="592">
        <v>37</v>
      </c>
      <c r="AA94" s="592">
        <v>466.17500000000001</v>
      </c>
      <c r="AB94" s="559">
        <f>AA94</f>
        <v>466.17500000000001</v>
      </c>
      <c r="AC94" s="559">
        <v>0</v>
      </c>
      <c r="AD94" s="559">
        <v>0</v>
      </c>
      <c r="AE94" s="559">
        <f>AB94-AC94-AD94</f>
        <v>466.17500000000001</v>
      </c>
      <c r="AF94" s="559">
        <f>AE94</f>
        <v>466.17500000000001</v>
      </c>
      <c r="AG94" s="559">
        <f>AE94-AF94</f>
        <v>0</v>
      </c>
      <c r="AH94" s="559">
        <f>U94-AF94</f>
        <v>0</v>
      </c>
      <c r="AI94" s="594">
        <f t="shared" si="34"/>
        <v>1</v>
      </c>
      <c r="AL94" s="596"/>
      <c r="AM94" s="596"/>
      <c r="AN94" s="596"/>
      <c r="AO94" s="596"/>
      <c r="AP94" s="596"/>
      <c r="AQ94" s="596"/>
      <c r="AR94" s="596"/>
      <c r="AS94" s="596"/>
      <c r="AT94" s="596"/>
      <c r="AU94" s="596"/>
      <c r="AV94" s="596"/>
      <c r="AW94" s="596"/>
      <c r="AX94" s="596"/>
      <c r="AY94" s="596"/>
      <c r="AZ94" s="596"/>
      <c r="BA94" s="596"/>
      <c r="BB94" s="596"/>
      <c r="BC94" s="596"/>
      <c r="BD94" s="596"/>
      <c r="BE94" s="596"/>
      <c r="BF94" s="596"/>
      <c r="BG94" s="596"/>
      <c r="BH94" s="596"/>
      <c r="BI94" s="596"/>
      <c r="BJ94" s="596"/>
      <c r="BK94" s="596"/>
      <c r="BL94" s="596"/>
      <c r="BM94" s="596"/>
      <c r="BN94" s="596"/>
      <c r="BO94" s="596"/>
      <c r="BP94" s="596"/>
      <c r="BQ94" s="596"/>
      <c r="BR94" s="596"/>
      <c r="BS94" s="596"/>
      <c r="BT94" s="596"/>
      <c r="BU94" s="596"/>
    </row>
    <row r="95" spans="1:73" s="595" customFormat="1" ht="15">
      <c r="A95" s="1786">
        <v>28</v>
      </c>
      <c r="B95" s="1775" t="s">
        <v>1243</v>
      </c>
      <c r="C95" s="556" t="str">
        <f>[6]аоб!C85</f>
        <v>ИТОГО</v>
      </c>
      <c r="D95" s="557">
        <f t="shared" si="62"/>
        <v>170837.30499999999</v>
      </c>
      <c r="E95" s="557">
        <f t="shared" ref="E95:S95" si="71">E96+E97</f>
        <v>51174.600000000006</v>
      </c>
      <c r="F95" s="557">
        <f t="shared" si="71"/>
        <v>119662.705</v>
      </c>
      <c r="G95" s="557">
        <f t="shared" si="71"/>
        <v>4361</v>
      </c>
      <c r="H95" s="557">
        <f t="shared" si="71"/>
        <v>174809.72899999999</v>
      </c>
      <c r="I95" s="557">
        <f t="shared" si="71"/>
        <v>8</v>
      </c>
      <c r="J95" s="557">
        <f t="shared" si="71"/>
        <v>3972.004999999961</v>
      </c>
      <c r="K95" s="557">
        <f t="shared" si="71"/>
        <v>4353</v>
      </c>
      <c r="L95" s="557">
        <f t="shared" si="71"/>
        <v>170837.30499999999</v>
      </c>
      <c r="M95" s="557">
        <f t="shared" si="71"/>
        <v>170837.30499999999</v>
      </c>
      <c r="N95" s="557">
        <f t="shared" si="71"/>
        <v>51174.600000000006</v>
      </c>
      <c r="O95" s="557">
        <f t="shared" si="71"/>
        <v>0</v>
      </c>
      <c r="P95" s="557">
        <f>AL96+P97</f>
        <v>119662.70500000002</v>
      </c>
      <c r="Q95" s="557">
        <f t="shared" si="71"/>
        <v>119662.70500000002</v>
      </c>
      <c r="R95" s="557">
        <f t="shared" si="71"/>
        <v>0</v>
      </c>
      <c r="S95" s="557">
        <f t="shared" si="71"/>
        <v>0</v>
      </c>
      <c r="T95" s="588">
        <f t="shared" si="58"/>
        <v>1.0000000000000002</v>
      </c>
      <c r="U95" s="557">
        <f t="shared" ref="U95:AH95" si="72">U96+U97</f>
        <v>6926.3069999999998</v>
      </c>
      <c r="V95" s="557">
        <f t="shared" si="72"/>
        <v>141</v>
      </c>
      <c r="W95" s="557">
        <f t="shared" si="72"/>
        <v>5885.9660000000003</v>
      </c>
      <c r="X95" s="557">
        <f t="shared" si="72"/>
        <v>0</v>
      </c>
      <c r="Y95" s="557">
        <f t="shared" si="72"/>
        <v>0</v>
      </c>
      <c r="Z95" s="557">
        <f t="shared" si="72"/>
        <v>141</v>
      </c>
      <c r="AA95" s="557">
        <f t="shared" si="72"/>
        <v>6926.3069999999998</v>
      </c>
      <c r="AB95" s="557">
        <f t="shared" si="72"/>
        <v>6926.3069999999998</v>
      </c>
      <c r="AC95" s="557">
        <f t="shared" si="72"/>
        <v>0</v>
      </c>
      <c r="AD95" s="557">
        <f t="shared" si="72"/>
        <v>0</v>
      </c>
      <c r="AE95" s="557">
        <f t="shared" si="72"/>
        <v>6926.3069999999998</v>
      </c>
      <c r="AF95" s="557">
        <f t="shared" si="72"/>
        <v>6926.3069999999998</v>
      </c>
      <c r="AG95" s="557">
        <f t="shared" si="72"/>
        <v>0</v>
      </c>
      <c r="AH95" s="557">
        <f t="shared" si="72"/>
        <v>0</v>
      </c>
      <c r="AI95" s="589">
        <f t="shared" si="34"/>
        <v>1</v>
      </c>
      <c r="AL95" s="596"/>
      <c r="AM95" s="596"/>
      <c r="AN95" s="596"/>
      <c r="AO95" s="596"/>
      <c r="AP95" s="596"/>
      <c r="AQ95" s="596"/>
      <c r="AR95" s="596"/>
      <c r="AS95" s="596"/>
      <c r="AT95" s="596"/>
      <c r="AU95" s="596"/>
      <c r="AV95" s="596"/>
      <c r="AW95" s="596"/>
      <c r="AX95" s="596"/>
      <c r="AY95" s="596"/>
      <c r="AZ95" s="596"/>
      <c r="BA95" s="596"/>
      <c r="BB95" s="596"/>
      <c r="BC95" s="596"/>
      <c r="BD95" s="596"/>
      <c r="BE95" s="596"/>
      <c r="BF95" s="596"/>
      <c r="BG95" s="596"/>
      <c r="BH95" s="596"/>
      <c r="BI95" s="596"/>
      <c r="BJ95" s="596"/>
      <c r="BK95" s="596"/>
      <c r="BL95" s="596"/>
      <c r="BM95" s="596"/>
      <c r="BN95" s="596"/>
      <c r="BO95" s="596"/>
      <c r="BP95" s="596"/>
      <c r="BQ95" s="596"/>
      <c r="BR95" s="596"/>
      <c r="BS95" s="596"/>
      <c r="BT95" s="596"/>
      <c r="BU95" s="596"/>
    </row>
    <row r="96" spans="1:73" s="603" customFormat="1" ht="15">
      <c r="A96" s="1786"/>
      <c r="B96" s="1775"/>
      <c r="C96" s="558" t="str">
        <f>[6]аоб!C86</f>
        <v>СМП</v>
      </c>
      <c r="D96" s="559">
        <f t="shared" si="62"/>
        <v>139366.94500000001</v>
      </c>
      <c r="E96" s="559">
        <v>42482.400000000001</v>
      </c>
      <c r="F96" s="559">
        <v>96884.544999999998</v>
      </c>
      <c r="G96" s="559">
        <v>2096</v>
      </c>
      <c r="H96" s="559">
        <v>141844.70299999998</v>
      </c>
      <c r="I96" s="559">
        <v>8</v>
      </c>
      <c r="J96" s="559">
        <v>2477.7939999999653</v>
      </c>
      <c r="K96" s="559">
        <v>2088</v>
      </c>
      <c r="L96" s="559">
        <f>139366.909+0.036</f>
        <v>139366.94500000001</v>
      </c>
      <c r="M96" s="559">
        <f>L96</f>
        <v>139366.94500000001</v>
      </c>
      <c r="N96" s="559">
        <v>42482.400000000001</v>
      </c>
      <c r="O96" s="559">
        <v>0</v>
      </c>
      <c r="Q96" s="559">
        <f>AL96</f>
        <v>96884.545000000013</v>
      </c>
      <c r="R96" s="559">
        <f>AL96-Q96</f>
        <v>0</v>
      </c>
      <c r="S96" s="559">
        <f>F96-Q96</f>
        <v>0</v>
      </c>
      <c r="T96" s="597">
        <f t="shared" si="58"/>
        <v>1.0000000000000002</v>
      </c>
      <c r="U96" s="559">
        <v>5732.2359999999999</v>
      </c>
      <c r="V96" s="592">
        <v>65</v>
      </c>
      <c r="W96" s="592">
        <v>4691.8950000000004</v>
      </c>
      <c r="X96" s="592">
        <v>0</v>
      </c>
      <c r="Y96" s="592"/>
      <c r="Z96" s="592">
        <v>65</v>
      </c>
      <c r="AA96" s="592">
        <v>5732.2359999999999</v>
      </c>
      <c r="AB96" s="559">
        <f>AA96</f>
        <v>5732.2359999999999</v>
      </c>
      <c r="AC96" s="559">
        <v>0</v>
      </c>
      <c r="AD96" s="559">
        <v>0</v>
      </c>
      <c r="AE96" s="559">
        <f>AB96-AC96-AD96</f>
        <v>5732.2359999999999</v>
      </c>
      <c r="AF96" s="559">
        <f>AE96</f>
        <v>5732.2359999999999</v>
      </c>
      <c r="AG96" s="559">
        <f>AE96-AF96</f>
        <v>0</v>
      </c>
      <c r="AH96" s="559">
        <f>U96-AF96</f>
        <v>0</v>
      </c>
      <c r="AI96" s="594">
        <f t="shared" si="34"/>
        <v>1</v>
      </c>
      <c r="AL96" s="598">
        <f>M96-N96-O96</f>
        <v>96884.545000000013</v>
      </c>
      <c r="AM96" s="596"/>
      <c r="AN96" s="596"/>
      <c r="AO96" s="596"/>
      <c r="AP96" s="596"/>
      <c r="AQ96" s="596"/>
      <c r="AR96" s="596"/>
      <c r="AS96" s="596"/>
      <c r="AT96" s="596"/>
      <c r="AU96" s="596"/>
      <c r="AV96" s="596"/>
      <c r="AW96" s="596"/>
      <c r="AX96" s="596"/>
      <c r="AY96" s="596"/>
      <c r="AZ96" s="596"/>
      <c r="BA96" s="596"/>
      <c r="BB96" s="596"/>
      <c r="BC96" s="596"/>
      <c r="BD96" s="596"/>
      <c r="BE96" s="596"/>
      <c r="BF96" s="596"/>
      <c r="BG96" s="596"/>
      <c r="BH96" s="596"/>
      <c r="BI96" s="596"/>
      <c r="BJ96" s="596"/>
      <c r="BK96" s="596"/>
      <c r="BL96" s="596"/>
      <c r="BM96" s="596"/>
      <c r="BN96" s="596"/>
      <c r="BO96" s="596"/>
      <c r="BP96" s="596"/>
      <c r="BQ96" s="596"/>
      <c r="BR96" s="596"/>
      <c r="BS96" s="596"/>
      <c r="BT96" s="596"/>
      <c r="BU96" s="596"/>
    </row>
    <row r="97" spans="1:73" s="603" customFormat="1" ht="15">
      <c r="A97" s="1786"/>
      <c r="B97" s="1775"/>
      <c r="C97" s="558" t="str">
        <f>[6]аоб!C87</f>
        <v>СЗП</v>
      </c>
      <c r="D97" s="559">
        <f t="shared" si="62"/>
        <v>31470.36</v>
      </c>
      <c r="E97" s="559">
        <v>8692.2000000000007</v>
      </c>
      <c r="F97" s="559">
        <v>22778.16</v>
      </c>
      <c r="G97" s="559">
        <v>2265</v>
      </c>
      <c r="H97" s="559">
        <v>32965.025999999998</v>
      </c>
      <c r="I97" s="559">
        <v>0</v>
      </c>
      <c r="J97" s="559">
        <v>1494.2109999999957</v>
      </c>
      <c r="K97" s="559">
        <v>2265</v>
      </c>
      <c r="L97" s="559">
        <f>31470.315+0.045</f>
        <v>31470.359999999997</v>
      </c>
      <c r="M97" s="559">
        <f>L97</f>
        <v>31470.359999999997</v>
      </c>
      <c r="N97" s="559">
        <v>8692.2000000000007</v>
      </c>
      <c r="O97" s="559">
        <v>0</v>
      </c>
      <c r="P97" s="559">
        <f>M97-N97-O97</f>
        <v>22778.159999999996</v>
      </c>
      <c r="Q97" s="559">
        <f>P97</f>
        <v>22778.159999999996</v>
      </c>
      <c r="R97" s="559">
        <f>P97-Q97</f>
        <v>0</v>
      </c>
      <c r="S97" s="559">
        <f>F97-Q97</f>
        <v>0</v>
      </c>
      <c r="T97" s="597">
        <f t="shared" si="58"/>
        <v>0.99999999999999989</v>
      </c>
      <c r="U97" s="559">
        <v>1194.0709999999999</v>
      </c>
      <c r="V97" s="559">
        <v>76</v>
      </c>
      <c r="W97" s="559">
        <v>1194.0709999999999</v>
      </c>
      <c r="X97" s="592">
        <v>0</v>
      </c>
      <c r="Y97" s="592">
        <v>0</v>
      </c>
      <c r="Z97" s="559">
        <v>76</v>
      </c>
      <c r="AA97" s="559">
        <v>1194.0709999999999</v>
      </c>
      <c r="AB97" s="559">
        <f>AA97</f>
        <v>1194.0709999999999</v>
      </c>
      <c r="AC97" s="559">
        <v>0</v>
      </c>
      <c r="AD97" s="559">
        <v>0</v>
      </c>
      <c r="AE97" s="559">
        <f>AB97-AC97-AD97</f>
        <v>1194.0709999999999</v>
      </c>
      <c r="AF97" s="559">
        <f>AE97</f>
        <v>1194.0709999999999</v>
      </c>
      <c r="AG97" s="559">
        <f>AE97-AF97</f>
        <v>0</v>
      </c>
      <c r="AH97" s="559">
        <f>U97-AF97</f>
        <v>0</v>
      </c>
      <c r="AI97" s="594">
        <f t="shared" si="34"/>
        <v>1</v>
      </c>
      <c r="AL97" s="596"/>
      <c r="AM97" s="596"/>
      <c r="AN97" s="596"/>
      <c r="AO97" s="596"/>
      <c r="AP97" s="596"/>
      <c r="AQ97" s="596"/>
      <c r="AR97" s="596"/>
      <c r="AS97" s="596"/>
      <c r="AT97" s="596"/>
      <c r="AU97" s="596"/>
      <c r="AV97" s="596"/>
      <c r="AW97" s="596"/>
      <c r="AX97" s="596"/>
      <c r="AY97" s="596"/>
      <c r="AZ97" s="596"/>
      <c r="BA97" s="596"/>
      <c r="BB97" s="596"/>
      <c r="BC97" s="596"/>
      <c r="BD97" s="596"/>
      <c r="BE97" s="596"/>
      <c r="BF97" s="596"/>
      <c r="BG97" s="596"/>
      <c r="BH97" s="596"/>
      <c r="BI97" s="596"/>
      <c r="BJ97" s="596"/>
      <c r="BK97" s="596"/>
      <c r="BL97" s="596"/>
      <c r="BM97" s="596"/>
      <c r="BN97" s="596"/>
      <c r="BO97" s="596"/>
      <c r="BP97" s="596"/>
      <c r="BQ97" s="596"/>
      <c r="BR97" s="596"/>
      <c r="BS97" s="596"/>
      <c r="BT97" s="596"/>
      <c r="BU97" s="596"/>
    </row>
    <row r="98" spans="1:73" s="595" customFormat="1" ht="15">
      <c r="A98" s="1786">
        <v>29</v>
      </c>
      <c r="B98" s="1775" t="s">
        <v>1244</v>
      </c>
      <c r="C98" s="556" t="str">
        <f>[6]аоб!C88</f>
        <v>ИТОГО</v>
      </c>
      <c r="D98" s="557">
        <f t="shared" si="62"/>
        <v>78972.319000000003</v>
      </c>
      <c r="E98" s="557">
        <f t="shared" ref="E98:S98" si="73">E99+E100</f>
        <v>25055.100000000002</v>
      </c>
      <c r="F98" s="557">
        <f t="shared" si="73"/>
        <v>53917.218999999997</v>
      </c>
      <c r="G98" s="557">
        <f t="shared" si="73"/>
        <v>1397</v>
      </c>
      <c r="H98" s="557">
        <f t="shared" si="73"/>
        <v>81989.952999999994</v>
      </c>
      <c r="I98" s="557">
        <f t="shared" si="73"/>
        <v>4</v>
      </c>
      <c r="J98" s="557">
        <f t="shared" si="73"/>
        <v>3017.8659999999991</v>
      </c>
      <c r="K98" s="557">
        <f t="shared" si="73"/>
        <v>1393</v>
      </c>
      <c r="L98" s="557">
        <f t="shared" si="73"/>
        <v>78972.319000000003</v>
      </c>
      <c r="M98" s="557">
        <f t="shared" si="73"/>
        <v>78972.319000000003</v>
      </c>
      <c r="N98" s="557">
        <f t="shared" si="73"/>
        <v>25055.100000000002</v>
      </c>
      <c r="O98" s="557">
        <f t="shared" si="73"/>
        <v>0</v>
      </c>
      <c r="P98" s="557">
        <f>AL99+P100</f>
        <v>53917.219000000012</v>
      </c>
      <c r="Q98" s="557">
        <f t="shared" si="73"/>
        <v>53917.219000000012</v>
      </c>
      <c r="R98" s="557">
        <f t="shared" si="73"/>
        <v>0</v>
      </c>
      <c r="S98" s="557">
        <f t="shared" si="73"/>
        <v>-1.2278178473934531E-11</v>
      </c>
      <c r="T98" s="588">
        <f t="shared" si="58"/>
        <v>1.0000000000000002</v>
      </c>
      <c r="U98" s="557">
        <f t="shared" ref="U98:AH98" si="74">U99+U100</f>
        <v>4123.6660000000002</v>
      </c>
      <c r="V98" s="557">
        <f t="shared" si="74"/>
        <v>67</v>
      </c>
      <c r="W98" s="557">
        <f t="shared" si="74"/>
        <v>4301.4969999999994</v>
      </c>
      <c r="X98" s="557">
        <f t="shared" si="74"/>
        <v>0</v>
      </c>
      <c r="Y98" s="557">
        <f t="shared" si="74"/>
        <v>177.83099999999968</v>
      </c>
      <c r="Z98" s="557">
        <f t="shared" si="74"/>
        <v>67</v>
      </c>
      <c r="AA98" s="557">
        <f t="shared" si="74"/>
        <v>4123.6660000000002</v>
      </c>
      <c r="AB98" s="557">
        <f t="shared" si="74"/>
        <v>4123.6660000000002</v>
      </c>
      <c r="AC98" s="557">
        <f t="shared" si="74"/>
        <v>0</v>
      </c>
      <c r="AD98" s="557">
        <f t="shared" si="74"/>
        <v>0</v>
      </c>
      <c r="AE98" s="557">
        <f t="shared" si="74"/>
        <v>4123.6660000000002</v>
      </c>
      <c r="AF98" s="557">
        <f t="shared" si="74"/>
        <v>4123.6660000000002</v>
      </c>
      <c r="AG98" s="557">
        <f t="shared" si="74"/>
        <v>0</v>
      </c>
      <c r="AH98" s="557">
        <f t="shared" si="74"/>
        <v>0</v>
      </c>
      <c r="AI98" s="589">
        <f t="shared" si="34"/>
        <v>1</v>
      </c>
      <c r="AL98" s="596"/>
      <c r="AM98" s="596"/>
      <c r="AN98" s="596"/>
      <c r="AO98" s="596"/>
      <c r="AP98" s="596"/>
      <c r="AQ98" s="596"/>
      <c r="AR98" s="596"/>
      <c r="AS98" s="596"/>
      <c r="AT98" s="596"/>
      <c r="AU98" s="596"/>
      <c r="AV98" s="596"/>
      <c r="AW98" s="596"/>
      <c r="AX98" s="596"/>
      <c r="AY98" s="596"/>
      <c r="AZ98" s="596"/>
      <c r="BA98" s="596"/>
      <c r="BB98" s="596"/>
      <c r="BC98" s="596"/>
      <c r="BD98" s="596"/>
      <c r="BE98" s="596"/>
      <c r="BF98" s="596"/>
      <c r="BG98" s="596"/>
      <c r="BH98" s="596"/>
      <c r="BI98" s="596"/>
      <c r="BJ98" s="596"/>
      <c r="BK98" s="596"/>
      <c r="BL98" s="596"/>
      <c r="BM98" s="596"/>
      <c r="BN98" s="596"/>
      <c r="BO98" s="596"/>
      <c r="BP98" s="596"/>
      <c r="BQ98" s="596"/>
      <c r="BR98" s="596"/>
      <c r="BS98" s="596"/>
      <c r="BT98" s="596"/>
      <c r="BU98" s="596"/>
    </row>
    <row r="99" spans="1:73" s="603" customFormat="1" ht="15">
      <c r="A99" s="1786"/>
      <c r="B99" s="1775"/>
      <c r="C99" s="558" t="str">
        <f>[6]аоб!C89</f>
        <v>СМП</v>
      </c>
      <c r="D99" s="559">
        <f t="shared" si="62"/>
        <v>71760.45</v>
      </c>
      <c r="E99" s="559">
        <v>22603.200000000001</v>
      </c>
      <c r="F99" s="559">
        <v>49157.25</v>
      </c>
      <c r="G99" s="559">
        <v>1080</v>
      </c>
      <c r="H99" s="559">
        <v>77134.614999999991</v>
      </c>
      <c r="I99" s="559">
        <v>4</v>
      </c>
      <c r="J99" s="559">
        <v>2964.2609999999986</v>
      </c>
      <c r="K99" s="559">
        <v>1076</v>
      </c>
      <c r="L99" s="559">
        <f>74170.354+0.232</f>
        <v>74170.58600000001</v>
      </c>
      <c r="M99" s="559">
        <f>L99</f>
        <v>74170.58600000001</v>
      </c>
      <c r="N99" s="559">
        <v>22603.200000000001</v>
      </c>
      <c r="O99" s="559">
        <v>0</v>
      </c>
      <c r="Q99" s="559">
        <f>AL99</f>
        <v>51567.386000000013</v>
      </c>
      <c r="R99" s="559">
        <f>AL99-Q99</f>
        <v>0</v>
      </c>
      <c r="S99" s="559">
        <f>F99-Q99</f>
        <v>-2410.1360000000132</v>
      </c>
      <c r="T99" s="597">
        <f t="shared" si="58"/>
        <v>1.0490291055744578</v>
      </c>
      <c r="U99" s="559">
        <v>3888.3510000000001</v>
      </c>
      <c r="V99" s="592">
        <v>52</v>
      </c>
      <c r="W99" s="592">
        <v>4066.1819999999998</v>
      </c>
      <c r="X99" s="592">
        <v>0</v>
      </c>
      <c r="Y99" s="592">
        <v>177.83099999999968</v>
      </c>
      <c r="Z99" s="592">
        <v>52</v>
      </c>
      <c r="AA99" s="592">
        <v>3888.3510000000001</v>
      </c>
      <c r="AB99" s="559">
        <f>AA99</f>
        <v>3888.3510000000001</v>
      </c>
      <c r="AC99" s="559">
        <v>0</v>
      </c>
      <c r="AD99" s="559">
        <v>0</v>
      </c>
      <c r="AE99" s="559">
        <f>AB99-AC99-AD99</f>
        <v>3888.3510000000001</v>
      </c>
      <c r="AF99" s="559">
        <f>AE99</f>
        <v>3888.3510000000001</v>
      </c>
      <c r="AG99" s="559">
        <f>AE99-AF99</f>
        <v>0</v>
      </c>
      <c r="AH99" s="559">
        <f>U99-AF99</f>
        <v>0</v>
      </c>
      <c r="AI99" s="594">
        <f t="shared" si="34"/>
        <v>1</v>
      </c>
      <c r="AL99" s="598">
        <f>M99-N99-O99</f>
        <v>51567.386000000013</v>
      </c>
      <c r="AM99" s="596"/>
      <c r="AN99" s="596"/>
      <c r="AO99" s="596"/>
      <c r="AP99" s="596"/>
      <c r="AQ99" s="596"/>
      <c r="AR99" s="596"/>
      <c r="AS99" s="596"/>
      <c r="AT99" s="596"/>
      <c r="AU99" s="596"/>
      <c r="AV99" s="596"/>
      <c r="AW99" s="596"/>
      <c r="AX99" s="596"/>
      <c r="AY99" s="596"/>
      <c r="AZ99" s="596"/>
      <c r="BA99" s="596"/>
      <c r="BB99" s="596"/>
      <c r="BC99" s="596"/>
      <c r="BD99" s="596"/>
      <c r="BE99" s="596"/>
      <c r="BF99" s="596"/>
      <c r="BG99" s="596"/>
      <c r="BH99" s="596"/>
      <c r="BI99" s="596"/>
      <c r="BJ99" s="596"/>
      <c r="BK99" s="596"/>
      <c r="BL99" s="596"/>
      <c r="BM99" s="596"/>
      <c r="BN99" s="596"/>
      <c r="BO99" s="596"/>
      <c r="BP99" s="596"/>
      <c r="BQ99" s="596"/>
      <c r="BR99" s="596"/>
      <c r="BS99" s="596"/>
      <c r="BT99" s="596"/>
      <c r="BU99" s="596"/>
    </row>
    <row r="100" spans="1:73" s="603" customFormat="1" ht="15">
      <c r="A100" s="1786"/>
      <c r="B100" s="1775"/>
      <c r="C100" s="558" t="str">
        <f>[6]аоб!C90</f>
        <v>СЗП</v>
      </c>
      <c r="D100" s="559">
        <f t="shared" si="62"/>
        <v>7211.8690000000006</v>
      </c>
      <c r="E100" s="559">
        <v>2451.9</v>
      </c>
      <c r="F100" s="559">
        <v>4759.9690000000001</v>
      </c>
      <c r="G100" s="559">
        <v>317</v>
      </c>
      <c r="H100" s="559">
        <v>4855.3379999999997</v>
      </c>
      <c r="I100" s="559">
        <v>0</v>
      </c>
      <c r="J100" s="559">
        <v>53.605000000000473</v>
      </c>
      <c r="K100" s="559">
        <v>317</v>
      </c>
      <c r="L100" s="559">
        <v>4801.7329999999993</v>
      </c>
      <c r="M100" s="559">
        <f>L100</f>
        <v>4801.7329999999993</v>
      </c>
      <c r="N100" s="559">
        <v>2451.9</v>
      </c>
      <c r="O100" s="559">
        <v>0</v>
      </c>
      <c r="P100" s="559">
        <f>M100-N100-O100</f>
        <v>2349.8329999999992</v>
      </c>
      <c r="Q100" s="559">
        <f>P100</f>
        <v>2349.8329999999992</v>
      </c>
      <c r="R100" s="559">
        <f>P100-Q100</f>
        <v>0</v>
      </c>
      <c r="S100" s="559">
        <f>F100-Q100</f>
        <v>2410.1360000000009</v>
      </c>
      <c r="T100" s="597">
        <f t="shared" si="58"/>
        <v>0.49366561000712383</v>
      </c>
      <c r="U100" s="559">
        <v>235.315</v>
      </c>
      <c r="V100" s="592">
        <v>15</v>
      </c>
      <c r="W100" s="592">
        <v>235.315</v>
      </c>
      <c r="X100" s="592">
        <v>0</v>
      </c>
      <c r="Y100" s="592">
        <v>0</v>
      </c>
      <c r="Z100" s="592">
        <v>15</v>
      </c>
      <c r="AA100" s="592">
        <v>235.315</v>
      </c>
      <c r="AB100" s="559">
        <f>AA100</f>
        <v>235.315</v>
      </c>
      <c r="AC100" s="559">
        <v>0</v>
      </c>
      <c r="AD100" s="559">
        <v>0</v>
      </c>
      <c r="AE100" s="559">
        <f>AB100-AC100-AD100</f>
        <v>235.315</v>
      </c>
      <c r="AF100" s="559">
        <f>AE100</f>
        <v>235.315</v>
      </c>
      <c r="AG100" s="559">
        <f>AE100-AF100</f>
        <v>0</v>
      </c>
      <c r="AH100" s="559">
        <f>U100-AF100</f>
        <v>0</v>
      </c>
      <c r="AI100" s="594">
        <f t="shared" si="34"/>
        <v>1</v>
      </c>
      <c r="AL100" s="596"/>
      <c r="AM100" s="596"/>
      <c r="AN100" s="596"/>
      <c r="AO100" s="596"/>
      <c r="AP100" s="596"/>
      <c r="AQ100" s="596"/>
      <c r="AR100" s="596"/>
      <c r="AS100" s="596"/>
      <c r="AT100" s="596"/>
      <c r="AU100" s="596"/>
      <c r="AV100" s="596"/>
      <c r="AW100" s="596"/>
      <c r="AX100" s="596"/>
      <c r="AY100" s="596"/>
      <c r="AZ100" s="596"/>
      <c r="BA100" s="596"/>
      <c r="BB100" s="596"/>
      <c r="BC100" s="596"/>
      <c r="BD100" s="596"/>
      <c r="BE100" s="596"/>
      <c r="BF100" s="596"/>
      <c r="BG100" s="596"/>
      <c r="BH100" s="596"/>
      <c r="BI100" s="596"/>
      <c r="BJ100" s="596"/>
      <c r="BK100" s="596"/>
      <c r="BL100" s="596"/>
      <c r="BM100" s="596"/>
      <c r="BN100" s="596"/>
      <c r="BO100" s="596"/>
      <c r="BP100" s="596"/>
      <c r="BQ100" s="596"/>
      <c r="BR100" s="596"/>
      <c r="BS100" s="596"/>
      <c r="BT100" s="596"/>
      <c r="BU100" s="596"/>
    </row>
    <row r="101" spans="1:73" s="595" customFormat="1" ht="15">
      <c r="A101" s="1786">
        <v>30</v>
      </c>
      <c r="B101" s="1775" t="s">
        <v>1245</v>
      </c>
      <c r="C101" s="556" t="str">
        <f>[6]аоб!C91</f>
        <v>ИТОГО</v>
      </c>
      <c r="D101" s="557">
        <f t="shared" si="62"/>
        <v>178173.72399999999</v>
      </c>
      <c r="E101" s="557">
        <f t="shared" ref="E101:S101" si="75">E102+E103</f>
        <v>51221.7</v>
      </c>
      <c r="F101" s="557">
        <f t="shared" si="75"/>
        <v>126952.024</v>
      </c>
      <c r="G101" s="557">
        <f t="shared" si="75"/>
        <v>4031</v>
      </c>
      <c r="H101" s="557">
        <f t="shared" si="75"/>
        <v>187796.76</v>
      </c>
      <c r="I101" s="557">
        <f t="shared" si="75"/>
        <v>10</v>
      </c>
      <c r="J101" s="557">
        <f t="shared" si="75"/>
        <v>9623.2380000000085</v>
      </c>
      <c r="K101" s="557">
        <f t="shared" si="75"/>
        <v>4021</v>
      </c>
      <c r="L101" s="557">
        <f t="shared" si="75"/>
        <v>178173.72400000002</v>
      </c>
      <c r="M101" s="557">
        <f t="shared" si="75"/>
        <v>178173.72400000002</v>
      </c>
      <c r="N101" s="557">
        <f t="shared" si="75"/>
        <v>51221.7</v>
      </c>
      <c r="O101" s="557">
        <f t="shared" si="75"/>
        <v>0</v>
      </c>
      <c r="P101" s="557">
        <f>AL102+P103</f>
        <v>126952.024</v>
      </c>
      <c r="Q101" s="557">
        <f t="shared" si="75"/>
        <v>126952.024</v>
      </c>
      <c r="R101" s="557">
        <f t="shared" si="75"/>
        <v>0</v>
      </c>
      <c r="S101" s="557">
        <f t="shared" si="75"/>
        <v>0</v>
      </c>
      <c r="T101" s="588">
        <f t="shared" si="58"/>
        <v>1</v>
      </c>
      <c r="U101" s="557">
        <f t="shared" ref="U101:AH101" si="76">U102+U103</f>
        <v>9443.9079999999994</v>
      </c>
      <c r="V101" s="557">
        <f t="shared" si="76"/>
        <v>164</v>
      </c>
      <c r="W101" s="557">
        <f t="shared" si="76"/>
        <v>9508.8420000000006</v>
      </c>
      <c r="X101" s="557">
        <f t="shared" si="76"/>
        <v>0</v>
      </c>
      <c r="Y101" s="557">
        <f t="shared" si="76"/>
        <v>64.934000000000538</v>
      </c>
      <c r="Z101" s="557">
        <f t="shared" si="76"/>
        <v>164</v>
      </c>
      <c r="AA101" s="557">
        <f t="shared" si="76"/>
        <v>9443.9079999999994</v>
      </c>
      <c r="AB101" s="557">
        <f t="shared" si="76"/>
        <v>9443.9079999999994</v>
      </c>
      <c r="AC101" s="557">
        <f t="shared" si="76"/>
        <v>0</v>
      </c>
      <c r="AD101" s="557">
        <f t="shared" si="76"/>
        <v>0</v>
      </c>
      <c r="AE101" s="557">
        <f t="shared" si="76"/>
        <v>9443.9079999999994</v>
      </c>
      <c r="AF101" s="557">
        <f t="shared" si="76"/>
        <v>9443.9079999999994</v>
      </c>
      <c r="AG101" s="557">
        <f t="shared" si="76"/>
        <v>0</v>
      </c>
      <c r="AH101" s="557">
        <f t="shared" si="76"/>
        <v>0</v>
      </c>
      <c r="AI101" s="589">
        <f t="shared" si="34"/>
        <v>1</v>
      </c>
      <c r="AL101" s="596"/>
      <c r="AM101" s="596"/>
      <c r="AN101" s="596"/>
      <c r="AO101" s="596"/>
      <c r="AP101" s="596"/>
      <c r="AQ101" s="596"/>
      <c r="AR101" s="596"/>
      <c r="AS101" s="596"/>
      <c r="AT101" s="596"/>
      <c r="AU101" s="596"/>
      <c r="AV101" s="596"/>
      <c r="AW101" s="596"/>
      <c r="AX101" s="596"/>
      <c r="AY101" s="596"/>
      <c r="AZ101" s="596"/>
      <c r="BA101" s="596"/>
      <c r="BB101" s="596"/>
      <c r="BC101" s="596"/>
      <c r="BD101" s="596"/>
      <c r="BE101" s="596"/>
      <c r="BF101" s="596"/>
      <c r="BG101" s="596"/>
      <c r="BH101" s="596"/>
      <c r="BI101" s="596"/>
      <c r="BJ101" s="596"/>
      <c r="BK101" s="596"/>
      <c r="BL101" s="596"/>
      <c r="BM101" s="596"/>
      <c r="BN101" s="596"/>
      <c r="BO101" s="596"/>
      <c r="BP101" s="596"/>
      <c r="BQ101" s="596"/>
      <c r="BR101" s="596"/>
      <c r="BS101" s="596"/>
      <c r="BT101" s="596"/>
      <c r="BU101" s="596"/>
    </row>
    <row r="102" spans="1:73" s="603" customFormat="1" ht="15">
      <c r="A102" s="1786"/>
      <c r="B102" s="1775"/>
      <c r="C102" s="558" t="str">
        <f>[6]аоб!C92</f>
        <v>СМП</v>
      </c>
      <c r="D102" s="559">
        <f t="shared" si="62"/>
        <v>154603.85800000001</v>
      </c>
      <c r="E102" s="559">
        <v>45760.2</v>
      </c>
      <c r="F102" s="559">
        <v>108843.65800000001</v>
      </c>
      <c r="G102" s="559">
        <v>2523</v>
      </c>
      <c r="H102" s="559">
        <v>163911.44</v>
      </c>
      <c r="I102" s="559">
        <v>10</v>
      </c>
      <c r="J102" s="559">
        <v>9307.5050000000047</v>
      </c>
      <c r="K102" s="559">
        <v>2513</v>
      </c>
      <c r="L102" s="559">
        <f>154603.935-0.077</f>
        <v>154603.85800000001</v>
      </c>
      <c r="M102" s="559">
        <f>L102</f>
        <v>154603.85800000001</v>
      </c>
      <c r="N102" s="559">
        <v>45760.2</v>
      </c>
      <c r="O102" s="559">
        <v>0</v>
      </c>
      <c r="Q102" s="559">
        <f>AL102</f>
        <v>108843.65800000001</v>
      </c>
      <c r="R102" s="559">
        <f>AL102-Q102</f>
        <v>0</v>
      </c>
      <c r="S102" s="559">
        <f>F102-Q102</f>
        <v>0</v>
      </c>
      <c r="T102" s="597">
        <f t="shared" si="58"/>
        <v>1</v>
      </c>
      <c r="U102" s="559">
        <v>8503.4359999999997</v>
      </c>
      <c r="V102" s="592">
        <v>108</v>
      </c>
      <c r="W102" s="592">
        <v>8559.6080000000002</v>
      </c>
      <c r="X102" s="592">
        <v>0</v>
      </c>
      <c r="Y102" s="592">
        <v>56.17200000000048</v>
      </c>
      <c r="Z102" s="592">
        <v>108</v>
      </c>
      <c r="AA102" s="592">
        <v>8503.4359999999997</v>
      </c>
      <c r="AB102" s="559">
        <f>AA102</f>
        <v>8503.4359999999997</v>
      </c>
      <c r="AC102" s="559">
        <v>0</v>
      </c>
      <c r="AD102" s="559">
        <v>0</v>
      </c>
      <c r="AE102" s="559">
        <f>AB102-AC102-AD102</f>
        <v>8503.4359999999997</v>
      </c>
      <c r="AF102" s="559">
        <f>AE102</f>
        <v>8503.4359999999997</v>
      </c>
      <c r="AG102" s="559">
        <f>AE102-AF102</f>
        <v>0</v>
      </c>
      <c r="AH102" s="559">
        <f>U102-AF102</f>
        <v>0</v>
      </c>
      <c r="AI102" s="594">
        <f t="shared" si="34"/>
        <v>1</v>
      </c>
      <c r="AL102" s="598">
        <f>M102-N102-O102</f>
        <v>108843.65800000001</v>
      </c>
      <c r="AM102" s="596"/>
      <c r="AN102" s="596"/>
      <c r="AO102" s="596"/>
      <c r="AP102" s="596"/>
      <c r="AQ102" s="596"/>
      <c r="AR102" s="596"/>
      <c r="AS102" s="596"/>
      <c r="AT102" s="596"/>
      <c r="AU102" s="596"/>
      <c r="AV102" s="596"/>
      <c r="AW102" s="596"/>
      <c r="AX102" s="596"/>
      <c r="AY102" s="596"/>
      <c r="AZ102" s="596"/>
      <c r="BA102" s="596"/>
      <c r="BB102" s="596"/>
      <c r="BC102" s="596"/>
      <c r="BD102" s="596"/>
      <c r="BE102" s="596"/>
      <c r="BF102" s="596"/>
      <c r="BG102" s="596"/>
      <c r="BH102" s="596"/>
      <c r="BI102" s="596"/>
      <c r="BJ102" s="596"/>
      <c r="BK102" s="596"/>
      <c r="BL102" s="596"/>
      <c r="BM102" s="596"/>
      <c r="BN102" s="596"/>
      <c r="BO102" s="596"/>
      <c r="BP102" s="596"/>
      <c r="BQ102" s="596"/>
      <c r="BR102" s="596"/>
      <c r="BS102" s="596"/>
      <c r="BT102" s="596"/>
      <c r="BU102" s="596"/>
    </row>
    <row r="103" spans="1:73" s="603" customFormat="1" ht="15">
      <c r="A103" s="1786"/>
      <c r="B103" s="1775"/>
      <c r="C103" s="558" t="str">
        <f>[6]аоб!C93</f>
        <v>СЗП</v>
      </c>
      <c r="D103" s="559">
        <f t="shared" si="62"/>
        <v>23569.866000000002</v>
      </c>
      <c r="E103" s="559">
        <v>5461.5</v>
      </c>
      <c r="F103" s="559">
        <v>18108.366000000002</v>
      </c>
      <c r="G103" s="559">
        <v>1508</v>
      </c>
      <c r="H103" s="559">
        <v>23885.320000000003</v>
      </c>
      <c r="I103" s="559">
        <v>0</v>
      </c>
      <c r="J103" s="559">
        <v>315.73300000000381</v>
      </c>
      <c r="K103" s="559">
        <v>1508</v>
      </c>
      <c r="L103" s="559">
        <f>23569.587+0.279</f>
        <v>23569.865999999998</v>
      </c>
      <c r="M103" s="559">
        <f>L103</f>
        <v>23569.865999999998</v>
      </c>
      <c r="N103" s="559">
        <v>5461.5</v>
      </c>
      <c r="O103" s="559">
        <v>0</v>
      </c>
      <c r="P103" s="559">
        <f>M103-N103-O103</f>
        <v>18108.365999999998</v>
      </c>
      <c r="Q103" s="559">
        <f>P103</f>
        <v>18108.365999999998</v>
      </c>
      <c r="R103" s="559">
        <f>P103-Q103</f>
        <v>0</v>
      </c>
      <c r="S103" s="559">
        <f>F103-Q103</f>
        <v>0</v>
      </c>
      <c r="T103" s="597">
        <f t="shared" si="58"/>
        <v>0.99999999999999978</v>
      </c>
      <c r="U103" s="559">
        <v>940.47199999999998</v>
      </c>
      <c r="V103" s="592">
        <v>56</v>
      </c>
      <c r="W103" s="592">
        <v>949.23400000000004</v>
      </c>
      <c r="X103" s="592">
        <v>0</v>
      </c>
      <c r="Y103" s="592">
        <v>8.7620000000000573</v>
      </c>
      <c r="Z103" s="592">
        <v>56</v>
      </c>
      <c r="AA103" s="592">
        <v>940.47199999999998</v>
      </c>
      <c r="AB103" s="559">
        <f>AA103</f>
        <v>940.47199999999998</v>
      </c>
      <c r="AC103" s="559">
        <v>0</v>
      </c>
      <c r="AD103" s="559">
        <v>0</v>
      </c>
      <c r="AE103" s="559">
        <f>AB103-AC103-AD103</f>
        <v>940.47199999999998</v>
      </c>
      <c r="AF103" s="559">
        <f>AE103</f>
        <v>940.47199999999998</v>
      </c>
      <c r="AG103" s="559">
        <f>AE103-AF103</f>
        <v>0</v>
      </c>
      <c r="AH103" s="559">
        <f>U103-AF103</f>
        <v>0</v>
      </c>
      <c r="AI103" s="594">
        <f t="shared" si="34"/>
        <v>1</v>
      </c>
      <c r="AL103" s="596"/>
      <c r="AM103" s="596"/>
      <c r="AN103" s="596"/>
      <c r="AO103" s="596"/>
      <c r="AP103" s="596"/>
      <c r="AQ103" s="596"/>
      <c r="AR103" s="596"/>
      <c r="AS103" s="596"/>
      <c r="AT103" s="596"/>
      <c r="AU103" s="596"/>
      <c r="AV103" s="596"/>
      <c r="AW103" s="596"/>
      <c r="AX103" s="596"/>
      <c r="AY103" s="596"/>
      <c r="AZ103" s="596"/>
      <c r="BA103" s="596"/>
      <c r="BB103" s="596"/>
      <c r="BC103" s="596"/>
      <c r="BD103" s="596"/>
      <c r="BE103" s="596"/>
      <c r="BF103" s="596"/>
      <c r="BG103" s="596"/>
      <c r="BH103" s="596"/>
      <c r="BI103" s="596"/>
      <c r="BJ103" s="596"/>
      <c r="BK103" s="596"/>
      <c r="BL103" s="596"/>
      <c r="BM103" s="596"/>
      <c r="BN103" s="596"/>
      <c r="BO103" s="596"/>
      <c r="BP103" s="596"/>
      <c r="BQ103" s="596"/>
      <c r="BR103" s="596"/>
      <c r="BS103" s="596"/>
      <c r="BT103" s="596"/>
      <c r="BU103" s="596"/>
    </row>
    <row r="104" spans="1:73" s="595" customFormat="1" ht="15">
      <c r="A104" s="1786">
        <v>31</v>
      </c>
      <c r="B104" s="1775" t="s">
        <v>1246</v>
      </c>
      <c r="C104" s="556" t="str">
        <f>[6]аоб!C94</f>
        <v>ИТОГО</v>
      </c>
      <c r="D104" s="557">
        <f t="shared" si="62"/>
        <v>204201.5</v>
      </c>
      <c r="E104" s="557">
        <f t="shared" ref="E104:S104" si="77">E105+E106</f>
        <v>59433.3</v>
      </c>
      <c r="F104" s="557">
        <f t="shared" si="77"/>
        <v>144768.19999999998</v>
      </c>
      <c r="G104" s="557">
        <f t="shared" si="77"/>
        <v>4636</v>
      </c>
      <c r="H104" s="557">
        <f t="shared" si="77"/>
        <v>210363.78100000002</v>
      </c>
      <c r="I104" s="557">
        <f t="shared" si="77"/>
        <v>10</v>
      </c>
      <c r="J104" s="557">
        <f t="shared" si="77"/>
        <v>6161.9120000000039</v>
      </c>
      <c r="K104" s="557">
        <f t="shared" si="77"/>
        <v>4626</v>
      </c>
      <c r="L104" s="557">
        <f t="shared" si="77"/>
        <v>204201.5</v>
      </c>
      <c r="M104" s="557">
        <f t="shared" si="77"/>
        <v>204201.5</v>
      </c>
      <c r="N104" s="557">
        <f t="shared" si="77"/>
        <v>59433.3</v>
      </c>
      <c r="O104" s="557">
        <f t="shared" si="77"/>
        <v>0</v>
      </c>
      <c r="P104" s="557">
        <f>AL105+P106</f>
        <v>144768.19999999998</v>
      </c>
      <c r="Q104" s="557">
        <f t="shared" si="77"/>
        <v>144768.19999999998</v>
      </c>
      <c r="R104" s="557">
        <f t="shared" si="77"/>
        <v>0</v>
      </c>
      <c r="S104" s="557">
        <f t="shared" si="77"/>
        <v>0</v>
      </c>
      <c r="T104" s="588">
        <f t="shared" si="58"/>
        <v>1</v>
      </c>
      <c r="U104" s="557">
        <f t="shared" ref="U104:AH104" si="78">U105+U106</f>
        <v>10769.564</v>
      </c>
      <c r="V104" s="557">
        <f t="shared" si="78"/>
        <v>248</v>
      </c>
      <c r="W104" s="557">
        <f t="shared" si="78"/>
        <v>10877.628000000001</v>
      </c>
      <c r="X104" s="557">
        <f t="shared" si="78"/>
        <v>1</v>
      </c>
      <c r="Y104" s="557">
        <f t="shared" si="78"/>
        <v>108.06400000000031</v>
      </c>
      <c r="Z104" s="557">
        <f t="shared" si="78"/>
        <v>247</v>
      </c>
      <c r="AA104" s="557">
        <f t="shared" si="78"/>
        <v>10769.564</v>
      </c>
      <c r="AB104" s="557">
        <f t="shared" si="78"/>
        <v>10769.564</v>
      </c>
      <c r="AC104" s="557">
        <f t="shared" si="78"/>
        <v>0</v>
      </c>
      <c r="AD104" s="557">
        <f t="shared" si="78"/>
        <v>0</v>
      </c>
      <c r="AE104" s="557">
        <f t="shared" si="78"/>
        <v>10769.564</v>
      </c>
      <c r="AF104" s="557">
        <f t="shared" si="78"/>
        <v>10769.564</v>
      </c>
      <c r="AG104" s="557">
        <f t="shared" si="78"/>
        <v>0</v>
      </c>
      <c r="AH104" s="557">
        <f t="shared" si="78"/>
        <v>0</v>
      </c>
      <c r="AI104" s="589">
        <f t="shared" si="34"/>
        <v>1</v>
      </c>
      <c r="AL104" s="596"/>
      <c r="AM104" s="596"/>
      <c r="AN104" s="596"/>
      <c r="AO104" s="596"/>
      <c r="AP104" s="596"/>
      <c r="AQ104" s="596"/>
      <c r="AR104" s="596"/>
      <c r="AS104" s="596"/>
      <c r="AT104" s="596"/>
      <c r="AU104" s="596"/>
      <c r="AV104" s="596"/>
      <c r="AW104" s="596"/>
      <c r="AX104" s="596"/>
      <c r="AY104" s="596"/>
      <c r="AZ104" s="596"/>
      <c r="BA104" s="596"/>
      <c r="BB104" s="596"/>
      <c r="BC104" s="596"/>
      <c r="BD104" s="596"/>
      <c r="BE104" s="596"/>
      <c r="BF104" s="596"/>
      <c r="BG104" s="596"/>
      <c r="BH104" s="596"/>
      <c r="BI104" s="596"/>
      <c r="BJ104" s="596"/>
      <c r="BK104" s="596"/>
      <c r="BL104" s="596"/>
      <c r="BM104" s="596"/>
      <c r="BN104" s="596"/>
      <c r="BO104" s="596"/>
      <c r="BP104" s="596"/>
      <c r="BQ104" s="596"/>
      <c r="BR104" s="596"/>
      <c r="BS104" s="596"/>
      <c r="BT104" s="596"/>
      <c r="BU104" s="596"/>
    </row>
    <row r="105" spans="1:73" s="603" customFormat="1" ht="15">
      <c r="A105" s="1786"/>
      <c r="B105" s="1775"/>
      <c r="C105" s="558" t="str">
        <f>[6]аоб!C95</f>
        <v>СМП</v>
      </c>
      <c r="D105" s="559">
        <f t="shared" si="62"/>
        <v>169794.37299999999</v>
      </c>
      <c r="E105" s="559">
        <v>52747.5</v>
      </c>
      <c r="F105" s="559">
        <v>117046.87299999999</v>
      </c>
      <c r="G105" s="559">
        <v>2597</v>
      </c>
      <c r="H105" s="559">
        <v>175469.22</v>
      </c>
      <c r="I105" s="559">
        <v>9</v>
      </c>
      <c r="J105" s="559">
        <v>5674.8770000000077</v>
      </c>
      <c r="K105" s="559">
        <v>2588</v>
      </c>
      <c r="L105" s="559">
        <f>169794.343+0.03</f>
        <v>169794.37299999999</v>
      </c>
      <c r="M105" s="559">
        <f>L105</f>
        <v>169794.37299999999</v>
      </c>
      <c r="N105" s="559">
        <v>52747.5</v>
      </c>
      <c r="O105" s="559">
        <v>0</v>
      </c>
      <c r="Q105" s="559">
        <f>AL105</f>
        <v>117046.87299999999</v>
      </c>
      <c r="R105" s="559">
        <f>AL105-Q105</f>
        <v>0</v>
      </c>
      <c r="S105" s="559">
        <f>F105-Q105</f>
        <v>0</v>
      </c>
      <c r="T105" s="597">
        <f t="shared" si="58"/>
        <v>1</v>
      </c>
      <c r="U105" s="559">
        <v>8386.384</v>
      </c>
      <c r="V105" s="592">
        <v>117</v>
      </c>
      <c r="W105" s="592">
        <v>8494.4480000000003</v>
      </c>
      <c r="X105" s="592">
        <v>1</v>
      </c>
      <c r="Y105" s="592">
        <v>108.06400000000031</v>
      </c>
      <c r="Z105" s="592">
        <v>116</v>
      </c>
      <c r="AA105" s="592">
        <v>8386.384</v>
      </c>
      <c r="AB105" s="559">
        <f>AA105</f>
        <v>8386.384</v>
      </c>
      <c r="AC105" s="559">
        <v>0</v>
      </c>
      <c r="AD105" s="559">
        <v>0</v>
      </c>
      <c r="AE105" s="559">
        <f>AB105-AC105-AD105</f>
        <v>8386.384</v>
      </c>
      <c r="AF105" s="559">
        <f>AE105</f>
        <v>8386.384</v>
      </c>
      <c r="AG105" s="559">
        <f>AE105-AF105</f>
        <v>0</v>
      </c>
      <c r="AH105" s="559">
        <f>U105-AF105</f>
        <v>0</v>
      </c>
      <c r="AI105" s="594">
        <f t="shared" si="34"/>
        <v>1</v>
      </c>
      <c r="AL105" s="598">
        <f>M105-N105-O105</f>
        <v>117046.87299999999</v>
      </c>
      <c r="AM105" s="596"/>
      <c r="AN105" s="596"/>
      <c r="AO105" s="596"/>
      <c r="AP105" s="596"/>
      <c r="AQ105" s="596"/>
      <c r="AR105" s="596"/>
      <c r="AS105" s="596"/>
      <c r="AT105" s="596"/>
      <c r="AU105" s="596"/>
      <c r="AV105" s="596"/>
      <c r="AW105" s="596"/>
      <c r="AX105" s="596"/>
      <c r="AY105" s="596"/>
      <c r="AZ105" s="596"/>
      <c r="BA105" s="596"/>
      <c r="BB105" s="596"/>
      <c r="BC105" s="596"/>
      <c r="BD105" s="596"/>
      <c r="BE105" s="596"/>
      <c r="BF105" s="596"/>
      <c r="BG105" s="596"/>
      <c r="BH105" s="596"/>
      <c r="BI105" s="596"/>
      <c r="BJ105" s="596"/>
      <c r="BK105" s="596"/>
      <c r="BL105" s="596"/>
      <c r="BM105" s="596"/>
      <c r="BN105" s="596"/>
      <c r="BO105" s="596"/>
      <c r="BP105" s="596"/>
      <c r="BQ105" s="596"/>
      <c r="BR105" s="596"/>
      <c r="BS105" s="596"/>
      <c r="BT105" s="596"/>
      <c r="BU105" s="596"/>
    </row>
    <row r="106" spans="1:73" s="603" customFormat="1" ht="15">
      <c r="A106" s="1786"/>
      <c r="B106" s="1775"/>
      <c r="C106" s="558" t="str">
        <f>[6]аоб!C96</f>
        <v>СЗП</v>
      </c>
      <c r="D106" s="559">
        <f t="shared" si="62"/>
        <v>34407.127</v>
      </c>
      <c r="E106" s="559">
        <v>6685.8</v>
      </c>
      <c r="F106" s="559">
        <v>27721.326999999997</v>
      </c>
      <c r="G106" s="559">
        <v>2039</v>
      </c>
      <c r="H106" s="559">
        <v>34894.561000000002</v>
      </c>
      <c r="I106" s="559">
        <v>1</v>
      </c>
      <c r="J106" s="559">
        <v>487.03499999999622</v>
      </c>
      <c r="K106" s="559">
        <v>2038</v>
      </c>
      <c r="L106" s="559">
        <f>34407.526-0.399</f>
        <v>34407.127</v>
      </c>
      <c r="M106" s="559">
        <f>L106</f>
        <v>34407.127</v>
      </c>
      <c r="N106" s="559">
        <v>6685.8</v>
      </c>
      <c r="O106" s="559">
        <v>0</v>
      </c>
      <c r="P106" s="559">
        <f>M106-N106-O106</f>
        <v>27721.327000000001</v>
      </c>
      <c r="Q106" s="559">
        <f>P106</f>
        <v>27721.327000000001</v>
      </c>
      <c r="R106" s="559">
        <f>P106-Q106</f>
        <v>0</v>
      </c>
      <c r="S106" s="559">
        <f>F106-Q106</f>
        <v>0</v>
      </c>
      <c r="T106" s="597">
        <f t="shared" si="58"/>
        <v>1.0000000000000002</v>
      </c>
      <c r="U106" s="559">
        <v>2383.1799999999998</v>
      </c>
      <c r="V106" s="592">
        <v>131</v>
      </c>
      <c r="W106" s="592">
        <v>2383.1799999999998</v>
      </c>
      <c r="X106" s="592">
        <v>0</v>
      </c>
      <c r="Y106" s="592">
        <v>0</v>
      </c>
      <c r="Z106" s="592">
        <v>131</v>
      </c>
      <c r="AA106" s="592">
        <v>2383.1799999999998</v>
      </c>
      <c r="AB106" s="559">
        <f>AA106</f>
        <v>2383.1799999999998</v>
      </c>
      <c r="AC106" s="559">
        <v>0</v>
      </c>
      <c r="AD106" s="559">
        <v>0</v>
      </c>
      <c r="AE106" s="559">
        <f>AB106-AC106-AD106</f>
        <v>2383.1799999999998</v>
      </c>
      <c r="AF106" s="559">
        <f>AE106</f>
        <v>2383.1799999999998</v>
      </c>
      <c r="AG106" s="559">
        <f>AE106-AF106</f>
        <v>0</v>
      </c>
      <c r="AH106" s="559">
        <f>U106-AF106</f>
        <v>0</v>
      </c>
      <c r="AI106" s="594">
        <f t="shared" si="34"/>
        <v>1</v>
      </c>
      <c r="AL106" s="596"/>
      <c r="AM106" s="596"/>
      <c r="AN106" s="596"/>
      <c r="AO106" s="596"/>
      <c r="AP106" s="596"/>
      <c r="AQ106" s="596"/>
      <c r="AR106" s="596"/>
      <c r="AS106" s="596"/>
      <c r="AT106" s="596"/>
      <c r="AU106" s="596"/>
      <c r="AV106" s="596"/>
      <c r="AW106" s="596"/>
      <c r="AX106" s="596"/>
      <c r="AY106" s="596"/>
      <c r="AZ106" s="596"/>
      <c r="BA106" s="596"/>
      <c r="BB106" s="596"/>
      <c r="BC106" s="596"/>
      <c r="BD106" s="596"/>
      <c r="BE106" s="596"/>
      <c r="BF106" s="596"/>
      <c r="BG106" s="596"/>
      <c r="BH106" s="596"/>
      <c r="BI106" s="596"/>
      <c r="BJ106" s="596"/>
      <c r="BK106" s="596"/>
      <c r="BL106" s="596"/>
      <c r="BM106" s="596"/>
      <c r="BN106" s="596"/>
      <c r="BO106" s="596"/>
      <c r="BP106" s="596"/>
      <c r="BQ106" s="596"/>
      <c r="BR106" s="596"/>
      <c r="BS106" s="596"/>
      <c r="BT106" s="596"/>
      <c r="BU106" s="596"/>
    </row>
    <row r="107" spans="1:73" s="595" customFormat="1" ht="15">
      <c r="A107" s="1786">
        <v>32</v>
      </c>
      <c r="B107" s="1775" t="s">
        <v>1247</v>
      </c>
      <c r="C107" s="556" t="str">
        <f>[6]аоб!C97</f>
        <v>ИТОГО</v>
      </c>
      <c r="D107" s="557">
        <f t="shared" si="62"/>
        <v>1932.837</v>
      </c>
      <c r="E107" s="557">
        <f t="shared" ref="E107:S107" si="79">E108</f>
        <v>561.6</v>
      </c>
      <c r="F107" s="557">
        <f t="shared" si="79"/>
        <v>1371.2370000000001</v>
      </c>
      <c r="G107" s="557">
        <f t="shared" si="79"/>
        <v>130</v>
      </c>
      <c r="H107" s="557">
        <f t="shared" si="79"/>
        <v>2079.6690000000003</v>
      </c>
      <c r="I107" s="557">
        <f t="shared" si="79"/>
        <v>0</v>
      </c>
      <c r="J107" s="557">
        <f t="shared" si="79"/>
        <v>147.45600000000013</v>
      </c>
      <c r="K107" s="557">
        <f t="shared" si="79"/>
        <v>130</v>
      </c>
      <c r="L107" s="557">
        <f t="shared" si="79"/>
        <v>1932.837</v>
      </c>
      <c r="M107" s="557">
        <f t="shared" si="79"/>
        <v>1932.837</v>
      </c>
      <c r="N107" s="557">
        <f t="shared" si="79"/>
        <v>561.6</v>
      </c>
      <c r="O107" s="557">
        <f t="shared" si="79"/>
        <v>0</v>
      </c>
      <c r="P107" s="557">
        <f t="shared" si="79"/>
        <v>1371.2370000000001</v>
      </c>
      <c r="Q107" s="557">
        <f t="shared" si="79"/>
        <v>1371.2370000000001</v>
      </c>
      <c r="R107" s="557">
        <f t="shared" si="79"/>
        <v>0</v>
      </c>
      <c r="S107" s="557">
        <f t="shared" si="79"/>
        <v>0</v>
      </c>
      <c r="T107" s="588">
        <f t="shared" si="58"/>
        <v>1</v>
      </c>
      <c r="U107" s="557">
        <f t="shared" ref="U107:AH107" si="80">U108</f>
        <v>58.847999999999999</v>
      </c>
      <c r="V107" s="557">
        <f t="shared" si="80"/>
        <v>4</v>
      </c>
      <c r="W107" s="557">
        <f t="shared" si="80"/>
        <v>58.847999999999999</v>
      </c>
      <c r="X107" s="557">
        <f t="shared" si="80"/>
        <v>0</v>
      </c>
      <c r="Y107" s="557">
        <f t="shared" si="80"/>
        <v>0</v>
      </c>
      <c r="Z107" s="557">
        <f t="shared" si="80"/>
        <v>4</v>
      </c>
      <c r="AA107" s="557">
        <f t="shared" si="80"/>
        <v>58.847999999999999</v>
      </c>
      <c r="AB107" s="557">
        <f t="shared" si="80"/>
        <v>58.847999999999999</v>
      </c>
      <c r="AC107" s="557">
        <f t="shared" si="80"/>
        <v>0</v>
      </c>
      <c r="AD107" s="557">
        <f t="shared" si="80"/>
        <v>0</v>
      </c>
      <c r="AE107" s="557">
        <f t="shared" si="80"/>
        <v>58.847999999999999</v>
      </c>
      <c r="AF107" s="557">
        <f t="shared" si="80"/>
        <v>58.847999999999999</v>
      </c>
      <c r="AG107" s="557">
        <f t="shared" si="80"/>
        <v>0</v>
      </c>
      <c r="AH107" s="557">
        <f t="shared" si="80"/>
        <v>0</v>
      </c>
      <c r="AI107" s="589">
        <f t="shared" si="34"/>
        <v>1</v>
      </c>
      <c r="AL107" s="596"/>
      <c r="AM107" s="596"/>
      <c r="AN107" s="596"/>
      <c r="AO107" s="596"/>
      <c r="AP107" s="596"/>
      <c r="AQ107" s="596"/>
      <c r="AR107" s="596"/>
      <c r="AS107" s="596"/>
      <c r="AT107" s="596"/>
      <c r="AU107" s="596"/>
      <c r="AV107" s="596"/>
      <c r="AW107" s="596"/>
      <c r="AX107" s="596"/>
      <c r="AY107" s="596"/>
      <c r="AZ107" s="596"/>
      <c r="BA107" s="596"/>
      <c r="BB107" s="596"/>
      <c r="BC107" s="596"/>
      <c r="BD107" s="596"/>
      <c r="BE107" s="596"/>
      <c r="BF107" s="596"/>
      <c r="BG107" s="596"/>
      <c r="BH107" s="596"/>
      <c r="BI107" s="596"/>
      <c r="BJ107" s="596"/>
      <c r="BK107" s="596"/>
      <c r="BL107" s="596"/>
      <c r="BM107" s="596"/>
      <c r="BN107" s="596"/>
      <c r="BO107" s="596"/>
      <c r="BP107" s="596"/>
      <c r="BQ107" s="596"/>
      <c r="BR107" s="596"/>
      <c r="BS107" s="596"/>
      <c r="BT107" s="596"/>
      <c r="BU107" s="596"/>
    </row>
    <row r="108" spans="1:73" s="603" customFormat="1" ht="15">
      <c r="A108" s="1786"/>
      <c r="B108" s="1775"/>
      <c r="C108" s="558" t="str">
        <f>[6]аоб!C98</f>
        <v>СЗП</v>
      </c>
      <c r="D108" s="559">
        <f t="shared" si="62"/>
        <v>1932.837</v>
      </c>
      <c r="E108" s="559">
        <v>561.6</v>
      </c>
      <c r="F108" s="559">
        <f>1370.737+0.5</f>
        <v>1371.2370000000001</v>
      </c>
      <c r="G108" s="559">
        <v>130</v>
      </c>
      <c r="H108" s="559">
        <v>2079.6690000000003</v>
      </c>
      <c r="I108" s="559">
        <v>0</v>
      </c>
      <c r="J108" s="559">
        <v>147.45600000000013</v>
      </c>
      <c r="K108" s="559">
        <v>130</v>
      </c>
      <c r="L108" s="559">
        <f>1932.713+0.124</f>
        <v>1932.837</v>
      </c>
      <c r="M108" s="559">
        <f>L108</f>
        <v>1932.837</v>
      </c>
      <c r="N108" s="559">
        <v>561.6</v>
      </c>
      <c r="O108" s="559">
        <v>0</v>
      </c>
      <c r="P108" s="559">
        <f>M108-N108-O108</f>
        <v>1371.2370000000001</v>
      </c>
      <c r="Q108" s="559">
        <f>P108</f>
        <v>1371.2370000000001</v>
      </c>
      <c r="R108" s="559">
        <f>P108-Q108</f>
        <v>0</v>
      </c>
      <c r="S108" s="559">
        <f>F108-Q108</f>
        <v>0</v>
      </c>
      <c r="T108" s="597">
        <f t="shared" si="58"/>
        <v>1</v>
      </c>
      <c r="U108" s="559">
        <v>58.847999999999999</v>
      </c>
      <c r="V108" s="592">
        <v>4</v>
      </c>
      <c r="W108" s="592">
        <v>58.847999999999999</v>
      </c>
      <c r="X108" s="592">
        <v>0</v>
      </c>
      <c r="Y108" s="592">
        <v>0</v>
      </c>
      <c r="Z108" s="592">
        <v>4</v>
      </c>
      <c r="AA108" s="592">
        <v>58.847999999999999</v>
      </c>
      <c r="AB108" s="559">
        <f>AA108</f>
        <v>58.847999999999999</v>
      </c>
      <c r="AC108" s="559">
        <v>0</v>
      </c>
      <c r="AD108" s="559">
        <v>0</v>
      </c>
      <c r="AE108" s="559">
        <f>AB108-AC108-AD108</f>
        <v>58.847999999999999</v>
      </c>
      <c r="AF108" s="559">
        <f>AE108</f>
        <v>58.847999999999999</v>
      </c>
      <c r="AG108" s="559">
        <f>AE108-AF108</f>
        <v>0</v>
      </c>
      <c r="AH108" s="559">
        <f>U108-AF108</f>
        <v>0</v>
      </c>
      <c r="AI108" s="594">
        <f t="shared" si="34"/>
        <v>1</v>
      </c>
      <c r="AL108" s="596"/>
      <c r="AM108" s="596"/>
      <c r="AN108" s="596"/>
      <c r="AO108" s="596"/>
      <c r="AP108" s="596"/>
      <c r="AQ108" s="596"/>
      <c r="AR108" s="596"/>
      <c r="AS108" s="596"/>
      <c r="AT108" s="596"/>
      <c r="AU108" s="596"/>
      <c r="AV108" s="596"/>
      <c r="AW108" s="596"/>
      <c r="AX108" s="596"/>
      <c r="AY108" s="596"/>
      <c r="AZ108" s="596"/>
      <c r="BA108" s="596"/>
      <c r="BB108" s="596"/>
      <c r="BC108" s="596"/>
      <c r="BD108" s="596"/>
      <c r="BE108" s="596"/>
      <c r="BF108" s="596"/>
      <c r="BG108" s="596"/>
      <c r="BH108" s="596"/>
      <c r="BI108" s="596"/>
      <c r="BJ108" s="596"/>
      <c r="BK108" s="596"/>
      <c r="BL108" s="596"/>
      <c r="BM108" s="596"/>
      <c r="BN108" s="596"/>
      <c r="BO108" s="596"/>
      <c r="BP108" s="596"/>
      <c r="BQ108" s="596"/>
      <c r="BR108" s="596"/>
      <c r="BS108" s="596"/>
      <c r="BT108" s="596"/>
      <c r="BU108" s="596"/>
    </row>
    <row r="109" spans="1:73" s="595" customFormat="1" ht="15">
      <c r="A109" s="1786">
        <v>33</v>
      </c>
      <c r="B109" s="1776" t="s">
        <v>1248</v>
      </c>
      <c r="C109" s="556" t="str">
        <f>[6]аоб!C99</f>
        <v>ИТОГО</v>
      </c>
      <c r="D109" s="557">
        <f t="shared" si="62"/>
        <v>406380.67</v>
      </c>
      <c r="E109" s="557">
        <f t="shared" ref="E109:S109" si="81">E110</f>
        <v>121920.3</v>
      </c>
      <c r="F109" s="557">
        <f t="shared" si="81"/>
        <v>284460.37</v>
      </c>
      <c r="G109" s="557">
        <f t="shared" si="81"/>
        <v>3751</v>
      </c>
      <c r="H109" s="557">
        <f t="shared" si="81"/>
        <v>406380.67</v>
      </c>
      <c r="I109" s="557">
        <f t="shared" si="81"/>
        <v>0</v>
      </c>
      <c r="J109" s="557">
        <f t="shared" si="81"/>
        <v>-3.0000000260770321E-3</v>
      </c>
      <c r="K109" s="557">
        <f t="shared" si="81"/>
        <v>3751</v>
      </c>
      <c r="L109" s="557">
        <f t="shared" si="81"/>
        <v>406380.67</v>
      </c>
      <c r="M109" s="557">
        <f t="shared" si="81"/>
        <v>406380.67</v>
      </c>
      <c r="N109" s="557">
        <f t="shared" si="81"/>
        <v>121920.3</v>
      </c>
      <c r="O109" s="557">
        <f t="shared" si="81"/>
        <v>0</v>
      </c>
      <c r="P109" s="557">
        <f>AN110</f>
        <v>284460.37</v>
      </c>
      <c r="Q109" s="557">
        <f t="shared" si="81"/>
        <v>284460.37</v>
      </c>
      <c r="R109" s="557">
        <f t="shared" si="81"/>
        <v>0</v>
      </c>
      <c r="S109" s="557">
        <f t="shared" si="81"/>
        <v>0</v>
      </c>
      <c r="T109" s="588">
        <f t="shared" si="58"/>
        <v>1</v>
      </c>
      <c r="U109" s="557">
        <f t="shared" ref="U109:AH109" si="82">U110</f>
        <v>16734.101999999999</v>
      </c>
      <c r="V109" s="557">
        <f t="shared" si="82"/>
        <v>154</v>
      </c>
      <c r="W109" s="557">
        <f t="shared" si="82"/>
        <v>16734.101999999999</v>
      </c>
      <c r="X109" s="557">
        <f t="shared" si="82"/>
        <v>0</v>
      </c>
      <c r="Y109" s="557">
        <f t="shared" si="82"/>
        <v>0</v>
      </c>
      <c r="Z109" s="557">
        <f t="shared" si="82"/>
        <v>154</v>
      </c>
      <c r="AA109" s="557">
        <f t="shared" si="82"/>
        <v>16734.101999999999</v>
      </c>
      <c r="AB109" s="557">
        <f t="shared" si="82"/>
        <v>16734.101999999999</v>
      </c>
      <c r="AC109" s="557">
        <f t="shared" si="82"/>
        <v>0</v>
      </c>
      <c r="AD109" s="557">
        <f t="shared" si="82"/>
        <v>0</v>
      </c>
      <c r="AE109" s="557">
        <f t="shared" si="82"/>
        <v>16734.101999999999</v>
      </c>
      <c r="AF109" s="557">
        <f t="shared" si="82"/>
        <v>16734.101999999999</v>
      </c>
      <c r="AG109" s="557">
        <f t="shared" si="82"/>
        <v>0</v>
      </c>
      <c r="AH109" s="557">
        <f t="shared" si="82"/>
        <v>0</v>
      </c>
      <c r="AI109" s="589">
        <f t="shared" si="34"/>
        <v>1</v>
      </c>
      <c r="AL109" s="596"/>
      <c r="AM109" s="596"/>
      <c r="AN109" s="596"/>
      <c r="AO109" s="596"/>
      <c r="AP109" s="596"/>
      <c r="AQ109" s="596"/>
      <c r="AR109" s="596"/>
      <c r="AS109" s="596"/>
      <c r="AT109" s="596"/>
      <c r="AU109" s="596"/>
      <c r="AV109" s="596"/>
      <c r="AW109" s="596"/>
      <c r="AX109" s="596"/>
      <c r="AY109" s="596"/>
      <c r="AZ109" s="596"/>
      <c r="BA109" s="596"/>
      <c r="BB109" s="596"/>
      <c r="BC109" s="596"/>
      <c r="BD109" s="596"/>
      <c r="BE109" s="596"/>
      <c r="BF109" s="596"/>
      <c r="BG109" s="596"/>
      <c r="BH109" s="596"/>
      <c r="BI109" s="596"/>
      <c r="BJ109" s="596"/>
      <c r="BK109" s="596"/>
      <c r="BL109" s="596"/>
      <c r="BM109" s="596"/>
      <c r="BN109" s="596"/>
      <c r="BO109" s="596"/>
      <c r="BP109" s="596"/>
      <c r="BQ109" s="596"/>
      <c r="BR109" s="596"/>
      <c r="BS109" s="596"/>
      <c r="BT109" s="596"/>
      <c r="BU109" s="596"/>
    </row>
    <row r="110" spans="1:73" s="603" customFormat="1" ht="29.25" customHeight="1">
      <c r="A110" s="1786"/>
      <c r="B110" s="1776"/>
      <c r="C110" s="560" t="str">
        <f>[6]аоб!C100</f>
        <v>СМП</v>
      </c>
      <c r="D110" s="559">
        <f t="shared" si="62"/>
        <v>406380.67</v>
      </c>
      <c r="E110" s="559">
        <v>121920.3</v>
      </c>
      <c r="F110" s="559">
        <v>284460.37</v>
      </c>
      <c r="G110" s="559">
        <v>3751</v>
      </c>
      <c r="H110" s="559">
        <v>406380.67</v>
      </c>
      <c r="I110" s="559">
        <v>0</v>
      </c>
      <c r="J110" s="559">
        <v>-3.0000000260770321E-3</v>
      </c>
      <c r="K110" s="559">
        <v>3751</v>
      </c>
      <c r="L110" s="559">
        <f>406380.673-0.003</f>
        <v>406380.67</v>
      </c>
      <c r="M110" s="559">
        <f>L110</f>
        <v>406380.67</v>
      </c>
      <c r="N110" s="559">
        <v>121920.3</v>
      </c>
      <c r="O110" s="559">
        <v>0</v>
      </c>
      <c r="Q110" s="559">
        <f>AN110</f>
        <v>284460.37</v>
      </c>
      <c r="R110" s="559">
        <f>AN110-Q110</f>
        <v>0</v>
      </c>
      <c r="S110" s="559">
        <f>F110-Q110</f>
        <v>0</v>
      </c>
      <c r="T110" s="597">
        <f t="shared" si="58"/>
        <v>1</v>
      </c>
      <c r="U110" s="559">
        <v>16734.101999999999</v>
      </c>
      <c r="V110" s="592">
        <v>154</v>
      </c>
      <c r="W110" s="592">
        <v>16734.101999999999</v>
      </c>
      <c r="X110" s="592">
        <v>0</v>
      </c>
      <c r="Y110" s="592">
        <v>0</v>
      </c>
      <c r="Z110" s="592">
        <v>154</v>
      </c>
      <c r="AA110" s="592">
        <v>16734.101999999999</v>
      </c>
      <c r="AB110" s="559">
        <f>AA110</f>
        <v>16734.101999999999</v>
      </c>
      <c r="AC110" s="559">
        <v>0</v>
      </c>
      <c r="AD110" s="559">
        <v>0</v>
      </c>
      <c r="AE110" s="559">
        <f>AB110-AC110-AD110</f>
        <v>16734.101999999999</v>
      </c>
      <c r="AF110" s="559">
        <f>AE110</f>
        <v>16734.101999999999</v>
      </c>
      <c r="AG110" s="559">
        <f>AE110-AF110</f>
        <v>0</v>
      </c>
      <c r="AH110" s="559">
        <f>U110-AF110</f>
        <v>0</v>
      </c>
      <c r="AI110" s="594">
        <f>AD110+AF110/U110</f>
        <v>1</v>
      </c>
      <c r="AL110" s="596"/>
      <c r="AM110" s="596"/>
      <c r="AN110" s="598">
        <f>M110-N110-O110</f>
        <v>284460.37</v>
      </c>
      <c r="AO110" s="596"/>
      <c r="AP110" s="596"/>
      <c r="AQ110" s="596"/>
      <c r="AR110" s="596"/>
      <c r="AS110" s="596"/>
      <c r="AT110" s="596"/>
      <c r="AU110" s="596"/>
      <c r="AV110" s="596"/>
      <c r="AW110" s="596"/>
      <c r="AX110" s="596"/>
      <c r="AY110" s="596"/>
      <c r="AZ110" s="596"/>
      <c r="BA110" s="596"/>
      <c r="BB110" s="596"/>
      <c r="BC110" s="596"/>
      <c r="BD110" s="596"/>
      <c r="BE110" s="596"/>
      <c r="BF110" s="596"/>
      <c r="BG110" s="596"/>
      <c r="BH110" s="596"/>
      <c r="BI110" s="596"/>
      <c r="BJ110" s="596"/>
      <c r="BK110" s="596"/>
      <c r="BL110" s="596"/>
      <c r="BM110" s="596"/>
      <c r="BN110" s="596"/>
      <c r="BO110" s="596"/>
      <c r="BP110" s="596"/>
      <c r="BQ110" s="596"/>
      <c r="BR110" s="596"/>
      <c r="BS110" s="596"/>
      <c r="BT110" s="596"/>
      <c r="BU110" s="596"/>
    </row>
    <row r="111" spans="1:73" s="595" customFormat="1" ht="15">
      <c r="A111" s="1786">
        <v>34</v>
      </c>
      <c r="B111" s="1776" t="s">
        <v>1249</v>
      </c>
      <c r="C111" s="556" t="str">
        <f>[6]аоб!C101</f>
        <v>ИТОГО</v>
      </c>
      <c r="D111" s="557">
        <f t="shared" si="62"/>
        <v>269083.05299999996</v>
      </c>
      <c r="E111" s="557">
        <f t="shared" ref="E111:S111" si="83">E112</f>
        <v>76379.100000000006</v>
      </c>
      <c r="F111" s="557">
        <f t="shared" si="83"/>
        <v>192703.95299999998</v>
      </c>
      <c r="G111" s="557">
        <f t="shared" si="83"/>
        <v>748</v>
      </c>
      <c r="H111" s="557">
        <f t="shared" si="83"/>
        <v>269082.91899999999</v>
      </c>
      <c r="I111" s="557">
        <f t="shared" si="83"/>
        <v>0</v>
      </c>
      <c r="J111" s="557">
        <f t="shared" si="83"/>
        <v>0</v>
      </c>
      <c r="K111" s="557">
        <f t="shared" si="83"/>
        <v>748</v>
      </c>
      <c r="L111" s="557">
        <f t="shared" si="83"/>
        <v>269083.05300000001</v>
      </c>
      <c r="M111" s="557">
        <f t="shared" si="83"/>
        <v>269083.05300000001</v>
      </c>
      <c r="N111" s="557">
        <f t="shared" si="83"/>
        <v>76379.100000000006</v>
      </c>
      <c r="O111" s="557">
        <f t="shared" si="83"/>
        <v>0</v>
      </c>
      <c r="P111" s="557">
        <f>AN112</f>
        <v>192703.95300000001</v>
      </c>
      <c r="Q111" s="557">
        <f t="shared" si="83"/>
        <v>192703.95300000001</v>
      </c>
      <c r="R111" s="557">
        <f t="shared" si="83"/>
        <v>0</v>
      </c>
      <c r="S111" s="557">
        <f t="shared" si="83"/>
        <v>0</v>
      </c>
      <c r="T111" s="588">
        <f t="shared" si="58"/>
        <v>1.0000000000000002</v>
      </c>
      <c r="U111" s="557">
        <f t="shared" ref="U111:AH111" si="84">U112</f>
        <v>0</v>
      </c>
      <c r="V111" s="557">
        <f t="shared" si="84"/>
        <v>0</v>
      </c>
      <c r="W111" s="557">
        <f t="shared" si="84"/>
        <v>0</v>
      </c>
      <c r="X111" s="557">
        <f t="shared" si="84"/>
        <v>0</v>
      </c>
      <c r="Y111" s="557">
        <f t="shared" si="84"/>
        <v>0</v>
      </c>
      <c r="Z111" s="557">
        <f t="shared" si="84"/>
        <v>0</v>
      </c>
      <c r="AA111" s="557">
        <f t="shared" si="84"/>
        <v>0</v>
      </c>
      <c r="AB111" s="557">
        <f t="shared" si="84"/>
        <v>0</v>
      </c>
      <c r="AC111" s="557">
        <f t="shared" si="84"/>
        <v>0</v>
      </c>
      <c r="AD111" s="557">
        <f t="shared" si="84"/>
        <v>0</v>
      </c>
      <c r="AE111" s="557">
        <f t="shared" si="84"/>
        <v>0</v>
      </c>
      <c r="AF111" s="557">
        <f t="shared" si="84"/>
        <v>0</v>
      </c>
      <c r="AG111" s="557">
        <f t="shared" si="84"/>
        <v>0</v>
      </c>
      <c r="AH111" s="557">
        <f t="shared" si="84"/>
        <v>0</v>
      </c>
      <c r="AI111" s="589"/>
      <c r="AL111" s="596"/>
      <c r="AM111" s="596"/>
      <c r="AN111" s="596"/>
      <c r="AO111" s="596"/>
      <c r="AP111" s="596"/>
      <c r="AQ111" s="596"/>
      <c r="AR111" s="596"/>
      <c r="AS111" s="596"/>
      <c r="AT111" s="596"/>
      <c r="AU111" s="596"/>
      <c r="AV111" s="596"/>
      <c r="AW111" s="596"/>
      <c r="AX111" s="596"/>
      <c r="AY111" s="596"/>
      <c r="AZ111" s="596"/>
      <c r="BA111" s="596"/>
      <c r="BB111" s="596"/>
      <c r="BC111" s="596"/>
      <c r="BD111" s="596"/>
      <c r="BE111" s="596"/>
      <c r="BF111" s="596"/>
      <c r="BG111" s="596"/>
      <c r="BH111" s="596"/>
      <c r="BI111" s="596"/>
      <c r="BJ111" s="596"/>
      <c r="BK111" s="596"/>
      <c r="BL111" s="596"/>
      <c r="BM111" s="596"/>
      <c r="BN111" s="596"/>
      <c r="BO111" s="596"/>
      <c r="BP111" s="596"/>
      <c r="BQ111" s="596"/>
      <c r="BR111" s="596"/>
      <c r="BS111" s="596"/>
      <c r="BT111" s="596"/>
      <c r="BU111" s="596"/>
    </row>
    <row r="112" spans="1:73" s="603" customFormat="1" ht="27" customHeight="1">
      <c r="A112" s="1786"/>
      <c r="B112" s="1776"/>
      <c r="C112" s="560" t="str">
        <f>[6]аоб!C102</f>
        <v>СМП</v>
      </c>
      <c r="D112" s="559">
        <f t="shared" si="62"/>
        <v>269083.05299999996</v>
      </c>
      <c r="E112" s="559">
        <v>76379.100000000006</v>
      </c>
      <c r="F112" s="559">
        <v>192703.95299999998</v>
      </c>
      <c r="G112" s="559">
        <v>748</v>
      </c>
      <c r="H112" s="559">
        <v>269082.91899999999</v>
      </c>
      <c r="I112" s="559">
        <v>0</v>
      </c>
      <c r="J112" s="559">
        <v>0</v>
      </c>
      <c r="K112" s="559">
        <v>748</v>
      </c>
      <c r="L112" s="559">
        <f>269082.919+0.134</f>
        <v>269083.05300000001</v>
      </c>
      <c r="M112" s="559">
        <f>L112</f>
        <v>269083.05300000001</v>
      </c>
      <c r="N112" s="559">
        <v>76379.100000000006</v>
      </c>
      <c r="O112" s="559">
        <v>0</v>
      </c>
      <c r="Q112" s="559">
        <f>AN112</f>
        <v>192703.95300000001</v>
      </c>
      <c r="R112" s="559">
        <f>AN112-Q112</f>
        <v>0</v>
      </c>
      <c r="S112" s="559">
        <f>F112-Q112</f>
        <v>0</v>
      </c>
      <c r="T112" s="597">
        <f t="shared" si="58"/>
        <v>1.0000000000000002</v>
      </c>
      <c r="U112" s="559">
        <v>0</v>
      </c>
      <c r="V112" s="592">
        <v>0</v>
      </c>
      <c r="W112" s="592">
        <v>0</v>
      </c>
      <c r="X112" s="592">
        <v>0</v>
      </c>
      <c r="Y112" s="592">
        <v>0</v>
      </c>
      <c r="Z112" s="592">
        <v>0</v>
      </c>
      <c r="AA112" s="592">
        <v>0</v>
      </c>
      <c r="AB112" s="559">
        <f>AA112</f>
        <v>0</v>
      </c>
      <c r="AC112" s="559">
        <v>0</v>
      </c>
      <c r="AD112" s="559">
        <v>0</v>
      </c>
      <c r="AE112" s="559">
        <f>AB112-AC112-AD112</f>
        <v>0</v>
      </c>
      <c r="AF112" s="559">
        <f>AE112</f>
        <v>0</v>
      </c>
      <c r="AG112" s="559">
        <f>AE112-AF112</f>
        <v>0</v>
      </c>
      <c r="AH112" s="559">
        <f>U112-AF112</f>
        <v>0</v>
      </c>
      <c r="AI112" s="594"/>
      <c r="AL112" s="596"/>
      <c r="AM112" s="596"/>
      <c r="AN112" s="598">
        <f>M112-N112-O112</f>
        <v>192703.95300000001</v>
      </c>
      <c r="AO112" s="596"/>
      <c r="AP112" s="596"/>
      <c r="AQ112" s="596"/>
      <c r="AR112" s="596"/>
      <c r="AS112" s="596"/>
      <c r="AT112" s="596"/>
      <c r="AU112" s="596"/>
      <c r="AV112" s="596"/>
      <c r="AW112" s="596"/>
      <c r="AX112" s="596"/>
      <c r="AY112" s="596"/>
      <c r="AZ112" s="596"/>
      <c r="BA112" s="596"/>
      <c r="BB112" s="596"/>
      <c r="BC112" s="596"/>
      <c r="BD112" s="596"/>
      <c r="BE112" s="596"/>
      <c r="BF112" s="596"/>
      <c r="BG112" s="596"/>
      <c r="BH112" s="596"/>
      <c r="BI112" s="596"/>
      <c r="BJ112" s="596"/>
      <c r="BK112" s="596"/>
      <c r="BL112" s="596"/>
      <c r="BM112" s="596"/>
      <c r="BN112" s="596"/>
      <c r="BO112" s="596"/>
      <c r="BP112" s="596"/>
      <c r="BQ112" s="596"/>
      <c r="BR112" s="596"/>
      <c r="BS112" s="596"/>
      <c r="BT112" s="596"/>
      <c r="BU112" s="596"/>
    </row>
    <row r="113" spans="1:73" ht="26.25" customHeight="1">
      <c r="A113" s="1787" t="s">
        <v>1198</v>
      </c>
      <c r="B113" s="1787"/>
      <c r="C113" s="1787"/>
      <c r="D113" s="1787"/>
      <c r="E113" s="1787"/>
      <c r="F113" s="1787"/>
      <c r="G113" s="1787"/>
      <c r="H113" s="1787"/>
      <c r="I113" s="1787"/>
      <c r="J113" s="1787"/>
      <c r="K113" s="1787"/>
      <c r="L113" s="1787"/>
      <c r="M113" s="1787"/>
      <c r="N113" s="1787"/>
      <c r="O113" s="1787"/>
      <c r="P113" s="1787"/>
      <c r="U113" s="1788"/>
      <c r="V113" s="1788"/>
      <c r="W113" s="1788"/>
      <c r="X113" s="1788"/>
      <c r="Y113" s="1788"/>
      <c r="Z113" s="1788"/>
      <c r="AA113" s="1788"/>
      <c r="AB113" s="1788"/>
      <c r="AC113" s="1788"/>
      <c r="AD113" s="1788"/>
      <c r="AE113" s="1788"/>
      <c r="AF113" s="1788"/>
      <c r="AG113" s="1788"/>
      <c r="AH113" s="1788"/>
      <c r="AL113" s="605">
        <f>SUM(AL115:AL208)</f>
        <v>466927.23399999988</v>
      </c>
      <c r="AM113" s="605"/>
      <c r="AN113" s="605"/>
      <c r="AO113" s="605"/>
      <c r="AP113" s="605"/>
      <c r="AQ113" s="605"/>
      <c r="AR113" s="605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605"/>
      <c r="BE113" s="605"/>
      <c r="BF113" s="605"/>
      <c r="BG113" s="605"/>
      <c r="BH113" s="605"/>
      <c r="BI113" s="605"/>
      <c r="BJ113" s="605"/>
      <c r="BK113" s="605"/>
      <c r="BL113" s="605"/>
      <c r="BM113" s="605"/>
      <c r="BN113" s="605"/>
      <c r="BO113" s="605"/>
      <c r="BP113" s="605"/>
      <c r="BQ113" s="605"/>
      <c r="BR113" s="605"/>
      <c r="BS113" s="605"/>
      <c r="BT113" s="605"/>
      <c r="BU113" s="605"/>
    </row>
    <row r="114" spans="1:73" ht="18" customHeight="1">
      <c r="B114" s="1775" t="s">
        <v>1216</v>
      </c>
      <c r="C114" s="561" t="s">
        <v>1196</v>
      </c>
      <c r="P114" s="606">
        <v>1606018.8269999998</v>
      </c>
      <c r="Y114" s="607" t="s">
        <v>1260</v>
      </c>
      <c r="Z114" s="595"/>
      <c r="AA114" s="595"/>
      <c r="AB114" s="595"/>
      <c r="AC114" s="595"/>
      <c r="AD114" s="607" t="s">
        <v>1261</v>
      </c>
      <c r="AE114" s="595"/>
      <c r="AL114" s="605"/>
      <c r="AM114" s="605"/>
      <c r="AN114" s="605"/>
      <c r="AO114" s="605"/>
      <c r="AP114" s="605"/>
      <c r="AQ114" s="605"/>
      <c r="AR114" s="605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605"/>
      <c r="BE114" s="605"/>
      <c r="BF114" s="605"/>
      <c r="BG114" s="605"/>
      <c r="BH114" s="605"/>
      <c r="BI114" s="605"/>
      <c r="BJ114" s="605"/>
      <c r="BK114" s="605"/>
      <c r="BL114" s="605"/>
      <c r="BM114" s="605"/>
      <c r="BN114" s="605"/>
      <c r="BO114" s="605"/>
      <c r="BP114" s="605"/>
      <c r="BQ114" s="605"/>
      <c r="BR114" s="605"/>
      <c r="BS114" s="605"/>
      <c r="BT114" s="605"/>
      <c r="BU114" s="605"/>
    </row>
    <row r="115" spans="1:73" ht="15">
      <c r="B115" s="1775"/>
      <c r="C115" s="561" t="s">
        <v>1197</v>
      </c>
      <c r="P115" s="606"/>
      <c r="U115" s="561" t="s">
        <v>1262</v>
      </c>
      <c r="AL115" s="605"/>
      <c r="AM115" s="605"/>
      <c r="AN115" s="605"/>
      <c r="AO115" s="605"/>
      <c r="AP115" s="605"/>
      <c r="AQ115" s="605"/>
      <c r="AR115" s="605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605"/>
      <c r="BE115" s="605"/>
      <c r="BF115" s="605"/>
      <c r="BG115" s="605"/>
      <c r="BH115" s="605"/>
      <c r="BI115" s="605"/>
      <c r="BJ115" s="605"/>
      <c r="BK115" s="605"/>
      <c r="BL115" s="605"/>
      <c r="BM115" s="605"/>
      <c r="BN115" s="605"/>
      <c r="BO115" s="605"/>
      <c r="BP115" s="605"/>
      <c r="BQ115" s="605"/>
      <c r="BR115" s="605"/>
      <c r="BS115" s="605"/>
      <c r="BT115" s="605"/>
      <c r="BU115" s="605"/>
    </row>
    <row r="116" spans="1:73" ht="15">
      <c r="B116" s="1775"/>
      <c r="C116" s="561" t="s">
        <v>1198</v>
      </c>
      <c r="U116" s="561" t="s">
        <v>1263</v>
      </c>
      <c r="AL116" s="605">
        <v>467903.1779999999</v>
      </c>
      <c r="AM116" s="605"/>
      <c r="AN116" s="605"/>
      <c r="AO116" s="605"/>
      <c r="AP116" s="605"/>
      <c r="AQ116" s="605"/>
      <c r="AR116" s="60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5"/>
      <c r="BH116" s="605"/>
      <c r="BI116" s="605"/>
      <c r="BJ116" s="605"/>
      <c r="BK116" s="605"/>
      <c r="BL116" s="605"/>
      <c r="BM116" s="605"/>
      <c r="BN116" s="605"/>
      <c r="BO116" s="605"/>
      <c r="BP116" s="605"/>
      <c r="BQ116" s="605"/>
      <c r="BR116" s="605"/>
      <c r="BS116" s="605"/>
      <c r="BT116" s="605"/>
      <c r="BU116" s="605"/>
    </row>
    <row r="117" spans="1:73" ht="15">
      <c r="B117" s="1775"/>
      <c r="C117" s="561" t="s">
        <v>1199</v>
      </c>
      <c r="P117" s="606">
        <v>89425.144000000015</v>
      </c>
      <c r="AL117" s="605"/>
      <c r="AM117" s="605"/>
      <c r="AN117" s="605"/>
      <c r="AO117" s="605"/>
      <c r="AP117" s="605"/>
      <c r="AQ117" s="605"/>
      <c r="AR117" s="605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5"/>
      <c r="BH117" s="605"/>
      <c r="BI117" s="605"/>
      <c r="BJ117" s="605"/>
      <c r="BK117" s="605"/>
      <c r="BL117" s="605"/>
      <c r="BM117" s="605"/>
      <c r="BN117" s="605"/>
      <c r="BO117" s="605"/>
      <c r="BP117" s="605"/>
      <c r="BQ117" s="605"/>
      <c r="BR117" s="605"/>
      <c r="BS117" s="605"/>
      <c r="BT117" s="605"/>
      <c r="BU117" s="605"/>
    </row>
    <row r="118" spans="1:73" ht="15">
      <c r="B118" s="1783" t="s">
        <v>1217</v>
      </c>
      <c r="C118" s="561" t="s">
        <v>1196</v>
      </c>
      <c r="P118" s="606">
        <v>386029.45500000002</v>
      </c>
      <c r="AL118" s="605"/>
      <c r="AM118" s="605"/>
      <c r="AN118" s="605"/>
      <c r="AO118" s="605"/>
      <c r="AP118" s="605"/>
      <c r="AQ118" s="605"/>
      <c r="AR118" s="605"/>
      <c r="AS118" s="605"/>
      <c r="AT118" s="605"/>
      <c r="AU118" s="605"/>
      <c r="AV118" s="605"/>
      <c r="AW118" s="605"/>
      <c r="AX118" s="605"/>
      <c r="AY118" s="605"/>
      <c r="AZ118" s="605"/>
      <c r="BA118" s="605"/>
      <c r="BB118" s="605"/>
      <c r="BC118" s="605"/>
      <c r="BD118" s="605"/>
      <c r="BE118" s="605"/>
      <c r="BF118" s="605"/>
      <c r="BG118" s="605"/>
      <c r="BH118" s="605"/>
      <c r="BI118" s="605"/>
      <c r="BJ118" s="605"/>
      <c r="BK118" s="605"/>
      <c r="BL118" s="605"/>
      <c r="BM118" s="605"/>
      <c r="BN118" s="605"/>
      <c r="BO118" s="605"/>
      <c r="BP118" s="605"/>
      <c r="BQ118" s="605"/>
      <c r="BR118" s="605"/>
      <c r="BS118" s="605"/>
      <c r="BT118" s="605"/>
      <c r="BU118" s="605"/>
    </row>
    <row r="119" spans="1:73" ht="15">
      <c r="B119" s="1784"/>
      <c r="C119" s="561" t="s">
        <v>1197</v>
      </c>
      <c r="P119" s="606"/>
      <c r="AL119" s="605"/>
      <c r="AM119" s="605"/>
      <c r="AN119" s="605"/>
      <c r="AO119" s="605"/>
      <c r="AP119" s="605"/>
      <c r="AQ119" s="605"/>
      <c r="AR119" s="605"/>
      <c r="AS119" s="605"/>
      <c r="AT119" s="605"/>
      <c r="AU119" s="605"/>
      <c r="AV119" s="605"/>
      <c r="AW119" s="605"/>
      <c r="AX119" s="605"/>
      <c r="AY119" s="605"/>
      <c r="AZ119" s="605"/>
      <c r="BA119" s="605"/>
      <c r="BB119" s="605"/>
      <c r="BC119" s="605"/>
      <c r="BD119" s="605"/>
      <c r="BE119" s="605"/>
      <c r="BF119" s="605"/>
      <c r="BG119" s="605"/>
      <c r="BH119" s="605"/>
      <c r="BI119" s="605"/>
      <c r="BJ119" s="605"/>
      <c r="BK119" s="605"/>
      <c r="BL119" s="605"/>
      <c r="BM119" s="605"/>
      <c r="BN119" s="605"/>
      <c r="BO119" s="605"/>
      <c r="BP119" s="605"/>
      <c r="BQ119" s="605"/>
      <c r="BR119" s="605"/>
      <c r="BS119" s="605"/>
      <c r="BT119" s="605"/>
      <c r="BU119" s="605"/>
    </row>
    <row r="120" spans="1:73" ht="15">
      <c r="B120" s="1784"/>
      <c r="C120" s="561" t="s">
        <v>1198</v>
      </c>
      <c r="AL120" s="605">
        <v>-975.94400000000019</v>
      </c>
      <c r="AM120" s="605"/>
      <c r="AN120" s="605"/>
      <c r="AO120" s="605"/>
      <c r="AP120" s="605"/>
      <c r="AQ120" s="605"/>
      <c r="AR120" s="605"/>
      <c r="AS120" s="605"/>
      <c r="AT120" s="605"/>
      <c r="AU120" s="605"/>
      <c r="AV120" s="605"/>
      <c r="AW120" s="605"/>
      <c r="AX120" s="605"/>
      <c r="AY120" s="605"/>
      <c r="AZ120" s="605"/>
      <c r="BA120" s="605"/>
      <c r="BB120" s="605"/>
      <c r="BC120" s="605"/>
      <c r="BD120" s="605"/>
      <c r="BE120" s="605"/>
      <c r="BF120" s="605"/>
      <c r="BG120" s="605"/>
      <c r="BH120" s="605"/>
      <c r="BI120" s="605"/>
      <c r="BJ120" s="605"/>
      <c r="BK120" s="605"/>
      <c r="BL120" s="605"/>
      <c r="BM120" s="605"/>
      <c r="BN120" s="605"/>
      <c r="BO120" s="605"/>
      <c r="BP120" s="605"/>
      <c r="BQ120" s="605"/>
      <c r="BR120" s="605"/>
      <c r="BS120" s="605"/>
      <c r="BT120" s="605"/>
      <c r="BU120" s="605"/>
    </row>
    <row r="121" spans="1:73" ht="15">
      <c r="B121" s="1785"/>
      <c r="C121" s="561" t="s">
        <v>1199</v>
      </c>
      <c r="P121" s="606">
        <v>4785.9170000000004</v>
      </c>
      <c r="AL121" s="605"/>
      <c r="AM121" s="605"/>
      <c r="AN121" s="605"/>
      <c r="AO121" s="605"/>
      <c r="AP121" s="605"/>
      <c r="AQ121" s="605"/>
      <c r="AR121" s="605"/>
      <c r="AS121" s="605"/>
      <c r="AT121" s="605"/>
      <c r="AU121" s="605"/>
      <c r="AV121" s="605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5"/>
      <c r="BI121" s="605"/>
      <c r="BJ121" s="605"/>
      <c r="BK121" s="605"/>
      <c r="BL121" s="605"/>
      <c r="BM121" s="605"/>
      <c r="BN121" s="605"/>
      <c r="BO121" s="605"/>
      <c r="BP121" s="605"/>
      <c r="BQ121" s="605"/>
      <c r="BR121" s="605"/>
      <c r="BS121" s="605"/>
      <c r="BT121" s="605"/>
      <c r="BU121" s="605"/>
    </row>
    <row r="122" spans="1:73" ht="15">
      <c r="B122" s="1775" t="s">
        <v>1218</v>
      </c>
      <c r="C122" s="561" t="s">
        <v>1196</v>
      </c>
      <c r="P122" s="606">
        <v>441518.43000000011</v>
      </c>
      <c r="AL122" s="605"/>
      <c r="AM122" s="605"/>
      <c r="AN122" s="605"/>
      <c r="AO122" s="605"/>
      <c r="AP122" s="605"/>
      <c r="AQ122" s="605"/>
      <c r="AR122" s="605"/>
      <c r="AS122" s="605"/>
      <c r="AT122" s="605"/>
      <c r="AU122" s="605"/>
      <c r="AV122" s="605"/>
      <c r="AW122" s="605"/>
      <c r="AX122" s="605"/>
      <c r="AY122" s="605"/>
      <c r="AZ122" s="605"/>
      <c r="BA122" s="605"/>
      <c r="BB122" s="605"/>
      <c r="BC122" s="605"/>
      <c r="BD122" s="605"/>
      <c r="BE122" s="605"/>
      <c r="BF122" s="605"/>
      <c r="BG122" s="605"/>
      <c r="BH122" s="605"/>
      <c r="BI122" s="605"/>
      <c r="BJ122" s="605"/>
      <c r="BK122" s="605"/>
      <c r="BL122" s="605"/>
      <c r="BM122" s="605"/>
      <c r="BN122" s="605"/>
      <c r="BO122" s="605"/>
      <c r="BP122" s="605"/>
      <c r="BQ122" s="605"/>
      <c r="BR122" s="605"/>
      <c r="BS122" s="605"/>
      <c r="BT122" s="605"/>
      <c r="BU122" s="605"/>
    </row>
    <row r="123" spans="1:73" ht="15">
      <c r="B123" s="1775"/>
      <c r="C123" s="561" t="s">
        <v>1197</v>
      </c>
      <c r="P123" s="606"/>
      <c r="AL123" s="605"/>
      <c r="AM123" s="605"/>
      <c r="AN123" s="605"/>
      <c r="AO123" s="605"/>
      <c r="AP123" s="605"/>
      <c r="AQ123" s="605"/>
      <c r="AR123" s="605"/>
      <c r="AS123" s="605"/>
      <c r="AT123" s="605"/>
      <c r="AU123" s="605"/>
      <c r="AV123" s="605"/>
      <c r="AW123" s="605"/>
      <c r="AX123" s="605"/>
      <c r="AY123" s="605"/>
      <c r="AZ123" s="605"/>
      <c r="BA123" s="605"/>
      <c r="BB123" s="605"/>
      <c r="BC123" s="605"/>
      <c r="BD123" s="605"/>
      <c r="BE123" s="605"/>
      <c r="BF123" s="605"/>
      <c r="BG123" s="605"/>
      <c r="BH123" s="605"/>
      <c r="BI123" s="605"/>
      <c r="BJ123" s="605"/>
      <c r="BK123" s="605"/>
      <c r="BL123" s="605"/>
      <c r="BM123" s="605"/>
      <c r="BN123" s="605"/>
      <c r="BO123" s="605"/>
      <c r="BP123" s="605"/>
      <c r="BQ123" s="605"/>
      <c r="BR123" s="605"/>
      <c r="BS123" s="605"/>
      <c r="BT123" s="605"/>
      <c r="BU123" s="605"/>
    </row>
    <row r="124" spans="1:73" ht="15">
      <c r="B124" s="1775"/>
      <c r="C124" s="561" t="s">
        <v>1199</v>
      </c>
      <c r="P124" s="606">
        <v>13558.682999999999</v>
      </c>
      <c r="AL124" s="605"/>
      <c r="AM124" s="605"/>
      <c r="AN124" s="605"/>
      <c r="AO124" s="605"/>
      <c r="AP124" s="605"/>
      <c r="AQ124" s="605"/>
      <c r="AR124" s="605"/>
      <c r="AS124" s="605"/>
      <c r="AT124" s="605"/>
      <c r="AU124" s="605"/>
      <c r="AV124" s="605"/>
      <c r="AW124" s="605"/>
      <c r="AX124" s="605"/>
      <c r="AY124" s="605"/>
      <c r="AZ124" s="605"/>
      <c r="BA124" s="605"/>
      <c r="BB124" s="605"/>
      <c r="BC124" s="605"/>
      <c r="BD124" s="605"/>
      <c r="BE124" s="605"/>
      <c r="BF124" s="605"/>
      <c r="BG124" s="605"/>
      <c r="BH124" s="605"/>
      <c r="BI124" s="605"/>
      <c r="BJ124" s="605"/>
      <c r="BK124" s="605"/>
      <c r="BL124" s="605"/>
      <c r="BM124" s="605"/>
      <c r="BN124" s="605"/>
      <c r="BO124" s="605"/>
      <c r="BP124" s="605"/>
      <c r="BQ124" s="605"/>
      <c r="BR124" s="605"/>
      <c r="BS124" s="605"/>
      <c r="BT124" s="605"/>
      <c r="BU124" s="605"/>
    </row>
    <row r="125" spans="1:73" ht="15">
      <c r="B125" s="1775" t="s">
        <v>1219</v>
      </c>
      <c r="C125" s="561" t="s">
        <v>1196</v>
      </c>
      <c r="P125" s="606">
        <v>71617.32699999999</v>
      </c>
      <c r="AL125" s="605"/>
      <c r="AM125" s="605"/>
      <c r="AN125" s="605"/>
      <c r="AO125" s="605"/>
      <c r="AP125" s="605"/>
      <c r="AQ125" s="605"/>
      <c r="AR125" s="605"/>
      <c r="AS125" s="605"/>
      <c r="AT125" s="605"/>
      <c r="AU125" s="605"/>
      <c r="AV125" s="605"/>
      <c r="AW125" s="605"/>
      <c r="AX125" s="605"/>
      <c r="AY125" s="605"/>
      <c r="AZ125" s="605"/>
      <c r="BA125" s="605"/>
      <c r="BB125" s="605"/>
      <c r="BC125" s="605"/>
      <c r="BD125" s="605"/>
      <c r="BE125" s="605"/>
      <c r="BF125" s="605"/>
      <c r="BG125" s="605"/>
      <c r="BH125" s="605"/>
      <c r="BI125" s="605"/>
      <c r="BJ125" s="605"/>
      <c r="BK125" s="605"/>
      <c r="BL125" s="605"/>
      <c r="BM125" s="605"/>
      <c r="BN125" s="605"/>
      <c r="BO125" s="605"/>
      <c r="BP125" s="605"/>
      <c r="BQ125" s="605"/>
      <c r="BR125" s="605"/>
      <c r="BS125" s="605"/>
      <c r="BT125" s="605"/>
      <c r="BU125" s="605"/>
    </row>
    <row r="126" spans="1:73" ht="15">
      <c r="B126" s="1775"/>
      <c r="C126" s="561" t="s">
        <v>1197</v>
      </c>
      <c r="P126" s="606"/>
      <c r="AL126" s="605"/>
      <c r="AM126" s="605"/>
      <c r="AN126" s="605"/>
      <c r="AO126" s="605"/>
      <c r="AP126" s="605"/>
      <c r="AQ126" s="605"/>
      <c r="AR126" s="605"/>
      <c r="AS126" s="605"/>
      <c r="AT126" s="605"/>
      <c r="AU126" s="605"/>
      <c r="AV126" s="605"/>
      <c r="AW126" s="605"/>
      <c r="AX126" s="605"/>
      <c r="AY126" s="605"/>
      <c r="AZ126" s="605"/>
      <c r="BA126" s="605"/>
      <c r="BB126" s="605"/>
      <c r="BC126" s="605"/>
      <c r="BD126" s="605"/>
      <c r="BE126" s="605"/>
      <c r="BF126" s="605"/>
      <c r="BG126" s="605"/>
      <c r="BH126" s="605"/>
      <c r="BI126" s="605"/>
      <c r="BJ126" s="605"/>
      <c r="BK126" s="605"/>
      <c r="BL126" s="605"/>
      <c r="BM126" s="605"/>
      <c r="BN126" s="605"/>
      <c r="BO126" s="605"/>
      <c r="BP126" s="605"/>
      <c r="BQ126" s="605"/>
      <c r="BR126" s="605"/>
      <c r="BS126" s="605"/>
      <c r="BT126" s="605"/>
      <c r="BU126" s="605"/>
    </row>
    <row r="127" spans="1:73" ht="15">
      <c r="B127" s="1775"/>
      <c r="C127" s="561" t="s">
        <v>1199</v>
      </c>
      <c r="P127" s="606">
        <v>9172.3019999999997</v>
      </c>
      <c r="AL127" s="605"/>
      <c r="AM127" s="605"/>
      <c r="AN127" s="605"/>
      <c r="AO127" s="605"/>
      <c r="AP127" s="605"/>
      <c r="AQ127" s="605"/>
      <c r="AR127" s="605"/>
      <c r="AS127" s="605"/>
      <c r="AT127" s="605"/>
      <c r="AU127" s="605"/>
      <c r="AV127" s="605"/>
      <c r="AW127" s="605"/>
      <c r="AX127" s="605"/>
      <c r="AY127" s="605"/>
      <c r="AZ127" s="605"/>
      <c r="BA127" s="605"/>
      <c r="BB127" s="605"/>
      <c r="BC127" s="605"/>
      <c r="BD127" s="605"/>
      <c r="BE127" s="605"/>
      <c r="BF127" s="605"/>
      <c r="BG127" s="605"/>
      <c r="BH127" s="605"/>
      <c r="BI127" s="605"/>
      <c r="BJ127" s="605"/>
      <c r="BK127" s="605"/>
      <c r="BL127" s="605"/>
      <c r="BM127" s="605"/>
      <c r="BN127" s="605"/>
      <c r="BO127" s="605"/>
      <c r="BP127" s="605"/>
      <c r="BQ127" s="605"/>
      <c r="BR127" s="605"/>
      <c r="BS127" s="605"/>
      <c r="BT127" s="605"/>
      <c r="BU127" s="605"/>
    </row>
    <row r="128" spans="1:73" ht="15">
      <c r="B128" s="1783" t="s">
        <v>1220</v>
      </c>
      <c r="C128" s="561" t="s">
        <v>1196</v>
      </c>
      <c r="P128" s="606">
        <v>296069.49800000002</v>
      </c>
      <c r="AL128" s="605"/>
      <c r="AM128" s="605"/>
      <c r="AN128" s="605"/>
      <c r="AO128" s="605"/>
      <c r="AP128" s="605"/>
      <c r="AQ128" s="605"/>
      <c r="AR128" s="605"/>
      <c r="AS128" s="605"/>
      <c r="AT128" s="605"/>
      <c r="AU128" s="605"/>
      <c r="AV128" s="605"/>
      <c r="AW128" s="605"/>
      <c r="AX128" s="605"/>
      <c r="AY128" s="605"/>
      <c r="AZ128" s="605"/>
      <c r="BA128" s="605"/>
      <c r="BB128" s="605"/>
      <c r="BC128" s="605"/>
      <c r="BD128" s="605"/>
      <c r="BE128" s="605"/>
      <c r="BF128" s="605"/>
      <c r="BG128" s="605"/>
      <c r="BH128" s="605"/>
      <c r="BI128" s="605"/>
      <c r="BJ128" s="605"/>
      <c r="BK128" s="605"/>
      <c r="BL128" s="605"/>
      <c r="BM128" s="605"/>
      <c r="BN128" s="605"/>
      <c r="BO128" s="605"/>
      <c r="BP128" s="605"/>
      <c r="BQ128" s="605"/>
      <c r="BR128" s="605"/>
      <c r="BS128" s="605"/>
      <c r="BT128" s="605"/>
      <c r="BU128" s="605"/>
    </row>
    <row r="129" spans="2:73" ht="15">
      <c r="B129" s="1784"/>
      <c r="C129" s="561" t="s">
        <v>1197</v>
      </c>
      <c r="P129" s="606"/>
      <c r="AL129" s="605"/>
      <c r="AM129" s="605"/>
      <c r="AN129" s="605"/>
      <c r="AO129" s="605"/>
      <c r="AP129" s="605"/>
      <c r="AQ129" s="605"/>
      <c r="AR129" s="605"/>
      <c r="AS129" s="605"/>
      <c r="AT129" s="605"/>
      <c r="AU129" s="605"/>
      <c r="AV129" s="605"/>
      <c r="AW129" s="605"/>
      <c r="AX129" s="605"/>
      <c r="AY129" s="605"/>
      <c r="AZ129" s="605"/>
      <c r="BA129" s="605"/>
      <c r="BB129" s="605"/>
      <c r="BC129" s="605"/>
      <c r="BD129" s="605"/>
      <c r="BE129" s="605"/>
      <c r="BF129" s="605"/>
      <c r="BG129" s="605"/>
      <c r="BH129" s="605"/>
      <c r="BI129" s="605"/>
      <c r="BJ129" s="605"/>
      <c r="BK129" s="605"/>
      <c r="BL129" s="605"/>
      <c r="BM129" s="605"/>
      <c r="BN129" s="605"/>
      <c r="BO129" s="605"/>
      <c r="BP129" s="605"/>
      <c r="BQ129" s="605"/>
      <c r="BR129" s="605"/>
      <c r="BS129" s="605"/>
      <c r="BT129" s="605"/>
      <c r="BU129" s="605"/>
    </row>
    <row r="130" spans="2:73" ht="15">
      <c r="B130" s="1783" t="s">
        <v>1221</v>
      </c>
      <c r="C130" s="561" t="s">
        <v>1196</v>
      </c>
      <c r="P130" s="606">
        <v>375598.29199999996</v>
      </c>
      <c r="AL130" s="605"/>
      <c r="AM130" s="605"/>
      <c r="AN130" s="605"/>
      <c r="AO130" s="605"/>
      <c r="AP130" s="605"/>
      <c r="AQ130" s="605"/>
      <c r="AR130" s="605"/>
      <c r="AS130" s="605"/>
      <c r="AT130" s="605"/>
      <c r="AU130" s="605"/>
      <c r="AV130" s="605"/>
      <c r="AW130" s="605"/>
      <c r="AX130" s="605"/>
      <c r="AY130" s="605"/>
      <c r="AZ130" s="605"/>
      <c r="BA130" s="605"/>
      <c r="BB130" s="605"/>
      <c r="BC130" s="605"/>
      <c r="BD130" s="605"/>
      <c r="BE130" s="605"/>
      <c r="BF130" s="605"/>
      <c r="BG130" s="605"/>
      <c r="BH130" s="605"/>
      <c r="BI130" s="605"/>
      <c r="BJ130" s="605"/>
      <c r="BK130" s="605"/>
      <c r="BL130" s="605"/>
      <c r="BM130" s="605"/>
      <c r="BN130" s="605"/>
      <c r="BO130" s="605"/>
      <c r="BP130" s="605"/>
      <c r="BQ130" s="605"/>
      <c r="BR130" s="605"/>
      <c r="BS130" s="605"/>
      <c r="BT130" s="605"/>
      <c r="BU130" s="605"/>
    </row>
    <row r="131" spans="2:73" ht="15">
      <c r="B131" s="1784"/>
      <c r="C131" s="561" t="s">
        <v>1197</v>
      </c>
      <c r="P131" s="606"/>
      <c r="AL131" s="605"/>
      <c r="AM131" s="605"/>
      <c r="AN131" s="605"/>
      <c r="AO131" s="605"/>
      <c r="AP131" s="605"/>
      <c r="AQ131" s="605"/>
      <c r="AR131" s="605"/>
      <c r="AS131" s="605"/>
      <c r="AT131" s="605"/>
      <c r="AU131" s="605"/>
      <c r="AV131" s="605"/>
      <c r="AW131" s="605"/>
      <c r="AX131" s="605"/>
      <c r="AY131" s="605"/>
      <c r="AZ131" s="605"/>
      <c r="BA131" s="605"/>
      <c r="BB131" s="605"/>
      <c r="BC131" s="605"/>
      <c r="BD131" s="605"/>
      <c r="BE131" s="605"/>
      <c r="BF131" s="605"/>
      <c r="BG131" s="605"/>
      <c r="BH131" s="605"/>
      <c r="BI131" s="605"/>
      <c r="BJ131" s="605"/>
      <c r="BK131" s="605"/>
      <c r="BL131" s="605"/>
      <c r="BM131" s="605"/>
      <c r="BN131" s="605"/>
      <c r="BO131" s="605"/>
      <c r="BP131" s="605"/>
      <c r="BQ131" s="605"/>
      <c r="BR131" s="605"/>
      <c r="BS131" s="605"/>
      <c r="BT131" s="605"/>
      <c r="BU131" s="605"/>
    </row>
    <row r="132" spans="2:73" ht="15">
      <c r="B132" s="1784"/>
      <c r="C132" s="561" t="s">
        <v>1199</v>
      </c>
      <c r="P132" s="606">
        <v>2995.7910000000002</v>
      </c>
      <c r="AL132" s="605"/>
      <c r="AM132" s="605"/>
      <c r="AN132" s="605"/>
      <c r="AO132" s="605"/>
      <c r="AP132" s="605"/>
      <c r="AQ132" s="605"/>
      <c r="AR132" s="605"/>
      <c r="AS132" s="605"/>
      <c r="AT132" s="605"/>
      <c r="AU132" s="605"/>
      <c r="AV132" s="605"/>
      <c r="AW132" s="605"/>
      <c r="AX132" s="605"/>
      <c r="AY132" s="605"/>
      <c r="AZ132" s="605"/>
      <c r="BA132" s="605"/>
      <c r="BB132" s="605"/>
      <c r="BC132" s="605"/>
      <c r="BD132" s="605"/>
      <c r="BE132" s="605"/>
      <c r="BF132" s="605"/>
      <c r="BG132" s="605"/>
      <c r="BH132" s="605"/>
      <c r="BI132" s="605"/>
      <c r="BJ132" s="605"/>
      <c r="BK132" s="605"/>
      <c r="BL132" s="605"/>
      <c r="BM132" s="605"/>
      <c r="BN132" s="605"/>
      <c r="BO132" s="605"/>
      <c r="BP132" s="605"/>
      <c r="BQ132" s="605"/>
      <c r="BR132" s="605"/>
      <c r="BS132" s="605"/>
      <c r="BT132" s="605"/>
      <c r="BU132" s="605"/>
    </row>
    <row r="133" spans="2:73" ht="15">
      <c r="B133" s="1785"/>
      <c r="C133" s="561" t="s">
        <v>1203</v>
      </c>
      <c r="P133" s="606">
        <v>2168</v>
      </c>
      <c r="AL133" s="605"/>
      <c r="AM133" s="605"/>
      <c r="AN133" s="605"/>
      <c r="AO133" s="605"/>
      <c r="AP133" s="605"/>
      <c r="AQ133" s="605"/>
      <c r="AR133" s="605"/>
      <c r="AS133" s="605"/>
      <c r="AT133" s="605"/>
      <c r="AU133" s="605"/>
      <c r="AV133" s="605"/>
      <c r="AW133" s="605"/>
      <c r="AX133" s="605"/>
      <c r="AY133" s="605"/>
      <c r="AZ133" s="605"/>
      <c r="BA133" s="605"/>
      <c r="BB133" s="605"/>
      <c r="BC133" s="605"/>
      <c r="BD133" s="605"/>
      <c r="BE133" s="605"/>
      <c r="BF133" s="605"/>
      <c r="BG133" s="605"/>
      <c r="BH133" s="605"/>
      <c r="BI133" s="605"/>
      <c r="BJ133" s="605"/>
      <c r="BK133" s="605"/>
      <c r="BL133" s="605"/>
      <c r="BM133" s="605"/>
      <c r="BN133" s="605"/>
      <c r="BO133" s="605"/>
      <c r="BP133" s="605"/>
      <c r="BQ133" s="605"/>
      <c r="BR133" s="605"/>
      <c r="BS133" s="605"/>
      <c r="BT133" s="605"/>
      <c r="BU133" s="605"/>
    </row>
    <row r="134" spans="2:73" ht="15">
      <c r="B134" s="1775" t="s">
        <v>1222</v>
      </c>
      <c r="C134" s="561" t="s">
        <v>1196</v>
      </c>
      <c r="P134" s="606">
        <v>40160.722000000002</v>
      </c>
      <c r="AL134" s="605"/>
      <c r="AM134" s="605"/>
      <c r="AN134" s="605"/>
      <c r="AO134" s="605"/>
      <c r="AP134" s="605"/>
      <c r="AQ134" s="605"/>
      <c r="AR134" s="605"/>
      <c r="AS134" s="605"/>
      <c r="AT134" s="605"/>
      <c r="AU134" s="605"/>
      <c r="AV134" s="605"/>
      <c r="AW134" s="605"/>
      <c r="AX134" s="605"/>
      <c r="AY134" s="605"/>
      <c r="AZ134" s="605"/>
      <c r="BA134" s="605"/>
      <c r="BB134" s="605"/>
      <c r="BC134" s="605"/>
      <c r="BD134" s="605"/>
      <c r="BE134" s="605"/>
      <c r="BF134" s="605"/>
      <c r="BG134" s="605"/>
      <c r="BH134" s="605"/>
      <c r="BI134" s="605"/>
      <c r="BJ134" s="605"/>
      <c r="BK134" s="605"/>
      <c r="BL134" s="605"/>
      <c r="BM134" s="605"/>
      <c r="BN134" s="605"/>
      <c r="BO134" s="605"/>
      <c r="BP134" s="605"/>
      <c r="BQ134" s="605"/>
      <c r="BR134" s="605"/>
      <c r="BS134" s="605"/>
      <c r="BT134" s="605"/>
      <c r="BU134" s="605"/>
    </row>
    <row r="135" spans="2:73" ht="15">
      <c r="B135" s="1775"/>
      <c r="C135" s="561" t="s">
        <v>1197</v>
      </c>
      <c r="P135" s="606"/>
      <c r="AL135" s="605"/>
      <c r="AM135" s="605"/>
      <c r="AN135" s="605"/>
      <c r="AO135" s="605"/>
      <c r="AP135" s="605"/>
      <c r="AQ135" s="605"/>
      <c r="AR135" s="605"/>
      <c r="AS135" s="605"/>
      <c r="AT135" s="605"/>
      <c r="AU135" s="605"/>
      <c r="AV135" s="605"/>
      <c r="AW135" s="605"/>
      <c r="AX135" s="605"/>
      <c r="AY135" s="605"/>
      <c r="AZ135" s="605"/>
      <c r="BA135" s="605"/>
      <c r="BB135" s="605"/>
      <c r="BC135" s="605"/>
      <c r="BD135" s="605"/>
      <c r="BE135" s="605"/>
      <c r="BF135" s="605"/>
      <c r="BG135" s="605"/>
      <c r="BH135" s="605"/>
      <c r="BI135" s="605"/>
      <c r="BJ135" s="605"/>
      <c r="BK135" s="605"/>
      <c r="BL135" s="605"/>
      <c r="BM135" s="605"/>
      <c r="BN135" s="605"/>
      <c r="BO135" s="605"/>
      <c r="BP135" s="605"/>
      <c r="BQ135" s="605"/>
      <c r="BR135" s="605"/>
      <c r="BS135" s="605"/>
      <c r="BT135" s="605"/>
      <c r="BU135" s="605"/>
    </row>
    <row r="136" spans="2:73" ht="15">
      <c r="B136" s="1775"/>
      <c r="C136" s="561" t="s">
        <v>1199</v>
      </c>
      <c r="P136" s="606">
        <v>5360.9569999999994</v>
      </c>
      <c r="AL136" s="605"/>
      <c r="AM136" s="605"/>
      <c r="AN136" s="605"/>
      <c r="AO136" s="605"/>
      <c r="AP136" s="605"/>
      <c r="AQ136" s="605"/>
      <c r="AR136" s="605"/>
      <c r="AS136" s="605"/>
      <c r="AT136" s="605"/>
      <c r="AU136" s="605"/>
      <c r="AV136" s="605"/>
      <c r="AW136" s="605"/>
      <c r="AX136" s="605"/>
      <c r="AY136" s="605"/>
      <c r="AZ136" s="605"/>
      <c r="BA136" s="605"/>
      <c r="BB136" s="605"/>
      <c r="BC136" s="605"/>
      <c r="BD136" s="605"/>
      <c r="BE136" s="605"/>
      <c r="BF136" s="605"/>
      <c r="BG136" s="605"/>
      <c r="BH136" s="605"/>
      <c r="BI136" s="605"/>
      <c r="BJ136" s="605"/>
      <c r="BK136" s="605"/>
      <c r="BL136" s="605"/>
      <c r="BM136" s="605"/>
      <c r="BN136" s="605"/>
      <c r="BO136" s="605"/>
      <c r="BP136" s="605"/>
      <c r="BQ136" s="605"/>
      <c r="BR136" s="605"/>
      <c r="BS136" s="605"/>
      <c r="BT136" s="605"/>
      <c r="BU136" s="605"/>
    </row>
    <row r="137" spans="2:73" ht="15">
      <c r="B137" s="1775" t="s">
        <v>1223</v>
      </c>
      <c r="C137" s="561" t="s">
        <v>1196</v>
      </c>
      <c r="P137" s="606">
        <v>32943.254000000001</v>
      </c>
      <c r="AL137" s="605"/>
      <c r="AM137" s="605"/>
      <c r="AN137" s="605"/>
      <c r="AO137" s="605"/>
      <c r="AP137" s="605"/>
      <c r="AQ137" s="605"/>
      <c r="AR137" s="605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5"/>
      <c r="BC137" s="605"/>
      <c r="BD137" s="605"/>
      <c r="BE137" s="605"/>
      <c r="BF137" s="605"/>
      <c r="BG137" s="605"/>
      <c r="BH137" s="605"/>
      <c r="BI137" s="605"/>
      <c r="BJ137" s="605"/>
      <c r="BK137" s="605"/>
      <c r="BL137" s="605"/>
      <c r="BM137" s="605"/>
      <c r="BN137" s="605"/>
      <c r="BO137" s="605"/>
      <c r="BP137" s="605"/>
      <c r="BQ137" s="605"/>
      <c r="BR137" s="605"/>
      <c r="BS137" s="605"/>
      <c r="BT137" s="605"/>
      <c r="BU137" s="605"/>
    </row>
    <row r="138" spans="2:73" ht="15">
      <c r="B138" s="1775"/>
      <c r="C138" s="561" t="s">
        <v>1197</v>
      </c>
      <c r="P138" s="606"/>
      <c r="AL138" s="605"/>
      <c r="AM138" s="605"/>
      <c r="AN138" s="605"/>
      <c r="AO138" s="605"/>
      <c r="AP138" s="605"/>
      <c r="AQ138" s="605"/>
      <c r="AR138" s="605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5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605"/>
      <c r="BP138" s="605"/>
      <c r="BQ138" s="605"/>
      <c r="BR138" s="605"/>
      <c r="BS138" s="605"/>
      <c r="BT138" s="605"/>
      <c r="BU138" s="605"/>
    </row>
    <row r="139" spans="2:73" ht="15">
      <c r="B139" s="1775"/>
      <c r="C139" s="561" t="s">
        <v>1199</v>
      </c>
      <c r="P139" s="606">
        <v>7227.5519999999997</v>
      </c>
      <c r="AL139" s="605"/>
      <c r="AM139" s="605"/>
      <c r="AN139" s="605"/>
      <c r="AO139" s="605"/>
      <c r="AP139" s="605"/>
      <c r="AQ139" s="605"/>
      <c r="AR139" s="605"/>
      <c r="AS139" s="605"/>
      <c r="AT139" s="605"/>
      <c r="AU139" s="605"/>
      <c r="AV139" s="605"/>
      <c r="AW139" s="605"/>
      <c r="AX139" s="605"/>
      <c r="AY139" s="605"/>
      <c r="AZ139" s="605"/>
      <c r="BA139" s="605"/>
      <c r="BB139" s="605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605"/>
      <c r="BP139" s="605"/>
      <c r="BQ139" s="605"/>
      <c r="BR139" s="605"/>
      <c r="BS139" s="605"/>
      <c r="BT139" s="605"/>
      <c r="BU139" s="605"/>
    </row>
    <row r="140" spans="2:73" ht="15">
      <c r="B140" s="1775" t="s">
        <v>1224</v>
      </c>
      <c r="C140" s="561" t="s">
        <v>1196</v>
      </c>
      <c r="P140" s="606">
        <v>14926.54</v>
      </c>
      <c r="AL140" s="605"/>
      <c r="AM140" s="605"/>
      <c r="AN140" s="605"/>
      <c r="AO140" s="605"/>
      <c r="AP140" s="605"/>
      <c r="AQ140" s="605"/>
      <c r="AR140" s="60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5"/>
      <c r="BC140" s="605"/>
      <c r="BD140" s="605"/>
      <c r="BE140" s="605"/>
      <c r="BF140" s="605"/>
      <c r="BG140" s="605"/>
      <c r="BH140" s="605"/>
      <c r="BI140" s="605"/>
      <c r="BJ140" s="605"/>
      <c r="BK140" s="605"/>
      <c r="BL140" s="605"/>
      <c r="BM140" s="605"/>
      <c r="BN140" s="605"/>
      <c r="BO140" s="605"/>
      <c r="BP140" s="605"/>
      <c r="BQ140" s="605"/>
      <c r="BR140" s="605"/>
      <c r="BS140" s="605"/>
      <c r="BT140" s="605"/>
      <c r="BU140" s="605"/>
    </row>
    <row r="141" spans="2:73" ht="15">
      <c r="B141" s="1775"/>
      <c r="C141" s="561" t="s">
        <v>1199</v>
      </c>
      <c r="P141" s="606">
        <v>14926.54</v>
      </c>
      <c r="AL141" s="605"/>
      <c r="AM141" s="605"/>
      <c r="AN141" s="605"/>
      <c r="AO141" s="605"/>
      <c r="AP141" s="605"/>
      <c r="AQ141" s="605"/>
      <c r="AR141" s="605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5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605"/>
      <c r="BP141" s="605"/>
      <c r="BQ141" s="605"/>
      <c r="BR141" s="605"/>
      <c r="BS141" s="605"/>
      <c r="BT141" s="605"/>
      <c r="BU141" s="605"/>
    </row>
    <row r="142" spans="2:73" ht="15">
      <c r="B142" s="1775" t="s">
        <v>1225</v>
      </c>
      <c r="C142" s="561" t="s">
        <v>1196</v>
      </c>
      <c r="P142" s="606">
        <v>8426.7119999999995</v>
      </c>
      <c r="AL142" s="605"/>
      <c r="AM142" s="605"/>
      <c r="AN142" s="605"/>
      <c r="AO142" s="605"/>
      <c r="AP142" s="605"/>
      <c r="AQ142" s="605"/>
      <c r="AR142" s="605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5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605"/>
      <c r="BP142" s="605"/>
      <c r="BQ142" s="605"/>
      <c r="BR142" s="605"/>
      <c r="BS142" s="605"/>
      <c r="BT142" s="605"/>
      <c r="BU142" s="605"/>
    </row>
    <row r="143" spans="2:73" ht="15">
      <c r="B143" s="1775"/>
      <c r="C143" s="561" t="s">
        <v>1199</v>
      </c>
      <c r="P143" s="606">
        <v>8426.7119999999995</v>
      </c>
      <c r="AL143" s="605"/>
      <c r="AM143" s="605"/>
      <c r="AN143" s="605"/>
      <c r="AO143" s="605"/>
      <c r="AP143" s="605"/>
      <c r="AQ143" s="605"/>
      <c r="AR143" s="605"/>
      <c r="AS143" s="605"/>
      <c r="AT143" s="605"/>
      <c r="AU143" s="605"/>
      <c r="AV143" s="605"/>
      <c r="AW143" s="605"/>
      <c r="AX143" s="605"/>
      <c r="AY143" s="605"/>
      <c r="AZ143" s="605"/>
      <c r="BA143" s="605"/>
      <c r="BB143" s="605"/>
      <c r="BC143" s="605"/>
      <c r="BD143" s="605"/>
      <c r="BE143" s="605"/>
      <c r="BF143" s="605"/>
      <c r="BG143" s="605"/>
      <c r="BH143" s="605"/>
      <c r="BI143" s="605"/>
      <c r="BJ143" s="605"/>
      <c r="BK143" s="605"/>
      <c r="BL143" s="605"/>
      <c r="BM143" s="605"/>
      <c r="BN143" s="605"/>
      <c r="BO143" s="605"/>
      <c r="BP143" s="605"/>
      <c r="BQ143" s="605"/>
      <c r="BR143" s="605"/>
      <c r="BS143" s="605"/>
      <c r="BT143" s="605"/>
      <c r="BU143" s="605"/>
    </row>
    <row r="144" spans="2:73" ht="15">
      <c r="B144" s="1775" t="s">
        <v>1226</v>
      </c>
      <c r="C144" s="561" t="s">
        <v>1196</v>
      </c>
      <c r="P144" s="606">
        <v>6550.0019999999986</v>
      </c>
      <c r="AL144" s="605"/>
      <c r="AM144" s="605"/>
      <c r="AN144" s="605"/>
      <c r="AO144" s="605"/>
      <c r="AP144" s="605"/>
      <c r="AQ144" s="605"/>
      <c r="AR144" s="605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605"/>
      <c r="BP144" s="605"/>
      <c r="BQ144" s="605"/>
      <c r="BR144" s="605"/>
      <c r="BS144" s="605"/>
      <c r="BT144" s="605"/>
      <c r="BU144" s="605"/>
    </row>
    <row r="145" spans="2:73" ht="15">
      <c r="B145" s="1775"/>
      <c r="C145" s="561" t="s">
        <v>1199</v>
      </c>
      <c r="P145" s="606">
        <v>6550.0019999999986</v>
      </c>
      <c r="AL145" s="605"/>
      <c r="AM145" s="605"/>
      <c r="AN145" s="605"/>
      <c r="AO145" s="605"/>
      <c r="AP145" s="605"/>
      <c r="AQ145" s="605"/>
      <c r="AR145" s="605"/>
      <c r="AS145" s="605"/>
      <c r="AT145" s="605"/>
      <c r="AU145" s="605"/>
      <c r="AV145" s="605"/>
      <c r="AW145" s="605"/>
      <c r="AX145" s="605"/>
      <c r="AY145" s="605"/>
      <c r="AZ145" s="605"/>
      <c r="BA145" s="605"/>
      <c r="BB145" s="605"/>
      <c r="BC145" s="605"/>
      <c r="BD145" s="605"/>
      <c r="BE145" s="605"/>
      <c r="BF145" s="605"/>
      <c r="BG145" s="605"/>
      <c r="BH145" s="605"/>
      <c r="BI145" s="605"/>
      <c r="BJ145" s="605"/>
      <c r="BK145" s="605"/>
      <c r="BL145" s="605"/>
      <c r="BM145" s="605"/>
      <c r="BN145" s="605"/>
      <c r="BO145" s="605"/>
      <c r="BP145" s="605"/>
      <c r="BQ145" s="605"/>
      <c r="BR145" s="605"/>
      <c r="BS145" s="605"/>
      <c r="BT145" s="605"/>
      <c r="BU145" s="605"/>
    </row>
    <row r="146" spans="2:73" ht="15">
      <c r="B146" s="1775" t="s">
        <v>1227</v>
      </c>
      <c r="C146" s="561" t="s">
        <v>1196</v>
      </c>
      <c r="P146" s="606">
        <v>8158.4979999999996</v>
      </c>
      <c r="AL146" s="605"/>
      <c r="AM146" s="605"/>
      <c r="AN146" s="605"/>
      <c r="AO146" s="605"/>
      <c r="AP146" s="605"/>
      <c r="AQ146" s="605"/>
      <c r="AR146" s="605"/>
      <c r="AS146" s="605"/>
      <c r="AT146" s="605"/>
      <c r="AU146" s="605"/>
      <c r="AV146" s="605"/>
      <c r="AW146" s="605"/>
      <c r="AX146" s="605"/>
      <c r="AY146" s="605"/>
      <c r="AZ146" s="605"/>
      <c r="BA146" s="605"/>
      <c r="BB146" s="605"/>
      <c r="BC146" s="605"/>
      <c r="BD146" s="605"/>
      <c r="BE146" s="605"/>
      <c r="BF146" s="605"/>
      <c r="BG146" s="605"/>
      <c r="BH146" s="605"/>
      <c r="BI146" s="605"/>
      <c r="BJ146" s="605"/>
      <c r="BK146" s="605"/>
      <c r="BL146" s="605"/>
      <c r="BM146" s="605"/>
      <c r="BN146" s="605"/>
      <c r="BO146" s="605"/>
      <c r="BP146" s="605"/>
      <c r="BQ146" s="605"/>
      <c r="BR146" s="605"/>
      <c r="BS146" s="605"/>
      <c r="BT146" s="605"/>
      <c r="BU146" s="605"/>
    </row>
    <row r="147" spans="2:73" ht="15">
      <c r="B147" s="1775"/>
      <c r="C147" s="561" t="s">
        <v>1199</v>
      </c>
      <c r="P147" s="606">
        <v>8158.4979999999996</v>
      </c>
      <c r="AL147" s="605"/>
      <c r="AM147" s="605"/>
      <c r="AN147" s="605"/>
      <c r="AO147" s="605"/>
      <c r="AP147" s="605"/>
      <c r="AQ147" s="605"/>
      <c r="AR147" s="605"/>
      <c r="AS147" s="605"/>
      <c r="AT147" s="605"/>
      <c r="AU147" s="605"/>
      <c r="AV147" s="605"/>
      <c r="AW147" s="605"/>
      <c r="AX147" s="605"/>
      <c r="AY147" s="605"/>
      <c r="AZ147" s="605"/>
      <c r="BA147" s="605"/>
      <c r="BB147" s="605"/>
      <c r="BC147" s="605"/>
      <c r="BD147" s="605"/>
      <c r="BE147" s="605"/>
      <c r="BF147" s="605"/>
      <c r="BG147" s="605"/>
      <c r="BH147" s="605"/>
      <c r="BI147" s="605"/>
      <c r="BJ147" s="605"/>
      <c r="BK147" s="605"/>
      <c r="BL147" s="605"/>
      <c r="BM147" s="605"/>
      <c r="BN147" s="605"/>
      <c r="BO147" s="605"/>
      <c r="BP147" s="605"/>
      <c r="BQ147" s="605"/>
      <c r="BR147" s="605"/>
      <c r="BS147" s="605"/>
      <c r="BT147" s="605"/>
      <c r="BU147" s="605"/>
    </row>
    <row r="148" spans="2:73" ht="15">
      <c r="B148" s="1775" t="s">
        <v>1228</v>
      </c>
      <c r="C148" s="561" t="s">
        <v>1196</v>
      </c>
      <c r="P148" s="606">
        <v>464666.47399999999</v>
      </c>
      <c r="AL148" s="605"/>
      <c r="AM148" s="605"/>
      <c r="AN148" s="605"/>
      <c r="AO148" s="605"/>
      <c r="AP148" s="605"/>
      <c r="AQ148" s="605"/>
      <c r="AR148" s="605"/>
      <c r="AS148" s="605"/>
      <c r="AT148" s="605"/>
      <c r="AU148" s="605"/>
      <c r="AV148" s="605"/>
      <c r="AW148" s="605"/>
      <c r="AX148" s="605"/>
      <c r="AY148" s="605"/>
      <c r="AZ148" s="605"/>
      <c r="BA148" s="605"/>
      <c r="BB148" s="605"/>
      <c r="BC148" s="605"/>
      <c r="BD148" s="605"/>
      <c r="BE148" s="605"/>
      <c r="BF148" s="605"/>
      <c r="BG148" s="605"/>
      <c r="BH148" s="605"/>
      <c r="BI148" s="605"/>
      <c r="BJ148" s="605"/>
      <c r="BK148" s="605"/>
      <c r="BL148" s="605"/>
      <c r="BM148" s="605"/>
      <c r="BN148" s="605"/>
      <c r="BO148" s="605"/>
      <c r="BP148" s="605"/>
      <c r="BQ148" s="605"/>
      <c r="BR148" s="605"/>
      <c r="BS148" s="605"/>
      <c r="BT148" s="605"/>
      <c r="BU148" s="605"/>
    </row>
    <row r="149" spans="2:73" ht="15">
      <c r="B149" s="1775"/>
      <c r="C149" s="561" t="s">
        <v>1197</v>
      </c>
      <c r="P149" s="606"/>
      <c r="AL149" s="605"/>
      <c r="AM149" s="605"/>
      <c r="AN149" s="605"/>
      <c r="AO149" s="605"/>
      <c r="AP149" s="605"/>
      <c r="AQ149" s="605"/>
      <c r="AR149" s="605"/>
      <c r="AS149" s="605"/>
      <c r="AT149" s="605"/>
      <c r="AU149" s="605"/>
      <c r="AV149" s="605"/>
      <c r="AW149" s="605"/>
      <c r="AX149" s="605"/>
      <c r="AY149" s="605"/>
      <c r="AZ149" s="605"/>
      <c r="BA149" s="605"/>
      <c r="BB149" s="605"/>
      <c r="BC149" s="605"/>
      <c r="BD149" s="605"/>
      <c r="BE149" s="605"/>
      <c r="BF149" s="605"/>
      <c r="BG149" s="605"/>
      <c r="BH149" s="605"/>
      <c r="BI149" s="605"/>
      <c r="BJ149" s="605"/>
      <c r="BK149" s="605"/>
      <c r="BL149" s="605"/>
      <c r="BM149" s="605"/>
      <c r="BN149" s="605"/>
      <c r="BO149" s="605"/>
      <c r="BP149" s="605"/>
      <c r="BQ149" s="605"/>
      <c r="BR149" s="605"/>
      <c r="BS149" s="605"/>
      <c r="BT149" s="605"/>
      <c r="BU149" s="605"/>
    </row>
    <row r="150" spans="2:73" ht="15">
      <c r="B150" s="1775"/>
      <c r="C150" s="561" t="s">
        <v>1199</v>
      </c>
      <c r="P150" s="606">
        <v>13523.46</v>
      </c>
      <c r="AL150" s="605"/>
      <c r="AM150" s="605"/>
      <c r="AN150" s="605"/>
      <c r="AO150" s="605"/>
      <c r="AP150" s="605"/>
      <c r="AQ150" s="605"/>
      <c r="AR150" s="605"/>
      <c r="AS150" s="605"/>
      <c r="AT150" s="605"/>
      <c r="AU150" s="605"/>
      <c r="AV150" s="605"/>
      <c r="AW150" s="605"/>
      <c r="AX150" s="605"/>
      <c r="AY150" s="605"/>
      <c r="AZ150" s="605"/>
      <c r="BA150" s="605"/>
      <c r="BB150" s="605"/>
      <c r="BC150" s="605"/>
      <c r="BD150" s="605"/>
      <c r="BE150" s="605"/>
      <c r="BF150" s="605"/>
      <c r="BG150" s="605"/>
      <c r="BH150" s="605"/>
      <c r="BI150" s="605"/>
      <c r="BJ150" s="605"/>
      <c r="BK150" s="605"/>
      <c r="BL150" s="605"/>
      <c r="BM150" s="605"/>
      <c r="BN150" s="605"/>
      <c r="BO150" s="605"/>
      <c r="BP150" s="605"/>
      <c r="BQ150" s="605"/>
      <c r="BR150" s="605"/>
      <c r="BS150" s="605"/>
      <c r="BT150" s="605"/>
      <c r="BU150" s="605"/>
    </row>
    <row r="151" spans="2:73" ht="15">
      <c r="B151" s="1775" t="s">
        <v>1229</v>
      </c>
      <c r="C151" s="561" t="s">
        <v>1196</v>
      </c>
      <c r="P151" s="606">
        <v>8182.612000000001</v>
      </c>
      <c r="AL151" s="605"/>
      <c r="AM151" s="605"/>
      <c r="AN151" s="605"/>
      <c r="AO151" s="605"/>
      <c r="AP151" s="605"/>
      <c r="AQ151" s="605"/>
      <c r="AR151" s="605"/>
      <c r="AS151" s="605"/>
      <c r="AT151" s="605"/>
      <c r="AU151" s="605"/>
      <c r="AV151" s="605"/>
      <c r="AW151" s="605"/>
      <c r="AX151" s="605"/>
      <c r="AY151" s="605"/>
      <c r="AZ151" s="605"/>
      <c r="BA151" s="605"/>
      <c r="BB151" s="605"/>
      <c r="BC151" s="605"/>
      <c r="BD151" s="605"/>
      <c r="BE151" s="605"/>
      <c r="BF151" s="605"/>
      <c r="BG151" s="605"/>
      <c r="BH151" s="605"/>
      <c r="BI151" s="605"/>
      <c r="BJ151" s="605"/>
      <c r="BK151" s="605"/>
      <c r="BL151" s="605"/>
      <c r="BM151" s="605"/>
      <c r="BN151" s="605"/>
      <c r="BO151" s="605"/>
      <c r="BP151" s="605"/>
      <c r="BQ151" s="605"/>
      <c r="BR151" s="605"/>
      <c r="BS151" s="605"/>
      <c r="BT151" s="605"/>
      <c r="BU151" s="605"/>
    </row>
    <row r="152" spans="2:73" ht="15">
      <c r="B152" s="1775"/>
      <c r="C152" s="561" t="s">
        <v>1199</v>
      </c>
      <c r="P152" s="606">
        <v>8182.612000000001</v>
      </c>
      <c r="AL152" s="605"/>
      <c r="AM152" s="605"/>
      <c r="AN152" s="605"/>
      <c r="AO152" s="605"/>
      <c r="AP152" s="605"/>
      <c r="AQ152" s="605"/>
      <c r="AR152" s="605"/>
      <c r="AS152" s="605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</row>
    <row r="153" spans="2:73" ht="15">
      <c r="B153" s="1775" t="s">
        <v>1230</v>
      </c>
      <c r="C153" s="561" t="s">
        <v>1196</v>
      </c>
      <c r="P153" s="606">
        <v>155404.15477000002</v>
      </c>
      <c r="AL153" s="605"/>
      <c r="AM153" s="605"/>
      <c r="AN153" s="605"/>
      <c r="AO153" s="605"/>
      <c r="AP153" s="605"/>
      <c r="AQ153" s="605"/>
      <c r="AR153" s="605"/>
      <c r="AS153" s="605"/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605"/>
      <c r="BH153" s="605"/>
      <c r="BI153" s="605"/>
      <c r="BJ153" s="60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605"/>
    </row>
    <row r="154" spans="2:73" ht="15">
      <c r="B154" s="1775"/>
      <c r="C154" s="561" t="s">
        <v>1197</v>
      </c>
      <c r="P154" s="606"/>
      <c r="AL154" s="605"/>
      <c r="AM154" s="605"/>
      <c r="AN154" s="605"/>
      <c r="AO154" s="605"/>
      <c r="AP154" s="605"/>
      <c r="AQ154" s="605"/>
      <c r="AR154" s="605"/>
      <c r="AS154" s="605"/>
      <c r="AT154" s="605"/>
      <c r="AU154" s="605"/>
      <c r="AV154" s="605"/>
      <c r="AW154" s="605"/>
      <c r="AX154" s="605"/>
      <c r="AY154" s="605"/>
      <c r="AZ154" s="605"/>
      <c r="BA154" s="605"/>
      <c r="BB154" s="605"/>
      <c r="BC154" s="605"/>
      <c r="BD154" s="605"/>
      <c r="BE154" s="605"/>
      <c r="BF154" s="605"/>
      <c r="BG154" s="605"/>
      <c r="BH154" s="605"/>
      <c r="BI154" s="605"/>
      <c r="BJ154" s="605"/>
      <c r="BK154" s="605"/>
      <c r="BL154" s="605"/>
      <c r="BM154" s="605"/>
      <c r="BN154" s="605"/>
      <c r="BO154" s="605"/>
      <c r="BP154" s="605"/>
      <c r="BQ154" s="605"/>
      <c r="BR154" s="605"/>
      <c r="BS154" s="605"/>
      <c r="BT154" s="605"/>
      <c r="BU154" s="605"/>
    </row>
    <row r="155" spans="2:73" ht="15">
      <c r="B155" s="1775"/>
      <c r="C155" s="561" t="s">
        <v>1199</v>
      </c>
      <c r="P155" s="606">
        <v>27738.165480000011</v>
      </c>
      <c r="AL155" s="605"/>
      <c r="AM155" s="605"/>
      <c r="AN155" s="605"/>
      <c r="AO155" s="605"/>
      <c r="AP155" s="605"/>
      <c r="AQ155" s="605"/>
      <c r="AR155" s="605"/>
      <c r="AS155" s="605"/>
      <c r="AT155" s="605"/>
      <c r="AU155" s="605"/>
      <c r="AV155" s="605"/>
      <c r="AW155" s="605"/>
      <c r="AX155" s="605"/>
      <c r="AY155" s="605"/>
      <c r="AZ155" s="605"/>
      <c r="BA155" s="605"/>
      <c r="BB155" s="605"/>
      <c r="BC155" s="605"/>
      <c r="BD155" s="605"/>
      <c r="BE155" s="605"/>
      <c r="BF155" s="605"/>
      <c r="BG155" s="605"/>
      <c r="BH155" s="605"/>
      <c r="BI155" s="605"/>
      <c r="BJ155" s="605"/>
      <c r="BK155" s="605"/>
      <c r="BL155" s="605"/>
      <c r="BM155" s="605"/>
      <c r="BN155" s="605"/>
      <c r="BO155" s="605"/>
      <c r="BP155" s="605"/>
      <c r="BQ155" s="605"/>
      <c r="BR155" s="605"/>
      <c r="BS155" s="605"/>
      <c r="BT155" s="605"/>
      <c r="BU155" s="605"/>
    </row>
    <row r="156" spans="2:73" ht="15">
      <c r="B156" s="1775" t="s">
        <v>1231</v>
      </c>
      <c r="C156" s="561" t="s">
        <v>1196</v>
      </c>
      <c r="P156" s="606">
        <v>129733.97300000003</v>
      </c>
      <c r="AL156" s="605"/>
      <c r="AM156" s="605"/>
      <c r="AN156" s="605"/>
      <c r="AO156" s="605"/>
      <c r="AP156" s="605"/>
      <c r="AQ156" s="605"/>
      <c r="AR156" s="605"/>
      <c r="AS156" s="605"/>
      <c r="AT156" s="605"/>
      <c r="AU156" s="605"/>
      <c r="AV156" s="605"/>
      <c r="AW156" s="605"/>
      <c r="AX156" s="605"/>
      <c r="AY156" s="605"/>
      <c r="AZ156" s="605"/>
      <c r="BA156" s="605"/>
      <c r="BB156" s="605"/>
      <c r="BC156" s="605"/>
      <c r="BD156" s="605"/>
      <c r="BE156" s="605"/>
      <c r="BF156" s="605"/>
      <c r="BG156" s="605"/>
      <c r="BH156" s="605"/>
      <c r="BI156" s="605"/>
      <c r="BJ156" s="605"/>
      <c r="BK156" s="605"/>
      <c r="BL156" s="605"/>
      <c r="BM156" s="605"/>
      <c r="BN156" s="605"/>
      <c r="BO156" s="605"/>
      <c r="BP156" s="605"/>
      <c r="BQ156" s="605"/>
      <c r="BR156" s="605"/>
      <c r="BS156" s="605"/>
      <c r="BT156" s="605"/>
      <c r="BU156" s="605"/>
    </row>
    <row r="157" spans="2:73" ht="15">
      <c r="B157" s="1775"/>
      <c r="C157" s="561" t="s">
        <v>1197</v>
      </c>
      <c r="P157" s="606"/>
      <c r="AL157" s="605"/>
      <c r="AM157" s="605"/>
      <c r="AN157" s="605"/>
      <c r="AO157" s="605"/>
      <c r="AP157" s="605"/>
      <c r="AQ157" s="605"/>
      <c r="AR157" s="605"/>
      <c r="AS157" s="605"/>
      <c r="AT157" s="605"/>
      <c r="AU157" s="605"/>
      <c r="AV157" s="605"/>
      <c r="AW157" s="605"/>
      <c r="AX157" s="605"/>
      <c r="AY157" s="605"/>
      <c r="AZ157" s="605"/>
      <c r="BA157" s="605"/>
      <c r="BB157" s="605"/>
      <c r="BC157" s="605"/>
      <c r="BD157" s="605"/>
      <c r="BE157" s="605"/>
      <c r="BF157" s="605"/>
      <c r="BG157" s="605"/>
      <c r="BH157" s="605"/>
      <c r="BI157" s="605"/>
      <c r="BJ157" s="605"/>
      <c r="BK157" s="605"/>
      <c r="BL157" s="605"/>
      <c r="BM157" s="605"/>
      <c r="BN157" s="605"/>
      <c r="BO157" s="605"/>
      <c r="BP157" s="605"/>
      <c r="BQ157" s="605"/>
      <c r="BR157" s="605"/>
      <c r="BS157" s="605"/>
      <c r="BT157" s="605"/>
      <c r="BU157" s="605"/>
    </row>
    <row r="158" spans="2:73" ht="15">
      <c r="B158" s="1775"/>
      <c r="C158" s="561" t="s">
        <v>1199</v>
      </c>
      <c r="P158" s="606">
        <v>21356.959999999999</v>
      </c>
      <c r="AL158" s="605"/>
      <c r="AM158" s="605"/>
      <c r="AN158" s="605"/>
      <c r="AO158" s="605"/>
      <c r="AP158" s="605"/>
      <c r="AQ158" s="605"/>
      <c r="AR158" s="605"/>
      <c r="AS158" s="605"/>
      <c r="AT158" s="605"/>
      <c r="AU158" s="605"/>
      <c r="AV158" s="605"/>
      <c r="AW158" s="605"/>
      <c r="AX158" s="605"/>
      <c r="AY158" s="605"/>
      <c r="AZ158" s="605"/>
      <c r="BA158" s="605"/>
      <c r="BB158" s="605"/>
      <c r="BC158" s="605"/>
      <c r="BD158" s="605"/>
      <c r="BE158" s="605"/>
      <c r="BF158" s="605"/>
      <c r="BG158" s="605"/>
      <c r="BH158" s="605"/>
      <c r="BI158" s="605"/>
      <c r="BJ158" s="605"/>
      <c r="BK158" s="605"/>
      <c r="BL158" s="605"/>
      <c r="BM158" s="605"/>
      <c r="BN158" s="605"/>
      <c r="BO158" s="605"/>
      <c r="BP158" s="605"/>
      <c r="BQ158" s="605"/>
      <c r="BR158" s="605"/>
      <c r="BS158" s="605"/>
      <c r="BT158" s="605"/>
      <c r="BU158" s="605"/>
    </row>
    <row r="159" spans="2:73" ht="15">
      <c r="B159" s="1775" t="s">
        <v>1232</v>
      </c>
      <c r="C159" s="561" t="s">
        <v>1196</v>
      </c>
      <c r="P159" s="606">
        <v>125307.12599999999</v>
      </c>
      <c r="AL159" s="605"/>
      <c r="AM159" s="605"/>
      <c r="AN159" s="605"/>
      <c r="AO159" s="605"/>
      <c r="AP159" s="605"/>
      <c r="AQ159" s="605"/>
      <c r="AR159" s="605"/>
      <c r="AS159" s="605"/>
      <c r="AT159" s="605"/>
      <c r="AU159" s="605"/>
      <c r="AV159" s="605"/>
      <c r="AW159" s="605"/>
      <c r="AX159" s="605"/>
      <c r="AY159" s="605"/>
      <c r="AZ159" s="605"/>
      <c r="BA159" s="605"/>
      <c r="BB159" s="605"/>
      <c r="BC159" s="605"/>
      <c r="BD159" s="605"/>
      <c r="BE159" s="605"/>
      <c r="BF159" s="605"/>
      <c r="BG159" s="605"/>
      <c r="BH159" s="605"/>
      <c r="BI159" s="605"/>
      <c r="BJ159" s="605"/>
      <c r="BK159" s="605"/>
      <c r="BL159" s="605"/>
      <c r="BM159" s="605"/>
      <c r="BN159" s="605"/>
      <c r="BO159" s="605"/>
      <c r="BP159" s="605"/>
      <c r="BQ159" s="605"/>
      <c r="BR159" s="605"/>
      <c r="BS159" s="605"/>
      <c r="BT159" s="605"/>
      <c r="BU159" s="605"/>
    </row>
    <row r="160" spans="2:73" ht="15">
      <c r="B160" s="1775"/>
      <c r="C160" s="561" t="s">
        <v>1197</v>
      </c>
      <c r="P160" s="606"/>
      <c r="AL160" s="605"/>
      <c r="AM160" s="605"/>
      <c r="AN160" s="605"/>
      <c r="AO160" s="605"/>
      <c r="AP160" s="605"/>
      <c r="AQ160" s="605"/>
      <c r="AR160" s="605"/>
      <c r="AS160" s="605"/>
      <c r="AT160" s="605"/>
      <c r="AU160" s="605"/>
      <c r="AV160" s="605"/>
      <c r="AW160" s="605"/>
      <c r="AX160" s="605"/>
      <c r="AY160" s="605"/>
      <c r="AZ160" s="605"/>
      <c r="BA160" s="605"/>
      <c r="BB160" s="605"/>
      <c r="BC160" s="605"/>
      <c r="BD160" s="605"/>
      <c r="BE160" s="605"/>
      <c r="BF160" s="605"/>
      <c r="BG160" s="605"/>
      <c r="BH160" s="605"/>
      <c r="BI160" s="605"/>
      <c r="BJ160" s="605"/>
      <c r="BK160" s="605"/>
      <c r="BL160" s="605"/>
      <c r="BM160" s="605"/>
      <c r="BN160" s="605"/>
      <c r="BO160" s="605"/>
      <c r="BP160" s="605"/>
      <c r="BQ160" s="605"/>
      <c r="BR160" s="605"/>
      <c r="BS160" s="605"/>
      <c r="BT160" s="605"/>
      <c r="BU160" s="605"/>
    </row>
    <row r="161" spans="2:73" ht="15">
      <c r="B161" s="1775"/>
      <c r="C161" s="561" t="s">
        <v>1199</v>
      </c>
      <c r="P161" s="606">
        <v>21683.418999999998</v>
      </c>
      <c r="AL161" s="605"/>
      <c r="AM161" s="605"/>
      <c r="AN161" s="605"/>
      <c r="AO161" s="605"/>
      <c r="AP161" s="605"/>
      <c r="AQ161" s="605"/>
      <c r="AR161" s="605"/>
      <c r="AS161" s="605"/>
      <c r="AT161" s="605"/>
      <c r="AU161" s="605"/>
      <c r="AV161" s="605"/>
      <c r="AW161" s="605"/>
      <c r="AX161" s="605"/>
      <c r="AY161" s="605"/>
      <c r="AZ161" s="605"/>
      <c r="BA161" s="605"/>
      <c r="BB161" s="605"/>
      <c r="BC161" s="605"/>
      <c r="BD161" s="605"/>
      <c r="BE161" s="605"/>
      <c r="BF161" s="605"/>
      <c r="BG161" s="605"/>
      <c r="BH161" s="605"/>
      <c r="BI161" s="605"/>
      <c r="BJ161" s="605"/>
      <c r="BK161" s="605"/>
      <c r="BL161" s="605"/>
      <c r="BM161" s="605"/>
      <c r="BN161" s="605"/>
      <c r="BO161" s="605"/>
      <c r="BP161" s="605"/>
      <c r="BQ161" s="605"/>
      <c r="BR161" s="605"/>
      <c r="BS161" s="605"/>
      <c r="BT161" s="605"/>
      <c r="BU161" s="605"/>
    </row>
    <row r="162" spans="2:73" ht="15">
      <c r="B162" s="1775" t="s">
        <v>1233</v>
      </c>
      <c r="C162" s="561" t="s">
        <v>1196</v>
      </c>
      <c r="P162" s="606">
        <v>278123.11800000002</v>
      </c>
      <c r="AL162" s="605"/>
      <c r="AM162" s="605"/>
      <c r="AN162" s="605"/>
      <c r="AO162" s="605"/>
      <c r="AP162" s="605"/>
      <c r="AQ162" s="605"/>
      <c r="AR162" s="605"/>
      <c r="AS162" s="605"/>
      <c r="AT162" s="605"/>
      <c r="AU162" s="605"/>
      <c r="AV162" s="605"/>
      <c r="AW162" s="605"/>
      <c r="AX162" s="605"/>
      <c r="AY162" s="605"/>
      <c r="AZ162" s="605"/>
      <c r="BA162" s="605"/>
      <c r="BB162" s="605"/>
      <c r="BC162" s="605"/>
      <c r="BD162" s="605"/>
      <c r="BE162" s="605"/>
      <c r="BF162" s="605"/>
      <c r="BG162" s="605"/>
      <c r="BH162" s="605"/>
      <c r="BI162" s="605"/>
      <c r="BJ162" s="605"/>
      <c r="BK162" s="605"/>
      <c r="BL162" s="605"/>
      <c r="BM162" s="605"/>
      <c r="BN162" s="605"/>
      <c r="BO162" s="605"/>
      <c r="BP162" s="605"/>
      <c r="BQ162" s="605"/>
      <c r="BR162" s="605"/>
      <c r="BS162" s="605"/>
      <c r="BT162" s="605"/>
      <c r="BU162" s="605"/>
    </row>
    <row r="163" spans="2:73" ht="15">
      <c r="B163" s="1775"/>
      <c r="C163" s="561" t="s">
        <v>1197</v>
      </c>
      <c r="P163" s="606"/>
      <c r="AL163" s="605"/>
      <c r="AM163" s="605"/>
      <c r="AN163" s="605"/>
      <c r="AO163" s="605"/>
      <c r="AP163" s="605"/>
      <c r="AQ163" s="605"/>
      <c r="AR163" s="605"/>
      <c r="AS163" s="605"/>
      <c r="AT163" s="605"/>
      <c r="AU163" s="605"/>
      <c r="AV163" s="605"/>
      <c r="AW163" s="605"/>
      <c r="AX163" s="605"/>
      <c r="AY163" s="605"/>
      <c r="AZ163" s="605"/>
      <c r="BA163" s="605"/>
      <c r="BB163" s="605"/>
      <c r="BC163" s="605"/>
      <c r="BD163" s="605"/>
      <c r="BE163" s="605"/>
      <c r="BF163" s="605"/>
      <c r="BG163" s="605"/>
      <c r="BH163" s="605"/>
      <c r="BI163" s="605"/>
      <c r="BJ163" s="605"/>
      <c r="BK163" s="605"/>
      <c r="BL163" s="605"/>
      <c r="BM163" s="605"/>
      <c r="BN163" s="605"/>
      <c r="BO163" s="605"/>
      <c r="BP163" s="605"/>
      <c r="BQ163" s="605"/>
      <c r="BR163" s="605"/>
      <c r="BS163" s="605"/>
      <c r="BT163" s="605"/>
      <c r="BU163" s="605"/>
    </row>
    <row r="164" spans="2:73" ht="15">
      <c r="B164" s="1775"/>
      <c r="C164" s="561" t="s">
        <v>1199</v>
      </c>
      <c r="P164" s="606">
        <v>30749.562999999998</v>
      </c>
      <c r="AL164" s="605"/>
      <c r="AM164" s="605"/>
      <c r="AN164" s="605"/>
      <c r="AO164" s="605"/>
      <c r="AP164" s="605"/>
      <c r="AQ164" s="605"/>
      <c r="AR164" s="605"/>
      <c r="AS164" s="605"/>
      <c r="AT164" s="605"/>
      <c r="AU164" s="605"/>
      <c r="AV164" s="605"/>
      <c r="AW164" s="605"/>
      <c r="AX164" s="605"/>
      <c r="AY164" s="605"/>
      <c r="AZ164" s="605"/>
      <c r="BA164" s="605"/>
      <c r="BB164" s="605"/>
      <c r="BC164" s="605"/>
      <c r="BD164" s="605"/>
      <c r="BE164" s="605"/>
      <c r="BF164" s="605"/>
      <c r="BG164" s="605"/>
      <c r="BH164" s="605"/>
      <c r="BI164" s="605"/>
      <c r="BJ164" s="605"/>
      <c r="BK164" s="605"/>
      <c r="BL164" s="605"/>
      <c r="BM164" s="605"/>
      <c r="BN164" s="605"/>
      <c r="BO164" s="605"/>
      <c r="BP164" s="605"/>
      <c r="BQ164" s="605"/>
      <c r="BR164" s="605"/>
      <c r="BS164" s="605"/>
      <c r="BT164" s="605"/>
      <c r="BU164" s="605"/>
    </row>
    <row r="165" spans="2:73" ht="15">
      <c r="B165" s="1775" t="s">
        <v>1234</v>
      </c>
      <c r="C165" s="561" t="s">
        <v>1196</v>
      </c>
      <c r="P165" s="606">
        <v>169040.92700000003</v>
      </c>
      <c r="AL165" s="605"/>
      <c r="AM165" s="605"/>
      <c r="AN165" s="605"/>
      <c r="AO165" s="605"/>
      <c r="AP165" s="605"/>
      <c r="AQ165" s="605"/>
      <c r="AR165" s="605"/>
      <c r="AS165" s="605"/>
      <c r="AT165" s="605"/>
      <c r="AU165" s="605"/>
      <c r="AV165" s="605"/>
      <c r="AW165" s="605"/>
      <c r="AX165" s="605"/>
      <c r="AY165" s="605"/>
      <c r="AZ165" s="605"/>
      <c r="BA165" s="605"/>
      <c r="BB165" s="605"/>
      <c r="BC165" s="605"/>
      <c r="BD165" s="605"/>
      <c r="BE165" s="605"/>
      <c r="BF165" s="605"/>
      <c r="BG165" s="605"/>
      <c r="BH165" s="605"/>
      <c r="BI165" s="605"/>
      <c r="BJ165" s="605"/>
      <c r="BK165" s="605"/>
      <c r="BL165" s="605"/>
      <c r="BM165" s="605"/>
      <c r="BN165" s="605"/>
      <c r="BO165" s="605"/>
      <c r="BP165" s="605"/>
      <c r="BQ165" s="605"/>
      <c r="BR165" s="605"/>
      <c r="BS165" s="605"/>
      <c r="BT165" s="605"/>
      <c r="BU165" s="605"/>
    </row>
    <row r="166" spans="2:73" ht="15">
      <c r="B166" s="1775"/>
      <c r="C166" s="561" t="s">
        <v>1197</v>
      </c>
      <c r="P166" s="606"/>
      <c r="AL166" s="605"/>
      <c r="AM166" s="605"/>
      <c r="AN166" s="605"/>
      <c r="AO166" s="605"/>
      <c r="AP166" s="605"/>
      <c r="AQ166" s="605"/>
      <c r="AR166" s="605"/>
      <c r="AS166" s="605"/>
      <c r="AT166" s="605"/>
      <c r="AU166" s="605"/>
      <c r="AV166" s="605"/>
      <c r="AW166" s="605"/>
      <c r="AX166" s="605"/>
      <c r="AY166" s="605"/>
      <c r="AZ166" s="605"/>
      <c r="BA166" s="605"/>
      <c r="BB166" s="605"/>
      <c r="BC166" s="605"/>
      <c r="BD166" s="605"/>
      <c r="BE166" s="605"/>
      <c r="BF166" s="605"/>
      <c r="BG166" s="605"/>
      <c r="BH166" s="605"/>
      <c r="BI166" s="605"/>
      <c r="BJ166" s="605"/>
      <c r="BK166" s="605"/>
      <c r="BL166" s="605"/>
      <c r="BM166" s="605"/>
      <c r="BN166" s="605"/>
      <c r="BO166" s="605"/>
      <c r="BP166" s="605"/>
      <c r="BQ166" s="605"/>
      <c r="BR166" s="605"/>
      <c r="BS166" s="605"/>
      <c r="BT166" s="605"/>
      <c r="BU166" s="605"/>
    </row>
    <row r="167" spans="2:73" ht="15">
      <c r="B167" s="1775"/>
      <c r="C167" s="561" t="s">
        <v>1199</v>
      </c>
      <c r="P167" s="606">
        <v>10933.681</v>
      </c>
      <c r="AL167" s="605"/>
      <c r="AM167" s="605"/>
      <c r="AN167" s="605"/>
      <c r="AO167" s="605"/>
      <c r="AP167" s="605"/>
      <c r="AQ167" s="605"/>
      <c r="AR167" s="605"/>
      <c r="AS167" s="605"/>
      <c r="AT167" s="605"/>
      <c r="AU167" s="605"/>
      <c r="AV167" s="605"/>
      <c r="AW167" s="605"/>
      <c r="AX167" s="605"/>
      <c r="AY167" s="605"/>
      <c r="AZ167" s="605"/>
      <c r="BA167" s="605"/>
      <c r="BB167" s="605"/>
      <c r="BC167" s="605"/>
      <c r="BD167" s="605"/>
      <c r="BE167" s="605"/>
      <c r="BF167" s="605"/>
      <c r="BG167" s="605"/>
      <c r="BH167" s="605"/>
      <c r="BI167" s="605"/>
      <c r="BJ167" s="605"/>
      <c r="BK167" s="605"/>
      <c r="BL167" s="605"/>
      <c r="BM167" s="605"/>
      <c r="BN167" s="605"/>
      <c r="BO167" s="605"/>
      <c r="BP167" s="605"/>
      <c r="BQ167" s="605"/>
      <c r="BR167" s="605"/>
      <c r="BS167" s="605"/>
      <c r="BT167" s="605"/>
      <c r="BU167" s="605"/>
    </row>
    <row r="168" spans="2:73" ht="15">
      <c r="B168" s="1775" t="s">
        <v>1235</v>
      </c>
      <c r="C168" s="561" t="s">
        <v>1196</v>
      </c>
      <c r="P168" s="606">
        <v>289697.21999999997</v>
      </c>
      <c r="AL168" s="605"/>
      <c r="AM168" s="605"/>
      <c r="AN168" s="605"/>
      <c r="AO168" s="605"/>
      <c r="AP168" s="605"/>
      <c r="AQ168" s="605"/>
      <c r="AR168" s="605"/>
      <c r="AS168" s="605"/>
      <c r="AT168" s="605"/>
      <c r="AU168" s="605"/>
      <c r="AV168" s="605"/>
      <c r="AW168" s="605"/>
      <c r="AX168" s="605"/>
      <c r="AY168" s="605"/>
      <c r="AZ168" s="605"/>
      <c r="BA168" s="605"/>
      <c r="BB168" s="605"/>
      <c r="BC168" s="605"/>
      <c r="BD168" s="605"/>
      <c r="BE168" s="605"/>
      <c r="BF168" s="605"/>
      <c r="BG168" s="605"/>
      <c r="BH168" s="605"/>
      <c r="BI168" s="605"/>
      <c r="BJ168" s="605"/>
      <c r="BK168" s="605"/>
      <c r="BL168" s="605"/>
      <c r="BM168" s="605"/>
      <c r="BN168" s="605"/>
      <c r="BO168" s="605"/>
      <c r="BP168" s="605"/>
      <c r="BQ168" s="605"/>
      <c r="BR168" s="605"/>
      <c r="BS168" s="605"/>
      <c r="BT168" s="605"/>
      <c r="BU168" s="605"/>
    </row>
    <row r="169" spans="2:73" ht="15">
      <c r="B169" s="1775"/>
      <c r="C169" s="561" t="s">
        <v>1197</v>
      </c>
      <c r="P169" s="606"/>
      <c r="AL169" s="605"/>
      <c r="AM169" s="605"/>
      <c r="AN169" s="605"/>
      <c r="AO169" s="605"/>
      <c r="AP169" s="605"/>
      <c r="AQ169" s="605"/>
      <c r="AR169" s="605"/>
      <c r="AS169" s="605"/>
      <c r="AT169" s="605"/>
      <c r="AU169" s="605"/>
      <c r="AV169" s="605"/>
      <c r="AW169" s="605"/>
      <c r="AX169" s="605"/>
      <c r="AY169" s="605"/>
      <c r="AZ169" s="605"/>
      <c r="BA169" s="605"/>
      <c r="BB169" s="605"/>
      <c r="BC169" s="605"/>
      <c r="BD169" s="605"/>
      <c r="BE169" s="605"/>
      <c r="BF169" s="605"/>
      <c r="BG169" s="605"/>
      <c r="BH169" s="605"/>
      <c r="BI169" s="605"/>
      <c r="BJ169" s="605"/>
      <c r="BK169" s="605"/>
      <c r="BL169" s="605"/>
      <c r="BM169" s="605"/>
      <c r="BN169" s="605"/>
      <c r="BO169" s="605"/>
      <c r="BP169" s="605"/>
      <c r="BQ169" s="605"/>
      <c r="BR169" s="605"/>
      <c r="BS169" s="605"/>
      <c r="BT169" s="605"/>
      <c r="BU169" s="605"/>
    </row>
    <row r="170" spans="2:73" ht="15">
      <c r="B170" s="1775"/>
      <c r="C170" s="561" t="s">
        <v>1199</v>
      </c>
      <c r="P170" s="606">
        <v>1673.2670000000001</v>
      </c>
      <c r="AL170" s="605"/>
      <c r="AM170" s="605"/>
      <c r="AN170" s="605"/>
      <c r="AO170" s="605"/>
      <c r="AP170" s="605"/>
      <c r="AQ170" s="605"/>
      <c r="AR170" s="605"/>
      <c r="AS170" s="605"/>
      <c r="AT170" s="605"/>
      <c r="AU170" s="605"/>
      <c r="AV170" s="605"/>
      <c r="AW170" s="605"/>
      <c r="AX170" s="605"/>
      <c r="AY170" s="605"/>
      <c r="AZ170" s="605"/>
      <c r="BA170" s="605"/>
      <c r="BB170" s="605"/>
      <c r="BC170" s="605"/>
      <c r="BD170" s="605"/>
      <c r="BE170" s="605"/>
      <c r="BF170" s="605"/>
      <c r="BG170" s="605"/>
      <c r="BH170" s="605"/>
      <c r="BI170" s="605"/>
      <c r="BJ170" s="605"/>
      <c r="BK170" s="605"/>
      <c r="BL170" s="605"/>
      <c r="BM170" s="605"/>
      <c r="BN170" s="605"/>
      <c r="BO170" s="605"/>
      <c r="BP170" s="605"/>
      <c r="BQ170" s="605"/>
      <c r="BR170" s="605"/>
      <c r="BS170" s="605"/>
      <c r="BT170" s="605"/>
      <c r="BU170" s="605"/>
    </row>
    <row r="171" spans="2:73" ht="15">
      <c r="B171" s="1775" t="s">
        <v>1236</v>
      </c>
      <c r="C171" s="561" t="s">
        <v>1196</v>
      </c>
      <c r="P171" s="606">
        <v>16393.886999999999</v>
      </c>
      <c r="AL171" s="605"/>
      <c r="AM171" s="605"/>
      <c r="AN171" s="605"/>
      <c r="AO171" s="605"/>
      <c r="AP171" s="605"/>
      <c r="AQ171" s="605"/>
      <c r="AR171" s="605"/>
      <c r="AS171" s="605"/>
      <c r="AT171" s="605"/>
      <c r="AU171" s="605"/>
      <c r="AV171" s="605"/>
      <c r="AW171" s="605"/>
      <c r="AX171" s="605"/>
      <c r="AY171" s="605"/>
      <c r="AZ171" s="605"/>
      <c r="BA171" s="605"/>
      <c r="BB171" s="605"/>
      <c r="BC171" s="605"/>
      <c r="BD171" s="605"/>
      <c r="BE171" s="605"/>
      <c r="BF171" s="605"/>
      <c r="BG171" s="605"/>
      <c r="BH171" s="605"/>
      <c r="BI171" s="605"/>
      <c r="BJ171" s="605"/>
      <c r="BK171" s="605"/>
      <c r="BL171" s="605"/>
      <c r="BM171" s="605"/>
      <c r="BN171" s="605"/>
      <c r="BO171" s="605"/>
      <c r="BP171" s="605"/>
      <c r="BQ171" s="605"/>
      <c r="BR171" s="605"/>
      <c r="BS171" s="605"/>
      <c r="BT171" s="605"/>
      <c r="BU171" s="605"/>
    </row>
    <row r="172" spans="2:73" ht="15">
      <c r="B172" s="1775"/>
      <c r="C172" s="561" t="s">
        <v>1199</v>
      </c>
      <c r="P172" s="606">
        <v>16393.886999999999</v>
      </c>
      <c r="AL172" s="605"/>
      <c r="AM172" s="605"/>
      <c r="AN172" s="605"/>
      <c r="AO172" s="605"/>
      <c r="AP172" s="605"/>
      <c r="AQ172" s="605"/>
      <c r="AR172" s="605"/>
      <c r="AS172" s="605"/>
      <c r="AT172" s="605"/>
      <c r="AU172" s="605"/>
      <c r="AV172" s="605"/>
      <c r="AW172" s="605"/>
      <c r="AX172" s="605"/>
      <c r="AY172" s="605"/>
      <c r="AZ172" s="605"/>
      <c r="BA172" s="605"/>
      <c r="BB172" s="605"/>
      <c r="BC172" s="605"/>
      <c r="BD172" s="605"/>
      <c r="BE172" s="605"/>
      <c r="BF172" s="605"/>
      <c r="BG172" s="605"/>
      <c r="BH172" s="605"/>
      <c r="BI172" s="605"/>
      <c r="BJ172" s="605"/>
      <c r="BK172" s="605"/>
      <c r="BL172" s="605"/>
      <c r="BM172" s="605"/>
      <c r="BN172" s="605"/>
      <c r="BO172" s="605"/>
      <c r="BP172" s="605"/>
      <c r="BQ172" s="605"/>
      <c r="BR172" s="605"/>
      <c r="BS172" s="605"/>
      <c r="BT172" s="605"/>
      <c r="BU172" s="605"/>
    </row>
    <row r="173" spans="2:73" ht="15">
      <c r="B173" s="1775" t="s">
        <v>1237</v>
      </c>
      <c r="C173" s="561" t="s">
        <v>1196</v>
      </c>
      <c r="P173" s="606">
        <v>54668.88</v>
      </c>
      <c r="AL173" s="605"/>
      <c r="AM173" s="605"/>
      <c r="AN173" s="605"/>
      <c r="AO173" s="605"/>
      <c r="AP173" s="605"/>
      <c r="AQ173" s="605"/>
      <c r="AR173" s="605"/>
      <c r="AS173" s="605"/>
      <c r="AT173" s="605"/>
      <c r="AU173" s="605"/>
      <c r="AV173" s="605"/>
      <c r="AW173" s="605"/>
      <c r="AX173" s="605"/>
      <c r="AY173" s="605"/>
      <c r="AZ173" s="605"/>
      <c r="BA173" s="605"/>
      <c r="BB173" s="605"/>
      <c r="BC173" s="605"/>
      <c r="BD173" s="605"/>
      <c r="BE173" s="605"/>
      <c r="BF173" s="605"/>
      <c r="BG173" s="605"/>
      <c r="BH173" s="605"/>
      <c r="BI173" s="605"/>
      <c r="BJ173" s="605"/>
      <c r="BK173" s="605"/>
      <c r="BL173" s="605"/>
      <c r="BM173" s="605"/>
      <c r="BN173" s="605"/>
      <c r="BO173" s="605"/>
      <c r="BP173" s="605"/>
      <c r="BQ173" s="605"/>
      <c r="BR173" s="605"/>
      <c r="BS173" s="605"/>
      <c r="BT173" s="605"/>
      <c r="BU173" s="605"/>
    </row>
    <row r="174" spans="2:73" ht="15">
      <c r="B174" s="1775"/>
      <c r="C174" s="561" t="s">
        <v>1197</v>
      </c>
      <c r="P174" s="606"/>
      <c r="AL174" s="605"/>
      <c r="AM174" s="605"/>
      <c r="AN174" s="605"/>
      <c r="AO174" s="605"/>
      <c r="AP174" s="605"/>
      <c r="AQ174" s="605"/>
      <c r="AR174" s="605"/>
      <c r="AS174" s="605"/>
      <c r="AT174" s="605"/>
      <c r="AU174" s="605"/>
      <c r="AV174" s="605"/>
      <c r="AW174" s="605"/>
      <c r="AX174" s="605"/>
      <c r="AY174" s="605"/>
      <c r="AZ174" s="605"/>
      <c r="BA174" s="605"/>
      <c r="BB174" s="605"/>
      <c r="BC174" s="605"/>
      <c r="BD174" s="605"/>
      <c r="BE174" s="605"/>
      <c r="BF174" s="605"/>
      <c r="BG174" s="605"/>
      <c r="BH174" s="605"/>
      <c r="BI174" s="605"/>
      <c r="BJ174" s="605"/>
      <c r="BK174" s="605"/>
      <c r="BL174" s="605"/>
      <c r="BM174" s="605"/>
      <c r="BN174" s="605"/>
      <c r="BO174" s="605"/>
      <c r="BP174" s="605"/>
      <c r="BQ174" s="605"/>
      <c r="BR174" s="605"/>
      <c r="BS174" s="605"/>
      <c r="BT174" s="605"/>
      <c r="BU174" s="605"/>
    </row>
    <row r="175" spans="2:73" ht="15">
      <c r="B175" s="1775"/>
      <c r="C175" s="561" t="s">
        <v>1199</v>
      </c>
      <c r="P175" s="606">
        <v>7072.4989999999989</v>
      </c>
      <c r="AL175" s="605"/>
      <c r="AM175" s="605"/>
      <c r="AN175" s="605"/>
      <c r="AO175" s="605"/>
      <c r="AP175" s="605"/>
      <c r="AQ175" s="605"/>
      <c r="AR175" s="605"/>
      <c r="AS175" s="605"/>
      <c r="AT175" s="605"/>
      <c r="AU175" s="605"/>
      <c r="AV175" s="605"/>
      <c r="AW175" s="605"/>
      <c r="AX175" s="605"/>
      <c r="AY175" s="605"/>
      <c r="AZ175" s="605"/>
      <c r="BA175" s="605"/>
      <c r="BB175" s="605"/>
      <c r="BC175" s="605"/>
      <c r="BD175" s="605"/>
      <c r="BE175" s="605"/>
      <c r="BF175" s="605"/>
      <c r="BG175" s="605"/>
      <c r="BH175" s="605"/>
      <c r="BI175" s="605"/>
      <c r="BJ175" s="605"/>
      <c r="BK175" s="605"/>
      <c r="BL175" s="605"/>
      <c r="BM175" s="605"/>
      <c r="BN175" s="605"/>
      <c r="BO175" s="605"/>
      <c r="BP175" s="605"/>
      <c r="BQ175" s="605"/>
      <c r="BR175" s="605"/>
      <c r="BS175" s="605"/>
      <c r="BT175" s="605"/>
      <c r="BU175" s="605"/>
    </row>
    <row r="176" spans="2:73" ht="15">
      <c r="B176" s="1775" t="s">
        <v>1238</v>
      </c>
      <c r="C176" s="561" t="s">
        <v>1196</v>
      </c>
      <c r="P176" s="606">
        <v>78520.071000000011</v>
      </c>
      <c r="AL176" s="605"/>
      <c r="AM176" s="605"/>
      <c r="AN176" s="605"/>
      <c r="AO176" s="605"/>
      <c r="AP176" s="605"/>
      <c r="AQ176" s="605"/>
      <c r="AR176" s="605"/>
      <c r="AS176" s="605"/>
      <c r="AT176" s="605"/>
      <c r="AU176" s="605"/>
      <c r="AV176" s="605"/>
      <c r="AW176" s="605"/>
      <c r="AX176" s="605"/>
      <c r="AY176" s="605"/>
      <c r="AZ176" s="605"/>
      <c r="BA176" s="605"/>
      <c r="BB176" s="605"/>
      <c r="BC176" s="605"/>
      <c r="BD176" s="605"/>
      <c r="BE176" s="605"/>
      <c r="BF176" s="605"/>
      <c r="BG176" s="605"/>
      <c r="BH176" s="605"/>
      <c r="BI176" s="605"/>
      <c r="BJ176" s="605"/>
      <c r="BK176" s="605"/>
      <c r="BL176" s="605"/>
      <c r="BM176" s="605"/>
      <c r="BN176" s="605"/>
      <c r="BO176" s="605"/>
      <c r="BP176" s="605"/>
      <c r="BQ176" s="605"/>
      <c r="BR176" s="605"/>
      <c r="BS176" s="605"/>
      <c r="BT176" s="605"/>
      <c r="BU176" s="605"/>
    </row>
    <row r="177" spans="2:73" ht="15">
      <c r="B177" s="1775"/>
      <c r="C177" s="561" t="s">
        <v>1197</v>
      </c>
      <c r="P177" s="606"/>
      <c r="AL177" s="605"/>
      <c r="AM177" s="605"/>
      <c r="AN177" s="605"/>
      <c r="AO177" s="605"/>
      <c r="AP177" s="605"/>
      <c r="AQ177" s="605"/>
      <c r="AR177" s="605"/>
      <c r="AS177" s="605"/>
      <c r="AT177" s="605"/>
      <c r="AU177" s="605"/>
      <c r="AV177" s="605"/>
      <c r="AW177" s="605"/>
      <c r="AX177" s="605"/>
      <c r="AY177" s="605"/>
      <c r="AZ177" s="605"/>
      <c r="BA177" s="605"/>
      <c r="BB177" s="605"/>
      <c r="BC177" s="605"/>
      <c r="BD177" s="605"/>
      <c r="BE177" s="605"/>
      <c r="BF177" s="605"/>
      <c r="BG177" s="605"/>
      <c r="BH177" s="605"/>
      <c r="BI177" s="605"/>
      <c r="BJ177" s="605"/>
      <c r="BK177" s="605"/>
      <c r="BL177" s="605"/>
      <c r="BM177" s="605"/>
      <c r="BN177" s="605"/>
      <c r="BO177" s="605"/>
      <c r="BP177" s="605"/>
      <c r="BQ177" s="605"/>
      <c r="BR177" s="605"/>
      <c r="BS177" s="605"/>
      <c r="BT177" s="605"/>
      <c r="BU177" s="605"/>
    </row>
    <row r="178" spans="2:73" ht="15">
      <c r="B178" s="1775"/>
      <c r="C178" s="561" t="s">
        <v>1199</v>
      </c>
      <c r="P178" s="606">
        <v>11876.739000000001</v>
      </c>
      <c r="AL178" s="605"/>
      <c r="AM178" s="605"/>
      <c r="AN178" s="605"/>
      <c r="AO178" s="605"/>
      <c r="AP178" s="605"/>
      <c r="AQ178" s="605"/>
      <c r="AR178" s="605"/>
      <c r="AS178" s="605"/>
      <c r="AT178" s="605"/>
      <c r="AU178" s="605"/>
      <c r="AV178" s="605"/>
      <c r="AW178" s="605"/>
      <c r="AX178" s="605"/>
      <c r="AY178" s="605"/>
      <c r="AZ178" s="605"/>
      <c r="BA178" s="605"/>
      <c r="BB178" s="605"/>
      <c r="BC178" s="605"/>
      <c r="BD178" s="605"/>
      <c r="BE178" s="605"/>
      <c r="BF178" s="605"/>
      <c r="BG178" s="605"/>
      <c r="BH178" s="605"/>
      <c r="BI178" s="605"/>
      <c r="BJ178" s="605"/>
      <c r="BK178" s="605"/>
      <c r="BL178" s="605"/>
      <c r="BM178" s="605"/>
      <c r="BN178" s="605"/>
      <c r="BO178" s="605"/>
      <c r="BP178" s="605"/>
      <c r="BQ178" s="605"/>
      <c r="BR178" s="605"/>
      <c r="BS178" s="605"/>
      <c r="BT178" s="605"/>
      <c r="BU178" s="605"/>
    </row>
    <row r="179" spans="2:73" ht="15">
      <c r="B179" s="1775" t="s">
        <v>1239</v>
      </c>
      <c r="C179" s="561" t="s">
        <v>1196</v>
      </c>
      <c r="P179" s="606">
        <v>157376.44500000001</v>
      </c>
      <c r="AL179" s="605"/>
      <c r="AM179" s="605"/>
      <c r="AN179" s="605"/>
      <c r="AO179" s="605"/>
      <c r="AP179" s="605"/>
      <c r="AQ179" s="605"/>
      <c r="AR179" s="605"/>
      <c r="AS179" s="605"/>
      <c r="AT179" s="605"/>
      <c r="AU179" s="605"/>
      <c r="AV179" s="605"/>
      <c r="AW179" s="605"/>
      <c r="AX179" s="605"/>
      <c r="AY179" s="605"/>
      <c r="AZ179" s="605"/>
      <c r="BA179" s="605"/>
      <c r="BB179" s="605"/>
      <c r="BC179" s="605"/>
      <c r="BD179" s="605"/>
      <c r="BE179" s="605"/>
      <c r="BF179" s="605"/>
      <c r="BG179" s="605"/>
      <c r="BH179" s="605"/>
      <c r="BI179" s="605"/>
      <c r="BJ179" s="605"/>
      <c r="BK179" s="605"/>
      <c r="BL179" s="605"/>
      <c r="BM179" s="605"/>
      <c r="BN179" s="605"/>
      <c r="BO179" s="605"/>
      <c r="BP179" s="605"/>
      <c r="BQ179" s="605"/>
      <c r="BR179" s="605"/>
      <c r="BS179" s="605"/>
      <c r="BT179" s="605"/>
      <c r="BU179" s="605"/>
    </row>
    <row r="180" spans="2:73" ht="15">
      <c r="B180" s="1775"/>
      <c r="C180" s="561" t="s">
        <v>1197</v>
      </c>
      <c r="P180" s="606"/>
      <c r="AL180" s="605"/>
      <c r="AM180" s="605"/>
      <c r="AN180" s="605"/>
      <c r="AO180" s="605"/>
      <c r="AP180" s="605"/>
      <c r="AQ180" s="605"/>
      <c r="AR180" s="605"/>
      <c r="AS180" s="605"/>
      <c r="AT180" s="605"/>
      <c r="AU180" s="605"/>
      <c r="AV180" s="605"/>
      <c r="AW180" s="605"/>
      <c r="AX180" s="605"/>
      <c r="AY180" s="605"/>
      <c r="AZ180" s="605"/>
      <c r="BA180" s="605"/>
      <c r="BB180" s="605"/>
      <c r="BC180" s="605"/>
      <c r="BD180" s="605"/>
      <c r="BE180" s="605"/>
      <c r="BF180" s="605"/>
      <c r="BG180" s="605"/>
      <c r="BH180" s="605"/>
      <c r="BI180" s="605"/>
      <c r="BJ180" s="605"/>
      <c r="BK180" s="605"/>
      <c r="BL180" s="605"/>
      <c r="BM180" s="605"/>
      <c r="BN180" s="605"/>
      <c r="BO180" s="605"/>
      <c r="BP180" s="605"/>
      <c r="BQ180" s="605"/>
      <c r="BR180" s="605"/>
      <c r="BS180" s="605"/>
      <c r="BT180" s="605"/>
      <c r="BU180" s="605"/>
    </row>
    <row r="181" spans="2:73" ht="15">
      <c r="B181" s="1775"/>
      <c r="C181" s="561" t="s">
        <v>1199</v>
      </c>
      <c r="P181" s="606">
        <v>11929.939000000002</v>
      </c>
      <c r="AL181" s="605"/>
      <c r="AM181" s="605"/>
      <c r="AN181" s="605"/>
      <c r="AO181" s="605"/>
      <c r="AP181" s="605"/>
      <c r="AQ181" s="605"/>
      <c r="AR181" s="605"/>
      <c r="AS181" s="605"/>
      <c r="AT181" s="605"/>
      <c r="AU181" s="605"/>
      <c r="AV181" s="605"/>
      <c r="AW181" s="605"/>
      <c r="AX181" s="605"/>
      <c r="AY181" s="605"/>
      <c r="AZ181" s="605"/>
      <c r="BA181" s="605"/>
      <c r="BB181" s="605"/>
      <c r="BC181" s="605"/>
      <c r="BD181" s="605"/>
      <c r="BE181" s="605"/>
      <c r="BF181" s="605"/>
      <c r="BG181" s="605"/>
      <c r="BH181" s="605"/>
      <c r="BI181" s="605"/>
      <c r="BJ181" s="605"/>
      <c r="BK181" s="605"/>
      <c r="BL181" s="605"/>
      <c r="BM181" s="605"/>
      <c r="BN181" s="605"/>
      <c r="BO181" s="605"/>
      <c r="BP181" s="605"/>
      <c r="BQ181" s="605"/>
      <c r="BR181" s="605"/>
      <c r="BS181" s="605"/>
      <c r="BT181" s="605"/>
      <c r="BU181" s="605"/>
    </row>
    <row r="182" spans="2:73" ht="15">
      <c r="B182" s="1775" t="s">
        <v>1240</v>
      </c>
      <c r="C182" s="561" t="s">
        <v>1196</v>
      </c>
      <c r="P182" s="606">
        <v>144422.19699999999</v>
      </c>
      <c r="AL182" s="605"/>
      <c r="AM182" s="605"/>
      <c r="AN182" s="605"/>
      <c r="AO182" s="605"/>
      <c r="AP182" s="605"/>
      <c r="AQ182" s="605"/>
      <c r="AR182" s="605"/>
      <c r="AS182" s="605"/>
      <c r="AT182" s="605"/>
      <c r="AU182" s="605"/>
      <c r="AV182" s="605"/>
      <c r="AW182" s="605"/>
      <c r="AX182" s="605"/>
      <c r="AY182" s="605"/>
      <c r="AZ182" s="605"/>
      <c r="BA182" s="605"/>
      <c r="BB182" s="605"/>
      <c r="BC182" s="605"/>
      <c r="BD182" s="605"/>
      <c r="BE182" s="605"/>
      <c r="BF182" s="605"/>
      <c r="BG182" s="605"/>
      <c r="BH182" s="605"/>
      <c r="BI182" s="605"/>
      <c r="BJ182" s="605"/>
      <c r="BK182" s="605"/>
      <c r="BL182" s="605"/>
      <c r="BM182" s="605"/>
      <c r="BN182" s="605"/>
      <c r="BO182" s="605"/>
      <c r="BP182" s="605"/>
      <c r="BQ182" s="605"/>
      <c r="BR182" s="605"/>
      <c r="BS182" s="605"/>
      <c r="BT182" s="605"/>
      <c r="BU182" s="605"/>
    </row>
    <row r="183" spans="2:73" ht="15">
      <c r="B183" s="1775"/>
      <c r="C183" s="561" t="s">
        <v>1197</v>
      </c>
      <c r="P183" s="606"/>
      <c r="AL183" s="605"/>
      <c r="AM183" s="605"/>
      <c r="AN183" s="605"/>
      <c r="AO183" s="605"/>
      <c r="AP183" s="605"/>
      <c r="AQ183" s="605"/>
      <c r="AR183" s="605"/>
      <c r="AS183" s="605"/>
      <c r="AT183" s="605"/>
      <c r="AU183" s="605"/>
      <c r="AV183" s="605"/>
      <c r="AW183" s="605"/>
      <c r="AX183" s="605"/>
      <c r="AY183" s="605"/>
      <c r="AZ183" s="605"/>
      <c r="BA183" s="605"/>
      <c r="BB183" s="605"/>
      <c r="BC183" s="605"/>
      <c r="BD183" s="605"/>
      <c r="BE183" s="605"/>
      <c r="BF183" s="605"/>
      <c r="BG183" s="605"/>
      <c r="BH183" s="605"/>
      <c r="BI183" s="605"/>
      <c r="BJ183" s="605"/>
      <c r="BK183" s="605"/>
      <c r="BL183" s="605"/>
      <c r="BM183" s="605"/>
      <c r="BN183" s="605"/>
      <c r="BO183" s="605"/>
      <c r="BP183" s="605"/>
      <c r="BQ183" s="605"/>
      <c r="BR183" s="605"/>
      <c r="BS183" s="605"/>
      <c r="BT183" s="605"/>
      <c r="BU183" s="605"/>
    </row>
    <row r="184" spans="2:73" ht="15">
      <c r="B184" s="1775"/>
      <c r="C184" s="561" t="s">
        <v>1199</v>
      </c>
      <c r="P184" s="606">
        <v>23172.870000000003</v>
      </c>
      <c r="AL184" s="605"/>
      <c r="AM184" s="605"/>
      <c r="AN184" s="605"/>
      <c r="AO184" s="605"/>
      <c r="AP184" s="605"/>
      <c r="AQ184" s="605"/>
      <c r="AR184" s="605"/>
      <c r="AS184" s="605"/>
      <c r="AT184" s="605"/>
      <c r="AU184" s="605"/>
      <c r="AV184" s="605"/>
      <c r="AW184" s="605"/>
      <c r="AX184" s="605"/>
      <c r="AY184" s="605"/>
      <c r="AZ184" s="605"/>
      <c r="BA184" s="605"/>
      <c r="BB184" s="605"/>
      <c r="BC184" s="605"/>
      <c r="BD184" s="605"/>
      <c r="BE184" s="605"/>
      <c r="BF184" s="605"/>
      <c r="BG184" s="605"/>
      <c r="BH184" s="605"/>
      <c r="BI184" s="605"/>
      <c r="BJ184" s="605"/>
      <c r="BK184" s="605"/>
      <c r="BL184" s="605"/>
      <c r="BM184" s="605"/>
      <c r="BN184" s="605"/>
      <c r="BO184" s="605"/>
      <c r="BP184" s="605"/>
      <c r="BQ184" s="605"/>
      <c r="BR184" s="605"/>
      <c r="BS184" s="605"/>
      <c r="BT184" s="605"/>
      <c r="BU184" s="605"/>
    </row>
    <row r="185" spans="2:73" ht="15">
      <c r="B185" s="1775" t="s">
        <v>1241</v>
      </c>
      <c r="C185" s="561" t="s">
        <v>1196</v>
      </c>
      <c r="P185" s="606">
        <v>107206.20299999998</v>
      </c>
      <c r="AL185" s="605"/>
      <c r="AM185" s="605"/>
      <c r="AN185" s="605"/>
      <c r="AO185" s="605"/>
      <c r="AP185" s="605"/>
      <c r="AQ185" s="605"/>
      <c r="AR185" s="605"/>
      <c r="AS185" s="605"/>
      <c r="AT185" s="605"/>
      <c r="AU185" s="605"/>
      <c r="AV185" s="605"/>
      <c r="AW185" s="605"/>
      <c r="AX185" s="605"/>
      <c r="AY185" s="605"/>
      <c r="AZ185" s="605"/>
      <c r="BA185" s="605"/>
      <c r="BB185" s="605"/>
      <c r="BC185" s="605"/>
      <c r="BD185" s="605"/>
      <c r="BE185" s="605"/>
      <c r="BF185" s="605"/>
      <c r="BG185" s="605"/>
      <c r="BH185" s="605"/>
      <c r="BI185" s="605"/>
      <c r="BJ185" s="605"/>
      <c r="BK185" s="605"/>
      <c r="BL185" s="605"/>
      <c r="BM185" s="605"/>
      <c r="BN185" s="605"/>
      <c r="BO185" s="605"/>
      <c r="BP185" s="605"/>
      <c r="BQ185" s="605"/>
      <c r="BR185" s="605"/>
      <c r="BS185" s="605"/>
      <c r="BT185" s="605"/>
      <c r="BU185" s="605"/>
    </row>
    <row r="186" spans="2:73" ht="15">
      <c r="B186" s="1775"/>
      <c r="C186" s="561" t="s">
        <v>1197</v>
      </c>
      <c r="P186" s="606"/>
      <c r="AL186" s="605"/>
      <c r="AM186" s="605"/>
      <c r="AN186" s="605"/>
      <c r="AO186" s="605"/>
      <c r="AP186" s="605"/>
      <c r="AQ186" s="605"/>
      <c r="AR186" s="605"/>
      <c r="AS186" s="605"/>
      <c r="AT186" s="605"/>
      <c r="AU186" s="605"/>
      <c r="AV186" s="605"/>
      <c r="AW186" s="605"/>
      <c r="AX186" s="605"/>
      <c r="AY186" s="605"/>
      <c r="AZ186" s="605"/>
      <c r="BA186" s="605"/>
      <c r="BB186" s="605"/>
      <c r="BC186" s="605"/>
      <c r="BD186" s="605"/>
      <c r="BE186" s="605"/>
      <c r="BF186" s="605"/>
      <c r="BG186" s="605"/>
      <c r="BH186" s="605"/>
      <c r="BI186" s="605"/>
      <c r="BJ186" s="605"/>
      <c r="BK186" s="605"/>
      <c r="BL186" s="605"/>
      <c r="BM186" s="605"/>
      <c r="BN186" s="605"/>
      <c r="BO186" s="605"/>
      <c r="BP186" s="605"/>
      <c r="BQ186" s="605"/>
      <c r="BR186" s="605"/>
      <c r="BS186" s="605"/>
      <c r="BT186" s="605"/>
      <c r="BU186" s="605"/>
    </row>
    <row r="187" spans="2:73" ht="15">
      <c r="B187" s="1775"/>
      <c r="C187" s="561" t="s">
        <v>1199</v>
      </c>
      <c r="P187" s="606">
        <v>19006.796999999999</v>
      </c>
      <c r="AL187" s="605"/>
      <c r="AM187" s="605"/>
      <c r="AN187" s="605"/>
      <c r="AO187" s="605"/>
      <c r="AP187" s="605"/>
      <c r="AQ187" s="605"/>
      <c r="AR187" s="605"/>
      <c r="AS187" s="605"/>
      <c r="AT187" s="605"/>
      <c r="AU187" s="605"/>
      <c r="AV187" s="605"/>
      <c r="AW187" s="605"/>
      <c r="AX187" s="605"/>
      <c r="AY187" s="605"/>
      <c r="AZ187" s="605"/>
      <c r="BA187" s="605"/>
      <c r="BB187" s="605"/>
      <c r="BC187" s="605"/>
      <c r="BD187" s="605"/>
      <c r="BE187" s="605"/>
      <c r="BF187" s="605"/>
      <c r="BG187" s="605"/>
      <c r="BH187" s="605"/>
      <c r="BI187" s="605"/>
      <c r="BJ187" s="605"/>
      <c r="BK187" s="605"/>
      <c r="BL187" s="605"/>
      <c r="BM187" s="605"/>
      <c r="BN187" s="605"/>
      <c r="BO187" s="605"/>
      <c r="BP187" s="605"/>
      <c r="BQ187" s="605"/>
      <c r="BR187" s="605"/>
      <c r="BS187" s="605"/>
      <c r="BT187" s="605"/>
      <c r="BU187" s="605"/>
    </row>
    <row r="188" spans="2:73" ht="15">
      <c r="B188" s="1775" t="s">
        <v>1242</v>
      </c>
      <c r="C188" s="561" t="s">
        <v>1196</v>
      </c>
      <c r="P188" s="606">
        <v>68722.311999999991</v>
      </c>
      <c r="AL188" s="605"/>
      <c r="AM188" s="605"/>
      <c r="AN188" s="605"/>
      <c r="AO188" s="605"/>
      <c r="AP188" s="605"/>
      <c r="AQ188" s="605"/>
      <c r="AR188" s="605"/>
      <c r="AS188" s="605"/>
      <c r="AT188" s="605"/>
      <c r="AU188" s="605"/>
      <c r="AV188" s="605"/>
      <c r="AW188" s="605"/>
      <c r="AX188" s="605"/>
      <c r="AY188" s="605"/>
      <c r="AZ188" s="605"/>
      <c r="BA188" s="605"/>
      <c r="BB188" s="605"/>
      <c r="BC188" s="605"/>
      <c r="BD188" s="605"/>
      <c r="BE188" s="605"/>
      <c r="BF188" s="605"/>
      <c r="BG188" s="605"/>
      <c r="BH188" s="605"/>
      <c r="BI188" s="605"/>
      <c r="BJ188" s="605"/>
      <c r="BK188" s="605"/>
      <c r="BL188" s="605"/>
      <c r="BM188" s="605"/>
      <c r="BN188" s="605"/>
      <c r="BO188" s="605"/>
      <c r="BP188" s="605"/>
      <c r="BQ188" s="605"/>
      <c r="BR188" s="605"/>
      <c r="BS188" s="605"/>
      <c r="BT188" s="605"/>
      <c r="BU188" s="605"/>
    </row>
    <row r="189" spans="2:73" ht="15">
      <c r="B189" s="1775"/>
      <c r="C189" s="561" t="s">
        <v>1197</v>
      </c>
      <c r="P189" s="606"/>
      <c r="AL189" s="605"/>
      <c r="AM189" s="605"/>
      <c r="AN189" s="605"/>
      <c r="AO189" s="605"/>
      <c r="AP189" s="605"/>
      <c r="AQ189" s="605"/>
      <c r="AR189" s="605"/>
      <c r="AS189" s="605"/>
      <c r="AT189" s="605"/>
      <c r="AU189" s="605"/>
      <c r="AV189" s="605"/>
      <c r="AW189" s="605"/>
      <c r="AX189" s="605"/>
      <c r="AY189" s="605"/>
      <c r="AZ189" s="605"/>
      <c r="BA189" s="605"/>
      <c r="BB189" s="605"/>
      <c r="BC189" s="605"/>
      <c r="BD189" s="605"/>
      <c r="BE189" s="605"/>
      <c r="BF189" s="605"/>
      <c r="BG189" s="605"/>
      <c r="BH189" s="605"/>
      <c r="BI189" s="605"/>
      <c r="BJ189" s="605"/>
      <c r="BK189" s="605"/>
      <c r="BL189" s="605"/>
      <c r="BM189" s="605"/>
      <c r="BN189" s="605"/>
      <c r="BO189" s="605"/>
      <c r="BP189" s="605"/>
      <c r="BQ189" s="605"/>
      <c r="BR189" s="605"/>
      <c r="BS189" s="605"/>
      <c r="BT189" s="605"/>
      <c r="BU189" s="605"/>
    </row>
    <row r="190" spans="2:73" ht="15">
      <c r="B190" s="1775"/>
      <c r="C190" s="561" t="s">
        <v>1199</v>
      </c>
      <c r="P190" s="606">
        <v>8557.7510000000002</v>
      </c>
      <c r="AL190" s="605"/>
      <c r="AM190" s="605"/>
      <c r="AN190" s="605"/>
      <c r="AO190" s="605"/>
      <c r="AP190" s="605"/>
      <c r="AQ190" s="605"/>
      <c r="AR190" s="605"/>
      <c r="AS190" s="605"/>
      <c r="AT190" s="605"/>
      <c r="AU190" s="605"/>
      <c r="AV190" s="605"/>
      <c r="AW190" s="605"/>
      <c r="AX190" s="605"/>
      <c r="AY190" s="605"/>
      <c r="AZ190" s="605"/>
      <c r="BA190" s="605"/>
      <c r="BB190" s="605"/>
      <c r="BC190" s="605"/>
      <c r="BD190" s="605"/>
      <c r="BE190" s="605"/>
      <c r="BF190" s="605"/>
      <c r="BG190" s="605"/>
      <c r="BH190" s="605"/>
      <c r="BI190" s="605"/>
      <c r="BJ190" s="605"/>
      <c r="BK190" s="605"/>
      <c r="BL190" s="605"/>
      <c r="BM190" s="605"/>
      <c r="BN190" s="605"/>
      <c r="BO190" s="605"/>
      <c r="BP190" s="605"/>
      <c r="BQ190" s="605"/>
      <c r="BR190" s="605"/>
      <c r="BS190" s="605"/>
      <c r="BT190" s="605"/>
      <c r="BU190" s="605"/>
    </row>
    <row r="191" spans="2:73" ht="15">
      <c r="B191" s="1775" t="s">
        <v>1243</v>
      </c>
      <c r="C191" s="561" t="s">
        <v>1196</v>
      </c>
      <c r="P191" s="606">
        <v>119662.70500000002</v>
      </c>
      <c r="AL191" s="605"/>
      <c r="AM191" s="605"/>
      <c r="AN191" s="605"/>
      <c r="AO191" s="605"/>
      <c r="AP191" s="605"/>
      <c r="AQ191" s="605"/>
      <c r="AR191" s="605"/>
      <c r="AS191" s="605"/>
      <c r="AT191" s="605"/>
      <c r="AU191" s="605"/>
      <c r="AV191" s="605"/>
      <c r="AW191" s="605"/>
      <c r="AX191" s="605"/>
      <c r="AY191" s="605"/>
      <c r="AZ191" s="605"/>
      <c r="BA191" s="605"/>
      <c r="BB191" s="605"/>
      <c r="BC191" s="605"/>
      <c r="BD191" s="605"/>
      <c r="BE191" s="605"/>
      <c r="BF191" s="605"/>
      <c r="BG191" s="605"/>
      <c r="BH191" s="605"/>
      <c r="BI191" s="605"/>
      <c r="BJ191" s="605"/>
      <c r="BK191" s="605"/>
      <c r="BL191" s="605"/>
      <c r="BM191" s="605"/>
      <c r="BN191" s="605"/>
      <c r="BO191" s="605"/>
      <c r="BP191" s="605"/>
      <c r="BQ191" s="605"/>
      <c r="BR191" s="605"/>
      <c r="BS191" s="605"/>
      <c r="BT191" s="605"/>
      <c r="BU191" s="605"/>
    </row>
    <row r="192" spans="2:73" ht="15">
      <c r="B192" s="1775"/>
      <c r="C192" s="561" t="s">
        <v>1197</v>
      </c>
      <c r="P192" s="606"/>
      <c r="AL192" s="605"/>
      <c r="AM192" s="605"/>
      <c r="AN192" s="605"/>
      <c r="AO192" s="605"/>
      <c r="AP192" s="605"/>
      <c r="AQ192" s="605"/>
      <c r="AR192" s="605"/>
      <c r="AS192" s="605"/>
      <c r="AT192" s="605"/>
      <c r="AU192" s="605"/>
      <c r="AV192" s="605"/>
      <c r="AW192" s="605"/>
      <c r="AX192" s="605"/>
      <c r="AY192" s="605"/>
      <c r="AZ192" s="605"/>
      <c r="BA192" s="605"/>
      <c r="BB192" s="605"/>
      <c r="BC192" s="605"/>
      <c r="BD192" s="605"/>
      <c r="BE192" s="605"/>
      <c r="BF192" s="605"/>
      <c r="BG192" s="605"/>
      <c r="BH192" s="605"/>
      <c r="BI192" s="605"/>
      <c r="BJ192" s="605"/>
      <c r="BK192" s="605"/>
      <c r="BL192" s="605"/>
      <c r="BM192" s="605"/>
      <c r="BN192" s="605"/>
      <c r="BO192" s="605"/>
      <c r="BP192" s="605"/>
      <c r="BQ192" s="605"/>
      <c r="BR192" s="605"/>
      <c r="BS192" s="605"/>
      <c r="BT192" s="605"/>
      <c r="BU192" s="605"/>
    </row>
    <row r="193" spans="2:73" ht="15">
      <c r="B193" s="1775"/>
      <c r="C193" s="561" t="s">
        <v>1199</v>
      </c>
      <c r="P193" s="606">
        <v>22778.159999999996</v>
      </c>
      <c r="AL193" s="605"/>
      <c r="AM193" s="605"/>
      <c r="AN193" s="605"/>
      <c r="AO193" s="605"/>
      <c r="AP193" s="605"/>
      <c r="AQ193" s="605"/>
      <c r="AR193" s="605"/>
      <c r="AS193" s="605"/>
      <c r="AT193" s="605"/>
      <c r="AU193" s="605"/>
      <c r="AV193" s="605"/>
      <c r="AW193" s="605"/>
      <c r="AX193" s="605"/>
      <c r="AY193" s="605"/>
      <c r="AZ193" s="605"/>
      <c r="BA193" s="605"/>
      <c r="BB193" s="605"/>
      <c r="BC193" s="605"/>
      <c r="BD193" s="605"/>
      <c r="BE193" s="605"/>
      <c r="BF193" s="605"/>
      <c r="BG193" s="605"/>
      <c r="BH193" s="605"/>
      <c r="BI193" s="605"/>
      <c r="BJ193" s="605"/>
      <c r="BK193" s="605"/>
      <c r="BL193" s="605"/>
      <c r="BM193" s="605"/>
      <c r="BN193" s="605"/>
      <c r="BO193" s="605"/>
      <c r="BP193" s="605"/>
      <c r="BQ193" s="605"/>
      <c r="BR193" s="605"/>
      <c r="BS193" s="605"/>
      <c r="BT193" s="605"/>
      <c r="BU193" s="605"/>
    </row>
    <row r="194" spans="2:73" ht="15">
      <c r="B194" s="1775" t="s">
        <v>1244</v>
      </c>
      <c r="C194" s="561" t="s">
        <v>1196</v>
      </c>
      <c r="P194" s="606">
        <v>53917.219000000012</v>
      </c>
      <c r="AL194" s="605"/>
      <c r="AM194" s="605"/>
      <c r="AN194" s="605"/>
      <c r="AO194" s="605"/>
      <c r="AP194" s="605"/>
      <c r="AQ194" s="605"/>
      <c r="AR194" s="605"/>
      <c r="AS194" s="605"/>
      <c r="AT194" s="605"/>
      <c r="AU194" s="605"/>
      <c r="AV194" s="605"/>
      <c r="AW194" s="605"/>
      <c r="AX194" s="605"/>
      <c r="AY194" s="605"/>
      <c r="AZ194" s="605"/>
      <c r="BA194" s="605"/>
      <c r="BB194" s="605"/>
      <c r="BC194" s="605"/>
      <c r="BD194" s="605"/>
      <c r="BE194" s="605"/>
      <c r="BF194" s="605"/>
      <c r="BG194" s="605"/>
      <c r="BH194" s="605"/>
      <c r="BI194" s="605"/>
      <c r="BJ194" s="605"/>
      <c r="BK194" s="605"/>
      <c r="BL194" s="605"/>
      <c r="BM194" s="605"/>
      <c r="BN194" s="605"/>
      <c r="BO194" s="605"/>
      <c r="BP194" s="605"/>
      <c r="BQ194" s="605"/>
      <c r="BR194" s="605"/>
      <c r="BS194" s="605"/>
      <c r="BT194" s="605"/>
      <c r="BU194" s="605"/>
    </row>
    <row r="195" spans="2:73" ht="15">
      <c r="B195" s="1775"/>
      <c r="C195" s="561" t="s">
        <v>1197</v>
      </c>
      <c r="P195" s="606"/>
      <c r="AL195" s="605"/>
      <c r="AM195" s="605"/>
      <c r="AN195" s="605"/>
      <c r="AO195" s="605"/>
      <c r="AP195" s="605"/>
      <c r="AQ195" s="605"/>
      <c r="AR195" s="605"/>
      <c r="AS195" s="605"/>
      <c r="AT195" s="605"/>
      <c r="AU195" s="605"/>
      <c r="AV195" s="605"/>
      <c r="AW195" s="605"/>
      <c r="AX195" s="605"/>
      <c r="AY195" s="605"/>
      <c r="AZ195" s="605"/>
      <c r="BA195" s="605"/>
      <c r="BB195" s="605"/>
      <c r="BC195" s="605"/>
      <c r="BD195" s="605"/>
      <c r="BE195" s="605"/>
      <c r="BF195" s="605"/>
      <c r="BG195" s="605"/>
      <c r="BH195" s="605"/>
      <c r="BI195" s="605"/>
      <c r="BJ195" s="605"/>
      <c r="BK195" s="605"/>
      <c r="BL195" s="605"/>
      <c r="BM195" s="605"/>
      <c r="BN195" s="605"/>
      <c r="BO195" s="605"/>
      <c r="BP195" s="605"/>
      <c r="BQ195" s="605"/>
      <c r="BR195" s="605"/>
      <c r="BS195" s="605"/>
      <c r="BT195" s="605"/>
      <c r="BU195" s="605"/>
    </row>
    <row r="196" spans="2:73" ht="15">
      <c r="B196" s="1775"/>
      <c r="C196" s="561" t="s">
        <v>1199</v>
      </c>
      <c r="P196" s="606">
        <v>2349.8329999999992</v>
      </c>
      <c r="AL196" s="605"/>
      <c r="AM196" s="605"/>
      <c r="AN196" s="605"/>
      <c r="AO196" s="605"/>
      <c r="AP196" s="605"/>
      <c r="AQ196" s="605"/>
      <c r="AR196" s="605"/>
      <c r="AS196" s="605"/>
      <c r="AT196" s="605"/>
      <c r="AU196" s="605"/>
      <c r="AV196" s="605"/>
      <c r="AW196" s="605"/>
      <c r="AX196" s="605"/>
      <c r="AY196" s="605"/>
      <c r="AZ196" s="605"/>
      <c r="BA196" s="605"/>
      <c r="BB196" s="605"/>
      <c r="BC196" s="605"/>
      <c r="BD196" s="605"/>
      <c r="BE196" s="605"/>
      <c r="BF196" s="605"/>
      <c r="BG196" s="605"/>
      <c r="BH196" s="605"/>
      <c r="BI196" s="605"/>
      <c r="BJ196" s="605"/>
      <c r="BK196" s="605"/>
      <c r="BL196" s="605"/>
      <c r="BM196" s="605"/>
      <c r="BN196" s="605"/>
      <c r="BO196" s="605"/>
      <c r="BP196" s="605"/>
      <c r="BQ196" s="605"/>
      <c r="BR196" s="605"/>
      <c r="BS196" s="605"/>
      <c r="BT196" s="605"/>
      <c r="BU196" s="605"/>
    </row>
    <row r="197" spans="2:73" ht="15">
      <c r="B197" s="1775" t="s">
        <v>1245</v>
      </c>
      <c r="C197" s="561" t="s">
        <v>1196</v>
      </c>
      <c r="P197" s="606">
        <v>126952.024</v>
      </c>
      <c r="AL197" s="605"/>
      <c r="AM197" s="605"/>
      <c r="AN197" s="605"/>
      <c r="AO197" s="605"/>
      <c r="AP197" s="605"/>
      <c r="AQ197" s="605"/>
      <c r="AR197" s="605"/>
      <c r="AS197" s="605"/>
      <c r="AT197" s="605"/>
      <c r="AU197" s="605"/>
      <c r="AV197" s="605"/>
      <c r="AW197" s="605"/>
      <c r="AX197" s="605"/>
      <c r="AY197" s="605"/>
      <c r="AZ197" s="605"/>
      <c r="BA197" s="605"/>
      <c r="BB197" s="605"/>
      <c r="BC197" s="605"/>
      <c r="BD197" s="605"/>
      <c r="BE197" s="605"/>
      <c r="BF197" s="605"/>
      <c r="BG197" s="605"/>
      <c r="BH197" s="605"/>
      <c r="BI197" s="605"/>
      <c r="BJ197" s="605"/>
      <c r="BK197" s="605"/>
      <c r="BL197" s="605"/>
      <c r="BM197" s="605"/>
      <c r="BN197" s="605"/>
      <c r="BO197" s="605"/>
      <c r="BP197" s="605"/>
      <c r="BQ197" s="605"/>
      <c r="BR197" s="605"/>
      <c r="BS197" s="605"/>
      <c r="BT197" s="605"/>
      <c r="BU197" s="605"/>
    </row>
    <row r="198" spans="2:73" ht="15">
      <c r="B198" s="1775"/>
      <c r="C198" s="561" t="s">
        <v>1197</v>
      </c>
      <c r="P198" s="606"/>
      <c r="AL198" s="605"/>
      <c r="AM198" s="605"/>
      <c r="AN198" s="605"/>
      <c r="AO198" s="605"/>
      <c r="AP198" s="605"/>
      <c r="AQ198" s="605"/>
      <c r="AR198" s="605"/>
      <c r="AS198" s="605"/>
      <c r="AT198" s="605"/>
      <c r="AU198" s="605"/>
      <c r="AV198" s="605"/>
      <c r="AW198" s="605"/>
      <c r="AX198" s="605"/>
      <c r="AY198" s="605"/>
      <c r="AZ198" s="605"/>
      <c r="BA198" s="605"/>
      <c r="BB198" s="605"/>
      <c r="BC198" s="605"/>
      <c r="BD198" s="605"/>
      <c r="BE198" s="605"/>
      <c r="BF198" s="605"/>
      <c r="BG198" s="605"/>
      <c r="BH198" s="605"/>
      <c r="BI198" s="605"/>
      <c r="BJ198" s="605"/>
      <c r="BK198" s="605"/>
      <c r="BL198" s="605"/>
      <c r="BM198" s="605"/>
      <c r="BN198" s="605"/>
      <c r="BO198" s="605"/>
      <c r="BP198" s="605"/>
      <c r="BQ198" s="605"/>
      <c r="BR198" s="605"/>
      <c r="BS198" s="605"/>
      <c r="BT198" s="605"/>
      <c r="BU198" s="605"/>
    </row>
    <row r="199" spans="2:73" ht="15">
      <c r="B199" s="1775"/>
      <c r="C199" s="561" t="s">
        <v>1199</v>
      </c>
      <c r="P199" s="606">
        <v>18108.365999999998</v>
      </c>
      <c r="AL199" s="605"/>
      <c r="AM199" s="605"/>
      <c r="AN199" s="605"/>
      <c r="AO199" s="605"/>
      <c r="AP199" s="605"/>
      <c r="AQ199" s="605"/>
      <c r="AR199" s="605"/>
      <c r="AS199" s="605"/>
      <c r="AT199" s="605"/>
      <c r="AU199" s="605"/>
      <c r="AV199" s="605"/>
      <c r="AW199" s="605"/>
      <c r="AX199" s="605"/>
      <c r="AY199" s="605"/>
      <c r="AZ199" s="605"/>
      <c r="BA199" s="605"/>
      <c r="BB199" s="605"/>
      <c r="BC199" s="605"/>
      <c r="BD199" s="605"/>
      <c r="BE199" s="605"/>
      <c r="BF199" s="605"/>
      <c r="BG199" s="605"/>
      <c r="BH199" s="605"/>
      <c r="BI199" s="605"/>
      <c r="BJ199" s="605"/>
      <c r="BK199" s="605"/>
      <c r="BL199" s="605"/>
      <c r="BM199" s="605"/>
      <c r="BN199" s="605"/>
      <c r="BO199" s="605"/>
      <c r="BP199" s="605"/>
      <c r="BQ199" s="605"/>
      <c r="BR199" s="605"/>
      <c r="BS199" s="605"/>
      <c r="BT199" s="605"/>
      <c r="BU199" s="605"/>
    </row>
    <row r="200" spans="2:73" ht="15">
      <c r="B200" s="1775" t="s">
        <v>1246</v>
      </c>
      <c r="C200" s="561" t="s">
        <v>1196</v>
      </c>
      <c r="P200" s="606">
        <v>144768.19999999998</v>
      </c>
      <c r="AL200" s="605"/>
      <c r="AM200" s="605"/>
      <c r="AN200" s="605"/>
      <c r="AO200" s="605"/>
      <c r="AP200" s="605"/>
      <c r="AQ200" s="605"/>
      <c r="AR200" s="605"/>
      <c r="AS200" s="605"/>
      <c r="AT200" s="605"/>
      <c r="AU200" s="605"/>
      <c r="AV200" s="605"/>
      <c r="AW200" s="605"/>
      <c r="AX200" s="605"/>
      <c r="AY200" s="605"/>
      <c r="AZ200" s="605"/>
      <c r="BA200" s="605"/>
      <c r="BB200" s="605"/>
      <c r="BC200" s="605"/>
      <c r="BD200" s="605"/>
      <c r="BE200" s="605"/>
      <c r="BF200" s="605"/>
      <c r="BG200" s="605"/>
      <c r="BH200" s="605"/>
      <c r="BI200" s="605"/>
      <c r="BJ200" s="605"/>
      <c r="BK200" s="605"/>
      <c r="BL200" s="605"/>
      <c r="BM200" s="605"/>
      <c r="BN200" s="605"/>
      <c r="BO200" s="605"/>
      <c r="BP200" s="605"/>
      <c r="BQ200" s="605"/>
      <c r="BR200" s="605"/>
      <c r="BS200" s="605"/>
      <c r="BT200" s="605"/>
      <c r="BU200" s="605"/>
    </row>
    <row r="201" spans="2:73" ht="15">
      <c r="B201" s="1775"/>
      <c r="C201" s="561" t="s">
        <v>1197</v>
      </c>
      <c r="P201" s="606"/>
      <c r="AL201" s="605"/>
      <c r="AM201" s="605"/>
      <c r="AN201" s="605"/>
      <c r="AO201" s="605"/>
      <c r="AP201" s="605"/>
      <c r="AQ201" s="605"/>
      <c r="AR201" s="605"/>
      <c r="AS201" s="605"/>
      <c r="AT201" s="605"/>
      <c r="AU201" s="605"/>
      <c r="AV201" s="605"/>
      <c r="AW201" s="605"/>
      <c r="AX201" s="605"/>
      <c r="AY201" s="605"/>
      <c r="AZ201" s="605"/>
      <c r="BA201" s="605"/>
      <c r="BB201" s="605"/>
      <c r="BC201" s="605"/>
      <c r="BD201" s="605"/>
      <c r="BE201" s="605"/>
      <c r="BF201" s="605"/>
      <c r="BG201" s="605"/>
      <c r="BH201" s="605"/>
      <c r="BI201" s="605"/>
      <c r="BJ201" s="605"/>
      <c r="BK201" s="605"/>
      <c r="BL201" s="605"/>
      <c r="BM201" s="605"/>
      <c r="BN201" s="605"/>
      <c r="BO201" s="605"/>
      <c r="BP201" s="605"/>
      <c r="BQ201" s="605"/>
      <c r="BR201" s="605"/>
      <c r="BS201" s="605"/>
      <c r="BT201" s="605"/>
      <c r="BU201" s="605"/>
    </row>
    <row r="202" spans="2:73" ht="15">
      <c r="B202" s="1775"/>
      <c r="C202" s="561" t="s">
        <v>1199</v>
      </c>
      <c r="P202" s="606">
        <v>27721.327000000001</v>
      </c>
      <c r="AL202" s="605"/>
      <c r="AM202" s="605"/>
      <c r="AN202" s="605"/>
      <c r="AO202" s="605"/>
      <c r="AP202" s="605"/>
      <c r="AQ202" s="605"/>
      <c r="AR202" s="605"/>
      <c r="AS202" s="605"/>
      <c r="AT202" s="605"/>
      <c r="AU202" s="605"/>
      <c r="AV202" s="605"/>
      <c r="AW202" s="605"/>
      <c r="AX202" s="605"/>
      <c r="AY202" s="605"/>
      <c r="AZ202" s="605"/>
      <c r="BA202" s="605"/>
      <c r="BB202" s="605"/>
      <c r="BC202" s="605"/>
      <c r="BD202" s="605"/>
      <c r="BE202" s="605"/>
      <c r="BF202" s="605"/>
      <c r="BG202" s="605"/>
      <c r="BH202" s="605"/>
      <c r="BI202" s="605"/>
      <c r="BJ202" s="605"/>
      <c r="BK202" s="605"/>
      <c r="BL202" s="605"/>
      <c r="BM202" s="605"/>
      <c r="BN202" s="605"/>
      <c r="BO202" s="605"/>
      <c r="BP202" s="605"/>
      <c r="BQ202" s="605"/>
      <c r="BR202" s="605"/>
      <c r="BS202" s="605"/>
      <c r="BT202" s="605"/>
      <c r="BU202" s="605"/>
    </row>
    <row r="203" spans="2:73" ht="15">
      <c r="B203" s="1775" t="s">
        <v>1247</v>
      </c>
      <c r="C203" s="561" t="s">
        <v>1196</v>
      </c>
      <c r="P203" s="606">
        <v>1371.2370000000001</v>
      </c>
      <c r="AL203" s="605"/>
      <c r="AM203" s="605"/>
      <c r="AN203" s="605"/>
      <c r="AO203" s="605"/>
      <c r="AP203" s="605"/>
      <c r="AQ203" s="605"/>
      <c r="AR203" s="605"/>
      <c r="AS203" s="605"/>
      <c r="AT203" s="605"/>
      <c r="AU203" s="605"/>
      <c r="AV203" s="605"/>
      <c r="AW203" s="605"/>
      <c r="AX203" s="605"/>
      <c r="AY203" s="605"/>
      <c r="AZ203" s="605"/>
      <c r="BA203" s="605"/>
      <c r="BB203" s="605"/>
      <c r="BC203" s="605"/>
      <c r="BD203" s="605"/>
      <c r="BE203" s="605"/>
      <c r="BF203" s="605"/>
      <c r="BG203" s="605"/>
      <c r="BH203" s="605"/>
      <c r="BI203" s="605"/>
      <c r="BJ203" s="605"/>
      <c r="BK203" s="605"/>
      <c r="BL203" s="605"/>
      <c r="BM203" s="605"/>
      <c r="BN203" s="605"/>
      <c r="BO203" s="605"/>
      <c r="BP203" s="605"/>
      <c r="BQ203" s="605"/>
      <c r="BR203" s="605"/>
      <c r="BS203" s="605"/>
      <c r="BT203" s="605"/>
      <c r="BU203" s="605"/>
    </row>
    <row r="204" spans="2:73" ht="15">
      <c r="B204" s="1775"/>
      <c r="C204" s="561" t="s">
        <v>1199</v>
      </c>
      <c r="P204" s="606">
        <v>1371.2370000000001</v>
      </c>
      <c r="AL204" s="605"/>
      <c r="AM204" s="605"/>
      <c r="AN204" s="605"/>
      <c r="AO204" s="605"/>
      <c r="AP204" s="605"/>
      <c r="AQ204" s="605"/>
      <c r="AR204" s="605"/>
      <c r="AS204" s="605"/>
      <c r="AT204" s="605"/>
      <c r="AU204" s="605"/>
      <c r="AV204" s="605"/>
      <c r="AW204" s="605"/>
      <c r="AX204" s="605"/>
      <c r="AY204" s="605"/>
      <c r="AZ204" s="605"/>
      <c r="BA204" s="605"/>
      <c r="BB204" s="605"/>
      <c r="BC204" s="605"/>
      <c r="BD204" s="605"/>
      <c r="BE204" s="605"/>
      <c r="BF204" s="605"/>
      <c r="BG204" s="605"/>
      <c r="BH204" s="605"/>
      <c r="BI204" s="605"/>
      <c r="BJ204" s="605"/>
      <c r="BK204" s="605"/>
      <c r="BL204" s="605"/>
      <c r="BM204" s="605"/>
      <c r="BN204" s="605"/>
      <c r="BO204" s="605"/>
      <c r="BP204" s="605"/>
      <c r="BQ204" s="605"/>
      <c r="BR204" s="605"/>
      <c r="BS204" s="605"/>
      <c r="BT204" s="605"/>
      <c r="BU204" s="605"/>
    </row>
    <row r="205" spans="2:73" ht="15">
      <c r="B205" s="1776" t="s">
        <v>1248</v>
      </c>
      <c r="C205" s="561" t="s">
        <v>1196</v>
      </c>
      <c r="P205" s="606">
        <v>284460.37</v>
      </c>
      <c r="AL205" s="605"/>
      <c r="AM205" s="605"/>
      <c r="AN205" s="605"/>
      <c r="AO205" s="605"/>
      <c r="AP205" s="605"/>
      <c r="AQ205" s="605"/>
      <c r="AR205" s="605"/>
      <c r="AS205" s="605"/>
      <c r="AT205" s="605"/>
      <c r="AU205" s="605"/>
      <c r="AV205" s="605"/>
      <c r="AW205" s="605"/>
      <c r="AX205" s="605"/>
      <c r="AY205" s="605"/>
      <c r="AZ205" s="605"/>
      <c r="BA205" s="605"/>
      <c r="BB205" s="605"/>
      <c r="BC205" s="605"/>
      <c r="BD205" s="605"/>
      <c r="BE205" s="605"/>
      <c r="BF205" s="605"/>
      <c r="BG205" s="605"/>
      <c r="BH205" s="605"/>
      <c r="BI205" s="605"/>
      <c r="BJ205" s="605"/>
      <c r="BK205" s="605"/>
      <c r="BL205" s="605"/>
      <c r="BM205" s="605"/>
      <c r="BN205" s="605"/>
      <c r="BO205" s="605"/>
      <c r="BP205" s="605"/>
      <c r="BQ205" s="605"/>
      <c r="BR205" s="605"/>
      <c r="BS205" s="605"/>
      <c r="BT205" s="605"/>
      <c r="BU205" s="605"/>
    </row>
    <row r="206" spans="2:73" ht="15">
      <c r="B206" s="1776"/>
      <c r="C206" s="561" t="s">
        <v>1197</v>
      </c>
      <c r="P206" s="606"/>
      <c r="AL206" s="605"/>
      <c r="AM206" s="605"/>
      <c r="AN206" s="605"/>
      <c r="AO206" s="605"/>
      <c r="AP206" s="605"/>
      <c r="AQ206" s="605"/>
      <c r="AR206" s="605"/>
      <c r="AS206" s="605"/>
      <c r="AT206" s="605"/>
      <c r="AU206" s="605"/>
      <c r="AV206" s="605"/>
      <c r="AW206" s="605"/>
      <c r="AX206" s="605"/>
      <c r="AY206" s="605"/>
      <c r="AZ206" s="605"/>
      <c r="BA206" s="605"/>
      <c r="BB206" s="605"/>
      <c r="BC206" s="605"/>
      <c r="BD206" s="605"/>
      <c r="BE206" s="605"/>
      <c r="BF206" s="605"/>
      <c r="BG206" s="605"/>
      <c r="BH206" s="605"/>
      <c r="BI206" s="605"/>
      <c r="BJ206" s="605"/>
      <c r="BK206" s="605"/>
      <c r="BL206" s="605"/>
      <c r="BM206" s="605"/>
      <c r="BN206" s="605"/>
      <c r="BO206" s="605"/>
      <c r="BP206" s="605"/>
      <c r="BQ206" s="605"/>
      <c r="BR206" s="605"/>
      <c r="BS206" s="605"/>
      <c r="BT206" s="605"/>
      <c r="BU206" s="605"/>
    </row>
    <row r="207" spans="2:73" ht="15">
      <c r="B207" s="1776" t="s">
        <v>1249</v>
      </c>
      <c r="C207" s="561" t="s">
        <v>1196</v>
      </c>
      <c r="P207" s="606">
        <v>192703.95300000001</v>
      </c>
      <c r="AL207" s="605"/>
      <c r="AM207" s="605"/>
      <c r="AN207" s="605"/>
      <c r="AO207" s="605"/>
      <c r="AP207" s="605"/>
      <c r="AQ207" s="605"/>
      <c r="AR207" s="605"/>
      <c r="AS207" s="605"/>
      <c r="AT207" s="605"/>
      <c r="AU207" s="605"/>
      <c r="AV207" s="605"/>
      <c r="AW207" s="605"/>
      <c r="AX207" s="605"/>
      <c r="AY207" s="605"/>
      <c r="AZ207" s="605"/>
      <c r="BA207" s="605"/>
      <c r="BB207" s="605"/>
      <c r="BC207" s="605"/>
      <c r="BD207" s="605"/>
      <c r="BE207" s="605"/>
      <c r="BF207" s="605"/>
      <c r="BG207" s="605"/>
      <c r="BH207" s="605"/>
      <c r="BI207" s="605"/>
      <c r="BJ207" s="605"/>
      <c r="BK207" s="605"/>
      <c r="BL207" s="605"/>
      <c r="BM207" s="605"/>
      <c r="BN207" s="605"/>
      <c r="BO207" s="605"/>
      <c r="BP207" s="605"/>
      <c r="BQ207" s="605"/>
      <c r="BR207" s="605"/>
      <c r="BS207" s="605"/>
      <c r="BT207" s="605"/>
      <c r="BU207" s="605"/>
    </row>
    <row r="208" spans="2:73" ht="15">
      <c r="B208" s="1776"/>
      <c r="C208" s="561" t="s">
        <v>1197</v>
      </c>
      <c r="AL208" s="605"/>
      <c r="AM208" s="605"/>
      <c r="AN208" s="605"/>
      <c r="AO208" s="605"/>
      <c r="AP208" s="605"/>
      <c r="AQ208" s="605"/>
      <c r="AR208" s="605"/>
      <c r="AS208" s="605"/>
      <c r="AT208" s="605"/>
      <c r="AU208" s="605"/>
      <c r="AV208" s="605"/>
      <c r="AW208" s="605"/>
      <c r="AX208" s="605"/>
      <c r="AY208" s="605"/>
      <c r="AZ208" s="605"/>
      <c r="BA208" s="605"/>
      <c r="BB208" s="605"/>
      <c r="BC208" s="605"/>
      <c r="BD208" s="605"/>
      <c r="BE208" s="605"/>
      <c r="BF208" s="605"/>
      <c r="BG208" s="605"/>
      <c r="BH208" s="605"/>
      <c r="BI208" s="605"/>
      <c r="BJ208" s="605"/>
      <c r="BK208" s="605"/>
      <c r="BL208" s="605"/>
      <c r="BM208" s="605"/>
      <c r="BN208" s="605"/>
      <c r="BO208" s="605"/>
      <c r="BP208" s="605"/>
      <c r="BQ208" s="605"/>
      <c r="BR208" s="605"/>
      <c r="BS208" s="605"/>
      <c r="BT208" s="605"/>
      <c r="BU208" s="605"/>
    </row>
    <row r="209" spans="1:73" ht="15">
      <c r="A209" s="1735" t="s">
        <v>1199</v>
      </c>
      <c r="B209" s="1735"/>
      <c r="C209" s="1735"/>
      <c r="D209" s="1735"/>
      <c r="E209" s="1735"/>
      <c r="F209" s="1735"/>
      <c r="G209" s="1735"/>
      <c r="H209" s="1735"/>
      <c r="I209" s="1735"/>
      <c r="J209" s="1735"/>
      <c r="K209" s="1735"/>
      <c r="L209" s="1735"/>
      <c r="M209" s="1735"/>
      <c r="N209" s="1735"/>
      <c r="O209" s="1735"/>
      <c r="P209" s="1735"/>
      <c r="AL209" s="605">
        <f>SUM(AL210:AL304)</f>
        <v>454037.64547999995</v>
      </c>
      <c r="AM209" s="605"/>
      <c r="AN209" s="605">
        <f>SUM(AN210:AN304)</f>
        <v>0</v>
      </c>
      <c r="AO209" s="605"/>
      <c r="AP209" s="605"/>
      <c r="AQ209" s="605"/>
      <c r="AR209" s="605"/>
      <c r="AS209" s="605"/>
      <c r="AT209" s="605"/>
      <c r="AU209" s="605"/>
      <c r="AV209" s="605"/>
      <c r="AW209" s="605"/>
      <c r="AX209" s="605"/>
      <c r="AY209" s="605">
        <f>SUM(AY210:AY304)</f>
        <v>9172.3019999999997</v>
      </c>
      <c r="AZ209" s="605"/>
      <c r="BA209" s="605"/>
      <c r="BB209" s="605">
        <f>SUM(BB210:BB304)</f>
        <v>13558.682999999999</v>
      </c>
      <c r="BC209" s="605"/>
      <c r="BD209" s="605"/>
      <c r="BE209" s="605"/>
      <c r="BF209" s="605"/>
      <c r="BG209" s="605"/>
      <c r="BH209" s="605"/>
      <c r="BI209" s="605"/>
      <c r="BJ209" s="605"/>
      <c r="BK209" s="605"/>
      <c r="BL209" s="605"/>
      <c r="BM209" s="605"/>
      <c r="BN209" s="605"/>
      <c r="BO209" s="605"/>
      <c r="BP209" s="605"/>
      <c r="BQ209" s="605"/>
      <c r="BR209" s="605"/>
      <c r="BS209" s="605"/>
      <c r="BT209" s="605"/>
      <c r="BU209" s="605"/>
    </row>
    <row r="210" spans="1:73" ht="15">
      <c r="B210" s="1775" t="s">
        <v>1216</v>
      </c>
      <c r="C210" s="561" t="s">
        <v>1196</v>
      </c>
      <c r="P210" s="606">
        <v>1606018.8269999998</v>
      </c>
    </row>
    <row r="211" spans="1:73" ht="15">
      <c r="B211" s="1775"/>
      <c r="C211" s="561" t="s">
        <v>1197</v>
      </c>
      <c r="P211" s="606"/>
    </row>
    <row r="212" spans="1:73">
      <c r="B212" s="1775"/>
      <c r="C212" s="561" t="s">
        <v>1198</v>
      </c>
    </row>
    <row r="213" spans="1:73" ht="15">
      <c r="B213" s="1775"/>
      <c r="C213" s="561" t="s">
        <v>1199</v>
      </c>
      <c r="AL213" s="606">
        <v>89425.144000000015</v>
      </c>
    </row>
    <row r="214" spans="1:73" ht="15">
      <c r="B214" s="1783" t="s">
        <v>1217</v>
      </c>
      <c r="C214" s="561" t="s">
        <v>1196</v>
      </c>
      <c r="P214" s="606">
        <v>386029.45500000002</v>
      </c>
    </row>
    <row r="215" spans="1:73" ht="15">
      <c r="B215" s="1784"/>
      <c r="C215" s="561" t="s">
        <v>1197</v>
      </c>
      <c r="P215" s="606"/>
    </row>
    <row r="216" spans="1:73">
      <c r="B216" s="1784"/>
      <c r="C216" s="561" t="s">
        <v>1198</v>
      </c>
    </row>
    <row r="217" spans="1:73" ht="15">
      <c r="B217" s="1785"/>
      <c r="C217" s="561" t="s">
        <v>1199</v>
      </c>
      <c r="AL217" s="606">
        <v>4785.9170000000004</v>
      </c>
    </row>
    <row r="218" spans="1:73" ht="15">
      <c r="B218" s="1775" t="s">
        <v>1218</v>
      </c>
      <c r="C218" s="561" t="s">
        <v>1196</v>
      </c>
      <c r="P218" s="606">
        <v>441518.43000000011</v>
      </c>
    </row>
    <row r="219" spans="1:73" ht="15">
      <c r="B219" s="1775"/>
      <c r="C219" s="561" t="s">
        <v>1197</v>
      </c>
      <c r="P219" s="606"/>
    </row>
    <row r="220" spans="1:73" ht="15">
      <c r="B220" s="1775"/>
      <c r="C220" s="561" t="s">
        <v>1199</v>
      </c>
      <c r="BB220" s="606">
        <v>13558.682999999999</v>
      </c>
    </row>
    <row r="221" spans="1:73" ht="15">
      <c r="B221" s="1775" t="s">
        <v>1219</v>
      </c>
      <c r="C221" s="561" t="s">
        <v>1196</v>
      </c>
      <c r="P221" s="606">
        <v>71617.32699999999</v>
      </c>
    </row>
    <row r="222" spans="1:73" ht="15">
      <c r="B222" s="1775"/>
      <c r="C222" s="561" t="s">
        <v>1197</v>
      </c>
      <c r="P222" s="606"/>
    </row>
    <row r="223" spans="1:73" ht="15">
      <c r="B223" s="1775"/>
      <c r="C223" s="561" t="s">
        <v>1199</v>
      </c>
      <c r="AY223" s="606">
        <v>9172.3019999999997</v>
      </c>
    </row>
    <row r="224" spans="1:73" ht="15">
      <c r="B224" s="1783" t="s">
        <v>1220</v>
      </c>
      <c r="C224" s="561" t="s">
        <v>1196</v>
      </c>
      <c r="P224" s="606">
        <v>296069.49800000002</v>
      </c>
    </row>
    <row r="225" spans="2:38" ht="15">
      <c r="B225" s="1784"/>
      <c r="C225" s="561" t="s">
        <v>1197</v>
      </c>
      <c r="P225" s="606"/>
    </row>
    <row r="226" spans="2:38" ht="15">
      <c r="B226" s="1783" t="s">
        <v>1221</v>
      </c>
      <c r="C226" s="561" t="s">
        <v>1196</v>
      </c>
      <c r="P226" s="606">
        <v>375598.29199999996</v>
      </c>
    </row>
    <row r="227" spans="2:38" ht="15">
      <c r="B227" s="1784"/>
      <c r="C227" s="561" t="s">
        <v>1197</v>
      </c>
      <c r="P227" s="606"/>
    </row>
    <row r="228" spans="2:38">
      <c r="B228" s="1784"/>
      <c r="C228" s="561" t="s">
        <v>1199</v>
      </c>
    </row>
    <row r="229" spans="2:38" ht="15">
      <c r="B229" s="1785"/>
      <c r="C229" s="561" t="s">
        <v>1203</v>
      </c>
      <c r="P229" s="606">
        <v>2168</v>
      </c>
      <c r="AL229" s="606">
        <v>2995.7910000000002</v>
      </c>
    </row>
    <row r="230" spans="2:38" ht="15">
      <c r="B230" s="1775" t="s">
        <v>1222</v>
      </c>
      <c r="C230" s="561" t="s">
        <v>1196</v>
      </c>
      <c r="P230" s="606">
        <v>40160.722000000002</v>
      </c>
    </row>
    <row r="231" spans="2:38" ht="15">
      <c r="B231" s="1775"/>
      <c r="C231" s="561" t="s">
        <v>1197</v>
      </c>
      <c r="P231" s="606"/>
    </row>
    <row r="232" spans="2:38" ht="15">
      <c r="B232" s="1775"/>
      <c r="C232" s="561" t="s">
        <v>1199</v>
      </c>
      <c r="AL232" s="606">
        <v>5360.9569999999994</v>
      </c>
    </row>
    <row r="233" spans="2:38" ht="15">
      <c r="B233" s="1775" t="s">
        <v>1223</v>
      </c>
      <c r="C233" s="561" t="s">
        <v>1196</v>
      </c>
      <c r="P233" s="606">
        <v>32943.254000000001</v>
      </c>
    </row>
    <row r="234" spans="2:38" ht="15">
      <c r="B234" s="1775"/>
      <c r="C234" s="561" t="s">
        <v>1197</v>
      </c>
      <c r="P234" s="606"/>
    </row>
    <row r="235" spans="2:38" ht="15">
      <c r="B235" s="1775"/>
      <c r="C235" s="561" t="s">
        <v>1199</v>
      </c>
      <c r="AL235" s="606">
        <v>7227.5519999999997</v>
      </c>
    </row>
    <row r="236" spans="2:38" ht="15">
      <c r="B236" s="1775" t="s">
        <v>1224</v>
      </c>
      <c r="C236" s="561" t="s">
        <v>1196</v>
      </c>
      <c r="P236" s="606">
        <v>14926.54</v>
      </c>
    </row>
    <row r="237" spans="2:38" ht="15">
      <c r="B237" s="1775"/>
      <c r="C237" s="561" t="s">
        <v>1199</v>
      </c>
      <c r="AL237" s="606">
        <v>14926.54</v>
      </c>
    </row>
    <row r="238" spans="2:38" ht="15">
      <c r="B238" s="1775" t="s">
        <v>1225</v>
      </c>
      <c r="C238" s="561" t="s">
        <v>1196</v>
      </c>
      <c r="P238" s="606">
        <v>8426.7119999999995</v>
      </c>
    </row>
    <row r="239" spans="2:38" ht="15">
      <c r="B239" s="1775"/>
      <c r="C239" s="561" t="s">
        <v>1199</v>
      </c>
      <c r="AL239" s="606">
        <v>8426.7119999999995</v>
      </c>
    </row>
    <row r="240" spans="2:38" ht="15">
      <c r="B240" s="1775" t="s">
        <v>1226</v>
      </c>
      <c r="C240" s="561" t="s">
        <v>1196</v>
      </c>
      <c r="P240" s="606">
        <v>6550.0019999999986</v>
      </c>
    </row>
    <row r="241" spans="2:38" ht="15">
      <c r="B241" s="1775"/>
      <c r="C241" s="561" t="s">
        <v>1199</v>
      </c>
      <c r="AL241" s="606">
        <v>6550.0019999999986</v>
      </c>
    </row>
    <row r="242" spans="2:38" ht="15">
      <c r="B242" s="1775" t="s">
        <v>1227</v>
      </c>
      <c r="C242" s="561" t="s">
        <v>1196</v>
      </c>
      <c r="P242" s="606">
        <v>8158.4979999999996</v>
      </c>
    </row>
    <row r="243" spans="2:38" ht="15">
      <c r="B243" s="1775"/>
      <c r="C243" s="561" t="s">
        <v>1199</v>
      </c>
      <c r="AL243" s="606">
        <v>8158.4979999999996</v>
      </c>
    </row>
    <row r="244" spans="2:38" ht="15">
      <c r="B244" s="1775" t="s">
        <v>1228</v>
      </c>
      <c r="C244" s="561" t="s">
        <v>1196</v>
      </c>
      <c r="P244" s="606">
        <v>464666.47399999999</v>
      </c>
    </row>
    <row r="245" spans="2:38" ht="15">
      <c r="B245" s="1775"/>
      <c r="C245" s="561" t="s">
        <v>1197</v>
      </c>
      <c r="P245" s="606"/>
    </row>
    <row r="246" spans="2:38" ht="15">
      <c r="B246" s="1775"/>
      <c r="C246" s="561" t="s">
        <v>1199</v>
      </c>
      <c r="AL246" s="606">
        <v>13523.46</v>
      </c>
    </row>
    <row r="247" spans="2:38" ht="15">
      <c r="B247" s="1775" t="s">
        <v>1229</v>
      </c>
      <c r="C247" s="561" t="s">
        <v>1196</v>
      </c>
      <c r="P247" s="606">
        <v>8182.612000000001</v>
      </c>
    </row>
    <row r="248" spans="2:38" ht="15">
      <c r="B248" s="1775"/>
      <c r="C248" s="561" t="s">
        <v>1199</v>
      </c>
      <c r="AL248" s="606">
        <v>8182.612000000001</v>
      </c>
    </row>
    <row r="249" spans="2:38" ht="15">
      <c r="B249" s="1775" t="s">
        <v>1230</v>
      </c>
      <c r="C249" s="561" t="s">
        <v>1196</v>
      </c>
      <c r="P249" s="606">
        <v>155404.15477000002</v>
      </c>
    </row>
    <row r="250" spans="2:38" ht="15">
      <c r="B250" s="1775"/>
      <c r="C250" s="561" t="s">
        <v>1197</v>
      </c>
      <c r="P250" s="606"/>
    </row>
    <row r="251" spans="2:38" ht="15">
      <c r="B251" s="1775"/>
      <c r="C251" s="561" t="s">
        <v>1199</v>
      </c>
      <c r="AL251" s="606">
        <v>27738.165480000011</v>
      </c>
    </row>
    <row r="252" spans="2:38" ht="15">
      <c r="B252" s="1775" t="s">
        <v>1231</v>
      </c>
      <c r="C252" s="561" t="s">
        <v>1196</v>
      </c>
      <c r="P252" s="606">
        <v>129733.97300000003</v>
      </c>
    </row>
    <row r="253" spans="2:38" ht="15">
      <c r="B253" s="1775"/>
      <c r="C253" s="561" t="s">
        <v>1197</v>
      </c>
      <c r="P253" s="606"/>
    </row>
    <row r="254" spans="2:38" ht="15">
      <c r="B254" s="1775"/>
      <c r="C254" s="561" t="s">
        <v>1199</v>
      </c>
      <c r="AL254" s="606">
        <v>21356.959999999999</v>
      </c>
    </row>
    <row r="255" spans="2:38" ht="15">
      <c r="B255" s="1775" t="s">
        <v>1232</v>
      </c>
      <c r="C255" s="561" t="s">
        <v>1196</v>
      </c>
      <c r="P255" s="606">
        <v>125307.12599999999</v>
      </c>
    </row>
    <row r="256" spans="2:38" ht="15">
      <c r="B256" s="1775"/>
      <c r="C256" s="561" t="s">
        <v>1197</v>
      </c>
      <c r="P256" s="606"/>
    </row>
    <row r="257" spans="2:38" ht="15">
      <c r="B257" s="1775"/>
      <c r="C257" s="561" t="s">
        <v>1199</v>
      </c>
      <c r="AL257" s="606">
        <v>21683.418999999998</v>
      </c>
    </row>
    <row r="258" spans="2:38" ht="15">
      <c r="B258" s="1775" t="s">
        <v>1233</v>
      </c>
      <c r="C258" s="561" t="s">
        <v>1196</v>
      </c>
      <c r="P258" s="606">
        <v>278123.11800000002</v>
      </c>
    </row>
    <row r="259" spans="2:38" ht="15">
      <c r="B259" s="1775"/>
      <c r="C259" s="561" t="s">
        <v>1197</v>
      </c>
      <c r="P259" s="606"/>
    </row>
    <row r="260" spans="2:38" ht="15">
      <c r="B260" s="1775"/>
      <c r="C260" s="561" t="s">
        <v>1199</v>
      </c>
      <c r="AL260" s="606">
        <v>30749.562999999998</v>
      </c>
    </row>
    <row r="261" spans="2:38" ht="15">
      <c r="B261" s="1775" t="s">
        <v>1234</v>
      </c>
      <c r="C261" s="561" t="s">
        <v>1196</v>
      </c>
      <c r="P261" s="606">
        <v>169040.92700000003</v>
      </c>
    </row>
    <row r="262" spans="2:38" ht="15">
      <c r="B262" s="1775"/>
      <c r="C262" s="561" t="s">
        <v>1197</v>
      </c>
      <c r="P262" s="606"/>
    </row>
    <row r="263" spans="2:38" ht="15">
      <c r="B263" s="1775"/>
      <c r="C263" s="561" t="s">
        <v>1199</v>
      </c>
      <c r="AL263" s="606">
        <v>10933.681</v>
      </c>
    </row>
    <row r="264" spans="2:38" ht="15">
      <c r="B264" s="1775" t="s">
        <v>1235</v>
      </c>
      <c r="C264" s="561" t="s">
        <v>1196</v>
      </c>
      <c r="P264" s="606">
        <v>289697.21999999997</v>
      </c>
    </row>
    <row r="265" spans="2:38" ht="15">
      <c r="B265" s="1775"/>
      <c r="C265" s="561" t="s">
        <v>1197</v>
      </c>
      <c r="P265" s="606"/>
    </row>
    <row r="266" spans="2:38" ht="15">
      <c r="B266" s="1775"/>
      <c r="C266" s="561" t="s">
        <v>1199</v>
      </c>
      <c r="AL266" s="606">
        <v>1673.2670000000001</v>
      </c>
    </row>
    <row r="267" spans="2:38" ht="15">
      <c r="B267" s="1775" t="s">
        <v>1236</v>
      </c>
      <c r="C267" s="561" t="s">
        <v>1196</v>
      </c>
      <c r="P267" s="606">
        <v>16393.886999999999</v>
      </c>
    </row>
    <row r="268" spans="2:38" ht="15">
      <c r="B268" s="1775"/>
      <c r="C268" s="561" t="s">
        <v>1199</v>
      </c>
      <c r="AL268" s="606">
        <v>16393.886999999999</v>
      </c>
    </row>
    <row r="269" spans="2:38" ht="15">
      <c r="B269" s="1775" t="s">
        <v>1237</v>
      </c>
      <c r="C269" s="561" t="s">
        <v>1196</v>
      </c>
      <c r="P269" s="606">
        <v>54668.88</v>
      </c>
    </row>
    <row r="270" spans="2:38" ht="15">
      <c r="B270" s="1775"/>
      <c r="C270" s="561" t="s">
        <v>1197</v>
      </c>
      <c r="P270" s="606"/>
    </row>
    <row r="271" spans="2:38" ht="15">
      <c r="B271" s="1775"/>
      <c r="C271" s="561" t="s">
        <v>1199</v>
      </c>
      <c r="AL271" s="606">
        <v>7072.4989999999989</v>
      </c>
    </row>
    <row r="272" spans="2:38" ht="15">
      <c r="B272" s="1775" t="s">
        <v>1238</v>
      </c>
      <c r="C272" s="561" t="s">
        <v>1196</v>
      </c>
      <c r="P272" s="606">
        <v>78520.071000000011</v>
      </c>
    </row>
    <row r="273" spans="2:38" ht="15">
      <c r="B273" s="1775"/>
      <c r="C273" s="561" t="s">
        <v>1197</v>
      </c>
      <c r="P273" s="606"/>
    </row>
    <row r="274" spans="2:38" ht="15">
      <c r="B274" s="1775"/>
      <c r="C274" s="561" t="s">
        <v>1199</v>
      </c>
      <c r="AL274" s="606">
        <v>11876.739000000001</v>
      </c>
    </row>
    <row r="275" spans="2:38" ht="15">
      <c r="B275" s="1775" t="s">
        <v>1239</v>
      </c>
      <c r="C275" s="561" t="s">
        <v>1196</v>
      </c>
      <c r="P275" s="606">
        <v>157376.44500000001</v>
      </c>
    </row>
    <row r="276" spans="2:38" ht="15">
      <c r="B276" s="1775"/>
      <c r="C276" s="561" t="s">
        <v>1197</v>
      </c>
      <c r="P276" s="606"/>
    </row>
    <row r="277" spans="2:38" ht="15">
      <c r="B277" s="1775"/>
      <c r="C277" s="561" t="s">
        <v>1199</v>
      </c>
      <c r="AL277" s="606">
        <v>11929.939000000002</v>
      </c>
    </row>
    <row r="278" spans="2:38" ht="15">
      <c r="B278" s="1775" t="s">
        <v>1240</v>
      </c>
      <c r="C278" s="561" t="s">
        <v>1196</v>
      </c>
      <c r="P278" s="606">
        <v>144422.19699999999</v>
      </c>
    </row>
    <row r="279" spans="2:38" ht="15">
      <c r="B279" s="1775"/>
      <c r="C279" s="561" t="s">
        <v>1197</v>
      </c>
      <c r="P279" s="606"/>
    </row>
    <row r="280" spans="2:38" ht="15">
      <c r="B280" s="1775"/>
      <c r="C280" s="561" t="s">
        <v>1199</v>
      </c>
      <c r="AL280" s="606">
        <v>23172.870000000003</v>
      </c>
    </row>
    <row r="281" spans="2:38" ht="15">
      <c r="B281" s="1775" t="s">
        <v>1241</v>
      </c>
      <c r="C281" s="561" t="s">
        <v>1196</v>
      </c>
      <c r="P281" s="606">
        <v>107206.20299999998</v>
      </c>
    </row>
    <row r="282" spans="2:38" ht="15">
      <c r="B282" s="1775"/>
      <c r="C282" s="561" t="s">
        <v>1197</v>
      </c>
      <c r="P282" s="606"/>
    </row>
    <row r="283" spans="2:38" ht="15">
      <c r="B283" s="1775"/>
      <c r="C283" s="561" t="s">
        <v>1199</v>
      </c>
      <c r="AL283" s="606">
        <v>19006.796999999999</v>
      </c>
    </row>
    <row r="284" spans="2:38" ht="15">
      <c r="B284" s="1775" t="s">
        <v>1242</v>
      </c>
      <c r="C284" s="561" t="s">
        <v>1196</v>
      </c>
      <c r="P284" s="606">
        <v>68722.311999999991</v>
      </c>
    </row>
    <row r="285" spans="2:38" ht="15">
      <c r="B285" s="1775"/>
      <c r="C285" s="561" t="s">
        <v>1197</v>
      </c>
      <c r="P285" s="606"/>
    </row>
    <row r="286" spans="2:38" ht="15">
      <c r="B286" s="1775"/>
      <c r="C286" s="561" t="s">
        <v>1199</v>
      </c>
      <c r="AL286" s="606">
        <v>8557.7510000000002</v>
      </c>
    </row>
    <row r="287" spans="2:38" ht="15">
      <c r="B287" s="1775" t="s">
        <v>1243</v>
      </c>
      <c r="C287" s="561" t="s">
        <v>1196</v>
      </c>
      <c r="P287" s="606">
        <v>119662.70500000002</v>
      </c>
    </row>
    <row r="288" spans="2:38" ht="15">
      <c r="B288" s="1775"/>
      <c r="C288" s="561" t="s">
        <v>1197</v>
      </c>
      <c r="P288" s="606"/>
    </row>
    <row r="289" spans="2:38" ht="15">
      <c r="B289" s="1775"/>
      <c r="C289" s="561" t="s">
        <v>1199</v>
      </c>
      <c r="AL289" s="606">
        <v>22778.159999999996</v>
      </c>
    </row>
    <row r="290" spans="2:38" ht="15">
      <c r="B290" s="1775" t="s">
        <v>1244</v>
      </c>
      <c r="C290" s="561" t="s">
        <v>1196</v>
      </c>
      <c r="P290" s="606">
        <v>53917.219000000012</v>
      </c>
    </row>
    <row r="291" spans="2:38" ht="15">
      <c r="B291" s="1775"/>
      <c r="C291" s="561" t="s">
        <v>1197</v>
      </c>
      <c r="P291" s="606"/>
    </row>
    <row r="292" spans="2:38" ht="15">
      <c r="B292" s="1775"/>
      <c r="C292" s="561" t="s">
        <v>1199</v>
      </c>
      <c r="AL292" s="606">
        <v>2349.8329999999992</v>
      </c>
    </row>
    <row r="293" spans="2:38" ht="15">
      <c r="B293" s="1775" t="s">
        <v>1245</v>
      </c>
      <c r="C293" s="561" t="s">
        <v>1196</v>
      </c>
      <c r="P293" s="606">
        <v>126952.024</v>
      </c>
    </row>
    <row r="294" spans="2:38" ht="15">
      <c r="B294" s="1775"/>
      <c r="C294" s="561" t="s">
        <v>1197</v>
      </c>
      <c r="P294" s="606"/>
    </row>
    <row r="295" spans="2:38" ht="15">
      <c r="B295" s="1775"/>
      <c r="C295" s="561" t="s">
        <v>1199</v>
      </c>
      <c r="AL295" s="606">
        <v>18108.365999999998</v>
      </c>
    </row>
    <row r="296" spans="2:38" ht="15">
      <c r="B296" s="1775" t="s">
        <v>1246</v>
      </c>
      <c r="C296" s="561" t="s">
        <v>1196</v>
      </c>
      <c r="P296" s="606">
        <v>144768.19999999998</v>
      </c>
    </row>
    <row r="297" spans="2:38" ht="15">
      <c r="B297" s="1775"/>
      <c r="C297" s="561" t="s">
        <v>1197</v>
      </c>
      <c r="P297" s="606"/>
    </row>
    <row r="298" spans="2:38" ht="15">
      <c r="B298" s="1775"/>
      <c r="C298" s="561" t="s">
        <v>1199</v>
      </c>
      <c r="AL298" s="606">
        <v>27721.327000000001</v>
      </c>
    </row>
    <row r="299" spans="2:38" ht="15">
      <c r="B299" s="1775" t="s">
        <v>1247</v>
      </c>
      <c r="C299" s="561" t="s">
        <v>1196</v>
      </c>
      <c r="P299" s="606">
        <v>1371.2370000000001</v>
      </c>
    </row>
    <row r="300" spans="2:38" ht="15">
      <c r="B300" s="1775"/>
      <c r="C300" s="561" t="s">
        <v>1199</v>
      </c>
      <c r="AL300" s="606">
        <v>1371.2370000000001</v>
      </c>
    </row>
    <row r="301" spans="2:38" ht="15">
      <c r="B301" s="1776" t="s">
        <v>1248</v>
      </c>
      <c r="C301" s="561" t="s">
        <v>1196</v>
      </c>
      <c r="P301" s="606">
        <v>284460.37</v>
      </c>
    </row>
    <row r="302" spans="2:38" ht="15">
      <c r="B302" s="1776"/>
      <c r="C302" s="561" t="s">
        <v>1197</v>
      </c>
      <c r="P302" s="606"/>
    </row>
    <row r="303" spans="2:38" ht="15">
      <c r="B303" s="1776" t="s">
        <v>1249</v>
      </c>
      <c r="C303" s="561" t="s">
        <v>1196</v>
      </c>
      <c r="P303" s="606">
        <v>192703.95300000001</v>
      </c>
    </row>
    <row r="304" spans="2:38">
      <c r="B304" s="1776"/>
      <c r="C304" s="561" t="s">
        <v>1197</v>
      </c>
    </row>
    <row r="305" spans="1:106" ht="15">
      <c r="A305" s="1777"/>
      <c r="B305" s="608" t="s">
        <v>1152</v>
      </c>
      <c r="C305" s="1779" t="s">
        <v>1197</v>
      </c>
      <c r="D305" s="1780"/>
      <c r="E305" s="1780"/>
      <c r="F305" s="1780"/>
      <c r="G305" s="1780"/>
      <c r="H305" s="1780"/>
      <c r="I305" s="1780"/>
      <c r="J305" s="1780"/>
      <c r="K305" s="1780"/>
      <c r="L305" s="1780"/>
      <c r="M305" s="1780"/>
      <c r="N305" s="1780"/>
      <c r="O305" s="1780"/>
      <c r="P305" s="1780"/>
      <c r="AJ305" s="605"/>
      <c r="AK305" s="605"/>
      <c r="AL305" s="605">
        <f>SUM(AL306:AL469)</f>
        <v>3463676.1649999996</v>
      </c>
      <c r="AM305" s="605"/>
      <c r="AN305" s="605"/>
      <c r="AO305" s="605"/>
      <c r="AP305" s="605"/>
      <c r="AQ305" s="605"/>
      <c r="AR305" s="605"/>
      <c r="AS305" s="605"/>
      <c r="AT305" s="605"/>
      <c r="AU305" s="605"/>
      <c r="AV305" s="605"/>
      <c r="AW305" s="605"/>
      <c r="AX305" s="605"/>
      <c r="AY305" s="605">
        <f>SUM(AY306:AY469)</f>
        <v>50357.857000000004</v>
      </c>
      <c r="AZ305" s="605"/>
      <c r="BA305" s="605"/>
      <c r="BB305" s="605">
        <f>SUM(BB306:BB469)</f>
        <v>381791.47699999996</v>
      </c>
      <c r="BC305" s="605"/>
      <c r="BD305" s="605">
        <f>SUM(BD306:BD353)</f>
        <v>2124.7930000000006</v>
      </c>
      <c r="BE305" s="605"/>
      <c r="BF305" s="605"/>
      <c r="BG305" s="605"/>
      <c r="BH305" s="605"/>
      <c r="BI305" s="605"/>
      <c r="BJ305" s="605"/>
      <c r="DB305" s="561">
        <f>SUM(DB344:DB348)</f>
        <v>772235.84199999995</v>
      </c>
    </row>
    <row r="306" spans="1:106" ht="15">
      <c r="A306" s="1778"/>
      <c r="B306" s="609"/>
      <c r="C306" s="610" t="s">
        <v>1197</v>
      </c>
      <c r="P306" s="611">
        <v>4692673.3920000019</v>
      </c>
    </row>
    <row r="307" spans="1:106" ht="15">
      <c r="A307" s="1778"/>
      <c r="B307" s="609"/>
      <c r="C307" s="610" t="s">
        <v>1198</v>
      </c>
      <c r="P307" s="611">
        <v>591431.44299999997</v>
      </c>
    </row>
    <row r="308" spans="1:106" ht="15">
      <c r="A308" s="1778"/>
      <c r="B308" s="609"/>
      <c r="C308" s="610" t="s">
        <v>1199</v>
      </c>
      <c r="P308" s="611">
        <v>698873.07299999997</v>
      </c>
    </row>
    <row r="309" spans="1:106" ht="38.25">
      <c r="A309" s="633"/>
      <c r="B309" s="612"/>
      <c r="C309" s="610" t="s">
        <v>1264</v>
      </c>
      <c r="P309" s="611"/>
    </row>
    <row r="310" spans="1:106" ht="25.5">
      <c r="A310" s="633"/>
      <c r="B310" s="612"/>
      <c r="C310" s="610" t="s">
        <v>1265</v>
      </c>
      <c r="P310" s="611">
        <v>0</v>
      </c>
    </row>
    <row r="311" spans="1:106">
      <c r="A311" s="1781" t="s">
        <v>1197</v>
      </c>
      <c r="B311" s="1782"/>
      <c r="C311" s="1782"/>
      <c r="D311" s="1782"/>
      <c r="E311" s="1782"/>
      <c r="F311" s="1782"/>
      <c r="G311" s="1782"/>
      <c r="H311" s="1782"/>
      <c r="I311" s="1782"/>
      <c r="J311" s="1782"/>
      <c r="K311" s="1782"/>
      <c r="L311" s="1782"/>
      <c r="M311" s="1782"/>
      <c r="N311" s="1782"/>
      <c r="O311" s="1782"/>
      <c r="P311" s="1782"/>
    </row>
    <row r="312" spans="1:106" ht="15">
      <c r="A312" s="1766">
        <v>1</v>
      </c>
      <c r="B312" s="1766" t="s">
        <v>1266</v>
      </c>
      <c r="C312" s="613" t="s">
        <v>1267</v>
      </c>
      <c r="P312" s="611">
        <v>386767.66299999994</v>
      </c>
    </row>
    <row r="313" spans="1:106" ht="15">
      <c r="A313" s="1767"/>
      <c r="B313" s="1767"/>
      <c r="C313" s="610" t="s">
        <v>1197</v>
      </c>
      <c r="BB313" s="611">
        <v>381791.47699999996</v>
      </c>
    </row>
    <row r="314" spans="1:106" ht="15">
      <c r="A314" s="1767"/>
      <c r="B314" s="1767"/>
      <c r="C314" s="610" t="s">
        <v>1198</v>
      </c>
      <c r="P314" s="611">
        <v>0</v>
      </c>
    </row>
    <row r="315" spans="1:106" ht="15">
      <c r="A315" s="1767"/>
      <c r="B315" s="1767"/>
      <c r="C315" s="610" t="s">
        <v>1199</v>
      </c>
      <c r="P315" s="611">
        <v>4976.1859999999997</v>
      </c>
    </row>
    <row r="316" spans="1:106" ht="25.5">
      <c r="A316" s="631"/>
      <c r="B316" s="631"/>
      <c r="C316" s="610" t="s">
        <v>1265</v>
      </c>
      <c r="P316" s="611"/>
    </row>
    <row r="317" spans="1:106" ht="15">
      <c r="A317" s="1766">
        <v>2</v>
      </c>
      <c r="B317" s="1769" t="s">
        <v>1268</v>
      </c>
      <c r="C317" s="613" t="s">
        <v>1267</v>
      </c>
      <c r="P317" s="611">
        <v>83437.724999999977</v>
      </c>
    </row>
    <row r="318" spans="1:106" ht="15">
      <c r="A318" s="1767"/>
      <c r="B318" s="1770"/>
      <c r="C318" s="610" t="s">
        <v>1197</v>
      </c>
      <c r="AL318" s="611">
        <v>80532.274999999994</v>
      </c>
    </row>
    <row r="319" spans="1:106" ht="15">
      <c r="A319" s="1767"/>
      <c r="B319" s="1770"/>
      <c r="C319" s="610" t="s">
        <v>1198</v>
      </c>
      <c r="P319" s="611">
        <v>0</v>
      </c>
    </row>
    <row r="320" spans="1:106" ht="15">
      <c r="A320" s="1768"/>
      <c r="B320" s="1771"/>
      <c r="C320" s="610" t="s">
        <v>1199</v>
      </c>
      <c r="P320" s="611">
        <v>2905.45</v>
      </c>
    </row>
    <row r="321" spans="1:38" ht="15">
      <c r="A321" s="1766">
        <v>3</v>
      </c>
      <c r="B321" s="1769" t="s">
        <v>1269</v>
      </c>
      <c r="C321" s="613" t="s">
        <v>1267</v>
      </c>
      <c r="P321" s="611">
        <v>102380.63699999999</v>
      </c>
    </row>
    <row r="322" spans="1:38" ht="15">
      <c r="A322" s="1767"/>
      <c r="B322" s="1770"/>
      <c r="C322" s="610" t="s">
        <v>1197</v>
      </c>
      <c r="AL322" s="611">
        <v>88584.530999999988</v>
      </c>
    </row>
    <row r="323" spans="1:38" ht="15">
      <c r="A323" s="1767"/>
      <c r="B323" s="1770"/>
      <c r="C323" s="610" t="s">
        <v>1198</v>
      </c>
      <c r="P323" s="611">
        <v>0</v>
      </c>
    </row>
    <row r="324" spans="1:38" ht="15">
      <c r="A324" s="1768"/>
      <c r="B324" s="1771"/>
      <c r="C324" s="610" t="s">
        <v>1199</v>
      </c>
      <c r="P324" s="611">
        <v>13796.106</v>
      </c>
    </row>
    <row r="325" spans="1:38" ht="15">
      <c r="A325" s="1766">
        <v>4</v>
      </c>
      <c r="B325" s="1769" t="s">
        <v>1270</v>
      </c>
      <c r="C325" s="613" t="s">
        <v>1267</v>
      </c>
      <c r="P325" s="611">
        <v>1109681.3059999999</v>
      </c>
    </row>
    <row r="326" spans="1:38" ht="15">
      <c r="A326" s="1767"/>
      <c r="B326" s="1770"/>
      <c r="C326" s="610" t="s">
        <v>1197</v>
      </c>
      <c r="AL326" s="611">
        <v>941076.84199999995</v>
      </c>
    </row>
    <row r="327" spans="1:38" ht="15">
      <c r="A327" s="1767"/>
      <c r="B327" s="1770"/>
      <c r="C327" s="610" t="s">
        <v>1198</v>
      </c>
      <c r="P327" s="611">
        <v>67305.290999999997</v>
      </c>
    </row>
    <row r="328" spans="1:38" ht="15">
      <c r="A328" s="1768"/>
      <c r="B328" s="1771"/>
      <c r="C328" s="610" t="s">
        <v>1199</v>
      </c>
      <c r="P328" s="611">
        <v>101299.17300000001</v>
      </c>
    </row>
    <row r="329" spans="1:38" ht="25.5">
      <c r="A329" s="631"/>
      <c r="B329" s="632"/>
      <c r="C329" s="610" t="s">
        <v>1265</v>
      </c>
      <c r="P329" s="611"/>
    </row>
    <row r="330" spans="1:38" ht="15">
      <c r="A330" s="1766">
        <v>5</v>
      </c>
      <c r="B330" s="1769" t="s">
        <v>1271</v>
      </c>
      <c r="C330" s="613" t="s">
        <v>1267</v>
      </c>
      <c r="P330" s="611">
        <v>451071.73100000009</v>
      </c>
    </row>
    <row r="331" spans="1:38" ht="15">
      <c r="A331" s="1767"/>
      <c r="B331" s="1770"/>
      <c r="C331" s="610" t="s">
        <v>1197</v>
      </c>
      <c r="AL331" s="611">
        <v>442226.26700000005</v>
      </c>
    </row>
    <row r="332" spans="1:38" ht="15">
      <c r="A332" s="1767"/>
      <c r="B332" s="1770"/>
      <c r="C332" s="610" t="s">
        <v>1198</v>
      </c>
      <c r="P332" s="611">
        <v>8845.4639999999999</v>
      </c>
    </row>
    <row r="333" spans="1:38" ht="15">
      <c r="A333" s="1768"/>
      <c r="B333" s="1771"/>
      <c r="C333" s="610" t="s">
        <v>1199</v>
      </c>
      <c r="P333" s="611">
        <v>0</v>
      </c>
    </row>
    <row r="334" spans="1:38" ht="15">
      <c r="A334" s="1766">
        <v>6</v>
      </c>
      <c r="B334" s="1769" t="s">
        <v>1272</v>
      </c>
      <c r="C334" s="613" t="s">
        <v>1267</v>
      </c>
      <c r="P334" s="611">
        <v>690.46999999999935</v>
      </c>
    </row>
    <row r="335" spans="1:38" ht="15">
      <c r="A335" s="1767"/>
      <c r="B335" s="1770"/>
      <c r="C335" s="610" t="s">
        <v>1197</v>
      </c>
      <c r="AL335" s="611">
        <v>690.46999999999935</v>
      </c>
    </row>
    <row r="336" spans="1:38" ht="15">
      <c r="A336" s="1767"/>
      <c r="B336" s="1770"/>
      <c r="C336" s="610" t="s">
        <v>1198</v>
      </c>
      <c r="P336" s="611">
        <v>0</v>
      </c>
    </row>
    <row r="337" spans="1:106" ht="15">
      <c r="A337" s="1768"/>
      <c r="B337" s="1771"/>
      <c r="C337" s="610" t="s">
        <v>1199</v>
      </c>
      <c r="P337" s="611">
        <v>0</v>
      </c>
    </row>
    <row r="338" spans="1:106" ht="15">
      <c r="A338" s="1766">
        <v>7</v>
      </c>
      <c r="B338" s="1769" t="s">
        <v>1273</v>
      </c>
      <c r="C338" s="613" t="s">
        <v>1267</v>
      </c>
      <c r="P338" s="611">
        <v>2124.7930000000006</v>
      </c>
    </row>
    <row r="339" spans="1:106" ht="15">
      <c r="A339" s="1767"/>
      <c r="B339" s="1770"/>
      <c r="C339" s="610" t="s">
        <v>1197</v>
      </c>
      <c r="BD339" s="611">
        <v>2124.7930000000006</v>
      </c>
    </row>
    <row r="340" spans="1:106" ht="15">
      <c r="A340" s="1767"/>
      <c r="B340" s="1770"/>
      <c r="C340" s="610" t="s">
        <v>1198</v>
      </c>
      <c r="P340" s="611">
        <v>0</v>
      </c>
    </row>
    <row r="341" spans="1:106" ht="15">
      <c r="A341" s="1768"/>
      <c r="B341" s="1771"/>
      <c r="C341" s="610" t="s">
        <v>1199</v>
      </c>
      <c r="P341" s="611">
        <v>0</v>
      </c>
    </row>
    <row r="342" spans="1:106" ht="15">
      <c r="A342" s="1766">
        <v>8</v>
      </c>
      <c r="B342" s="1769" t="s">
        <v>1274</v>
      </c>
      <c r="C342" s="613" t="s">
        <v>1267</v>
      </c>
      <c r="P342" s="611">
        <v>268864.027</v>
      </c>
    </row>
    <row r="343" spans="1:106" ht="15">
      <c r="A343" s="1767"/>
      <c r="B343" s="1770"/>
      <c r="C343" s="610" t="s">
        <v>1197</v>
      </c>
      <c r="AL343" s="611">
        <v>263190.76</v>
      </c>
    </row>
    <row r="344" spans="1:106" ht="15">
      <c r="A344" s="1767"/>
      <c r="B344" s="1770"/>
      <c r="C344" s="610" t="s">
        <v>1198</v>
      </c>
      <c r="P344" s="611">
        <v>0</v>
      </c>
    </row>
    <row r="345" spans="1:106" ht="15">
      <c r="A345" s="1768"/>
      <c r="B345" s="1771"/>
      <c r="C345" s="610" t="s">
        <v>1199</v>
      </c>
      <c r="P345" s="611">
        <v>5673.2669999999998</v>
      </c>
    </row>
    <row r="346" spans="1:106" ht="15">
      <c r="A346" s="1766">
        <v>9</v>
      </c>
      <c r="B346" s="1769" t="s">
        <v>1275</v>
      </c>
      <c r="C346" s="613" t="s">
        <v>1267</v>
      </c>
      <c r="P346" s="611">
        <v>1289685.2439999999</v>
      </c>
    </row>
    <row r="347" spans="1:106" ht="15">
      <c r="A347" s="1767"/>
      <c r="B347" s="1770"/>
      <c r="C347" s="610" t="s">
        <v>1197</v>
      </c>
      <c r="DB347" s="611">
        <v>772235.84199999995</v>
      </c>
    </row>
    <row r="348" spans="1:106" ht="15">
      <c r="A348" s="1767"/>
      <c r="B348" s="1770"/>
      <c r="C348" s="610" t="s">
        <v>1198</v>
      </c>
      <c r="P348" s="611">
        <v>515280.68800000002</v>
      </c>
    </row>
    <row r="349" spans="1:106" ht="15">
      <c r="A349" s="1768"/>
      <c r="B349" s="1771"/>
      <c r="C349" s="610" t="s">
        <v>1199</v>
      </c>
      <c r="P349" s="611">
        <v>2168.7139999999999</v>
      </c>
    </row>
    <row r="350" spans="1:106" ht="15">
      <c r="A350" s="1766">
        <v>10</v>
      </c>
      <c r="B350" s="1769" t="s">
        <v>1276</v>
      </c>
      <c r="C350" s="613" t="s">
        <v>1267</v>
      </c>
      <c r="P350" s="611">
        <v>56816.906000000003</v>
      </c>
    </row>
    <row r="351" spans="1:106" ht="15">
      <c r="A351" s="1767"/>
      <c r="B351" s="1770"/>
      <c r="C351" s="610" t="s">
        <v>1197</v>
      </c>
      <c r="AY351" s="611">
        <v>50357.857000000004</v>
      </c>
    </row>
    <row r="352" spans="1:106" ht="15">
      <c r="A352" s="1767"/>
      <c r="B352" s="1770"/>
      <c r="C352" s="610" t="s">
        <v>1198</v>
      </c>
      <c r="P352" s="611">
        <v>0</v>
      </c>
    </row>
    <row r="353" spans="1:38" ht="15">
      <c r="A353" s="1768"/>
      <c r="B353" s="1771"/>
      <c r="C353" s="610" t="s">
        <v>1199</v>
      </c>
      <c r="P353" s="611">
        <v>6459.049</v>
      </c>
    </row>
    <row r="354" spans="1:38" ht="15">
      <c r="A354" s="1766">
        <v>11</v>
      </c>
      <c r="B354" s="1769" t="s">
        <v>1277</v>
      </c>
      <c r="C354" s="613" t="s">
        <v>1267</v>
      </c>
      <c r="P354" s="611">
        <v>212422.31900000002</v>
      </c>
    </row>
    <row r="355" spans="1:38" ht="15">
      <c r="A355" s="1767"/>
      <c r="B355" s="1770"/>
      <c r="C355" s="610" t="s">
        <v>1197</v>
      </c>
      <c r="AL355" s="611">
        <v>212422.31900000002</v>
      </c>
    </row>
    <row r="356" spans="1:38" ht="15">
      <c r="A356" s="1767"/>
      <c r="B356" s="1770"/>
      <c r="C356" s="610" t="s">
        <v>1198</v>
      </c>
      <c r="P356" s="611">
        <v>0</v>
      </c>
    </row>
    <row r="357" spans="1:38" ht="15">
      <c r="A357" s="1768"/>
      <c r="B357" s="1771"/>
      <c r="C357" s="610" t="s">
        <v>1199</v>
      </c>
      <c r="P357" s="611">
        <v>0</v>
      </c>
    </row>
    <row r="358" spans="1:38" ht="15">
      <c r="A358" s="1766">
        <v>12</v>
      </c>
      <c r="B358" s="1769" t="s">
        <v>1278</v>
      </c>
      <c r="C358" s="613" t="s">
        <v>1267</v>
      </c>
      <c r="P358" s="611">
        <v>147852.535</v>
      </c>
    </row>
    <row r="359" spans="1:38" ht="15">
      <c r="A359" s="1767"/>
      <c r="B359" s="1770"/>
      <c r="C359" s="610" t="s">
        <v>1197</v>
      </c>
      <c r="AL359" s="611">
        <v>133652.51900000003</v>
      </c>
    </row>
    <row r="360" spans="1:38" ht="15">
      <c r="A360" s="1767"/>
      <c r="B360" s="1770"/>
      <c r="C360" s="610" t="s">
        <v>1198</v>
      </c>
      <c r="P360" s="611">
        <v>0</v>
      </c>
    </row>
    <row r="361" spans="1:38" ht="15">
      <c r="A361" s="1768"/>
      <c r="B361" s="1771"/>
      <c r="C361" s="610" t="s">
        <v>1199</v>
      </c>
      <c r="P361" s="611">
        <v>14200.016</v>
      </c>
    </row>
    <row r="362" spans="1:38" ht="15">
      <c r="A362" s="1766">
        <v>13</v>
      </c>
      <c r="B362" s="1769" t="s">
        <v>1279</v>
      </c>
      <c r="C362" s="613" t="s">
        <v>1267</v>
      </c>
      <c r="P362" s="611">
        <v>136159.035</v>
      </c>
    </row>
    <row r="363" spans="1:38" ht="15">
      <c r="A363" s="1767"/>
      <c r="B363" s="1770"/>
      <c r="C363" s="610" t="s">
        <v>1197</v>
      </c>
      <c r="AL363" s="611">
        <v>120147.54900000001</v>
      </c>
    </row>
    <row r="364" spans="1:38" ht="15">
      <c r="A364" s="1767"/>
      <c r="B364" s="1770"/>
      <c r="C364" s="610" t="s">
        <v>1198</v>
      </c>
      <c r="P364" s="611">
        <v>0</v>
      </c>
    </row>
    <row r="365" spans="1:38" ht="15">
      <c r="A365" s="1768"/>
      <c r="B365" s="1771"/>
      <c r="C365" s="610" t="s">
        <v>1199</v>
      </c>
      <c r="P365" s="611">
        <v>16011.485999999997</v>
      </c>
    </row>
    <row r="366" spans="1:38" ht="15">
      <c r="A366" s="1766">
        <v>14</v>
      </c>
      <c r="B366" s="1769" t="s">
        <v>1280</v>
      </c>
      <c r="C366" s="613" t="s">
        <v>1267</v>
      </c>
      <c r="P366" s="611">
        <v>127939.2</v>
      </c>
    </row>
    <row r="367" spans="1:38" ht="15">
      <c r="A367" s="1767"/>
      <c r="B367" s="1770"/>
      <c r="C367" s="610" t="s">
        <v>1197</v>
      </c>
      <c r="AL367" s="611">
        <v>106498.45700000001</v>
      </c>
    </row>
    <row r="368" spans="1:38" ht="15">
      <c r="A368" s="1767"/>
      <c r="B368" s="1770"/>
      <c r="C368" s="610" t="s">
        <v>1198</v>
      </c>
      <c r="P368" s="611">
        <v>0</v>
      </c>
    </row>
    <row r="369" spans="1:38" ht="15">
      <c r="A369" s="1768"/>
      <c r="B369" s="1771"/>
      <c r="C369" s="610" t="s">
        <v>1199</v>
      </c>
      <c r="P369" s="611">
        <v>21440.742999999999</v>
      </c>
    </row>
    <row r="370" spans="1:38" ht="15">
      <c r="A370" s="1766">
        <v>15</v>
      </c>
      <c r="B370" s="1769" t="s">
        <v>1281</v>
      </c>
      <c r="C370" s="613" t="s">
        <v>1267</v>
      </c>
      <c r="P370" s="611">
        <v>94805.071000000011</v>
      </c>
    </row>
    <row r="371" spans="1:38" ht="15">
      <c r="A371" s="1767"/>
      <c r="B371" s="1770"/>
      <c r="C371" s="610" t="s">
        <v>1197</v>
      </c>
      <c r="AL371" s="611">
        <v>78229.323000000004</v>
      </c>
    </row>
    <row r="372" spans="1:38" ht="15">
      <c r="A372" s="1767"/>
      <c r="B372" s="1770"/>
      <c r="C372" s="610" t="s">
        <v>1198</v>
      </c>
      <c r="P372" s="611">
        <v>0</v>
      </c>
    </row>
    <row r="373" spans="1:38" ht="15">
      <c r="A373" s="1768"/>
      <c r="B373" s="1771"/>
      <c r="C373" s="610" t="s">
        <v>1199</v>
      </c>
      <c r="P373" s="611">
        <v>16575.748</v>
      </c>
    </row>
    <row r="374" spans="1:38" ht="15">
      <c r="A374" s="1766">
        <v>16</v>
      </c>
      <c r="B374" s="1769" t="s">
        <v>1282</v>
      </c>
      <c r="C374" s="613" t="s">
        <v>1267</v>
      </c>
      <c r="P374" s="611">
        <v>114476.10400000002</v>
      </c>
    </row>
    <row r="375" spans="1:38" ht="15">
      <c r="A375" s="1767"/>
      <c r="B375" s="1770"/>
      <c r="C375" s="610" t="s">
        <v>1197</v>
      </c>
      <c r="AL375" s="611">
        <v>90741.737000000008</v>
      </c>
    </row>
    <row r="376" spans="1:38" ht="15">
      <c r="A376" s="1767"/>
      <c r="B376" s="1770"/>
      <c r="C376" s="610" t="s">
        <v>1198</v>
      </c>
      <c r="P376" s="611">
        <v>0</v>
      </c>
    </row>
    <row r="377" spans="1:38" ht="15">
      <c r="A377" s="1768"/>
      <c r="B377" s="1771"/>
      <c r="C377" s="610" t="s">
        <v>1199</v>
      </c>
      <c r="P377" s="611">
        <v>23734.367000000002</v>
      </c>
    </row>
    <row r="378" spans="1:38" ht="15">
      <c r="A378" s="1766">
        <v>17</v>
      </c>
      <c r="B378" s="1769" t="s">
        <v>1283</v>
      </c>
      <c r="C378" s="613" t="s">
        <v>1267</v>
      </c>
      <c r="P378" s="611">
        <v>69057.850000000006</v>
      </c>
    </row>
    <row r="379" spans="1:38" ht="15">
      <c r="A379" s="1767"/>
      <c r="B379" s="1770"/>
      <c r="C379" s="610" t="s">
        <v>1197</v>
      </c>
      <c r="AL379" s="611">
        <v>58250.454000000012</v>
      </c>
    </row>
    <row r="380" spans="1:38" ht="15">
      <c r="A380" s="1767"/>
      <c r="B380" s="1770"/>
      <c r="C380" s="610" t="s">
        <v>1198</v>
      </c>
      <c r="P380" s="611">
        <v>0</v>
      </c>
    </row>
    <row r="381" spans="1:38" ht="15">
      <c r="A381" s="1768"/>
      <c r="B381" s="1771"/>
      <c r="C381" s="610" t="s">
        <v>1199</v>
      </c>
      <c r="P381" s="611">
        <v>10807.396000000001</v>
      </c>
    </row>
    <row r="382" spans="1:38" ht="15">
      <c r="A382" s="1766">
        <v>18</v>
      </c>
      <c r="B382" s="1769" t="s">
        <v>1284</v>
      </c>
      <c r="C382" s="613" t="s">
        <v>1267</v>
      </c>
      <c r="P382" s="611">
        <v>32471.084000000003</v>
      </c>
    </row>
    <row r="383" spans="1:38" ht="15">
      <c r="A383" s="1767"/>
      <c r="B383" s="1770"/>
      <c r="C383" s="610" t="s">
        <v>1197</v>
      </c>
      <c r="AL383" s="611">
        <v>27584.321000000004</v>
      </c>
    </row>
    <row r="384" spans="1:38" ht="15">
      <c r="A384" s="1767"/>
      <c r="B384" s="1770"/>
      <c r="C384" s="610" t="s">
        <v>1198</v>
      </c>
      <c r="P384" s="611">
        <v>0</v>
      </c>
    </row>
    <row r="385" spans="1:38" ht="15">
      <c r="A385" s="1768"/>
      <c r="B385" s="1771"/>
      <c r="C385" s="610" t="s">
        <v>1199</v>
      </c>
      <c r="P385" s="611">
        <v>4886.7629999999999</v>
      </c>
    </row>
    <row r="386" spans="1:38" ht="15">
      <c r="A386" s="1766">
        <v>19</v>
      </c>
      <c r="B386" s="1769" t="s">
        <v>1285</v>
      </c>
      <c r="C386" s="613" t="s">
        <v>1267</v>
      </c>
      <c r="P386" s="611">
        <v>188472.68599999999</v>
      </c>
    </row>
    <row r="387" spans="1:38" ht="15">
      <c r="A387" s="1767"/>
      <c r="B387" s="1770"/>
      <c r="C387" s="610" t="s">
        <v>1197</v>
      </c>
      <c r="AL387" s="611">
        <v>186379.32799999998</v>
      </c>
    </row>
    <row r="388" spans="1:38" ht="15">
      <c r="A388" s="1767"/>
      <c r="B388" s="1770"/>
      <c r="C388" s="610" t="s">
        <v>1198</v>
      </c>
      <c r="P388" s="611">
        <v>0</v>
      </c>
    </row>
    <row r="389" spans="1:38" ht="15">
      <c r="A389" s="1768"/>
      <c r="B389" s="1771"/>
      <c r="C389" s="610" t="s">
        <v>1199</v>
      </c>
      <c r="P389" s="611">
        <v>2093.3580000000002</v>
      </c>
    </row>
    <row r="390" spans="1:38" ht="15">
      <c r="A390" s="1766">
        <v>20</v>
      </c>
      <c r="B390" s="1769" t="s">
        <v>1286</v>
      </c>
      <c r="C390" s="613" t="s">
        <v>1267</v>
      </c>
      <c r="P390" s="611">
        <v>108674.13400000001</v>
      </c>
    </row>
    <row r="391" spans="1:38" ht="15">
      <c r="A391" s="1767"/>
      <c r="B391" s="1770"/>
      <c r="C391" s="610" t="s">
        <v>1197</v>
      </c>
      <c r="AL391" s="611">
        <v>92962.619000000006</v>
      </c>
    </row>
    <row r="392" spans="1:38" ht="15">
      <c r="A392" s="1767"/>
      <c r="B392" s="1770"/>
      <c r="C392" s="610" t="s">
        <v>1198</v>
      </c>
      <c r="P392" s="611">
        <v>0</v>
      </c>
    </row>
    <row r="393" spans="1:38" ht="15">
      <c r="A393" s="1768"/>
      <c r="B393" s="1771"/>
      <c r="C393" s="610" t="s">
        <v>1199</v>
      </c>
      <c r="P393" s="611">
        <v>15711.515000000003</v>
      </c>
    </row>
    <row r="394" spans="1:38" ht="15">
      <c r="A394" s="1766">
        <v>21</v>
      </c>
      <c r="B394" s="1769" t="s">
        <v>1287</v>
      </c>
      <c r="C394" s="613" t="s">
        <v>1267</v>
      </c>
      <c r="P394" s="611">
        <v>154325.17700000003</v>
      </c>
    </row>
    <row r="395" spans="1:38" ht="15">
      <c r="A395" s="1767"/>
      <c r="B395" s="1770"/>
      <c r="C395" s="610" t="s">
        <v>1197</v>
      </c>
      <c r="AL395" s="611">
        <v>134428.92300000001</v>
      </c>
    </row>
    <row r="396" spans="1:38" ht="15">
      <c r="A396" s="1767"/>
      <c r="B396" s="1770"/>
      <c r="C396" s="610" t="s">
        <v>1198</v>
      </c>
      <c r="P396" s="611">
        <v>0</v>
      </c>
    </row>
    <row r="397" spans="1:38" ht="15">
      <c r="A397" s="1768"/>
      <c r="B397" s="1771"/>
      <c r="C397" s="610" t="s">
        <v>1199</v>
      </c>
      <c r="P397" s="611">
        <v>19896.254000000001</v>
      </c>
    </row>
    <row r="398" spans="1:38" ht="15">
      <c r="A398" s="1766">
        <v>22</v>
      </c>
      <c r="B398" s="1769" t="s">
        <v>1288</v>
      </c>
      <c r="C398" s="613" t="s">
        <v>1267</v>
      </c>
      <c r="P398" s="611">
        <v>165194.742</v>
      </c>
    </row>
    <row r="399" spans="1:38" ht="15">
      <c r="A399" s="1767"/>
      <c r="B399" s="1770"/>
      <c r="C399" s="610" t="s">
        <v>1197</v>
      </c>
      <c r="AL399" s="611">
        <v>144873.76699999999</v>
      </c>
    </row>
    <row r="400" spans="1:38" ht="15">
      <c r="A400" s="1767"/>
      <c r="B400" s="1770"/>
      <c r="C400" s="610" t="s">
        <v>1198</v>
      </c>
      <c r="P400" s="611">
        <v>0</v>
      </c>
    </row>
    <row r="401" spans="1:76" ht="15">
      <c r="A401" s="1768"/>
      <c r="B401" s="1771"/>
      <c r="C401" s="610" t="s">
        <v>1199</v>
      </c>
      <c r="P401" s="611">
        <v>20320.974999999999</v>
      </c>
    </row>
    <row r="402" spans="1:76" ht="15">
      <c r="A402" s="1766">
        <v>23</v>
      </c>
      <c r="B402" s="1769" t="s">
        <v>1289</v>
      </c>
      <c r="C402" s="613" t="s">
        <v>1267</v>
      </c>
      <c r="P402" s="611">
        <v>152197.848</v>
      </c>
    </row>
    <row r="403" spans="1:76" ht="15">
      <c r="A403" s="1767"/>
      <c r="B403" s="1770"/>
      <c r="C403" s="610" t="s">
        <v>1197</v>
      </c>
      <c r="AL403" s="611">
        <v>148733.14199999999</v>
      </c>
    </row>
    <row r="404" spans="1:76" ht="15">
      <c r="A404" s="1767"/>
      <c r="B404" s="1770"/>
      <c r="C404" s="610" t="s">
        <v>1198</v>
      </c>
      <c r="P404" s="611">
        <v>0</v>
      </c>
    </row>
    <row r="405" spans="1:76" ht="15">
      <c r="A405" s="1768"/>
      <c r="B405" s="1771"/>
      <c r="C405" s="610" t="s">
        <v>1199</v>
      </c>
      <c r="P405" s="611">
        <v>3464.7060000000001</v>
      </c>
    </row>
    <row r="406" spans="1:76" ht="15">
      <c r="A406" s="1766">
        <v>24</v>
      </c>
      <c r="B406" s="1769" t="s">
        <v>1290</v>
      </c>
      <c r="C406" s="613" t="s">
        <v>1267</v>
      </c>
      <c r="P406" s="611">
        <v>94723.883999999991</v>
      </c>
    </row>
    <row r="407" spans="1:76" ht="15">
      <c r="A407" s="1767"/>
      <c r="B407" s="1770"/>
      <c r="C407" s="610" t="s">
        <v>1197</v>
      </c>
      <c r="AL407" s="611">
        <v>83829.399999999994</v>
      </c>
    </row>
    <row r="408" spans="1:76" ht="15">
      <c r="A408" s="1767"/>
      <c r="B408" s="1770"/>
      <c r="C408" s="610" t="s">
        <v>1198</v>
      </c>
      <c r="P408" s="611">
        <v>0</v>
      </c>
    </row>
    <row r="409" spans="1:76" ht="15">
      <c r="A409" s="1768"/>
      <c r="B409" s="1771"/>
      <c r="C409" s="610" t="s">
        <v>1199</v>
      </c>
      <c r="P409" s="611">
        <v>10894.484</v>
      </c>
    </row>
    <row r="410" spans="1:76" ht="15">
      <c r="A410" s="1766">
        <v>25</v>
      </c>
      <c r="B410" s="1769" t="s">
        <v>1291</v>
      </c>
      <c r="C410" s="613" t="s">
        <v>1267</v>
      </c>
      <c r="P410" s="611">
        <v>26143.79</v>
      </c>
    </row>
    <row r="411" spans="1:76" ht="15">
      <c r="A411" s="1767"/>
      <c r="B411" s="1770"/>
      <c r="C411" s="610" t="s">
        <v>1197</v>
      </c>
      <c r="AL411" s="611">
        <v>26143.79</v>
      </c>
    </row>
    <row r="412" spans="1:76" ht="15">
      <c r="A412" s="1767"/>
      <c r="B412" s="1770"/>
      <c r="C412" s="610" t="s">
        <v>1198</v>
      </c>
      <c r="P412" s="611">
        <v>0</v>
      </c>
    </row>
    <row r="413" spans="1:76" ht="15">
      <c r="A413" s="1768"/>
      <c r="B413" s="1771"/>
      <c r="C413" s="610" t="s">
        <v>1199</v>
      </c>
      <c r="P413" s="611">
        <v>0</v>
      </c>
    </row>
    <row r="414" spans="1:76" ht="15">
      <c r="A414" s="1766">
        <v>26</v>
      </c>
      <c r="B414" s="1769" t="s">
        <v>1292</v>
      </c>
      <c r="C414" s="613" t="s">
        <v>1267</v>
      </c>
      <c r="P414" s="611">
        <v>216324.52499999999</v>
      </c>
    </row>
    <row r="415" spans="1:76" ht="15">
      <c r="A415" s="1767"/>
      <c r="B415" s="1770"/>
      <c r="C415" s="610" t="s">
        <v>1197</v>
      </c>
      <c r="BX415" s="611">
        <v>22487.257999999998</v>
      </c>
    </row>
    <row r="416" spans="1:76" ht="15">
      <c r="A416" s="1767"/>
      <c r="B416" s="1770"/>
      <c r="C416" s="610" t="s">
        <v>1198</v>
      </c>
      <c r="P416" s="611">
        <v>0</v>
      </c>
    </row>
    <row r="417" spans="1:16" ht="15">
      <c r="A417" s="1768"/>
      <c r="B417" s="1771"/>
      <c r="C417" s="610" t="s">
        <v>1199</v>
      </c>
      <c r="P417" s="611">
        <v>193837.26699999999</v>
      </c>
    </row>
    <row r="418" spans="1:16" ht="15">
      <c r="A418" s="1766">
        <v>27</v>
      </c>
      <c r="B418" s="1769" t="s">
        <v>1293</v>
      </c>
      <c r="C418" s="613" t="s">
        <v>1267</v>
      </c>
      <c r="P418" s="611">
        <v>21302.173000000003</v>
      </c>
    </row>
    <row r="419" spans="1:16" ht="15">
      <c r="A419" s="1767"/>
      <c r="B419" s="1770"/>
      <c r="C419" s="610" t="s">
        <v>1197</v>
      </c>
      <c r="P419" s="611">
        <v>0</v>
      </c>
    </row>
    <row r="420" spans="1:16" ht="15">
      <c r="A420" s="1767"/>
      <c r="B420" s="1770"/>
      <c r="C420" s="610" t="s">
        <v>1198</v>
      </c>
      <c r="P420" s="611">
        <v>0</v>
      </c>
    </row>
    <row r="421" spans="1:16" ht="15">
      <c r="A421" s="1768"/>
      <c r="B421" s="1771"/>
      <c r="C421" s="610" t="s">
        <v>1199</v>
      </c>
      <c r="P421" s="611">
        <v>21302.173000000003</v>
      </c>
    </row>
    <row r="422" spans="1:16" ht="15">
      <c r="A422" s="1766">
        <v>28</v>
      </c>
      <c r="B422" s="1769" t="s">
        <v>1294</v>
      </c>
      <c r="C422" s="613" t="s">
        <v>1267</v>
      </c>
      <c r="P422" s="611">
        <v>14829.468000000001</v>
      </c>
    </row>
    <row r="423" spans="1:16" ht="15">
      <c r="A423" s="1767"/>
      <c r="B423" s="1770"/>
      <c r="C423" s="610" t="s">
        <v>1197</v>
      </c>
      <c r="P423" s="611">
        <v>0</v>
      </c>
    </row>
    <row r="424" spans="1:16" ht="15">
      <c r="A424" s="1767"/>
      <c r="B424" s="1770"/>
      <c r="C424" s="610" t="s">
        <v>1198</v>
      </c>
      <c r="P424" s="611">
        <v>0</v>
      </c>
    </row>
    <row r="425" spans="1:16" ht="15">
      <c r="A425" s="1768"/>
      <c r="B425" s="1771"/>
      <c r="C425" s="610" t="s">
        <v>1199</v>
      </c>
      <c r="P425" s="611">
        <v>14829.468000000001</v>
      </c>
    </row>
    <row r="426" spans="1:16" ht="15">
      <c r="A426" s="1766">
        <v>29</v>
      </c>
      <c r="B426" s="1769" t="s">
        <v>1295</v>
      </c>
      <c r="C426" s="613" t="s">
        <v>1267</v>
      </c>
      <c r="P426" s="611">
        <v>14614.169999999998</v>
      </c>
    </row>
    <row r="427" spans="1:16" ht="15">
      <c r="A427" s="1767"/>
      <c r="B427" s="1770"/>
      <c r="C427" s="610" t="s">
        <v>1197</v>
      </c>
      <c r="P427" s="611">
        <v>0</v>
      </c>
    </row>
    <row r="428" spans="1:16" ht="15">
      <c r="A428" s="1767"/>
      <c r="B428" s="1770"/>
      <c r="C428" s="610" t="s">
        <v>1198</v>
      </c>
      <c r="P428" s="611">
        <v>0</v>
      </c>
    </row>
    <row r="429" spans="1:16" ht="15">
      <c r="A429" s="1768"/>
      <c r="B429" s="1771"/>
      <c r="C429" s="610" t="s">
        <v>1199</v>
      </c>
      <c r="P429" s="611">
        <v>14614.169999999998</v>
      </c>
    </row>
    <row r="430" spans="1:16" ht="15">
      <c r="A430" s="1766">
        <v>30</v>
      </c>
      <c r="B430" s="1769" t="s">
        <v>1296</v>
      </c>
      <c r="C430" s="613" t="s">
        <v>1267</v>
      </c>
      <c r="P430" s="611">
        <v>30347.521000000004</v>
      </c>
    </row>
    <row r="431" spans="1:16" ht="15">
      <c r="A431" s="1767"/>
      <c r="B431" s="1770"/>
      <c r="C431" s="610" t="s">
        <v>1197</v>
      </c>
      <c r="P431" s="611">
        <v>0</v>
      </c>
    </row>
    <row r="432" spans="1:16" ht="15">
      <c r="A432" s="1767"/>
      <c r="B432" s="1770"/>
      <c r="C432" s="610" t="s">
        <v>1198</v>
      </c>
      <c r="P432" s="611">
        <v>0</v>
      </c>
    </row>
    <row r="433" spans="1:16" ht="15">
      <c r="A433" s="1768"/>
      <c r="B433" s="1771"/>
      <c r="C433" s="610" t="s">
        <v>1199</v>
      </c>
      <c r="P433" s="611">
        <v>30347.521000000004</v>
      </c>
    </row>
    <row r="434" spans="1:16" ht="15">
      <c r="A434" s="1766">
        <v>31</v>
      </c>
      <c r="B434" s="1769" t="s">
        <v>1297</v>
      </c>
      <c r="C434" s="613" t="s">
        <v>1267</v>
      </c>
      <c r="P434" s="611">
        <v>21681.343999999997</v>
      </c>
    </row>
    <row r="435" spans="1:16" ht="15">
      <c r="A435" s="1767"/>
      <c r="B435" s="1770"/>
      <c r="C435" s="610" t="s">
        <v>1197</v>
      </c>
      <c r="P435" s="611">
        <v>0</v>
      </c>
    </row>
    <row r="436" spans="1:16" ht="15">
      <c r="A436" s="1767"/>
      <c r="B436" s="1770"/>
      <c r="C436" s="610" t="s">
        <v>1198</v>
      </c>
      <c r="P436" s="611">
        <v>0</v>
      </c>
    </row>
    <row r="437" spans="1:16" ht="15">
      <c r="A437" s="1768"/>
      <c r="B437" s="1771"/>
      <c r="C437" s="610" t="s">
        <v>1199</v>
      </c>
      <c r="P437" s="611">
        <v>21681.343999999997</v>
      </c>
    </row>
    <row r="438" spans="1:16" ht="15">
      <c r="A438" s="1766">
        <v>32</v>
      </c>
      <c r="B438" s="1769" t="s">
        <v>1298</v>
      </c>
      <c r="C438" s="613" t="s">
        <v>1267</v>
      </c>
      <c r="P438" s="611">
        <v>30614.899000000001</v>
      </c>
    </row>
    <row r="439" spans="1:16" ht="15">
      <c r="A439" s="1767"/>
      <c r="B439" s="1770"/>
      <c r="C439" s="610" t="s">
        <v>1197</v>
      </c>
      <c r="P439" s="611">
        <v>0</v>
      </c>
    </row>
    <row r="440" spans="1:16" ht="15">
      <c r="A440" s="1767"/>
      <c r="B440" s="1770"/>
      <c r="C440" s="610" t="s">
        <v>1198</v>
      </c>
      <c r="P440" s="611">
        <v>0</v>
      </c>
    </row>
    <row r="441" spans="1:16" ht="15">
      <c r="A441" s="1768"/>
      <c r="B441" s="1771"/>
      <c r="C441" s="610" t="s">
        <v>1199</v>
      </c>
      <c r="P441" s="611">
        <v>30614.899000000001</v>
      </c>
    </row>
    <row r="442" spans="1:16" ht="15">
      <c r="A442" s="1766">
        <v>33</v>
      </c>
      <c r="B442" s="1769" t="s">
        <v>1299</v>
      </c>
      <c r="C442" s="613" t="s">
        <v>1267</v>
      </c>
      <c r="P442" s="611">
        <v>2306.7860000000001</v>
      </c>
    </row>
    <row r="443" spans="1:16" ht="15">
      <c r="A443" s="1767"/>
      <c r="B443" s="1770"/>
      <c r="C443" s="610" t="s">
        <v>1197</v>
      </c>
      <c r="P443" s="611">
        <v>0</v>
      </c>
    </row>
    <row r="444" spans="1:16" ht="15">
      <c r="A444" s="1767"/>
      <c r="B444" s="1770"/>
      <c r="C444" s="610" t="s">
        <v>1198</v>
      </c>
      <c r="P444" s="611">
        <v>0</v>
      </c>
    </row>
    <row r="445" spans="1:16" ht="15">
      <c r="A445" s="1768"/>
      <c r="B445" s="1771"/>
      <c r="C445" s="610" t="s">
        <v>1199</v>
      </c>
      <c r="P445" s="611">
        <v>2306.7860000000001</v>
      </c>
    </row>
    <row r="446" spans="1:16" ht="15">
      <c r="A446" s="1766">
        <v>34</v>
      </c>
      <c r="B446" s="1769" t="s">
        <v>1300</v>
      </c>
      <c r="C446" s="613" t="s">
        <v>1267</v>
      </c>
      <c r="P446" s="611">
        <v>15970.638000000001</v>
      </c>
    </row>
    <row r="447" spans="1:16" ht="15">
      <c r="A447" s="1767"/>
      <c r="B447" s="1770"/>
      <c r="C447" s="610" t="s">
        <v>1197</v>
      </c>
      <c r="P447" s="611">
        <v>0</v>
      </c>
    </row>
    <row r="448" spans="1:16" ht="15">
      <c r="A448" s="1767"/>
      <c r="B448" s="1770"/>
      <c r="C448" s="610" t="s">
        <v>1198</v>
      </c>
      <c r="P448" s="611">
        <v>0</v>
      </c>
    </row>
    <row r="449" spans="1:38" ht="15">
      <c r="A449" s="1768"/>
      <c r="B449" s="1771"/>
      <c r="C449" s="610" t="s">
        <v>1199</v>
      </c>
      <c r="P449" s="611">
        <v>15970.638000000001</v>
      </c>
    </row>
    <row r="450" spans="1:38" ht="15">
      <c r="A450" s="1766">
        <v>35</v>
      </c>
      <c r="B450" s="1772" t="s">
        <v>1301</v>
      </c>
      <c r="C450" s="613" t="s">
        <v>1267</v>
      </c>
      <c r="P450" s="611">
        <v>10753.324999999999</v>
      </c>
    </row>
    <row r="451" spans="1:38" ht="15">
      <c r="A451" s="1767"/>
      <c r="B451" s="1773"/>
      <c r="C451" s="610" t="s">
        <v>1197</v>
      </c>
      <c r="P451" s="611">
        <v>0</v>
      </c>
    </row>
    <row r="452" spans="1:38" ht="15">
      <c r="A452" s="1767"/>
      <c r="B452" s="1773"/>
      <c r="C452" s="610" t="s">
        <v>1198</v>
      </c>
      <c r="P452" s="611">
        <v>0</v>
      </c>
    </row>
    <row r="453" spans="1:38" ht="15">
      <c r="A453" s="1768"/>
      <c r="B453" s="1774"/>
      <c r="C453" s="610" t="s">
        <v>1199</v>
      </c>
      <c r="P453" s="611">
        <v>10753.324999999999</v>
      </c>
    </row>
    <row r="454" spans="1:38" ht="15">
      <c r="A454" s="1766">
        <v>36</v>
      </c>
      <c r="B454" s="1769" t="s">
        <v>1302</v>
      </c>
      <c r="C454" s="613" t="s">
        <v>1267</v>
      </c>
      <c r="P454" s="611">
        <v>17110.386999999999</v>
      </c>
    </row>
    <row r="455" spans="1:38" ht="15">
      <c r="A455" s="1767"/>
      <c r="B455" s="1770"/>
      <c r="C455" s="610" t="s">
        <v>1197</v>
      </c>
      <c r="P455" s="611">
        <v>0</v>
      </c>
    </row>
    <row r="456" spans="1:38" ht="15">
      <c r="A456" s="1767"/>
      <c r="B456" s="1770"/>
      <c r="C456" s="610" t="s">
        <v>1198</v>
      </c>
      <c r="P456" s="611">
        <v>0</v>
      </c>
    </row>
    <row r="457" spans="1:38" ht="15">
      <c r="A457" s="1768"/>
      <c r="B457" s="1771"/>
      <c r="C457" s="610" t="s">
        <v>1199</v>
      </c>
      <c r="P457" s="611">
        <v>17110.386999999999</v>
      </c>
    </row>
    <row r="458" spans="1:38" ht="15">
      <c r="A458" s="1766">
        <v>37</v>
      </c>
      <c r="B458" s="1769" t="s">
        <v>1303</v>
      </c>
      <c r="C458" s="613" t="s">
        <v>1267</v>
      </c>
      <c r="P458" s="611">
        <v>8189.3389999999999</v>
      </c>
    </row>
    <row r="459" spans="1:38" ht="15">
      <c r="A459" s="1767"/>
      <c r="B459" s="1770"/>
      <c r="C459" s="610" t="s">
        <v>1197</v>
      </c>
      <c r="P459" s="611">
        <v>0</v>
      </c>
    </row>
    <row r="460" spans="1:38" ht="15">
      <c r="A460" s="1767"/>
      <c r="B460" s="1770"/>
      <c r="C460" s="610" t="s">
        <v>1198</v>
      </c>
      <c r="P460" s="611">
        <v>0</v>
      </c>
    </row>
    <row r="461" spans="1:38" ht="15">
      <c r="A461" s="1768"/>
      <c r="B461" s="1771"/>
      <c r="C461" s="610" t="s">
        <v>1199</v>
      </c>
      <c r="P461" s="611">
        <v>8189.3389999999999</v>
      </c>
    </row>
    <row r="462" spans="1:38" ht="15">
      <c r="A462" s="1766">
        <v>38</v>
      </c>
      <c r="B462" s="1769" t="s">
        <v>1304</v>
      </c>
      <c r="C462" s="613" t="s">
        <v>1267</v>
      </c>
      <c r="P462" s="611">
        <v>575.61999999999989</v>
      </c>
    </row>
    <row r="463" spans="1:38" ht="15">
      <c r="A463" s="1767"/>
      <c r="B463" s="1770"/>
      <c r="C463" s="610" t="s">
        <v>1197</v>
      </c>
      <c r="AL463" s="611">
        <v>575.61999999999989</v>
      </c>
    </row>
    <row r="464" spans="1:38" ht="15">
      <c r="A464" s="1767"/>
      <c r="B464" s="1770"/>
      <c r="C464" s="610" t="s">
        <v>1198</v>
      </c>
      <c r="P464" s="611">
        <v>0</v>
      </c>
    </row>
    <row r="465" spans="1:38" ht="15">
      <c r="A465" s="1768"/>
      <c r="B465" s="1771"/>
      <c r="C465" s="610" t="s">
        <v>1199</v>
      </c>
      <c r="P465" s="611">
        <v>0</v>
      </c>
    </row>
    <row r="466" spans="1:38" ht="15">
      <c r="A466" s="1766">
        <v>39</v>
      </c>
      <c r="B466" s="1769" t="s">
        <v>1305</v>
      </c>
      <c r="C466" s="613" t="s">
        <v>1267</v>
      </c>
      <c r="P466" s="611">
        <v>1921.752</v>
      </c>
    </row>
    <row r="467" spans="1:38" ht="15">
      <c r="A467" s="1767"/>
      <c r="B467" s="1770"/>
      <c r="C467" s="610" t="s">
        <v>1197</v>
      </c>
      <c r="AL467" s="611">
        <v>1921.752</v>
      </c>
    </row>
    <row r="468" spans="1:38" ht="15">
      <c r="A468" s="1767"/>
      <c r="B468" s="1770"/>
      <c r="C468" s="610" t="s">
        <v>1198</v>
      </c>
      <c r="P468" s="611">
        <v>0</v>
      </c>
    </row>
    <row r="469" spans="1:38" ht="15">
      <c r="A469" s="1768"/>
      <c r="B469" s="1771"/>
      <c r="C469" s="610" t="s">
        <v>1199</v>
      </c>
      <c r="P469" s="611">
        <v>0</v>
      </c>
    </row>
    <row r="470" spans="1:38">
      <c r="A470" s="1735" t="s">
        <v>1198</v>
      </c>
      <c r="B470" s="1735"/>
      <c r="C470" s="1735"/>
      <c r="D470" s="1735"/>
      <c r="E470" s="1735"/>
      <c r="F470" s="1735"/>
      <c r="G470" s="1735"/>
      <c r="H470" s="1735"/>
      <c r="I470" s="1735"/>
      <c r="J470" s="1735"/>
      <c r="K470" s="1735"/>
      <c r="L470" s="1735"/>
      <c r="M470" s="1735"/>
      <c r="N470" s="1735"/>
      <c r="O470" s="1735"/>
      <c r="P470" s="1735"/>
      <c r="AL470" s="561">
        <f>SUM(AL471:AL628)</f>
        <v>76150.755000000005</v>
      </c>
    </row>
    <row r="471" spans="1:38" ht="15">
      <c r="A471" s="1766">
        <v>1</v>
      </c>
      <c r="B471" s="1766" t="s">
        <v>1266</v>
      </c>
      <c r="C471" s="613" t="s">
        <v>1267</v>
      </c>
      <c r="P471" s="611">
        <v>386767.66299999994</v>
      </c>
    </row>
    <row r="472" spans="1:38">
      <c r="A472" s="1767"/>
      <c r="B472" s="1767"/>
      <c r="C472" s="610" t="s">
        <v>1197</v>
      </c>
    </row>
    <row r="473" spans="1:38" ht="15">
      <c r="A473" s="1767"/>
      <c r="B473" s="1767"/>
      <c r="C473" s="610" t="s">
        <v>1198</v>
      </c>
      <c r="P473" s="611">
        <v>0</v>
      </c>
    </row>
    <row r="474" spans="1:38" ht="15">
      <c r="A474" s="1767"/>
      <c r="B474" s="1767"/>
      <c r="C474" s="610" t="s">
        <v>1199</v>
      </c>
      <c r="P474" s="611">
        <v>4976.1859999999997</v>
      </c>
    </row>
    <row r="475" spans="1:38" ht="25.5">
      <c r="A475" s="631"/>
      <c r="B475" s="631"/>
      <c r="C475" s="610" t="s">
        <v>1265</v>
      </c>
      <c r="P475" s="611"/>
    </row>
    <row r="476" spans="1:38" ht="15">
      <c r="A476" s="1766">
        <v>2</v>
      </c>
      <c r="B476" s="1769" t="s">
        <v>1268</v>
      </c>
      <c r="C476" s="613" t="s">
        <v>1267</v>
      </c>
      <c r="P476" s="611">
        <v>83437.724999999977</v>
      </c>
    </row>
    <row r="477" spans="1:38">
      <c r="A477" s="1767"/>
      <c r="B477" s="1770"/>
      <c r="C477" s="610" t="s">
        <v>1197</v>
      </c>
    </row>
    <row r="478" spans="1:38" ht="15">
      <c r="A478" s="1767"/>
      <c r="B478" s="1770"/>
      <c r="C478" s="610" t="s">
        <v>1198</v>
      </c>
      <c r="P478" s="611">
        <v>0</v>
      </c>
    </row>
    <row r="479" spans="1:38" ht="15">
      <c r="A479" s="1768"/>
      <c r="B479" s="1771"/>
      <c r="C479" s="610" t="s">
        <v>1199</v>
      </c>
      <c r="P479" s="611">
        <v>2905.45</v>
      </c>
    </row>
    <row r="480" spans="1:38" ht="15">
      <c r="A480" s="1766">
        <v>3</v>
      </c>
      <c r="B480" s="1769" t="s">
        <v>1269</v>
      </c>
      <c r="C480" s="613" t="s">
        <v>1267</v>
      </c>
      <c r="P480" s="611">
        <v>102380.63699999999</v>
      </c>
    </row>
    <row r="481" spans="1:38">
      <c r="A481" s="1767"/>
      <c r="B481" s="1770"/>
      <c r="C481" s="610" t="s">
        <v>1197</v>
      </c>
    </row>
    <row r="482" spans="1:38" ht="15">
      <c r="A482" s="1767"/>
      <c r="B482" s="1770"/>
      <c r="C482" s="610" t="s">
        <v>1198</v>
      </c>
      <c r="P482" s="611">
        <v>0</v>
      </c>
    </row>
    <row r="483" spans="1:38" ht="15">
      <c r="A483" s="1768"/>
      <c r="B483" s="1771"/>
      <c r="C483" s="610" t="s">
        <v>1199</v>
      </c>
      <c r="P483" s="611">
        <v>13796.106</v>
      </c>
    </row>
    <row r="484" spans="1:38" ht="15">
      <c r="A484" s="1766">
        <v>4</v>
      </c>
      <c r="B484" s="1769" t="s">
        <v>1270</v>
      </c>
      <c r="C484" s="613" t="s">
        <v>1267</v>
      </c>
      <c r="P484" s="611">
        <v>1109681.3059999999</v>
      </c>
    </row>
    <row r="485" spans="1:38">
      <c r="A485" s="1767"/>
      <c r="B485" s="1770"/>
      <c r="C485" s="610" t="s">
        <v>1197</v>
      </c>
    </row>
    <row r="486" spans="1:38" ht="15">
      <c r="A486" s="1767"/>
      <c r="B486" s="1770"/>
      <c r="C486" s="610" t="s">
        <v>1198</v>
      </c>
      <c r="AL486" s="611">
        <v>67305.290999999997</v>
      </c>
    </row>
    <row r="487" spans="1:38" ht="15">
      <c r="A487" s="1768"/>
      <c r="B487" s="1771"/>
      <c r="C487" s="610" t="s">
        <v>1199</v>
      </c>
      <c r="P487" s="611">
        <v>101299.17300000001</v>
      </c>
    </row>
    <row r="488" spans="1:38" ht="25.5">
      <c r="A488" s="631"/>
      <c r="B488" s="632"/>
      <c r="C488" s="610" t="s">
        <v>1265</v>
      </c>
      <c r="P488" s="611"/>
    </row>
    <row r="489" spans="1:38" ht="15">
      <c r="A489" s="1766">
        <v>5</v>
      </c>
      <c r="B489" s="1769" t="s">
        <v>1271</v>
      </c>
      <c r="C489" s="613" t="s">
        <v>1267</v>
      </c>
      <c r="P489" s="611">
        <v>451071.73100000009</v>
      </c>
    </row>
    <row r="490" spans="1:38">
      <c r="A490" s="1767"/>
      <c r="B490" s="1770"/>
      <c r="C490" s="610" t="s">
        <v>1197</v>
      </c>
    </row>
    <row r="491" spans="1:38" ht="15">
      <c r="A491" s="1767"/>
      <c r="B491" s="1770"/>
      <c r="C491" s="610" t="s">
        <v>1198</v>
      </c>
      <c r="AL491" s="611">
        <v>8845.4639999999999</v>
      </c>
    </row>
    <row r="492" spans="1:38" ht="15">
      <c r="A492" s="1768"/>
      <c r="B492" s="1771"/>
      <c r="C492" s="610" t="s">
        <v>1199</v>
      </c>
      <c r="P492" s="611">
        <v>0</v>
      </c>
    </row>
    <row r="493" spans="1:38" ht="15">
      <c r="A493" s="1766">
        <v>6</v>
      </c>
      <c r="B493" s="1769" t="s">
        <v>1272</v>
      </c>
      <c r="C493" s="613" t="s">
        <v>1267</v>
      </c>
      <c r="P493" s="611">
        <v>690.46999999999935</v>
      </c>
    </row>
    <row r="494" spans="1:38">
      <c r="A494" s="1767"/>
      <c r="B494" s="1770"/>
      <c r="C494" s="610" t="s">
        <v>1197</v>
      </c>
    </row>
    <row r="495" spans="1:38" ht="15">
      <c r="A495" s="1767"/>
      <c r="B495" s="1770"/>
      <c r="C495" s="610" t="s">
        <v>1198</v>
      </c>
      <c r="P495" s="611">
        <v>0</v>
      </c>
    </row>
    <row r="496" spans="1:38" ht="15">
      <c r="A496" s="1768"/>
      <c r="B496" s="1771"/>
      <c r="C496" s="610" t="s">
        <v>1199</v>
      </c>
      <c r="P496" s="611">
        <v>0</v>
      </c>
    </row>
    <row r="497" spans="1:106" ht="15">
      <c r="A497" s="1766">
        <v>7</v>
      </c>
      <c r="B497" s="1769" t="s">
        <v>1273</v>
      </c>
      <c r="C497" s="613" t="s">
        <v>1267</v>
      </c>
      <c r="P497" s="611">
        <v>2124.7930000000006</v>
      </c>
    </row>
    <row r="498" spans="1:106">
      <c r="A498" s="1767"/>
      <c r="B498" s="1770"/>
      <c r="C498" s="610" t="s">
        <v>1197</v>
      </c>
    </row>
    <row r="499" spans="1:106" ht="15">
      <c r="A499" s="1767"/>
      <c r="B499" s="1770"/>
      <c r="C499" s="610" t="s">
        <v>1198</v>
      </c>
      <c r="P499" s="611">
        <v>0</v>
      </c>
    </row>
    <row r="500" spans="1:106" ht="15">
      <c r="A500" s="1768"/>
      <c r="B500" s="1771"/>
      <c r="C500" s="610" t="s">
        <v>1199</v>
      </c>
      <c r="P500" s="611">
        <v>0</v>
      </c>
    </row>
    <row r="501" spans="1:106" ht="15">
      <c r="A501" s="1766">
        <v>8</v>
      </c>
      <c r="B501" s="1769" t="s">
        <v>1274</v>
      </c>
      <c r="C501" s="613" t="s">
        <v>1267</v>
      </c>
      <c r="P501" s="611">
        <v>268864.027</v>
      </c>
    </row>
    <row r="502" spans="1:106">
      <c r="A502" s="1767"/>
      <c r="B502" s="1770"/>
      <c r="C502" s="610" t="s">
        <v>1197</v>
      </c>
    </row>
    <row r="503" spans="1:106" ht="15">
      <c r="A503" s="1767"/>
      <c r="B503" s="1770"/>
      <c r="C503" s="610" t="s">
        <v>1198</v>
      </c>
      <c r="P503" s="611">
        <v>0</v>
      </c>
    </row>
    <row r="504" spans="1:106" ht="15">
      <c r="A504" s="1768"/>
      <c r="B504" s="1771"/>
      <c r="C504" s="610" t="s">
        <v>1199</v>
      </c>
      <c r="P504" s="611">
        <v>5673.2669999999998</v>
      </c>
    </row>
    <row r="505" spans="1:106" ht="15">
      <c r="A505" s="1766">
        <v>9</v>
      </c>
      <c r="B505" s="1769" t="s">
        <v>1275</v>
      </c>
      <c r="C505" s="613" t="s">
        <v>1267</v>
      </c>
      <c r="P505" s="611">
        <v>1289685.2439999999</v>
      </c>
    </row>
    <row r="506" spans="1:106">
      <c r="A506" s="1767"/>
      <c r="B506" s="1770"/>
      <c r="C506" s="610" t="s">
        <v>1197</v>
      </c>
    </row>
    <row r="507" spans="1:106" ht="15">
      <c r="A507" s="1767"/>
      <c r="B507" s="1770"/>
      <c r="C507" s="610" t="s">
        <v>1198</v>
      </c>
      <c r="DB507" s="611" t="s">
        <v>846</v>
      </c>
    </row>
    <row r="508" spans="1:106" ht="15">
      <c r="A508" s="1768"/>
      <c r="B508" s="1771"/>
      <c r="C508" s="610" t="s">
        <v>1199</v>
      </c>
      <c r="P508" s="611">
        <v>2168.7139999999999</v>
      </c>
    </row>
    <row r="509" spans="1:106" ht="15">
      <c r="A509" s="1766">
        <v>10</v>
      </c>
      <c r="B509" s="1769" t="s">
        <v>1276</v>
      </c>
      <c r="C509" s="613" t="s">
        <v>1267</v>
      </c>
      <c r="P509" s="611">
        <v>56816.906000000003</v>
      </c>
    </row>
    <row r="510" spans="1:106">
      <c r="A510" s="1767"/>
      <c r="B510" s="1770"/>
      <c r="C510" s="610" t="s">
        <v>1197</v>
      </c>
    </row>
    <row r="511" spans="1:106" ht="15">
      <c r="A511" s="1767"/>
      <c r="B511" s="1770"/>
      <c r="C511" s="610" t="s">
        <v>1198</v>
      </c>
      <c r="P511" s="611">
        <v>0</v>
      </c>
    </row>
    <row r="512" spans="1:106" ht="15">
      <c r="A512" s="1768"/>
      <c r="B512" s="1771"/>
      <c r="C512" s="610" t="s">
        <v>1199</v>
      </c>
      <c r="P512" s="611">
        <v>6459.049</v>
      </c>
    </row>
    <row r="513" spans="1:16" ht="15">
      <c r="A513" s="1766">
        <v>11</v>
      </c>
      <c r="B513" s="1769" t="s">
        <v>1277</v>
      </c>
      <c r="C513" s="613" t="s">
        <v>1267</v>
      </c>
      <c r="P513" s="611">
        <v>212422.31900000002</v>
      </c>
    </row>
    <row r="514" spans="1:16">
      <c r="A514" s="1767"/>
      <c r="B514" s="1770"/>
      <c r="C514" s="610" t="s">
        <v>1197</v>
      </c>
    </row>
    <row r="515" spans="1:16" ht="15">
      <c r="A515" s="1767"/>
      <c r="B515" s="1770"/>
      <c r="C515" s="610" t="s">
        <v>1198</v>
      </c>
      <c r="P515" s="611">
        <v>0</v>
      </c>
    </row>
    <row r="516" spans="1:16" ht="15">
      <c r="A516" s="1768"/>
      <c r="B516" s="1771"/>
      <c r="C516" s="610" t="s">
        <v>1199</v>
      </c>
      <c r="P516" s="611">
        <v>0</v>
      </c>
    </row>
    <row r="517" spans="1:16" ht="15">
      <c r="A517" s="1766">
        <v>12</v>
      </c>
      <c r="B517" s="1769" t="s">
        <v>1278</v>
      </c>
      <c r="C517" s="613" t="s">
        <v>1267</v>
      </c>
      <c r="P517" s="611">
        <v>147852.535</v>
      </c>
    </row>
    <row r="518" spans="1:16">
      <c r="A518" s="1767"/>
      <c r="B518" s="1770"/>
      <c r="C518" s="610" t="s">
        <v>1197</v>
      </c>
    </row>
    <row r="519" spans="1:16" ht="15">
      <c r="A519" s="1767"/>
      <c r="B519" s="1770"/>
      <c r="C519" s="610" t="s">
        <v>1198</v>
      </c>
      <c r="P519" s="611">
        <v>0</v>
      </c>
    </row>
    <row r="520" spans="1:16" ht="15">
      <c r="A520" s="1768"/>
      <c r="B520" s="1771"/>
      <c r="C520" s="610" t="s">
        <v>1199</v>
      </c>
      <c r="P520" s="611">
        <v>14200.016</v>
      </c>
    </row>
    <row r="521" spans="1:16" ht="15">
      <c r="A521" s="1766">
        <v>13</v>
      </c>
      <c r="B521" s="1769" t="s">
        <v>1279</v>
      </c>
      <c r="C521" s="613" t="s">
        <v>1267</v>
      </c>
      <c r="P521" s="611">
        <v>136159.035</v>
      </c>
    </row>
    <row r="522" spans="1:16">
      <c r="A522" s="1767"/>
      <c r="B522" s="1770"/>
      <c r="C522" s="610" t="s">
        <v>1197</v>
      </c>
    </row>
    <row r="523" spans="1:16" ht="15">
      <c r="A523" s="1767"/>
      <c r="B523" s="1770"/>
      <c r="C523" s="610" t="s">
        <v>1198</v>
      </c>
      <c r="P523" s="611">
        <v>0</v>
      </c>
    </row>
    <row r="524" spans="1:16" ht="15">
      <c r="A524" s="1768"/>
      <c r="B524" s="1771"/>
      <c r="C524" s="610" t="s">
        <v>1199</v>
      </c>
      <c r="P524" s="611">
        <v>16011.485999999997</v>
      </c>
    </row>
    <row r="525" spans="1:16" ht="15">
      <c r="A525" s="1766">
        <v>14</v>
      </c>
      <c r="B525" s="1769" t="s">
        <v>1280</v>
      </c>
      <c r="C525" s="613" t="s">
        <v>1267</v>
      </c>
      <c r="P525" s="611">
        <v>127939.2</v>
      </c>
    </row>
    <row r="526" spans="1:16">
      <c r="A526" s="1767"/>
      <c r="B526" s="1770"/>
      <c r="C526" s="610" t="s">
        <v>1197</v>
      </c>
    </row>
    <row r="527" spans="1:16" ht="15">
      <c r="A527" s="1767"/>
      <c r="B527" s="1770"/>
      <c r="C527" s="610" t="s">
        <v>1198</v>
      </c>
      <c r="P527" s="611">
        <v>0</v>
      </c>
    </row>
    <row r="528" spans="1:16" ht="15">
      <c r="A528" s="1768"/>
      <c r="B528" s="1771"/>
      <c r="C528" s="610" t="s">
        <v>1199</v>
      </c>
      <c r="P528" s="611">
        <v>21440.742999999999</v>
      </c>
    </row>
    <row r="529" spans="1:16" ht="15">
      <c r="A529" s="1766">
        <v>15</v>
      </c>
      <c r="B529" s="1769" t="s">
        <v>1281</v>
      </c>
      <c r="C529" s="613" t="s">
        <v>1267</v>
      </c>
      <c r="P529" s="611">
        <v>94805.071000000011</v>
      </c>
    </row>
    <row r="530" spans="1:16">
      <c r="A530" s="1767"/>
      <c r="B530" s="1770"/>
      <c r="C530" s="610" t="s">
        <v>1197</v>
      </c>
    </row>
    <row r="531" spans="1:16" ht="15">
      <c r="A531" s="1767"/>
      <c r="B531" s="1770"/>
      <c r="C531" s="610" t="s">
        <v>1198</v>
      </c>
      <c r="P531" s="611">
        <v>0</v>
      </c>
    </row>
    <row r="532" spans="1:16" ht="15">
      <c r="A532" s="1768"/>
      <c r="B532" s="1771"/>
      <c r="C532" s="610" t="s">
        <v>1199</v>
      </c>
      <c r="P532" s="611">
        <v>16575.748</v>
      </c>
    </row>
    <row r="533" spans="1:16" ht="15">
      <c r="A533" s="1766">
        <v>16</v>
      </c>
      <c r="B533" s="1769" t="s">
        <v>1282</v>
      </c>
      <c r="C533" s="613" t="s">
        <v>1267</v>
      </c>
      <c r="P533" s="611">
        <v>114476.10400000002</v>
      </c>
    </row>
    <row r="534" spans="1:16">
      <c r="A534" s="1767"/>
      <c r="B534" s="1770"/>
      <c r="C534" s="610" t="s">
        <v>1197</v>
      </c>
    </row>
    <row r="535" spans="1:16" ht="15">
      <c r="A535" s="1767"/>
      <c r="B535" s="1770"/>
      <c r="C535" s="610" t="s">
        <v>1198</v>
      </c>
      <c r="P535" s="611">
        <v>0</v>
      </c>
    </row>
    <row r="536" spans="1:16" ht="15">
      <c r="A536" s="1768"/>
      <c r="B536" s="1771"/>
      <c r="C536" s="610" t="s">
        <v>1199</v>
      </c>
      <c r="P536" s="611">
        <v>23734.367000000002</v>
      </c>
    </row>
    <row r="537" spans="1:16" ht="15">
      <c r="A537" s="1766">
        <v>17</v>
      </c>
      <c r="B537" s="1769" t="s">
        <v>1283</v>
      </c>
      <c r="C537" s="613" t="s">
        <v>1267</v>
      </c>
      <c r="P537" s="611">
        <v>69057.850000000006</v>
      </c>
    </row>
    <row r="538" spans="1:16">
      <c r="A538" s="1767"/>
      <c r="B538" s="1770"/>
      <c r="C538" s="610" t="s">
        <v>1197</v>
      </c>
    </row>
    <row r="539" spans="1:16" ht="15">
      <c r="A539" s="1767"/>
      <c r="B539" s="1770"/>
      <c r="C539" s="610" t="s">
        <v>1198</v>
      </c>
      <c r="P539" s="611">
        <v>0</v>
      </c>
    </row>
    <row r="540" spans="1:16" ht="15">
      <c r="A540" s="1768"/>
      <c r="B540" s="1771"/>
      <c r="C540" s="610" t="s">
        <v>1199</v>
      </c>
      <c r="P540" s="611">
        <v>10807.396000000001</v>
      </c>
    </row>
    <row r="541" spans="1:16" ht="15">
      <c r="A541" s="1766">
        <v>18</v>
      </c>
      <c r="B541" s="1769" t="s">
        <v>1284</v>
      </c>
      <c r="C541" s="613" t="s">
        <v>1267</v>
      </c>
      <c r="P541" s="611">
        <v>32471.084000000003</v>
      </c>
    </row>
    <row r="542" spans="1:16">
      <c r="A542" s="1767"/>
      <c r="B542" s="1770"/>
      <c r="C542" s="610" t="s">
        <v>1197</v>
      </c>
    </row>
    <row r="543" spans="1:16" ht="15">
      <c r="A543" s="1767"/>
      <c r="B543" s="1770"/>
      <c r="C543" s="610" t="s">
        <v>1198</v>
      </c>
      <c r="P543" s="611">
        <v>0</v>
      </c>
    </row>
    <row r="544" spans="1:16" ht="15">
      <c r="A544" s="1768"/>
      <c r="B544" s="1771"/>
      <c r="C544" s="610" t="s">
        <v>1199</v>
      </c>
      <c r="P544" s="611">
        <v>4886.7629999999999</v>
      </c>
    </row>
    <row r="545" spans="1:16" ht="15">
      <c r="A545" s="1766">
        <v>19</v>
      </c>
      <c r="B545" s="1769" t="s">
        <v>1285</v>
      </c>
      <c r="C545" s="613" t="s">
        <v>1267</v>
      </c>
      <c r="P545" s="611">
        <v>188472.68599999999</v>
      </c>
    </row>
    <row r="546" spans="1:16">
      <c r="A546" s="1767"/>
      <c r="B546" s="1770"/>
      <c r="C546" s="610" t="s">
        <v>1197</v>
      </c>
    </row>
    <row r="547" spans="1:16" ht="15">
      <c r="A547" s="1767"/>
      <c r="B547" s="1770"/>
      <c r="C547" s="610" t="s">
        <v>1198</v>
      </c>
      <c r="P547" s="611">
        <v>0</v>
      </c>
    </row>
    <row r="548" spans="1:16" ht="15">
      <c r="A548" s="1768"/>
      <c r="B548" s="1771"/>
      <c r="C548" s="610" t="s">
        <v>1199</v>
      </c>
      <c r="P548" s="611">
        <v>2093.3580000000002</v>
      </c>
    </row>
    <row r="549" spans="1:16" ht="15">
      <c r="A549" s="1766">
        <v>20</v>
      </c>
      <c r="B549" s="1769" t="s">
        <v>1286</v>
      </c>
      <c r="C549" s="613" t="s">
        <v>1267</v>
      </c>
      <c r="P549" s="611">
        <v>108674.13400000001</v>
      </c>
    </row>
    <row r="550" spans="1:16">
      <c r="A550" s="1767"/>
      <c r="B550" s="1770"/>
      <c r="C550" s="610" t="s">
        <v>1197</v>
      </c>
    </row>
    <row r="551" spans="1:16" ht="15">
      <c r="A551" s="1767"/>
      <c r="B551" s="1770"/>
      <c r="C551" s="610" t="s">
        <v>1198</v>
      </c>
      <c r="P551" s="611">
        <v>0</v>
      </c>
    </row>
    <row r="552" spans="1:16" ht="15">
      <c r="A552" s="1768"/>
      <c r="B552" s="1771"/>
      <c r="C552" s="610" t="s">
        <v>1199</v>
      </c>
      <c r="P552" s="611">
        <v>15711.515000000003</v>
      </c>
    </row>
    <row r="553" spans="1:16" ht="15">
      <c r="A553" s="1766">
        <v>21</v>
      </c>
      <c r="B553" s="1769" t="s">
        <v>1287</v>
      </c>
      <c r="C553" s="613" t="s">
        <v>1267</v>
      </c>
      <c r="P553" s="611">
        <v>154325.17700000003</v>
      </c>
    </row>
    <row r="554" spans="1:16">
      <c r="A554" s="1767"/>
      <c r="B554" s="1770"/>
      <c r="C554" s="610" t="s">
        <v>1197</v>
      </c>
    </row>
    <row r="555" spans="1:16" ht="15">
      <c r="A555" s="1767"/>
      <c r="B555" s="1770"/>
      <c r="C555" s="610" t="s">
        <v>1198</v>
      </c>
      <c r="P555" s="611">
        <v>0</v>
      </c>
    </row>
    <row r="556" spans="1:16" ht="15">
      <c r="A556" s="1768"/>
      <c r="B556" s="1771"/>
      <c r="C556" s="610" t="s">
        <v>1199</v>
      </c>
      <c r="P556" s="611">
        <v>19896.254000000001</v>
      </c>
    </row>
    <row r="557" spans="1:16" ht="15">
      <c r="A557" s="1766">
        <v>22</v>
      </c>
      <c r="B557" s="1769" t="s">
        <v>1288</v>
      </c>
      <c r="C557" s="613" t="s">
        <v>1267</v>
      </c>
      <c r="P557" s="611">
        <v>165194.742</v>
      </c>
    </row>
    <row r="558" spans="1:16">
      <c r="A558" s="1767"/>
      <c r="B558" s="1770"/>
      <c r="C558" s="610" t="s">
        <v>1197</v>
      </c>
    </row>
    <row r="559" spans="1:16" ht="15">
      <c r="A559" s="1767"/>
      <c r="B559" s="1770"/>
      <c r="C559" s="610" t="s">
        <v>1198</v>
      </c>
      <c r="P559" s="611">
        <v>0</v>
      </c>
    </row>
    <row r="560" spans="1:16" ht="15">
      <c r="A560" s="1768"/>
      <c r="B560" s="1771"/>
      <c r="C560" s="610" t="s">
        <v>1199</v>
      </c>
      <c r="P560" s="611">
        <v>20320.974999999999</v>
      </c>
    </row>
    <row r="561" spans="1:16" ht="15">
      <c r="A561" s="1766">
        <v>23</v>
      </c>
      <c r="B561" s="1769" t="s">
        <v>1289</v>
      </c>
      <c r="C561" s="613" t="s">
        <v>1267</v>
      </c>
      <c r="P561" s="611">
        <v>152197.848</v>
      </c>
    </row>
    <row r="562" spans="1:16">
      <c r="A562" s="1767"/>
      <c r="B562" s="1770"/>
      <c r="C562" s="610" t="s">
        <v>1197</v>
      </c>
    </row>
    <row r="563" spans="1:16" ht="15">
      <c r="A563" s="1767"/>
      <c r="B563" s="1770"/>
      <c r="C563" s="610" t="s">
        <v>1198</v>
      </c>
      <c r="P563" s="611">
        <v>0</v>
      </c>
    </row>
    <row r="564" spans="1:16" ht="15">
      <c r="A564" s="1768"/>
      <c r="B564" s="1771"/>
      <c r="C564" s="610" t="s">
        <v>1199</v>
      </c>
      <c r="P564" s="611">
        <v>3464.7060000000001</v>
      </c>
    </row>
    <row r="565" spans="1:16" ht="15">
      <c r="A565" s="1766">
        <v>24</v>
      </c>
      <c r="B565" s="1769" t="s">
        <v>1290</v>
      </c>
      <c r="C565" s="613" t="s">
        <v>1267</v>
      </c>
      <c r="P565" s="611">
        <v>94723.883999999991</v>
      </c>
    </row>
    <row r="566" spans="1:16">
      <c r="A566" s="1767"/>
      <c r="B566" s="1770"/>
      <c r="C566" s="610" t="s">
        <v>1197</v>
      </c>
    </row>
    <row r="567" spans="1:16" ht="15">
      <c r="A567" s="1767"/>
      <c r="B567" s="1770"/>
      <c r="C567" s="610" t="s">
        <v>1198</v>
      </c>
      <c r="P567" s="611">
        <v>0</v>
      </c>
    </row>
    <row r="568" spans="1:16" ht="15">
      <c r="A568" s="1768"/>
      <c r="B568" s="1771"/>
      <c r="C568" s="610" t="s">
        <v>1199</v>
      </c>
      <c r="P568" s="611">
        <v>10894.484</v>
      </c>
    </row>
    <row r="569" spans="1:16" ht="15">
      <c r="A569" s="1766">
        <v>25</v>
      </c>
      <c r="B569" s="1769" t="s">
        <v>1291</v>
      </c>
      <c r="C569" s="613" t="s">
        <v>1267</v>
      </c>
      <c r="P569" s="611">
        <v>26143.79</v>
      </c>
    </row>
    <row r="570" spans="1:16">
      <c r="A570" s="1767"/>
      <c r="B570" s="1770"/>
      <c r="C570" s="610" t="s">
        <v>1197</v>
      </c>
    </row>
    <row r="571" spans="1:16" ht="15">
      <c r="A571" s="1767"/>
      <c r="B571" s="1770"/>
      <c r="C571" s="610" t="s">
        <v>1198</v>
      </c>
      <c r="P571" s="611">
        <v>0</v>
      </c>
    </row>
    <row r="572" spans="1:16" ht="15">
      <c r="A572" s="1768"/>
      <c r="B572" s="1771"/>
      <c r="C572" s="610" t="s">
        <v>1199</v>
      </c>
      <c r="P572" s="611">
        <v>0</v>
      </c>
    </row>
    <row r="573" spans="1:16" ht="15">
      <c r="A573" s="1766">
        <v>26</v>
      </c>
      <c r="B573" s="1769" t="s">
        <v>1292</v>
      </c>
      <c r="C573" s="613" t="s">
        <v>1267</v>
      </c>
      <c r="P573" s="611">
        <v>216324.52499999999</v>
      </c>
    </row>
    <row r="574" spans="1:16">
      <c r="A574" s="1767"/>
      <c r="B574" s="1770"/>
      <c r="C574" s="610" t="s">
        <v>1197</v>
      </c>
    </row>
    <row r="575" spans="1:16" ht="15">
      <c r="A575" s="1767"/>
      <c r="B575" s="1770"/>
      <c r="C575" s="610" t="s">
        <v>1198</v>
      </c>
      <c r="P575" s="611">
        <v>0</v>
      </c>
    </row>
    <row r="576" spans="1:16" ht="15">
      <c r="A576" s="1768"/>
      <c r="B576" s="1771"/>
      <c r="C576" s="610" t="s">
        <v>1199</v>
      </c>
      <c r="P576" s="611">
        <v>193837.26699999999</v>
      </c>
    </row>
    <row r="577" spans="1:16" ht="15">
      <c r="A577" s="1766">
        <v>27</v>
      </c>
      <c r="B577" s="1769" t="s">
        <v>1293</v>
      </c>
      <c r="C577" s="613" t="s">
        <v>1267</v>
      </c>
      <c r="P577" s="611">
        <v>21302.173000000003</v>
      </c>
    </row>
    <row r="578" spans="1:16" ht="15">
      <c r="A578" s="1767"/>
      <c r="B578" s="1770"/>
      <c r="C578" s="610" t="s">
        <v>1197</v>
      </c>
      <c r="P578" s="611">
        <v>0</v>
      </c>
    </row>
    <row r="579" spans="1:16" ht="15">
      <c r="A579" s="1767"/>
      <c r="B579" s="1770"/>
      <c r="C579" s="610" t="s">
        <v>1198</v>
      </c>
      <c r="P579" s="611">
        <v>0</v>
      </c>
    </row>
    <row r="580" spans="1:16" ht="15">
      <c r="A580" s="1768"/>
      <c r="B580" s="1771"/>
      <c r="C580" s="610" t="s">
        <v>1199</v>
      </c>
      <c r="P580" s="611">
        <v>21302.173000000003</v>
      </c>
    </row>
    <row r="581" spans="1:16" ht="15">
      <c r="A581" s="1766">
        <v>28</v>
      </c>
      <c r="B581" s="1769" t="s">
        <v>1294</v>
      </c>
      <c r="C581" s="613" t="s">
        <v>1267</v>
      </c>
      <c r="P581" s="611">
        <v>14829.468000000001</v>
      </c>
    </row>
    <row r="582" spans="1:16" ht="15">
      <c r="A582" s="1767"/>
      <c r="B582" s="1770"/>
      <c r="C582" s="610" t="s">
        <v>1197</v>
      </c>
      <c r="P582" s="611">
        <v>0</v>
      </c>
    </row>
    <row r="583" spans="1:16" ht="15">
      <c r="A583" s="1767"/>
      <c r="B583" s="1770"/>
      <c r="C583" s="610" t="s">
        <v>1198</v>
      </c>
      <c r="P583" s="611">
        <v>0</v>
      </c>
    </row>
    <row r="584" spans="1:16" ht="15">
      <c r="A584" s="1768"/>
      <c r="B584" s="1771"/>
      <c r="C584" s="610" t="s">
        <v>1199</v>
      </c>
      <c r="P584" s="611">
        <v>14829.468000000001</v>
      </c>
    </row>
    <row r="585" spans="1:16" ht="15">
      <c r="A585" s="1766">
        <v>29</v>
      </c>
      <c r="B585" s="1769" t="s">
        <v>1295</v>
      </c>
      <c r="C585" s="613" t="s">
        <v>1267</v>
      </c>
      <c r="P585" s="611">
        <v>14614.169999999998</v>
      </c>
    </row>
    <row r="586" spans="1:16" ht="15">
      <c r="A586" s="1767"/>
      <c r="B586" s="1770"/>
      <c r="C586" s="610" t="s">
        <v>1197</v>
      </c>
      <c r="P586" s="611">
        <v>0</v>
      </c>
    </row>
    <row r="587" spans="1:16" ht="15">
      <c r="A587" s="1767"/>
      <c r="B587" s="1770"/>
      <c r="C587" s="610" t="s">
        <v>1198</v>
      </c>
      <c r="P587" s="611">
        <v>0</v>
      </c>
    </row>
    <row r="588" spans="1:16" ht="15">
      <c r="A588" s="1768"/>
      <c r="B588" s="1771"/>
      <c r="C588" s="610" t="s">
        <v>1199</v>
      </c>
      <c r="P588" s="611">
        <v>14614.169999999998</v>
      </c>
    </row>
    <row r="589" spans="1:16" ht="15">
      <c r="A589" s="1766">
        <v>30</v>
      </c>
      <c r="B589" s="1769" t="s">
        <v>1296</v>
      </c>
      <c r="C589" s="613" t="s">
        <v>1267</v>
      </c>
      <c r="P589" s="611">
        <v>30347.521000000004</v>
      </c>
    </row>
    <row r="590" spans="1:16" ht="15">
      <c r="A590" s="1767"/>
      <c r="B590" s="1770"/>
      <c r="C590" s="610" t="s">
        <v>1197</v>
      </c>
      <c r="P590" s="611">
        <v>0</v>
      </c>
    </row>
    <row r="591" spans="1:16" ht="15">
      <c r="A591" s="1767"/>
      <c r="B591" s="1770"/>
      <c r="C591" s="610" t="s">
        <v>1198</v>
      </c>
      <c r="P591" s="611">
        <v>0</v>
      </c>
    </row>
    <row r="592" spans="1:16" ht="15">
      <c r="A592" s="1768"/>
      <c r="B592" s="1771"/>
      <c r="C592" s="610" t="s">
        <v>1199</v>
      </c>
      <c r="P592" s="611">
        <v>30347.521000000004</v>
      </c>
    </row>
    <row r="593" spans="1:16" ht="15">
      <c r="A593" s="1766">
        <v>31</v>
      </c>
      <c r="B593" s="1769" t="s">
        <v>1297</v>
      </c>
      <c r="C593" s="613" t="s">
        <v>1267</v>
      </c>
      <c r="P593" s="611">
        <v>21681.343999999997</v>
      </c>
    </row>
    <row r="594" spans="1:16" ht="15">
      <c r="A594" s="1767"/>
      <c r="B594" s="1770"/>
      <c r="C594" s="610" t="s">
        <v>1197</v>
      </c>
      <c r="P594" s="611">
        <v>0</v>
      </c>
    </row>
    <row r="595" spans="1:16" ht="15">
      <c r="A595" s="1767"/>
      <c r="B595" s="1770"/>
      <c r="C595" s="610" t="s">
        <v>1198</v>
      </c>
      <c r="P595" s="611">
        <v>0</v>
      </c>
    </row>
    <row r="596" spans="1:16" ht="15">
      <c r="A596" s="1768"/>
      <c r="B596" s="1771"/>
      <c r="C596" s="610" t="s">
        <v>1199</v>
      </c>
      <c r="P596" s="611">
        <v>21681.343999999997</v>
      </c>
    </row>
    <row r="597" spans="1:16" ht="15">
      <c r="A597" s="1766">
        <v>32</v>
      </c>
      <c r="B597" s="1769" t="s">
        <v>1298</v>
      </c>
      <c r="C597" s="613" t="s">
        <v>1267</v>
      </c>
      <c r="P597" s="611">
        <v>30614.899000000001</v>
      </c>
    </row>
    <row r="598" spans="1:16" ht="15">
      <c r="A598" s="1767"/>
      <c r="B598" s="1770"/>
      <c r="C598" s="610" t="s">
        <v>1197</v>
      </c>
      <c r="P598" s="611">
        <v>0</v>
      </c>
    </row>
    <row r="599" spans="1:16" ht="15">
      <c r="A599" s="1767"/>
      <c r="B599" s="1770"/>
      <c r="C599" s="610" t="s">
        <v>1198</v>
      </c>
      <c r="P599" s="611">
        <v>0</v>
      </c>
    </row>
    <row r="600" spans="1:16" ht="15">
      <c r="A600" s="1768"/>
      <c r="B600" s="1771"/>
      <c r="C600" s="610" t="s">
        <v>1199</v>
      </c>
      <c r="P600" s="611">
        <v>30614.899000000001</v>
      </c>
    </row>
    <row r="601" spans="1:16" ht="15">
      <c r="A601" s="1766">
        <v>33</v>
      </c>
      <c r="B601" s="1769" t="s">
        <v>1299</v>
      </c>
      <c r="C601" s="613" t="s">
        <v>1267</v>
      </c>
      <c r="P601" s="611">
        <v>2306.7860000000001</v>
      </c>
    </row>
    <row r="602" spans="1:16" ht="15">
      <c r="A602" s="1767"/>
      <c r="B602" s="1770"/>
      <c r="C602" s="610" t="s">
        <v>1197</v>
      </c>
      <c r="P602" s="611">
        <v>0</v>
      </c>
    </row>
    <row r="603" spans="1:16" ht="15">
      <c r="A603" s="1767"/>
      <c r="B603" s="1770"/>
      <c r="C603" s="610" t="s">
        <v>1198</v>
      </c>
      <c r="P603" s="611">
        <v>0</v>
      </c>
    </row>
    <row r="604" spans="1:16" ht="15">
      <c r="A604" s="1768"/>
      <c r="B604" s="1771"/>
      <c r="C604" s="610" t="s">
        <v>1199</v>
      </c>
      <c r="P604" s="611">
        <v>2306.7860000000001</v>
      </c>
    </row>
    <row r="605" spans="1:16" ht="15">
      <c r="A605" s="1766">
        <v>34</v>
      </c>
      <c r="B605" s="1769" t="s">
        <v>1300</v>
      </c>
      <c r="C605" s="613" t="s">
        <v>1267</v>
      </c>
      <c r="P605" s="611">
        <v>15970.638000000001</v>
      </c>
    </row>
    <row r="606" spans="1:16" ht="15">
      <c r="A606" s="1767"/>
      <c r="B606" s="1770"/>
      <c r="C606" s="610" t="s">
        <v>1197</v>
      </c>
      <c r="P606" s="611">
        <v>0</v>
      </c>
    </row>
    <row r="607" spans="1:16" ht="15">
      <c r="A607" s="1767"/>
      <c r="B607" s="1770"/>
      <c r="C607" s="610" t="s">
        <v>1198</v>
      </c>
      <c r="P607" s="611">
        <v>0</v>
      </c>
    </row>
    <row r="608" spans="1:16" ht="15">
      <c r="A608" s="1768"/>
      <c r="B608" s="1771"/>
      <c r="C608" s="610" t="s">
        <v>1199</v>
      </c>
      <c r="P608" s="611">
        <v>15970.638000000001</v>
      </c>
    </row>
    <row r="609" spans="1:16" ht="15">
      <c r="A609" s="1766">
        <v>35</v>
      </c>
      <c r="B609" s="1772" t="s">
        <v>1301</v>
      </c>
      <c r="C609" s="613" t="s">
        <v>1267</v>
      </c>
      <c r="P609" s="611">
        <v>10753.324999999999</v>
      </c>
    </row>
    <row r="610" spans="1:16" ht="15">
      <c r="A610" s="1767"/>
      <c r="B610" s="1773"/>
      <c r="C610" s="610" t="s">
        <v>1197</v>
      </c>
      <c r="P610" s="611">
        <v>0</v>
      </c>
    </row>
    <row r="611" spans="1:16" ht="15">
      <c r="A611" s="1767"/>
      <c r="B611" s="1773"/>
      <c r="C611" s="610" t="s">
        <v>1198</v>
      </c>
      <c r="P611" s="611">
        <v>0</v>
      </c>
    </row>
    <row r="612" spans="1:16" ht="15">
      <c r="A612" s="1768"/>
      <c r="B612" s="1774"/>
      <c r="C612" s="610" t="s">
        <v>1199</v>
      </c>
      <c r="P612" s="611">
        <v>10753.324999999999</v>
      </c>
    </row>
    <row r="613" spans="1:16" ht="15">
      <c r="A613" s="1766">
        <v>36</v>
      </c>
      <c r="B613" s="1769" t="s">
        <v>1302</v>
      </c>
      <c r="C613" s="613" t="s">
        <v>1267</v>
      </c>
      <c r="P613" s="611">
        <v>17110.386999999999</v>
      </c>
    </row>
    <row r="614" spans="1:16" ht="15">
      <c r="A614" s="1767"/>
      <c r="B614" s="1770"/>
      <c r="C614" s="610" t="s">
        <v>1197</v>
      </c>
      <c r="P614" s="611">
        <v>0</v>
      </c>
    </row>
    <row r="615" spans="1:16" ht="15">
      <c r="A615" s="1767"/>
      <c r="B615" s="1770"/>
      <c r="C615" s="610" t="s">
        <v>1198</v>
      </c>
      <c r="P615" s="611">
        <v>0</v>
      </c>
    </row>
    <row r="616" spans="1:16" ht="15">
      <c r="A616" s="1768"/>
      <c r="B616" s="1771"/>
      <c r="C616" s="610" t="s">
        <v>1199</v>
      </c>
      <c r="P616" s="611">
        <v>17110.386999999999</v>
      </c>
    </row>
    <row r="617" spans="1:16" ht="15">
      <c r="A617" s="1766">
        <v>37</v>
      </c>
      <c r="B617" s="1769" t="s">
        <v>1303</v>
      </c>
      <c r="C617" s="613" t="s">
        <v>1267</v>
      </c>
      <c r="P617" s="611">
        <v>8189.3389999999999</v>
      </c>
    </row>
    <row r="618" spans="1:16" ht="15">
      <c r="A618" s="1767"/>
      <c r="B618" s="1770"/>
      <c r="C618" s="610" t="s">
        <v>1197</v>
      </c>
      <c r="P618" s="611">
        <v>0</v>
      </c>
    </row>
    <row r="619" spans="1:16" ht="15">
      <c r="A619" s="1767"/>
      <c r="B619" s="1770"/>
      <c r="C619" s="610" t="s">
        <v>1198</v>
      </c>
      <c r="P619" s="611">
        <v>0</v>
      </c>
    </row>
    <row r="620" spans="1:16" ht="15">
      <c r="A620" s="1768"/>
      <c r="B620" s="1771"/>
      <c r="C620" s="610" t="s">
        <v>1199</v>
      </c>
      <c r="P620" s="611">
        <v>8189.3389999999999</v>
      </c>
    </row>
    <row r="621" spans="1:16" ht="15">
      <c r="A621" s="1766">
        <v>38</v>
      </c>
      <c r="B621" s="1769" t="s">
        <v>1304</v>
      </c>
      <c r="C621" s="613" t="s">
        <v>1267</v>
      </c>
      <c r="P621" s="611">
        <v>575.61999999999989</v>
      </c>
    </row>
    <row r="622" spans="1:16">
      <c r="A622" s="1767"/>
      <c r="B622" s="1770"/>
      <c r="C622" s="610" t="s">
        <v>1197</v>
      </c>
    </row>
    <row r="623" spans="1:16" ht="15">
      <c r="A623" s="1767"/>
      <c r="B623" s="1770"/>
      <c r="C623" s="610" t="s">
        <v>1198</v>
      </c>
      <c r="P623" s="611">
        <v>0</v>
      </c>
    </row>
    <row r="624" spans="1:16" ht="15">
      <c r="A624" s="1768"/>
      <c r="B624" s="1771"/>
      <c r="C624" s="610" t="s">
        <v>1199</v>
      </c>
      <c r="P624" s="611">
        <v>0</v>
      </c>
    </row>
    <row r="625" spans="1:111" ht="15">
      <c r="A625" s="1766">
        <v>39</v>
      </c>
      <c r="B625" s="1769" t="s">
        <v>1305</v>
      </c>
      <c r="C625" s="613" t="s">
        <v>1267</v>
      </c>
      <c r="P625" s="611">
        <v>1921.752</v>
      </c>
    </row>
    <row r="626" spans="1:111">
      <c r="A626" s="1767"/>
      <c r="B626" s="1770"/>
      <c r="C626" s="610" t="s">
        <v>1197</v>
      </c>
    </row>
    <row r="627" spans="1:111" ht="15">
      <c r="A627" s="1767"/>
      <c r="B627" s="1770"/>
      <c r="C627" s="610" t="s">
        <v>1198</v>
      </c>
      <c r="P627" s="611">
        <v>0</v>
      </c>
    </row>
    <row r="628" spans="1:111" ht="15">
      <c r="A628" s="1768"/>
      <c r="B628" s="1771"/>
      <c r="C628" s="610" t="s">
        <v>1199</v>
      </c>
      <c r="P628" s="611">
        <v>0</v>
      </c>
    </row>
    <row r="629" spans="1:111">
      <c r="A629" s="1735" t="s">
        <v>1199</v>
      </c>
      <c r="B629" s="1735"/>
      <c r="C629" s="1735"/>
      <c r="D629" s="1735"/>
      <c r="E629" s="1735"/>
      <c r="F629" s="1735"/>
      <c r="G629" s="1735"/>
      <c r="H629" s="1735"/>
      <c r="I629" s="1735"/>
      <c r="J629" s="1735"/>
      <c r="K629" s="1735"/>
      <c r="L629" s="1735"/>
      <c r="M629" s="1735"/>
      <c r="N629" s="1735"/>
      <c r="O629" s="1735"/>
      <c r="P629" s="1735"/>
      <c r="AL629" s="561">
        <f>SUM(AL630:AL787)</f>
        <v>308687.99300000002</v>
      </c>
      <c r="AY629" s="561">
        <f>SUM(AY630:AY787)</f>
        <v>6459.049</v>
      </c>
      <c r="BU629" s="561">
        <f>SUM(BU633:BU787)</f>
        <v>14614.169999999998</v>
      </c>
      <c r="BV629" s="561">
        <f t="shared" ref="BV629:DG629" si="85">SUM(BV633:BV787)</f>
        <v>0</v>
      </c>
      <c r="BW629" s="561">
        <f t="shared" si="85"/>
        <v>0</v>
      </c>
      <c r="BX629" s="561">
        <f t="shared" si="85"/>
        <v>193837.26699999999</v>
      </c>
      <c r="BY629" s="561">
        <f t="shared" si="85"/>
        <v>0</v>
      </c>
      <c r="BZ629" s="561">
        <f t="shared" si="85"/>
        <v>97094.061000000016</v>
      </c>
      <c r="CA629" s="561">
        <f t="shared" si="85"/>
        <v>0</v>
      </c>
      <c r="CB629" s="561">
        <f t="shared" si="85"/>
        <v>0</v>
      </c>
      <c r="CC629" s="561">
        <f t="shared" si="85"/>
        <v>0</v>
      </c>
      <c r="CD629" s="561">
        <f t="shared" si="85"/>
        <v>0</v>
      </c>
      <c r="CE629" s="561">
        <f t="shared" si="85"/>
        <v>0</v>
      </c>
      <c r="CF629" s="561">
        <f t="shared" si="85"/>
        <v>0</v>
      </c>
      <c r="CG629" s="561">
        <f t="shared" si="85"/>
        <v>0</v>
      </c>
      <c r="CH629" s="561">
        <f t="shared" si="85"/>
        <v>0</v>
      </c>
      <c r="CI629" s="561">
        <f t="shared" si="85"/>
        <v>0</v>
      </c>
      <c r="CJ629" s="561">
        <f t="shared" si="85"/>
        <v>0</v>
      </c>
      <c r="CK629" s="561">
        <f t="shared" si="85"/>
        <v>0</v>
      </c>
      <c r="CL629" s="561">
        <f t="shared" si="85"/>
        <v>0</v>
      </c>
      <c r="CM629" s="561">
        <f t="shared" si="85"/>
        <v>0</v>
      </c>
      <c r="CN629" s="561">
        <f t="shared" si="85"/>
        <v>0</v>
      </c>
      <c r="CO629" s="561">
        <f t="shared" si="85"/>
        <v>0</v>
      </c>
      <c r="CP629" s="561">
        <f t="shared" si="85"/>
        <v>0</v>
      </c>
      <c r="CQ629" s="561">
        <f t="shared" si="85"/>
        <v>0</v>
      </c>
      <c r="CR629" s="561">
        <f t="shared" si="85"/>
        <v>0</v>
      </c>
      <c r="CS629" s="561">
        <f t="shared" si="85"/>
        <v>0</v>
      </c>
      <c r="CT629" s="561">
        <f t="shared" si="85"/>
        <v>0</v>
      </c>
      <c r="CU629" s="561">
        <f t="shared" si="85"/>
        <v>0</v>
      </c>
      <c r="CV629" s="561">
        <f t="shared" si="85"/>
        <v>0</v>
      </c>
      <c r="CW629" s="561">
        <f t="shared" si="85"/>
        <v>0</v>
      </c>
      <c r="CX629" s="561">
        <f t="shared" si="85"/>
        <v>0</v>
      </c>
      <c r="CY629" s="561">
        <f t="shared" si="85"/>
        <v>0</v>
      </c>
      <c r="CZ629" s="561">
        <f t="shared" si="85"/>
        <v>0</v>
      </c>
      <c r="DA629" s="561">
        <f t="shared" si="85"/>
        <v>0</v>
      </c>
      <c r="DB629" s="561">
        <f t="shared" si="85"/>
        <v>2168.7139999999999</v>
      </c>
      <c r="DC629" s="561">
        <f t="shared" si="85"/>
        <v>0</v>
      </c>
      <c r="DD629" s="561">
        <f t="shared" si="85"/>
        <v>0</v>
      </c>
      <c r="DE629" s="561">
        <f t="shared" si="85"/>
        <v>0</v>
      </c>
      <c r="DF629" s="561">
        <f t="shared" si="85"/>
        <v>0</v>
      </c>
      <c r="DG629" s="561">
        <f t="shared" si="85"/>
        <v>0</v>
      </c>
    </row>
    <row r="630" spans="1:111" ht="15">
      <c r="A630" s="1766">
        <v>1</v>
      </c>
      <c r="B630" s="1766" t="s">
        <v>1266</v>
      </c>
      <c r="C630" s="613" t="s">
        <v>1267</v>
      </c>
      <c r="P630" s="611">
        <v>386767.66299999994</v>
      </c>
    </row>
    <row r="631" spans="1:111">
      <c r="A631" s="1767"/>
      <c r="B631" s="1767"/>
      <c r="C631" s="610" t="s">
        <v>1197</v>
      </c>
    </row>
    <row r="632" spans="1:111" ht="15">
      <c r="A632" s="1767"/>
      <c r="B632" s="1767"/>
      <c r="C632" s="610" t="s">
        <v>1198</v>
      </c>
      <c r="P632" s="611">
        <v>0</v>
      </c>
    </row>
    <row r="633" spans="1:111" ht="15">
      <c r="A633" s="1767"/>
      <c r="B633" s="1767"/>
      <c r="C633" s="610" t="s">
        <v>1199</v>
      </c>
      <c r="AL633" s="611">
        <v>4976.1859999999997</v>
      </c>
    </row>
    <row r="634" spans="1:111" ht="25.5">
      <c r="A634" s="631"/>
      <c r="B634" s="631"/>
      <c r="C634" s="610" t="s">
        <v>1265</v>
      </c>
      <c r="P634" s="611"/>
    </row>
    <row r="635" spans="1:111" ht="15">
      <c r="A635" s="1766">
        <v>2</v>
      </c>
      <c r="B635" s="1769" t="s">
        <v>1268</v>
      </c>
      <c r="C635" s="613" t="s">
        <v>1267</v>
      </c>
      <c r="P635" s="611">
        <v>83437.724999999977</v>
      </c>
    </row>
    <row r="636" spans="1:111">
      <c r="A636" s="1767"/>
      <c r="B636" s="1770"/>
      <c r="C636" s="610" t="s">
        <v>1197</v>
      </c>
    </row>
    <row r="637" spans="1:111" ht="15">
      <c r="A637" s="1767"/>
      <c r="B637" s="1770"/>
      <c r="C637" s="610" t="s">
        <v>1198</v>
      </c>
      <c r="P637" s="611">
        <v>0</v>
      </c>
    </row>
    <row r="638" spans="1:111" ht="15">
      <c r="A638" s="1768"/>
      <c r="B638" s="1771"/>
      <c r="C638" s="610" t="s">
        <v>1199</v>
      </c>
      <c r="AL638" s="611">
        <v>2905.45</v>
      </c>
    </row>
    <row r="639" spans="1:111" ht="15">
      <c r="A639" s="1766">
        <v>3</v>
      </c>
      <c r="B639" s="1769" t="s">
        <v>1269</v>
      </c>
      <c r="C639" s="613" t="s">
        <v>1267</v>
      </c>
      <c r="P639" s="611">
        <v>102380.63699999999</v>
      </c>
    </row>
    <row r="640" spans="1:111">
      <c r="A640" s="1767"/>
      <c r="B640" s="1770"/>
      <c r="C640" s="610" t="s">
        <v>1197</v>
      </c>
    </row>
    <row r="641" spans="1:38" ht="15">
      <c r="A641" s="1767"/>
      <c r="B641" s="1770"/>
      <c r="C641" s="610" t="s">
        <v>1198</v>
      </c>
      <c r="P641" s="611">
        <v>0</v>
      </c>
    </row>
    <row r="642" spans="1:38" ht="15">
      <c r="A642" s="1768"/>
      <c r="B642" s="1771"/>
      <c r="C642" s="610" t="s">
        <v>1199</v>
      </c>
      <c r="AL642" s="611">
        <v>13796.106</v>
      </c>
    </row>
    <row r="643" spans="1:38" ht="15">
      <c r="A643" s="1766">
        <v>4</v>
      </c>
      <c r="B643" s="1769" t="s">
        <v>1270</v>
      </c>
      <c r="C643" s="613" t="s">
        <v>1267</v>
      </c>
      <c r="P643" s="611">
        <v>1109681.3059999999</v>
      </c>
    </row>
    <row r="644" spans="1:38">
      <c r="A644" s="1767"/>
      <c r="B644" s="1770"/>
      <c r="C644" s="610" t="s">
        <v>1197</v>
      </c>
    </row>
    <row r="645" spans="1:38">
      <c r="A645" s="1767"/>
      <c r="B645" s="1770"/>
      <c r="C645" s="610" t="s">
        <v>1198</v>
      </c>
    </row>
    <row r="646" spans="1:38" ht="15">
      <c r="A646" s="1768"/>
      <c r="B646" s="1771"/>
      <c r="C646" s="610" t="s">
        <v>1199</v>
      </c>
      <c r="AL646" s="611">
        <v>101299.17300000001</v>
      </c>
    </row>
    <row r="647" spans="1:38" ht="25.5">
      <c r="A647" s="631"/>
      <c r="B647" s="632"/>
      <c r="C647" s="610" t="s">
        <v>1265</v>
      </c>
      <c r="P647" s="611"/>
    </row>
    <row r="648" spans="1:38" ht="15">
      <c r="A648" s="1766">
        <v>5</v>
      </c>
      <c r="B648" s="1769" t="s">
        <v>1271</v>
      </c>
      <c r="C648" s="613" t="s">
        <v>1267</v>
      </c>
      <c r="P648" s="611">
        <v>451071.73100000009</v>
      </c>
    </row>
    <row r="649" spans="1:38">
      <c r="A649" s="1767"/>
      <c r="B649" s="1770"/>
      <c r="C649" s="610" t="s">
        <v>1197</v>
      </c>
    </row>
    <row r="650" spans="1:38">
      <c r="A650" s="1767"/>
      <c r="B650" s="1770"/>
      <c r="C650" s="610" t="s">
        <v>1198</v>
      </c>
    </row>
    <row r="651" spans="1:38" ht="15">
      <c r="A651" s="1768"/>
      <c r="B651" s="1771"/>
      <c r="C651" s="610" t="s">
        <v>1199</v>
      </c>
      <c r="P651" s="611">
        <v>0</v>
      </c>
    </row>
    <row r="652" spans="1:38" ht="15">
      <c r="A652" s="1766">
        <v>6</v>
      </c>
      <c r="B652" s="1769" t="s">
        <v>1272</v>
      </c>
      <c r="C652" s="613" t="s">
        <v>1267</v>
      </c>
      <c r="P652" s="611">
        <v>690.46999999999935</v>
      </c>
    </row>
    <row r="653" spans="1:38">
      <c r="A653" s="1767"/>
      <c r="B653" s="1770"/>
      <c r="C653" s="610" t="s">
        <v>1197</v>
      </c>
    </row>
    <row r="654" spans="1:38" ht="15">
      <c r="A654" s="1767"/>
      <c r="B654" s="1770"/>
      <c r="C654" s="610" t="s">
        <v>1198</v>
      </c>
      <c r="P654" s="611">
        <v>0</v>
      </c>
    </row>
    <row r="655" spans="1:38" ht="15">
      <c r="A655" s="1768"/>
      <c r="B655" s="1771"/>
      <c r="C655" s="610" t="s">
        <v>1199</v>
      </c>
      <c r="P655" s="611">
        <v>0</v>
      </c>
    </row>
    <row r="656" spans="1:38" ht="15">
      <c r="A656" s="1766">
        <v>7</v>
      </c>
      <c r="B656" s="1769" t="s">
        <v>1273</v>
      </c>
      <c r="C656" s="613" t="s">
        <v>1267</v>
      </c>
      <c r="P656" s="611">
        <v>2124.7930000000006</v>
      </c>
    </row>
    <row r="657" spans="1:106">
      <c r="A657" s="1767"/>
      <c r="B657" s="1770"/>
      <c r="C657" s="610" t="s">
        <v>1197</v>
      </c>
    </row>
    <row r="658" spans="1:106" ht="15">
      <c r="A658" s="1767"/>
      <c r="B658" s="1770"/>
      <c r="C658" s="610" t="s">
        <v>1198</v>
      </c>
      <c r="P658" s="611">
        <v>0</v>
      </c>
    </row>
    <row r="659" spans="1:106" ht="15">
      <c r="A659" s="1768"/>
      <c r="B659" s="1771"/>
      <c r="C659" s="610" t="s">
        <v>1199</v>
      </c>
      <c r="P659" s="611">
        <v>0</v>
      </c>
    </row>
    <row r="660" spans="1:106" ht="15">
      <c r="A660" s="1766">
        <v>8</v>
      </c>
      <c r="B660" s="1769" t="s">
        <v>1274</v>
      </c>
      <c r="C660" s="613" t="s">
        <v>1267</v>
      </c>
      <c r="P660" s="611">
        <v>268864.027</v>
      </c>
    </row>
    <row r="661" spans="1:106">
      <c r="A661" s="1767"/>
      <c r="B661" s="1770"/>
      <c r="C661" s="610" t="s">
        <v>1197</v>
      </c>
    </row>
    <row r="662" spans="1:106" ht="15">
      <c r="A662" s="1767"/>
      <c r="B662" s="1770"/>
      <c r="C662" s="610" t="s">
        <v>1198</v>
      </c>
      <c r="P662" s="611">
        <v>0</v>
      </c>
    </row>
    <row r="663" spans="1:106" ht="15">
      <c r="A663" s="1768"/>
      <c r="B663" s="1771"/>
      <c r="C663" s="610" t="s">
        <v>1199</v>
      </c>
      <c r="AL663" s="611">
        <v>5673.2669999999998</v>
      </c>
    </row>
    <row r="664" spans="1:106" ht="15">
      <c r="A664" s="1766">
        <v>9</v>
      </c>
      <c r="B664" s="1769" t="s">
        <v>1275</v>
      </c>
      <c r="C664" s="613" t="s">
        <v>1267</v>
      </c>
      <c r="P664" s="611">
        <v>1289685.2439999999</v>
      </c>
    </row>
    <row r="665" spans="1:106">
      <c r="A665" s="1767"/>
      <c r="B665" s="1770"/>
      <c r="C665" s="610" t="s">
        <v>1197</v>
      </c>
    </row>
    <row r="666" spans="1:106">
      <c r="A666" s="1767"/>
      <c r="B666" s="1770"/>
      <c r="C666" s="610" t="s">
        <v>1198</v>
      </c>
    </row>
    <row r="667" spans="1:106" ht="15">
      <c r="A667" s="1768"/>
      <c r="B667" s="1771"/>
      <c r="C667" s="610" t="s">
        <v>1199</v>
      </c>
      <c r="DB667" s="611">
        <v>2168.7139999999999</v>
      </c>
    </row>
    <row r="668" spans="1:106" ht="15">
      <c r="A668" s="1766">
        <v>10</v>
      </c>
      <c r="B668" s="1769" t="s">
        <v>1276</v>
      </c>
      <c r="C668" s="613" t="s">
        <v>1267</v>
      </c>
      <c r="P668" s="611">
        <v>56816.906000000003</v>
      </c>
    </row>
    <row r="669" spans="1:106">
      <c r="A669" s="1767"/>
      <c r="B669" s="1770"/>
      <c r="C669" s="610" t="s">
        <v>1197</v>
      </c>
    </row>
    <row r="670" spans="1:106" ht="15">
      <c r="A670" s="1767"/>
      <c r="B670" s="1770"/>
      <c r="C670" s="610" t="s">
        <v>1198</v>
      </c>
      <c r="P670" s="611">
        <v>0</v>
      </c>
    </row>
    <row r="671" spans="1:106" ht="15">
      <c r="A671" s="1768"/>
      <c r="B671" s="1771"/>
      <c r="C671" s="610" t="s">
        <v>1199</v>
      </c>
      <c r="AY671" s="611">
        <v>6459.049</v>
      </c>
    </row>
    <row r="672" spans="1:106" ht="15">
      <c r="A672" s="1766">
        <v>11</v>
      </c>
      <c r="B672" s="1769" t="s">
        <v>1277</v>
      </c>
      <c r="C672" s="613" t="s">
        <v>1267</v>
      </c>
      <c r="P672" s="611">
        <v>212422.31900000002</v>
      </c>
    </row>
    <row r="673" spans="1:38">
      <c r="A673" s="1767"/>
      <c r="B673" s="1770"/>
      <c r="C673" s="610" t="s">
        <v>1197</v>
      </c>
    </row>
    <row r="674" spans="1:38" ht="15">
      <c r="A674" s="1767"/>
      <c r="B674" s="1770"/>
      <c r="C674" s="610" t="s">
        <v>1198</v>
      </c>
      <c r="P674" s="611">
        <v>0</v>
      </c>
    </row>
    <row r="675" spans="1:38" ht="15">
      <c r="A675" s="1768"/>
      <c r="B675" s="1771"/>
      <c r="C675" s="610" t="s">
        <v>1199</v>
      </c>
      <c r="P675" s="611">
        <v>0</v>
      </c>
    </row>
    <row r="676" spans="1:38" ht="15">
      <c r="A676" s="1766">
        <v>12</v>
      </c>
      <c r="B676" s="1769" t="s">
        <v>1278</v>
      </c>
      <c r="C676" s="613" t="s">
        <v>1267</v>
      </c>
      <c r="P676" s="611">
        <v>147852.535</v>
      </c>
    </row>
    <row r="677" spans="1:38">
      <c r="A677" s="1767"/>
      <c r="B677" s="1770"/>
      <c r="C677" s="610" t="s">
        <v>1197</v>
      </c>
    </row>
    <row r="678" spans="1:38" ht="15">
      <c r="A678" s="1767"/>
      <c r="B678" s="1770"/>
      <c r="C678" s="610" t="s">
        <v>1198</v>
      </c>
      <c r="P678" s="611">
        <v>0</v>
      </c>
    </row>
    <row r="679" spans="1:38" ht="15">
      <c r="A679" s="1768"/>
      <c r="B679" s="1771"/>
      <c r="C679" s="610" t="s">
        <v>1199</v>
      </c>
      <c r="AL679" s="611">
        <v>14200.016</v>
      </c>
    </row>
    <row r="680" spans="1:38" ht="15">
      <c r="A680" s="1766">
        <v>13</v>
      </c>
      <c r="B680" s="1769" t="s">
        <v>1279</v>
      </c>
      <c r="C680" s="613" t="s">
        <v>1267</v>
      </c>
      <c r="P680" s="611">
        <v>136159.035</v>
      </c>
    </row>
    <row r="681" spans="1:38">
      <c r="A681" s="1767"/>
      <c r="B681" s="1770"/>
      <c r="C681" s="610" t="s">
        <v>1197</v>
      </c>
    </row>
    <row r="682" spans="1:38" ht="15">
      <c r="A682" s="1767"/>
      <c r="B682" s="1770"/>
      <c r="C682" s="610" t="s">
        <v>1198</v>
      </c>
      <c r="P682" s="611">
        <v>0</v>
      </c>
    </row>
    <row r="683" spans="1:38" ht="15">
      <c r="A683" s="1768"/>
      <c r="B683" s="1771"/>
      <c r="C683" s="610" t="s">
        <v>1199</v>
      </c>
      <c r="AL683" s="611">
        <v>16011.485999999997</v>
      </c>
    </row>
    <row r="684" spans="1:38" ht="15">
      <c r="A684" s="1766">
        <v>14</v>
      </c>
      <c r="B684" s="1769" t="s">
        <v>1280</v>
      </c>
      <c r="C684" s="613" t="s">
        <v>1267</v>
      </c>
      <c r="P684" s="611">
        <v>127939.2</v>
      </c>
    </row>
    <row r="685" spans="1:38">
      <c r="A685" s="1767"/>
      <c r="B685" s="1770"/>
      <c r="C685" s="610" t="s">
        <v>1197</v>
      </c>
    </row>
    <row r="686" spans="1:38" ht="15">
      <c r="A686" s="1767"/>
      <c r="B686" s="1770"/>
      <c r="C686" s="610" t="s">
        <v>1198</v>
      </c>
      <c r="P686" s="611">
        <v>0</v>
      </c>
    </row>
    <row r="687" spans="1:38" ht="15">
      <c r="A687" s="1768"/>
      <c r="B687" s="1771"/>
      <c r="C687" s="610" t="s">
        <v>1199</v>
      </c>
      <c r="AL687" s="611">
        <v>21440.742999999999</v>
      </c>
    </row>
    <row r="688" spans="1:38" ht="15">
      <c r="A688" s="1766">
        <v>15</v>
      </c>
      <c r="B688" s="1769" t="s">
        <v>1281</v>
      </c>
      <c r="C688" s="613" t="s">
        <v>1267</v>
      </c>
      <c r="P688" s="611">
        <v>94805.071000000011</v>
      </c>
    </row>
    <row r="689" spans="1:38">
      <c r="A689" s="1767"/>
      <c r="B689" s="1770"/>
      <c r="C689" s="610" t="s">
        <v>1197</v>
      </c>
    </row>
    <row r="690" spans="1:38" ht="15">
      <c r="A690" s="1767"/>
      <c r="B690" s="1770"/>
      <c r="C690" s="610" t="s">
        <v>1198</v>
      </c>
      <c r="P690" s="611">
        <v>0</v>
      </c>
    </row>
    <row r="691" spans="1:38" ht="15">
      <c r="A691" s="1768"/>
      <c r="B691" s="1771"/>
      <c r="C691" s="610" t="s">
        <v>1199</v>
      </c>
      <c r="AL691" s="611">
        <v>16575.748</v>
      </c>
    </row>
    <row r="692" spans="1:38" ht="15">
      <c r="A692" s="1766">
        <v>16</v>
      </c>
      <c r="B692" s="1769" t="s">
        <v>1282</v>
      </c>
      <c r="C692" s="613" t="s">
        <v>1267</v>
      </c>
      <c r="P692" s="611">
        <v>114476.10400000002</v>
      </c>
    </row>
    <row r="693" spans="1:38">
      <c r="A693" s="1767"/>
      <c r="B693" s="1770"/>
      <c r="C693" s="610" t="s">
        <v>1197</v>
      </c>
    </row>
    <row r="694" spans="1:38" ht="15">
      <c r="A694" s="1767"/>
      <c r="B694" s="1770"/>
      <c r="C694" s="610" t="s">
        <v>1198</v>
      </c>
      <c r="P694" s="611">
        <v>0</v>
      </c>
    </row>
    <row r="695" spans="1:38" ht="15">
      <c r="A695" s="1768"/>
      <c r="B695" s="1771"/>
      <c r="C695" s="610" t="s">
        <v>1199</v>
      </c>
      <c r="AL695" s="611">
        <v>23734.367000000002</v>
      </c>
    </row>
    <row r="696" spans="1:38" ht="15">
      <c r="A696" s="1766">
        <v>17</v>
      </c>
      <c r="B696" s="1769" t="s">
        <v>1283</v>
      </c>
      <c r="C696" s="613" t="s">
        <v>1267</v>
      </c>
      <c r="P696" s="611">
        <v>69057.850000000006</v>
      </c>
    </row>
    <row r="697" spans="1:38">
      <c r="A697" s="1767"/>
      <c r="B697" s="1770"/>
      <c r="C697" s="610" t="s">
        <v>1197</v>
      </c>
    </row>
    <row r="698" spans="1:38" ht="15">
      <c r="A698" s="1767"/>
      <c r="B698" s="1770"/>
      <c r="C698" s="610" t="s">
        <v>1198</v>
      </c>
      <c r="P698" s="611">
        <v>0</v>
      </c>
    </row>
    <row r="699" spans="1:38" ht="15">
      <c r="A699" s="1768"/>
      <c r="B699" s="1771"/>
      <c r="C699" s="610" t="s">
        <v>1199</v>
      </c>
      <c r="AL699" s="611">
        <v>10807.396000000001</v>
      </c>
    </row>
    <row r="700" spans="1:38" ht="15">
      <c r="A700" s="1766">
        <v>18</v>
      </c>
      <c r="B700" s="1769" t="s">
        <v>1284</v>
      </c>
      <c r="C700" s="613" t="s">
        <v>1267</v>
      </c>
      <c r="P700" s="611">
        <v>32471.084000000003</v>
      </c>
    </row>
    <row r="701" spans="1:38">
      <c r="A701" s="1767"/>
      <c r="B701" s="1770"/>
      <c r="C701" s="610" t="s">
        <v>1197</v>
      </c>
    </row>
    <row r="702" spans="1:38" ht="15">
      <c r="A702" s="1767"/>
      <c r="B702" s="1770"/>
      <c r="C702" s="610" t="s">
        <v>1198</v>
      </c>
      <c r="P702" s="611">
        <v>0</v>
      </c>
    </row>
    <row r="703" spans="1:38" ht="15">
      <c r="A703" s="1768"/>
      <c r="B703" s="1771"/>
      <c r="C703" s="610" t="s">
        <v>1199</v>
      </c>
      <c r="AL703" s="611">
        <v>4886.7629999999999</v>
      </c>
    </row>
    <row r="704" spans="1:38" ht="15">
      <c r="A704" s="1766">
        <v>19</v>
      </c>
      <c r="B704" s="1769" t="s">
        <v>1285</v>
      </c>
      <c r="C704" s="613" t="s">
        <v>1267</v>
      </c>
      <c r="P704" s="611">
        <v>188472.68599999999</v>
      </c>
    </row>
    <row r="705" spans="1:38">
      <c r="A705" s="1767"/>
      <c r="B705" s="1770"/>
      <c r="C705" s="610" t="s">
        <v>1197</v>
      </c>
    </row>
    <row r="706" spans="1:38" ht="15">
      <c r="A706" s="1767"/>
      <c r="B706" s="1770"/>
      <c r="C706" s="610" t="s">
        <v>1198</v>
      </c>
      <c r="P706" s="611">
        <v>0</v>
      </c>
    </row>
    <row r="707" spans="1:38" ht="15">
      <c r="A707" s="1768"/>
      <c r="B707" s="1771"/>
      <c r="C707" s="610" t="s">
        <v>1199</v>
      </c>
      <c r="AL707" s="611">
        <v>2093.3580000000002</v>
      </c>
    </row>
    <row r="708" spans="1:38" ht="15">
      <c r="A708" s="1766">
        <v>20</v>
      </c>
      <c r="B708" s="1769" t="s">
        <v>1286</v>
      </c>
      <c r="C708" s="613" t="s">
        <v>1267</v>
      </c>
      <c r="P708" s="611">
        <v>108674.13400000001</v>
      </c>
    </row>
    <row r="709" spans="1:38">
      <c r="A709" s="1767"/>
      <c r="B709" s="1770"/>
      <c r="C709" s="610" t="s">
        <v>1197</v>
      </c>
    </row>
    <row r="710" spans="1:38" ht="15">
      <c r="A710" s="1767"/>
      <c r="B710" s="1770"/>
      <c r="C710" s="610" t="s">
        <v>1198</v>
      </c>
      <c r="P710" s="611">
        <v>0</v>
      </c>
    </row>
    <row r="711" spans="1:38" ht="15">
      <c r="A711" s="1768"/>
      <c r="B711" s="1771"/>
      <c r="C711" s="610" t="s">
        <v>1199</v>
      </c>
      <c r="AL711" s="611">
        <v>15711.515000000003</v>
      </c>
    </row>
    <row r="712" spans="1:38" ht="15">
      <c r="A712" s="1766">
        <v>21</v>
      </c>
      <c r="B712" s="1769" t="s">
        <v>1287</v>
      </c>
      <c r="C712" s="613" t="s">
        <v>1267</v>
      </c>
      <c r="P712" s="611">
        <v>154325.17700000003</v>
      </c>
    </row>
    <row r="713" spans="1:38">
      <c r="A713" s="1767"/>
      <c r="B713" s="1770"/>
      <c r="C713" s="610" t="s">
        <v>1197</v>
      </c>
    </row>
    <row r="714" spans="1:38" ht="15">
      <c r="A714" s="1767"/>
      <c r="B714" s="1770"/>
      <c r="C714" s="610" t="s">
        <v>1198</v>
      </c>
      <c r="P714" s="611">
        <v>0</v>
      </c>
    </row>
    <row r="715" spans="1:38" ht="15">
      <c r="A715" s="1768"/>
      <c r="B715" s="1771"/>
      <c r="C715" s="610" t="s">
        <v>1199</v>
      </c>
      <c r="AL715" s="611">
        <v>19896.254000000001</v>
      </c>
    </row>
    <row r="716" spans="1:38" ht="15">
      <c r="A716" s="1766">
        <v>22</v>
      </c>
      <c r="B716" s="1769" t="s">
        <v>1288</v>
      </c>
      <c r="C716" s="613" t="s">
        <v>1267</v>
      </c>
      <c r="P716" s="611">
        <v>165194.742</v>
      </c>
    </row>
    <row r="717" spans="1:38">
      <c r="A717" s="1767"/>
      <c r="B717" s="1770"/>
      <c r="C717" s="610" t="s">
        <v>1197</v>
      </c>
    </row>
    <row r="718" spans="1:38" ht="15">
      <c r="A718" s="1767"/>
      <c r="B718" s="1770"/>
      <c r="C718" s="610" t="s">
        <v>1198</v>
      </c>
      <c r="P718" s="611">
        <v>0</v>
      </c>
    </row>
    <row r="719" spans="1:38" ht="15">
      <c r="A719" s="1768"/>
      <c r="B719" s="1771"/>
      <c r="C719" s="610" t="s">
        <v>1199</v>
      </c>
      <c r="AL719" s="611">
        <v>20320.974999999999</v>
      </c>
    </row>
    <row r="720" spans="1:38" ht="15">
      <c r="A720" s="1766">
        <v>23</v>
      </c>
      <c r="B720" s="1769" t="s">
        <v>1289</v>
      </c>
      <c r="C720" s="613" t="s">
        <v>1267</v>
      </c>
      <c r="P720" s="611">
        <v>152197.848</v>
      </c>
    </row>
    <row r="721" spans="1:76">
      <c r="A721" s="1767"/>
      <c r="B721" s="1770"/>
      <c r="C721" s="610" t="s">
        <v>1197</v>
      </c>
    </row>
    <row r="722" spans="1:76" ht="15">
      <c r="A722" s="1767"/>
      <c r="B722" s="1770"/>
      <c r="C722" s="610" t="s">
        <v>1198</v>
      </c>
      <c r="P722" s="611">
        <v>0</v>
      </c>
    </row>
    <row r="723" spans="1:76" ht="15">
      <c r="A723" s="1768"/>
      <c r="B723" s="1771"/>
      <c r="C723" s="610" t="s">
        <v>1199</v>
      </c>
      <c r="AL723" s="611">
        <v>3464.7060000000001</v>
      </c>
    </row>
    <row r="724" spans="1:76" ht="15">
      <c r="A724" s="1766">
        <v>24</v>
      </c>
      <c r="B724" s="1769" t="s">
        <v>1290</v>
      </c>
      <c r="C724" s="613" t="s">
        <v>1267</v>
      </c>
      <c r="P724" s="611">
        <v>94723.883999999991</v>
      </c>
    </row>
    <row r="725" spans="1:76">
      <c r="A725" s="1767"/>
      <c r="B725" s="1770"/>
      <c r="C725" s="610" t="s">
        <v>1197</v>
      </c>
    </row>
    <row r="726" spans="1:76" ht="15">
      <c r="A726" s="1767"/>
      <c r="B726" s="1770"/>
      <c r="C726" s="610" t="s">
        <v>1198</v>
      </c>
      <c r="P726" s="611">
        <v>0</v>
      </c>
    </row>
    <row r="727" spans="1:76" ht="15">
      <c r="A727" s="1768"/>
      <c r="B727" s="1771"/>
      <c r="C727" s="610" t="s">
        <v>1199</v>
      </c>
      <c r="AL727" s="611">
        <v>10894.484</v>
      </c>
    </row>
    <row r="728" spans="1:76" ht="15">
      <c r="A728" s="1766">
        <v>25</v>
      </c>
      <c r="B728" s="1769" t="s">
        <v>1291</v>
      </c>
      <c r="C728" s="613" t="s">
        <v>1267</v>
      </c>
      <c r="P728" s="611">
        <v>26143.79</v>
      </c>
    </row>
    <row r="729" spans="1:76">
      <c r="A729" s="1767"/>
      <c r="B729" s="1770"/>
      <c r="C729" s="610" t="s">
        <v>1197</v>
      </c>
    </row>
    <row r="730" spans="1:76" ht="15">
      <c r="A730" s="1767"/>
      <c r="B730" s="1770"/>
      <c r="C730" s="610" t="s">
        <v>1198</v>
      </c>
      <c r="P730" s="611">
        <v>0</v>
      </c>
    </row>
    <row r="731" spans="1:76" ht="15">
      <c r="A731" s="1768"/>
      <c r="B731" s="1771"/>
      <c r="C731" s="610" t="s">
        <v>1199</v>
      </c>
      <c r="P731" s="611">
        <v>0</v>
      </c>
    </row>
    <row r="732" spans="1:76" ht="15">
      <c r="A732" s="1766">
        <v>26</v>
      </c>
      <c r="B732" s="1769" t="s">
        <v>1292</v>
      </c>
      <c r="C732" s="613" t="s">
        <v>1267</v>
      </c>
      <c r="P732" s="611">
        <v>216324.52499999999</v>
      </c>
    </row>
    <row r="733" spans="1:76">
      <c r="A733" s="1767"/>
      <c r="B733" s="1770"/>
      <c r="C733" s="610" t="s">
        <v>1197</v>
      </c>
    </row>
    <row r="734" spans="1:76" ht="15">
      <c r="A734" s="1767"/>
      <c r="B734" s="1770"/>
      <c r="C734" s="610" t="s">
        <v>1198</v>
      </c>
      <c r="P734" s="611">
        <v>0</v>
      </c>
    </row>
    <row r="735" spans="1:76" ht="15">
      <c r="A735" s="1768"/>
      <c r="B735" s="1771"/>
      <c r="C735" s="610" t="s">
        <v>1199</v>
      </c>
      <c r="BX735" s="611">
        <v>193837.26699999999</v>
      </c>
    </row>
    <row r="736" spans="1:76" ht="15">
      <c r="A736" s="1766">
        <v>27</v>
      </c>
      <c r="B736" s="1769" t="s">
        <v>1293</v>
      </c>
      <c r="C736" s="613" t="s">
        <v>1267</v>
      </c>
      <c r="P736" s="611">
        <v>21302.173000000003</v>
      </c>
    </row>
    <row r="737" spans="1:78" ht="15">
      <c r="A737" s="1767"/>
      <c r="B737" s="1770"/>
      <c r="C737" s="610" t="s">
        <v>1197</v>
      </c>
      <c r="P737" s="611">
        <v>0</v>
      </c>
    </row>
    <row r="738" spans="1:78" ht="15">
      <c r="A738" s="1767"/>
      <c r="B738" s="1770"/>
      <c r="C738" s="610" t="s">
        <v>1198</v>
      </c>
      <c r="P738" s="611">
        <v>0</v>
      </c>
    </row>
    <row r="739" spans="1:78" ht="15">
      <c r="A739" s="1768"/>
      <c r="B739" s="1771"/>
      <c r="C739" s="610" t="s">
        <v>1199</v>
      </c>
      <c r="BZ739" s="611">
        <v>21302.173000000003</v>
      </c>
    </row>
    <row r="740" spans="1:78" ht="15">
      <c r="A740" s="1766">
        <v>28</v>
      </c>
      <c r="B740" s="1769" t="s">
        <v>1294</v>
      </c>
      <c r="C740" s="613" t="s">
        <v>1267</v>
      </c>
      <c r="P740" s="611">
        <v>14829.468000000001</v>
      </c>
    </row>
    <row r="741" spans="1:78" ht="15">
      <c r="A741" s="1767"/>
      <c r="B741" s="1770"/>
      <c r="C741" s="610" t="s">
        <v>1197</v>
      </c>
      <c r="P741" s="611">
        <v>0</v>
      </c>
    </row>
    <row r="742" spans="1:78" ht="15">
      <c r="A742" s="1767"/>
      <c r="B742" s="1770"/>
      <c r="C742" s="610" t="s">
        <v>1198</v>
      </c>
      <c r="P742" s="611">
        <v>0</v>
      </c>
    </row>
    <row r="743" spans="1:78" ht="15">
      <c r="A743" s="1768"/>
      <c r="B743" s="1771"/>
      <c r="C743" s="610" t="s">
        <v>1199</v>
      </c>
      <c r="BZ743" s="611">
        <v>14829.468000000001</v>
      </c>
    </row>
    <row r="744" spans="1:78" ht="15">
      <c r="A744" s="1766">
        <v>29</v>
      </c>
      <c r="B744" s="1769" t="s">
        <v>1295</v>
      </c>
      <c r="C744" s="613" t="s">
        <v>1267</v>
      </c>
      <c r="P744" s="611">
        <v>14614.169999999998</v>
      </c>
    </row>
    <row r="745" spans="1:78" ht="15">
      <c r="A745" s="1767"/>
      <c r="B745" s="1770"/>
      <c r="C745" s="610" t="s">
        <v>1197</v>
      </c>
      <c r="P745" s="611">
        <v>0</v>
      </c>
    </row>
    <row r="746" spans="1:78" ht="15">
      <c r="A746" s="1767"/>
      <c r="B746" s="1770"/>
      <c r="C746" s="610" t="s">
        <v>1198</v>
      </c>
      <c r="P746" s="611">
        <v>0</v>
      </c>
    </row>
    <row r="747" spans="1:78" ht="15">
      <c r="A747" s="1768"/>
      <c r="B747" s="1771"/>
      <c r="C747" s="610" t="s">
        <v>1199</v>
      </c>
      <c r="BU747" s="611">
        <v>14614.169999999998</v>
      </c>
    </row>
    <row r="748" spans="1:78" ht="15">
      <c r="A748" s="1766">
        <v>30</v>
      </c>
      <c r="B748" s="1769" t="s">
        <v>1296</v>
      </c>
      <c r="C748" s="613" t="s">
        <v>1267</v>
      </c>
      <c r="P748" s="611">
        <v>30347.521000000004</v>
      </c>
    </row>
    <row r="749" spans="1:78" ht="15">
      <c r="A749" s="1767"/>
      <c r="B749" s="1770"/>
      <c r="C749" s="610" t="s">
        <v>1197</v>
      </c>
      <c r="P749" s="611">
        <v>0</v>
      </c>
    </row>
    <row r="750" spans="1:78" ht="15">
      <c r="A750" s="1767"/>
      <c r="B750" s="1770"/>
      <c r="C750" s="610" t="s">
        <v>1198</v>
      </c>
      <c r="P750" s="611">
        <v>0</v>
      </c>
    </row>
    <row r="751" spans="1:78" ht="15">
      <c r="A751" s="1768"/>
      <c r="B751" s="1771"/>
      <c r="C751" s="610" t="s">
        <v>1199</v>
      </c>
      <c r="BZ751" s="611">
        <v>30347.521000000004</v>
      </c>
    </row>
    <row r="752" spans="1:78" ht="15">
      <c r="A752" s="1766">
        <v>31</v>
      </c>
      <c r="B752" s="1769" t="s">
        <v>1297</v>
      </c>
      <c r="C752" s="613" t="s">
        <v>1267</v>
      </c>
      <c r="P752" s="611">
        <v>21681.343999999997</v>
      </c>
    </row>
    <row r="753" spans="1:78" ht="15">
      <c r="A753" s="1767"/>
      <c r="B753" s="1770"/>
      <c r="C753" s="610" t="s">
        <v>1197</v>
      </c>
      <c r="P753" s="611">
        <v>0</v>
      </c>
    </row>
    <row r="754" spans="1:78" ht="15">
      <c r="A754" s="1767"/>
      <c r="B754" s="1770"/>
      <c r="C754" s="610" t="s">
        <v>1198</v>
      </c>
      <c r="P754" s="611">
        <v>0</v>
      </c>
    </row>
    <row r="755" spans="1:78" ht="15">
      <c r="A755" s="1768"/>
      <c r="B755" s="1771"/>
      <c r="C755" s="610" t="s">
        <v>1199</v>
      </c>
      <c r="P755" s="611">
        <v>21681.343999999997</v>
      </c>
    </row>
    <row r="756" spans="1:78" ht="15">
      <c r="A756" s="1766">
        <v>32</v>
      </c>
      <c r="B756" s="1769" t="s">
        <v>1298</v>
      </c>
      <c r="C756" s="613" t="s">
        <v>1267</v>
      </c>
      <c r="P756" s="611">
        <v>30614.899000000001</v>
      </c>
    </row>
    <row r="757" spans="1:78" ht="15">
      <c r="A757" s="1767"/>
      <c r="B757" s="1770"/>
      <c r="C757" s="610" t="s">
        <v>1197</v>
      </c>
      <c r="P757" s="611">
        <v>0</v>
      </c>
    </row>
    <row r="758" spans="1:78" ht="15">
      <c r="A758" s="1767"/>
      <c r="B758" s="1770"/>
      <c r="C758" s="610" t="s">
        <v>1198</v>
      </c>
      <c r="P758" s="611">
        <v>0</v>
      </c>
    </row>
    <row r="759" spans="1:78" ht="15">
      <c r="A759" s="1768"/>
      <c r="B759" s="1771"/>
      <c r="C759" s="610" t="s">
        <v>1199</v>
      </c>
      <c r="BZ759" s="611">
        <v>30614.899000000001</v>
      </c>
    </row>
    <row r="760" spans="1:78" ht="15">
      <c r="A760" s="1766">
        <v>33</v>
      </c>
      <c r="B760" s="1769" t="s">
        <v>1299</v>
      </c>
      <c r="C760" s="613" t="s">
        <v>1267</v>
      </c>
      <c r="P760" s="611">
        <v>2306.7860000000001</v>
      </c>
    </row>
    <row r="761" spans="1:78" ht="15">
      <c r="A761" s="1767"/>
      <c r="B761" s="1770"/>
      <c r="C761" s="610" t="s">
        <v>1197</v>
      </c>
      <c r="P761" s="611">
        <v>0</v>
      </c>
    </row>
    <row r="762" spans="1:78" ht="15">
      <c r="A762" s="1767"/>
      <c r="B762" s="1770"/>
      <c r="C762" s="610" t="s">
        <v>1198</v>
      </c>
      <c r="P762" s="611">
        <v>0</v>
      </c>
    </row>
    <row r="763" spans="1:78" ht="15">
      <c r="A763" s="1768"/>
      <c r="B763" s="1771"/>
      <c r="C763" s="610" t="s">
        <v>1199</v>
      </c>
      <c r="P763" s="611">
        <v>2306.7860000000001</v>
      </c>
    </row>
    <row r="764" spans="1:78" ht="15">
      <c r="A764" s="1766">
        <v>34</v>
      </c>
      <c r="B764" s="1769" t="s">
        <v>1300</v>
      </c>
      <c r="C764" s="613" t="s">
        <v>1267</v>
      </c>
      <c r="P764" s="611">
        <v>15970.638000000001</v>
      </c>
    </row>
    <row r="765" spans="1:78" ht="15">
      <c r="A765" s="1767"/>
      <c r="B765" s="1770"/>
      <c r="C765" s="610" t="s">
        <v>1197</v>
      </c>
      <c r="P765" s="611">
        <v>0</v>
      </c>
    </row>
    <row r="766" spans="1:78" ht="15">
      <c r="A766" s="1767"/>
      <c r="B766" s="1770"/>
      <c r="C766" s="610" t="s">
        <v>1198</v>
      </c>
      <c r="P766" s="611">
        <v>0</v>
      </c>
    </row>
    <row r="767" spans="1:78" ht="15">
      <c r="A767" s="1768"/>
      <c r="B767" s="1771"/>
      <c r="C767" s="610" t="s">
        <v>1199</v>
      </c>
      <c r="P767" s="611">
        <v>15970.638000000001</v>
      </c>
    </row>
    <row r="768" spans="1:78" ht="15">
      <c r="A768" s="1766">
        <v>35</v>
      </c>
      <c r="B768" s="1772" t="s">
        <v>1301</v>
      </c>
      <c r="C768" s="613" t="s">
        <v>1267</v>
      </c>
      <c r="P768" s="611">
        <v>10753.324999999999</v>
      </c>
    </row>
    <row r="769" spans="1:16" ht="15">
      <c r="A769" s="1767"/>
      <c r="B769" s="1773"/>
      <c r="C769" s="610" t="s">
        <v>1197</v>
      </c>
      <c r="P769" s="611">
        <v>0</v>
      </c>
    </row>
    <row r="770" spans="1:16" ht="15">
      <c r="A770" s="1767"/>
      <c r="B770" s="1773"/>
      <c r="C770" s="610" t="s">
        <v>1198</v>
      </c>
      <c r="P770" s="611">
        <v>0</v>
      </c>
    </row>
    <row r="771" spans="1:16" ht="15">
      <c r="A771" s="1768"/>
      <c r="B771" s="1774"/>
      <c r="C771" s="610" t="s">
        <v>1199</v>
      </c>
      <c r="P771" s="611">
        <v>10753.324999999999</v>
      </c>
    </row>
    <row r="772" spans="1:16" ht="15">
      <c r="A772" s="1766">
        <v>36</v>
      </c>
      <c r="B772" s="1769" t="s">
        <v>1302</v>
      </c>
      <c r="C772" s="613" t="s">
        <v>1267</v>
      </c>
      <c r="P772" s="611">
        <v>17110.386999999999</v>
      </c>
    </row>
    <row r="773" spans="1:16" ht="15">
      <c r="A773" s="1767"/>
      <c r="B773" s="1770"/>
      <c r="C773" s="610" t="s">
        <v>1197</v>
      </c>
      <c r="P773" s="611">
        <v>0</v>
      </c>
    </row>
    <row r="774" spans="1:16" ht="15">
      <c r="A774" s="1767"/>
      <c r="B774" s="1770"/>
      <c r="C774" s="610" t="s">
        <v>1198</v>
      </c>
      <c r="P774" s="611">
        <v>0</v>
      </c>
    </row>
    <row r="775" spans="1:16" ht="15">
      <c r="A775" s="1768"/>
      <c r="B775" s="1771"/>
      <c r="C775" s="610" t="s">
        <v>1199</v>
      </c>
      <c r="P775" s="611">
        <v>17110.386999999999</v>
      </c>
    </row>
    <row r="776" spans="1:16" ht="15">
      <c r="A776" s="1766">
        <v>37</v>
      </c>
      <c r="B776" s="1769" t="s">
        <v>1303</v>
      </c>
      <c r="C776" s="613" t="s">
        <v>1267</v>
      </c>
      <c r="P776" s="611">
        <v>8189.3389999999999</v>
      </c>
    </row>
    <row r="777" spans="1:16" ht="15">
      <c r="A777" s="1767"/>
      <c r="B777" s="1770"/>
      <c r="C777" s="610" t="s">
        <v>1197</v>
      </c>
      <c r="P777" s="611">
        <v>0</v>
      </c>
    </row>
    <row r="778" spans="1:16" ht="15">
      <c r="A778" s="1767"/>
      <c r="B778" s="1770"/>
      <c r="C778" s="610" t="s">
        <v>1198</v>
      </c>
      <c r="P778" s="611">
        <v>0</v>
      </c>
    </row>
    <row r="779" spans="1:16" ht="15">
      <c r="A779" s="1768"/>
      <c r="B779" s="1771"/>
      <c r="C779" s="610" t="s">
        <v>1199</v>
      </c>
      <c r="P779" s="611">
        <v>8189.3389999999999</v>
      </c>
    </row>
    <row r="780" spans="1:16" ht="15">
      <c r="A780" s="1766">
        <v>38</v>
      </c>
      <c r="B780" s="1769" t="s">
        <v>1304</v>
      </c>
      <c r="C780" s="613" t="s">
        <v>1267</v>
      </c>
      <c r="P780" s="611">
        <v>575.61999999999989</v>
      </c>
    </row>
    <row r="781" spans="1:16">
      <c r="A781" s="1767"/>
      <c r="B781" s="1770"/>
      <c r="C781" s="610" t="s">
        <v>1197</v>
      </c>
    </row>
    <row r="782" spans="1:16" ht="15">
      <c r="A782" s="1767"/>
      <c r="B782" s="1770"/>
      <c r="C782" s="610" t="s">
        <v>1198</v>
      </c>
      <c r="P782" s="611">
        <v>0</v>
      </c>
    </row>
    <row r="783" spans="1:16" ht="15">
      <c r="A783" s="1768"/>
      <c r="B783" s="1771"/>
      <c r="C783" s="610" t="s">
        <v>1199</v>
      </c>
      <c r="P783" s="611">
        <v>0</v>
      </c>
    </row>
    <row r="784" spans="1:16" ht="15">
      <c r="A784" s="1766">
        <v>39</v>
      </c>
      <c r="B784" s="1769" t="s">
        <v>1305</v>
      </c>
      <c r="C784" s="613" t="s">
        <v>1267</v>
      </c>
      <c r="P784" s="611">
        <v>1921.752</v>
      </c>
    </row>
    <row r="785" spans="1:56">
      <c r="A785" s="1767"/>
      <c r="B785" s="1770"/>
      <c r="C785" s="610" t="s">
        <v>1197</v>
      </c>
    </row>
    <row r="786" spans="1:56" ht="15">
      <c r="A786" s="1767"/>
      <c r="B786" s="1770"/>
      <c r="C786" s="610" t="s">
        <v>1198</v>
      </c>
      <c r="P786" s="611">
        <v>0</v>
      </c>
    </row>
    <row r="787" spans="1:56" ht="15">
      <c r="A787" s="1768"/>
      <c r="B787" s="1771"/>
      <c r="C787" s="610" t="s">
        <v>1199</v>
      </c>
      <c r="P787" s="611">
        <v>0</v>
      </c>
    </row>
    <row r="788" spans="1:56">
      <c r="A788" s="1742" t="s">
        <v>1153</v>
      </c>
      <c r="B788" s="1742"/>
      <c r="C788" s="1742"/>
      <c r="D788" s="1742"/>
      <c r="E788" s="1742"/>
      <c r="F788" s="1742"/>
      <c r="G788" s="1742"/>
      <c r="H788" s="1742"/>
      <c r="I788" s="1742"/>
      <c r="J788" s="1742"/>
      <c r="K788" s="1742"/>
      <c r="L788" s="1742"/>
      <c r="M788" s="1742"/>
      <c r="N788" s="1742"/>
      <c r="O788" s="1742"/>
      <c r="P788" s="1742"/>
    </row>
    <row r="789" spans="1:56">
      <c r="A789" s="1735" t="s">
        <v>1197</v>
      </c>
      <c r="B789" s="1735"/>
      <c r="C789" s="1735"/>
      <c r="D789" s="1735"/>
      <c r="E789" s="1735"/>
      <c r="F789" s="1735"/>
      <c r="G789" s="1735"/>
      <c r="H789" s="1735"/>
      <c r="I789" s="1735"/>
      <c r="J789" s="1735"/>
      <c r="K789" s="1735"/>
      <c r="L789" s="1735"/>
      <c r="M789" s="1735"/>
      <c r="N789" s="1735"/>
      <c r="O789" s="1735"/>
      <c r="P789" s="1735"/>
      <c r="AL789" s="561">
        <f>SUM(AL790:AL973)</f>
        <v>8752056.352</v>
      </c>
      <c r="AR789" s="561">
        <f>SUM(AR790:AR973)</f>
        <v>217474.77</v>
      </c>
      <c r="AY789" s="561">
        <f>SUM(AY790:AY973)</f>
        <v>152948.40000000002</v>
      </c>
      <c r="BB789" s="561">
        <f>SUM(BB790:BB973)</f>
        <v>759155.5</v>
      </c>
      <c r="BD789" s="561">
        <f>SUM(BD790:BD993)</f>
        <v>635837.16799999995</v>
      </c>
    </row>
    <row r="790" spans="1:56" ht="15">
      <c r="A790" s="1763">
        <v>1</v>
      </c>
      <c r="B790" s="1746" t="s">
        <v>1306</v>
      </c>
      <c r="C790" s="614" t="s">
        <v>1075</v>
      </c>
      <c r="P790" s="611">
        <v>804931.58400000003</v>
      </c>
    </row>
    <row r="791" spans="1:56" ht="15">
      <c r="A791" s="1763"/>
      <c r="B791" s="1747"/>
      <c r="C791" s="615" t="s">
        <v>1197</v>
      </c>
      <c r="AL791" s="611">
        <v>678929.69299999997</v>
      </c>
    </row>
    <row r="792" spans="1:56" ht="15">
      <c r="A792" s="1763"/>
      <c r="B792" s="1747"/>
      <c r="C792" s="616" t="s">
        <v>1198</v>
      </c>
      <c r="P792" s="611">
        <v>60568</v>
      </c>
    </row>
    <row r="793" spans="1:56" ht="15">
      <c r="A793" s="1764"/>
      <c r="B793" s="1748"/>
      <c r="C793" s="616" t="s">
        <v>1307</v>
      </c>
      <c r="P793" s="611">
        <v>65433.891000000003</v>
      </c>
    </row>
    <row r="794" spans="1:56" ht="15">
      <c r="A794" s="1765">
        <v>2</v>
      </c>
      <c r="B794" s="1746" t="s">
        <v>1308</v>
      </c>
      <c r="C794" s="614" t="s">
        <v>1075</v>
      </c>
      <c r="P794" s="611">
        <v>573216.61399999994</v>
      </c>
    </row>
    <row r="795" spans="1:56" ht="15">
      <c r="A795" s="1763"/>
      <c r="B795" s="1747"/>
      <c r="C795" s="615" t="s">
        <v>1197</v>
      </c>
      <c r="AR795" s="611">
        <v>217474.77</v>
      </c>
    </row>
    <row r="796" spans="1:56" ht="15">
      <c r="A796" s="1764"/>
      <c r="B796" s="1748"/>
      <c r="C796" s="616" t="s">
        <v>1198</v>
      </c>
      <c r="P796" s="611">
        <v>355741.84399999998</v>
      </c>
    </row>
    <row r="797" spans="1:56" ht="15">
      <c r="A797" s="1765">
        <v>3</v>
      </c>
      <c r="B797" s="1746" t="s">
        <v>1309</v>
      </c>
      <c r="C797" s="614" t="s">
        <v>1075</v>
      </c>
      <c r="P797" s="611">
        <v>949692.66399999999</v>
      </c>
    </row>
    <row r="798" spans="1:56" ht="15">
      <c r="A798" s="1763"/>
      <c r="B798" s="1747"/>
      <c r="C798" s="615" t="s">
        <v>1197</v>
      </c>
      <c r="AL798" s="611">
        <v>664287.16099999996</v>
      </c>
    </row>
    <row r="799" spans="1:56" ht="15">
      <c r="A799" s="1763"/>
      <c r="B799" s="1747"/>
      <c r="C799" s="616" t="s">
        <v>1198</v>
      </c>
      <c r="P799" s="611">
        <v>78427.377999999997</v>
      </c>
    </row>
    <row r="800" spans="1:56" ht="15">
      <c r="A800" s="1764"/>
      <c r="B800" s="1748"/>
      <c r="C800" s="616" t="s">
        <v>1307</v>
      </c>
      <c r="P800" s="611">
        <v>206978.125</v>
      </c>
    </row>
    <row r="801" spans="1:54" ht="15">
      <c r="A801" s="1757">
        <v>4</v>
      </c>
      <c r="B801" s="1746" t="s">
        <v>1310</v>
      </c>
      <c r="C801" s="614" t="s">
        <v>1075</v>
      </c>
      <c r="P801" s="611">
        <v>286253.67</v>
      </c>
    </row>
    <row r="802" spans="1:54" ht="15">
      <c r="A802" s="1758"/>
      <c r="B802" s="1747"/>
      <c r="C802" s="615" t="s">
        <v>1197</v>
      </c>
      <c r="AL802" s="611">
        <v>283787.7</v>
      </c>
    </row>
    <row r="803" spans="1:54" ht="15">
      <c r="A803" s="1759"/>
      <c r="B803" s="1748"/>
      <c r="C803" s="615" t="s">
        <v>1202</v>
      </c>
      <c r="P803" s="611">
        <v>2465.9699999999998</v>
      </c>
    </row>
    <row r="804" spans="1:54" ht="15">
      <c r="A804" s="617">
        <v>5</v>
      </c>
      <c r="B804" s="615" t="s">
        <v>1311</v>
      </c>
      <c r="C804" s="615" t="s">
        <v>1197</v>
      </c>
      <c r="BB804" s="611">
        <v>318416</v>
      </c>
    </row>
    <row r="805" spans="1:54" ht="15">
      <c r="A805" s="617">
        <v>6</v>
      </c>
      <c r="B805" s="615" t="s">
        <v>1312</v>
      </c>
      <c r="C805" s="615" t="s">
        <v>1197</v>
      </c>
      <c r="AY805" s="611">
        <v>72119.8</v>
      </c>
    </row>
    <row r="806" spans="1:54" ht="38.25">
      <c r="A806" s="617">
        <v>7</v>
      </c>
      <c r="B806" s="615" t="s">
        <v>1313</v>
      </c>
      <c r="C806" s="615" t="s">
        <v>1197</v>
      </c>
      <c r="AY806" s="611">
        <v>80828.600000000006</v>
      </c>
    </row>
    <row r="807" spans="1:54" ht="15">
      <c r="A807" s="1743">
        <v>8</v>
      </c>
      <c r="B807" s="1746" t="s">
        <v>1314</v>
      </c>
      <c r="C807" s="618" t="s">
        <v>1075</v>
      </c>
      <c r="P807" s="611">
        <v>183766.30000000002</v>
      </c>
    </row>
    <row r="808" spans="1:54" ht="15">
      <c r="A808" s="1744"/>
      <c r="B808" s="1747"/>
      <c r="C808" s="615" t="s">
        <v>1197</v>
      </c>
      <c r="AL808" s="611">
        <v>176249.89500000002</v>
      </c>
    </row>
    <row r="809" spans="1:54" ht="15">
      <c r="A809" s="1745"/>
      <c r="B809" s="1748"/>
      <c r="C809" s="616" t="s">
        <v>1307</v>
      </c>
      <c r="P809" s="611">
        <v>7516.4049999999997</v>
      </c>
    </row>
    <row r="810" spans="1:54" ht="15">
      <c r="A810" s="1743">
        <v>9</v>
      </c>
      <c r="B810" s="1760" t="s">
        <v>1315</v>
      </c>
      <c r="C810" s="614" t="s">
        <v>1075</v>
      </c>
      <c r="P810" s="611">
        <v>211862.34099999999</v>
      </c>
    </row>
    <row r="811" spans="1:54" ht="15">
      <c r="A811" s="1744"/>
      <c r="B811" s="1761"/>
      <c r="C811" s="615" t="s">
        <v>1197</v>
      </c>
      <c r="AL811" s="611">
        <v>183137.11</v>
      </c>
    </row>
    <row r="812" spans="1:54" ht="15">
      <c r="A812" s="1745"/>
      <c r="B812" s="1762"/>
      <c r="C812" s="616" t="s">
        <v>1307</v>
      </c>
      <c r="P812" s="611">
        <v>28725.231</v>
      </c>
    </row>
    <row r="813" spans="1:54" ht="15">
      <c r="A813" s="1743">
        <v>10</v>
      </c>
      <c r="B813" s="1746" t="s">
        <v>1316</v>
      </c>
      <c r="C813" s="614" t="s">
        <v>1075</v>
      </c>
      <c r="P813" s="611">
        <v>71638.900000000009</v>
      </c>
    </row>
    <row r="814" spans="1:54" ht="15">
      <c r="A814" s="1744"/>
      <c r="B814" s="1747"/>
      <c r="C814" s="615" t="s">
        <v>1197</v>
      </c>
      <c r="AL814" s="611">
        <v>64503.15</v>
      </c>
    </row>
    <row r="815" spans="1:54" ht="15">
      <c r="A815" s="1745"/>
      <c r="B815" s="1748"/>
      <c r="C815" s="616" t="s">
        <v>1307</v>
      </c>
      <c r="P815" s="611">
        <v>7135.7500000000009</v>
      </c>
    </row>
    <row r="816" spans="1:54" ht="15">
      <c r="A816" s="1743">
        <v>11</v>
      </c>
      <c r="B816" s="1746" t="s">
        <v>1317</v>
      </c>
      <c r="C816" s="614" t="s">
        <v>1075</v>
      </c>
      <c r="P816" s="611">
        <v>188890.10399999999</v>
      </c>
    </row>
    <row r="817" spans="1:38" ht="15">
      <c r="A817" s="1744"/>
      <c r="B817" s="1747"/>
      <c r="C817" s="615" t="s">
        <v>1197</v>
      </c>
      <c r="AL817" s="611">
        <v>177127.88199999998</v>
      </c>
    </row>
    <row r="818" spans="1:38" ht="15">
      <c r="A818" s="1745"/>
      <c r="B818" s="1748"/>
      <c r="C818" s="616" t="s">
        <v>1307</v>
      </c>
      <c r="P818" s="611">
        <v>11762.222</v>
      </c>
    </row>
    <row r="819" spans="1:38" ht="15">
      <c r="A819" s="1743">
        <v>12</v>
      </c>
      <c r="B819" s="1746" t="s">
        <v>1318</v>
      </c>
      <c r="C819" s="614" t="s">
        <v>1075</v>
      </c>
      <c r="P819" s="611">
        <v>96890.4</v>
      </c>
    </row>
    <row r="820" spans="1:38" ht="15">
      <c r="A820" s="1744"/>
      <c r="B820" s="1747"/>
      <c r="C820" s="615" t="s">
        <v>1197</v>
      </c>
      <c r="AL820" s="611">
        <v>89939.063999999998</v>
      </c>
    </row>
    <row r="821" spans="1:38" ht="15">
      <c r="A821" s="1745"/>
      <c r="B821" s="1748"/>
      <c r="C821" s="616" t="s">
        <v>1307</v>
      </c>
      <c r="P821" s="611">
        <v>6951.3360000000002</v>
      </c>
    </row>
    <row r="822" spans="1:38" ht="15">
      <c r="A822" s="1743">
        <v>13</v>
      </c>
      <c r="B822" s="1746" t="s">
        <v>1319</v>
      </c>
      <c r="C822" s="614" t="s">
        <v>1075</v>
      </c>
      <c r="P822" s="611">
        <v>74993.700000000012</v>
      </c>
    </row>
    <row r="823" spans="1:38" ht="15">
      <c r="A823" s="1744"/>
      <c r="B823" s="1747"/>
      <c r="C823" s="615" t="s">
        <v>1197</v>
      </c>
      <c r="AL823" s="611">
        <v>73098.651000000013</v>
      </c>
    </row>
    <row r="824" spans="1:38" ht="15">
      <c r="A824" s="1745"/>
      <c r="B824" s="1748"/>
      <c r="C824" s="616" t="s">
        <v>1307</v>
      </c>
      <c r="P824" s="611">
        <v>1895.049</v>
      </c>
    </row>
    <row r="825" spans="1:38" ht="15">
      <c r="A825" s="1743">
        <v>14</v>
      </c>
      <c r="B825" s="1746" t="s">
        <v>1320</v>
      </c>
      <c r="C825" s="614" t="s">
        <v>1075</v>
      </c>
      <c r="P825" s="611">
        <v>173969.07500000001</v>
      </c>
    </row>
    <row r="826" spans="1:38" ht="15">
      <c r="A826" s="1744"/>
      <c r="B826" s="1747"/>
      <c r="C826" s="615" t="s">
        <v>1197</v>
      </c>
      <c r="AL826" s="611">
        <v>157754.57500000001</v>
      </c>
    </row>
    <row r="827" spans="1:38" ht="15">
      <c r="A827" s="1745"/>
      <c r="B827" s="1748"/>
      <c r="C827" s="616" t="s">
        <v>1307</v>
      </c>
      <c r="P827" s="611">
        <v>16214.5</v>
      </c>
    </row>
    <row r="828" spans="1:38" ht="15">
      <c r="A828" s="1743">
        <v>15</v>
      </c>
      <c r="B828" s="1746" t="s">
        <v>1321</v>
      </c>
      <c r="C828" s="614" t="s">
        <v>1075</v>
      </c>
      <c r="P828" s="611">
        <v>15899</v>
      </c>
    </row>
    <row r="829" spans="1:38" ht="15">
      <c r="A829" s="1744"/>
      <c r="B829" s="1747"/>
      <c r="C829" s="615" t="s">
        <v>1197</v>
      </c>
      <c r="AL829" s="611">
        <v>13655.673999999999</v>
      </c>
    </row>
    <row r="830" spans="1:38" ht="15">
      <c r="A830" s="1745"/>
      <c r="B830" s="1748"/>
      <c r="C830" s="616" t="s">
        <v>1307</v>
      </c>
      <c r="P830" s="611">
        <v>2243.326</v>
      </c>
    </row>
    <row r="831" spans="1:38" ht="15">
      <c r="A831" s="1743">
        <v>16</v>
      </c>
      <c r="B831" s="1746" t="s">
        <v>1322</v>
      </c>
      <c r="C831" s="614" t="s">
        <v>1075</v>
      </c>
      <c r="P831" s="611">
        <v>15757.5</v>
      </c>
    </row>
    <row r="832" spans="1:38" ht="15">
      <c r="A832" s="1744"/>
      <c r="B832" s="1747"/>
      <c r="C832" s="615" t="s">
        <v>1197</v>
      </c>
      <c r="AL832" s="611">
        <v>12860.073</v>
      </c>
    </row>
    <row r="833" spans="1:54" ht="15">
      <c r="A833" s="1745"/>
      <c r="B833" s="1748"/>
      <c r="C833" s="616" t="s">
        <v>1307</v>
      </c>
      <c r="P833" s="611">
        <v>2897.4270000000001</v>
      </c>
    </row>
    <row r="834" spans="1:54" ht="15">
      <c r="A834" s="1743">
        <v>17</v>
      </c>
      <c r="B834" s="1746" t="s">
        <v>1323</v>
      </c>
      <c r="C834" s="614" t="s">
        <v>1075</v>
      </c>
      <c r="P834" s="611">
        <v>26435.804999999997</v>
      </c>
    </row>
    <row r="835" spans="1:54" ht="15">
      <c r="A835" s="1744"/>
      <c r="B835" s="1747"/>
      <c r="C835" s="615" t="s">
        <v>1197</v>
      </c>
      <c r="AL835" s="611">
        <v>22680.453999999998</v>
      </c>
    </row>
    <row r="836" spans="1:54" ht="15">
      <c r="A836" s="1745"/>
      <c r="B836" s="1748"/>
      <c r="C836" s="616" t="s">
        <v>1307</v>
      </c>
      <c r="P836" s="611">
        <v>3755.3509999999997</v>
      </c>
    </row>
    <row r="837" spans="1:54" ht="15">
      <c r="A837" s="1743">
        <v>18</v>
      </c>
      <c r="B837" s="1746" t="s">
        <v>1324</v>
      </c>
      <c r="C837" s="614" t="s">
        <v>1075</v>
      </c>
      <c r="P837" s="611">
        <v>394185.788</v>
      </c>
    </row>
    <row r="838" spans="1:54" ht="15">
      <c r="A838" s="1744"/>
      <c r="B838" s="1747"/>
      <c r="C838" s="615" t="s">
        <v>1197</v>
      </c>
      <c r="AL838" s="611">
        <v>386827.25199999998</v>
      </c>
    </row>
    <row r="839" spans="1:54" ht="15">
      <c r="A839" s="1745"/>
      <c r="B839" s="1748"/>
      <c r="C839" s="616" t="s">
        <v>1307</v>
      </c>
      <c r="P839" s="611">
        <v>7358.5360000000001</v>
      </c>
    </row>
    <row r="840" spans="1:54" ht="38.25">
      <c r="A840" s="619">
        <v>19</v>
      </c>
      <c r="B840" s="616" t="s">
        <v>1325</v>
      </c>
      <c r="C840" s="616" t="s">
        <v>1307</v>
      </c>
      <c r="P840" s="611">
        <v>53896.4</v>
      </c>
    </row>
    <row r="841" spans="1:54" ht="15">
      <c r="A841" s="1751">
        <v>20</v>
      </c>
      <c r="B841" s="1746" t="s">
        <v>1326</v>
      </c>
      <c r="C841" s="614" t="s">
        <v>1075</v>
      </c>
      <c r="P841" s="611">
        <v>75969.100000000006</v>
      </c>
    </row>
    <row r="842" spans="1:54" ht="15">
      <c r="A842" s="1752"/>
      <c r="B842" s="1747"/>
      <c r="C842" s="615" t="s">
        <v>1197</v>
      </c>
      <c r="AL842" s="611">
        <v>67249.108000000007</v>
      </c>
    </row>
    <row r="843" spans="1:54" ht="15">
      <c r="A843" s="1753"/>
      <c r="B843" s="1748"/>
      <c r="C843" s="616" t="s">
        <v>1307</v>
      </c>
      <c r="P843" s="611">
        <v>8719.9919999999984</v>
      </c>
    </row>
    <row r="844" spans="1:54" ht="15">
      <c r="A844" s="1751">
        <v>21</v>
      </c>
      <c r="B844" s="1746" t="s">
        <v>1327</v>
      </c>
      <c r="C844" s="614" t="s">
        <v>1075</v>
      </c>
      <c r="P844" s="611">
        <v>220830.6</v>
      </c>
    </row>
    <row r="845" spans="1:54" ht="15">
      <c r="A845" s="1752"/>
      <c r="B845" s="1747"/>
      <c r="C845" s="615" t="s">
        <v>1197</v>
      </c>
      <c r="AL845" s="611">
        <v>211725.49900000001</v>
      </c>
    </row>
    <row r="846" spans="1:54" ht="15">
      <c r="A846" s="1753"/>
      <c r="B846" s="1748"/>
      <c r="C846" s="616" t="s">
        <v>1307</v>
      </c>
      <c r="P846" s="611">
        <v>9105.1009999999987</v>
      </c>
    </row>
    <row r="847" spans="1:54" ht="15">
      <c r="A847" s="617">
        <v>22</v>
      </c>
      <c r="B847" s="615" t="s">
        <v>1328</v>
      </c>
      <c r="C847" s="615" t="s">
        <v>1197</v>
      </c>
      <c r="BB847" s="611">
        <v>294473.7</v>
      </c>
    </row>
    <row r="848" spans="1:54" ht="15">
      <c r="A848" s="1743">
        <v>23</v>
      </c>
      <c r="B848" s="1746" t="s">
        <v>1329</v>
      </c>
      <c r="C848" s="618" t="s">
        <v>1075</v>
      </c>
      <c r="P848" s="611">
        <v>279245.10800000001</v>
      </c>
    </row>
    <row r="849" spans="1:38" ht="15">
      <c r="A849" s="1744"/>
      <c r="B849" s="1747"/>
      <c r="C849" s="615" t="s">
        <v>1197</v>
      </c>
      <c r="AL849" s="611">
        <v>268706.36499999999</v>
      </c>
    </row>
    <row r="850" spans="1:38" ht="15">
      <c r="A850" s="1745"/>
      <c r="B850" s="1748"/>
      <c r="C850" s="616" t="s">
        <v>1307</v>
      </c>
      <c r="P850" s="611">
        <v>10538.743</v>
      </c>
    </row>
    <row r="851" spans="1:38" ht="38.25">
      <c r="A851" s="619">
        <v>24</v>
      </c>
      <c r="B851" s="616" t="s">
        <v>1330</v>
      </c>
      <c r="C851" s="616" t="s">
        <v>1307</v>
      </c>
      <c r="P851" s="611">
        <v>13280.7</v>
      </c>
    </row>
    <row r="852" spans="1:38" ht="15">
      <c r="A852" s="1751">
        <v>25</v>
      </c>
      <c r="B852" s="1746" t="s">
        <v>1331</v>
      </c>
      <c r="C852" s="614" t="s">
        <v>1075</v>
      </c>
      <c r="P852" s="611">
        <v>109921.30000000002</v>
      </c>
    </row>
    <row r="853" spans="1:38" ht="15">
      <c r="A853" s="1752"/>
      <c r="B853" s="1747"/>
      <c r="C853" s="615" t="s">
        <v>1197</v>
      </c>
      <c r="AL853" s="611">
        <v>98829.472000000009</v>
      </c>
    </row>
    <row r="854" spans="1:38" ht="15">
      <c r="A854" s="1753"/>
      <c r="B854" s="1748"/>
      <c r="C854" s="616" t="s">
        <v>1307</v>
      </c>
      <c r="P854" s="611">
        <v>11091.828000000001</v>
      </c>
    </row>
    <row r="855" spans="1:38" ht="15">
      <c r="A855" s="1751">
        <v>26</v>
      </c>
      <c r="B855" s="1746" t="s">
        <v>1332</v>
      </c>
      <c r="C855" s="614" t="s">
        <v>1075</v>
      </c>
      <c r="P855" s="611">
        <v>22191.9</v>
      </c>
    </row>
    <row r="856" spans="1:38" ht="15">
      <c r="A856" s="1752"/>
      <c r="B856" s="1747"/>
      <c r="C856" s="615" t="s">
        <v>1197</v>
      </c>
      <c r="AL856" s="611">
        <v>19574.243000000002</v>
      </c>
    </row>
    <row r="857" spans="1:38" ht="15">
      <c r="A857" s="1753"/>
      <c r="B857" s="1748"/>
      <c r="C857" s="616" t="s">
        <v>1307</v>
      </c>
      <c r="P857" s="611">
        <v>2617.6570000000002</v>
      </c>
    </row>
    <row r="858" spans="1:38" ht="15">
      <c r="A858" s="1751">
        <v>27</v>
      </c>
      <c r="B858" s="1746" t="s">
        <v>1333</v>
      </c>
      <c r="C858" s="614" t="s">
        <v>1075</v>
      </c>
      <c r="P858" s="611">
        <v>468152.72000000003</v>
      </c>
    </row>
    <row r="859" spans="1:38" ht="15">
      <c r="A859" s="1752"/>
      <c r="B859" s="1747"/>
      <c r="C859" s="615" t="s">
        <v>1197</v>
      </c>
      <c r="AL859" s="611">
        <v>381543.03100000002</v>
      </c>
    </row>
    <row r="860" spans="1:38" ht="15">
      <c r="A860" s="1752"/>
      <c r="B860" s="1747"/>
      <c r="C860" s="616" t="s">
        <v>1307</v>
      </c>
      <c r="P860" s="611">
        <v>85767.118000000002</v>
      </c>
    </row>
    <row r="861" spans="1:38" ht="15">
      <c r="A861" s="1753"/>
      <c r="B861" s="1748"/>
      <c r="C861" s="616" t="s">
        <v>1202</v>
      </c>
      <c r="P861" s="611">
        <v>842.57100000000003</v>
      </c>
    </row>
    <row r="862" spans="1:38" ht="15">
      <c r="A862" s="1751">
        <v>28</v>
      </c>
      <c r="B862" s="1746" t="s">
        <v>1334</v>
      </c>
      <c r="C862" s="614" t="s">
        <v>1075</v>
      </c>
      <c r="P862" s="611">
        <v>100983.4</v>
      </c>
    </row>
    <row r="863" spans="1:38" ht="15">
      <c r="A863" s="1752"/>
      <c r="B863" s="1747"/>
      <c r="C863" s="615" t="s">
        <v>1197</v>
      </c>
      <c r="AL863" s="611">
        <v>76245.157999999996</v>
      </c>
    </row>
    <row r="864" spans="1:38" ht="15">
      <c r="A864" s="1753"/>
      <c r="B864" s="1748"/>
      <c r="C864" s="616" t="s">
        <v>1307</v>
      </c>
      <c r="P864" s="611">
        <v>24738.241999999998</v>
      </c>
    </row>
    <row r="865" spans="1:38" ht="15">
      <c r="A865" s="1751">
        <v>29</v>
      </c>
      <c r="B865" s="1746" t="s">
        <v>1335</v>
      </c>
      <c r="C865" s="614" t="s">
        <v>1075</v>
      </c>
      <c r="P865" s="611">
        <v>39451</v>
      </c>
    </row>
    <row r="866" spans="1:38" ht="15">
      <c r="A866" s="1752"/>
      <c r="B866" s="1747"/>
      <c r="C866" s="615" t="s">
        <v>1197</v>
      </c>
      <c r="AL866" s="611">
        <v>35864.067000000003</v>
      </c>
    </row>
    <row r="867" spans="1:38" ht="15">
      <c r="A867" s="1753"/>
      <c r="B867" s="1748"/>
      <c r="C867" s="616" t="s">
        <v>1307</v>
      </c>
      <c r="P867" s="611">
        <v>3586.9329999999995</v>
      </c>
    </row>
    <row r="868" spans="1:38" ht="15">
      <c r="A868" s="617">
        <v>30</v>
      </c>
      <c r="B868" s="615" t="s">
        <v>1336</v>
      </c>
      <c r="C868" s="615" t="s">
        <v>1197</v>
      </c>
      <c r="AL868" s="611">
        <v>20348.3</v>
      </c>
    </row>
    <row r="869" spans="1:38" ht="15">
      <c r="A869" s="1743">
        <v>31</v>
      </c>
      <c r="B869" s="1746" t="s">
        <v>1337</v>
      </c>
      <c r="C869" s="618" t="s">
        <v>1075</v>
      </c>
      <c r="P869" s="611">
        <v>351033.1</v>
      </c>
    </row>
    <row r="870" spans="1:38" ht="15">
      <c r="A870" s="1744"/>
      <c r="B870" s="1747"/>
      <c r="C870" s="615" t="s">
        <v>1197</v>
      </c>
      <c r="AL870" s="611">
        <v>342550.511</v>
      </c>
    </row>
    <row r="871" spans="1:38" ht="15">
      <c r="A871" s="1745"/>
      <c r="B871" s="1748"/>
      <c r="C871" s="616" t="s">
        <v>1307</v>
      </c>
      <c r="P871" s="611">
        <v>8482.5889999999999</v>
      </c>
    </row>
    <row r="872" spans="1:38" ht="15">
      <c r="A872" s="1743">
        <v>32</v>
      </c>
      <c r="B872" s="1746" t="s">
        <v>1338</v>
      </c>
      <c r="C872" s="614" t="s">
        <v>1075</v>
      </c>
      <c r="P872" s="611">
        <v>276244.28399999999</v>
      </c>
    </row>
    <row r="873" spans="1:38" ht="15">
      <c r="A873" s="1744"/>
      <c r="B873" s="1747"/>
      <c r="C873" s="615" t="s">
        <v>1197</v>
      </c>
      <c r="AL873" s="611">
        <v>243487.05199999997</v>
      </c>
    </row>
    <row r="874" spans="1:38" ht="15">
      <c r="A874" s="1745"/>
      <c r="B874" s="1748"/>
      <c r="C874" s="616" t="s">
        <v>1307</v>
      </c>
      <c r="P874" s="611">
        <v>32757.231999999996</v>
      </c>
    </row>
    <row r="875" spans="1:38" ht="15">
      <c r="A875" s="1743">
        <v>33</v>
      </c>
      <c r="B875" s="1746" t="s">
        <v>1339</v>
      </c>
      <c r="C875" s="614" t="s">
        <v>1075</v>
      </c>
      <c r="P875" s="611">
        <v>535625.49</v>
      </c>
    </row>
    <row r="876" spans="1:38" ht="15">
      <c r="A876" s="1744"/>
      <c r="B876" s="1747"/>
      <c r="C876" s="615" t="s">
        <v>1197</v>
      </c>
      <c r="AL876" s="611">
        <v>520474.10100000002</v>
      </c>
    </row>
    <row r="877" spans="1:38" ht="15">
      <c r="A877" s="1745"/>
      <c r="B877" s="1748"/>
      <c r="C877" s="616" t="s">
        <v>1307</v>
      </c>
      <c r="P877" s="611">
        <v>15151.389000000001</v>
      </c>
    </row>
    <row r="878" spans="1:38" ht="38.25">
      <c r="A878" s="619">
        <v>34</v>
      </c>
      <c r="B878" s="616" t="s">
        <v>1340</v>
      </c>
      <c r="C878" s="616" t="s">
        <v>1307</v>
      </c>
      <c r="P878" s="611">
        <v>54745.2</v>
      </c>
    </row>
    <row r="879" spans="1:38" ht="15">
      <c r="A879" s="1751">
        <v>35</v>
      </c>
      <c r="B879" s="1746" t="s">
        <v>1341</v>
      </c>
      <c r="C879" s="614" t="s">
        <v>1075</v>
      </c>
      <c r="P879" s="611">
        <v>40037.9</v>
      </c>
    </row>
    <row r="880" spans="1:38" ht="15">
      <c r="A880" s="1752"/>
      <c r="B880" s="1747"/>
      <c r="C880" s="615" t="s">
        <v>1197</v>
      </c>
      <c r="AL880" s="611">
        <v>33980.681000000004</v>
      </c>
    </row>
    <row r="881" spans="1:38" ht="15">
      <c r="A881" s="1753"/>
      <c r="B881" s="1748"/>
      <c r="C881" s="616" t="s">
        <v>1307</v>
      </c>
      <c r="P881" s="611">
        <v>6057.2190000000001</v>
      </c>
    </row>
    <row r="882" spans="1:38" ht="15">
      <c r="A882" s="1751">
        <v>36</v>
      </c>
      <c r="B882" s="1746" t="s">
        <v>1342</v>
      </c>
      <c r="C882" s="614" t="s">
        <v>1075</v>
      </c>
      <c r="P882" s="611">
        <v>73245.8</v>
      </c>
    </row>
    <row r="883" spans="1:38" ht="15">
      <c r="A883" s="1752"/>
      <c r="B883" s="1747"/>
      <c r="C883" s="615" t="s">
        <v>1197</v>
      </c>
      <c r="AL883" s="611">
        <v>65651.142999999996</v>
      </c>
    </row>
    <row r="884" spans="1:38" ht="15">
      <c r="A884" s="1753"/>
      <c r="B884" s="1748"/>
      <c r="C884" s="616" t="s">
        <v>1307</v>
      </c>
      <c r="P884" s="611">
        <v>7594.6570000000011</v>
      </c>
    </row>
    <row r="885" spans="1:38" ht="15">
      <c r="A885" s="1751">
        <v>37</v>
      </c>
      <c r="B885" s="1746" t="s">
        <v>1343</v>
      </c>
      <c r="C885" s="614" t="s">
        <v>1075</v>
      </c>
      <c r="P885" s="611">
        <v>30111.3</v>
      </c>
    </row>
    <row r="886" spans="1:38" ht="15">
      <c r="A886" s="1752"/>
      <c r="B886" s="1747"/>
      <c r="C886" s="615" t="s">
        <v>1197</v>
      </c>
      <c r="AL886" s="611">
        <v>25915.092000000001</v>
      </c>
    </row>
    <row r="887" spans="1:38" ht="15">
      <c r="A887" s="1753"/>
      <c r="B887" s="1748"/>
      <c r="C887" s="616" t="s">
        <v>1307</v>
      </c>
      <c r="P887" s="611">
        <v>4196.2079999999996</v>
      </c>
    </row>
    <row r="888" spans="1:38" ht="15">
      <c r="A888" s="1751">
        <v>38</v>
      </c>
      <c r="B888" s="1746" t="s">
        <v>1344</v>
      </c>
      <c r="C888" s="614" t="s">
        <v>1075</v>
      </c>
      <c r="P888" s="611">
        <v>265072.56900000002</v>
      </c>
    </row>
    <row r="889" spans="1:38" ht="15">
      <c r="A889" s="1752"/>
      <c r="B889" s="1747"/>
      <c r="C889" s="615" t="s">
        <v>1197</v>
      </c>
      <c r="AL889" s="611">
        <v>235016.019</v>
      </c>
    </row>
    <row r="890" spans="1:38" ht="15">
      <c r="A890" s="1753"/>
      <c r="B890" s="1748"/>
      <c r="C890" s="616" t="s">
        <v>1307</v>
      </c>
      <c r="P890" s="611">
        <v>30056.55</v>
      </c>
    </row>
    <row r="891" spans="1:38" ht="15">
      <c r="A891" s="617">
        <v>39</v>
      </c>
      <c r="B891" s="615" t="s">
        <v>1345</v>
      </c>
      <c r="C891" s="615" t="s">
        <v>1197</v>
      </c>
      <c r="AL891" s="611">
        <v>21341.200000000001</v>
      </c>
    </row>
    <row r="892" spans="1:38" ht="15">
      <c r="A892" s="1743">
        <v>40</v>
      </c>
      <c r="B892" s="1746" t="s">
        <v>1346</v>
      </c>
      <c r="C892" s="618" t="s">
        <v>1075</v>
      </c>
      <c r="P892" s="611">
        <v>187460.94</v>
      </c>
    </row>
    <row r="893" spans="1:38" ht="15">
      <c r="A893" s="1744"/>
      <c r="B893" s="1747"/>
      <c r="C893" s="615" t="s">
        <v>1197</v>
      </c>
      <c r="AL893" s="611">
        <v>170926.13700000002</v>
      </c>
    </row>
    <row r="894" spans="1:38" ht="15">
      <c r="A894" s="1745"/>
      <c r="B894" s="1748"/>
      <c r="C894" s="616" t="s">
        <v>1307</v>
      </c>
      <c r="P894" s="611">
        <v>16534.803</v>
      </c>
    </row>
    <row r="895" spans="1:38" ht="15">
      <c r="A895" s="1743">
        <v>41</v>
      </c>
      <c r="B895" s="1746" t="s">
        <v>1347</v>
      </c>
      <c r="C895" s="614" t="s">
        <v>1075</v>
      </c>
      <c r="P895" s="611">
        <v>64313.000000000007</v>
      </c>
    </row>
    <row r="896" spans="1:38" ht="15">
      <c r="A896" s="1744"/>
      <c r="B896" s="1747"/>
      <c r="C896" s="615" t="s">
        <v>1197</v>
      </c>
      <c r="AL896" s="611">
        <v>60901.899000000005</v>
      </c>
    </row>
    <row r="897" spans="1:54" ht="15">
      <c r="A897" s="1745"/>
      <c r="B897" s="1748"/>
      <c r="C897" s="616" t="s">
        <v>1307</v>
      </c>
      <c r="P897" s="611">
        <v>3411.1009999999997</v>
      </c>
    </row>
    <row r="898" spans="1:54" ht="15">
      <c r="A898" s="1743">
        <v>42</v>
      </c>
      <c r="B898" s="1746" t="s">
        <v>1348</v>
      </c>
      <c r="C898" s="614" t="s">
        <v>1075</v>
      </c>
      <c r="P898" s="611">
        <v>192788.43599999999</v>
      </c>
    </row>
    <row r="899" spans="1:54" ht="15">
      <c r="A899" s="1744"/>
      <c r="B899" s="1747"/>
      <c r="C899" s="615" t="s">
        <v>1197</v>
      </c>
      <c r="AL899" s="611">
        <v>174689.579</v>
      </c>
    </row>
    <row r="900" spans="1:54" ht="15">
      <c r="A900" s="1745"/>
      <c r="B900" s="1748"/>
      <c r="C900" s="616" t="s">
        <v>1307</v>
      </c>
      <c r="P900" s="611">
        <v>18098.857</v>
      </c>
    </row>
    <row r="901" spans="1:54" ht="15">
      <c r="A901" s="617">
        <v>43</v>
      </c>
      <c r="B901" s="615" t="s">
        <v>1349</v>
      </c>
      <c r="C901" s="615" t="s">
        <v>1197</v>
      </c>
      <c r="AL901" s="611">
        <v>229013.25800000003</v>
      </c>
    </row>
    <row r="902" spans="1:54" ht="15">
      <c r="A902" s="619">
        <v>44</v>
      </c>
      <c r="B902" s="616" t="s">
        <v>1350</v>
      </c>
      <c r="C902" s="616" t="s">
        <v>1307</v>
      </c>
      <c r="P902" s="611">
        <v>30962.400000000001</v>
      </c>
    </row>
    <row r="903" spans="1:54" ht="15">
      <c r="A903" s="617">
        <v>45</v>
      </c>
      <c r="B903" s="615" t="s">
        <v>1351</v>
      </c>
      <c r="C903" s="615" t="s">
        <v>1197</v>
      </c>
      <c r="BB903" s="611">
        <v>146265.79999999999</v>
      </c>
    </row>
    <row r="904" spans="1:54" ht="15">
      <c r="A904" s="617">
        <v>46</v>
      </c>
      <c r="B904" s="615" t="s">
        <v>1352</v>
      </c>
      <c r="C904" s="615" t="s">
        <v>1197</v>
      </c>
      <c r="AL904" s="611">
        <v>15475.6</v>
      </c>
    </row>
    <row r="905" spans="1:54" ht="15">
      <c r="A905" s="617">
        <v>47</v>
      </c>
      <c r="B905" s="615" t="s">
        <v>1353</v>
      </c>
      <c r="C905" s="615" t="s">
        <v>1197</v>
      </c>
      <c r="AL905" s="611">
        <v>25493.7</v>
      </c>
    </row>
    <row r="906" spans="1:54" ht="15">
      <c r="A906" s="1743">
        <v>48</v>
      </c>
      <c r="B906" s="1746" t="s">
        <v>1354</v>
      </c>
      <c r="C906" s="618" t="s">
        <v>1075</v>
      </c>
      <c r="P906" s="611">
        <v>193835.63799999998</v>
      </c>
    </row>
    <row r="907" spans="1:54" ht="15">
      <c r="A907" s="1744"/>
      <c r="B907" s="1747"/>
      <c r="C907" s="615" t="s">
        <v>1197</v>
      </c>
      <c r="AL907" s="611">
        <v>172783.79499999998</v>
      </c>
    </row>
    <row r="908" spans="1:54" ht="15">
      <c r="A908" s="1745"/>
      <c r="B908" s="1748"/>
      <c r="C908" s="616" t="s">
        <v>1307</v>
      </c>
      <c r="P908" s="611">
        <v>21051.843000000001</v>
      </c>
    </row>
    <row r="909" spans="1:54" ht="15">
      <c r="A909" s="1743">
        <v>49</v>
      </c>
      <c r="B909" s="1746" t="s">
        <v>1355</v>
      </c>
      <c r="C909" s="614" t="s">
        <v>1075</v>
      </c>
      <c r="P909" s="611">
        <v>22277.4</v>
      </c>
    </row>
    <row r="910" spans="1:54" ht="15">
      <c r="A910" s="1744"/>
      <c r="B910" s="1747"/>
      <c r="C910" s="615" t="s">
        <v>1197</v>
      </c>
      <c r="AL910" s="611">
        <v>19998.55</v>
      </c>
    </row>
    <row r="911" spans="1:54" ht="15">
      <c r="A911" s="1745"/>
      <c r="B911" s="1748"/>
      <c r="C911" s="616" t="s">
        <v>1307</v>
      </c>
      <c r="P911" s="611">
        <v>2278.8500000000004</v>
      </c>
    </row>
    <row r="912" spans="1:54" ht="15">
      <c r="A912" s="1743">
        <v>50</v>
      </c>
      <c r="B912" s="1746" t="s">
        <v>1356</v>
      </c>
      <c r="C912" s="614" t="s">
        <v>1075</v>
      </c>
      <c r="P912" s="611">
        <v>143697.70000000001</v>
      </c>
    </row>
    <row r="913" spans="1:38" ht="15">
      <c r="A913" s="1744"/>
      <c r="B913" s="1747"/>
      <c r="C913" s="615" t="s">
        <v>1197</v>
      </c>
      <c r="AL913" s="611">
        <v>133988.05100000001</v>
      </c>
    </row>
    <row r="914" spans="1:38" ht="15">
      <c r="A914" s="1745"/>
      <c r="B914" s="1748"/>
      <c r="C914" s="616" t="s">
        <v>1307</v>
      </c>
      <c r="P914" s="611">
        <v>9709.6490000000013</v>
      </c>
    </row>
    <row r="915" spans="1:38" ht="15">
      <c r="A915" s="1743">
        <v>51</v>
      </c>
      <c r="B915" s="1746" t="s">
        <v>1357</v>
      </c>
      <c r="C915" s="614" t="s">
        <v>1075</v>
      </c>
      <c r="P915" s="611">
        <v>23545.5</v>
      </c>
    </row>
    <row r="916" spans="1:38" ht="15">
      <c r="A916" s="1744"/>
      <c r="B916" s="1747"/>
      <c r="C916" s="615" t="s">
        <v>1197</v>
      </c>
      <c r="AL916" s="611">
        <v>20839.326000000001</v>
      </c>
    </row>
    <row r="917" spans="1:38" ht="15">
      <c r="A917" s="1745"/>
      <c r="B917" s="1748"/>
      <c r="C917" s="616" t="s">
        <v>1307</v>
      </c>
      <c r="P917" s="611">
        <v>2706.174</v>
      </c>
    </row>
    <row r="918" spans="1:38" ht="15">
      <c r="A918" s="1743">
        <v>52</v>
      </c>
      <c r="B918" s="1746" t="s">
        <v>1358</v>
      </c>
      <c r="C918" s="614" t="s">
        <v>1075</v>
      </c>
      <c r="P918" s="611">
        <v>182448.60700000002</v>
      </c>
    </row>
    <row r="919" spans="1:38" ht="15">
      <c r="A919" s="1744"/>
      <c r="B919" s="1747"/>
      <c r="C919" s="615" t="s">
        <v>1197</v>
      </c>
      <c r="AL919" s="611">
        <v>154807.095</v>
      </c>
    </row>
    <row r="920" spans="1:38" ht="15">
      <c r="A920" s="1745"/>
      <c r="B920" s="1748"/>
      <c r="C920" s="616" t="s">
        <v>1307</v>
      </c>
      <c r="P920" s="611">
        <v>27641.512000000002</v>
      </c>
    </row>
    <row r="921" spans="1:38" ht="15">
      <c r="A921" s="1743">
        <v>53</v>
      </c>
      <c r="B921" s="1746" t="s">
        <v>1359</v>
      </c>
      <c r="C921" s="614" t="s">
        <v>1075</v>
      </c>
      <c r="P921" s="611">
        <v>48123.6</v>
      </c>
    </row>
    <row r="922" spans="1:38" ht="15">
      <c r="A922" s="1744"/>
      <c r="B922" s="1747"/>
      <c r="C922" s="615" t="s">
        <v>1197</v>
      </c>
      <c r="AL922" s="611">
        <v>45080.858999999997</v>
      </c>
    </row>
    <row r="923" spans="1:38" ht="15">
      <c r="A923" s="1745"/>
      <c r="B923" s="1748"/>
      <c r="C923" s="616" t="s">
        <v>1307</v>
      </c>
      <c r="P923" s="611">
        <v>3042.741</v>
      </c>
    </row>
    <row r="924" spans="1:38" ht="15">
      <c r="A924" s="617">
        <v>54</v>
      </c>
      <c r="B924" s="615" t="s">
        <v>1360</v>
      </c>
      <c r="C924" s="615" t="s">
        <v>1197</v>
      </c>
      <c r="AL924" s="611">
        <v>430066.67799999996</v>
      </c>
    </row>
    <row r="925" spans="1:38" ht="15">
      <c r="A925" s="619">
        <v>55</v>
      </c>
      <c r="B925" s="616" t="s">
        <v>1361</v>
      </c>
      <c r="C925" s="616" t="s">
        <v>1307</v>
      </c>
      <c r="P925" s="611">
        <v>36809</v>
      </c>
    </row>
    <row r="926" spans="1:38" ht="15">
      <c r="A926" s="1751">
        <v>56</v>
      </c>
      <c r="B926" s="1746" t="s">
        <v>1362</v>
      </c>
      <c r="C926" s="614" t="s">
        <v>1075</v>
      </c>
      <c r="P926" s="611">
        <v>46964.2</v>
      </c>
    </row>
    <row r="927" spans="1:38" ht="15">
      <c r="A927" s="1752"/>
      <c r="B927" s="1747"/>
      <c r="C927" s="615" t="s">
        <v>1197</v>
      </c>
      <c r="AL927" s="611">
        <v>35731.581999999995</v>
      </c>
    </row>
    <row r="928" spans="1:38" ht="15">
      <c r="A928" s="1753"/>
      <c r="B928" s="1748"/>
      <c r="C928" s="616" t="s">
        <v>1307</v>
      </c>
      <c r="P928" s="611">
        <v>11232.618</v>
      </c>
    </row>
    <row r="929" spans="1:38" ht="15">
      <c r="A929" s="1751">
        <v>57</v>
      </c>
      <c r="B929" s="1746" t="s">
        <v>1363</v>
      </c>
      <c r="C929" s="614" t="s">
        <v>1075</v>
      </c>
      <c r="P929" s="611">
        <v>25514.3</v>
      </c>
    </row>
    <row r="930" spans="1:38" ht="15">
      <c r="A930" s="1752"/>
      <c r="B930" s="1747"/>
      <c r="C930" s="615" t="s">
        <v>1197</v>
      </c>
      <c r="AL930" s="611">
        <v>22767.725999999999</v>
      </c>
    </row>
    <row r="931" spans="1:38" ht="15">
      <c r="A931" s="1753"/>
      <c r="B931" s="1748"/>
      <c r="C931" s="616" t="s">
        <v>1307</v>
      </c>
      <c r="P931" s="611">
        <v>2746.5740000000001</v>
      </c>
    </row>
    <row r="932" spans="1:38" ht="15">
      <c r="A932" s="1751">
        <v>58</v>
      </c>
      <c r="B932" s="1746" t="s">
        <v>1364</v>
      </c>
      <c r="C932" s="614" t="s">
        <v>1075</v>
      </c>
      <c r="P932" s="611">
        <v>181296.57199999999</v>
      </c>
    </row>
    <row r="933" spans="1:38" ht="15">
      <c r="A933" s="1752"/>
      <c r="B933" s="1747"/>
      <c r="C933" s="615" t="s">
        <v>1197</v>
      </c>
      <c r="AL933" s="611">
        <v>170615.83199999999</v>
      </c>
    </row>
    <row r="934" spans="1:38" ht="15">
      <c r="A934" s="1753"/>
      <c r="B934" s="1748"/>
      <c r="C934" s="616" t="s">
        <v>1307</v>
      </c>
      <c r="P934" s="611">
        <v>10680.74</v>
      </c>
    </row>
    <row r="935" spans="1:38" ht="15">
      <c r="A935" s="617">
        <v>59</v>
      </c>
      <c r="B935" s="615" t="s">
        <v>1365</v>
      </c>
      <c r="C935" s="615" t="s">
        <v>1197</v>
      </c>
      <c r="AL935" s="611">
        <v>18841.2</v>
      </c>
    </row>
    <row r="936" spans="1:38" ht="15">
      <c r="A936" s="617">
        <v>60</v>
      </c>
      <c r="B936" s="615" t="s">
        <v>1366</v>
      </c>
      <c r="C936" s="615" t="s">
        <v>1197</v>
      </c>
      <c r="AL936" s="611">
        <v>20348.3</v>
      </c>
    </row>
    <row r="937" spans="1:38" ht="15">
      <c r="A937" s="1743">
        <v>61</v>
      </c>
      <c r="B937" s="1746" t="s">
        <v>1367</v>
      </c>
      <c r="C937" s="618" t="s">
        <v>1075</v>
      </c>
      <c r="P937" s="611">
        <v>245109.14199999999</v>
      </c>
    </row>
    <row r="938" spans="1:38" ht="15">
      <c r="A938" s="1744"/>
      <c r="B938" s="1747"/>
      <c r="C938" s="615" t="s">
        <v>1197</v>
      </c>
      <c r="AL938" s="611">
        <v>234169.34100000001</v>
      </c>
    </row>
    <row r="939" spans="1:38" ht="15">
      <c r="A939" s="1744"/>
      <c r="B939" s="1747"/>
      <c r="C939" s="616" t="s">
        <v>1307</v>
      </c>
      <c r="P939" s="611">
        <v>8415.1530000000002</v>
      </c>
    </row>
    <row r="940" spans="1:38" ht="15">
      <c r="A940" s="1745"/>
      <c r="B940" s="1748"/>
      <c r="C940" s="616" t="s">
        <v>1202</v>
      </c>
      <c r="P940" s="611">
        <v>2524.6480000000001</v>
      </c>
    </row>
    <row r="941" spans="1:38" ht="38.25">
      <c r="A941" s="619">
        <v>62</v>
      </c>
      <c r="B941" s="616" t="s">
        <v>1368</v>
      </c>
      <c r="C941" s="616" t="s">
        <v>1307</v>
      </c>
      <c r="P941" s="611">
        <v>16134.9</v>
      </c>
    </row>
    <row r="942" spans="1:38" ht="15">
      <c r="A942" s="1751">
        <v>63</v>
      </c>
      <c r="B942" s="1746" t="s">
        <v>1369</v>
      </c>
      <c r="C942" s="614" t="s">
        <v>1075</v>
      </c>
      <c r="P942" s="611">
        <v>152950.13000000003</v>
      </c>
    </row>
    <row r="943" spans="1:38" ht="15">
      <c r="A943" s="1752"/>
      <c r="B943" s="1747"/>
      <c r="C943" s="615" t="s">
        <v>1197</v>
      </c>
      <c r="AL943" s="611">
        <v>133791.04100000003</v>
      </c>
    </row>
    <row r="944" spans="1:38" ht="15">
      <c r="A944" s="1753"/>
      <c r="B944" s="1748"/>
      <c r="C944" s="616" t="s">
        <v>1307</v>
      </c>
      <c r="P944" s="611">
        <v>19159.089</v>
      </c>
    </row>
    <row r="945" spans="1:46" ht="15">
      <c r="A945" s="1751">
        <v>64</v>
      </c>
      <c r="B945" s="1746" t="s">
        <v>1370</v>
      </c>
      <c r="C945" s="614" t="s">
        <v>1075</v>
      </c>
      <c r="P945" s="611">
        <v>25029.899999999998</v>
      </c>
    </row>
    <row r="946" spans="1:46" ht="15">
      <c r="A946" s="1752"/>
      <c r="B946" s="1747"/>
      <c r="C946" s="615" t="s">
        <v>1197</v>
      </c>
      <c r="AL946" s="611">
        <v>22998.969999999998</v>
      </c>
    </row>
    <row r="947" spans="1:46" ht="15">
      <c r="A947" s="1753"/>
      <c r="B947" s="1748"/>
      <c r="C947" s="616" t="s">
        <v>1307</v>
      </c>
      <c r="P947" s="611">
        <v>2030.9299999999998</v>
      </c>
    </row>
    <row r="948" spans="1:46" ht="15">
      <c r="A948" s="617">
        <v>65</v>
      </c>
      <c r="B948" s="615" t="s">
        <v>1371</v>
      </c>
      <c r="C948" s="615" t="s">
        <v>1197</v>
      </c>
      <c r="AT948" s="611">
        <v>1176.0419999999999</v>
      </c>
    </row>
    <row r="949" spans="1:46" ht="15">
      <c r="A949" s="1743">
        <v>66</v>
      </c>
      <c r="B949" s="1746" t="s">
        <v>1372</v>
      </c>
      <c r="C949" s="618" t="s">
        <v>1075</v>
      </c>
      <c r="P949" s="611">
        <v>37941.199999999997</v>
      </c>
    </row>
    <row r="950" spans="1:46" ht="15">
      <c r="A950" s="1744"/>
      <c r="B950" s="1747"/>
      <c r="C950" s="615" t="s">
        <v>1197</v>
      </c>
      <c r="AL950" s="611">
        <v>26017.094000000001</v>
      </c>
    </row>
    <row r="951" spans="1:46" ht="15">
      <c r="A951" s="1745"/>
      <c r="B951" s="1748"/>
      <c r="C951" s="616" t="s">
        <v>1198</v>
      </c>
      <c r="P951" s="611">
        <v>11924.106</v>
      </c>
    </row>
    <row r="952" spans="1:46" ht="15">
      <c r="A952" s="617">
        <v>67</v>
      </c>
      <c r="B952" s="615" t="s">
        <v>1373</v>
      </c>
      <c r="C952" s="615" t="s">
        <v>1197</v>
      </c>
      <c r="AL952" s="611">
        <v>52682.400000000001</v>
      </c>
    </row>
    <row r="953" spans="1:46" ht="15">
      <c r="A953" s="1743">
        <v>68</v>
      </c>
      <c r="B953" s="1746" t="s">
        <v>1374</v>
      </c>
      <c r="C953" s="615" t="s">
        <v>1075</v>
      </c>
      <c r="P953" s="611">
        <v>104005.9</v>
      </c>
    </row>
    <row r="954" spans="1:46" ht="15">
      <c r="A954" s="1744"/>
      <c r="B954" s="1747"/>
      <c r="C954" s="615" t="s">
        <v>1197</v>
      </c>
      <c r="AL954" s="611">
        <v>103360.348</v>
      </c>
    </row>
    <row r="955" spans="1:46" ht="15">
      <c r="A955" s="1745"/>
      <c r="B955" s="1748"/>
      <c r="C955" s="615" t="s">
        <v>1202</v>
      </c>
      <c r="P955" s="611">
        <v>645.55200000000002</v>
      </c>
    </row>
    <row r="956" spans="1:46" ht="15">
      <c r="A956" s="1751">
        <v>69</v>
      </c>
      <c r="B956" s="1754" t="s">
        <v>1375</v>
      </c>
      <c r="C956" s="614" t="s">
        <v>1075</v>
      </c>
      <c r="P956" s="611">
        <v>1046420.9010000001</v>
      </c>
    </row>
    <row r="957" spans="1:46" ht="15">
      <c r="A957" s="1752"/>
      <c r="B957" s="1755"/>
      <c r="C957" s="616" t="s">
        <v>1197</v>
      </c>
      <c r="AL957" s="611">
        <v>425092.43399999995</v>
      </c>
    </row>
    <row r="958" spans="1:46" ht="15">
      <c r="A958" s="1752"/>
      <c r="B958" s="1755"/>
      <c r="C958" s="616" t="s">
        <v>1198</v>
      </c>
      <c r="P958" s="611">
        <v>616743.74800000002</v>
      </c>
    </row>
    <row r="959" spans="1:46" ht="15">
      <c r="A959" s="1753"/>
      <c r="B959" s="1756"/>
      <c r="C959" s="616" t="s">
        <v>1307</v>
      </c>
      <c r="P959" s="611">
        <v>4584.7189999999991</v>
      </c>
    </row>
    <row r="960" spans="1:46" ht="15">
      <c r="A960" s="617">
        <v>70</v>
      </c>
      <c r="B960" s="615" t="s">
        <v>1376</v>
      </c>
      <c r="C960" s="615" t="s">
        <v>1197</v>
      </c>
      <c r="AL960" s="611">
        <v>24841.200000000001</v>
      </c>
    </row>
    <row r="961" spans="1:111" ht="15">
      <c r="A961" s="617">
        <v>71</v>
      </c>
      <c r="B961" s="615" t="s">
        <v>1377</v>
      </c>
      <c r="C961" s="615" t="s">
        <v>1197</v>
      </c>
      <c r="AL961" s="611">
        <v>54508.6</v>
      </c>
    </row>
    <row r="962" spans="1:111" ht="25.5">
      <c r="A962" s="617">
        <v>72</v>
      </c>
      <c r="B962" s="615" t="s">
        <v>1378</v>
      </c>
      <c r="C962" s="615" t="s">
        <v>1197</v>
      </c>
      <c r="AL962" s="611">
        <v>85523.6</v>
      </c>
    </row>
    <row r="963" spans="1:111" ht="25.5">
      <c r="A963" s="617">
        <v>73</v>
      </c>
      <c r="B963" s="615" t="s">
        <v>1379</v>
      </c>
      <c r="C963" s="615" t="s">
        <v>1197</v>
      </c>
      <c r="BD963" s="611">
        <v>15073.1</v>
      </c>
    </row>
    <row r="964" spans="1:111" ht="15">
      <c r="A964" s="1743">
        <v>74</v>
      </c>
      <c r="B964" s="1746" t="s">
        <v>1380</v>
      </c>
      <c r="C964" s="618" t="s">
        <v>1075</v>
      </c>
      <c r="P964" s="611">
        <v>17383.101000000002</v>
      </c>
    </row>
    <row r="965" spans="1:111" ht="15">
      <c r="A965" s="1744"/>
      <c r="B965" s="1747"/>
      <c r="C965" s="615" t="s">
        <v>1197</v>
      </c>
      <c r="AL965" s="611">
        <v>13362.781000000001</v>
      </c>
    </row>
    <row r="966" spans="1:111" ht="15">
      <c r="A966" s="1745"/>
      <c r="B966" s="1748"/>
      <c r="C966" s="616" t="s">
        <v>1198</v>
      </c>
      <c r="P966" s="611">
        <v>4020.3199999999997</v>
      </c>
    </row>
    <row r="967" spans="1:111" ht="15">
      <c r="A967" s="617">
        <v>75</v>
      </c>
      <c r="B967" s="615" t="s">
        <v>1381</v>
      </c>
      <c r="C967" s="615" t="s">
        <v>1197</v>
      </c>
      <c r="P967" s="611">
        <v>13536.2</v>
      </c>
    </row>
    <row r="968" spans="1:111" ht="38.25">
      <c r="A968" s="619">
        <v>76</v>
      </c>
      <c r="B968" s="616" t="s">
        <v>1382</v>
      </c>
      <c r="C968" s="616" t="s">
        <v>1307</v>
      </c>
      <c r="P968" s="611">
        <v>13990.9</v>
      </c>
    </row>
    <row r="969" spans="1:111" ht="15">
      <c r="A969" s="619">
        <v>77</v>
      </c>
      <c r="B969" s="616" t="s">
        <v>1383</v>
      </c>
      <c r="C969" s="616" t="s">
        <v>1307</v>
      </c>
      <c r="P969" s="611">
        <v>17523.599999999999</v>
      </c>
    </row>
    <row r="970" spans="1:111" ht="15">
      <c r="A970" s="619">
        <v>78</v>
      </c>
      <c r="B970" s="616" t="s">
        <v>1384</v>
      </c>
      <c r="C970" s="616" t="s">
        <v>1307</v>
      </c>
      <c r="P970" s="611">
        <v>4841.2</v>
      </c>
    </row>
    <row r="971" spans="1:111" ht="15">
      <c r="A971" s="619">
        <v>79</v>
      </c>
      <c r="B971" s="278" t="s">
        <v>1385</v>
      </c>
      <c r="C971" s="616" t="s">
        <v>1307</v>
      </c>
      <c r="P971" s="611">
        <v>3146.5</v>
      </c>
    </row>
    <row r="972" spans="1:111" ht="15">
      <c r="A972" s="619">
        <v>80</v>
      </c>
      <c r="B972" s="616" t="s">
        <v>1386</v>
      </c>
      <c r="C972" s="616" t="s">
        <v>1307</v>
      </c>
      <c r="P972" s="611">
        <v>49383.34</v>
      </c>
    </row>
    <row r="973" spans="1:111" ht="15">
      <c r="A973" s="619">
        <v>81</v>
      </c>
      <c r="B973" s="616" t="s">
        <v>1387</v>
      </c>
      <c r="C973" s="616" t="s">
        <v>1307</v>
      </c>
      <c r="P973" s="611">
        <v>1983.6</v>
      </c>
    </row>
    <row r="974" spans="1:111">
      <c r="A974" s="1750" t="s">
        <v>1198</v>
      </c>
      <c r="B974" s="1750"/>
      <c r="C974" s="1750"/>
      <c r="D974" s="1750"/>
      <c r="E974" s="1750"/>
      <c r="F974" s="1750"/>
      <c r="G974" s="1750"/>
      <c r="H974" s="1750"/>
      <c r="I974" s="1750"/>
      <c r="J974" s="1750"/>
      <c r="K974" s="1750"/>
      <c r="L974" s="1750"/>
      <c r="M974" s="1750"/>
      <c r="N974" s="1750"/>
      <c r="O974" s="1750"/>
      <c r="P974" s="1750"/>
      <c r="AL974" s="561">
        <f>SUM(AL975:AL1158)</f>
        <v>138995.378</v>
      </c>
      <c r="AM974" s="561">
        <f t="shared" ref="AM974:CX974" si="86">SUM(AM975:AM1158)</f>
        <v>0</v>
      </c>
      <c r="AN974" s="561">
        <f t="shared" si="86"/>
        <v>0</v>
      </c>
      <c r="AO974" s="561">
        <f t="shared" si="86"/>
        <v>0</v>
      </c>
      <c r="AP974" s="561">
        <f t="shared" si="86"/>
        <v>0</v>
      </c>
      <c r="AQ974" s="561">
        <f t="shared" si="86"/>
        <v>0</v>
      </c>
      <c r="AR974" s="561">
        <f t="shared" si="86"/>
        <v>355741.84399999998</v>
      </c>
      <c r="AS974" s="561">
        <f t="shared" si="86"/>
        <v>0</v>
      </c>
      <c r="AT974" s="561">
        <f t="shared" si="86"/>
        <v>0</v>
      </c>
      <c r="AU974" s="561">
        <f t="shared" si="86"/>
        <v>0</v>
      </c>
      <c r="AV974" s="561">
        <f t="shared" si="86"/>
        <v>0</v>
      </c>
      <c r="AW974" s="561">
        <f t="shared" si="86"/>
        <v>0</v>
      </c>
      <c r="AX974" s="561">
        <f t="shared" si="86"/>
        <v>0</v>
      </c>
      <c r="AY974" s="561">
        <f t="shared" si="86"/>
        <v>0</v>
      </c>
      <c r="AZ974" s="561">
        <f t="shared" si="86"/>
        <v>0</v>
      </c>
      <c r="BA974" s="561">
        <f t="shared" si="86"/>
        <v>0</v>
      </c>
      <c r="BB974" s="561">
        <f t="shared" si="86"/>
        <v>0</v>
      </c>
      <c r="BC974" s="561">
        <f t="shared" si="86"/>
        <v>0</v>
      </c>
      <c r="BD974" s="561">
        <f t="shared" si="86"/>
        <v>620764.06799999997</v>
      </c>
      <c r="BE974" s="561">
        <f t="shared" si="86"/>
        <v>0</v>
      </c>
      <c r="BF974" s="561">
        <f t="shared" si="86"/>
        <v>0</v>
      </c>
      <c r="BG974" s="561">
        <f t="shared" si="86"/>
        <v>0</v>
      </c>
      <c r="BH974" s="561">
        <f t="shared" si="86"/>
        <v>0</v>
      </c>
      <c r="BI974" s="561">
        <f t="shared" si="86"/>
        <v>0</v>
      </c>
      <c r="BJ974" s="561">
        <f t="shared" si="86"/>
        <v>0</v>
      </c>
      <c r="BK974" s="561">
        <f t="shared" si="86"/>
        <v>0</v>
      </c>
      <c r="BL974" s="561">
        <f t="shared" si="86"/>
        <v>0</v>
      </c>
      <c r="BM974" s="561">
        <f t="shared" si="86"/>
        <v>0</v>
      </c>
      <c r="BN974" s="561">
        <f t="shared" si="86"/>
        <v>0</v>
      </c>
      <c r="BO974" s="561">
        <f t="shared" si="86"/>
        <v>0</v>
      </c>
      <c r="BP974" s="561">
        <f t="shared" si="86"/>
        <v>0</v>
      </c>
      <c r="BQ974" s="561">
        <f t="shared" si="86"/>
        <v>0</v>
      </c>
      <c r="BR974" s="561">
        <f t="shared" si="86"/>
        <v>0</v>
      </c>
      <c r="BS974" s="561">
        <f t="shared" si="86"/>
        <v>0</v>
      </c>
      <c r="BT974" s="561">
        <f t="shared" si="86"/>
        <v>0</v>
      </c>
      <c r="BU974" s="561">
        <f t="shared" si="86"/>
        <v>0</v>
      </c>
      <c r="BV974" s="561">
        <f t="shared" si="86"/>
        <v>0</v>
      </c>
      <c r="BW974" s="561">
        <f t="shared" si="86"/>
        <v>0</v>
      </c>
      <c r="BX974" s="561">
        <f t="shared" si="86"/>
        <v>0</v>
      </c>
      <c r="BY974" s="561">
        <f t="shared" si="86"/>
        <v>0</v>
      </c>
      <c r="BZ974" s="561">
        <f t="shared" si="86"/>
        <v>0</v>
      </c>
      <c r="CA974" s="561">
        <f t="shared" si="86"/>
        <v>0</v>
      </c>
      <c r="CB974" s="561">
        <f t="shared" si="86"/>
        <v>0</v>
      </c>
      <c r="CC974" s="561">
        <f t="shared" si="86"/>
        <v>0</v>
      </c>
      <c r="CD974" s="561">
        <f t="shared" si="86"/>
        <v>0</v>
      </c>
      <c r="CE974" s="561">
        <f t="shared" si="86"/>
        <v>0</v>
      </c>
      <c r="CF974" s="561">
        <f t="shared" si="86"/>
        <v>0</v>
      </c>
      <c r="CG974" s="561">
        <f t="shared" si="86"/>
        <v>0</v>
      </c>
      <c r="CH974" s="561">
        <f t="shared" si="86"/>
        <v>0</v>
      </c>
      <c r="CI974" s="561">
        <f t="shared" si="86"/>
        <v>0</v>
      </c>
      <c r="CJ974" s="561">
        <f t="shared" si="86"/>
        <v>0</v>
      </c>
      <c r="CK974" s="561">
        <f t="shared" si="86"/>
        <v>0</v>
      </c>
      <c r="CL974" s="561">
        <f t="shared" si="86"/>
        <v>0</v>
      </c>
      <c r="CM974" s="561">
        <f t="shared" si="86"/>
        <v>0</v>
      </c>
      <c r="CN974" s="561">
        <f t="shared" si="86"/>
        <v>0</v>
      </c>
      <c r="CO974" s="561">
        <f t="shared" si="86"/>
        <v>0</v>
      </c>
      <c r="CP974" s="561">
        <f t="shared" si="86"/>
        <v>0</v>
      </c>
      <c r="CQ974" s="561">
        <f t="shared" si="86"/>
        <v>0</v>
      </c>
      <c r="CR974" s="561">
        <f t="shared" si="86"/>
        <v>0</v>
      </c>
      <c r="CS974" s="561">
        <f t="shared" si="86"/>
        <v>0</v>
      </c>
      <c r="CT974" s="561">
        <f t="shared" si="86"/>
        <v>0</v>
      </c>
      <c r="CU974" s="561">
        <f t="shared" si="86"/>
        <v>0</v>
      </c>
      <c r="CV974" s="561">
        <f t="shared" si="86"/>
        <v>0</v>
      </c>
      <c r="CW974" s="561">
        <f t="shared" si="86"/>
        <v>0</v>
      </c>
      <c r="CX974" s="561">
        <f t="shared" si="86"/>
        <v>0</v>
      </c>
      <c r="CY974" s="561">
        <f t="shared" ref="CY974:DG974" si="87">SUM(CY975:CY1158)</f>
        <v>0</v>
      </c>
      <c r="CZ974" s="561">
        <f t="shared" si="87"/>
        <v>0</v>
      </c>
      <c r="DA974" s="561">
        <f t="shared" si="87"/>
        <v>0</v>
      </c>
      <c r="DB974" s="561">
        <f t="shared" si="87"/>
        <v>0</v>
      </c>
      <c r="DC974" s="561">
        <f t="shared" si="87"/>
        <v>0</v>
      </c>
      <c r="DD974" s="561">
        <f t="shared" si="87"/>
        <v>0</v>
      </c>
      <c r="DE974" s="561">
        <f t="shared" si="87"/>
        <v>0</v>
      </c>
      <c r="DF974" s="561">
        <f t="shared" si="87"/>
        <v>0</v>
      </c>
      <c r="DG974" s="561">
        <f t="shared" si="87"/>
        <v>0</v>
      </c>
    </row>
    <row r="975" spans="1:111" ht="15">
      <c r="A975" s="1763">
        <v>1</v>
      </c>
      <c r="B975" s="1746" t="s">
        <v>1306</v>
      </c>
      <c r="C975" s="614" t="s">
        <v>1075</v>
      </c>
      <c r="P975" s="611">
        <v>804931.58400000003</v>
      </c>
    </row>
    <row r="976" spans="1:111">
      <c r="A976" s="1763"/>
      <c r="B976" s="1747"/>
      <c r="C976" s="615" t="s">
        <v>1197</v>
      </c>
    </row>
    <row r="977" spans="1:44" ht="15">
      <c r="A977" s="1763"/>
      <c r="B977" s="1747"/>
      <c r="C977" s="616" t="s">
        <v>1198</v>
      </c>
      <c r="AL977" s="611">
        <v>60568</v>
      </c>
    </row>
    <row r="978" spans="1:44" ht="15">
      <c r="A978" s="1764"/>
      <c r="B978" s="1748"/>
      <c r="C978" s="616" t="s">
        <v>1307</v>
      </c>
      <c r="P978" s="611">
        <v>65433.891000000003</v>
      </c>
    </row>
    <row r="979" spans="1:44" ht="15">
      <c r="A979" s="1765">
        <v>2</v>
      </c>
      <c r="B979" s="1746" t="s">
        <v>1308</v>
      </c>
      <c r="C979" s="614" t="s">
        <v>1075</v>
      </c>
      <c r="P979" s="611">
        <v>573216.61399999994</v>
      </c>
    </row>
    <row r="980" spans="1:44">
      <c r="A980" s="1763"/>
      <c r="B980" s="1747"/>
      <c r="C980" s="615" t="s">
        <v>1197</v>
      </c>
    </row>
    <row r="981" spans="1:44" ht="15">
      <c r="A981" s="1764"/>
      <c r="B981" s="1748"/>
      <c r="C981" s="616" t="s">
        <v>1198</v>
      </c>
      <c r="AR981" s="611">
        <v>355741.84399999998</v>
      </c>
    </row>
    <row r="982" spans="1:44" ht="15">
      <c r="A982" s="1765">
        <v>3</v>
      </c>
      <c r="B982" s="1746" t="s">
        <v>1309</v>
      </c>
      <c r="C982" s="614" t="s">
        <v>1075</v>
      </c>
      <c r="P982" s="611">
        <v>949692.66399999999</v>
      </c>
    </row>
    <row r="983" spans="1:44">
      <c r="A983" s="1763"/>
      <c r="B983" s="1747"/>
      <c r="C983" s="615" t="s">
        <v>1197</v>
      </c>
    </row>
    <row r="984" spans="1:44" ht="15">
      <c r="A984" s="1763"/>
      <c r="B984" s="1747"/>
      <c r="C984" s="616" t="s">
        <v>1198</v>
      </c>
      <c r="AL984" s="611">
        <v>78427.377999999997</v>
      </c>
    </row>
    <row r="985" spans="1:44" ht="15">
      <c r="A985" s="1764"/>
      <c r="B985" s="1748"/>
      <c r="C985" s="616" t="s">
        <v>1307</v>
      </c>
      <c r="P985" s="611">
        <v>206978.125</v>
      </c>
    </row>
    <row r="986" spans="1:44" ht="15">
      <c r="A986" s="1757">
        <v>4</v>
      </c>
      <c r="B986" s="1746" t="s">
        <v>1310</v>
      </c>
      <c r="C986" s="614" t="s">
        <v>1075</v>
      </c>
      <c r="P986" s="611">
        <v>286253.67</v>
      </c>
    </row>
    <row r="987" spans="1:44">
      <c r="A987" s="1758"/>
      <c r="B987" s="1747"/>
      <c r="C987" s="615" t="s">
        <v>1197</v>
      </c>
    </row>
    <row r="988" spans="1:44" ht="15">
      <c r="A988" s="1759"/>
      <c r="B988" s="1748"/>
      <c r="C988" s="615" t="s">
        <v>1202</v>
      </c>
      <c r="P988" s="611">
        <v>2465.9699999999998</v>
      </c>
    </row>
    <row r="989" spans="1:44">
      <c r="A989" s="617">
        <v>5</v>
      </c>
      <c r="B989" s="615" t="s">
        <v>1311</v>
      </c>
      <c r="C989" s="615" t="s">
        <v>1197</v>
      </c>
    </row>
    <row r="990" spans="1:44">
      <c r="A990" s="617">
        <v>6</v>
      </c>
      <c r="B990" s="615" t="s">
        <v>1312</v>
      </c>
      <c r="C990" s="615" t="s">
        <v>1197</v>
      </c>
    </row>
    <row r="991" spans="1:44" ht="38.25">
      <c r="A991" s="617">
        <v>7</v>
      </c>
      <c r="B991" s="615" t="s">
        <v>1313</v>
      </c>
      <c r="C991" s="615" t="s">
        <v>1197</v>
      </c>
    </row>
    <row r="992" spans="1:44" ht="15">
      <c r="A992" s="1743">
        <v>8</v>
      </c>
      <c r="B992" s="1746" t="s">
        <v>1314</v>
      </c>
      <c r="C992" s="618" t="s">
        <v>1075</v>
      </c>
      <c r="P992" s="611">
        <v>183766.30000000002</v>
      </c>
    </row>
    <row r="993" spans="1:16">
      <c r="A993" s="1744"/>
      <c r="B993" s="1747"/>
      <c r="C993" s="615" t="s">
        <v>1197</v>
      </c>
    </row>
    <row r="994" spans="1:16" ht="15">
      <c r="A994" s="1745"/>
      <c r="B994" s="1748"/>
      <c r="C994" s="616" t="s">
        <v>1307</v>
      </c>
      <c r="P994" s="611">
        <v>7516.4049999999997</v>
      </c>
    </row>
    <row r="995" spans="1:16" ht="15">
      <c r="A995" s="1743">
        <v>9</v>
      </c>
      <c r="B995" s="1760" t="s">
        <v>1315</v>
      </c>
      <c r="C995" s="614" t="s">
        <v>1075</v>
      </c>
      <c r="P995" s="611">
        <v>211862.34099999999</v>
      </c>
    </row>
    <row r="996" spans="1:16">
      <c r="A996" s="1744"/>
      <c r="B996" s="1761"/>
      <c r="C996" s="615" t="s">
        <v>1197</v>
      </c>
    </row>
    <row r="997" spans="1:16" ht="15">
      <c r="A997" s="1745"/>
      <c r="B997" s="1762"/>
      <c r="C997" s="616" t="s">
        <v>1307</v>
      </c>
      <c r="P997" s="611">
        <v>28725.231</v>
      </c>
    </row>
    <row r="998" spans="1:16" ht="15">
      <c r="A998" s="1743">
        <v>10</v>
      </c>
      <c r="B998" s="1746" t="s">
        <v>1316</v>
      </c>
      <c r="C998" s="614" t="s">
        <v>1075</v>
      </c>
      <c r="P998" s="611">
        <v>71638.900000000009</v>
      </c>
    </row>
    <row r="999" spans="1:16">
      <c r="A999" s="1744"/>
      <c r="B999" s="1747"/>
      <c r="C999" s="615" t="s">
        <v>1197</v>
      </c>
    </row>
    <row r="1000" spans="1:16" ht="15">
      <c r="A1000" s="1745"/>
      <c r="B1000" s="1748"/>
      <c r="C1000" s="616" t="s">
        <v>1307</v>
      </c>
      <c r="P1000" s="611">
        <v>7135.7500000000009</v>
      </c>
    </row>
    <row r="1001" spans="1:16" ht="15">
      <c r="A1001" s="1743">
        <v>11</v>
      </c>
      <c r="B1001" s="1746" t="s">
        <v>1317</v>
      </c>
      <c r="C1001" s="614" t="s">
        <v>1075</v>
      </c>
      <c r="P1001" s="611">
        <v>188890.10399999999</v>
      </c>
    </row>
    <row r="1002" spans="1:16">
      <c r="A1002" s="1744"/>
      <c r="B1002" s="1747"/>
      <c r="C1002" s="615" t="s">
        <v>1197</v>
      </c>
    </row>
    <row r="1003" spans="1:16" ht="15">
      <c r="A1003" s="1745"/>
      <c r="B1003" s="1748"/>
      <c r="C1003" s="616" t="s">
        <v>1307</v>
      </c>
      <c r="P1003" s="611">
        <v>11762.222</v>
      </c>
    </row>
    <row r="1004" spans="1:16" ht="15">
      <c r="A1004" s="1743">
        <v>12</v>
      </c>
      <c r="B1004" s="1746" t="s">
        <v>1318</v>
      </c>
      <c r="C1004" s="614" t="s">
        <v>1075</v>
      </c>
      <c r="P1004" s="611">
        <v>96890.4</v>
      </c>
    </row>
    <row r="1005" spans="1:16">
      <c r="A1005" s="1744"/>
      <c r="B1005" s="1747"/>
      <c r="C1005" s="615" t="s">
        <v>1197</v>
      </c>
    </row>
    <row r="1006" spans="1:16" ht="15">
      <c r="A1006" s="1745"/>
      <c r="B1006" s="1748"/>
      <c r="C1006" s="616" t="s">
        <v>1307</v>
      </c>
      <c r="P1006" s="611">
        <v>6951.3360000000002</v>
      </c>
    </row>
    <row r="1007" spans="1:16" ht="15">
      <c r="A1007" s="1743">
        <v>13</v>
      </c>
      <c r="B1007" s="1746" t="s">
        <v>1319</v>
      </c>
      <c r="C1007" s="614" t="s">
        <v>1075</v>
      </c>
      <c r="P1007" s="611">
        <v>74993.700000000012</v>
      </c>
    </row>
    <row r="1008" spans="1:16">
      <c r="A1008" s="1744"/>
      <c r="B1008" s="1747"/>
      <c r="C1008" s="615" t="s">
        <v>1197</v>
      </c>
    </row>
    <row r="1009" spans="1:16" ht="15">
      <c r="A1009" s="1745"/>
      <c r="B1009" s="1748"/>
      <c r="C1009" s="616" t="s">
        <v>1307</v>
      </c>
      <c r="P1009" s="611">
        <v>1895.049</v>
      </c>
    </row>
    <row r="1010" spans="1:16" ht="15">
      <c r="A1010" s="1743">
        <v>14</v>
      </c>
      <c r="B1010" s="1746" t="s">
        <v>1320</v>
      </c>
      <c r="C1010" s="614" t="s">
        <v>1075</v>
      </c>
      <c r="P1010" s="611">
        <v>173969.07500000001</v>
      </c>
    </row>
    <row r="1011" spans="1:16">
      <c r="A1011" s="1744"/>
      <c r="B1011" s="1747"/>
      <c r="C1011" s="615" t="s">
        <v>1197</v>
      </c>
    </row>
    <row r="1012" spans="1:16" ht="15">
      <c r="A1012" s="1745"/>
      <c r="B1012" s="1748"/>
      <c r="C1012" s="616" t="s">
        <v>1307</v>
      </c>
      <c r="P1012" s="611">
        <v>16214.5</v>
      </c>
    </row>
    <row r="1013" spans="1:16" ht="15">
      <c r="A1013" s="1743">
        <v>15</v>
      </c>
      <c r="B1013" s="1746" t="s">
        <v>1321</v>
      </c>
      <c r="C1013" s="614" t="s">
        <v>1075</v>
      </c>
      <c r="P1013" s="611">
        <v>15899</v>
      </c>
    </row>
    <row r="1014" spans="1:16">
      <c r="A1014" s="1744"/>
      <c r="B1014" s="1747"/>
      <c r="C1014" s="615" t="s">
        <v>1197</v>
      </c>
    </row>
    <row r="1015" spans="1:16" ht="15">
      <c r="A1015" s="1745"/>
      <c r="B1015" s="1748"/>
      <c r="C1015" s="616" t="s">
        <v>1307</v>
      </c>
      <c r="P1015" s="611">
        <v>2243.326</v>
      </c>
    </row>
    <row r="1016" spans="1:16" ht="15">
      <c r="A1016" s="1743">
        <v>16</v>
      </c>
      <c r="B1016" s="1746" t="s">
        <v>1322</v>
      </c>
      <c r="C1016" s="614" t="s">
        <v>1075</v>
      </c>
      <c r="P1016" s="611">
        <v>15757.5</v>
      </c>
    </row>
    <row r="1017" spans="1:16">
      <c r="A1017" s="1744"/>
      <c r="B1017" s="1747"/>
      <c r="C1017" s="615" t="s">
        <v>1197</v>
      </c>
    </row>
    <row r="1018" spans="1:16" ht="15">
      <c r="A1018" s="1745"/>
      <c r="B1018" s="1748"/>
      <c r="C1018" s="616" t="s">
        <v>1307</v>
      </c>
      <c r="P1018" s="611">
        <v>2897.4270000000001</v>
      </c>
    </row>
    <row r="1019" spans="1:16" ht="15">
      <c r="A1019" s="1743">
        <v>17</v>
      </c>
      <c r="B1019" s="1746" t="s">
        <v>1323</v>
      </c>
      <c r="C1019" s="614" t="s">
        <v>1075</v>
      </c>
      <c r="P1019" s="611">
        <v>26435.804999999997</v>
      </c>
    </row>
    <row r="1020" spans="1:16">
      <c r="A1020" s="1744"/>
      <c r="B1020" s="1747"/>
      <c r="C1020" s="615" t="s">
        <v>1197</v>
      </c>
    </row>
    <row r="1021" spans="1:16" ht="15">
      <c r="A1021" s="1745"/>
      <c r="B1021" s="1748"/>
      <c r="C1021" s="616" t="s">
        <v>1307</v>
      </c>
      <c r="P1021" s="611">
        <v>3755.3509999999997</v>
      </c>
    </row>
    <row r="1022" spans="1:16" ht="15">
      <c r="A1022" s="1743">
        <v>18</v>
      </c>
      <c r="B1022" s="1746" t="s">
        <v>1324</v>
      </c>
      <c r="C1022" s="614" t="s">
        <v>1075</v>
      </c>
      <c r="P1022" s="611">
        <v>394185.788</v>
      </c>
    </row>
    <row r="1023" spans="1:16">
      <c r="A1023" s="1744"/>
      <c r="B1023" s="1747"/>
      <c r="C1023" s="615" t="s">
        <v>1197</v>
      </c>
    </row>
    <row r="1024" spans="1:16" ht="15">
      <c r="A1024" s="1745"/>
      <c r="B1024" s="1748"/>
      <c r="C1024" s="616" t="s">
        <v>1307</v>
      </c>
      <c r="P1024" s="611">
        <v>7358.5360000000001</v>
      </c>
    </row>
    <row r="1025" spans="1:16" ht="38.25">
      <c r="A1025" s="619">
        <v>19</v>
      </c>
      <c r="B1025" s="616" t="s">
        <v>1325</v>
      </c>
      <c r="C1025" s="616" t="s">
        <v>1307</v>
      </c>
      <c r="P1025" s="611">
        <v>53896.4</v>
      </c>
    </row>
    <row r="1026" spans="1:16" ht="15">
      <c r="A1026" s="1751">
        <v>20</v>
      </c>
      <c r="B1026" s="1746" t="s">
        <v>1326</v>
      </c>
      <c r="C1026" s="614" t="s">
        <v>1075</v>
      </c>
      <c r="P1026" s="611">
        <v>75969.100000000006</v>
      </c>
    </row>
    <row r="1027" spans="1:16">
      <c r="A1027" s="1752"/>
      <c r="B1027" s="1747"/>
      <c r="C1027" s="615" t="s">
        <v>1197</v>
      </c>
    </row>
    <row r="1028" spans="1:16" ht="15">
      <c r="A1028" s="1753"/>
      <c r="B1028" s="1748"/>
      <c r="C1028" s="616" t="s">
        <v>1307</v>
      </c>
      <c r="P1028" s="611">
        <v>8719.9919999999984</v>
      </c>
    </row>
    <row r="1029" spans="1:16" ht="15">
      <c r="A1029" s="1751">
        <v>21</v>
      </c>
      <c r="B1029" s="1746" t="s">
        <v>1327</v>
      </c>
      <c r="C1029" s="614" t="s">
        <v>1075</v>
      </c>
      <c r="P1029" s="611">
        <v>220830.6</v>
      </c>
    </row>
    <row r="1030" spans="1:16">
      <c r="A1030" s="1752"/>
      <c r="B1030" s="1747"/>
      <c r="C1030" s="615" t="s">
        <v>1197</v>
      </c>
    </row>
    <row r="1031" spans="1:16" ht="15">
      <c r="A1031" s="1753"/>
      <c r="B1031" s="1748"/>
      <c r="C1031" s="616" t="s">
        <v>1307</v>
      </c>
      <c r="P1031" s="611">
        <v>9105.1009999999987</v>
      </c>
    </row>
    <row r="1032" spans="1:16">
      <c r="A1032" s="617">
        <v>22</v>
      </c>
      <c r="B1032" s="615" t="s">
        <v>1328</v>
      </c>
      <c r="C1032" s="615" t="s">
        <v>1197</v>
      </c>
    </row>
    <row r="1033" spans="1:16" ht="15">
      <c r="A1033" s="1743">
        <v>23</v>
      </c>
      <c r="B1033" s="1746" t="s">
        <v>1329</v>
      </c>
      <c r="C1033" s="618" t="s">
        <v>1075</v>
      </c>
      <c r="P1033" s="611">
        <v>279245.10800000001</v>
      </c>
    </row>
    <row r="1034" spans="1:16">
      <c r="A1034" s="1744"/>
      <c r="B1034" s="1747"/>
      <c r="C1034" s="615" t="s">
        <v>1197</v>
      </c>
    </row>
    <row r="1035" spans="1:16" ht="15">
      <c r="A1035" s="1745"/>
      <c r="B1035" s="1748"/>
      <c r="C1035" s="616" t="s">
        <v>1307</v>
      </c>
      <c r="P1035" s="611">
        <v>10538.743</v>
      </c>
    </row>
    <row r="1036" spans="1:16" ht="38.25">
      <c r="A1036" s="619">
        <v>24</v>
      </c>
      <c r="B1036" s="616" t="s">
        <v>1330</v>
      </c>
      <c r="C1036" s="616" t="s">
        <v>1307</v>
      </c>
      <c r="P1036" s="611">
        <v>13280.7</v>
      </c>
    </row>
    <row r="1037" spans="1:16" ht="15">
      <c r="A1037" s="1751">
        <v>25</v>
      </c>
      <c r="B1037" s="1746" t="s">
        <v>1331</v>
      </c>
      <c r="C1037" s="614" t="s">
        <v>1075</v>
      </c>
      <c r="P1037" s="611">
        <v>109921.30000000002</v>
      </c>
    </row>
    <row r="1038" spans="1:16">
      <c r="A1038" s="1752"/>
      <c r="B1038" s="1747"/>
      <c r="C1038" s="615" t="s">
        <v>1197</v>
      </c>
    </row>
    <row r="1039" spans="1:16" ht="15">
      <c r="A1039" s="1753"/>
      <c r="B1039" s="1748"/>
      <c r="C1039" s="616" t="s">
        <v>1307</v>
      </c>
      <c r="P1039" s="611">
        <v>11091.828000000001</v>
      </c>
    </row>
    <row r="1040" spans="1:16" ht="15">
      <c r="A1040" s="1751">
        <v>26</v>
      </c>
      <c r="B1040" s="1746" t="s">
        <v>1332</v>
      </c>
      <c r="C1040" s="614" t="s">
        <v>1075</v>
      </c>
      <c r="P1040" s="611">
        <v>22191.9</v>
      </c>
    </row>
    <row r="1041" spans="1:16">
      <c r="A1041" s="1752"/>
      <c r="B1041" s="1747"/>
      <c r="C1041" s="615" t="s">
        <v>1197</v>
      </c>
    </row>
    <row r="1042" spans="1:16" ht="15">
      <c r="A1042" s="1753"/>
      <c r="B1042" s="1748"/>
      <c r="C1042" s="616" t="s">
        <v>1307</v>
      </c>
      <c r="P1042" s="611">
        <v>2617.6570000000002</v>
      </c>
    </row>
    <row r="1043" spans="1:16" ht="15">
      <c r="A1043" s="1751">
        <v>27</v>
      </c>
      <c r="B1043" s="1746" t="s">
        <v>1333</v>
      </c>
      <c r="C1043" s="614" t="s">
        <v>1075</v>
      </c>
      <c r="P1043" s="611">
        <v>468152.72000000003</v>
      </c>
    </row>
    <row r="1044" spans="1:16">
      <c r="A1044" s="1752"/>
      <c r="B1044" s="1747"/>
      <c r="C1044" s="615" t="s">
        <v>1197</v>
      </c>
    </row>
    <row r="1045" spans="1:16" ht="15">
      <c r="A1045" s="1752"/>
      <c r="B1045" s="1747"/>
      <c r="C1045" s="616" t="s">
        <v>1307</v>
      </c>
      <c r="P1045" s="611">
        <v>85767.118000000002</v>
      </c>
    </row>
    <row r="1046" spans="1:16" ht="15">
      <c r="A1046" s="1753"/>
      <c r="B1046" s="1748"/>
      <c r="C1046" s="616" t="s">
        <v>1202</v>
      </c>
      <c r="P1046" s="611">
        <v>842.57100000000003</v>
      </c>
    </row>
    <row r="1047" spans="1:16" ht="15">
      <c r="A1047" s="1751">
        <v>28</v>
      </c>
      <c r="B1047" s="1746" t="s">
        <v>1334</v>
      </c>
      <c r="C1047" s="614" t="s">
        <v>1075</v>
      </c>
      <c r="P1047" s="611">
        <v>100983.4</v>
      </c>
    </row>
    <row r="1048" spans="1:16">
      <c r="A1048" s="1752"/>
      <c r="B1048" s="1747"/>
      <c r="C1048" s="615" t="s">
        <v>1197</v>
      </c>
    </row>
    <row r="1049" spans="1:16" ht="15">
      <c r="A1049" s="1753"/>
      <c r="B1049" s="1748"/>
      <c r="C1049" s="616" t="s">
        <v>1307</v>
      </c>
      <c r="P1049" s="611">
        <v>24738.241999999998</v>
      </c>
    </row>
    <row r="1050" spans="1:16" ht="15">
      <c r="A1050" s="1751">
        <v>29</v>
      </c>
      <c r="B1050" s="1746" t="s">
        <v>1335</v>
      </c>
      <c r="C1050" s="614" t="s">
        <v>1075</v>
      </c>
      <c r="P1050" s="611">
        <v>39451</v>
      </c>
    </row>
    <row r="1051" spans="1:16">
      <c r="A1051" s="1752"/>
      <c r="B1051" s="1747"/>
      <c r="C1051" s="615" t="s">
        <v>1197</v>
      </c>
    </row>
    <row r="1052" spans="1:16" ht="15">
      <c r="A1052" s="1753"/>
      <c r="B1052" s="1748"/>
      <c r="C1052" s="616" t="s">
        <v>1307</v>
      </c>
      <c r="P1052" s="611">
        <v>3586.9329999999995</v>
      </c>
    </row>
    <row r="1053" spans="1:16">
      <c r="A1053" s="617">
        <v>30</v>
      </c>
      <c r="B1053" s="615" t="s">
        <v>1336</v>
      </c>
      <c r="C1053" s="615" t="s">
        <v>1197</v>
      </c>
    </row>
    <row r="1054" spans="1:16" ht="15">
      <c r="A1054" s="1743">
        <v>31</v>
      </c>
      <c r="B1054" s="1746" t="s">
        <v>1337</v>
      </c>
      <c r="C1054" s="618" t="s">
        <v>1075</v>
      </c>
      <c r="P1054" s="611">
        <v>351033.1</v>
      </c>
    </row>
    <row r="1055" spans="1:16">
      <c r="A1055" s="1744"/>
      <c r="B1055" s="1747"/>
      <c r="C1055" s="615" t="s">
        <v>1197</v>
      </c>
    </row>
    <row r="1056" spans="1:16" ht="15">
      <c r="A1056" s="1745"/>
      <c r="B1056" s="1748"/>
      <c r="C1056" s="616" t="s">
        <v>1307</v>
      </c>
      <c r="P1056" s="611">
        <v>8482.5889999999999</v>
      </c>
    </row>
    <row r="1057" spans="1:16" ht="15">
      <c r="A1057" s="1743">
        <v>32</v>
      </c>
      <c r="B1057" s="1746" t="s">
        <v>1338</v>
      </c>
      <c r="C1057" s="614" t="s">
        <v>1075</v>
      </c>
      <c r="P1057" s="611">
        <v>276244.28399999999</v>
      </c>
    </row>
    <row r="1058" spans="1:16">
      <c r="A1058" s="1744"/>
      <c r="B1058" s="1747"/>
      <c r="C1058" s="615" t="s">
        <v>1197</v>
      </c>
    </row>
    <row r="1059" spans="1:16" ht="15">
      <c r="A1059" s="1745"/>
      <c r="B1059" s="1748"/>
      <c r="C1059" s="616" t="s">
        <v>1307</v>
      </c>
      <c r="P1059" s="611">
        <v>32757.231999999996</v>
      </c>
    </row>
    <row r="1060" spans="1:16" ht="15">
      <c r="A1060" s="1743">
        <v>33</v>
      </c>
      <c r="B1060" s="1746" t="s">
        <v>1339</v>
      </c>
      <c r="C1060" s="614" t="s">
        <v>1075</v>
      </c>
      <c r="P1060" s="611">
        <v>535625.49</v>
      </c>
    </row>
    <row r="1061" spans="1:16">
      <c r="A1061" s="1744"/>
      <c r="B1061" s="1747"/>
      <c r="C1061" s="615" t="s">
        <v>1197</v>
      </c>
    </row>
    <row r="1062" spans="1:16" ht="15">
      <c r="A1062" s="1745"/>
      <c r="B1062" s="1748"/>
      <c r="C1062" s="616" t="s">
        <v>1307</v>
      </c>
      <c r="P1062" s="611">
        <v>15151.389000000001</v>
      </c>
    </row>
    <row r="1063" spans="1:16" ht="38.25">
      <c r="A1063" s="619">
        <v>34</v>
      </c>
      <c r="B1063" s="616" t="s">
        <v>1340</v>
      </c>
      <c r="C1063" s="616" t="s">
        <v>1307</v>
      </c>
      <c r="P1063" s="611">
        <v>54745.2</v>
      </c>
    </row>
    <row r="1064" spans="1:16" ht="15">
      <c r="A1064" s="1751">
        <v>35</v>
      </c>
      <c r="B1064" s="1746" t="s">
        <v>1341</v>
      </c>
      <c r="C1064" s="614" t="s">
        <v>1075</v>
      </c>
      <c r="P1064" s="611">
        <v>40037.9</v>
      </c>
    </row>
    <row r="1065" spans="1:16">
      <c r="A1065" s="1752"/>
      <c r="B1065" s="1747"/>
      <c r="C1065" s="615" t="s">
        <v>1197</v>
      </c>
    </row>
    <row r="1066" spans="1:16" ht="15">
      <c r="A1066" s="1753"/>
      <c r="B1066" s="1748"/>
      <c r="C1066" s="616" t="s">
        <v>1307</v>
      </c>
      <c r="P1066" s="611">
        <v>6057.2190000000001</v>
      </c>
    </row>
    <row r="1067" spans="1:16" ht="15">
      <c r="A1067" s="1751">
        <v>36</v>
      </c>
      <c r="B1067" s="1746" t="s">
        <v>1342</v>
      </c>
      <c r="C1067" s="614" t="s">
        <v>1075</v>
      </c>
      <c r="P1067" s="611">
        <v>73245.8</v>
      </c>
    </row>
    <row r="1068" spans="1:16">
      <c r="A1068" s="1752"/>
      <c r="B1068" s="1747"/>
      <c r="C1068" s="615" t="s">
        <v>1197</v>
      </c>
    </row>
    <row r="1069" spans="1:16" ht="15">
      <c r="A1069" s="1753"/>
      <c r="B1069" s="1748"/>
      <c r="C1069" s="616" t="s">
        <v>1307</v>
      </c>
      <c r="P1069" s="611">
        <v>7594.6570000000011</v>
      </c>
    </row>
    <row r="1070" spans="1:16" ht="15">
      <c r="A1070" s="1751">
        <v>37</v>
      </c>
      <c r="B1070" s="1746" t="s">
        <v>1343</v>
      </c>
      <c r="C1070" s="614" t="s">
        <v>1075</v>
      </c>
      <c r="P1070" s="611">
        <v>30111.3</v>
      </c>
    </row>
    <row r="1071" spans="1:16">
      <c r="A1071" s="1752"/>
      <c r="B1071" s="1747"/>
      <c r="C1071" s="615" t="s">
        <v>1197</v>
      </c>
    </row>
    <row r="1072" spans="1:16" ht="15">
      <c r="A1072" s="1753"/>
      <c r="B1072" s="1748"/>
      <c r="C1072" s="616" t="s">
        <v>1307</v>
      </c>
      <c r="P1072" s="611">
        <v>4196.2079999999996</v>
      </c>
    </row>
    <row r="1073" spans="1:16" ht="15">
      <c r="A1073" s="1751">
        <v>38</v>
      </c>
      <c r="B1073" s="1746" t="s">
        <v>1344</v>
      </c>
      <c r="C1073" s="614" t="s">
        <v>1075</v>
      </c>
      <c r="P1073" s="611">
        <v>265072.56900000002</v>
      </c>
    </row>
    <row r="1074" spans="1:16">
      <c r="A1074" s="1752"/>
      <c r="B1074" s="1747"/>
      <c r="C1074" s="615" t="s">
        <v>1197</v>
      </c>
    </row>
    <row r="1075" spans="1:16" ht="15">
      <c r="A1075" s="1753"/>
      <c r="B1075" s="1748"/>
      <c r="C1075" s="616" t="s">
        <v>1307</v>
      </c>
      <c r="P1075" s="611">
        <v>30056.55</v>
      </c>
    </row>
    <row r="1076" spans="1:16">
      <c r="A1076" s="617">
        <v>39</v>
      </c>
      <c r="B1076" s="615" t="s">
        <v>1345</v>
      </c>
      <c r="C1076" s="615" t="s">
        <v>1197</v>
      </c>
    </row>
    <row r="1077" spans="1:16" ht="15">
      <c r="A1077" s="1743">
        <v>40</v>
      </c>
      <c r="B1077" s="1746" t="s">
        <v>1346</v>
      </c>
      <c r="C1077" s="618" t="s">
        <v>1075</v>
      </c>
      <c r="P1077" s="611">
        <v>187460.94</v>
      </c>
    </row>
    <row r="1078" spans="1:16">
      <c r="A1078" s="1744"/>
      <c r="B1078" s="1747"/>
      <c r="C1078" s="615" t="s">
        <v>1197</v>
      </c>
    </row>
    <row r="1079" spans="1:16" ht="15">
      <c r="A1079" s="1745"/>
      <c r="B1079" s="1748"/>
      <c r="C1079" s="616" t="s">
        <v>1307</v>
      </c>
      <c r="P1079" s="611">
        <v>16534.803</v>
      </c>
    </row>
    <row r="1080" spans="1:16" ht="15">
      <c r="A1080" s="1743">
        <v>41</v>
      </c>
      <c r="B1080" s="1746" t="s">
        <v>1347</v>
      </c>
      <c r="C1080" s="614" t="s">
        <v>1075</v>
      </c>
      <c r="P1080" s="611">
        <v>64313.000000000007</v>
      </c>
    </row>
    <row r="1081" spans="1:16">
      <c r="A1081" s="1744"/>
      <c r="B1081" s="1747"/>
      <c r="C1081" s="615" t="s">
        <v>1197</v>
      </c>
    </row>
    <row r="1082" spans="1:16" ht="15">
      <c r="A1082" s="1745"/>
      <c r="B1082" s="1748"/>
      <c r="C1082" s="616" t="s">
        <v>1307</v>
      </c>
      <c r="P1082" s="611">
        <v>3411.1009999999997</v>
      </c>
    </row>
    <row r="1083" spans="1:16" ht="15">
      <c r="A1083" s="1743">
        <v>42</v>
      </c>
      <c r="B1083" s="1746" t="s">
        <v>1348</v>
      </c>
      <c r="C1083" s="614" t="s">
        <v>1075</v>
      </c>
      <c r="P1083" s="611">
        <v>192788.43599999999</v>
      </c>
    </row>
    <row r="1084" spans="1:16">
      <c r="A1084" s="1744"/>
      <c r="B1084" s="1747"/>
      <c r="C1084" s="615" t="s">
        <v>1197</v>
      </c>
    </row>
    <row r="1085" spans="1:16" ht="15">
      <c r="A1085" s="1745"/>
      <c r="B1085" s="1748"/>
      <c r="C1085" s="616" t="s">
        <v>1307</v>
      </c>
      <c r="P1085" s="611">
        <v>18098.857</v>
      </c>
    </row>
    <row r="1086" spans="1:16">
      <c r="A1086" s="617">
        <v>43</v>
      </c>
      <c r="B1086" s="615" t="s">
        <v>1349</v>
      </c>
      <c r="C1086" s="615" t="s">
        <v>1197</v>
      </c>
    </row>
    <row r="1087" spans="1:16" ht="15">
      <c r="A1087" s="619">
        <v>44</v>
      </c>
      <c r="B1087" s="616" t="s">
        <v>1350</v>
      </c>
      <c r="C1087" s="616" t="s">
        <v>1307</v>
      </c>
      <c r="P1087" s="611">
        <v>30962.400000000001</v>
      </c>
    </row>
    <row r="1088" spans="1:16">
      <c r="A1088" s="617">
        <v>45</v>
      </c>
      <c r="B1088" s="615" t="s">
        <v>1351</v>
      </c>
      <c r="C1088" s="615" t="s">
        <v>1197</v>
      </c>
    </row>
    <row r="1089" spans="1:16">
      <c r="A1089" s="617">
        <v>46</v>
      </c>
      <c r="B1089" s="615" t="s">
        <v>1352</v>
      </c>
      <c r="C1089" s="615" t="s">
        <v>1197</v>
      </c>
    </row>
    <row r="1090" spans="1:16">
      <c r="A1090" s="617">
        <v>47</v>
      </c>
      <c r="B1090" s="615" t="s">
        <v>1353</v>
      </c>
      <c r="C1090" s="615" t="s">
        <v>1197</v>
      </c>
    </row>
    <row r="1091" spans="1:16" ht="15">
      <c r="A1091" s="1743">
        <v>48</v>
      </c>
      <c r="B1091" s="1746" t="s">
        <v>1354</v>
      </c>
      <c r="C1091" s="618" t="s">
        <v>1075</v>
      </c>
      <c r="P1091" s="611">
        <v>193835.63799999998</v>
      </c>
    </row>
    <row r="1092" spans="1:16">
      <c r="A1092" s="1744"/>
      <c r="B1092" s="1747"/>
      <c r="C1092" s="615" t="s">
        <v>1197</v>
      </c>
    </row>
    <row r="1093" spans="1:16" ht="15">
      <c r="A1093" s="1745"/>
      <c r="B1093" s="1748"/>
      <c r="C1093" s="616" t="s">
        <v>1307</v>
      </c>
      <c r="P1093" s="611">
        <v>21051.843000000001</v>
      </c>
    </row>
    <row r="1094" spans="1:16" ht="15">
      <c r="A1094" s="1743">
        <v>49</v>
      </c>
      <c r="B1094" s="1746" t="s">
        <v>1355</v>
      </c>
      <c r="C1094" s="614" t="s">
        <v>1075</v>
      </c>
      <c r="P1094" s="611">
        <v>22277.4</v>
      </c>
    </row>
    <row r="1095" spans="1:16">
      <c r="A1095" s="1744"/>
      <c r="B1095" s="1747"/>
      <c r="C1095" s="615" t="s">
        <v>1197</v>
      </c>
    </row>
    <row r="1096" spans="1:16" ht="15">
      <c r="A1096" s="1745"/>
      <c r="B1096" s="1748"/>
      <c r="C1096" s="616" t="s">
        <v>1307</v>
      </c>
      <c r="P1096" s="611">
        <v>2278.8500000000004</v>
      </c>
    </row>
    <row r="1097" spans="1:16" ht="15">
      <c r="A1097" s="1743">
        <v>50</v>
      </c>
      <c r="B1097" s="1746" t="s">
        <v>1356</v>
      </c>
      <c r="C1097" s="614" t="s">
        <v>1075</v>
      </c>
      <c r="P1097" s="611">
        <v>143697.70000000001</v>
      </c>
    </row>
    <row r="1098" spans="1:16">
      <c r="A1098" s="1744"/>
      <c r="B1098" s="1747"/>
      <c r="C1098" s="615" t="s">
        <v>1197</v>
      </c>
    </row>
    <row r="1099" spans="1:16" ht="15">
      <c r="A1099" s="1745"/>
      <c r="B1099" s="1748"/>
      <c r="C1099" s="616" t="s">
        <v>1307</v>
      </c>
      <c r="P1099" s="611">
        <v>9709.6490000000013</v>
      </c>
    </row>
    <row r="1100" spans="1:16" ht="15">
      <c r="A1100" s="1743">
        <v>51</v>
      </c>
      <c r="B1100" s="1746" t="s">
        <v>1357</v>
      </c>
      <c r="C1100" s="614" t="s">
        <v>1075</v>
      </c>
      <c r="P1100" s="611">
        <v>23545.5</v>
      </c>
    </row>
    <row r="1101" spans="1:16">
      <c r="A1101" s="1744"/>
      <c r="B1101" s="1747"/>
      <c r="C1101" s="615" t="s">
        <v>1197</v>
      </c>
    </row>
    <row r="1102" spans="1:16" ht="15">
      <c r="A1102" s="1745"/>
      <c r="B1102" s="1748"/>
      <c r="C1102" s="616" t="s">
        <v>1307</v>
      </c>
      <c r="P1102" s="611">
        <v>2706.174</v>
      </c>
    </row>
    <row r="1103" spans="1:16" ht="15">
      <c r="A1103" s="1743">
        <v>52</v>
      </c>
      <c r="B1103" s="1746" t="s">
        <v>1358</v>
      </c>
      <c r="C1103" s="614" t="s">
        <v>1075</v>
      </c>
      <c r="P1103" s="611">
        <v>182448.60700000002</v>
      </c>
    </row>
    <row r="1104" spans="1:16">
      <c r="A1104" s="1744"/>
      <c r="B1104" s="1747"/>
      <c r="C1104" s="615" t="s">
        <v>1197</v>
      </c>
    </row>
    <row r="1105" spans="1:16" ht="15">
      <c r="A1105" s="1745"/>
      <c r="B1105" s="1748"/>
      <c r="C1105" s="616" t="s">
        <v>1307</v>
      </c>
      <c r="P1105" s="611">
        <v>27641.512000000002</v>
      </c>
    </row>
    <row r="1106" spans="1:16" ht="15">
      <c r="A1106" s="1743">
        <v>53</v>
      </c>
      <c r="B1106" s="1746" t="s">
        <v>1359</v>
      </c>
      <c r="C1106" s="614" t="s">
        <v>1075</v>
      </c>
      <c r="P1106" s="611">
        <v>48123.6</v>
      </c>
    </row>
    <row r="1107" spans="1:16">
      <c r="A1107" s="1744"/>
      <c r="B1107" s="1747"/>
      <c r="C1107" s="615" t="s">
        <v>1197</v>
      </c>
    </row>
    <row r="1108" spans="1:16" ht="15">
      <c r="A1108" s="1745"/>
      <c r="B1108" s="1748"/>
      <c r="C1108" s="616" t="s">
        <v>1307</v>
      </c>
      <c r="P1108" s="611">
        <v>3042.741</v>
      </c>
    </row>
    <row r="1109" spans="1:16">
      <c r="A1109" s="617">
        <v>54</v>
      </c>
      <c r="B1109" s="615" t="s">
        <v>1360</v>
      </c>
      <c r="C1109" s="615" t="s">
        <v>1197</v>
      </c>
    </row>
    <row r="1110" spans="1:16" ht="15">
      <c r="A1110" s="619">
        <v>55</v>
      </c>
      <c r="B1110" s="616" t="s">
        <v>1361</v>
      </c>
      <c r="C1110" s="616" t="s">
        <v>1307</v>
      </c>
      <c r="P1110" s="611">
        <v>36809</v>
      </c>
    </row>
    <row r="1111" spans="1:16" ht="15">
      <c r="A1111" s="1751">
        <v>56</v>
      </c>
      <c r="B1111" s="1746" t="s">
        <v>1362</v>
      </c>
      <c r="C1111" s="614" t="s">
        <v>1075</v>
      </c>
      <c r="P1111" s="611">
        <v>46964.2</v>
      </c>
    </row>
    <row r="1112" spans="1:16">
      <c r="A1112" s="1752"/>
      <c r="B1112" s="1747"/>
      <c r="C1112" s="615" t="s">
        <v>1197</v>
      </c>
    </row>
    <row r="1113" spans="1:16" ht="15">
      <c r="A1113" s="1753"/>
      <c r="B1113" s="1748"/>
      <c r="C1113" s="616" t="s">
        <v>1307</v>
      </c>
      <c r="P1113" s="611">
        <v>11232.618</v>
      </c>
    </row>
    <row r="1114" spans="1:16" ht="15">
      <c r="A1114" s="1751">
        <v>57</v>
      </c>
      <c r="B1114" s="1746" t="s">
        <v>1363</v>
      </c>
      <c r="C1114" s="614" t="s">
        <v>1075</v>
      </c>
      <c r="P1114" s="611">
        <v>25514.3</v>
      </c>
    </row>
    <row r="1115" spans="1:16">
      <c r="A1115" s="1752"/>
      <c r="B1115" s="1747"/>
      <c r="C1115" s="615" t="s">
        <v>1197</v>
      </c>
    </row>
    <row r="1116" spans="1:16" ht="15">
      <c r="A1116" s="1753"/>
      <c r="B1116" s="1748"/>
      <c r="C1116" s="616" t="s">
        <v>1307</v>
      </c>
      <c r="P1116" s="611">
        <v>2746.5740000000001</v>
      </c>
    </row>
    <row r="1117" spans="1:16" ht="15">
      <c r="A1117" s="1751">
        <v>58</v>
      </c>
      <c r="B1117" s="1746" t="s">
        <v>1364</v>
      </c>
      <c r="C1117" s="614" t="s">
        <v>1075</v>
      </c>
      <c r="P1117" s="611">
        <v>181296.57199999999</v>
      </c>
    </row>
    <row r="1118" spans="1:16">
      <c r="A1118" s="1752"/>
      <c r="B1118" s="1747"/>
      <c r="C1118" s="615" t="s">
        <v>1197</v>
      </c>
    </row>
    <row r="1119" spans="1:16" ht="15">
      <c r="A1119" s="1753"/>
      <c r="B1119" s="1748"/>
      <c r="C1119" s="616" t="s">
        <v>1307</v>
      </c>
      <c r="P1119" s="611">
        <v>10680.74</v>
      </c>
    </row>
    <row r="1120" spans="1:16">
      <c r="A1120" s="617">
        <v>59</v>
      </c>
      <c r="B1120" s="615" t="s">
        <v>1365</v>
      </c>
      <c r="C1120" s="615" t="s">
        <v>1197</v>
      </c>
    </row>
    <row r="1121" spans="1:16">
      <c r="A1121" s="617">
        <v>60</v>
      </c>
      <c r="B1121" s="615" t="s">
        <v>1366</v>
      </c>
      <c r="C1121" s="615" t="s">
        <v>1197</v>
      </c>
    </row>
    <row r="1122" spans="1:16" ht="15">
      <c r="A1122" s="1743">
        <v>61</v>
      </c>
      <c r="B1122" s="1746" t="s">
        <v>1367</v>
      </c>
      <c r="C1122" s="618" t="s">
        <v>1075</v>
      </c>
      <c r="P1122" s="611">
        <v>245109.14199999999</v>
      </c>
    </row>
    <row r="1123" spans="1:16">
      <c r="A1123" s="1744"/>
      <c r="B1123" s="1747"/>
      <c r="C1123" s="615" t="s">
        <v>1197</v>
      </c>
    </row>
    <row r="1124" spans="1:16" ht="15">
      <c r="A1124" s="1744"/>
      <c r="B1124" s="1747"/>
      <c r="C1124" s="616" t="s">
        <v>1307</v>
      </c>
      <c r="P1124" s="611">
        <v>8415.1530000000002</v>
      </c>
    </row>
    <row r="1125" spans="1:16" ht="15">
      <c r="A1125" s="1745"/>
      <c r="B1125" s="1748"/>
      <c r="C1125" s="616" t="s">
        <v>1202</v>
      </c>
      <c r="P1125" s="611">
        <v>2524.6480000000001</v>
      </c>
    </row>
    <row r="1126" spans="1:16" ht="38.25">
      <c r="A1126" s="619">
        <v>62</v>
      </c>
      <c r="B1126" s="616" t="s">
        <v>1368</v>
      </c>
      <c r="C1126" s="616" t="s">
        <v>1307</v>
      </c>
      <c r="P1126" s="611">
        <v>16134.9</v>
      </c>
    </row>
    <row r="1127" spans="1:16" ht="15">
      <c r="A1127" s="1751">
        <v>63</v>
      </c>
      <c r="B1127" s="1746" t="s">
        <v>1369</v>
      </c>
      <c r="C1127" s="614" t="s">
        <v>1075</v>
      </c>
      <c r="P1127" s="611">
        <v>152950.13000000003</v>
      </c>
    </row>
    <row r="1128" spans="1:16">
      <c r="A1128" s="1752"/>
      <c r="B1128" s="1747"/>
      <c r="C1128" s="615" t="s">
        <v>1197</v>
      </c>
    </row>
    <row r="1129" spans="1:16" ht="15">
      <c r="A1129" s="1753"/>
      <c r="B1129" s="1748"/>
      <c r="C1129" s="616" t="s">
        <v>1307</v>
      </c>
      <c r="P1129" s="611">
        <v>19159.089</v>
      </c>
    </row>
    <row r="1130" spans="1:16" ht="15">
      <c r="A1130" s="1751">
        <v>64</v>
      </c>
      <c r="B1130" s="1746" t="s">
        <v>1370</v>
      </c>
      <c r="C1130" s="614" t="s">
        <v>1075</v>
      </c>
      <c r="P1130" s="611">
        <v>25029.899999999998</v>
      </c>
    </row>
    <row r="1131" spans="1:16">
      <c r="A1131" s="1752"/>
      <c r="B1131" s="1747"/>
      <c r="C1131" s="615" t="s">
        <v>1197</v>
      </c>
    </row>
    <row r="1132" spans="1:16" ht="15">
      <c r="A1132" s="1753"/>
      <c r="B1132" s="1748"/>
      <c r="C1132" s="616" t="s">
        <v>1307</v>
      </c>
      <c r="P1132" s="611">
        <v>2030.9299999999998</v>
      </c>
    </row>
    <row r="1133" spans="1:16">
      <c r="A1133" s="617">
        <v>65</v>
      </c>
      <c r="B1133" s="615" t="s">
        <v>1371</v>
      </c>
      <c r="C1133" s="615" t="s">
        <v>1197</v>
      </c>
    </row>
    <row r="1134" spans="1:16" ht="15">
      <c r="A1134" s="1743">
        <v>66</v>
      </c>
      <c r="B1134" s="1746" t="s">
        <v>1372</v>
      </c>
      <c r="C1134" s="618" t="s">
        <v>1075</v>
      </c>
      <c r="P1134" s="611">
        <v>37941.199999999997</v>
      </c>
    </row>
    <row r="1135" spans="1:16">
      <c r="A1135" s="1744"/>
      <c r="B1135" s="1747"/>
      <c r="C1135" s="615" t="s">
        <v>1197</v>
      </c>
    </row>
    <row r="1136" spans="1:16" ht="15">
      <c r="A1136" s="1745"/>
      <c r="B1136" s="1748"/>
      <c r="C1136" s="616" t="s">
        <v>1198</v>
      </c>
      <c r="P1136" s="611">
        <v>11924.106</v>
      </c>
    </row>
    <row r="1137" spans="1:56">
      <c r="A1137" s="617">
        <v>67</v>
      </c>
      <c r="B1137" s="615" t="s">
        <v>1373</v>
      </c>
      <c r="C1137" s="615" t="s">
        <v>1197</v>
      </c>
    </row>
    <row r="1138" spans="1:56" ht="15">
      <c r="A1138" s="1743">
        <v>68</v>
      </c>
      <c r="B1138" s="1746" t="s">
        <v>1374</v>
      </c>
      <c r="C1138" s="615" t="s">
        <v>1075</v>
      </c>
      <c r="P1138" s="611">
        <v>104005.9</v>
      </c>
    </row>
    <row r="1139" spans="1:56">
      <c r="A1139" s="1744"/>
      <c r="B1139" s="1747"/>
      <c r="C1139" s="615" t="s">
        <v>1197</v>
      </c>
    </row>
    <row r="1140" spans="1:56" ht="15">
      <c r="A1140" s="1745"/>
      <c r="B1140" s="1748"/>
      <c r="C1140" s="615" t="s">
        <v>1202</v>
      </c>
      <c r="P1140" s="611">
        <v>645.55200000000002</v>
      </c>
    </row>
    <row r="1141" spans="1:56" ht="15">
      <c r="A1141" s="1751">
        <v>69</v>
      </c>
      <c r="B1141" s="1754" t="s">
        <v>1375</v>
      </c>
      <c r="C1141" s="614" t="s">
        <v>1075</v>
      </c>
      <c r="P1141" s="611">
        <v>1046420.9010000001</v>
      </c>
    </row>
    <row r="1142" spans="1:56">
      <c r="A1142" s="1752"/>
      <c r="B1142" s="1755"/>
      <c r="C1142" s="616" t="s">
        <v>1197</v>
      </c>
    </row>
    <row r="1143" spans="1:56" ht="15">
      <c r="A1143" s="1752"/>
      <c r="B1143" s="1755"/>
      <c r="C1143" s="616" t="s">
        <v>1198</v>
      </c>
      <c r="BD1143" s="611">
        <v>616743.74800000002</v>
      </c>
    </row>
    <row r="1144" spans="1:56" ht="15">
      <c r="A1144" s="1753"/>
      <c r="B1144" s="1756"/>
      <c r="C1144" s="616" t="s">
        <v>1307</v>
      </c>
      <c r="P1144" s="611">
        <v>4584.7189999999991</v>
      </c>
    </row>
    <row r="1145" spans="1:56">
      <c r="A1145" s="617">
        <v>70</v>
      </c>
      <c r="B1145" s="615" t="s">
        <v>1376</v>
      </c>
      <c r="C1145" s="615" t="s">
        <v>1197</v>
      </c>
    </row>
    <row r="1146" spans="1:56">
      <c r="A1146" s="617">
        <v>71</v>
      </c>
      <c r="B1146" s="615" t="s">
        <v>1377</v>
      </c>
      <c r="C1146" s="615" t="s">
        <v>1197</v>
      </c>
    </row>
    <row r="1147" spans="1:56" ht="25.5">
      <c r="A1147" s="617">
        <v>72</v>
      </c>
      <c r="B1147" s="615" t="s">
        <v>1378</v>
      </c>
      <c r="C1147" s="615" t="s">
        <v>1197</v>
      </c>
    </row>
    <row r="1148" spans="1:56" ht="25.5">
      <c r="A1148" s="617">
        <v>73</v>
      </c>
      <c r="B1148" s="615" t="s">
        <v>1379</v>
      </c>
      <c r="C1148" s="615" t="s">
        <v>1197</v>
      </c>
    </row>
    <row r="1149" spans="1:56" ht="15">
      <c r="A1149" s="1743">
        <v>74</v>
      </c>
      <c r="B1149" s="1746" t="s">
        <v>1380</v>
      </c>
      <c r="C1149" s="618" t="s">
        <v>1075</v>
      </c>
      <c r="P1149" s="611">
        <v>17383.101000000002</v>
      </c>
      <c r="BD1149" s="611">
        <v>4020.3199999999997</v>
      </c>
    </row>
    <row r="1150" spans="1:56">
      <c r="A1150" s="1744"/>
      <c r="B1150" s="1747"/>
      <c r="C1150" s="615" t="s">
        <v>1197</v>
      </c>
    </row>
    <row r="1151" spans="1:56">
      <c r="A1151" s="1745"/>
      <c r="B1151" s="1748"/>
      <c r="C1151" s="616" t="s">
        <v>1198</v>
      </c>
    </row>
    <row r="1152" spans="1:56" ht="15">
      <c r="A1152" s="617">
        <v>75</v>
      </c>
      <c r="B1152" s="615" t="s">
        <v>1381</v>
      </c>
      <c r="C1152" s="615" t="s">
        <v>1197</v>
      </c>
      <c r="P1152" s="611">
        <v>13536.2</v>
      </c>
    </row>
    <row r="1153" spans="1:111" ht="38.25">
      <c r="A1153" s="619">
        <v>76</v>
      </c>
      <c r="B1153" s="616" t="s">
        <v>1382</v>
      </c>
      <c r="C1153" s="616" t="s">
        <v>1307</v>
      </c>
      <c r="P1153" s="611">
        <v>13990.9</v>
      </c>
    </row>
    <row r="1154" spans="1:111" ht="15">
      <c r="A1154" s="619">
        <v>77</v>
      </c>
      <c r="B1154" s="616" t="s">
        <v>1383</v>
      </c>
      <c r="C1154" s="616" t="s">
        <v>1307</v>
      </c>
      <c r="P1154" s="611">
        <v>17523.599999999999</v>
      </c>
    </row>
    <row r="1155" spans="1:111" ht="15">
      <c r="A1155" s="619">
        <v>78</v>
      </c>
      <c r="B1155" s="616" t="s">
        <v>1384</v>
      </c>
      <c r="C1155" s="616" t="s">
        <v>1307</v>
      </c>
      <c r="P1155" s="611">
        <v>4841.2</v>
      </c>
    </row>
    <row r="1156" spans="1:111" ht="15">
      <c r="A1156" s="619">
        <v>79</v>
      </c>
      <c r="B1156" s="278" t="s">
        <v>1385</v>
      </c>
      <c r="C1156" s="616" t="s">
        <v>1307</v>
      </c>
      <c r="P1156" s="611">
        <v>3146.5</v>
      </c>
    </row>
    <row r="1157" spans="1:111" ht="15">
      <c r="A1157" s="619">
        <v>80</v>
      </c>
      <c r="B1157" s="616" t="s">
        <v>1386</v>
      </c>
      <c r="C1157" s="616" t="s">
        <v>1307</v>
      </c>
      <c r="P1157" s="611">
        <v>49383.34</v>
      </c>
    </row>
    <row r="1158" spans="1:111" ht="15">
      <c r="A1158" s="619">
        <v>81</v>
      </c>
      <c r="B1158" s="616" t="s">
        <v>1387</v>
      </c>
      <c r="C1158" s="616" t="s">
        <v>1307</v>
      </c>
      <c r="P1158" s="611">
        <v>1983.6</v>
      </c>
    </row>
    <row r="1159" spans="1:111">
      <c r="A1159" s="1750" t="s">
        <v>1199</v>
      </c>
      <c r="B1159" s="1750"/>
      <c r="C1159" s="1750"/>
      <c r="D1159" s="1750"/>
      <c r="E1159" s="1750"/>
      <c r="F1159" s="1750"/>
      <c r="G1159" s="1750"/>
      <c r="H1159" s="1750"/>
      <c r="I1159" s="1750"/>
      <c r="J1159" s="1750"/>
      <c r="K1159" s="1750"/>
      <c r="L1159" s="1750"/>
      <c r="M1159" s="1750"/>
      <c r="N1159" s="1750"/>
      <c r="O1159" s="1750"/>
      <c r="P1159" s="1750"/>
      <c r="AL1159" s="561">
        <f>SUM(AL1160:AL1343)</f>
        <v>856330.11100000015</v>
      </c>
      <c r="AM1159" s="561">
        <f t="shared" ref="AM1159:CX1159" si="88">SUM(AM1160:AM1343)</f>
        <v>0</v>
      </c>
      <c r="AN1159" s="561">
        <f t="shared" si="88"/>
        <v>0</v>
      </c>
      <c r="AO1159" s="561">
        <f t="shared" si="88"/>
        <v>0</v>
      </c>
      <c r="AP1159" s="561">
        <f t="shared" si="88"/>
        <v>0</v>
      </c>
      <c r="AQ1159" s="561">
        <f t="shared" si="88"/>
        <v>0</v>
      </c>
      <c r="AR1159" s="561">
        <f t="shared" si="88"/>
        <v>0</v>
      </c>
      <c r="AS1159" s="561">
        <f t="shared" si="88"/>
        <v>0</v>
      </c>
      <c r="AT1159" s="561">
        <f t="shared" si="88"/>
        <v>0</v>
      </c>
      <c r="AU1159" s="561">
        <f t="shared" si="88"/>
        <v>0</v>
      </c>
      <c r="AV1159" s="561">
        <f t="shared" si="88"/>
        <v>0</v>
      </c>
      <c r="AW1159" s="561">
        <f t="shared" si="88"/>
        <v>0</v>
      </c>
      <c r="AX1159" s="561">
        <f t="shared" si="88"/>
        <v>0</v>
      </c>
      <c r="AY1159" s="561">
        <f t="shared" si="88"/>
        <v>0</v>
      </c>
      <c r="AZ1159" s="561">
        <f t="shared" si="88"/>
        <v>0</v>
      </c>
      <c r="BA1159" s="561">
        <f t="shared" si="88"/>
        <v>0</v>
      </c>
      <c r="BB1159" s="561">
        <f t="shared" si="88"/>
        <v>0</v>
      </c>
      <c r="BC1159" s="561">
        <f t="shared" si="88"/>
        <v>0</v>
      </c>
      <c r="BD1159" s="561">
        <f t="shared" si="88"/>
        <v>4584.7189999999991</v>
      </c>
      <c r="BE1159" s="561">
        <f t="shared" si="88"/>
        <v>0</v>
      </c>
      <c r="BF1159" s="561">
        <f t="shared" si="88"/>
        <v>0</v>
      </c>
      <c r="BG1159" s="561">
        <f t="shared" si="88"/>
        <v>0</v>
      </c>
      <c r="BH1159" s="561">
        <f t="shared" si="88"/>
        <v>0</v>
      </c>
      <c r="BI1159" s="561">
        <f t="shared" si="88"/>
        <v>0</v>
      </c>
      <c r="BJ1159" s="561">
        <f t="shared" si="88"/>
        <v>0</v>
      </c>
      <c r="BK1159" s="561">
        <f t="shared" si="88"/>
        <v>0</v>
      </c>
      <c r="BL1159" s="561">
        <f t="shared" si="88"/>
        <v>0</v>
      </c>
      <c r="BM1159" s="561">
        <f t="shared" si="88"/>
        <v>0</v>
      </c>
      <c r="BN1159" s="561">
        <f t="shared" si="88"/>
        <v>0</v>
      </c>
      <c r="BO1159" s="561">
        <f t="shared" si="88"/>
        <v>0</v>
      </c>
      <c r="BP1159" s="561">
        <f t="shared" si="88"/>
        <v>0</v>
      </c>
      <c r="BQ1159" s="561">
        <f t="shared" si="88"/>
        <v>0</v>
      </c>
      <c r="BR1159" s="561">
        <f t="shared" si="88"/>
        <v>0</v>
      </c>
      <c r="BS1159" s="561">
        <f t="shared" si="88"/>
        <v>0</v>
      </c>
      <c r="BT1159" s="561">
        <f t="shared" si="88"/>
        <v>0</v>
      </c>
      <c r="BU1159" s="561">
        <f t="shared" si="88"/>
        <v>0</v>
      </c>
      <c r="BV1159" s="561">
        <f t="shared" si="88"/>
        <v>0</v>
      </c>
      <c r="BW1159" s="561">
        <f t="shared" si="88"/>
        <v>0</v>
      </c>
      <c r="BX1159" s="561">
        <f t="shared" si="88"/>
        <v>0</v>
      </c>
      <c r="BY1159" s="561">
        <f t="shared" si="88"/>
        <v>0</v>
      </c>
      <c r="BZ1159" s="561">
        <f t="shared" si="88"/>
        <v>206380.69999999998</v>
      </c>
      <c r="CA1159" s="561">
        <f t="shared" si="88"/>
        <v>0</v>
      </c>
      <c r="CB1159" s="561">
        <f t="shared" si="88"/>
        <v>4841.2</v>
      </c>
      <c r="CC1159" s="561">
        <f t="shared" si="88"/>
        <v>0</v>
      </c>
      <c r="CD1159" s="561">
        <f t="shared" si="88"/>
        <v>0</v>
      </c>
      <c r="CE1159" s="561">
        <f t="shared" si="88"/>
        <v>0</v>
      </c>
      <c r="CF1159" s="561">
        <f t="shared" si="88"/>
        <v>0</v>
      </c>
      <c r="CG1159" s="561">
        <f t="shared" si="88"/>
        <v>0</v>
      </c>
      <c r="CH1159" s="561">
        <f t="shared" si="88"/>
        <v>0</v>
      </c>
      <c r="CI1159" s="561">
        <f t="shared" si="88"/>
        <v>0</v>
      </c>
      <c r="CJ1159" s="561">
        <f t="shared" si="88"/>
        <v>0</v>
      </c>
      <c r="CK1159" s="561">
        <f t="shared" si="88"/>
        <v>0</v>
      </c>
      <c r="CL1159" s="561">
        <f t="shared" si="88"/>
        <v>0</v>
      </c>
      <c r="CM1159" s="561">
        <f t="shared" si="88"/>
        <v>0</v>
      </c>
      <c r="CN1159" s="561">
        <f t="shared" si="88"/>
        <v>0</v>
      </c>
      <c r="CO1159" s="561">
        <f t="shared" si="88"/>
        <v>0</v>
      </c>
      <c r="CP1159" s="561">
        <f t="shared" si="88"/>
        <v>0</v>
      </c>
      <c r="CQ1159" s="561">
        <f t="shared" si="88"/>
        <v>0</v>
      </c>
      <c r="CR1159" s="561">
        <f t="shared" si="88"/>
        <v>0</v>
      </c>
      <c r="CS1159" s="561">
        <f t="shared" si="88"/>
        <v>0</v>
      </c>
      <c r="CT1159" s="561">
        <f t="shared" si="88"/>
        <v>0</v>
      </c>
      <c r="CU1159" s="561">
        <f t="shared" si="88"/>
        <v>0</v>
      </c>
      <c r="CV1159" s="561">
        <f t="shared" si="88"/>
        <v>0</v>
      </c>
      <c r="CW1159" s="561">
        <f t="shared" si="88"/>
        <v>0</v>
      </c>
      <c r="CX1159" s="561">
        <f t="shared" si="88"/>
        <v>0</v>
      </c>
      <c r="CY1159" s="561">
        <f t="shared" ref="CY1159:DG1159" si="89">SUM(CY1160:CY1343)</f>
        <v>0</v>
      </c>
      <c r="CZ1159" s="561">
        <f t="shared" si="89"/>
        <v>0</v>
      </c>
      <c r="DA1159" s="561">
        <f t="shared" si="89"/>
        <v>0</v>
      </c>
      <c r="DB1159" s="561">
        <f t="shared" si="89"/>
        <v>0</v>
      </c>
      <c r="DC1159" s="561">
        <f t="shared" si="89"/>
        <v>0</v>
      </c>
      <c r="DD1159" s="561">
        <f t="shared" si="89"/>
        <v>0</v>
      </c>
      <c r="DE1159" s="561">
        <f t="shared" si="89"/>
        <v>0</v>
      </c>
      <c r="DF1159" s="561">
        <f t="shared" si="89"/>
        <v>0</v>
      </c>
      <c r="DG1159" s="561">
        <f t="shared" si="89"/>
        <v>0</v>
      </c>
    </row>
    <row r="1160" spans="1:111" ht="15">
      <c r="A1160" s="1763">
        <v>1</v>
      </c>
      <c r="B1160" s="1746" t="s">
        <v>1306</v>
      </c>
      <c r="C1160" s="614" t="s">
        <v>1075</v>
      </c>
      <c r="P1160" s="611">
        <v>804931.58400000003</v>
      </c>
    </row>
    <row r="1161" spans="1:111">
      <c r="A1161" s="1763"/>
      <c r="B1161" s="1747"/>
      <c r="C1161" s="615" t="s">
        <v>1197</v>
      </c>
    </row>
    <row r="1162" spans="1:111">
      <c r="A1162" s="1763"/>
      <c r="B1162" s="1747"/>
      <c r="C1162" s="616" t="s">
        <v>1198</v>
      </c>
    </row>
    <row r="1163" spans="1:111" ht="15">
      <c r="A1163" s="1764"/>
      <c r="B1163" s="1748"/>
      <c r="C1163" s="616" t="s">
        <v>1307</v>
      </c>
      <c r="AL1163" s="611">
        <v>65433.891000000003</v>
      </c>
    </row>
    <row r="1164" spans="1:111" ht="15">
      <c r="A1164" s="1765">
        <v>2</v>
      </c>
      <c r="B1164" s="1746" t="s">
        <v>1308</v>
      </c>
      <c r="C1164" s="614" t="s">
        <v>1075</v>
      </c>
      <c r="P1164" s="611">
        <v>573216.61399999994</v>
      </c>
    </row>
    <row r="1165" spans="1:111">
      <c r="A1165" s="1763"/>
      <c r="B1165" s="1747"/>
      <c r="C1165" s="615" t="s">
        <v>1197</v>
      </c>
    </row>
    <row r="1166" spans="1:111">
      <c r="A1166" s="1764"/>
      <c r="B1166" s="1748"/>
      <c r="C1166" s="616" t="s">
        <v>1198</v>
      </c>
    </row>
    <row r="1167" spans="1:111" ht="15">
      <c r="A1167" s="1765">
        <v>3</v>
      </c>
      <c r="B1167" s="1746" t="s">
        <v>1309</v>
      </c>
      <c r="C1167" s="614" t="s">
        <v>1075</v>
      </c>
      <c r="P1167" s="611">
        <v>949692.66399999999</v>
      </c>
    </row>
    <row r="1168" spans="1:111">
      <c r="A1168" s="1763"/>
      <c r="B1168" s="1747"/>
      <c r="C1168" s="615" t="s">
        <v>1197</v>
      </c>
    </row>
    <row r="1169" spans="1:38">
      <c r="A1169" s="1763"/>
      <c r="B1169" s="1747"/>
      <c r="C1169" s="616" t="s">
        <v>1198</v>
      </c>
    </row>
    <row r="1170" spans="1:38" ht="15">
      <c r="A1170" s="1764"/>
      <c r="B1170" s="1748"/>
      <c r="C1170" s="616" t="s">
        <v>1307</v>
      </c>
      <c r="AL1170" s="611">
        <v>206978.125</v>
      </c>
    </row>
    <row r="1171" spans="1:38" ht="15">
      <c r="A1171" s="1757">
        <v>4</v>
      </c>
      <c r="B1171" s="1746" t="s">
        <v>1310</v>
      </c>
      <c r="C1171" s="614" t="s">
        <v>1075</v>
      </c>
      <c r="P1171" s="611">
        <v>286253.67</v>
      </c>
    </row>
    <row r="1172" spans="1:38">
      <c r="A1172" s="1758"/>
      <c r="B1172" s="1747"/>
      <c r="C1172" s="615" t="s">
        <v>1197</v>
      </c>
    </row>
    <row r="1173" spans="1:38" ht="15">
      <c r="A1173" s="1759"/>
      <c r="B1173" s="1748"/>
      <c r="C1173" s="615" t="s">
        <v>1202</v>
      </c>
      <c r="P1173" s="611">
        <v>2465.9699999999998</v>
      </c>
    </row>
    <row r="1174" spans="1:38">
      <c r="A1174" s="617">
        <v>5</v>
      </c>
      <c r="B1174" s="615" t="s">
        <v>1311</v>
      </c>
      <c r="C1174" s="615" t="s">
        <v>1197</v>
      </c>
    </row>
    <row r="1175" spans="1:38">
      <c r="A1175" s="617">
        <v>6</v>
      </c>
      <c r="B1175" s="615" t="s">
        <v>1312</v>
      </c>
      <c r="C1175" s="615" t="s">
        <v>1197</v>
      </c>
    </row>
    <row r="1176" spans="1:38" ht="38.25">
      <c r="A1176" s="617">
        <v>7</v>
      </c>
      <c r="B1176" s="615" t="s">
        <v>1313</v>
      </c>
      <c r="C1176" s="615" t="s">
        <v>1197</v>
      </c>
    </row>
    <row r="1177" spans="1:38" ht="15">
      <c r="A1177" s="1743">
        <v>8</v>
      </c>
      <c r="B1177" s="1746" t="s">
        <v>1314</v>
      </c>
      <c r="C1177" s="618" t="s">
        <v>1075</v>
      </c>
      <c r="P1177" s="611">
        <v>183766.30000000002</v>
      </c>
    </row>
    <row r="1178" spans="1:38">
      <c r="A1178" s="1744"/>
      <c r="B1178" s="1747"/>
      <c r="C1178" s="615" t="s">
        <v>1197</v>
      </c>
    </row>
    <row r="1179" spans="1:38" ht="15">
      <c r="A1179" s="1745"/>
      <c r="B1179" s="1748"/>
      <c r="C1179" s="616" t="s">
        <v>1307</v>
      </c>
      <c r="AL1179" s="611">
        <v>7516.4049999999997</v>
      </c>
    </row>
    <row r="1180" spans="1:38" ht="15">
      <c r="A1180" s="1743">
        <v>9</v>
      </c>
      <c r="B1180" s="1760" t="s">
        <v>1315</v>
      </c>
      <c r="C1180" s="614" t="s">
        <v>1075</v>
      </c>
      <c r="P1180" s="611">
        <v>211862.34099999999</v>
      </c>
    </row>
    <row r="1181" spans="1:38">
      <c r="A1181" s="1744"/>
      <c r="B1181" s="1761"/>
      <c r="C1181" s="615" t="s">
        <v>1197</v>
      </c>
    </row>
    <row r="1182" spans="1:38" ht="15">
      <c r="A1182" s="1745"/>
      <c r="B1182" s="1762"/>
      <c r="C1182" s="616" t="s">
        <v>1307</v>
      </c>
      <c r="AL1182" s="611">
        <v>28725.231</v>
      </c>
    </row>
    <row r="1183" spans="1:38" ht="15">
      <c r="A1183" s="1743">
        <v>10</v>
      </c>
      <c r="B1183" s="1746" t="s">
        <v>1316</v>
      </c>
      <c r="C1183" s="614" t="s">
        <v>1075</v>
      </c>
      <c r="P1183" s="611">
        <v>71638.900000000009</v>
      </c>
    </row>
    <row r="1184" spans="1:38">
      <c r="A1184" s="1744"/>
      <c r="B1184" s="1747"/>
      <c r="C1184" s="615" t="s">
        <v>1197</v>
      </c>
    </row>
    <row r="1185" spans="1:38" ht="15">
      <c r="A1185" s="1745"/>
      <c r="B1185" s="1748"/>
      <c r="C1185" s="616" t="s">
        <v>1307</v>
      </c>
      <c r="AL1185" s="611">
        <v>7135.7500000000009</v>
      </c>
    </row>
    <row r="1186" spans="1:38" ht="15">
      <c r="A1186" s="1743">
        <v>11</v>
      </c>
      <c r="B1186" s="1746" t="s">
        <v>1317</v>
      </c>
      <c r="C1186" s="614" t="s">
        <v>1075</v>
      </c>
      <c r="P1186" s="611">
        <v>188890.10399999999</v>
      </c>
    </row>
    <row r="1187" spans="1:38">
      <c r="A1187" s="1744"/>
      <c r="B1187" s="1747"/>
      <c r="C1187" s="615" t="s">
        <v>1197</v>
      </c>
    </row>
    <row r="1188" spans="1:38" ht="15">
      <c r="A1188" s="1745"/>
      <c r="B1188" s="1748"/>
      <c r="C1188" s="616" t="s">
        <v>1307</v>
      </c>
      <c r="P1188" s="611">
        <v>11762.222</v>
      </c>
    </row>
    <row r="1189" spans="1:38" ht="15">
      <c r="A1189" s="1743">
        <v>12</v>
      </c>
      <c r="B1189" s="1746" t="s">
        <v>1318</v>
      </c>
      <c r="C1189" s="614" t="s">
        <v>1075</v>
      </c>
      <c r="P1189" s="611">
        <v>96890.4</v>
      </c>
    </row>
    <row r="1190" spans="1:38">
      <c r="A1190" s="1744"/>
      <c r="B1190" s="1747"/>
      <c r="C1190" s="615" t="s">
        <v>1197</v>
      </c>
    </row>
    <row r="1191" spans="1:38" ht="15">
      <c r="A1191" s="1745"/>
      <c r="B1191" s="1748"/>
      <c r="C1191" s="616" t="s">
        <v>1307</v>
      </c>
      <c r="AL1191" s="611">
        <v>6951.3360000000002</v>
      </c>
    </row>
    <row r="1192" spans="1:38" ht="15">
      <c r="A1192" s="1743">
        <v>13</v>
      </c>
      <c r="B1192" s="1746" t="s">
        <v>1319</v>
      </c>
      <c r="C1192" s="614" t="s">
        <v>1075</v>
      </c>
      <c r="P1192" s="611">
        <v>74993.700000000012</v>
      </c>
    </row>
    <row r="1193" spans="1:38">
      <c r="A1193" s="1744"/>
      <c r="B1193" s="1747"/>
      <c r="C1193" s="615" t="s">
        <v>1197</v>
      </c>
    </row>
    <row r="1194" spans="1:38" ht="15">
      <c r="A1194" s="1745"/>
      <c r="B1194" s="1748"/>
      <c r="C1194" s="616" t="s">
        <v>1307</v>
      </c>
      <c r="AL1194" s="611">
        <v>1895.049</v>
      </c>
    </row>
    <row r="1195" spans="1:38" ht="15">
      <c r="A1195" s="1743">
        <v>14</v>
      </c>
      <c r="B1195" s="1746" t="s">
        <v>1320</v>
      </c>
      <c r="C1195" s="614" t="s">
        <v>1075</v>
      </c>
      <c r="P1195" s="611">
        <v>173969.07500000001</v>
      </c>
    </row>
    <row r="1196" spans="1:38">
      <c r="A1196" s="1744"/>
      <c r="B1196" s="1747"/>
      <c r="C1196" s="615" t="s">
        <v>1197</v>
      </c>
    </row>
    <row r="1197" spans="1:38" ht="15">
      <c r="A1197" s="1745"/>
      <c r="B1197" s="1748"/>
      <c r="C1197" s="616" t="s">
        <v>1307</v>
      </c>
      <c r="AL1197" s="611">
        <v>16214.5</v>
      </c>
    </row>
    <row r="1198" spans="1:38" ht="15">
      <c r="A1198" s="1743">
        <v>15</v>
      </c>
      <c r="B1198" s="1746" t="s">
        <v>1321</v>
      </c>
      <c r="C1198" s="614" t="s">
        <v>1075</v>
      </c>
      <c r="P1198" s="611">
        <v>15899</v>
      </c>
    </row>
    <row r="1199" spans="1:38">
      <c r="A1199" s="1744"/>
      <c r="B1199" s="1747"/>
      <c r="C1199" s="615" t="s">
        <v>1197</v>
      </c>
    </row>
    <row r="1200" spans="1:38" ht="15">
      <c r="A1200" s="1745"/>
      <c r="B1200" s="1748"/>
      <c r="C1200" s="616" t="s">
        <v>1307</v>
      </c>
      <c r="AL1200" s="611">
        <v>2243.326</v>
      </c>
    </row>
    <row r="1201" spans="1:78" ht="15">
      <c r="A1201" s="1743">
        <v>16</v>
      </c>
      <c r="B1201" s="1746" t="s">
        <v>1322</v>
      </c>
      <c r="C1201" s="614" t="s">
        <v>1075</v>
      </c>
      <c r="P1201" s="611">
        <v>15757.5</v>
      </c>
    </row>
    <row r="1202" spans="1:78">
      <c r="A1202" s="1744"/>
      <c r="B1202" s="1747"/>
      <c r="C1202" s="615" t="s">
        <v>1197</v>
      </c>
    </row>
    <row r="1203" spans="1:78" ht="15">
      <c r="A1203" s="1745"/>
      <c r="B1203" s="1748"/>
      <c r="C1203" s="616" t="s">
        <v>1307</v>
      </c>
      <c r="AL1203" s="611">
        <v>2897.4270000000001</v>
      </c>
    </row>
    <row r="1204" spans="1:78" ht="15">
      <c r="A1204" s="1743">
        <v>17</v>
      </c>
      <c r="B1204" s="1746" t="s">
        <v>1323</v>
      </c>
      <c r="C1204" s="614" t="s">
        <v>1075</v>
      </c>
      <c r="P1204" s="611">
        <v>26435.804999999997</v>
      </c>
    </row>
    <row r="1205" spans="1:78">
      <c r="A1205" s="1744"/>
      <c r="B1205" s="1747"/>
      <c r="C1205" s="615" t="s">
        <v>1197</v>
      </c>
    </row>
    <row r="1206" spans="1:78" ht="15">
      <c r="A1206" s="1745"/>
      <c r="B1206" s="1748"/>
      <c r="C1206" s="616" t="s">
        <v>1307</v>
      </c>
      <c r="AL1206" s="611">
        <v>3755.3509999999997</v>
      </c>
    </row>
    <row r="1207" spans="1:78" ht="15">
      <c r="A1207" s="1743">
        <v>18</v>
      </c>
      <c r="B1207" s="1746" t="s">
        <v>1324</v>
      </c>
      <c r="C1207" s="614" t="s">
        <v>1075</v>
      </c>
      <c r="P1207" s="611">
        <v>394185.788</v>
      </c>
    </row>
    <row r="1208" spans="1:78">
      <c r="A1208" s="1744"/>
      <c r="B1208" s="1747"/>
      <c r="C1208" s="615" t="s">
        <v>1197</v>
      </c>
    </row>
    <row r="1209" spans="1:78" ht="15">
      <c r="A1209" s="1745"/>
      <c r="B1209" s="1748"/>
      <c r="C1209" s="616" t="s">
        <v>1307</v>
      </c>
      <c r="AL1209" s="611">
        <v>7358.5360000000001</v>
      </c>
    </row>
    <row r="1210" spans="1:78" ht="38.25">
      <c r="A1210" s="619">
        <v>19</v>
      </c>
      <c r="B1210" s="616" t="s">
        <v>1325</v>
      </c>
      <c r="C1210" s="616" t="s">
        <v>1307</v>
      </c>
      <c r="BZ1210" s="611">
        <v>53896.4</v>
      </c>
    </row>
    <row r="1211" spans="1:78" ht="15">
      <c r="A1211" s="1751">
        <v>20</v>
      </c>
      <c r="B1211" s="1746" t="s">
        <v>1326</v>
      </c>
      <c r="C1211" s="614" t="s">
        <v>1075</v>
      </c>
      <c r="P1211" s="611">
        <v>75969.100000000006</v>
      </c>
    </row>
    <row r="1212" spans="1:78">
      <c r="A1212" s="1752"/>
      <c r="B1212" s="1747"/>
      <c r="C1212" s="615" t="s">
        <v>1197</v>
      </c>
    </row>
    <row r="1213" spans="1:78" ht="15">
      <c r="A1213" s="1753"/>
      <c r="B1213" s="1748"/>
      <c r="C1213" s="616" t="s">
        <v>1307</v>
      </c>
      <c r="AL1213" s="611">
        <v>8719.9919999999984</v>
      </c>
    </row>
    <row r="1214" spans="1:78" ht="15">
      <c r="A1214" s="1751">
        <v>21</v>
      </c>
      <c r="B1214" s="1746" t="s">
        <v>1327</v>
      </c>
      <c r="C1214" s="614" t="s">
        <v>1075</v>
      </c>
      <c r="P1214" s="611">
        <v>220830.6</v>
      </c>
    </row>
    <row r="1215" spans="1:78">
      <c r="A1215" s="1752"/>
      <c r="B1215" s="1747"/>
      <c r="C1215" s="615" t="s">
        <v>1197</v>
      </c>
    </row>
    <row r="1216" spans="1:78" ht="15">
      <c r="A1216" s="1753"/>
      <c r="B1216" s="1748"/>
      <c r="C1216" s="616" t="s">
        <v>1307</v>
      </c>
      <c r="AL1216" s="611">
        <v>9105.1009999999987</v>
      </c>
    </row>
    <row r="1217" spans="1:78">
      <c r="A1217" s="617">
        <v>22</v>
      </c>
      <c r="B1217" s="615" t="s">
        <v>1328</v>
      </c>
      <c r="C1217" s="615" t="s">
        <v>1197</v>
      </c>
    </row>
    <row r="1218" spans="1:78" ht="15">
      <c r="A1218" s="1743">
        <v>23</v>
      </c>
      <c r="B1218" s="1746" t="s">
        <v>1329</v>
      </c>
      <c r="C1218" s="618" t="s">
        <v>1075</v>
      </c>
      <c r="P1218" s="611">
        <v>279245.10800000001</v>
      </c>
    </row>
    <row r="1219" spans="1:78">
      <c r="A1219" s="1744"/>
      <c r="B1219" s="1747"/>
      <c r="C1219" s="615" t="s">
        <v>1197</v>
      </c>
    </row>
    <row r="1220" spans="1:78" ht="15">
      <c r="A1220" s="1745"/>
      <c r="B1220" s="1748"/>
      <c r="C1220" s="616" t="s">
        <v>1307</v>
      </c>
      <c r="AL1220" s="611">
        <v>10538.743</v>
      </c>
    </row>
    <row r="1221" spans="1:78" ht="38.25">
      <c r="A1221" s="619">
        <v>24</v>
      </c>
      <c r="B1221" s="616" t="s">
        <v>1330</v>
      </c>
      <c r="C1221" s="616" t="s">
        <v>1307</v>
      </c>
      <c r="BZ1221" s="611">
        <v>13280.7</v>
      </c>
    </row>
    <row r="1222" spans="1:78" ht="15">
      <c r="A1222" s="1751">
        <v>25</v>
      </c>
      <c r="B1222" s="1746" t="s">
        <v>1331</v>
      </c>
      <c r="C1222" s="614" t="s">
        <v>1075</v>
      </c>
      <c r="P1222" s="611">
        <v>109921.30000000002</v>
      </c>
    </row>
    <row r="1223" spans="1:78">
      <c r="A1223" s="1752"/>
      <c r="B1223" s="1747"/>
      <c r="C1223" s="615" t="s">
        <v>1197</v>
      </c>
    </row>
    <row r="1224" spans="1:78" ht="15">
      <c r="A1224" s="1753"/>
      <c r="B1224" s="1748"/>
      <c r="C1224" s="616" t="s">
        <v>1307</v>
      </c>
      <c r="AL1224" s="611">
        <v>11091.828000000001</v>
      </c>
    </row>
    <row r="1225" spans="1:78" ht="15">
      <c r="A1225" s="1751">
        <v>26</v>
      </c>
      <c r="B1225" s="1746" t="s">
        <v>1332</v>
      </c>
      <c r="C1225" s="614" t="s">
        <v>1075</v>
      </c>
      <c r="P1225" s="611">
        <v>22191.9</v>
      </c>
    </row>
    <row r="1226" spans="1:78">
      <c r="A1226" s="1752"/>
      <c r="B1226" s="1747"/>
      <c r="C1226" s="615" t="s">
        <v>1197</v>
      </c>
    </row>
    <row r="1227" spans="1:78" ht="15">
      <c r="A1227" s="1753"/>
      <c r="B1227" s="1748"/>
      <c r="C1227" s="616" t="s">
        <v>1307</v>
      </c>
      <c r="AL1227" s="611">
        <v>2617.6570000000002</v>
      </c>
    </row>
    <row r="1228" spans="1:78" ht="15">
      <c r="A1228" s="1751">
        <v>27</v>
      </c>
      <c r="B1228" s="1746" t="s">
        <v>1333</v>
      </c>
      <c r="C1228" s="614" t="s">
        <v>1075</v>
      </c>
      <c r="P1228" s="611">
        <v>468152.72000000003</v>
      </c>
    </row>
    <row r="1229" spans="1:78">
      <c r="A1229" s="1752"/>
      <c r="B1229" s="1747"/>
      <c r="C1229" s="615" t="s">
        <v>1197</v>
      </c>
    </row>
    <row r="1230" spans="1:78" ht="15">
      <c r="A1230" s="1752"/>
      <c r="B1230" s="1747"/>
      <c r="C1230" s="616" t="s">
        <v>1307</v>
      </c>
      <c r="AL1230" s="611">
        <v>85767.118000000002</v>
      </c>
    </row>
    <row r="1231" spans="1:78" ht="15">
      <c r="A1231" s="1753"/>
      <c r="B1231" s="1748"/>
      <c r="C1231" s="616" t="s">
        <v>1202</v>
      </c>
      <c r="P1231" s="611">
        <v>842.57100000000003</v>
      </c>
    </row>
    <row r="1232" spans="1:78" ht="15">
      <c r="A1232" s="1751">
        <v>28</v>
      </c>
      <c r="B1232" s="1746" t="s">
        <v>1334</v>
      </c>
      <c r="C1232" s="614" t="s">
        <v>1075</v>
      </c>
      <c r="P1232" s="611">
        <v>100983.4</v>
      </c>
    </row>
    <row r="1233" spans="1:78">
      <c r="A1233" s="1752"/>
      <c r="B1233" s="1747"/>
      <c r="C1233" s="615" t="s">
        <v>1197</v>
      </c>
    </row>
    <row r="1234" spans="1:78" ht="15">
      <c r="A1234" s="1753"/>
      <c r="B1234" s="1748"/>
      <c r="C1234" s="616" t="s">
        <v>1307</v>
      </c>
      <c r="AL1234" s="611">
        <v>24738.241999999998</v>
      </c>
    </row>
    <row r="1235" spans="1:78" ht="15">
      <c r="A1235" s="1751">
        <v>29</v>
      </c>
      <c r="B1235" s="1746" t="s">
        <v>1335</v>
      </c>
      <c r="C1235" s="614" t="s">
        <v>1075</v>
      </c>
      <c r="P1235" s="611">
        <v>39451</v>
      </c>
    </row>
    <row r="1236" spans="1:78">
      <c r="A1236" s="1752"/>
      <c r="B1236" s="1747"/>
      <c r="C1236" s="615" t="s">
        <v>1197</v>
      </c>
    </row>
    <row r="1237" spans="1:78" ht="15">
      <c r="A1237" s="1753"/>
      <c r="B1237" s="1748"/>
      <c r="C1237" s="616" t="s">
        <v>1307</v>
      </c>
      <c r="AL1237" s="611">
        <v>3586.9329999999995</v>
      </c>
    </row>
    <row r="1238" spans="1:78">
      <c r="A1238" s="617">
        <v>30</v>
      </c>
      <c r="B1238" s="615" t="s">
        <v>1336</v>
      </c>
      <c r="C1238" s="615" t="s">
        <v>1197</v>
      </c>
    </row>
    <row r="1239" spans="1:78" ht="15">
      <c r="A1239" s="1743">
        <v>31</v>
      </c>
      <c r="B1239" s="1746" t="s">
        <v>1337</v>
      </c>
      <c r="C1239" s="618" t="s">
        <v>1075</v>
      </c>
      <c r="P1239" s="611">
        <v>351033.1</v>
      </c>
    </row>
    <row r="1240" spans="1:78">
      <c r="A1240" s="1744"/>
      <c r="B1240" s="1747"/>
      <c r="C1240" s="615" t="s">
        <v>1197</v>
      </c>
    </row>
    <row r="1241" spans="1:78" ht="15">
      <c r="A1241" s="1745"/>
      <c r="B1241" s="1748"/>
      <c r="C1241" s="616" t="s">
        <v>1307</v>
      </c>
      <c r="AL1241" s="611">
        <v>8482.5889999999999</v>
      </c>
    </row>
    <row r="1242" spans="1:78" ht="15">
      <c r="A1242" s="1743">
        <v>32</v>
      </c>
      <c r="B1242" s="1746" t="s">
        <v>1338</v>
      </c>
      <c r="C1242" s="614" t="s">
        <v>1075</v>
      </c>
      <c r="P1242" s="611">
        <v>276244.28399999999</v>
      </c>
    </row>
    <row r="1243" spans="1:78">
      <c r="A1243" s="1744"/>
      <c r="B1243" s="1747"/>
      <c r="C1243" s="615" t="s">
        <v>1197</v>
      </c>
    </row>
    <row r="1244" spans="1:78" ht="15">
      <c r="A1244" s="1745"/>
      <c r="B1244" s="1748"/>
      <c r="C1244" s="616" t="s">
        <v>1307</v>
      </c>
      <c r="AL1244" s="611">
        <v>32757.231999999996</v>
      </c>
    </row>
    <row r="1245" spans="1:78" ht="15">
      <c r="A1245" s="1743">
        <v>33</v>
      </c>
      <c r="B1245" s="1746" t="s">
        <v>1339</v>
      </c>
      <c r="C1245" s="614" t="s">
        <v>1075</v>
      </c>
      <c r="P1245" s="611">
        <v>535625.49</v>
      </c>
    </row>
    <row r="1246" spans="1:78">
      <c r="A1246" s="1744"/>
      <c r="B1246" s="1747"/>
      <c r="C1246" s="615" t="s">
        <v>1197</v>
      </c>
    </row>
    <row r="1247" spans="1:78" ht="15">
      <c r="A1247" s="1745"/>
      <c r="B1247" s="1748"/>
      <c r="C1247" s="616" t="s">
        <v>1307</v>
      </c>
      <c r="AL1247" s="611">
        <v>15151.389000000001</v>
      </c>
    </row>
    <row r="1248" spans="1:78" ht="38.25">
      <c r="A1248" s="619">
        <v>34</v>
      </c>
      <c r="B1248" s="616" t="s">
        <v>1340</v>
      </c>
      <c r="C1248" s="616" t="s">
        <v>1307</v>
      </c>
      <c r="BZ1248" s="611">
        <v>54745.2</v>
      </c>
    </row>
    <row r="1249" spans="1:38" ht="15">
      <c r="A1249" s="1751">
        <v>35</v>
      </c>
      <c r="B1249" s="1746" t="s">
        <v>1341</v>
      </c>
      <c r="C1249" s="614" t="s">
        <v>1075</v>
      </c>
      <c r="P1249" s="611">
        <v>40037.9</v>
      </c>
    </row>
    <row r="1250" spans="1:38">
      <c r="A1250" s="1752"/>
      <c r="B1250" s="1747"/>
      <c r="C1250" s="615" t="s">
        <v>1197</v>
      </c>
    </row>
    <row r="1251" spans="1:38" ht="15">
      <c r="A1251" s="1753"/>
      <c r="B1251" s="1748"/>
      <c r="C1251" s="616" t="s">
        <v>1307</v>
      </c>
      <c r="AL1251" s="611">
        <v>6057.2190000000001</v>
      </c>
    </row>
    <row r="1252" spans="1:38" ht="15">
      <c r="A1252" s="1751">
        <v>36</v>
      </c>
      <c r="B1252" s="1746" t="s">
        <v>1342</v>
      </c>
      <c r="C1252" s="614" t="s">
        <v>1075</v>
      </c>
      <c r="P1252" s="611">
        <v>73245.8</v>
      </c>
    </row>
    <row r="1253" spans="1:38">
      <c r="A1253" s="1752"/>
      <c r="B1253" s="1747"/>
      <c r="C1253" s="615" t="s">
        <v>1197</v>
      </c>
    </row>
    <row r="1254" spans="1:38" ht="15">
      <c r="A1254" s="1753"/>
      <c r="B1254" s="1748"/>
      <c r="C1254" s="616" t="s">
        <v>1307</v>
      </c>
      <c r="AL1254" s="611">
        <v>7594.6570000000011</v>
      </c>
    </row>
    <row r="1255" spans="1:38" ht="15">
      <c r="A1255" s="1751">
        <v>37</v>
      </c>
      <c r="B1255" s="1746" t="s">
        <v>1343</v>
      </c>
      <c r="C1255" s="614" t="s">
        <v>1075</v>
      </c>
      <c r="P1255" s="611">
        <v>30111.3</v>
      </c>
    </row>
    <row r="1256" spans="1:38">
      <c r="A1256" s="1752"/>
      <c r="B1256" s="1747"/>
      <c r="C1256" s="615" t="s">
        <v>1197</v>
      </c>
    </row>
    <row r="1257" spans="1:38" ht="15">
      <c r="A1257" s="1753"/>
      <c r="B1257" s="1748"/>
      <c r="C1257" s="616" t="s">
        <v>1307</v>
      </c>
      <c r="AL1257" s="611">
        <v>4196.2079999999996</v>
      </c>
    </row>
    <row r="1258" spans="1:38" ht="15">
      <c r="A1258" s="1751">
        <v>38</v>
      </c>
      <c r="B1258" s="1746" t="s">
        <v>1344</v>
      </c>
      <c r="C1258" s="614" t="s">
        <v>1075</v>
      </c>
      <c r="P1258" s="611">
        <v>265072.56900000002</v>
      </c>
    </row>
    <row r="1259" spans="1:38">
      <c r="A1259" s="1752"/>
      <c r="B1259" s="1747"/>
      <c r="C1259" s="615" t="s">
        <v>1197</v>
      </c>
    </row>
    <row r="1260" spans="1:38" ht="15">
      <c r="A1260" s="1753"/>
      <c r="B1260" s="1748"/>
      <c r="C1260" s="616" t="s">
        <v>1307</v>
      </c>
      <c r="AL1260" s="611">
        <v>30056.55</v>
      </c>
    </row>
    <row r="1261" spans="1:38">
      <c r="A1261" s="617">
        <v>39</v>
      </c>
      <c r="B1261" s="615" t="s">
        <v>1345</v>
      </c>
      <c r="C1261" s="615" t="s">
        <v>1197</v>
      </c>
    </row>
    <row r="1262" spans="1:38" ht="15">
      <c r="A1262" s="1743">
        <v>40</v>
      </c>
      <c r="B1262" s="1746" t="s">
        <v>1346</v>
      </c>
      <c r="C1262" s="618" t="s">
        <v>1075</v>
      </c>
      <c r="P1262" s="611">
        <v>187460.94</v>
      </c>
    </row>
    <row r="1263" spans="1:38">
      <c r="A1263" s="1744"/>
      <c r="B1263" s="1747"/>
      <c r="C1263" s="615" t="s">
        <v>1197</v>
      </c>
    </row>
    <row r="1264" spans="1:38" ht="15">
      <c r="A1264" s="1745"/>
      <c r="B1264" s="1748"/>
      <c r="C1264" s="616" t="s">
        <v>1307</v>
      </c>
      <c r="AL1264" s="611">
        <v>16534.803</v>
      </c>
    </row>
    <row r="1265" spans="1:38" ht="15">
      <c r="A1265" s="1743">
        <v>41</v>
      </c>
      <c r="B1265" s="1746" t="s">
        <v>1347</v>
      </c>
      <c r="C1265" s="614" t="s">
        <v>1075</v>
      </c>
      <c r="P1265" s="611">
        <v>64313.000000000007</v>
      </c>
    </row>
    <row r="1266" spans="1:38">
      <c r="A1266" s="1744"/>
      <c r="B1266" s="1747"/>
      <c r="C1266" s="615" t="s">
        <v>1197</v>
      </c>
    </row>
    <row r="1267" spans="1:38" ht="15">
      <c r="A1267" s="1745"/>
      <c r="B1267" s="1748"/>
      <c r="C1267" s="616" t="s">
        <v>1307</v>
      </c>
      <c r="AL1267" s="611">
        <v>3411.1009999999997</v>
      </c>
    </row>
    <row r="1268" spans="1:38" ht="15">
      <c r="A1268" s="1743">
        <v>42</v>
      </c>
      <c r="B1268" s="1746" t="s">
        <v>1348</v>
      </c>
      <c r="C1268" s="614" t="s">
        <v>1075</v>
      </c>
      <c r="P1268" s="611">
        <v>192788.43599999999</v>
      </c>
    </row>
    <row r="1269" spans="1:38">
      <c r="A1269" s="1744"/>
      <c r="B1269" s="1747"/>
      <c r="C1269" s="615" t="s">
        <v>1197</v>
      </c>
    </row>
    <row r="1270" spans="1:38" ht="15">
      <c r="A1270" s="1745"/>
      <c r="B1270" s="1748"/>
      <c r="C1270" s="616" t="s">
        <v>1307</v>
      </c>
      <c r="AL1270" s="611">
        <v>18098.857</v>
      </c>
    </row>
    <row r="1271" spans="1:38">
      <c r="A1271" s="617">
        <v>43</v>
      </c>
      <c r="B1271" s="615" t="s">
        <v>1349</v>
      </c>
      <c r="C1271" s="615" t="s">
        <v>1197</v>
      </c>
    </row>
    <row r="1272" spans="1:38" ht="15">
      <c r="A1272" s="619">
        <v>44</v>
      </c>
      <c r="B1272" s="616" t="s">
        <v>1350</v>
      </c>
      <c r="C1272" s="616" t="s">
        <v>1307</v>
      </c>
      <c r="AL1272" s="611">
        <v>30962.400000000001</v>
      </c>
    </row>
    <row r="1273" spans="1:38">
      <c r="A1273" s="617">
        <v>45</v>
      </c>
      <c r="B1273" s="615" t="s">
        <v>1351</v>
      </c>
      <c r="C1273" s="615" t="s">
        <v>1197</v>
      </c>
    </row>
    <row r="1274" spans="1:38">
      <c r="A1274" s="617">
        <v>46</v>
      </c>
      <c r="B1274" s="615" t="s">
        <v>1352</v>
      </c>
      <c r="C1274" s="615" t="s">
        <v>1197</v>
      </c>
    </row>
    <row r="1275" spans="1:38">
      <c r="A1275" s="617">
        <v>47</v>
      </c>
      <c r="B1275" s="615" t="s">
        <v>1353</v>
      </c>
      <c r="C1275" s="615" t="s">
        <v>1197</v>
      </c>
    </row>
    <row r="1276" spans="1:38" ht="15">
      <c r="A1276" s="1743">
        <v>48</v>
      </c>
      <c r="B1276" s="1746" t="s">
        <v>1354</v>
      </c>
      <c r="C1276" s="618" t="s">
        <v>1075</v>
      </c>
      <c r="P1276" s="611">
        <v>193835.63799999998</v>
      </c>
    </row>
    <row r="1277" spans="1:38">
      <c r="A1277" s="1744"/>
      <c r="B1277" s="1747"/>
      <c r="C1277" s="615" t="s">
        <v>1197</v>
      </c>
    </row>
    <row r="1278" spans="1:38" ht="15">
      <c r="A1278" s="1745"/>
      <c r="B1278" s="1748"/>
      <c r="C1278" s="616" t="s">
        <v>1307</v>
      </c>
      <c r="AL1278" s="611">
        <v>21051.843000000001</v>
      </c>
    </row>
    <row r="1279" spans="1:38" ht="15">
      <c r="A1279" s="1743">
        <v>49</v>
      </c>
      <c r="B1279" s="1746" t="s">
        <v>1355</v>
      </c>
      <c r="C1279" s="614" t="s">
        <v>1075</v>
      </c>
      <c r="P1279" s="611">
        <v>22277.4</v>
      </c>
    </row>
    <row r="1280" spans="1:38">
      <c r="A1280" s="1744"/>
      <c r="B1280" s="1747"/>
      <c r="C1280" s="615" t="s">
        <v>1197</v>
      </c>
    </row>
    <row r="1281" spans="1:78" ht="15">
      <c r="A1281" s="1745"/>
      <c r="B1281" s="1748"/>
      <c r="C1281" s="616" t="s">
        <v>1307</v>
      </c>
      <c r="AL1281" s="611">
        <v>2278.8500000000004</v>
      </c>
    </row>
    <row r="1282" spans="1:78" ht="15">
      <c r="A1282" s="1743">
        <v>50</v>
      </c>
      <c r="B1282" s="1746" t="s">
        <v>1356</v>
      </c>
      <c r="C1282" s="614" t="s">
        <v>1075</v>
      </c>
      <c r="P1282" s="611">
        <v>143697.70000000001</v>
      </c>
    </row>
    <row r="1283" spans="1:78">
      <c r="A1283" s="1744"/>
      <c r="B1283" s="1747"/>
      <c r="C1283" s="615" t="s">
        <v>1197</v>
      </c>
    </row>
    <row r="1284" spans="1:78" ht="15">
      <c r="A1284" s="1745"/>
      <c r="B1284" s="1748"/>
      <c r="C1284" s="616" t="s">
        <v>1307</v>
      </c>
      <c r="AL1284" s="611">
        <v>9709.6490000000013</v>
      </c>
    </row>
    <row r="1285" spans="1:78" ht="15">
      <c r="A1285" s="1743">
        <v>51</v>
      </c>
      <c r="B1285" s="1746" t="s">
        <v>1357</v>
      </c>
      <c r="C1285" s="614" t="s">
        <v>1075</v>
      </c>
      <c r="P1285" s="611">
        <v>23545.5</v>
      </c>
    </row>
    <row r="1286" spans="1:78">
      <c r="A1286" s="1744"/>
      <c r="B1286" s="1747"/>
      <c r="C1286" s="615" t="s">
        <v>1197</v>
      </c>
    </row>
    <row r="1287" spans="1:78" ht="15">
      <c r="A1287" s="1745"/>
      <c r="B1287" s="1748"/>
      <c r="C1287" s="616" t="s">
        <v>1307</v>
      </c>
      <c r="P1287" s="611">
        <v>2706.174</v>
      </c>
    </row>
    <row r="1288" spans="1:78" ht="15">
      <c r="A1288" s="1743">
        <v>52</v>
      </c>
      <c r="B1288" s="1746" t="s">
        <v>1358</v>
      </c>
      <c r="C1288" s="614" t="s">
        <v>1075</v>
      </c>
      <c r="P1288" s="611">
        <v>182448.60700000002</v>
      </c>
    </row>
    <row r="1289" spans="1:78">
      <c r="A1289" s="1744"/>
      <c r="B1289" s="1747"/>
      <c r="C1289" s="615" t="s">
        <v>1197</v>
      </c>
    </row>
    <row r="1290" spans="1:78" ht="15">
      <c r="A1290" s="1745"/>
      <c r="B1290" s="1748"/>
      <c r="C1290" s="616" t="s">
        <v>1307</v>
      </c>
      <c r="AL1290" s="611">
        <v>27641.512000000002</v>
      </c>
    </row>
    <row r="1291" spans="1:78" ht="15">
      <c r="A1291" s="1743">
        <v>53</v>
      </c>
      <c r="B1291" s="1746" t="s">
        <v>1359</v>
      </c>
      <c r="C1291" s="614" t="s">
        <v>1075</v>
      </c>
      <c r="P1291" s="611">
        <v>48123.6</v>
      </c>
    </row>
    <row r="1292" spans="1:78">
      <c r="A1292" s="1744"/>
      <c r="B1292" s="1747"/>
      <c r="C1292" s="615" t="s">
        <v>1197</v>
      </c>
    </row>
    <row r="1293" spans="1:78" ht="15">
      <c r="A1293" s="1745"/>
      <c r="B1293" s="1748"/>
      <c r="C1293" s="616" t="s">
        <v>1307</v>
      </c>
      <c r="AL1293" s="611">
        <v>3042.741</v>
      </c>
    </row>
    <row r="1294" spans="1:78">
      <c r="A1294" s="617">
        <v>54</v>
      </c>
      <c r="B1294" s="615" t="s">
        <v>1360</v>
      </c>
      <c r="C1294" s="615" t="s">
        <v>1197</v>
      </c>
    </row>
    <row r="1295" spans="1:78" ht="15">
      <c r="A1295" s="619">
        <v>55</v>
      </c>
      <c r="B1295" s="616" t="s">
        <v>1361</v>
      </c>
      <c r="C1295" s="616" t="s">
        <v>1307</v>
      </c>
      <c r="BZ1295" s="611">
        <v>36809</v>
      </c>
    </row>
    <row r="1296" spans="1:78" ht="15">
      <c r="A1296" s="1751">
        <v>56</v>
      </c>
      <c r="B1296" s="1746" t="s">
        <v>1362</v>
      </c>
      <c r="C1296" s="614" t="s">
        <v>1075</v>
      </c>
      <c r="P1296" s="611">
        <v>46964.2</v>
      </c>
    </row>
    <row r="1297" spans="1:78">
      <c r="A1297" s="1752"/>
      <c r="B1297" s="1747"/>
      <c r="C1297" s="615" t="s">
        <v>1197</v>
      </c>
    </row>
    <row r="1298" spans="1:78" ht="15">
      <c r="A1298" s="1753"/>
      <c r="B1298" s="1748"/>
      <c r="C1298" s="616" t="s">
        <v>1307</v>
      </c>
      <c r="AL1298" s="611">
        <v>11232.618</v>
      </c>
    </row>
    <row r="1299" spans="1:78" ht="15">
      <c r="A1299" s="1751">
        <v>57</v>
      </c>
      <c r="B1299" s="1746" t="s">
        <v>1363</v>
      </c>
      <c r="C1299" s="614" t="s">
        <v>1075</v>
      </c>
      <c r="P1299" s="611">
        <v>25514.3</v>
      </c>
    </row>
    <row r="1300" spans="1:78">
      <c r="A1300" s="1752"/>
      <c r="B1300" s="1747"/>
      <c r="C1300" s="615" t="s">
        <v>1197</v>
      </c>
    </row>
    <row r="1301" spans="1:78" ht="15">
      <c r="A1301" s="1753"/>
      <c r="B1301" s="1748"/>
      <c r="C1301" s="616" t="s">
        <v>1307</v>
      </c>
      <c r="P1301" s="611">
        <v>2746.5740000000001</v>
      </c>
    </row>
    <row r="1302" spans="1:78" ht="15">
      <c r="A1302" s="1751">
        <v>58</v>
      </c>
      <c r="B1302" s="1746" t="s">
        <v>1364</v>
      </c>
      <c r="C1302" s="614" t="s">
        <v>1075</v>
      </c>
      <c r="P1302" s="611">
        <v>181296.57199999999</v>
      </c>
    </row>
    <row r="1303" spans="1:78">
      <c r="A1303" s="1752"/>
      <c r="B1303" s="1747"/>
      <c r="C1303" s="615" t="s">
        <v>1197</v>
      </c>
    </row>
    <row r="1304" spans="1:78" ht="15">
      <c r="A1304" s="1753"/>
      <c r="B1304" s="1748"/>
      <c r="C1304" s="616" t="s">
        <v>1307</v>
      </c>
      <c r="AL1304" s="611">
        <v>10680.74</v>
      </c>
    </row>
    <row r="1305" spans="1:78">
      <c r="A1305" s="617">
        <v>59</v>
      </c>
      <c r="B1305" s="615" t="s">
        <v>1365</v>
      </c>
      <c r="C1305" s="615" t="s">
        <v>1197</v>
      </c>
    </row>
    <row r="1306" spans="1:78">
      <c r="A1306" s="617">
        <v>60</v>
      </c>
      <c r="B1306" s="615" t="s">
        <v>1366</v>
      </c>
      <c r="C1306" s="615" t="s">
        <v>1197</v>
      </c>
    </row>
    <row r="1307" spans="1:78" ht="15">
      <c r="A1307" s="1743">
        <v>61</v>
      </c>
      <c r="B1307" s="1746" t="s">
        <v>1367</v>
      </c>
      <c r="C1307" s="618" t="s">
        <v>1075</v>
      </c>
      <c r="P1307" s="611">
        <v>245109.14199999999</v>
      </c>
    </row>
    <row r="1308" spans="1:78">
      <c r="A1308" s="1744"/>
      <c r="B1308" s="1747"/>
      <c r="C1308" s="615" t="s">
        <v>1197</v>
      </c>
    </row>
    <row r="1309" spans="1:78" ht="15">
      <c r="A1309" s="1744"/>
      <c r="B1309" s="1747"/>
      <c r="C1309" s="616" t="s">
        <v>1307</v>
      </c>
      <c r="AL1309" s="611">
        <v>8415.1530000000002</v>
      </c>
    </row>
    <row r="1310" spans="1:78" ht="15">
      <c r="A1310" s="1745"/>
      <c r="B1310" s="1748"/>
      <c r="C1310" s="616" t="s">
        <v>1202</v>
      </c>
      <c r="P1310" s="611">
        <v>2524.6480000000001</v>
      </c>
    </row>
    <row r="1311" spans="1:78" ht="38.25">
      <c r="A1311" s="619">
        <v>62</v>
      </c>
      <c r="B1311" s="616" t="s">
        <v>1368</v>
      </c>
      <c r="C1311" s="616" t="s">
        <v>1307</v>
      </c>
      <c r="BZ1311" s="611">
        <v>16134.9</v>
      </c>
    </row>
    <row r="1312" spans="1:78" ht="15">
      <c r="A1312" s="1751">
        <v>63</v>
      </c>
      <c r="B1312" s="1746" t="s">
        <v>1369</v>
      </c>
      <c r="C1312" s="614" t="s">
        <v>1075</v>
      </c>
      <c r="P1312" s="611">
        <v>152950.13000000003</v>
      </c>
    </row>
    <row r="1313" spans="1:38">
      <c r="A1313" s="1752"/>
      <c r="B1313" s="1747"/>
      <c r="C1313" s="615" t="s">
        <v>1197</v>
      </c>
    </row>
    <row r="1314" spans="1:38" ht="15">
      <c r="A1314" s="1753"/>
      <c r="B1314" s="1748"/>
      <c r="C1314" s="616" t="s">
        <v>1307</v>
      </c>
      <c r="AL1314" s="611">
        <v>19159.089</v>
      </c>
    </row>
    <row r="1315" spans="1:38" ht="15">
      <c r="A1315" s="1751">
        <v>64</v>
      </c>
      <c r="B1315" s="1746" t="s">
        <v>1370</v>
      </c>
      <c r="C1315" s="614" t="s">
        <v>1075</v>
      </c>
      <c r="P1315" s="611">
        <v>25029.899999999998</v>
      </c>
    </row>
    <row r="1316" spans="1:38">
      <c r="A1316" s="1752"/>
      <c r="B1316" s="1747"/>
      <c r="C1316" s="615" t="s">
        <v>1197</v>
      </c>
    </row>
    <row r="1317" spans="1:38" ht="15">
      <c r="A1317" s="1753"/>
      <c r="B1317" s="1748"/>
      <c r="C1317" s="616" t="s">
        <v>1307</v>
      </c>
      <c r="AL1317" s="611">
        <v>2030.9299999999998</v>
      </c>
    </row>
    <row r="1318" spans="1:38">
      <c r="A1318" s="617">
        <v>65</v>
      </c>
      <c r="B1318" s="615" t="s">
        <v>1371</v>
      </c>
      <c r="C1318" s="615" t="s">
        <v>1197</v>
      </c>
    </row>
    <row r="1319" spans="1:38" ht="15">
      <c r="A1319" s="1743">
        <v>66</v>
      </c>
      <c r="B1319" s="1746" t="s">
        <v>1372</v>
      </c>
      <c r="C1319" s="618" t="s">
        <v>1075</v>
      </c>
      <c r="P1319" s="611">
        <v>37941.199999999997</v>
      </c>
    </row>
    <row r="1320" spans="1:38">
      <c r="A1320" s="1744"/>
      <c r="B1320" s="1747"/>
      <c r="C1320" s="615" t="s">
        <v>1197</v>
      </c>
    </row>
    <row r="1321" spans="1:38" ht="15">
      <c r="A1321" s="1745"/>
      <c r="B1321" s="1748"/>
      <c r="C1321" s="616" t="s">
        <v>1198</v>
      </c>
      <c r="P1321" s="611">
        <v>11924.106</v>
      </c>
    </row>
    <row r="1322" spans="1:38">
      <c r="A1322" s="617">
        <v>67</v>
      </c>
      <c r="B1322" s="615" t="s">
        <v>1373</v>
      </c>
      <c r="C1322" s="615" t="s">
        <v>1197</v>
      </c>
    </row>
    <row r="1323" spans="1:38" ht="15">
      <c r="A1323" s="1743">
        <v>68</v>
      </c>
      <c r="B1323" s="1746" t="s">
        <v>1374</v>
      </c>
      <c r="C1323" s="615" t="s">
        <v>1075</v>
      </c>
      <c r="P1323" s="611">
        <v>104005.9</v>
      </c>
    </row>
    <row r="1324" spans="1:38">
      <c r="A1324" s="1744"/>
      <c r="B1324" s="1747"/>
      <c r="C1324" s="615" t="s">
        <v>1197</v>
      </c>
    </row>
    <row r="1325" spans="1:38" ht="15">
      <c r="A1325" s="1745"/>
      <c r="B1325" s="1748"/>
      <c r="C1325" s="615" t="s">
        <v>1202</v>
      </c>
      <c r="P1325" s="611">
        <v>645.55200000000002</v>
      </c>
    </row>
    <row r="1326" spans="1:38" ht="15">
      <c r="A1326" s="1751">
        <v>69</v>
      </c>
      <c r="B1326" s="1754" t="s">
        <v>1375</v>
      </c>
      <c r="C1326" s="614" t="s">
        <v>1075</v>
      </c>
      <c r="P1326" s="611">
        <v>1046420.9010000001</v>
      </c>
    </row>
    <row r="1327" spans="1:38">
      <c r="A1327" s="1752"/>
      <c r="B1327" s="1755"/>
      <c r="C1327" s="616" t="s">
        <v>1197</v>
      </c>
    </row>
    <row r="1328" spans="1:38">
      <c r="A1328" s="1752"/>
      <c r="B1328" s="1755"/>
      <c r="C1328" s="616" t="s">
        <v>1198</v>
      </c>
    </row>
    <row r="1329" spans="1:80" ht="15">
      <c r="A1329" s="1753"/>
      <c r="B1329" s="1756"/>
      <c r="C1329" s="616" t="s">
        <v>1307</v>
      </c>
      <c r="BD1329" s="611">
        <v>4584.7189999999991</v>
      </c>
    </row>
    <row r="1330" spans="1:80">
      <c r="A1330" s="617">
        <v>70</v>
      </c>
      <c r="B1330" s="615" t="s">
        <v>1376</v>
      </c>
      <c r="C1330" s="615" t="s">
        <v>1197</v>
      </c>
    </row>
    <row r="1331" spans="1:80">
      <c r="A1331" s="617">
        <v>71</v>
      </c>
      <c r="B1331" s="615" t="s">
        <v>1377</v>
      </c>
      <c r="C1331" s="615" t="s">
        <v>1197</v>
      </c>
    </row>
    <row r="1332" spans="1:80" ht="25.5">
      <c r="A1332" s="617">
        <v>72</v>
      </c>
      <c r="B1332" s="615" t="s">
        <v>1378</v>
      </c>
      <c r="C1332" s="615" t="s">
        <v>1197</v>
      </c>
    </row>
    <row r="1333" spans="1:80" ht="25.5">
      <c r="A1333" s="617">
        <v>73</v>
      </c>
      <c r="B1333" s="615" t="s">
        <v>1379</v>
      </c>
      <c r="C1333" s="615" t="s">
        <v>1197</v>
      </c>
    </row>
    <row r="1334" spans="1:80" ht="15">
      <c r="A1334" s="1743">
        <v>74</v>
      </c>
      <c r="B1334" s="1746" t="s">
        <v>1380</v>
      </c>
      <c r="C1334" s="618" t="s">
        <v>1075</v>
      </c>
      <c r="P1334" s="611">
        <v>17383.101000000002</v>
      </c>
    </row>
    <row r="1335" spans="1:80">
      <c r="A1335" s="1744"/>
      <c r="B1335" s="1747"/>
      <c r="C1335" s="615" t="s">
        <v>1197</v>
      </c>
    </row>
    <row r="1336" spans="1:80">
      <c r="A1336" s="1745"/>
      <c r="B1336" s="1748"/>
      <c r="C1336" s="616" t="s">
        <v>1198</v>
      </c>
    </row>
    <row r="1337" spans="1:80" ht="15">
      <c r="A1337" s="617">
        <v>75</v>
      </c>
      <c r="B1337" s="615" t="s">
        <v>1381</v>
      </c>
      <c r="C1337" s="615" t="s">
        <v>1197</v>
      </c>
      <c r="P1337" s="611">
        <v>13536.2</v>
      </c>
    </row>
    <row r="1338" spans="1:80" ht="38.25">
      <c r="A1338" s="619">
        <v>76</v>
      </c>
      <c r="B1338" s="616" t="s">
        <v>1382</v>
      </c>
      <c r="C1338" s="616" t="s">
        <v>1307</v>
      </c>
      <c r="BZ1338" s="611">
        <v>13990.9</v>
      </c>
    </row>
    <row r="1339" spans="1:80" ht="15">
      <c r="A1339" s="619">
        <v>77</v>
      </c>
      <c r="B1339" s="616" t="s">
        <v>1383</v>
      </c>
      <c r="C1339" s="616" t="s">
        <v>1307</v>
      </c>
      <c r="BZ1339" s="611">
        <v>17523.599999999999</v>
      </c>
    </row>
    <row r="1340" spans="1:80" ht="15">
      <c r="A1340" s="619">
        <v>78</v>
      </c>
      <c r="B1340" s="616" t="s">
        <v>1384</v>
      </c>
      <c r="C1340" s="616" t="s">
        <v>1307</v>
      </c>
      <c r="CB1340" s="611">
        <v>4841.2</v>
      </c>
    </row>
    <row r="1341" spans="1:80" ht="15">
      <c r="A1341" s="619">
        <v>79</v>
      </c>
      <c r="B1341" s="278" t="s">
        <v>1385</v>
      </c>
      <c r="C1341" s="616" t="s">
        <v>1307</v>
      </c>
      <c r="AL1341" s="611">
        <v>3146.5</v>
      </c>
    </row>
    <row r="1342" spans="1:80" ht="15">
      <c r="A1342" s="619">
        <v>80</v>
      </c>
      <c r="B1342" s="616" t="s">
        <v>1386</v>
      </c>
      <c r="C1342" s="616" t="s">
        <v>1307</v>
      </c>
      <c r="AL1342" s="611">
        <v>49383.34</v>
      </c>
    </row>
    <row r="1343" spans="1:80" ht="15">
      <c r="A1343" s="619">
        <v>81</v>
      </c>
      <c r="B1343" s="616" t="s">
        <v>1387</v>
      </c>
      <c r="C1343" s="616" t="s">
        <v>1307</v>
      </c>
      <c r="AL1343" s="611">
        <v>1983.6</v>
      </c>
    </row>
    <row r="1344" spans="1:80">
      <c r="A1344" s="1749" t="s">
        <v>1154</v>
      </c>
      <c r="B1344" s="1749"/>
      <c r="C1344" s="1749"/>
      <c r="D1344" s="1749"/>
      <c r="E1344" s="1749"/>
      <c r="F1344" s="1749"/>
      <c r="G1344" s="1749"/>
      <c r="H1344" s="1749"/>
      <c r="I1344" s="1749"/>
      <c r="J1344" s="1749"/>
      <c r="K1344" s="1749"/>
      <c r="L1344" s="1749"/>
      <c r="M1344" s="1749"/>
      <c r="N1344" s="1749"/>
      <c r="O1344" s="1749"/>
      <c r="P1344" s="1749"/>
    </row>
    <row r="1345" spans="1:111">
      <c r="A1345" s="1750" t="s">
        <v>1197</v>
      </c>
      <c r="B1345" s="1750"/>
      <c r="C1345" s="1750"/>
      <c r="D1345" s="1750"/>
      <c r="E1345" s="1750"/>
      <c r="F1345" s="1750"/>
      <c r="G1345" s="1750"/>
      <c r="H1345" s="1750"/>
      <c r="I1345" s="1750"/>
      <c r="J1345" s="1750"/>
      <c r="K1345" s="1750"/>
      <c r="L1345" s="1750"/>
      <c r="M1345" s="1750"/>
      <c r="N1345" s="1750"/>
      <c r="O1345" s="1750"/>
      <c r="P1345" s="1750"/>
      <c r="AL1345" s="561">
        <f>SUM(AL1346:AL1426)</f>
        <v>1855372.2</v>
      </c>
      <c r="AM1345" s="561">
        <f t="shared" ref="AM1345:CX1345" si="90">SUM(AM1346:AM1426)</f>
        <v>0</v>
      </c>
      <c r="AN1345" s="561">
        <f t="shared" si="90"/>
        <v>0</v>
      </c>
      <c r="AO1345" s="561">
        <f t="shared" si="90"/>
        <v>0</v>
      </c>
      <c r="AP1345" s="561">
        <f t="shared" si="90"/>
        <v>0</v>
      </c>
      <c r="AQ1345" s="561">
        <f t="shared" si="90"/>
        <v>0</v>
      </c>
      <c r="AR1345" s="561">
        <f t="shared" si="90"/>
        <v>0</v>
      </c>
      <c r="AS1345" s="561">
        <f t="shared" si="90"/>
        <v>0</v>
      </c>
      <c r="AT1345" s="561">
        <f t="shared" si="90"/>
        <v>98686.1</v>
      </c>
      <c r="AU1345" s="561">
        <f t="shared" si="90"/>
        <v>0</v>
      </c>
      <c r="AV1345" s="561">
        <f t="shared" si="90"/>
        <v>0</v>
      </c>
      <c r="AW1345" s="561">
        <f t="shared" si="90"/>
        <v>0</v>
      </c>
      <c r="AX1345" s="561">
        <f t="shared" si="90"/>
        <v>0</v>
      </c>
      <c r="AY1345" s="561">
        <f t="shared" si="90"/>
        <v>45727.9</v>
      </c>
      <c r="AZ1345" s="561">
        <f t="shared" si="90"/>
        <v>0</v>
      </c>
      <c r="BA1345" s="561">
        <f t="shared" si="90"/>
        <v>0</v>
      </c>
      <c r="BB1345" s="561">
        <f t="shared" si="90"/>
        <v>815506.5</v>
      </c>
      <c r="BC1345" s="561">
        <f t="shared" si="90"/>
        <v>0</v>
      </c>
      <c r="BD1345" s="561">
        <f t="shared" si="90"/>
        <v>0</v>
      </c>
      <c r="BE1345" s="561">
        <f t="shared" si="90"/>
        <v>0</v>
      </c>
      <c r="BF1345" s="561">
        <f t="shared" si="90"/>
        <v>0</v>
      </c>
      <c r="BG1345" s="561">
        <f t="shared" si="90"/>
        <v>0</v>
      </c>
      <c r="BH1345" s="561">
        <f t="shared" si="90"/>
        <v>0</v>
      </c>
      <c r="BI1345" s="561">
        <f t="shared" si="90"/>
        <v>0</v>
      </c>
      <c r="BJ1345" s="561">
        <f t="shared" si="90"/>
        <v>0</v>
      </c>
      <c r="BK1345" s="561">
        <f t="shared" si="90"/>
        <v>0</v>
      </c>
      <c r="BL1345" s="561">
        <f t="shared" si="90"/>
        <v>0</v>
      </c>
      <c r="BM1345" s="561">
        <f t="shared" si="90"/>
        <v>0</v>
      </c>
      <c r="BN1345" s="561">
        <f t="shared" si="90"/>
        <v>0</v>
      </c>
      <c r="BO1345" s="561">
        <f t="shared" si="90"/>
        <v>0</v>
      </c>
      <c r="BP1345" s="561">
        <f t="shared" si="90"/>
        <v>0</v>
      </c>
      <c r="BQ1345" s="561">
        <f t="shared" si="90"/>
        <v>0</v>
      </c>
      <c r="BR1345" s="561">
        <f t="shared" si="90"/>
        <v>0</v>
      </c>
      <c r="BS1345" s="561">
        <f t="shared" si="90"/>
        <v>0</v>
      </c>
      <c r="BT1345" s="561">
        <f t="shared" si="90"/>
        <v>0</v>
      </c>
      <c r="BU1345" s="561">
        <f t="shared" si="90"/>
        <v>0</v>
      </c>
      <c r="BV1345" s="561">
        <f t="shared" si="90"/>
        <v>0</v>
      </c>
      <c r="BW1345" s="561">
        <f t="shared" si="90"/>
        <v>0</v>
      </c>
      <c r="BX1345" s="561">
        <f t="shared" si="90"/>
        <v>0</v>
      </c>
      <c r="BY1345" s="561">
        <f t="shared" si="90"/>
        <v>0</v>
      </c>
      <c r="BZ1345" s="561">
        <f t="shared" si="90"/>
        <v>0</v>
      </c>
      <c r="CA1345" s="561">
        <f t="shared" si="90"/>
        <v>0</v>
      </c>
      <c r="CB1345" s="561">
        <f t="shared" si="90"/>
        <v>0</v>
      </c>
      <c r="CC1345" s="561">
        <f t="shared" si="90"/>
        <v>0</v>
      </c>
      <c r="CD1345" s="561">
        <f t="shared" si="90"/>
        <v>0</v>
      </c>
      <c r="CE1345" s="561">
        <f t="shared" si="90"/>
        <v>0</v>
      </c>
      <c r="CF1345" s="561">
        <f t="shared" si="90"/>
        <v>0</v>
      </c>
      <c r="CG1345" s="561">
        <f t="shared" si="90"/>
        <v>0</v>
      </c>
      <c r="CH1345" s="561">
        <f t="shared" si="90"/>
        <v>0</v>
      </c>
      <c r="CI1345" s="561">
        <f t="shared" si="90"/>
        <v>0</v>
      </c>
      <c r="CJ1345" s="561">
        <f t="shared" si="90"/>
        <v>0</v>
      </c>
      <c r="CK1345" s="561">
        <f t="shared" si="90"/>
        <v>0</v>
      </c>
      <c r="CL1345" s="561">
        <f t="shared" si="90"/>
        <v>0</v>
      </c>
      <c r="CM1345" s="561">
        <f t="shared" si="90"/>
        <v>0</v>
      </c>
      <c r="CN1345" s="561">
        <f t="shared" si="90"/>
        <v>0</v>
      </c>
      <c r="CO1345" s="561">
        <f t="shared" si="90"/>
        <v>0</v>
      </c>
      <c r="CP1345" s="561">
        <f t="shared" si="90"/>
        <v>0</v>
      </c>
      <c r="CQ1345" s="561">
        <f t="shared" si="90"/>
        <v>0</v>
      </c>
      <c r="CR1345" s="561">
        <f t="shared" si="90"/>
        <v>0</v>
      </c>
      <c r="CS1345" s="561">
        <f t="shared" si="90"/>
        <v>0</v>
      </c>
      <c r="CT1345" s="561">
        <f t="shared" si="90"/>
        <v>0</v>
      </c>
      <c r="CU1345" s="561">
        <f t="shared" si="90"/>
        <v>0</v>
      </c>
      <c r="CV1345" s="561">
        <f t="shared" si="90"/>
        <v>0</v>
      </c>
      <c r="CW1345" s="561">
        <f t="shared" si="90"/>
        <v>0</v>
      </c>
      <c r="CX1345" s="561">
        <f t="shared" si="90"/>
        <v>0</v>
      </c>
      <c r="CY1345" s="561">
        <f t="shared" ref="CY1345:DG1345" si="91">SUM(CY1346:CY1426)</f>
        <v>0</v>
      </c>
      <c r="CZ1345" s="561">
        <f t="shared" si="91"/>
        <v>0</v>
      </c>
      <c r="DA1345" s="561">
        <f t="shared" si="91"/>
        <v>0</v>
      </c>
      <c r="DB1345" s="561">
        <f t="shared" si="91"/>
        <v>0</v>
      </c>
      <c r="DC1345" s="561">
        <f t="shared" si="91"/>
        <v>0</v>
      </c>
      <c r="DD1345" s="561">
        <f t="shared" si="91"/>
        <v>0</v>
      </c>
      <c r="DE1345" s="561">
        <f t="shared" si="91"/>
        <v>0</v>
      </c>
      <c r="DF1345" s="561">
        <f t="shared" si="91"/>
        <v>0</v>
      </c>
      <c r="DG1345" s="561">
        <f t="shared" si="91"/>
        <v>0</v>
      </c>
    </row>
    <row r="1346" spans="1:111">
      <c r="A1346" s="561">
        <v>1</v>
      </c>
      <c r="B1346" s="561" t="s">
        <v>1388</v>
      </c>
      <c r="C1346" s="561" t="s">
        <v>1267</v>
      </c>
      <c r="D1346" s="561">
        <v>1244796.1000000001</v>
      </c>
      <c r="E1346" s="561">
        <v>359043.9</v>
      </c>
      <c r="F1346" s="561">
        <v>885752.20000000007</v>
      </c>
      <c r="G1346" s="561">
        <v>16747</v>
      </c>
      <c r="H1346" s="561">
        <v>1284566.2</v>
      </c>
      <c r="I1346" s="561">
        <v>930</v>
      </c>
      <c r="J1346" s="561">
        <v>39770.1</v>
      </c>
      <c r="K1346" s="561">
        <v>16694</v>
      </c>
      <c r="L1346" s="561">
        <v>1244796.1000000001</v>
      </c>
      <c r="M1346" s="561">
        <v>1244796.1000000001</v>
      </c>
      <c r="N1346" s="561">
        <v>299254</v>
      </c>
      <c r="O1346" s="561">
        <v>59789.9</v>
      </c>
      <c r="P1346" s="561">
        <v>885752.2</v>
      </c>
      <c r="Q1346" s="561">
        <v>885752.2</v>
      </c>
    </row>
    <row r="1347" spans="1:111">
      <c r="C1347" s="561" t="s">
        <v>1197</v>
      </c>
      <c r="D1347" s="561">
        <v>1066771.3</v>
      </c>
      <c r="E1347" s="561">
        <v>319500</v>
      </c>
      <c r="F1347" s="561">
        <v>747271.3</v>
      </c>
      <c r="G1347" s="561">
        <v>15189</v>
      </c>
      <c r="H1347" s="561">
        <v>1101959.2</v>
      </c>
      <c r="I1347" s="561">
        <v>879</v>
      </c>
      <c r="J1347" s="561">
        <v>35187.9</v>
      </c>
      <c r="K1347" s="561">
        <v>15139</v>
      </c>
      <c r="L1347" s="561">
        <v>1066771.3</v>
      </c>
      <c r="M1347" s="561">
        <v>1066771.3</v>
      </c>
      <c r="N1347" s="561">
        <v>261385</v>
      </c>
      <c r="O1347" s="561">
        <v>58115</v>
      </c>
      <c r="Q1347" s="561">
        <v>747271.3</v>
      </c>
      <c r="AL1347" s="561">
        <v>747271.3</v>
      </c>
    </row>
    <row r="1348" spans="1:111">
      <c r="C1348" s="561" t="s">
        <v>1198</v>
      </c>
      <c r="D1348" s="561">
        <v>72027.7</v>
      </c>
      <c r="E1348" s="561">
        <v>1200</v>
      </c>
      <c r="F1348" s="561">
        <v>70827.7</v>
      </c>
      <c r="G1348" s="561">
        <v>245</v>
      </c>
      <c r="H1348" s="561">
        <v>75887.5</v>
      </c>
      <c r="I1348" s="561">
        <v>28</v>
      </c>
      <c r="J1348" s="561">
        <v>3859.8</v>
      </c>
      <c r="K1348" s="561">
        <v>243</v>
      </c>
      <c r="L1348" s="561">
        <v>72027.7</v>
      </c>
      <c r="M1348" s="561">
        <v>72027.7</v>
      </c>
      <c r="N1348" s="561">
        <v>133.30000000000001</v>
      </c>
      <c r="O1348" s="561">
        <v>1066.7</v>
      </c>
      <c r="P1348" s="561">
        <v>70827.7</v>
      </c>
      <c r="Q1348" s="561">
        <v>70827.7</v>
      </c>
    </row>
    <row r="1349" spans="1:111">
      <c r="C1349" s="561" t="s">
        <v>1199</v>
      </c>
      <c r="D1349" s="561">
        <v>105997.1</v>
      </c>
      <c r="E1349" s="561">
        <v>38343.9</v>
      </c>
      <c r="F1349" s="561">
        <v>67653.200000000012</v>
      </c>
      <c r="G1349" s="561">
        <v>1313</v>
      </c>
      <c r="H1349" s="561">
        <v>106719.5</v>
      </c>
      <c r="I1349" s="561">
        <v>23</v>
      </c>
      <c r="J1349" s="561">
        <v>722.4</v>
      </c>
      <c r="K1349" s="561">
        <v>1312</v>
      </c>
      <c r="L1349" s="561">
        <v>105997.1</v>
      </c>
      <c r="M1349" s="561">
        <v>105997.1</v>
      </c>
      <c r="N1349" s="561">
        <v>37735.699999999997</v>
      </c>
      <c r="O1349" s="561">
        <v>608.20000000000005</v>
      </c>
      <c r="P1349" s="561">
        <v>67653.2</v>
      </c>
      <c r="Q1349" s="561">
        <v>67653.2</v>
      </c>
    </row>
    <row r="1350" spans="1:111">
      <c r="A1350" s="561">
        <v>2</v>
      </c>
      <c r="B1350" s="561" t="s">
        <v>1389</v>
      </c>
      <c r="C1350" s="561" t="s">
        <v>1267</v>
      </c>
      <c r="D1350" s="561">
        <v>364638.7</v>
      </c>
      <c r="E1350" s="561">
        <v>99387.3</v>
      </c>
      <c r="F1350" s="561">
        <v>265251.40000000002</v>
      </c>
      <c r="G1350" s="561">
        <v>5433</v>
      </c>
      <c r="H1350" s="561">
        <v>373069.2</v>
      </c>
      <c r="I1350" s="561">
        <v>133</v>
      </c>
      <c r="J1350" s="561">
        <v>8430.5</v>
      </c>
      <c r="K1350" s="561">
        <v>5422</v>
      </c>
      <c r="L1350" s="561">
        <v>364638.7</v>
      </c>
      <c r="M1350" s="561">
        <v>364638.7</v>
      </c>
      <c r="N1350" s="561">
        <v>99387.3</v>
      </c>
      <c r="P1350" s="561">
        <v>265251.43</v>
      </c>
      <c r="Q1350" s="561">
        <v>265251.43</v>
      </c>
    </row>
    <row r="1351" spans="1:111">
      <c r="C1351" s="561" t="s">
        <v>1197</v>
      </c>
      <c r="D1351" s="561">
        <v>351447.3</v>
      </c>
      <c r="E1351" s="561">
        <v>95757.3</v>
      </c>
      <c r="F1351" s="561">
        <v>255690</v>
      </c>
      <c r="G1351" s="561">
        <v>4425</v>
      </c>
      <c r="H1351" s="561">
        <v>359839.7</v>
      </c>
      <c r="I1351" s="561">
        <v>126</v>
      </c>
      <c r="J1351" s="561">
        <v>8392.4</v>
      </c>
      <c r="K1351" s="561">
        <v>4414</v>
      </c>
      <c r="L1351" s="561">
        <v>351447.3</v>
      </c>
      <c r="M1351" s="561">
        <v>351447.3</v>
      </c>
      <c r="N1351" s="561">
        <v>95757.3</v>
      </c>
      <c r="Q1351" s="561">
        <v>255690</v>
      </c>
      <c r="AL1351" s="561">
        <v>255690</v>
      </c>
    </row>
    <row r="1352" spans="1:111">
      <c r="C1352" s="561" t="s">
        <v>1199</v>
      </c>
      <c r="D1352" s="561">
        <v>13191.4</v>
      </c>
      <c r="E1352" s="561">
        <v>3630</v>
      </c>
      <c r="F1352" s="561">
        <v>9561.4</v>
      </c>
      <c r="G1352" s="561">
        <v>1008</v>
      </c>
      <c r="H1352" s="561">
        <v>13229.5</v>
      </c>
      <c r="I1352" s="561">
        <v>7</v>
      </c>
      <c r="J1352" s="561">
        <v>38.1</v>
      </c>
      <c r="K1352" s="561">
        <v>1008</v>
      </c>
      <c r="L1352" s="561">
        <v>13191.4</v>
      </c>
      <c r="M1352" s="561">
        <v>13191.4</v>
      </c>
      <c r="N1352" s="561">
        <v>3630</v>
      </c>
      <c r="P1352" s="561">
        <v>9561.4</v>
      </c>
      <c r="Q1352" s="561">
        <v>9561.4</v>
      </c>
    </row>
    <row r="1353" spans="1:111">
      <c r="A1353" s="561">
        <v>3</v>
      </c>
      <c r="B1353" s="561" t="s">
        <v>1390</v>
      </c>
      <c r="C1353" s="561" t="s">
        <v>1206</v>
      </c>
      <c r="D1353" s="561">
        <v>62758.3</v>
      </c>
      <c r="E1353" s="561">
        <v>17030.400000000001</v>
      </c>
      <c r="F1353" s="561">
        <v>45727.9</v>
      </c>
      <c r="G1353" s="561">
        <v>840</v>
      </c>
      <c r="H1353" s="561">
        <v>63434.5</v>
      </c>
      <c r="I1353" s="561">
        <v>27</v>
      </c>
      <c r="J1353" s="561">
        <v>676.2</v>
      </c>
      <c r="K1353" s="561">
        <v>840</v>
      </c>
      <c r="L1353" s="561">
        <v>62758.3</v>
      </c>
      <c r="M1353" s="561">
        <v>62758.3</v>
      </c>
      <c r="N1353" s="561">
        <v>17030.400000000001</v>
      </c>
      <c r="P1353" s="561">
        <v>45727.9</v>
      </c>
      <c r="Q1353" s="561">
        <v>45727.9</v>
      </c>
    </row>
    <row r="1354" spans="1:111">
      <c r="C1354" s="561" t="s">
        <v>1197</v>
      </c>
      <c r="D1354" s="561">
        <v>62758.3</v>
      </c>
      <c r="E1354" s="561">
        <v>17030.400000000001</v>
      </c>
      <c r="F1354" s="561">
        <v>45727.9</v>
      </c>
      <c r="G1354" s="561">
        <v>840</v>
      </c>
      <c r="H1354" s="561">
        <v>63434.5</v>
      </c>
      <c r="I1354" s="561">
        <v>27</v>
      </c>
      <c r="J1354" s="561">
        <v>676.2</v>
      </c>
      <c r="K1354" s="561">
        <v>840</v>
      </c>
      <c r="L1354" s="561">
        <v>62758.3</v>
      </c>
      <c r="M1354" s="561">
        <v>62758.3</v>
      </c>
      <c r="N1354" s="561">
        <v>17030.400000000001</v>
      </c>
      <c r="Q1354" s="561">
        <v>45727.9</v>
      </c>
      <c r="AY1354" s="561">
        <v>45727.9</v>
      </c>
    </row>
    <row r="1355" spans="1:111">
      <c r="A1355" s="561">
        <v>4</v>
      </c>
      <c r="B1355" s="561" t="s">
        <v>1391</v>
      </c>
      <c r="C1355" s="561" t="s">
        <v>1267</v>
      </c>
      <c r="D1355" s="561">
        <v>835679.1</v>
      </c>
      <c r="E1355" s="561">
        <v>205160.1</v>
      </c>
      <c r="F1355" s="561">
        <v>630519</v>
      </c>
      <c r="G1355" s="561">
        <v>13201</v>
      </c>
      <c r="H1355" s="561">
        <v>856592.8</v>
      </c>
      <c r="I1355" s="561">
        <v>562</v>
      </c>
      <c r="J1355" s="561">
        <v>20913.7</v>
      </c>
      <c r="K1355" s="561">
        <v>13156</v>
      </c>
      <c r="L1355" s="561">
        <v>835679.1</v>
      </c>
      <c r="M1355" s="561">
        <v>835679.1</v>
      </c>
      <c r="N1355" s="561">
        <v>97668.800000000003</v>
      </c>
      <c r="O1355" s="561">
        <v>107491.3</v>
      </c>
      <c r="P1355" s="561">
        <v>630519</v>
      </c>
      <c r="Q1355" s="561">
        <v>630519</v>
      </c>
    </row>
    <row r="1356" spans="1:111">
      <c r="C1356" s="561" t="s">
        <v>1197</v>
      </c>
      <c r="D1356" s="561">
        <v>821840.6</v>
      </c>
      <c r="E1356" s="561">
        <v>202355.1</v>
      </c>
      <c r="F1356" s="561">
        <v>619485.5</v>
      </c>
      <c r="G1356" s="561">
        <v>12108</v>
      </c>
      <c r="H1356" s="561">
        <v>842681.8</v>
      </c>
      <c r="I1356" s="561">
        <v>553</v>
      </c>
      <c r="J1356" s="561">
        <v>20841.2</v>
      </c>
      <c r="K1356" s="561">
        <v>12063</v>
      </c>
      <c r="L1356" s="561">
        <v>821840.6</v>
      </c>
      <c r="M1356" s="561">
        <v>821840.6</v>
      </c>
      <c r="N1356" s="561">
        <v>96236.2</v>
      </c>
      <c r="O1356" s="561">
        <v>106118.9</v>
      </c>
      <c r="Q1356" s="561">
        <v>619485.5</v>
      </c>
      <c r="BB1356" s="561">
        <v>619485.5</v>
      </c>
    </row>
    <row r="1357" spans="1:111">
      <c r="C1357" s="561" t="s">
        <v>1199</v>
      </c>
      <c r="D1357" s="561">
        <v>13838.5</v>
      </c>
      <c r="E1357" s="561">
        <v>2805</v>
      </c>
      <c r="F1357" s="561">
        <v>11033.5</v>
      </c>
      <c r="G1357" s="561">
        <v>1093</v>
      </c>
      <c r="H1357" s="561">
        <v>13911</v>
      </c>
      <c r="I1357" s="561">
        <v>9</v>
      </c>
      <c r="J1357" s="561">
        <v>72.5</v>
      </c>
      <c r="K1357" s="561">
        <v>1093</v>
      </c>
      <c r="L1357" s="561">
        <v>13838.5</v>
      </c>
      <c r="M1357" s="561">
        <v>13838.5</v>
      </c>
      <c r="N1357" s="561">
        <v>1432.6</v>
      </c>
      <c r="O1357" s="561">
        <v>1372.4</v>
      </c>
      <c r="P1357" s="561">
        <v>11033.5</v>
      </c>
      <c r="Q1357" s="561">
        <v>11033.5</v>
      </c>
    </row>
    <row r="1358" spans="1:111">
      <c r="A1358" s="561">
        <v>5</v>
      </c>
      <c r="B1358" s="561" t="s">
        <v>1392</v>
      </c>
      <c r="C1358" s="561" t="s">
        <v>1267</v>
      </c>
      <c r="D1358" s="561">
        <v>144993.5</v>
      </c>
      <c r="E1358" s="561">
        <v>37097.1</v>
      </c>
      <c r="F1358" s="561">
        <v>107896.4</v>
      </c>
      <c r="G1358" s="561">
        <v>2431</v>
      </c>
      <c r="H1358" s="561">
        <v>148031.5</v>
      </c>
      <c r="I1358" s="561">
        <v>82</v>
      </c>
      <c r="J1358" s="561">
        <v>3038</v>
      </c>
      <c r="K1358" s="561">
        <v>2430</v>
      </c>
      <c r="L1358" s="561">
        <v>144993.5</v>
      </c>
      <c r="M1358" s="561">
        <v>144993.5</v>
      </c>
      <c r="N1358" s="561">
        <v>33097.1</v>
      </c>
      <c r="O1358" s="561">
        <v>4000</v>
      </c>
      <c r="P1358" s="561">
        <v>107896.4</v>
      </c>
      <c r="Q1358" s="561">
        <v>107896.4</v>
      </c>
    </row>
    <row r="1359" spans="1:111">
      <c r="C1359" s="561" t="s">
        <v>1197</v>
      </c>
      <c r="D1359" s="561">
        <v>134793.20000000001</v>
      </c>
      <c r="E1359" s="561">
        <v>36107.1</v>
      </c>
      <c r="F1359" s="561">
        <v>98686.1</v>
      </c>
      <c r="G1359" s="561">
        <v>1765</v>
      </c>
      <c r="H1359" s="561">
        <v>137824.6</v>
      </c>
      <c r="I1359" s="561">
        <v>81</v>
      </c>
      <c r="J1359" s="561">
        <v>3031.4</v>
      </c>
      <c r="K1359" s="561">
        <v>1764</v>
      </c>
      <c r="L1359" s="561">
        <v>134793.20000000001</v>
      </c>
      <c r="M1359" s="561">
        <v>134793.20000000001</v>
      </c>
      <c r="N1359" s="561">
        <v>32107.1</v>
      </c>
      <c r="O1359" s="561">
        <v>4000</v>
      </c>
      <c r="Q1359" s="561">
        <v>98686.1</v>
      </c>
      <c r="AT1359" s="561">
        <v>98686.1</v>
      </c>
    </row>
    <row r="1360" spans="1:111">
      <c r="C1360" s="561" t="s">
        <v>1199</v>
      </c>
      <c r="D1360" s="561">
        <v>9464</v>
      </c>
      <c r="E1360" s="561">
        <v>990</v>
      </c>
      <c r="F1360" s="561">
        <v>8474</v>
      </c>
      <c r="G1360" s="561">
        <v>622</v>
      </c>
      <c r="H1360" s="561">
        <v>9470.6</v>
      </c>
      <c r="I1360" s="561">
        <v>1</v>
      </c>
      <c r="J1360" s="561">
        <v>6.6</v>
      </c>
      <c r="K1360" s="561">
        <v>622</v>
      </c>
      <c r="L1360" s="561">
        <v>9464</v>
      </c>
      <c r="M1360" s="561">
        <v>9464</v>
      </c>
      <c r="N1360" s="561">
        <v>990</v>
      </c>
      <c r="P1360" s="561">
        <v>8474</v>
      </c>
      <c r="Q1360" s="561">
        <v>8474</v>
      </c>
    </row>
    <row r="1361" spans="1:54">
      <c r="C1361" s="561" t="s">
        <v>1203</v>
      </c>
      <c r="D1361" s="561">
        <v>736.3</v>
      </c>
      <c r="F1361" s="561">
        <v>736.3</v>
      </c>
      <c r="G1361" s="561">
        <v>44</v>
      </c>
      <c r="H1361" s="561">
        <v>736.3</v>
      </c>
      <c r="K1361" s="561">
        <v>44</v>
      </c>
      <c r="L1361" s="561">
        <v>736.3</v>
      </c>
      <c r="M1361" s="561">
        <v>736.3</v>
      </c>
      <c r="P1361" s="561">
        <v>736.3</v>
      </c>
      <c r="Q1361" s="561">
        <v>736.3</v>
      </c>
    </row>
    <row r="1362" spans="1:54">
      <c r="A1362" s="561">
        <v>6</v>
      </c>
      <c r="B1362" s="561" t="s">
        <v>1393</v>
      </c>
      <c r="C1362" s="561" t="s">
        <v>1267</v>
      </c>
      <c r="D1362" s="561">
        <v>659885.30000000005</v>
      </c>
      <c r="E1362" s="561">
        <v>184056</v>
      </c>
      <c r="F1362" s="561">
        <v>475829.30000000005</v>
      </c>
      <c r="G1362" s="561">
        <v>3004</v>
      </c>
      <c r="H1362" s="561">
        <v>708814</v>
      </c>
      <c r="I1362" s="561">
        <v>242</v>
      </c>
      <c r="J1362" s="561">
        <v>48928.7</v>
      </c>
      <c r="K1362" s="561">
        <v>2984</v>
      </c>
      <c r="L1362" s="561">
        <v>659885.30000000005</v>
      </c>
      <c r="M1362" s="561">
        <v>659885.30000000005</v>
      </c>
      <c r="N1362" s="561">
        <v>171406.6</v>
      </c>
      <c r="O1362" s="561">
        <v>12649.4</v>
      </c>
      <c r="P1362" s="561">
        <v>475829.3</v>
      </c>
      <c r="Q1362" s="561">
        <v>475829.3</v>
      </c>
    </row>
    <row r="1363" spans="1:54">
      <c r="C1363" s="561" t="s">
        <v>1197</v>
      </c>
      <c r="D1363" s="561">
        <v>341918.7</v>
      </c>
      <c r="E1363" s="561">
        <v>172631.1</v>
      </c>
      <c r="F1363" s="561">
        <v>169287.6</v>
      </c>
      <c r="G1363" s="561">
        <v>2748</v>
      </c>
      <c r="H1363" s="561">
        <v>356066.3</v>
      </c>
      <c r="I1363" s="561">
        <v>205</v>
      </c>
      <c r="J1363" s="561">
        <v>14147.6</v>
      </c>
      <c r="K1363" s="561">
        <v>2733</v>
      </c>
      <c r="L1363" s="561">
        <v>341918.7</v>
      </c>
      <c r="M1363" s="561">
        <v>341918.7</v>
      </c>
      <c r="N1363" s="561">
        <v>161139</v>
      </c>
      <c r="O1363" s="561">
        <v>11492.1</v>
      </c>
      <c r="Q1363" s="561">
        <v>169287.6</v>
      </c>
      <c r="AL1363" s="561">
        <v>169287.6</v>
      </c>
    </row>
    <row r="1364" spans="1:54">
      <c r="C1364" s="561" t="s">
        <v>1198</v>
      </c>
      <c r="D1364" s="561">
        <v>317966.59999999998</v>
      </c>
      <c r="E1364" s="561">
        <v>11424.9</v>
      </c>
      <c r="F1364" s="561">
        <v>306541.69999999995</v>
      </c>
      <c r="G1364" s="561">
        <v>256</v>
      </c>
      <c r="H1364" s="561">
        <v>352747.7</v>
      </c>
      <c r="I1364" s="561">
        <v>37</v>
      </c>
      <c r="J1364" s="561">
        <v>34781.1</v>
      </c>
      <c r="K1364" s="561">
        <v>251</v>
      </c>
      <c r="L1364" s="561">
        <v>317966.59999999998</v>
      </c>
      <c r="M1364" s="561">
        <v>317966.59999999998</v>
      </c>
      <c r="N1364" s="561">
        <v>10267.6</v>
      </c>
      <c r="O1364" s="561">
        <v>1157.3</v>
      </c>
      <c r="P1364" s="561">
        <v>306541.7</v>
      </c>
      <c r="Q1364" s="561">
        <v>306541.7</v>
      </c>
    </row>
    <row r="1365" spans="1:54">
      <c r="A1365" s="561">
        <v>7</v>
      </c>
      <c r="B1365" s="561" t="s">
        <v>1394</v>
      </c>
      <c r="C1365" s="561" t="s">
        <v>1267</v>
      </c>
      <c r="D1365" s="561">
        <v>261982.5</v>
      </c>
      <c r="E1365" s="561">
        <v>60426.3</v>
      </c>
      <c r="F1365" s="561">
        <v>201556.2</v>
      </c>
      <c r="G1365" s="561">
        <v>5746</v>
      </c>
      <c r="H1365" s="561">
        <v>268065.59999999998</v>
      </c>
      <c r="I1365" s="561">
        <v>217</v>
      </c>
      <c r="J1365" s="561">
        <v>6083.3</v>
      </c>
      <c r="K1365" s="561">
        <v>5744</v>
      </c>
      <c r="L1365" s="561">
        <v>261982.4</v>
      </c>
      <c r="M1365" s="561">
        <v>261982.4</v>
      </c>
      <c r="N1365" s="561">
        <v>28603.8</v>
      </c>
      <c r="O1365" s="561">
        <v>31822.5</v>
      </c>
      <c r="P1365" s="561">
        <v>201556.1</v>
      </c>
      <c r="Q1365" s="561">
        <v>201556.1</v>
      </c>
    </row>
    <row r="1366" spans="1:54">
      <c r="C1366" s="561" t="s">
        <v>1197</v>
      </c>
      <c r="D1366" s="561">
        <v>254797.4</v>
      </c>
      <c r="E1366" s="561">
        <v>58776.3</v>
      </c>
      <c r="F1366" s="561">
        <v>196021.09999999998</v>
      </c>
      <c r="G1366" s="561">
        <v>5184</v>
      </c>
      <c r="H1366" s="561">
        <v>260796.5</v>
      </c>
      <c r="I1366" s="561">
        <v>198</v>
      </c>
      <c r="J1366" s="561">
        <v>5999.3</v>
      </c>
      <c r="K1366" s="561">
        <v>5182</v>
      </c>
      <c r="L1366" s="561">
        <v>254797.3</v>
      </c>
      <c r="M1366" s="561">
        <v>254797.3</v>
      </c>
      <c r="N1366" s="561">
        <v>27808.7</v>
      </c>
      <c r="O1366" s="561">
        <v>30967.599999999999</v>
      </c>
      <c r="Q1366" s="561">
        <v>196021</v>
      </c>
      <c r="BB1366" s="561">
        <v>196021</v>
      </c>
    </row>
    <row r="1367" spans="1:54">
      <c r="C1367" s="561" t="s">
        <v>1199</v>
      </c>
      <c r="D1367" s="561">
        <v>7185.1</v>
      </c>
      <c r="E1367" s="561">
        <v>1650</v>
      </c>
      <c r="F1367" s="561">
        <v>5535.1</v>
      </c>
      <c r="G1367" s="561">
        <v>562</v>
      </c>
      <c r="H1367" s="561">
        <v>7269.1</v>
      </c>
      <c r="I1367" s="561">
        <v>19</v>
      </c>
      <c r="J1367" s="561">
        <v>84</v>
      </c>
      <c r="K1367" s="561">
        <v>562</v>
      </c>
      <c r="L1367" s="561">
        <v>7185.1</v>
      </c>
      <c r="M1367" s="561">
        <v>7185.1</v>
      </c>
      <c r="N1367" s="561">
        <v>795.1</v>
      </c>
      <c r="O1367" s="561">
        <v>854.9</v>
      </c>
      <c r="P1367" s="561">
        <v>5535.1</v>
      </c>
      <c r="Q1367" s="561">
        <v>5535.1</v>
      </c>
    </row>
    <row r="1368" spans="1:54">
      <c r="A1368" s="561">
        <v>8</v>
      </c>
      <c r="B1368" s="561" t="s">
        <v>1395</v>
      </c>
      <c r="C1368" s="561" t="s">
        <v>1267</v>
      </c>
      <c r="D1368" s="561">
        <v>188094.5</v>
      </c>
      <c r="E1368" s="561">
        <v>50460.9</v>
      </c>
      <c r="F1368" s="561">
        <v>137633.60000000001</v>
      </c>
      <c r="G1368" s="561">
        <v>4088</v>
      </c>
      <c r="H1368" s="561">
        <v>194824.6</v>
      </c>
      <c r="I1368" s="561">
        <v>242</v>
      </c>
      <c r="J1368" s="561">
        <v>6730</v>
      </c>
      <c r="K1368" s="561">
        <v>4079</v>
      </c>
      <c r="L1368" s="561">
        <v>188094.5</v>
      </c>
      <c r="M1368" s="561">
        <v>188094.5</v>
      </c>
      <c r="N1368" s="561">
        <v>50460.9</v>
      </c>
      <c r="P1368" s="561">
        <v>137633.60000000001</v>
      </c>
      <c r="Q1368" s="561">
        <v>137633.60000000001</v>
      </c>
    </row>
    <row r="1369" spans="1:54">
      <c r="C1369" s="561" t="s">
        <v>1197</v>
      </c>
      <c r="D1369" s="561">
        <v>153695.9</v>
      </c>
      <c r="E1369" s="561">
        <v>43860.9</v>
      </c>
      <c r="F1369" s="561">
        <v>109835</v>
      </c>
      <c r="G1369" s="561">
        <v>1930</v>
      </c>
      <c r="H1369" s="561">
        <v>160038.6</v>
      </c>
      <c r="I1369" s="561">
        <v>193</v>
      </c>
      <c r="J1369" s="561">
        <v>6342.6</v>
      </c>
      <c r="K1369" s="561">
        <v>1921</v>
      </c>
      <c r="L1369" s="561">
        <v>153695.9</v>
      </c>
      <c r="M1369" s="561">
        <v>153695.9</v>
      </c>
      <c r="N1369" s="561">
        <v>43860.9</v>
      </c>
      <c r="Q1369" s="561">
        <v>109835</v>
      </c>
      <c r="AL1369" s="561">
        <v>109835</v>
      </c>
    </row>
    <row r="1370" spans="1:54">
      <c r="C1370" s="561" t="s">
        <v>1199</v>
      </c>
      <c r="D1370" s="561">
        <v>34398.6</v>
      </c>
      <c r="E1370" s="561">
        <v>6600</v>
      </c>
      <c r="F1370" s="561">
        <v>27798.6</v>
      </c>
      <c r="G1370" s="561">
        <v>2158</v>
      </c>
      <c r="H1370" s="561">
        <v>34786</v>
      </c>
      <c r="I1370" s="561">
        <v>49</v>
      </c>
      <c r="J1370" s="561">
        <v>387.4</v>
      </c>
      <c r="K1370" s="561">
        <v>2158</v>
      </c>
      <c r="L1370" s="561">
        <v>34398.6</v>
      </c>
      <c r="M1370" s="561">
        <v>34398.6</v>
      </c>
      <c r="N1370" s="561">
        <v>6600</v>
      </c>
      <c r="P1370" s="561">
        <v>27798.6</v>
      </c>
      <c r="Q1370" s="561">
        <v>27798.6</v>
      </c>
    </row>
    <row r="1371" spans="1:54">
      <c r="A1371" s="561">
        <v>9</v>
      </c>
      <c r="B1371" s="561" t="s">
        <v>1396</v>
      </c>
      <c r="C1371" s="561" t="s">
        <v>1267</v>
      </c>
      <c r="D1371" s="561">
        <v>264820.90999999997</v>
      </c>
      <c r="E1371" s="561">
        <v>73008</v>
      </c>
      <c r="F1371" s="561">
        <v>191812.90999999997</v>
      </c>
      <c r="G1371" s="561">
        <v>4585</v>
      </c>
      <c r="H1371" s="561">
        <v>283697.90000000002</v>
      </c>
      <c r="I1371" s="561">
        <v>490</v>
      </c>
      <c r="J1371" s="561">
        <v>18877</v>
      </c>
      <c r="K1371" s="561">
        <v>4558</v>
      </c>
      <c r="L1371" s="561">
        <v>264820.90999999997</v>
      </c>
      <c r="M1371" s="561">
        <v>264820.90999999997</v>
      </c>
      <c r="N1371" s="561">
        <v>73008</v>
      </c>
      <c r="P1371" s="561">
        <v>191812.9</v>
      </c>
      <c r="Q1371" s="561">
        <v>191812.9</v>
      </c>
    </row>
    <row r="1372" spans="1:54">
      <c r="C1372" s="561" t="s">
        <v>1197</v>
      </c>
      <c r="D1372" s="561">
        <v>263765.59999999998</v>
      </c>
      <c r="E1372" s="561">
        <v>72183</v>
      </c>
      <c r="F1372" s="561">
        <v>191582.59999999998</v>
      </c>
      <c r="G1372" s="561">
        <v>4518</v>
      </c>
      <c r="H1372" s="561">
        <v>282625.3</v>
      </c>
      <c r="I1372" s="561">
        <v>489</v>
      </c>
      <c r="J1372" s="561">
        <v>18859.7</v>
      </c>
      <c r="K1372" s="561">
        <v>4491</v>
      </c>
      <c r="L1372" s="561">
        <v>263765.59999999998</v>
      </c>
      <c r="M1372" s="561">
        <v>263765.59999999998</v>
      </c>
      <c r="N1372" s="561">
        <v>72183</v>
      </c>
      <c r="P1372" s="561">
        <v>191582.6</v>
      </c>
      <c r="Q1372" s="561">
        <v>191582.6</v>
      </c>
    </row>
    <row r="1373" spans="1:54">
      <c r="C1373" s="561" t="s">
        <v>1199</v>
      </c>
      <c r="D1373" s="561">
        <v>1055.3</v>
      </c>
      <c r="E1373" s="561">
        <v>825</v>
      </c>
      <c r="F1373" s="561">
        <v>230.29999999999995</v>
      </c>
      <c r="G1373" s="561">
        <v>67</v>
      </c>
      <c r="H1373" s="561">
        <v>1072.5999999999999</v>
      </c>
      <c r="I1373" s="561">
        <v>1</v>
      </c>
      <c r="J1373" s="561">
        <v>17.3</v>
      </c>
      <c r="K1373" s="561">
        <v>67</v>
      </c>
      <c r="L1373" s="561">
        <v>1055.3</v>
      </c>
      <c r="M1373" s="561">
        <v>1055.3</v>
      </c>
      <c r="N1373" s="561">
        <v>825</v>
      </c>
      <c r="P1373" s="561">
        <v>230.3</v>
      </c>
      <c r="Q1373" s="561">
        <v>230.3</v>
      </c>
    </row>
    <row r="1374" spans="1:54">
      <c r="A1374" s="561">
        <v>10</v>
      </c>
      <c r="B1374" s="561" t="s">
        <v>1397</v>
      </c>
      <c r="C1374" s="561" t="s">
        <v>1267</v>
      </c>
      <c r="D1374" s="561">
        <v>164658.6</v>
      </c>
      <c r="E1374" s="561">
        <v>47817</v>
      </c>
      <c r="F1374" s="561">
        <v>116841.60000000001</v>
      </c>
      <c r="G1374" s="561">
        <v>3879</v>
      </c>
      <c r="H1374" s="561">
        <v>173959.5</v>
      </c>
      <c r="I1374" s="561">
        <v>298</v>
      </c>
      <c r="J1374" s="561">
        <v>9300.9</v>
      </c>
      <c r="K1374" s="561">
        <v>3864</v>
      </c>
      <c r="L1374" s="561">
        <v>164658.6</v>
      </c>
      <c r="M1374" s="561">
        <v>164658.6</v>
      </c>
      <c r="N1374" s="561">
        <v>47817</v>
      </c>
      <c r="P1374" s="561">
        <v>116841.60000000001</v>
      </c>
      <c r="Q1374" s="561">
        <v>116841.60000000001</v>
      </c>
    </row>
    <row r="1375" spans="1:54">
      <c r="C1375" s="561" t="s">
        <v>1197</v>
      </c>
      <c r="D1375" s="561">
        <v>141153.9</v>
      </c>
      <c r="E1375" s="561">
        <v>42867</v>
      </c>
      <c r="F1375" s="561">
        <v>98286.9</v>
      </c>
      <c r="G1375" s="561">
        <v>2314</v>
      </c>
      <c r="H1375" s="561">
        <v>150053.1</v>
      </c>
      <c r="I1375" s="561">
        <v>238</v>
      </c>
      <c r="J1375" s="561">
        <v>8899.2000000000007</v>
      </c>
      <c r="K1375" s="561">
        <v>2299</v>
      </c>
      <c r="L1375" s="561">
        <v>141153.9</v>
      </c>
      <c r="M1375" s="561">
        <v>141153.9</v>
      </c>
      <c r="N1375" s="561">
        <v>42867</v>
      </c>
      <c r="Q1375" s="561">
        <v>98286.9</v>
      </c>
      <c r="AL1375" s="561">
        <v>98286.9</v>
      </c>
    </row>
    <row r="1376" spans="1:54">
      <c r="C1376" s="561" t="s">
        <v>1199</v>
      </c>
      <c r="D1376" s="561">
        <v>23504.7</v>
      </c>
      <c r="E1376" s="561">
        <v>4950</v>
      </c>
      <c r="F1376" s="561">
        <v>18554.7</v>
      </c>
      <c r="G1376" s="561">
        <v>1565</v>
      </c>
      <c r="H1376" s="561">
        <v>23906.400000000001</v>
      </c>
      <c r="I1376" s="561">
        <v>60</v>
      </c>
      <c r="J1376" s="561">
        <v>401.7</v>
      </c>
      <c r="K1376" s="561">
        <v>1565</v>
      </c>
      <c r="L1376" s="561">
        <v>23504.7</v>
      </c>
      <c r="M1376" s="561">
        <v>23504.7</v>
      </c>
      <c r="N1376" s="561">
        <v>4950</v>
      </c>
      <c r="P1376" s="561">
        <v>18554.7</v>
      </c>
      <c r="Q1376" s="561">
        <v>18554.7</v>
      </c>
    </row>
    <row r="1377" spans="1:38">
      <c r="A1377" s="561">
        <v>11</v>
      </c>
      <c r="B1377" s="561" t="s">
        <v>1398</v>
      </c>
      <c r="C1377" s="561" t="s">
        <v>1267</v>
      </c>
      <c r="D1377" s="561">
        <v>89823.7</v>
      </c>
      <c r="E1377" s="561">
        <v>26842.2</v>
      </c>
      <c r="F1377" s="561">
        <v>62981.5</v>
      </c>
      <c r="G1377" s="561">
        <v>2078</v>
      </c>
      <c r="H1377" s="561">
        <v>94931.7</v>
      </c>
      <c r="I1377" s="561">
        <v>142</v>
      </c>
      <c r="J1377" s="561">
        <v>5108</v>
      </c>
      <c r="K1377" s="561">
        <v>2073</v>
      </c>
      <c r="L1377" s="561">
        <v>89823.7</v>
      </c>
      <c r="M1377" s="561">
        <v>89823.7</v>
      </c>
      <c r="N1377" s="561">
        <v>26842.2</v>
      </c>
      <c r="P1377" s="561">
        <v>62981.5</v>
      </c>
      <c r="Q1377" s="561">
        <v>62981.5</v>
      </c>
    </row>
    <row r="1378" spans="1:38">
      <c r="C1378" s="561" t="s">
        <v>1197</v>
      </c>
      <c r="D1378" s="561">
        <v>79374.2</v>
      </c>
      <c r="E1378" s="561">
        <v>23872.2</v>
      </c>
      <c r="F1378" s="561">
        <v>55502</v>
      </c>
      <c r="G1378" s="561">
        <v>1377</v>
      </c>
      <c r="H1378" s="561">
        <v>84153.2</v>
      </c>
      <c r="I1378" s="561">
        <v>117</v>
      </c>
      <c r="J1378" s="561">
        <v>4779</v>
      </c>
      <c r="K1378" s="561">
        <v>1373</v>
      </c>
      <c r="L1378" s="561">
        <v>79374.2</v>
      </c>
      <c r="M1378" s="561">
        <v>79374.2</v>
      </c>
      <c r="N1378" s="561">
        <v>23872.2</v>
      </c>
      <c r="Q1378" s="561">
        <v>55502</v>
      </c>
      <c r="AL1378" s="561">
        <v>55502</v>
      </c>
    </row>
    <row r="1379" spans="1:38">
      <c r="C1379" s="561" t="s">
        <v>1199</v>
      </c>
      <c r="D1379" s="561">
        <v>10449.5</v>
      </c>
      <c r="E1379" s="561">
        <v>2970</v>
      </c>
      <c r="F1379" s="561">
        <v>7479.5</v>
      </c>
      <c r="G1379" s="561">
        <v>701</v>
      </c>
      <c r="H1379" s="561">
        <v>10778.5</v>
      </c>
      <c r="I1379" s="561">
        <v>25</v>
      </c>
      <c r="J1379" s="561">
        <v>329</v>
      </c>
      <c r="K1379" s="561">
        <v>700</v>
      </c>
      <c r="L1379" s="561">
        <v>10449.5</v>
      </c>
      <c r="M1379" s="561">
        <v>10449.5</v>
      </c>
      <c r="N1379" s="561">
        <v>2970</v>
      </c>
      <c r="P1379" s="561">
        <v>7479.5</v>
      </c>
      <c r="Q1379" s="561">
        <v>7479.5</v>
      </c>
    </row>
    <row r="1380" spans="1:38">
      <c r="A1380" s="561">
        <v>12</v>
      </c>
      <c r="B1380" s="561" t="s">
        <v>1399</v>
      </c>
      <c r="C1380" s="561" t="s">
        <v>1267</v>
      </c>
      <c r="D1380" s="561">
        <v>100842.8</v>
      </c>
      <c r="E1380" s="561">
        <v>28768.5</v>
      </c>
      <c r="F1380" s="561">
        <v>72074.3</v>
      </c>
      <c r="G1380" s="561">
        <v>2641</v>
      </c>
      <c r="H1380" s="561">
        <v>107843.5</v>
      </c>
      <c r="I1380" s="561">
        <v>222</v>
      </c>
      <c r="J1380" s="561">
        <v>7000.7</v>
      </c>
      <c r="K1380" s="561">
        <v>2633</v>
      </c>
      <c r="L1380" s="561">
        <v>100842.8</v>
      </c>
      <c r="M1380" s="561">
        <v>100842.8</v>
      </c>
      <c r="N1380" s="561">
        <v>28768.5</v>
      </c>
      <c r="P1380" s="561">
        <v>72074.3</v>
      </c>
      <c r="Q1380" s="561">
        <v>72074.3</v>
      </c>
    </row>
    <row r="1381" spans="1:38">
      <c r="C1381" s="561" t="s">
        <v>1197</v>
      </c>
      <c r="D1381" s="561">
        <v>82108.600000000006</v>
      </c>
      <c r="E1381" s="561">
        <v>24808.5</v>
      </c>
      <c r="F1381" s="561">
        <v>57300.100000000006</v>
      </c>
      <c r="G1381" s="561">
        <v>1410</v>
      </c>
      <c r="H1381" s="561">
        <v>88783.9</v>
      </c>
      <c r="I1381" s="561">
        <v>189</v>
      </c>
      <c r="J1381" s="561">
        <v>6675.3</v>
      </c>
      <c r="K1381" s="561">
        <v>1404</v>
      </c>
      <c r="L1381" s="561">
        <v>82108.600000000006</v>
      </c>
      <c r="M1381" s="561">
        <v>82108.600000000006</v>
      </c>
      <c r="N1381" s="561">
        <v>24808.5</v>
      </c>
      <c r="Q1381" s="561">
        <v>57300.1</v>
      </c>
      <c r="AL1381" s="561">
        <v>57300.1</v>
      </c>
    </row>
    <row r="1382" spans="1:38">
      <c r="C1382" s="561" t="s">
        <v>1199</v>
      </c>
      <c r="D1382" s="561">
        <v>18734.2</v>
      </c>
      <c r="E1382" s="561">
        <v>3960</v>
      </c>
      <c r="F1382" s="561">
        <v>14774.2</v>
      </c>
      <c r="G1382" s="561">
        <v>1231</v>
      </c>
      <c r="H1382" s="561">
        <v>19059.599999999999</v>
      </c>
      <c r="I1382" s="561">
        <v>33</v>
      </c>
      <c r="J1382" s="561">
        <v>325.39999999999998</v>
      </c>
      <c r="K1382" s="561">
        <v>1229</v>
      </c>
      <c r="L1382" s="561">
        <v>18734.2</v>
      </c>
      <c r="M1382" s="561">
        <v>18734.2</v>
      </c>
      <c r="N1382" s="561">
        <v>3960</v>
      </c>
      <c r="P1382" s="561">
        <v>14774.2</v>
      </c>
      <c r="Q1382" s="561">
        <v>14774.2</v>
      </c>
    </row>
    <row r="1383" spans="1:38">
      <c r="A1383" s="561">
        <v>13</v>
      </c>
      <c r="B1383" s="561" t="s">
        <v>1400</v>
      </c>
      <c r="C1383" s="561" t="s">
        <v>1267</v>
      </c>
      <c r="D1383" s="561">
        <v>96584.7</v>
      </c>
      <c r="E1383" s="561">
        <v>29319</v>
      </c>
      <c r="F1383" s="561">
        <v>67265.7</v>
      </c>
      <c r="G1383" s="561">
        <v>2464</v>
      </c>
      <c r="H1383" s="561">
        <v>102440.9</v>
      </c>
      <c r="I1383" s="561">
        <v>217</v>
      </c>
      <c r="J1383" s="561">
        <v>5856.2</v>
      </c>
      <c r="K1383" s="561">
        <v>2449</v>
      </c>
      <c r="L1383" s="561">
        <v>96584.7</v>
      </c>
      <c r="M1383" s="561">
        <v>96584.7</v>
      </c>
      <c r="N1383" s="561">
        <v>29319</v>
      </c>
      <c r="P1383" s="561">
        <v>67265.7</v>
      </c>
      <c r="Q1383" s="561">
        <v>67265.7</v>
      </c>
    </row>
    <row r="1384" spans="1:38">
      <c r="C1384" s="561" t="s">
        <v>1197</v>
      </c>
      <c r="D1384" s="561">
        <v>79475</v>
      </c>
      <c r="E1384" s="561">
        <v>26019</v>
      </c>
      <c r="F1384" s="561">
        <v>53456</v>
      </c>
      <c r="G1384" s="561">
        <v>1305</v>
      </c>
      <c r="H1384" s="561">
        <v>84954.9</v>
      </c>
      <c r="I1384" s="561">
        <v>155</v>
      </c>
      <c r="J1384" s="561">
        <v>5479.9</v>
      </c>
      <c r="K1384" s="561">
        <v>1292</v>
      </c>
      <c r="L1384" s="561">
        <v>79475</v>
      </c>
      <c r="M1384" s="561">
        <v>79475</v>
      </c>
      <c r="N1384" s="561">
        <v>26019</v>
      </c>
      <c r="Q1384" s="561">
        <v>53456</v>
      </c>
      <c r="AL1384" s="561">
        <v>53456</v>
      </c>
    </row>
    <row r="1385" spans="1:38">
      <c r="C1385" s="561" t="s">
        <v>1199</v>
      </c>
      <c r="D1385" s="561">
        <v>17109.7</v>
      </c>
      <c r="E1385" s="561">
        <v>3300</v>
      </c>
      <c r="F1385" s="561">
        <v>13809.7</v>
      </c>
      <c r="G1385" s="561">
        <v>1159</v>
      </c>
      <c r="H1385" s="561">
        <v>17486</v>
      </c>
      <c r="I1385" s="561">
        <v>62</v>
      </c>
      <c r="J1385" s="561">
        <v>376.3</v>
      </c>
      <c r="K1385" s="561">
        <v>1157</v>
      </c>
      <c r="L1385" s="561">
        <v>17109.7</v>
      </c>
      <c r="M1385" s="561">
        <v>17109.7</v>
      </c>
      <c r="N1385" s="561">
        <v>3300</v>
      </c>
      <c r="P1385" s="561">
        <v>13809.7</v>
      </c>
      <c r="Q1385" s="561">
        <v>13809.7</v>
      </c>
    </row>
    <row r="1386" spans="1:38">
      <c r="A1386" s="561">
        <v>14</v>
      </c>
      <c r="B1386" s="561" t="s">
        <v>1401</v>
      </c>
      <c r="C1386" s="561" t="s">
        <v>1267</v>
      </c>
      <c r="D1386" s="561">
        <v>65445</v>
      </c>
      <c r="E1386" s="561">
        <v>21378.9</v>
      </c>
      <c r="F1386" s="561">
        <v>44066.1</v>
      </c>
      <c r="G1386" s="561">
        <v>1599</v>
      </c>
      <c r="H1386" s="561">
        <v>68617.8</v>
      </c>
      <c r="I1386" s="561">
        <v>115</v>
      </c>
      <c r="J1386" s="561">
        <v>3172.8</v>
      </c>
      <c r="K1386" s="561">
        <v>1594</v>
      </c>
      <c r="L1386" s="561">
        <v>65445</v>
      </c>
      <c r="M1386" s="561">
        <v>65445</v>
      </c>
      <c r="N1386" s="561">
        <v>21378.9</v>
      </c>
      <c r="P1386" s="561">
        <v>44066.1</v>
      </c>
      <c r="Q1386" s="561">
        <v>44066.1</v>
      </c>
    </row>
    <row r="1387" spans="1:38">
      <c r="C1387" s="561" t="s">
        <v>1197</v>
      </c>
      <c r="D1387" s="561">
        <v>57541.8</v>
      </c>
      <c r="E1387" s="561">
        <v>19728.900000000001</v>
      </c>
      <c r="F1387" s="561">
        <v>37812.9</v>
      </c>
      <c r="G1387" s="561">
        <v>998</v>
      </c>
      <c r="H1387" s="561">
        <v>60378.3</v>
      </c>
      <c r="I1387" s="561">
        <v>71</v>
      </c>
      <c r="J1387" s="561">
        <v>2836.5</v>
      </c>
      <c r="K1387" s="561">
        <v>994</v>
      </c>
      <c r="L1387" s="561">
        <v>57541.8</v>
      </c>
      <c r="M1387" s="561">
        <v>57541.8</v>
      </c>
      <c r="N1387" s="561">
        <v>19728.900000000001</v>
      </c>
      <c r="Q1387" s="561">
        <v>37812.9</v>
      </c>
      <c r="AL1387" s="561">
        <v>37812.9</v>
      </c>
    </row>
    <row r="1388" spans="1:38">
      <c r="C1388" s="561" t="s">
        <v>1199</v>
      </c>
      <c r="D1388" s="561">
        <v>7903.2</v>
      </c>
      <c r="E1388" s="561">
        <v>1650</v>
      </c>
      <c r="F1388" s="561">
        <v>6253.2</v>
      </c>
      <c r="G1388" s="561">
        <v>601</v>
      </c>
      <c r="H1388" s="561">
        <v>8239.5</v>
      </c>
      <c r="I1388" s="561">
        <v>44</v>
      </c>
      <c r="J1388" s="561">
        <v>336.3</v>
      </c>
      <c r="K1388" s="561">
        <v>600</v>
      </c>
      <c r="L1388" s="561">
        <v>7903.2</v>
      </c>
      <c r="M1388" s="561">
        <v>7903.2</v>
      </c>
      <c r="N1388" s="561">
        <v>1650</v>
      </c>
      <c r="P1388" s="561">
        <v>6253.2</v>
      </c>
      <c r="Q1388" s="561">
        <v>6253.2</v>
      </c>
    </row>
    <row r="1389" spans="1:38">
      <c r="A1389" s="561">
        <v>15</v>
      </c>
      <c r="B1389" s="561" t="s">
        <v>1402</v>
      </c>
      <c r="C1389" s="561" t="s">
        <v>1267</v>
      </c>
      <c r="D1389" s="561">
        <v>272770.5</v>
      </c>
      <c r="E1389" s="561">
        <v>68292</v>
      </c>
      <c r="F1389" s="561">
        <v>204478.5</v>
      </c>
      <c r="G1389" s="561">
        <v>6624</v>
      </c>
      <c r="H1389" s="561">
        <v>293203.8</v>
      </c>
      <c r="I1389" s="561">
        <v>692</v>
      </c>
      <c r="J1389" s="561">
        <v>20433.3</v>
      </c>
      <c r="K1389" s="561">
        <v>6590</v>
      </c>
      <c r="L1389" s="561">
        <v>272770.5</v>
      </c>
      <c r="M1389" s="561">
        <v>272770.5</v>
      </c>
      <c r="N1389" s="561">
        <v>37024.400000000001</v>
      </c>
      <c r="O1389" s="561">
        <v>31267.599999999999</v>
      </c>
      <c r="P1389" s="561">
        <v>204478.5</v>
      </c>
      <c r="Q1389" s="561">
        <v>204478.5</v>
      </c>
    </row>
    <row r="1390" spans="1:38">
      <c r="C1390" s="561" t="s">
        <v>1197</v>
      </c>
      <c r="D1390" s="561">
        <v>236350.7</v>
      </c>
      <c r="E1390" s="561">
        <v>60042</v>
      </c>
      <c r="F1390" s="561">
        <v>176308.7</v>
      </c>
      <c r="G1390" s="561">
        <v>4243</v>
      </c>
      <c r="H1390" s="561">
        <v>254682.5</v>
      </c>
      <c r="I1390" s="561">
        <v>517</v>
      </c>
      <c r="J1390" s="561">
        <v>18331.8</v>
      </c>
      <c r="K1390" s="561">
        <v>4218</v>
      </c>
      <c r="L1390" s="561">
        <v>236350.7</v>
      </c>
      <c r="M1390" s="561">
        <v>236350.7</v>
      </c>
      <c r="N1390" s="561">
        <v>32871.4</v>
      </c>
      <c r="O1390" s="561">
        <v>27170.6</v>
      </c>
      <c r="Q1390" s="561">
        <v>176308.7</v>
      </c>
      <c r="AL1390" s="561">
        <v>176308.7</v>
      </c>
    </row>
    <row r="1391" spans="1:38">
      <c r="C1391" s="561" t="s">
        <v>1199</v>
      </c>
      <c r="D1391" s="561">
        <v>36419.800000000003</v>
      </c>
      <c r="E1391" s="561">
        <v>8250</v>
      </c>
      <c r="F1391" s="561">
        <v>28169.800000000003</v>
      </c>
      <c r="G1391" s="561">
        <v>2381</v>
      </c>
      <c r="H1391" s="561">
        <v>38521.300000000003</v>
      </c>
      <c r="I1391" s="561">
        <v>175</v>
      </c>
      <c r="J1391" s="561">
        <v>2101.5</v>
      </c>
      <c r="K1391" s="561">
        <v>2372</v>
      </c>
      <c r="L1391" s="561">
        <v>36419.800000000003</v>
      </c>
      <c r="M1391" s="561">
        <v>36419.800000000003</v>
      </c>
      <c r="N1391" s="561">
        <v>4153</v>
      </c>
      <c r="O1391" s="561">
        <v>4097</v>
      </c>
      <c r="P1391" s="561">
        <v>28169.8</v>
      </c>
      <c r="Q1391" s="561">
        <v>28169.8</v>
      </c>
    </row>
    <row r="1392" spans="1:38">
      <c r="A1392" s="561">
        <v>16</v>
      </c>
      <c r="B1392" s="561" t="s">
        <v>1403</v>
      </c>
      <c r="C1392" s="561" t="s">
        <v>1267</v>
      </c>
      <c r="D1392" s="561">
        <v>120502.39999999999</v>
      </c>
      <c r="E1392" s="561">
        <v>36980.1</v>
      </c>
      <c r="F1392" s="561">
        <v>83522.299999999988</v>
      </c>
      <c r="G1392" s="561">
        <v>2477</v>
      </c>
      <c r="H1392" s="561">
        <v>124691.6</v>
      </c>
      <c r="I1392" s="561">
        <v>131</v>
      </c>
      <c r="J1392" s="561">
        <v>4189.2</v>
      </c>
      <c r="K1392" s="561">
        <v>2468</v>
      </c>
      <c r="L1392" s="561">
        <v>120502.39999999999</v>
      </c>
      <c r="M1392" s="561">
        <v>120502.39999999999</v>
      </c>
      <c r="N1392" s="561">
        <v>32578.2</v>
      </c>
      <c r="O1392" s="561">
        <v>4401.8999999999996</v>
      </c>
      <c r="P1392" s="561">
        <v>83522.3</v>
      </c>
      <c r="Q1392" s="561">
        <v>83522.3</v>
      </c>
    </row>
    <row r="1393" spans="1:38">
      <c r="C1393" s="561" t="s">
        <v>1197</v>
      </c>
      <c r="D1393" s="561">
        <v>115913.60000000001</v>
      </c>
      <c r="E1393" s="561">
        <v>35330.1</v>
      </c>
      <c r="F1393" s="561">
        <v>80583.5</v>
      </c>
      <c r="G1393" s="561">
        <v>2101</v>
      </c>
      <c r="H1393" s="561">
        <v>120082.8</v>
      </c>
      <c r="I1393" s="561">
        <v>125</v>
      </c>
      <c r="J1393" s="561">
        <v>4169.2</v>
      </c>
      <c r="K1393" s="561">
        <v>2092</v>
      </c>
      <c r="L1393" s="561">
        <v>115913.60000000001</v>
      </c>
      <c r="M1393" s="561">
        <v>115913.60000000001</v>
      </c>
      <c r="N1393" s="561">
        <v>31105.3</v>
      </c>
      <c r="O1393" s="561">
        <v>4224.8</v>
      </c>
      <c r="Q1393" s="561">
        <v>80583.5</v>
      </c>
      <c r="AL1393" s="561">
        <v>80583.5</v>
      </c>
    </row>
    <row r="1394" spans="1:38">
      <c r="C1394" s="561" t="s">
        <v>1199</v>
      </c>
      <c r="D1394" s="561">
        <v>4588.8</v>
      </c>
      <c r="E1394" s="561">
        <v>1650</v>
      </c>
      <c r="F1394" s="561">
        <v>2938.8</v>
      </c>
      <c r="G1394" s="561">
        <v>376</v>
      </c>
      <c r="H1394" s="561">
        <v>4608.8</v>
      </c>
      <c r="I1394" s="561">
        <v>6</v>
      </c>
      <c r="J1394" s="561">
        <v>20</v>
      </c>
      <c r="K1394" s="561">
        <v>376</v>
      </c>
      <c r="L1394" s="561">
        <v>4588.8</v>
      </c>
      <c r="M1394" s="561">
        <v>4588.8</v>
      </c>
      <c r="N1394" s="561">
        <v>1472.9</v>
      </c>
      <c r="O1394" s="561">
        <v>177.1</v>
      </c>
      <c r="P1394" s="561">
        <v>2938.8</v>
      </c>
      <c r="Q1394" s="561">
        <v>2938.8</v>
      </c>
    </row>
    <row r="1395" spans="1:38">
      <c r="A1395" s="561">
        <v>17</v>
      </c>
      <c r="B1395" s="561" t="s">
        <v>1404</v>
      </c>
      <c r="C1395" s="561" t="s">
        <v>1267</v>
      </c>
      <c r="D1395" s="561">
        <v>9991</v>
      </c>
      <c r="E1395" s="561">
        <v>3003</v>
      </c>
      <c r="F1395" s="561">
        <v>6988</v>
      </c>
      <c r="G1395" s="561">
        <v>180</v>
      </c>
      <c r="H1395" s="561">
        <v>10078.9</v>
      </c>
      <c r="I1395" s="561">
        <v>3</v>
      </c>
      <c r="J1395" s="561">
        <v>88</v>
      </c>
      <c r="K1395" s="561">
        <v>180</v>
      </c>
      <c r="L1395" s="561">
        <v>9990.9</v>
      </c>
      <c r="M1395" s="561">
        <v>9990.9</v>
      </c>
      <c r="N1395" s="561">
        <v>3003</v>
      </c>
      <c r="P1395" s="561">
        <v>6987.9</v>
      </c>
      <c r="Q1395" s="561">
        <v>6987.9</v>
      </c>
    </row>
    <row r="1396" spans="1:38">
      <c r="C1396" s="561" t="s">
        <v>1197</v>
      </c>
      <c r="D1396" s="561">
        <v>9991</v>
      </c>
      <c r="E1396" s="561">
        <v>3003</v>
      </c>
      <c r="F1396" s="561">
        <v>6988</v>
      </c>
      <c r="G1396" s="561">
        <v>180</v>
      </c>
      <c r="H1396" s="561">
        <v>10078.9</v>
      </c>
      <c r="I1396" s="561">
        <v>3</v>
      </c>
      <c r="J1396" s="561">
        <v>88</v>
      </c>
      <c r="K1396" s="561">
        <v>180</v>
      </c>
      <c r="L1396" s="561">
        <v>9990.9</v>
      </c>
      <c r="M1396" s="561">
        <v>9990.9</v>
      </c>
      <c r="N1396" s="561">
        <v>3003</v>
      </c>
      <c r="Q1396" s="561">
        <v>6987.9</v>
      </c>
      <c r="AL1396" s="561">
        <v>6987.9</v>
      </c>
    </row>
    <row r="1397" spans="1:38">
      <c r="A1397" s="561">
        <v>18</v>
      </c>
      <c r="B1397" s="561" t="s">
        <v>1405</v>
      </c>
      <c r="C1397" s="561" t="s">
        <v>1267</v>
      </c>
      <c r="D1397" s="561">
        <v>10080.299999999999</v>
      </c>
      <c r="E1397" s="561">
        <v>3030</v>
      </c>
      <c r="F1397" s="561">
        <v>7050.2999999999993</v>
      </c>
      <c r="G1397" s="561">
        <v>131</v>
      </c>
      <c r="H1397" s="561">
        <v>11198.4</v>
      </c>
      <c r="I1397" s="561">
        <v>29</v>
      </c>
      <c r="J1397" s="561">
        <v>1118.0999999999999</v>
      </c>
      <c r="K1397" s="561">
        <v>131</v>
      </c>
      <c r="L1397" s="561">
        <v>10080.299999999999</v>
      </c>
      <c r="M1397" s="561">
        <v>10080.299999999999</v>
      </c>
      <c r="N1397" s="561">
        <v>3030</v>
      </c>
      <c r="P1397" s="561">
        <v>7050.3</v>
      </c>
      <c r="Q1397" s="561">
        <v>7050.3</v>
      </c>
    </row>
    <row r="1398" spans="1:38">
      <c r="C1398" s="561" t="s">
        <v>1197</v>
      </c>
      <c r="D1398" s="561">
        <v>10080.299999999999</v>
      </c>
      <c r="E1398" s="561">
        <v>3030</v>
      </c>
      <c r="F1398" s="561">
        <v>7050.2999999999993</v>
      </c>
      <c r="G1398" s="561">
        <v>131</v>
      </c>
      <c r="H1398" s="561">
        <v>11198.4</v>
      </c>
      <c r="I1398" s="561">
        <v>29</v>
      </c>
      <c r="J1398" s="561">
        <v>1118.0999999999999</v>
      </c>
      <c r="K1398" s="561">
        <v>131</v>
      </c>
      <c r="L1398" s="561">
        <v>10080.299999999999</v>
      </c>
      <c r="M1398" s="561">
        <v>10080.299999999999</v>
      </c>
      <c r="N1398" s="561">
        <v>3030</v>
      </c>
      <c r="Q1398" s="561">
        <v>7050.3</v>
      </c>
      <c r="AL1398" s="561">
        <v>7050.3</v>
      </c>
    </row>
    <row r="1399" spans="1:38">
      <c r="A1399" s="561">
        <v>19</v>
      </c>
      <c r="B1399" s="561" t="s">
        <v>1406</v>
      </c>
      <c r="C1399" s="561" t="s">
        <v>1267</v>
      </c>
      <c r="D1399" s="561">
        <v>29432.799999999999</v>
      </c>
      <c r="E1399" s="561">
        <v>6930</v>
      </c>
      <c r="F1399" s="561">
        <v>22502.799999999999</v>
      </c>
      <c r="G1399" s="561">
        <v>2020</v>
      </c>
      <c r="H1399" s="561">
        <v>29812.2</v>
      </c>
      <c r="I1399" s="561">
        <v>73</v>
      </c>
      <c r="J1399" s="561">
        <v>379.4</v>
      </c>
      <c r="K1399" s="561">
        <v>2019</v>
      </c>
      <c r="L1399" s="561">
        <v>29432.799999999999</v>
      </c>
      <c r="M1399" s="561">
        <v>29432.799999999999</v>
      </c>
      <c r="N1399" s="561">
        <v>6930</v>
      </c>
      <c r="P1399" s="561">
        <v>22502.799999999999</v>
      </c>
      <c r="Q1399" s="561">
        <v>22502.799999999999</v>
      </c>
    </row>
    <row r="1400" spans="1:38">
      <c r="C1400" s="561" t="s">
        <v>1199</v>
      </c>
      <c r="D1400" s="561">
        <v>29432.799999999999</v>
      </c>
      <c r="E1400" s="561">
        <v>6930</v>
      </c>
      <c r="F1400" s="561">
        <v>22502.799999999999</v>
      </c>
      <c r="G1400" s="561">
        <v>2020</v>
      </c>
      <c r="H1400" s="561">
        <v>29812.2</v>
      </c>
      <c r="I1400" s="561">
        <v>73</v>
      </c>
      <c r="J1400" s="561">
        <v>379.4</v>
      </c>
      <c r="K1400" s="561">
        <v>2019</v>
      </c>
      <c r="L1400" s="561">
        <v>29432.799999999999</v>
      </c>
      <c r="M1400" s="561">
        <v>29432.799999999999</v>
      </c>
      <c r="N1400" s="561">
        <v>6930</v>
      </c>
      <c r="P1400" s="561">
        <v>22502.799999999999</v>
      </c>
      <c r="Q1400" s="561">
        <v>22502.799999999999</v>
      </c>
    </row>
    <row r="1401" spans="1:38">
      <c r="A1401" s="561">
        <v>20</v>
      </c>
      <c r="B1401" s="561" t="s">
        <v>1407</v>
      </c>
      <c r="C1401" s="561" t="s">
        <v>1267</v>
      </c>
      <c r="D1401" s="561">
        <v>27672.1</v>
      </c>
      <c r="E1401" s="561">
        <v>6930</v>
      </c>
      <c r="F1401" s="561">
        <v>20742.099999999999</v>
      </c>
      <c r="G1401" s="561">
        <v>1981</v>
      </c>
      <c r="H1401" s="561">
        <v>28788.6</v>
      </c>
      <c r="I1401" s="561">
        <v>140</v>
      </c>
      <c r="J1401" s="561">
        <v>1116.5</v>
      </c>
      <c r="K1401" s="561">
        <v>1978</v>
      </c>
      <c r="L1401" s="561">
        <v>27672.1</v>
      </c>
      <c r="M1401" s="561">
        <v>27672.1</v>
      </c>
      <c r="N1401" s="561">
        <v>6930</v>
      </c>
      <c r="P1401" s="561">
        <v>20742.099999999999</v>
      </c>
      <c r="Q1401" s="561">
        <v>20742.099999999999</v>
      </c>
    </row>
    <row r="1402" spans="1:38">
      <c r="C1402" s="561" t="s">
        <v>1199</v>
      </c>
      <c r="D1402" s="561">
        <v>27672.1</v>
      </c>
      <c r="E1402" s="561">
        <v>6930</v>
      </c>
      <c r="F1402" s="561">
        <v>20742.099999999999</v>
      </c>
      <c r="G1402" s="561">
        <v>1981</v>
      </c>
      <c r="H1402" s="561">
        <v>28788.6</v>
      </c>
      <c r="I1402" s="561">
        <v>140</v>
      </c>
      <c r="J1402" s="561">
        <v>1116.5</v>
      </c>
      <c r="K1402" s="561">
        <v>1978</v>
      </c>
      <c r="L1402" s="561">
        <v>27672.1</v>
      </c>
      <c r="M1402" s="561">
        <v>27672.1</v>
      </c>
      <c r="N1402" s="561">
        <v>6930</v>
      </c>
      <c r="P1402" s="561">
        <v>20742.099999999999</v>
      </c>
      <c r="Q1402" s="561">
        <v>20742.099999999999</v>
      </c>
    </row>
    <row r="1403" spans="1:38">
      <c r="A1403" s="561">
        <v>21</v>
      </c>
      <c r="B1403" s="561" t="s">
        <v>1408</v>
      </c>
      <c r="C1403" s="561" t="s">
        <v>1267</v>
      </c>
      <c r="D1403" s="561">
        <v>25412.2</v>
      </c>
      <c r="E1403" s="561">
        <v>5940</v>
      </c>
      <c r="F1403" s="561">
        <v>19472.2</v>
      </c>
      <c r="G1403" s="561">
        <v>1793</v>
      </c>
      <c r="H1403" s="561">
        <v>25500.400000000001</v>
      </c>
      <c r="I1403" s="561">
        <v>11</v>
      </c>
      <c r="J1403" s="561">
        <v>88.2</v>
      </c>
      <c r="K1403" s="561">
        <v>1793</v>
      </c>
      <c r="L1403" s="561">
        <v>25412.2</v>
      </c>
      <c r="M1403" s="561">
        <v>25412.2</v>
      </c>
      <c r="N1403" s="561">
        <v>5940</v>
      </c>
      <c r="P1403" s="561">
        <v>19472.2</v>
      </c>
      <c r="Q1403" s="561">
        <v>19472.2</v>
      </c>
    </row>
    <row r="1404" spans="1:38">
      <c r="C1404" s="561" t="s">
        <v>1199</v>
      </c>
      <c r="D1404" s="561">
        <v>25412.2</v>
      </c>
      <c r="E1404" s="561">
        <v>5940</v>
      </c>
      <c r="F1404" s="561">
        <v>19472.2</v>
      </c>
      <c r="G1404" s="561">
        <v>1793</v>
      </c>
      <c r="H1404" s="561">
        <v>25500.400000000001</v>
      </c>
      <c r="I1404" s="561">
        <v>11</v>
      </c>
      <c r="J1404" s="561">
        <v>88.2</v>
      </c>
      <c r="K1404" s="561">
        <v>1793</v>
      </c>
      <c r="L1404" s="561">
        <v>25412.2</v>
      </c>
      <c r="M1404" s="561">
        <v>25412.2</v>
      </c>
      <c r="N1404" s="561">
        <v>5940</v>
      </c>
      <c r="P1404" s="561">
        <v>19472.2</v>
      </c>
      <c r="Q1404" s="561">
        <v>19472.2</v>
      </c>
    </row>
    <row r="1405" spans="1:38">
      <c r="A1405" s="561">
        <v>22</v>
      </c>
      <c r="B1405" s="561" t="s">
        <v>1409</v>
      </c>
      <c r="C1405" s="561" t="s">
        <v>1267</v>
      </c>
      <c r="D1405" s="561">
        <v>14939.5</v>
      </c>
      <c r="E1405" s="561">
        <v>3300</v>
      </c>
      <c r="F1405" s="561">
        <v>11639.5</v>
      </c>
      <c r="G1405" s="561">
        <v>1205</v>
      </c>
      <c r="H1405" s="561">
        <v>15196.8</v>
      </c>
      <c r="I1405" s="561">
        <v>42</v>
      </c>
      <c r="J1405" s="561">
        <v>257.3</v>
      </c>
      <c r="K1405" s="561">
        <v>1205</v>
      </c>
      <c r="L1405" s="561">
        <v>14939.5</v>
      </c>
      <c r="M1405" s="561">
        <v>14939.5</v>
      </c>
      <c r="N1405" s="561">
        <v>3300</v>
      </c>
      <c r="P1405" s="561">
        <v>11639.5</v>
      </c>
      <c r="Q1405" s="561">
        <v>11639.5</v>
      </c>
    </row>
    <row r="1406" spans="1:38">
      <c r="C1406" s="561" t="s">
        <v>1199</v>
      </c>
      <c r="D1406" s="561">
        <v>14939.5</v>
      </c>
      <c r="E1406" s="561">
        <v>3300</v>
      </c>
      <c r="F1406" s="561">
        <v>11639.5</v>
      </c>
      <c r="G1406" s="561">
        <v>1205</v>
      </c>
      <c r="H1406" s="561">
        <v>15196.8</v>
      </c>
      <c r="I1406" s="561">
        <v>42</v>
      </c>
      <c r="J1406" s="561">
        <v>257.3</v>
      </c>
      <c r="K1406" s="561">
        <v>1205</v>
      </c>
      <c r="L1406" s="561">
        <v>14939.5</v>
      </c>
      <c r="M1406" s="561">
        <v>14939.5</v>
      </c>
      <c r="N1406" s="561">
        <v>3300</v>
      </c>
      <c r="P1406" s="561">
        <v>11639.5</v>
      </c>
      <c r="Q1406" s="561">
        <v>11639.5</v>
      </c>
    </row>
    <row r="1407" spans="1:38">
      <c r="A1407" s="561">
        <v>23</v>
      </c>
      <c r="B1407" s="561" t="s">
        <v>1410</v>
      </c>
      <c r="C1407" s="561" t="s">
        <v>1267</v>
      </c>
      <c r="D1407" s="561">
        <v>8598.4</v>
      </c>
      <c r="E1407" s="561">
        <v>1980</v>
      </c>
      <c r="F1407" s="561">
        <v>6618.4</v>
      </c>
      <c r="G1407" s="561">
        <v>640</v>
      </c>
      <c r="H1407" s="561">
        <v>8741.9</v>
      </c>
      <c r="I1407" s="561">
        <v>16</v>
      </c>
      <c r="J1407" s="561">
        <v>143.5</v>
      </c>
      <c r="K1407" s="561">
        <v>640</v>
      </c>
      <c r="L1407" s="561">
        <v>8598.4</v>
      </c>
      <c r="M1407" s="561">
        <v>8598.4</v>
      </c>
      <c r="N1407" s="561">
        <v>1980</v>
      </c>
      <c r="P1407" s="561">
        <v>6618.4</v>
      </c>
      <c r="Q1407" s="561">
        <v>6618.4</v>
      </c>
    </row>
    <row r="1408" spans="1:38">
      <c r="C1408" s="561" t="s">
        <v>1199</v>
      </c>
      <c r="D1408" s="561">
        <v>8598.4</v>
      </c>
      <c r="E1408" s="561">
        <v>1980</v>
      </c>
      <c r="F1408" s="561">
        <v>6618.4</v>
      </c>
      <c r="G1408" s="561">
        <v>640</v>
      </c>
      <c r="H1408" s="561">
        <v>8741.9</v>
      </c>
      <c r="I1408" s="561">
        <v>16</v>
      </c>
      <c r="J1408" s="561">
        <v>143.5</v>
      </c>
      <c r="K1408" s="561">
        <v>640</v>
      </c>
      <c r="L1408" s="561">
        <v>8598.4</v>
      </c>
      <c r="M1408" s="561">
        <v>8598.4</v>
      </c>
      <c r="N1408" s="561">
        <v>1980</v>
      </c>
      <c r="P1408" s="561">
        <v>6618.4</v>
      </c>
      <c r="Q1408" s="561">
        <v>6618.4</v>
      </c>
    </row>
    <row r="1409" spans="1:38">
      <c r="A1409" s="561">
        <v>24</v>
      </c>
      <c r="B1409" s="561" t="s">
        <v>1411</v>
      </c>
      <c r="C1409" s="561" t="s">
        <v>1267</v>
      </c>
      <c r="D1409" s="561">
        <v>6343.5</v>
      </c>
      <c r="E1409" s="561">
        <v>1650</v>
      </c>
      <c r="F1409" s="561">
        <v>4693.5</v>
      </c>
      <c r="G1409" s="561">
        <v>545</v>
      </c>
      <c r="H1409" s="561">
        <v>6432.3</v>
      </c>
      <c r="I1409" s="561">
        <v>21</v>
      </c>
      <c r="J1409" s="561">
        <v>88.8</v>
      </c>
      <c r="K1409" s="561">
        <v>545</v>
      </c>
      <c r="L1409" s="561">
        <v>6343.5</v>
      </c>
      <c r="M1409" s="561">
        <v>6343.5</v>
      </c>
      <c r="N1409" s="561">
        <v>1650</v>
      </c>
      <c r="P1409" s="561">
        <v>4693.5</v>
      </c>
      <c r="Q1409" s="561">
        <v>4693.5</v>
      </c>
    </row>
    <row r="1410" spans="1:38">
      <c r="C1410" s="561" t="s">
        <v>1199</v>
      </c>
      <c r="D1410" s="561">
        <v>6343.5</v>
      </c>
      <c r="E1410" s="561">
        <v>1650</v>
      </c>
      <c r="F1410" s="561">
        <v>4693.5</v>
      </c>
      <c r="G1410" s="561">
        <v>545</v>
      </c>
      <c r="H1410" s="561">
        <v>6432.3</v>
      </c>
      <c r="I1410" s="561">
        <v>21</v>
      </c>
      <c r="J1410" s="561">
        <v>88.8</v>
      </c>
      <c r="K1410" s="561">
        <v>545</v>
      </c>
      <c r="L1410" s="561">
        <v>6343.5</v>
      </c>
      <c r="M1410" s="561">
        <v>6343.5</v>
      </c>
      <c r="N1410" s="561">
        <v>1650</v>
      </c>
      <c r="P1410" s="561">
        <v>4693.5</v>
      </c>
      <c r="Q1410" s="561">
        <v>4693.5</v>
      </c>
    </row>
    <row r="1411" spans="1:38">
      <c r="A1411" s="561">
        <v>25</v>
      </c>
      <c r="B1411" s="561" t="s">
        <v>1412</v>
      </c>
      <c r="C1411" s="561" t="s">
        <v>1267</v>
      </c>
      <c r="D1411" s="561">
        <v>8712.7000000000007</v>
      </c>
      <c r="E1411" s="561">
        <v>2310</v>
      </c>
      <c r="F1411" s="561">
        <v>6402.7000000000007</v>
      </c>
      <c r="G1411" s="561">
        <v>707</v>
      </c>
      <c r="H1411" s="561">
        <v>8965.2000000000007</v>
      </c>
      <c r="I1411" s="561">
        <v>43</v>
      </c>
      <c r="J1411" s="561">
        <v>252.5</v>
      </c>
      <c r="K1411" s="561">
        <v>707</v>
      </c>
      <c r="L1411" s="561">
        <v>8712.7000000000007</v>
      </c>
      <c r="M1411" s="561">
        <v>8712.7000000000007</v>
      </c>
      <c r="N1411" s="561">
        <v>2310</v>
      </c>
      <c r="P1411" s="561">
        <v>6402.7</v>
      </c>
      <c r="Q1411" s="561">
        <v>6402.7</v>
      </c>
    </row>
    <row r="1412" spans="1:38">
      <c r="C1412" s="561" t="s">
        <v>1199</v>
      </c>
      <c r="D1412" s="561">
        <v>8712.7000000000007</v>
      </c>
      <c r="E1412" s="561">
        <v>2310</v>
      </c>
      <c r="F1412" s="561">
        <v>6402.7000000000007</v>
      </c>
      <c r="G1412" s="561">
        <v>707</v>
      </c>
      <c r="H1412" s="561">
        <v>8965.2000000000007</v>
      </c>
      <c r="I1412" s="561">
        <v>43</v>
      </c>
      <c r="J1412" s="561">
        <v>252.5</v>
      </c>
      <c r="K1412" s="561">
        <v>707</v>
      </c>
      <c r="L1412" s="561">
        <v>8712.7000000000007</v>
      </c>
      <c r="M1412" s="561">
        <v>8712.7000000000007</v>
      </c>
      <c r="N1412" s="561">
        <v>2310</v>
      </c>
      <c r="P1412" s="561">
        <v>6402.7</v>
      </c>
      <c r="Q1412" s="561">
        <v>6402.7</v>
      </c>
    </row>
    <row r="1413" spans="1:38">
      <c r="A1413" s="561">
        <v>26</v>
      </c>
      <c r="B1413" s="561" t="s">
        <v>1413</v>
      </c>
      <c r="C1413" s="561" t="s">
        <v>1267</v>
      </c>
      <c r="D1413" s="561">
        <v>20635.5</v>
      </c>
      <c r="E1413" s="561">
        <v>3960</v>
      </c>
      <c r="F1413" s="561">
        <v>16675.5</v>
      </c>
      <c r="G1413" s="561">
        <v>1519</v>
      </c>
      <c r="H1413" s="561">
        <v>21027.599999999999</v>
      </c>
      <c r="I1413" s="561">
        <v>53</v>
      </c>
      <c r="J1413" s="561">
        <v>392.1</v>
      </c>
      <c r="K1413" s="561">
        <v>1516</v>
      </c>
      <c r="L1413" s="561">
        <v>20635.5</v>
      </c>
      <c r="M1413" s="561">
        <v>20635.5</v>
      </c>
      <c r="N1413" s="561">
        <v>3080</v>
      </c>
      <c r="O1413" s="561">
        <v>880</v>
      </c>
      <c r="P1413" s="561">
        <v>16675.5</v>
      </c>
      <c r="Q1413" s="561">
        <v>16675.5</v>
      </c>
    </row>
    <row r="1414" spans="1:38">
      <c r="C1414" s="561" t="s">
        <v>1199</v>
      </c>
      <c r="D1414" s="561">
        <v>20635.5</v>
      </c>
      <c r="E1414" s="561">
        <v>3960</v>
      </c>
      <c r="F1414" s="561">
        <v>16675.5</v>
      </c>
      <c r="G1414" s="561">
        <v>1519</v>
      </c>
      <c r="H1414" s="561">
        <v>21027.599999999999</v>
      </c>
      <c r="I1414" s="561">
        <v>53</v>
      </c>
      <c r="J1414" s="561">
        <v>392.1</v>
      </c>
      <c r="K1414" s="561">
        <v>1516</v>
      </c>
      <c r="L1414" s="561">
        <v>20635.5</v>
      </c>
      <c r="M1414" s="561">
        <v>20635.5</v>
      </c>
      <c r="N1414" s="561">
        <v>3080</v>
      </c>
      <c r="O1414" s="561">
        <v>880</v>
      </c>
      <c r="P1414" s="561">
        <v>16675.5</v>
      </c>
      <c r="Q1414" s="561">
        <v>16675.5</v>
      </c>
    </row>
    <row r="1415" spans="1:38">
      <c r="A1415" s="561">
        <v>27</v>
      </c>
      <c r="B1415" s="561" t="s">
        <v>1414</v>
      </c>
      <c r="C1415" s="561" t="s">
        <v>1267</v>
      </c>
      <c r="D1415" s="561">
        <v>44964.3</v>
      </c>
      <c r="E1415" s="561">
        <v>9240</v>
      </c>
      <c r="F1415" s="561">
        <v>35724.300000000003</v>
      </c>
      <c r="G1415" s="561">
        <v>2694</v>
      </c>
      <c r="H1415" s="561">
        <v>45594.7</v>
      </c>
      <c r="I1415" s="561">
        <v>57</v>
      </c>
      <c r="J1415" s="561">
        <v>630.4</v>
      </c>
      <c r="K1415" s="561">
        <v>2692</v>
      </c>
      <c r="L1415" s="561">
        <v>44964.3</v>
      </c>
      <c r="M1415" s="561">
        <v>44964.3</v>
      </c>
      <c r="N1415" s="561">
        <v>8540</v>
      </c>
      <c r="O1415" s="561">
        <v>700</v>
      </c>
      <c r="P1415" s="561">
        <v>35724.300000000003</v>
      </c>
      <c r="Q1415" s="561">
        <v>35724.300000000003</v>
      </c>
    </row>
    <row r="1416" spans="1:38">
      <c r="C1416" s="561" t="s">
        <v>1199</v>
      </c>
      <c r="D1416" s="561">
        <v>44964.3</v>
      </c>
      <c r="E1416" s="561">
        <v>9240</v>
      </c>
      <c r="F1416" s="561">
        <v>35724.300000000003</v>
      </c>
      <c r="G1416" s="561">
        <v>2694</v>
      </c>
      <c r="H1416" s="561">
        <v>45594.7</v>
      </c>
      <c r="I1416" s="561">
        <v>57</v>
      </c>
      <c r="J1416" s="561">
        <v>630.4</v>
      </c>
      <c r="K1416" s="561">
        <v>2692</v>
      </c>
      <c r="L1416" s="561">
        <v>44964.3</v>
      </c>
      <c r="M1416" s="561">
        <v>44964.3</v>
      </c>
      <c r="N1416" s="561">
        <v>8540</v>
      </c>
      <c r="O1416" s="561">
        <v>700</v>
      </c>
      <c r="P1416" s="561">
        <v>35724.300000000003</v>
      </c>
      <c r="Q1416" s="561">
        <v>35724.300000000003</v>
      </c>
    </row>
    <row r="1417" spans="1:38">
      <c r="A1417" s="561">
        <v>28</v>
      </c>
      <c r="B1417" s="561" t="s">
        <v>1415</v>
      </c>
      <c r="C1417" s="561" t="s">
        <v>1267</v>
      </c>
      <c r="D1417" s="561">
        <v>5483.6</v>
      </c>
      <c r="E1417" s="561">
        <v>1650</v>
      </c>
      <c r="F1417" s="561">
        <v>3833.6000000000004</v>
      </c>
      <c r="G1417" s="561">
        <v>401</v>
      </c>
      <c r="H1417" s="561">
        <v>5550.3</v>
      </c>
      <c r="I1417" s="561">
        <v>12</v>
      </c>
      <c r="J1417" s="561">
        <v>66.7</v>
      </c>
      <c r="K1417" s="561">
        <v>401</v>
      </c>
      <c r="L1417" s="561">
        <v>5483.6</v>
      </c>
      <c r="M1417" s="561">
        <v>5483.6</v>
      </c>
      <c r="N1417" s="561">
        <v>1650</v>
      </c>
      <c r="P1417" s="561">
        <v>3833.6</v>
      </c>
      <c r="Q1417" s="561">
        <v>3833.6</v>
      </c>
    </row>
    <row r="1418" spans="1:38">
      <c r="C1418" s="561" t="s">
        <v>1199</v>
      </c>
      <c r="D1418" s="561">
        <v>5483.6</v>
      </c>
      <c r="E1418" s="561">
        <v>1650</v>
      </c>
      <c r="F1418" s="561">
        <v>3833.6000000000004</v>
      </c>
      <c r="G1418" s="561">
        <v>401</v>
      </c>
      <c r="H1418" s="561">
        <v>5550.3</v>
      </c>
      <c r="I1418" s="561">
        <v>12</v>
      </c>
      <c r="J1418" s="561">
        <v>66.7</v>
      </c>
      <c r="K1418" s="561">
        <v>401</v>
      </c>
      <c r="L1418" s="561">
        <v>5483.6</v>
      </c>
      <c r="M1418" s="561">
        <v>5483.6</v>
      </c>
      <c r="N1418" s="561">
        <v>1650</v>
      </c>
      <c r="P1418" s="561">
        <v>3833.6</v>
      </c>
      <c r="Q1418" s="561">
        <v>3833.6</v>
      </c>
    </row>
    <row r="1419" spans="1:38">
      <c r="A1419" s="561">
        <v>29</v>
      </c>
      <c r="B1419" s="561" t="s">
        <v>1416</v>
      </c>
      <c r="C1419" s="561" t="s">
        <v>1267</v>
      </c>
      <c r="D1419" s="561">
        <v>11000</v>
      </c>
      <c r="E1419" s="561">
        <v>3300</v>
      </c>
      <c r="F1419" s="561">
        <v>7700</v>
      </c>
      <c r="G1419" s="561">
        <v>870</v>
      </c>
      <c r="H1419" s="561">
        <v>11049.4</v>
      </c>
      <c r="I1419" s="561">
        <v>11</v>
      </c>
      <c r="J1419" s="561">
        <v>49.4</v>
      </c>
      <c r="K1419" s="561">
        <v>870</v>
      </c>
      <c r="L1419" s="561">
        <v>11000</v>
      </c>
      <c r="M1419" s="561">
        <v>11000</v>
      </c>
      <c r="N1419" s="561">
        <v>3300</v>
      </c>
      <c r="P1419" s="561">
        <v>7700</v>
      </c>
      <c r="Q1419" s="561">
        <v>7700</v>
      </c>
    </row>
    <row r="1420" spans="1:38">
      <c r="C1420" s="561" t="s">
        <v>1199</v>
      </c>
      <c r="D1420" s="561">
        <v>11000</v>
      </c>
      <c r="E1420" s="561">
        <v>3300</v>
      </c>
      <c r="F1420" s="561">
        <v>7700</v>
      </c>
      <c r="G1420" s="561">
        <v>870</v>
      </c>
      <c r="H1420" s="561">
        <v>11049.4</v>
      </c>
      <c r="I1420" s="561">
        <v>11</v>
      </c>
      <c r="J1420" s="561">
        <v>49.4</v>
      </c>
      <c r="K1420" s="561">
        <v>870</v>
      </c>
      <c r="L1420" s="561">
        <v>11000</v>
      </c>
      <c r="M1420" s="561">
        <v>11000</v>
      </c>
      <c r="N1420" s="561">
        <v>3300</v>
      </c>
      <c r="P1420" s="561">
        <v>7700</v>
      </c>
      <c r="Q1420" s="561">
        <v>7700</v>
      </c>
    </row>
    <row r="1421" spans="1:38">
      <c r="A1421" s="561">
        <v>30</v>
      </c>
      <c r="B1421" s="561" t="s">
        <v>1417</v>
      </c>
      <c r="C1421" s="561" t="s">
        <v>1267</v>
      </c>
      <c r="D1421" s="561">
        <v>20481.3</v>
      </c>
      <c r="E1421" s="561">
        <v>3300</v>
      </c>
      <c r="F1421" s="561">
        <v>17181.3</v>
      </c>
      <c r="G1421" s="561">
        <v>1494</v>
      </c>
      <c r="H1421" s="561">
        <v>20637.3</v>
      </c>
      <c r="I1421" s="561">
        <v>21</v>
      </c>
      <c r="J1421" s="561">
        <v>156</v>
      </c>
      <c r="K1421" s="561">
        <v>1494</v>
      </c>
      <c r="L1421" s="561">
        <v>20481.3</v>
      </c>
      <c r="M1421" s="561">
        <v>20481.3</v>
      </c>
      <c r="N1421" s="561">
        <v>2600.02</v>
      </c>
      <c r="O1421" s="561">
        <v>700</v>
      </c>
      <c r="P1421" s="561">
        <v>17181.3</v>
      </c>
      <c r="Q1421" s="561">
        <v>17181.3</v>
      </c>
    </row>
    <row r="1422" spans="1:38">
      <c r="C1422" s="561" t="s">
        <v>1199</v>
      </c>
      <c r="D1422" s="561">
        <v>20481.3</v>
      </c>
      <c r="E1422" s="561">
        <v>3300</v>
      </c>
      <c r="F1422" s="561">
        <v>17181.3</v>
      </c>
      <c r="G1422" s="561">
        <v>1494</v>
      </c>
      <c r="H1422" s="561">
        <v>20637.3</v>
      </c>
      <c r="I1422" s="561">
        <v>21</v>
      </c>
      <c r="J1422" s="561">
        <v>156</v>
      </c>
      <c r="K1422" s="561">
        <v>1494</v>
      </c>
      <c r="L1422" s="561">
        <v>20481.3</v>
      </c>
      <c r="M1422" s="561">
        <v>20481.3</v>
      </c>
      <c r="N1422" s="561">
        <v>2600.02</v>
      </c>
      <c r="O1422" s="561">
        <v>700</v>
      </c>
      <c r="P1422" s="561">
        <v>17181.3</v>
      </c>
      <c r="Q1422" s="561">
        <v>17181.3</v>
      </c>
      <c r="AL1422" s="561" t="s">
        <v>846</v>
      </c>
    </row>
    <row r="1423" spans="1:38">
      <c r="A1423" s="561">
        <v>31</v>
      </c>
      <c r="B1423" s="561" t="s">
        <v>1418</v>
      </c>
      <c r="C1423" s="561" t="s">
        <v>1267</v>
      </c>
      <c r="D1423" s="561">
        <v>14298.9</v>
      </c>
      <c r="E1423" s="561">
        <v>4290</v>
      </c>
      <c r="F1423" s="561">
        <v>10008.9</v>
      </c>
      <c r="G1423" s="561">
        <v>1077</v>
      </c>
      <c r="H1423" s="561">
        <v>14471.9</v>
      </c>
      <c r="I1423" s="561">
        <v>21</v>
      </c>
      <c r="J1423" s="561">
        <v>173</v>
      </c>
      <c r="K1423" s="561">
        <v>1069</v>
      </c>
      <c r="L1423" s="561">
        <v>14298.9</v>
      </c>
      <c r="M1423" s="561">
        <v>14298.9</v>
      </c>
      <c r="N1423" s="561">
        <v>4290</v>
      </c>
      <c r="P1423" s="561">
        <v>10008.9</v>
      </c>
      <c r="Q1423" s="561">
        <v>10008.9</v>
      </c>
    </row>
    <row r="1424" spans="1:38">
      <c r="C1424" s="561" t="s">
        <v>1199</v>
      </c>
      <c r="D1424" s="561">
        <v>14298.9</v>
      </c>
      <c r="E1424" s="561">
        <v>4290</v>
      </c>
      <c r="F1424" s="561">
        <v>10008.9</v>
      </c>
      <c r="G1424" s="561">
        <v>1077</v>
      </c>
      <c r="H1424" s="561">
        <v>14471.9</v>
      </c>
      <c r="I1424" s="561">
        <v>21</v>
      </c>
      <c r="J1424" s="561">
        <v>173</v>
      </c>
      <c r="K1424" s="561">
        <v>1069</v>
      </c>
      <c r="L1424" s="561">
        <v>14298.9</v>
      </c>
      <c r="M1424" s="561">
        <v>14298.9</v>
      </c>
      <c r="N1424" s="561">
        <v>4290</v>
      </c>
      <c r="P1424" s="561">
        <v>10008.9</v>
      </c>
      <c r="Q1424" s="561">
        <v>10008.9</v>
      </c>
    </row>
    <row r="1425" spans="1:111">
      <c r="A1425" s="561">
        <v>32</v>
      </c>
      <c r="B1425" s="561" t="s">
        <v>1419</v>
      </c>
      <c r="C1425" s="561" t="s">
        <v>1267</v>
      </c>
      <c r="D1425" s="561">
        <v>12100</v>
      </c>
      <c r="E1425" s="561">
        <v>3630</v>
      </c>
      <c r="F1425" s="561">
        <v>8470</v>
      </c>
      <c r="G1425" s="561">
        <v>906</v>
      </c>
      <c r="H1425" s="561">
        <v>20862.099999999999</v>
      </c>
      <c r="I1425" s="561">
        <v>185</v>
      </c>
      <c r="J1425" s="561">
        <v>8762.6</v>
      </c>
      <c r="K1425" s="561">
        <v>903</v>
      </c>
      <c r="L1425" s="561">
        <v>12099.5</v>
      </c>
      <c r="M1425" s="561">
        <v>12099.5</v>
      </c>
      <c r="N1425" s="561">
        <v>2016.6</v>
      </c>
      <c r="O1425" s="561">
        <v>1613.4</v>
      </c>
      <c r="P1425" s="561">
        <v>8469.5</v>
      </c>
      <c r="Q1425" s="561">
        <v>8469.5</v>
      </c>
    </row>
    <row r="1426" spans="1:111">
      <c r="C1426" s="561" t="s">
        <v>1199</v>
      </c>
      <c r="D1426" s="561">
        <v>12100</v>
      </c>
      <c r="E1426" s="561">
        <v>3630</v>
      </c>
      <c r="F1426" s="561">
        <v>8470</v>
      </c>
      <c r="G1426" s="561">
        <v>906</v>
      </c>
      <c r="H1426" s="561">
        <v>20862.099999999999</v>
      </c>
      <c r="I1426" s="561">
        <v>185</v>
      </c>
      <c r="J1426" s="561">
        <v>8762.6</v>
      </c>
      <c r="K1426" s="561">
        <v>903</v>
      </c>
      <c r="L1426" s="561">
        <v>12099.5</v>
      </c>
      <c r="M1426" s="561">
        <v>12099.5</v>
      </c>
      <c r="N1426" s="561">
        <v>2016.6</v>
      </c>
      <c r="O1426" s="561">
        <v>1613.4</v>
      </c>
      <c r="P1426" s="561">
        <v>8469.5</v>
      </c>
      <c r="Q1426" s="561">
        <v>8469.5</v>
      </c>
    </row>
    <row r="1427" spans="1:111">
      <c r="A1427" s="1735" t="s">
        <v>1198</v>
      </c>
      <c r="B1427" s="1735"/>
      <c r="C1427" s="1735"/>
      <c r="D1427" s="1735"/>
      <c r="E1427" s="1735"/>
      <c r="F1427" s="1735"/>
      <c r="G1427" s="1735"/>
      <c r="H1427" s="1735"/>
      <c r="I1427" s="1735"/>
      <c r="J1427" s="1735"/>
      <c r="K1427" s="1735"/>
      <c r="L1427" s="1735"/>
      <c r="M1427" s="1735"/>
      <c r="N1427" s="1735"/>
      <c r="O1427" s="1735"/>
      <c r="P1427" s="1735"/>
      <c r="AL1427" s="561">
        <f>SUM(AL1428:AL1508)</f>
        <v>377369.4</v>
      </c>
      <c r="AM1427" s="561">
        <f t="shared" ref="AM1427:CX1427" si="92">SUM(AM1428:AM1508)</f>
        <v>0</v>
      </c>
      <c r="AN1427" s="561">
        <f t="shared" si="92"/>
        <v>0</v>
      </c>
      <c r="AO1427" s="561">
        <f t="shared" si="92"/>
        <v>0</v>
      </c>
      <c r="AP1427" s="561">
        <f t="shared" si="92"/>
        <v>0</v>
      </c>
      <c r="AQ1427" s="561">
        <f t="shared" si="92"/>
        <v>0</v>
      </c>
      <c r="AR1427" s="561">
        <f t="shared" si="92"/>
        <v>0</v>
      </c>
      <c r="AS1427" s="561">
        <f t="shared" si="92"/>
        <v>0</v>
      </c>
      <c r="AT1427" s="561">
        <f t="shared" si="92"/>
        <v>0</v>
      </c>
      <c r="AU1427" s="561">
        <f t="shared" si="92"/>
        <v>0</v>
      </c>
      <c r="AV1427" s="561">
        <f t="shared" si="92"/>
        <v>0</v>
      </c>
      <c r="AW1427" s="561">
        <f t="shared" si="92"/>
        <v>0</v>
      </c>
      <c r="AX1427" s="561">
        <f t="shared" si="92"/>
        <v>0</v>
      </c>
      <c r="AY1427" s="561">
        <f t="shared" si="92"/>
        <v>0</v>
      </c>
      <c r="AZ1427" s="561">
        <f t="shared" si="92"/>
        <v>0</v>
      </c>
      <c r="BA1427" s="561">
        <f t="shared" si="92"/>
        <v>0</v>
      </c>
      <c r="BB1427" s="561">
        <f t="shared" si="92"/>
        <v>0</v>
      </c>
      <c r="BC1427" s="561">
        <f t="shared" si="92"/>
        <v>0</v>
      </c>
      <c r="BD1427" s="561">
        <f t="shared" si="92"/>
        <v>0</v>
      </c>
      <c r="BE1427" s="561">
        <f t="shared" si="92"/>
        <v>0</v>
      </c>
      <c r="BF1427" s="561">
        <f t="shared" si="92"/>
        <v>0</v>
      </c>
      <c r="BG1427" s="561">
        <f t="shared" si="92"/>
        <v>0</v>
      </c>
      <c r="BH1427" s="561">
        <f t="shared" si="92"/>
        <v>0</v>
      </c>
      <c r="BI1427" s="561">
        <f t="shared" si="92"/>
        <v>0</v>
      </c>
      <c r="BJ1427" s="561">
        <f t="shared" si="92"/>
        <v>0</v>
      </c>
      <c r="BK1427" s="561">
        <f t="shared" si="92"/>
        <v>0</v>
      </c>
      <c r="BL1427" s="561">
        <f t="shared" si="92"/>
        <v>0</v>
      </c>
      <c r="BM1427" s="561">
        <f t="shared" si="92"/>
        <v>0</v>
      </c>
      <c r="BN1427" s="561">
        <f t="shared" si="92"/>
        <v>0</v>
      </c>
      <c r="BO1427" s="561">
        <f t="shared" si="92"/>
        <v>0</v>
      </c>
      <c r="BP1427" s="561">
        <f t="shared" si="92"/>
        <v>0</v>
      </c>
      <c r="BQ1427" s="561">
        <f t="shared" si="92"/>
        <v>0</v>
      </c>
      <c r="BR1427" s="561">
        <f t="shared" si="92"/>
        <v>0</v>
      </c>
      <c r="BS1427" s="561">
        <f t="shared" si="92"/>
        <v>0</v>
      </c>
      <c r="BT1427" s="561">
        <f t="shared" si="92"/>
        <v>0</v>
      </c>
      <c r="BU1427" s="561">
        <f t="shared" si="92"/>
        <v>0</v>
      </c>
      <c r="BV1427" s="561">
        <f t="shared" si="92"/>
        <v>0</v>
      </c>
      <c r="BW1427" s="561">
        <f t="shared" si="92"/>
        <v>0</v>
      </c>
      <c r="BX1427" s="561">
        <f t="shared" si="92"/>
        <v>0</v>
      </c>
      <c r="BY1427" s="561">
        <f t="shared" si="92"/>
        <v>0</v>
      </c>
      <c r="BZ1427" s="561">
        <f t="shared" si="92"/>
        <v>0</v>
      </c>
      <c r="CA1427" s="561">
        <f t="shared" si="92"/>
        <v>0</v>
      </c>
      <c r="CB1427" s="561">
        <f t="shared" si="92"/>
        <v>0</v>
      </c>
      <c r="CC1427" s="561">
        <f t="shared" si="92"/>
        <v>0</v>
      </c>
      <c r="CD1427" s="561">
        <f t="shared" si="92"/>
        <v>0</v>
      </c>
      <c r="CE1427" s="561">
        <f t="shared" si="92"/>
        <v>0</v>
      </c>
      <c r="CF1427" s="561">
        <f t="shared" si="92"/>
        <v>0</v>
      </c>
      <c r="CG1427" s="561">
        <f t="shared" si="92"/>
        <v>0</v>
      </c>
      <c r="CH1427" s="561">
        <f t="shared" si="92"/>
        <v>0</v>
      </c>
      <c r="CI1427" s="561">
        <f t="shared" si="92"/>
        <v>0</v>
      </c>
      <c r="CJ1427" s="561">
        <f t="shared" si="92"/>
        <v>0</v>
      </c>
      <c r="CK1427" s="561">
        <f t="shared" si="92"/>
        <v>0</v>
      </c>
      <c r="CL1427" s="561">
        <f t="shared" si="92"/>
        <v>0</v>
      </c>
      <c r="CM1427" s="561">
        <f t="shared" si="92"/>
        <v>0</v>
      </c>
      <c r="CN1427" s="561">
        <f t="shared" si="92"/>
        <v>0</v>
      </c>
      <c r="CO1427" s="561">
        <f t="shared" si="92"/>
        <v>0</v>
      </c>
      <c r="CP1427" s="561">
        <f t="shared" si="92"/>
        <v>0</v>
      </c>
      <c r="CQ1427" s="561">
        <f t="shared" si="92"/>
        <v>0</v>
      </c>
      <c r="CR1427" s="561">
        <f t="shared" si="92"/>
        <v>0</v>
      </c>
      <c r="CS1427" s="561">
        <f t="shared" si="92"/>
        <v>0</v>
      </c>
      <c r="CT1427" s="561">
        <f t="shared" si="92"/>
        <v>0</v>
      </c>
      <c r="CU1427" s="561">
        <f t="shared" si="92"/>
        <v>0</v>
      </c>
      <c r="CV1427" s="561">
        <f t="shared" si="92"/>
        <v>0</v>
      </c>
      <c r="CW1427" s="561">
        <f t="shared" si="92"/>
        <v>0</v>
      </c>
      <c r="CX1427" s="561">
        <f t="shared" si="92"/>
        <v>0</v>
      </c>
      <c r="CY1427" s="561">
        <f t="shared" ref="CY1427:DG1427" si="93">SUM(CY1428:CY1508)</f>
        <v>0</v>
      </c>
      <c r="CZ1427" s="561">
        <f t="shared" si="93"/>
        <v>0</v>
      </c>
      <c r="DA1427" s="561">
        <f t="shared" si="93"/>
        <v>0</v>
      </c>
      <c r="DB1427" s="561">
        <f t="shared" si="93"/>
        <v>0</v>
      </c>
      <c r="DC1427" s="561">
        <f t="shared" si="93"/>
        <v>0</v>
      </c>
      <c r="DD1427" s="561">
        <f t="shared" si="93"/>
        <v>0</v>
      </c>
      <c r="DE1427" s="561">
        <f t="shared" si="93"/>
        <v>0</v>
      </c>
      <c r="DF1427" s="561">
        <f t="shared" si="93"/>
        <v>0</v>
      </c>
      <c r="DG1427" s="561">
        <f t="shared" si="93"/>
        <v>0</v>
      </c>
    </row>
    <row r="1428" spans="1:111">
      <c r="A1428" s="561">
        <v>1</v>
      </c>
      <c r="B1428" s="561" t="s">
        <v>1388</v>
      </c>
      <c r="C1428" s="561" t="s">
        <v>1267</v>
      </c>
      <c r="D1428" s="561">
        <v>1244796.1000000001</v>
      </c>
      <c r="E1428" s="561">
        <v>359043.9</v>
      </c>
      <c r="F1428" s="561">
        <v>885752.20000000007</v>
      </c>
      <c r="G1428" s="561">
        <v>16747</v>
      </c>
      <c r="H1428" s="561">
        <v>1284566.2</v>
      </c>
      <c r="I1428" s="561">
        <v>930</v>
      </c>
      <c r="J1428" s="561">
        <v>39770.1</v>
      </c>
      <c r="K1428" s="561">
        <v>16694</v>
      </c>
      <c r="L1428" s="561">
        <v>1244796.1000000001</v>
      </c>
      <c r="M1428" s="561">
        <v>1244796.1000000001</v>
      </c>
      <c r="N1428" s="561">
        <v>299254</v>
      </c>
      <c r="O1428" s="561">
        <v>59789.9</v>
      </c>
      <c r="P1428" s="561">
        <v>885752.2</v>
      </c>
    </row>
    <row r="1429" spans="1:111">
      <c r="C1429" s="561" t="s">
        <v>1197</v>
      </c>
      <c r="D1429" s="561">
        <v>1066771.3</v>
      </c>
      <c r="E1429" s="561">
        <v>319500</v>
      </c>
      <c r="F1429" s="561">
        <v>747271.3</v>
      </c>
      <c r="G1429" s="561">
        <v>15189</v>
      </c>
      <c r="H1429" s="561">
        <v>1101959.2</v>
      </c>
      <c r="I1429" s="561">
        <v>879</v>
      </c>
      <c r="J1429" s="561">
        <v>35187.9</v>
      </c>
      <c r="K1429" s="561">
        <v>15139</v>
      </c>
      <c r="L1429" s="561">
        <v>1066771.3</v>
      </c>
      <c r="M1429" s="561">
        <v>1066771.3</v>
      </c>
      <c r="N1429" s="561">
        <v>261385</v>
      </c>
      <c r="O1429" s="561">
        <v>58115</v>
      </c>
    </row>
    <row r="1430" spans="1:111">
      <c r="C1430" s="561" t="s">
        <v>1198</v>
      </c>
      <c r="D1430" s="561">
        <v>72027.7</v>
      </c>
      <c r="E1430" s="561">
        <v>1200</v>
      </c>
      <c r="F1430" s="561">
        <v>70827.7</v>
      </c>
      <c r="G1430" s="561">
        <v>245</v>
      </c>
      <c r="H1430" s="561">
        <v>75887.5</v>
      </c>
      <c r="I1430" s="561">
        <v>28</v>
      </c>
      <c r="J1430" s="561">
        <v>3859.8</v>
      </c>
      <c r="K1430" s="561">
        <v>243</v>
      </c>
      <c r="L1430" s="561">
        <v>72027.7</v>
      </c>
      <c r="M1430" s="561">
        <v>72027.7</v>
      </c>
      <c r="N1430" s="561">
        <v>133.30000000000001</v>
      </c>
      <c r="O1430" s="561">
        <v>1066.7</v>
      </c>
      <c r="AL1430" s="561">
        <v>70827.7</v>
      </c>
    </row>
    <row r="1431" spans="1:111">
      <c r="C1431" s="561" t="s">
        <v>1199</v>
      </c>
      <c r="D1431" s="561">
        <v>105997.1</v>
      </c>
      <c r="E1431" s="561">
        <v>38343.9</v>
      </c>
      <c r="F1431" s="561">
        <v>67653.200000000012</v>
      </c>
      <c r="G1431" s="561">
        <v>1313</v>
      </c>
      <c r="H1431" s="561">
        <v>106719.5</v>
      </c>
      <c r="I1431" s="561">
        <v>23</v>
      </c>
      <c r="J1431" s="561">
        <v>722.4</v>
      </c>
      <c r="K1431" s="561">
        <v>1312</v>
      </c>
      <c r="L1431" s="561">
        <v>105997.1</v>
      </c>
      <c r="M1431" s="561">
        <v>105997.1</v>
      </c>
      <c r="N1431" s="561">
        <v>37735.699999999997</v>
      </c>
      <c r="O1431" s="561">
        <v>608.20000000000005</v>
      </c>
      <c r="P1431" s="561">
        <v>67653.2</v>
      </c>
    </row>
    <row r="1432" spans="1:111">
      <c r="A1432" s="561">
        <v>2</v>
      </c>
      <c r="B1432" s="561" t="s">
        <v>1389</v>
      </c>
      <c r="C1432" s="561" t="s">
        <v>1267</v>
      </c>
      <c r="D1432" s="561">
        <v>364638.7</v>
      </c>
      <c r="E1432" s="561">
        <v>99387.3</v>
      </c>
      <c r="F1432" s="561">
        <v>265251.40000000002</v>
      </c>
      <c r="G1432" s="561">
        <v>5433</v>
      </c>
      <c r="H1432" s="561">
        <v>373069.2</v>
      </c>
      <c r="I1432" s="561">
        <v>133</v>
      </c>
      <c r="J1432" s="561">
        <v>8430.5</v>
      </c>
      <c r="K1432" s="561">
        <v>5422</v>
      </c>
      <c r="L1432" s="561">
        <v>364638.7</v>
      </c>
      <c r="M1432" s="561">
        <v>364638.7</v>
      </c>
      <c r="N1432" s="561">
        <v>99387.3</v>
      </c>
      <c r="P1432" s="561">
        <v>265251.43</v>
      </c>
    </row>
    <row r="1433" spans="1:111">
      <c r="C1433" s="561" t="s">
        <v>1197</v>
      </c>
      <c r="D1433" s="561">
        <v>351447.3</v>
      </c>
      <c r="E1433" s="561">
        <v>95757.3</v>
      </c>
      <c r="F1433" s="561">
        <v>255690</v>
      </c>
      <c r="G1433" s="561">
        <v>4425</v>
      </c>
      <c r="H1433" s="561">
        <v>359839.7</v>
      </c>
      <c r="I1433" s="561">
        <v>126</v>
      </c>
      <c r="J1433" s="561">
        <v>8392.4</v>
      </c>
      <c r="K1433" s="561">
        <v>4414</v>
      </c>
      <c r="L1433" s="561">
        <v>351447.3</v>
      </c>
      <c r="M1433" s="561">
        <v>351447.3</v>
      </c>
      <c r="N1433" s="561">
        <v>95757.3</v>
      </c>
    </row>
    <row r="1434" spans="1:111">
      <c r="C1434" s="561" t="s">
        <v>1199</v>
      </c>
      <c r="D1434" s="561">
        <v>13191.4</v>
      </c>
      <c r="E1434" s="561">
        <v>3630</v>
      </c>
      <c r="F1434" s="561">
        <v>9561.4</v>
      </c>
      <c r="G1434" s="561">
        <v>1008</v>
      </c>
      <c r="H1434" s="561">
        <v>13229.5</v>
      </c>
      <c r="I1434" s="561">
        <v>7</v>
      </c>
      <c r="J1434" s="561">
        <v>38.1</v>
      </c>
      <c r="K1434" s="561">
        <v>1008</v>
      </c>
      <c r="L1434" s="561">
        <v>13191.4</v>
      </c>
      <c r="M1434" s="561">
        <v>13191.4</v>
      </c>
      <c r="N1434" s="561">
        <v>3630</v>
      </c>
      <c r="P1434" s="561">
        <v>9561.4</v>
      </c>
    </row>
    <row r="1435" spans="1:111">
      <c r="A1435" s="561">
        <v>3</v>
      </c>
      <c r="B1435" s="561" t="s">
        <v>1390</v>
      </c>
      <c r="C1435" s="561" t="s">
        <v>1206</v>
      </c>
      <c r="D1435" s="561">
        <v>62758.3</v>
      </c>
      <c r="E1435" s="561">
        <v>17030.400000000001</v>
      </c>
      <c r="F1435" s="561">
        <v>45727.9</v>
      </c>
      <c r="G1435" s="561">
        <v>840</v>
      </c>
      <c r="H1435" s="561">
        <v>63434.5</v>
      </c>
      <c r="I1435" s="561">
        <v>27</v>
      </c>
      <c r="J1435" s="561">
        <v>676.2</v>
      </c>
      <c r="K1435" s="561">
        <v>840</v>
      </c>
      <c r="L1435" s="561">
        <v>62758.3</v>
      </c>
      <c r="M1435" s="561">
        <v>62758.3</v>
      </c>
      <c r="N1435" s="561">
        <v>17030.400000000001</v>
      </c>
      <c r="P1435" s="561">
        <v>45727.9</v>
      </c>
    </row>
    <row r="1436" spans="1:111">
      <c r="C1436" s="561" t="s">
        <v>1197</v>
      </c>
      <c r="D1436" s="561">
        <v>62758.3</v>
      </c>
      <c r="E1436" s="561">
        <v>17030.400000000001</v>
      </c>
      <c r="F1436" s="561">
        <v>45727.9</v>
      </c>
      <c r="G1436" s="561">
        <v>840</v>
      </c>
      <c r="H1436" s="561">
        <v>63434.5</v>
      </c>
      <c r="I1436" s="561">
        <v>27</v>
      </c>
      <c r="J1436" s="561">
        <v>676.2</v>
      </c>
      <c r="K1436" s="561">
        <v>840</v>
      </c>
      <c r="L1436" s="561">
        <v>62758.3</v>
      </c>
      <c r="M1436" s="561">
        <v>62758.3</v>
      </c>
      <c r="N1436" s="561">
        <v>17030.400000000001</v>
      </c>
    </row>
    <row r="1437" spans="1:111">
      <c r="A1437" s="561">
        <v>4</v>
      </c>
      <c r="B1437" s="561" t="s">
        <v>1391</v>
      </c>
      <c r="C1437" s="561" t="s">
        <v>1267</v>
      </c>
      <c r="D1437" s="561">
        <v>835679.1</v>
      </c>
      <c r="E1437" s="561">
        <v>205160.1</v>
      </c>
      <c r="F1437" s="561">
        <v>630519</v>
      </c>
      <c r="G1437" s="561">
        <v>13201</v>
      </c>
      <c r="H1437" s="561">
        <v>856592.8</v>
      </c>
      <c r="I1437" s="561">
        <v>562</v>
      </c>
      <c r="J1437" s="561">
        <v>20913.7</v>
      </c>
      <c r="K1437" s="561">
        <v>13156</v>
      </c>
      <c r="L1437" s="561">
        <v>835679.1</v>
      </c>
      <c r="M1437" s="561">
        <v>835679.1</v>
      </c>
      <c r="N1437" s="561">
        <v>97668.800000000003</v>
      </c>
      <c r="O1437" s="561">
        <v>107491.3</v>
      </c>
      <c r="P1437" s="561">
        <v>630519</v>
      </c>
    </row>
    <row r="1438" spans="1:111">
      <c r="C1438" s="561" t="s">
        <v>1197</v>
      </c>
      <c r="D1438" s="561">
        <v>821840.6</v>
      </c>
      <c r="E1438" s="561">
        <v>202355.1</v>
      </c>
      <c r="F1438" s="561">
        <v>619485.5</v>
      </c>
      <c r="G1438" s="561">
        <v>12108</v>
      </c>
      <c r="H1438" s="561">
        <v>842681.8</v>
      </c>
      <c r="I1438" s="561">
        <v>553</v>
      </c>
      <c r="J1438" s="561">
        <v>20841.2</v>
      </c>
      <c r="K1438" s="561">
        <v>12063</v>
      </c>
      <c r="L1438" s="561">
        <v>821840.6</v>
      </c>
      <c r="M1438" s="561">
        <v>821840.6</v>
      </c>
      <c r="N1438" s="561">
        <v>96236.2</v>
      </c>
      <c r="O1438" s="561">
        <v>106118.9</v>
      </c>
    </row>
    <row r="1439" spans="1:111">
      <c r="C1439" s="561" t="s">
        <v>1199</v>
      </c>
      <c r="D1439" s="561">
        <v>13838.5</v>
      </c>
      <c r="E1439" s="561">
        <v>2805</v>
      </c>
      <c r="F1439" s="561">
        <v>11033.5</v>
      </c>
      <c r="G1439" s="561">
        <v>1093</v>
      </c>
      <c r="H1439" s="561">
        <v>13911</v>
      </c>
      <c r="I1439" s="561">
        <v>9</v>
      </c>
      <c r="J1439" s="561">
        <v>72.5</v>
      </c>
      <c r="K1439" s="561">
        <v>1093</v>
      </c>
      <c r="L1439" s="561">
        <v>13838.5</v>
      </c>
      <c r="M1439" s="561">
        <v>13838.5</v>
      </c>
      <c r="N1439" s="561">
        <v>1432.6</v>
      </c>
      <c r="O1439" s="561">
        <v>1372.4</v>
      </c>
      <c r="P1439" s="561">
        <v>11033.5</v>
      </c>
    </row>
    <row r="1440" spans="1:111">
      <c r="A1440" s="561">
        <v>5</v>
      </c>
      <c r="B1440" s="561" t="s">
        <v>1392</v>
      </c>
      <c r="C1440" s="561" t="s">
        <v>1267</v>
      </c>
      <c r="D1440" s="561">
        <v>144993.5</v>
      </c>
      <c r="E1440" s="561">
        <v>37097.1</v>
      </c>
      <c r="F1440" s="561">
        <v>107896.4</v>
      </c>
      <c r="G1440" s="561">
        <v>2431</v>
      </c>
      <c r="H1440" s="561">
        <v>148031.5</v>
      </c>
      <c r="I1440" s="561">
        <v>82</v>
      </c>
      <c r="J1440" s="561">
        <v>3038</v>
      </c>
      <c r="K1440" s="561">
        <v>2430</v>
      </c>
      <c r="L1440" s="561">
        <v>144993.5</v>
      </c>
      <c r="M1440" s="561">
        <v>144993.5</v>
      </c>
      <c r="N1440" s="561">
        <v>33097.1</v>
      </c>
      <c r="O1440" s="561">
        <v>4000</v>
      </c>
      <c r="P1440" s="561">
        <v>107896.4</v>
      </c>
    </row>
    <row r="1441" spans="1:38">
      <c r="C1441" s="561" t="s">
        <v>1197</v>
      </c>
      <c r="D1441" s="561">
        <v>134793.20000000001</v>
      </c>
      <c r="E1441" s="561">
        <v>36107.1</v>
      </c>
      <c r="F1441" s="561">
        <v>98686.1</v>
      </c>
      <c r="G1441" s="561">
        <v>1765</v>
      </c>
      <c r="H1441" s="561">
        <v>137824.6</v>
      </c>
      <c r="I1441" s="561">
        <v>81</v>
      </c>
      <c r="J1441" s="561">
        <v>3031.4</v>
      </c>
      <c r="K1441" s="561">
        <v>1764</v>
      </c>
      <c r="L1441" s="561">
        <v>134793.20000000001</v>
      </c>
      <c r="M1441" s="561">
        <v>134793.20000000001</v>
      </c>
      <c r="N1441" s="561">
        <v>32107.1</v>
      </c>
      <c r="O1441" s="561">
        <v>4000</v>
      </c>
    </row>
    <row r="1442" spans="1:38">
      <c r="C1442" s="561" t="s">
        <v>1199</v>
      </c>
      <c r="D1442" s="561">
        <v>9464</v>
      </c>
      <c r="E1442" s="561">
        <v>990</v>
      </c>
      <c r="F1442" s="561">
        <v>8474</v>
      </c>
      <c r="G1442" s="561">
        <v>622</v>
      </c>
      <c r="H1442" s="561">
        <v>9470.6</v>
      </c>
      <c r="I1442" s="561">
        <v>1</v>
      </c>
      <c r="J1442" s="561">
        <v>6.6</v>
      </c>
      <c r="K1442" s="561">
        <v>622</v>
      </c>
      <c r="L1442" s="561">
        <v>9464</v>
      </c>
      <c r="M1442" s="561">
        <v>9464</v>
      </c>
      <c r="N1442" s="561">
        <v>990</v>
      </c>
      <c r="P1442" s="561">
        <v>8474</v>
      </c>
    </row>
    <row r="1443" spans="1:38">
      <c r="C1443" s="561" t="s">
        <v>1203</v>
      </c>
      <c r="D1443" s="561">
        <v>736.3</v>
      </c>
      <c r="F1443" s="561">
        <v>736.3</v>
      </c>
      <c r="G1443" s="561">
        <v>44</v>
      </c>
      <c r="H1443" s="561">
        <v>736.3</v>
      </c>
      <c r="K1443" s="561">
        <v>44</v>
      </c>
      <c r="L1443" s="561">
        <v>736.3</v>
      </c>
      <c r="M1443" s="561">
        <v>736.3</v>
      </c>
      <c r="P1443" s="561">
        <v>736.3</v>
      </c>
    </row>
    <row r="1444" spans="1:38">
      <c r="A1444" s="561">
        <v>6</v>
      </c>
      <c r="B1444" s="561" t="s">
        <v>1393</v>
      </c>
      <c r="C1444" s="561" t="s">
        <v>1267</v>
      </c>
      <c r="D1444" s="561">
        <v>659885.30000000005</v>
      </c>
      <c r="E1444" s="561">
        <v>184056</v>
      </c>
      <c r="F1444" s="561">
        <v>475829.30000000005</v>
      </c>
      <c r="G1444" s="561">
        <v>3004</v>
      </c>
      <c r="H1444" s="561">
        <v>708814</v>
      </c>
      <c r="I1444" s="561">
        <v>242</v>
      </c>
      <c r="J1444" s="561">
        <v>48928.7</v>
      </c>
      <c r="K1444" s="561">
        <v>2984</v>
      </c>
      <c r="L1444" s="561">
        <v>659885.30000000005</v>
      </c>
      <c r="M1444" s="561">
        <v>659885.30000000005</v>
      </c>
      <c r="N1444" s="561">
        <v>171406.6</v>
      </c>
      <c r="O1444" s="561">
        <v>12649.4</v>
      </c>
      <c r="P1444" s="561">
        <v>475829.3</v>
      </c>
    </row>
    <row r="1445" spans="1:38">
      <c r="C1445" s="561" t="s">
        <v>1197</v>
      </c>
      <c r="D1445" s="561">
        <v>341918.7</v>
      </c>
      <c r="E1445" s="561">
        <v>172631.1</v>
      </c>
      <c r="F1445" s="561">
        <v>169287.6</v>
      </c>
      <c r="G1445" s="561">
        <v>2748</v>
      </c>
      <c r="H1445" s="561">
        <v>356066.3</v>
      </c>
      <c r="I1445" s="561">
        <v>205</v>
      </c>
      <c r="J1445" s="561">
        <v>14147.6</v>
      </c>
      <c r="K1445" s="561">
        <v>2733</v>
      </c>
      <c r="L1445" s="561">
        <v>341918.7</v>
      </c>
      <c r="M1445" s="561">
        <v>341918.7</v>
      </c>
      <c r="N1445" s="561">
        <v>161139</v>
      </c>
      <c r="O1445" s="561">
        <v>11492.1</v>
      </c>
    </row>
    <row r="1446" spans="1:38">
      <c r="C1446" s="561" t="s">
        <v>1198</v>
      </c>
      <c r="D1446" s="561">
        <v>317966.59999999998</v>
      </c>
      <c r="E1446" s="561">
        <v>11424.9</v>
      </c>
      <c r="F1446" s="561">
        <v>306541.69999999995</v>
      </c>
      <c r="G1446" s="561">
        <v>256</v>
      </c>
      <c r="H1446" s="561">
        <v>352747.7</v>
      </c>
      <c r="I1446" s="561">
        <v>37</v>
      </c>
      <c r="J1446" s="561">
        <v>34781.1</v>
      </c>
      <c r="K1446" s="561">
        <v>251</v>
      </c>
      <c r="L1446" s="561">
        <v>317966.59999999998</v>
      </c>
      <c r="M1446" s="561">
        <v>317966.59999999998</v>
      </c>
      <c r="N1446" s="561">
        <v>10267.6</v>
      </c>
      <c r="O1446" s="561">
        <v>1157.3</v>
      </c>
      <c r="AL1446" s="561">
        <v>306541.7</v>
      </c>
    </row>
    <row r="1447" spans="1:38">
      <c r="A1447" s="561">
        <v>7</v>
      </c>
      <c r="B1447" s="561" t="s">
        <v>1394</v>
      </c>
      <c r="C1447" s="561" t="s">
        <v>1267</v>
      </c>
      <c r="D1447" s="561">
        <v>261982.5</v>
      </c>
      <c r="E1447" s="561">
        <v>60426.3</v>
      </c>
      <c r="F1447" s="561">
        <v>201556.2</v>
      </c>
      <c r="G1447" s="561">
        <v>5746</v>
      </c>
      <c r="H1447" s="561">
        <v>268065.59999999998</v>
      </c>
      <c r="I1447" s="561">
        <v>217</v>
      </c>
      <c r="J1447" s="561">
        <v>6083.3</v>
      </c>
      <c r="K1447" s="561">
        <v>5744</v>
      </c>
      <c r="L1447" s="561">
        <v>261982.4</v>
      </c>
      <c r="M1447" s="561">
        <v>261982.4</v>
      </c>
      <c r="N1447" s="561">
        <v>28603.8</v>
      </c>
      <c r="O1447" s="561">
        <v>31822.5</v>
      </c>
      <c r="P1447" s="561">
        <v>201556.1</v>
      </c>
    </row>
    <row r="1448" spans="1:38">
      <c r="C1448" s="561" t="s">
        <v>1197</v>
      </c>
      <c r="D1448" s="561">
        <v>254797.4</v>
      </c>
      <c r="E1448" s="561">
        <v>58776.3</v>
      </c>
      <c r="F1448" s="561">
        <v>196021.09999999998</v>
      </c>
      <c r="G1448" s="561">
        <v>5184</v>
      </c>
      <c r="H1448" s="561">
        <v>260796.5</v>
      </c>
      <c r="I1448" s="561">
        <v>198</v>
      </c>
      <c r="J1448" s="561">
        <v>5999.3</v>
      </c>
      <c r="K1448" s="561">
        <v>5182</v>
      </c>
      <c r="L1448" s="561">
        <v>254797.3</v>
      </c>
      <c r="M1448" s="561">
        <v>254797.3</v>
      </c>
      <c r="N1448" s="561">
        <v>27808.7</v>
      </c>
      <c r="O1448" s="561">
        <v>30967.599999999999</v>
      </c>
    </row>
    <row r="1449" spans="1:38">
      <c r="C1449" s="561" t="s">
        <v>1199</v>
      </c>
      <c r="D1449" s="561">
        <v>7185.1</v>
      </c>
      <c r="E1449" s="561">
        <v>1650</v>
      </c>
      <c r="F1449" s="561">
        <v>5535.1</v>
      </c>
      <c r="G1449" s="561">
        <v>562</v>
      </c>
      <c r="H1449" s="561">
        <v>7269.1</v>
      </c>
      <c r="I1449" s="561">
        <v>19</v>
      </c>
      <c r="J1449" s="561">
        <v>84</v>
      </c>
      <c r="K1449" s="561">
        <v>562</v>
      </c>
      <c r="L1449" s="561">
        <v>7185.1</v>
      </c>
      <c r="M1449" s="561">
        <v>7185.1</v>
      </c>
      <c r="N1449" s="561">
        <v>795.1</v>
      </c>
      <c r="O1449" s="561">
        <v>854.9</v>
      </c>
      <c r="P1449" s="561">
        <v>5535.1</v>
      </c>
    </row>
    <row r="1450" spans="1:38">
      <c r="A1450" s="561">
        <v>8</v>
      </c>
      <c r="B1450" s="561" t="s">
        <v>1395</v>
      </c>
      <c r="C1450" s="561" t="s">
        <v>1267</v>
      </c>
      <c r="D1450" s="561">
        <v>188094.5</v>
      </c>
      <c r="E1450" s="561">
        <v>50460.9</v>
      </c>
      <c r="F1450" s="561">
        <v>137633.60000000001</v>
      </c>
      <c r="G1450" s="561">
        <v>4088</v>
      </c>
      <c r="H1450" s="561">
        <v>194824.6</v>
      </c>
      <c r="I1450" s="561">
        <v>242</v>
      </c>
      <c r="J1450" s="561">
        <v>6730</v>
      </c>
      <c r="K1450" s="561">
        <v>4079</v>
      </c>
      <c r="L1450" s="561">
        <v>188094.5</v>
      </c>
      <c r="M1450" s="561">
        <v>188094.5</v>
      </c>
      <c r="N1450" s="561">
        <v>50460.9</v>
      </c>
      <c r="P1450" s="561">
        <v>137633.60000000001</v>
      </c>
    </row>
    <row r="1451" spans="1:38">
      <c r="C1451" s="561" t="s">
        <v>1197</v>
      </c>
      <c r="D1451" s="561">
        <v>153695.9</v>
      </c>
      <c r="E1451" s="561">
        <v>43860.9</v>
      </c>
      <c r="F1451" s="561">
        <v>109835</v>
      </c>
      <c r="G1451" s="561">
        <v>1930</v>
      </c>
      <c r="H1451" s="561">
        <v>160038.6</v>
      </c>
      <c r="I1451" s="561">
        <v>193</v>
      </c>
      <c r="J1451" s="561">
        <v>6342.6</v>
      </c>
      <c r="K1451" s="561">
        <v>1921</v>
      </c>
      <c r="L1451" s="561">
        <v>153695.9</v>
      </c>
      <c r="M1451" s="561">
        <v>153695.9</v>
      </c>
      <c r="N1451" s="561">
        <v>43860.9</v>
      </c>
    </row>
    <row r="1452" spans="1:38">
      <c r="C1452" s="561" t="s">
        <v>1199</v>
      </c>
      <c r="D1452" s="561">
        <v>34398.6</v>
      </c>
      <c r="E1452" s="561">
        <v>6600</v>
      </c>
      <c r="F1452" s="561">
        <v>27798.6</v>
      </c>
      <c r="G1452" s="561">
        <v>2158</v>
      </c>
      <c r="H1452" s="561">
        <v>34786</v>
      </c>
      <c r="I1452" s="561">
        <v>49</v>
      </c>
      <c r="J1452" s="561">
        <v>387.4</v>
      </c>
      <c r="K1452" s="561">
        <v>2158</v>
      </c>
      <c r="L1452" s="561">
        <v>34398.6</v>
      </c>
      <c r="M1452" s="561">
        <v>34398.6</v>
      </c>
      <c r="N1452" s="561">
        <v>6600</v>
      </c>
      <c r="P1452" s="561">
        <v>27798.6</v>
      </c>
    </row>
    <row r="1453" spans="1:38">
      <c r="A1453" s="561">
        <v>9</v>
      </c>
      <c r="B1453" s="561" t="s">
        <v>1396</v>
      </c>
      <c r="C1453" s="561" t="s">
        <v>1267</v>
      </c>
      <c r="D1453" s="561">
        <v>264820.90999999997</v>
      </c>
      <c r="E1453" s="561">
        <v>73008</v>
      </c>
      <c r="F1453" s="561">
        <v>191812.90999999997</v>
      </c>
      <c r="G1453" s="561">
        <v>4585</v>
      </c>
      <c r="H1453" s="561">
        <v>283697.90000000002</v>
      </c>
      <c r="I1453" s="561">
        <v>490</v>
      </c>
      <c r="J1453" s="561">
        <v>18877</v>
      </c>
      <c r="K1453" s="561">
        <v>4558</v>
      </c>
      <c r="L1453" s="561">
        <v>264820.90999999997</v>
      </c>
      <c r="M1453" s="561">
        <v>264820.90999999997</v>
      </c>
      <c r="N1453" s="561">
        <v>73008</v>
      </c>
      <c r="P1453" s="561">
        <v>191812.9</v>
      </c>
    </row>
    <row r="1454" spans="1:38">
      <c r="C1454" s="561" t="s">
        <v>1197</v>
      </c>
      <c r="D1454" s="561">
        <v>263765.59999999998</v>
      </c>
      <c r="E1454" s="561">
        <v>72183</v>
      </c>
      <c r="F1454" s="561">
        <v>191582.59999999998</v>
      </c>
      <c r="G1454" s="561">
        <v>4518</v>
      </c>
      <c r="H1454" s="561">
        <v>282625.3</v>
      </c>
      <c r="I1454" s="561">
        <v>489</v>
      </c>
      <c r="J1454" s="561">
        <v>18859.7</v>
      </c>
      <c r="K1454" s="561">
        <v>4491</v>
      </c>
      <c r="L1454" s="561">
        <v>263765.59999999998</v>
      </c>
      <c r="M1454" s="561">
        <v>263765.59999999998</v>
      </c>
      <c r="N1454" s="561">
        <v>72183</v>
      </c>
      <c r="P1454" s="561">
        <v>191582.6</v>
      </c>
    </row>
    <row r="1455" spans="1:38">
      <c r="C1455" s="561" t="s">
        <v>1199</v>
      </c>
      <c r="D1455" s="561">
        <v>1055.3</v>
      </c>
      <c r="E1455" s="561">
        <v>825</v>
      </c>
      <c r="F1455" s="561">
        <v>230.29999999999995</v>
      </c>
      <c r="G1455" s="561">
        <v>67</v>
      </c>
      <c r="H1455" s="561">
        <v>1072.5999999999999</v>
      </c>
      <c r="I1455" s="561">
        <v>1</v>
      </c>
      <c r="J1455" s="561">
        <v>17.3</v>
      </c>
      <c r="K1455" s="561">
        <v>67</v>
      </c>
      <c r="L1455" s="561">
        <v>1055.3</v>
      </c>
      <c r="M1455" s="561">
        <v>1055.3</v>
      </c>
      <c r="N1455" s="561">
        <v>825</v>
      </c>
      <c r="P1455" s="561">
        <v>230.3</v>
      </c>
    </row>
    <row r="1456" spans="1:38">
      <c r="A1456" s="561">
        <v>10</v>
      </c>
      <c r="B1456" s="561" t="s">
        <v>1397</v>
      </c>
      <c r="C1456" s="561" t="s">
        <v>1267</v>
      </c>
      <c r="D1456" s="561">
        <v>164658.6</v>
      </c>
      <c r="E1456" s="561">
        <v>47817</v>
      </c>
      <c r="F1456" s="561">
        <v>116841.60000000001</v>
      </c>
      <c r="G1456" s="561">
        <v>3879</v>
      </c>
      <c r="H1456" s="561">
        <v>173959.5</v>
      </c>
      <c r="I1456" s="561">
        <v>298</v>
      </c>
      <c r="J1456" s="561">
        <v>9300.9</v>
      </c>
      <c r="K1456" s="561">
        <v>3864</v>
      </c>
      <c r="L1456" s="561">
        <v>164658.6</v>
      </c>
      <c r="M1456" s="561">
        <v>164658.6</v>
      </c>
      <c r="N1456" s="561">
        <v>47817</v>
      </c>
      <c r="P1456" s="561">
        <v>116841.60000000001</v>
      </c>
    </row>
    <row r="1457" spans="1:16">
      <c r="C1457" s="561" t="s">
        <v>1197</v>
      </c>
      <c r="D1457" s="561">
        <v>141153.9</v>
      </c>
      <c r="E1457" s="561">
        <v>42867</v>
      </c>
      <c r="F1457" s="561">
        <v>98286.9</v>
      </c>
      <c r="G1457" s="561">
        <v>2314</v>
      </c>
      <c r="H1457" s="561">
        <v>150053.1</v>
      </c>
      <c r="I1457" s="561">
        <v>238</v>
      </c>
      <c r="J1457" s="561">
        <v>8899.2000000000007</v>
      </c>
      <c r="K1457" s="561">
        <v>2299</v>
      </c>
      <c r="L1457" s="561">
        <v>141153.9</v>
      </c>
      <c r="M1457" s="561">
        <v>141153.9</v>
      </c>
      <c r="N1457" s="561">
        <v>42867</v>
      </c>
    </row>
    <row r="1458" spans="1:16">
      <c r="C1458" s="561" t="s">
        <v>1199</v>
      </c>
      <c r="D1458" s="561">
        <v>23504.7</v>
      </c>
      <c r="E1458" s="561">
        <v>4950</v>
      </c>
      <c r="F1458" s="561">
        <v>18554.7</v>
      </c>
      <c r="G1458" s="561">
        <v>1565</v>
      </c>
      <c r="H1458" s="561">
        <v>23906.400000000001</v>
      </c>
      <c r="I1458" s="561">
        <v>60</v>
      </c>
      <c r="J1458" s="561">
        <v>401.7</v>
      </c>
      <c r="K1458" s="561">
        <v>1565</v>
      </c>
      <c r="L1458" s="561">
        <v>23504.7</v>
      </c>
      <c r="M1458" s="561">
        <v>23504.7</v>
      </c>
      <c r="N1458" s="561">
        <v>4950</v>
      </c>
      <c r="P1458" s="561">
        <v>18554.7</v>
      </c>
    </row>
    <row r="1459" spans="1:16">
      <c r="A1459" s="561">
        <v>11</v>
      </c>
      <c r="B1459" s="561" t="s">
        <v>1398</v>
      </c>
      <c r="C1459" s="561" t="s">
        <v>1267</v>
      </c>
      <c r="D1459" s="561">
        <v>89823.7</v>
      </c>
      <c r="E1459" s="561">
        <v>26842.2</v>
      </c>
      <c r="F1459" s="561">
        <v>62981.5</v>
      </c>
      <c r="G1459" s="561">
        <v>2078</v>
      </c>
      <c r="H1459" s="561">
        <v>94931.7</v>
      </c>
      <c r="I1459" s="561">
        <v>142</v>
      </c>
      <c r="J1459" s="561">
        <v>5108</v>
      </c>
      <c r="K1459" s="561">
        <v>2073</v>
      </c>
      <c r="L1459" s="561">
        <v>89823.7</v>
      </c>
      <c r="M1459" s="561">
        <v>89823.7</v>
      </c>
      <c r="N1459" s="561">
        <v>26842.2</v>
      </c>
      <c r="P1459" s="561">
        <v>62981.5</v>
      </c>
    </row>
    <row r="1460" spans="1:16">
      <c r="C1460" s="561" t="s">
        <v>1197</v>
      </c>
      <c r="D1460" s="561">
        <v>79374.2</v>
      </c>
      <c r="E1460" s="561">
        <v>23872.2</v>
      </c>
      <c r="F1460" s="561">
        <v>55502</v>
      </c>
      <c r="G1460" s="561">
        <v>1377</v>
      </c>
      <c r="H1460" s="561">
        <v>84153.2</v>
      </c>
      <c r="I1460" s="561">
        <v>117</v>
      </c>
      <c r="J1460" s="561">
        <v>4779</v>
      </c>
      <c r="K1460" s="561">
        <v>1373</v>
      </c>
      <c r="L1460" s="561">
        <v>79374.2</v>
      </c>
      <c r="M1460" s="561">
        <v>79374.2</v>
      </c>
      <c r="N1460" s="561">
        <v>23872.2</v>
      </c>
    </row>
    <row r="1461" spans="1:16">
      <c r="C1461" s="561" t="s">
        <v>1199</v>
      </c>
      <c r="D1461" s="561">
        <v>10449.5</v>
      </c>
      <c r="E1461" s="561">
        <v>2970</v>
      </c>
      <c r="F1461" s="561">
        <v>7479.5</v>
      </c>
      <c r="G1461" s="561">
        <v>701</v>
      </c>
      <c r="H1461" s="561">
        <v>10778.5</v>
      </c>
      <c r="I1461" s="561">
        <v>25</v>
      </c>
      <c r="J1461" s="561">
        <v>329</v>
      </c>
      <c r="K1461" s="561">
        <v>700</v>
      </c>
      <c r="L1461" s="561">
        <v>10449.5</v>
      </c>
      <c r="M1461" s="561">
        <v>10449.5</v>
      </c>
      <c r="N1461" s="561">
        <v>2970</v>
      </c>
      <c r="P1461" s="561">
        <v>7479.5</v>
      </c>
    </row>
    <row r="1462" spans="1:16">
      <c r="A1462" s="561">
        <v>12</v>
      </c>
      <c r="B1462" s="561" t="s">
        <v>1399</v>
      </c>
      <c r="C1462" s="561" t="s">
        <v>1267</v>
      </c>
      <c r="D1462" s="561">
        <v>100842.8</v>
      </c>
      <c r="E1462" s="561">
        <v>28768.5</v>
      </c>
      <c r="F1462" s="561">
        <v>72074.3</v>
      </c>
      <c r="G1462" s="561">
        <v>2641</v>
      </c>
      <c r="H1462" s="561">
        <v>107843.5</v>
      </c>
      <c r="I1462" s="561">
        <v>222</v>
      </c>
      <c r="J1462" s="561">
        <v>7000.7</v>
      </c>
      <c r="K1462" s="561">
        <v>2633</v>
      </c>
      <c r="L1462" s="561">
        <v>100842.8</v>
      </c>
      <c r="M1462" s="561">
        <v>100842.8</v>
      </c>
      <c r="N1462" s="561">
        <v>28768.5</v>
      </c>
      <c r="P1462" s="561">
        <v>72074.3</v>
      </c>
    </row>
    <row r="1463" spans="1:16">
      <c r="C1463" s="561" t="s">
        <v>1197</v>
      </c>
      <c r="D1463" s="561">
        <v>82108.600000000006</v>
      </c>
      <c r="E1463" s="561">
        <v>24808.5</v>
      </c>
      <c r="F1463" s="561">
        <v>57300.100000000006</v>
      </c>
      <c r="G1463" s="561">
        <v>1410</v>
      </c>
      <c r="H1463" s="561">
        <v>88783.9</v>
      </c>
      <c r="I1463" s="561">
        <v>189</v>
      </c>
      <c r="J1463" s="561">
        <v>6675.3</v>
      </c>
      <c r="K1463" s="561">
        <v>1404</v>
      </c>
      <c r="L1463" s="561">
        <v>82108.600000000006</v>
      </c>
      <c r="M1463" s="561">
        <v>82108.600000000006</v>
      </c>
      <c r="N1463" s="561">
        <v>24808.5</v>
      </c>
    </row>
    <row r="1464" spans="1:16">
      <c r="C1464" s="561" t="s">
        <v>1199</v>
      </c>
      <c r="D1464" s="561">
        <v>18734.2</v>
      </c>
      <c r="E1464" s="561">
        <v>3960</v>
      </c>
      <c r="F1464" s="561">
        <v>14774.2</v>
      </c>
      <c r="G1464" s="561">
        <v>1231</v>
      </c>
      <c r="H1464" s="561">
        <v>19059.599999999999</v>
      </c>
      <c r="I1464" s="561">
        <v>33</v>
      </c>
      <c r="J1464" s="561">
        <v>325.39999999999998</v>
      </c>
      <c r="K1464" s="561">
        <v>1229</v>
      </c>
      <c r="L1464" s="561">
        <v>18734.2</v>
      </c>
      <c r="M1464" s="561">
        <v>18734.2</v>
      </c>
      <c r="N1464" s="561">
        <v>3960</v>
      </c>
      <c r="P1464" s="561">
        <v>14774.2</v>
      </c>
    </row>
    <row r="1465" spans="1:16">
      <c r="A1465" s="561">
        <v>13</v>
      </c>
      <c r="B1465" s="561" t="s">
        <v>1400</v>
      </c>
      <c r="C1465" s="561" t="s">
        <v>1267</v>
      </c>
      <c r="D1465" s="561">
        <v>96584.7</v>
      </c>
      <c r="E1465" s="561">
        <v>29319</v>
      </c>
      <c r="F1465" s="561">
        <v>67265.7</v>
      </c>
      <c r="G1465" s="561">
        <v>2464</v>
      </c>
      <c r="H1465" s="561">
        <v>102440.9</v>
      </c>
      <c r="I1465" s="561">
        <v>217</v>
      </c>
      <c r="J1465" s="561">
        <v>5856.2</v>
      </c>
      <c r="K1465" s="561">
        <v>2449</v>
      </c>
      <c r="L1465" s="561">
        <v>96584.7</v>
      </c>
      <c r="M1465" s="561">
        <v>96584.7</v>
      </c>
      <c r="N1465" s="561">
        <v>29319</v>
      </c>
      <c r="P1465" s="561">
        <v>67265.7</v>
      </c>
    </row>
    <row r="1466" spans="1:16">
      <c r="C1466" s="561" t="s">
        <v>1197</v>
      </c>
      <c r="D1466" s="561">
        <v>79475</v>
      </c>
      <c r="E1466" s="561">
        <v>26019</v>
      </c>
      <c r="F1466" s="561">
        <v>53456</v>
      </c>
      <c r="G1466" s="561">
        <v>1305</v>
      </c>
      <c r="H1466" s="561">
        <v>84954.9</v>
      </c>
      <c r="I1466" s="561">
        <v>155</v>
      </c>
      <c r="J1466" s="561">
        <v>5479.9</v>
      </c>
      <c r="K1466" s="561">
        <v>1292</v>
      </c>
      <c r="L1466" s="561">
        <v>79475</v>
      </c>
      <c r="M1466" s="561">
        <v>79475</v>
      </c>
      <c r="N1466" s="561">
        <v>26019</v>
      </c>
    </row>
    <row r="1467" spans="1:16">
      <c r="C1467" s="561" t="s">
        <v>1199</v>
      </c>
      <c r="D1467" s="561">
        <v>17109.7</v>
      </c>
      <c r="E1467" s="561">
        <v>3300</v>
      </c>
      <c r="F1467" s="561">
        <v>13809.7</v>
      </c>
      <c r="G1467" s="561">
        <v>1159</v>
      </c>
      <c r="H1467" s="561">
        <v>17486</v>
      </c>
      <c r="I1467" s="561">
        <v>62</v>
      </c>
      <c r="J1467" s="561">
        <v>376.3</v>
      </c>
      <c r="K1467" s="561">
        <v>1157</v>
      </c>
      <c r="L1467" s="561">
        <v>17109.7</v>
      </c>
      <c r="M1467" s="561">
        <v>17109.7</v>
      </c>
      <c r="N1467" s="561">
        <v>3300</v>
      </c>
      <c r="P1467" s="561">
        <v>13809.7</v>
      </c>
    </row>
    <row r="1468" spans="1:16">
      <c r="A1468" s="561">
        <v>14</v>
      </c>
      <c r="B1468" s="561" t="s">
        <v>1401</v>
      </c>
      <c r="C1468" s="561" t="s">
        <v>1267</v>
      </c>
      <c r="D1468" s="561">
        <v>65445</v>
      </c>
      <c r="E1468" s="561">
        <v>21378.9</v>
      </c>
      <c r="F1468" s="561">
        <v>44066.1</v>
      </c>
      <c r="G1468" s="561">
        <v>1599</v>
      </c>
      <c r="H1468" s="561">
        <v>68617.8</v>
      </c>
      <c r="I1468" s="561">
        <v>115</v>
      </c>
      <c r="J1468" s="561">
        <v>3172.8</v>
      </c>
      <c r="K1468" s="561">
        <v>1594</v>
      </c>
      <c r="L1468" s="561">
        <v>65445</v>
      </c>
      <c r="M1468" s="561">
        <v>65445</v>
      </c>
      <c r="N1468" s="561">
        <v>21378.9</v>
      </c>
      <c r="P1468" s="561">
        <v>44066.1</v>
      </c>
    </row>
    <row r="1469" spans="1:16">
      <c r="C1469" s="561" t="s">
        <v>1197</v>
      </c>
      <c r="D1469" s="561">
        <v>57541.8</v>
      </c>
      <c r="E1469" s="561">
        <v>19728.900000000001</v>
      </c>
      <c r="F1469" s="561">
        <v>37812.9</v>
      </c>
      <c r="G1469" s="561">
        <v>998</v>
      </c>
      <c r="H1469" s="561">
        <v>60378.3</v>
      </c>
      <c r="I1469" s="561">
        <v>71</v>
      </c>
      <c r="J1469" s="561">
        <v>2836.5</v>
      </c>
      <c r="K1469" s="561">
        <v>994</v>
      </c>
      <c r="L1469" s="561">
        <v>57541.8</v>
      </c>
      <c r="M1469" s="561">
        <v>57541.8</v>
      </c>
      <c r="N1469" s="561">
        <v>19728.900000000001</v>
      </c>
    </row>
    <row r="1470" spans="1:16">
      <c r="C1470" s="561" t="s">
        <v>1199</v>
      </c>
      <c r="D1470" s="561">
        <v>7903.2</v>
      </c>
      <c r="E1470" s="561">
        <v>1650</v>
      </c>
      <c r="F1470" s="561">
        <v>6253.2</v>
      </c>
      <c r="G1470" s="561">
        <v>601</v>
      </c>
      <c r="H1470" s="561">
        <v>8239.5</v>
      </c>
      <c r="I1470" s="561">
        <v>44</v>
      </c>
      <c r="J1470" s="561">
        <v>336.3</v>
      </c>
      <c r="K1470" s="561">
        <v>600</v>
      </c>
      <c r="L1470" s="561">
        <v>7903.2</v>
      </c>
      <c r="M1470" s="561">
        <v>7903.2</v>
      </c>
      <c r="N1470" s="561">
        <v>1650</v>
      </c>
      <c r="P1470" s="561">
        <v>6253.2</v>
      </c>
    </row>
    <row r="1471" spans="1:16">
      <c r="A1471" s="561">
        <v>15</v>
      </c>
      <c r="B1471" s="561" t="s">
        <v>1402</v>
      </c>
      <c r="C1471" s="561" t="s">
        <v>1267</v>
      </c>
      <c r="D1471" s="561">
        <v>272770.5</v>
      </c>
      <c r="E1471" s="561">
        <v>68292</v>
      </c>
      <c r="F1471" s="561">
        <v>204478.5</v>
      </c>
      <c r="G1471" s="561">
        <v>6624</v>
      </c>
      <c r="H1471" s="561">
        <v>293203.8</v>
      </c>
      <c r="I1471" s="561">
        <v>692</v>
      </c>
      <c r="J1471" s="561">
        <v>20433.3</v>
      </c>
      <c r="K1471" s="561">
        <v>6590</v>
      </c>
      <c r="L1471" s="561">
        <v>272770.5</v>
      </c>
      <c r="M1471" s="561">
        <v>272770.5</v>
      </c>
      <c r="N1471" s="561">
        <v>37024.400000000001</v>
      </c>
      <c r="O1471" s="561">
        <v>31267.599999999999</v>
      </c>
      <c r="P1471" s="561">
        <v>204478.5</v>
      </c>
    </row>
    <row r="1472" spans="1:16">
      <c r="C1472" s="561" t="s">
        <v>1197</v>
      </c>
      <c r="D1472" s="561">
        <v>236350.7</v>
      </c>
      <c r="E1472" s="561">
        <v>60042</v>
      </c>
      <c r="F1472" s="561">
        <v>176308.7</v>
      </c>
      <c r="G1472" s="561">
        <v>4243</v>
      </c>
      <c r="H1472" s="561">
        <v>254682.5</v>
      </c>
      <c r="I1472" s="561">
        <v>517</v>
      </c>
      <c r="J1472" s="561">
        <v>18331.8</v>
      </c>
      <c r="K1472" s="561">
        <v>4218</v>
      </c>
      <c r="L1472" s="561">
        <v>236350.7</v>
      </c>
      <c r="M1472" s="561">
        <v>236350.7</v>
      </c>
      <c r="N1472" s="561">
        <v>32871.4</v>
      </c>
      <c r="O1472" s="561">
        <v>27170.6</v>
      </c>
    </row>
    <row r="1473" spans="1:16">
      <c r="C1473" s="561" t="s">
        <v>1199</v>
      </c>
      <c r="D1473" s="561">
        <v>36419.800000000003</v>
      </c>
      <c r="E1473" s="561">
        <v>8250</v>
      </c>
      <c r="F1473" s="561">
        <v>28169.800000000003</v>
      </c>
      <c r="G1473" s="561">
        <v>2381</v>
      </c>
      <c r="H1473" s="561">
        <v>38521.300000000003</v>
      </c>
      <c r="I1473" s="561">
        <v>175</v>
      </c>
      <c r="J1473" s="561">
        <v>2101.5</v>
      </c>
      <c r="K1473" s="561">
        <v>2372</v>
      </c>
      <c r="L1473" s="561">
        <v>36419.800000000003</v>
      </c>
      <c r="M1473" s="561">
        <v>36419.800000000003</v>
      </c>
      <c r="N1473" s="561">
        <v>4153</v>
      </c>
      <c r="O1473" s="561">
        <v>4097</v>
      </c>
      <c r="P1473" s="561">
        <v>28169.8</v>
      </c>
    </row>
    <row r="1474" spans="1:16">
      <c r="A1474" s="561">
        <v>16</v>
      </c>
      <c r="B1474" s="561" t="s">
        <v>1403</v>
      </c>
      <c r="C1474" s="561" t="s">
        <v>1267</v>
      </c>
      <c r="D1474" s="561">
        <v>120502.39999999999</v>
      </c>
      <c r="E1474" s="561">
        <v>36980.1</v>
      </c>
      <c r="F1474" s="561">
        <v>83522.299999999988</v>
      </c>
      <c r="G1474" s="561">
        <v>2477</v>
      </c>
      <c r="H1474" s="561">
        <v>124691.6</v>
      </c>
      <c r="I1474" s="561">
        <v>131</v>
      </c>
      <c r="J1474" s="561">
        <v>4189.2</v>
      </c>
      <c r="K1474" s="561">
        <v>2468</v>
      </c>
      <c r="L1474" s="561">
        <v>120502.39999999999</v>
      </c>
      <c r="M1474" s="561">
        <v>120502.39999999999</v>
      </c>
      <c r="N1474" s="561">
        <v>32578.2</v>
      </c>
      <c r="O1474" s="561">
        <v>4401.8999999999996</v>
      </c>
      <c r="P1474" s="561">
        <v>83522.3</v>
      </c>
    </row>
    <row r="1475" spans="1:16">
      <c r="C1475" s="561" t="s">
        <v>1197</v>
      </c>
      <c r="D1475" s="561">
        <v>115913.60000000001</v>
      </c>
      <c r="E1475" s="561">
        <v>35330.1</v>
      </c>
      <c r="F1475" s="561">
        <v>80583.5</v>
      </c>
      <c r="G1475" s="561">
        <v>2101</v>
      </c>
      <c r="H1475" s="561">
        <v>120082.8</v>
      </c>
      <c r="I1475" s="561">
        <v>125</v>
      </c>
      <c r="J1475" s="561">
        <v>4169.2</v>
      </c>
      <c r="K1475" s="561">
        <v>2092</v>
      </c>
      <c r="L1475" s="561">
        <v>115913.60000000001</v>
      </c>
      <c r="M1475" s="561">
        <v>115913.60000000001</v>
      </c>
      <c r="N1475" s="561">
        <v>31105.3</v>
      </c>
      <c r="O1475" s="561">
        <v>4224.8</v>
      </c>
    </row>
    <row r="1476" spans="1:16">
      <c r="C1476" s="561" t="s">
        <v>1199</v>
      </c>
      <c r="D1476" s="561">
        <v>4588.8</v>
      </c>
      <c r="E1476" s="561">
        <v>1650</v>
      </c>
      <c r="F1476" s="561">
        <v>2938.8</v>
      </c>
      <c r="G1476" s="561">
        <v>376</v>
      </c>
      <c r="H1476" s="561">
        <v>4608.8</v>
      </c>
      <c r="I1476" s="561">
        <v>6</v>
      </c>
      <c r="J1476" s="561">
        <v>20</v>
      </c>
      <c r="K1476" s="561">
        <v>376</v>
      </c>
      <c r="L1476" s="561">
        <v>4588.8</v>
      </c>
      <c r="M1476" s="561">
        <v>4588.8</v>
      </c>
      <c r="N1476" s="561">
        <v>1472.9</v>
      </c>
      <c r="O1476" s="561">
        <v>177.1</v>
      </c>
      <c r="P1476" s="561">
        <v>2938.8</v>
      </c>
    </row>
    <row r="1477" spans="1:16">
      <c r="A1477" s="561">
        <v>17</v>
      </c>
      <c r="B1477" s="561" t="s">
        <v>1404</v>
      </c>
      <c r="C1477" s="561" t="s">
        <v>1267</v>
      </c>
      <c r="D1477" s="561">
        <v>9991</v>
      </c>
      <c r="E1477" s="561">
        <v>3003</v>
      </c>
      <c r="F1477" s="561">
        <v>6988</v>
      </c>
      <c r="G1477" s="561">
        <v>180</v>
      </c>
      <c r="H1477" s="561">
        <v>10078.9</v>
      </c>
      <c r="I1477" s="561">
        <v>3</v>
      </c>
      <c r="J1477" s="561">
        <v>88</v>
      </c>
      <c r="K1477" s="561">
        <v>180</v>
      </c>
      <c r="L1477" s="561">
        <v>9990.9</v>
      </c>
      <c r="M1477" s="561">
        <v>9990.9</v>
      </c>
      <c r="N1477" s="561">
        <v>3003</v>
      </c>
      <c r="P1477" s="561">
        <v>6987.9</v>
      </c>
    </row>
    <row r="1478" spans="1:16">
      <c r="C1478" s="561" t="s">
        <v>1197</v>
      </c>
      <c r="D1478" s="561">
        <v>9991</v>
      </c>
      <c r="E1478" s="561">
        <v>3003</v>
      </c>
      <c r="F1478" s="561">
        <v>6988</v>
      </c>
      <c r="G1478" s="561">
        <v>180</v>
      </c>
      <c r="H1478" s="561">
        <v>10078.9</v>
      </c>
      <c r="I1478" s="561">
        <v>3</v>
      </c>
      <c r="J1478" s="561">
        <v>88</v>
      </c>
      <c r="K1478" s="561">
        <v>180</v>
      </c>
      <c r="L1478" s="561">
        <v>9990.9</v>
      </c>
      <c r="M1478" s="561">
        <v>9990.9</v>
      </c>
      <c r="N1478" s="561">
        <v>3003</v>
      </c>
    </row>
    <row r="1479" spans="1:16">
      <c r="A1479" s="561">
        <v>18</v>
      </c>
      <c r="B1479" s="561" t="s">
        <v>1405</v>
      </c>
      <c r="C1479" s="561" t="s">
        <v>1267</v>
      </c>
      <c r="D1479" s="561">
        <v>10080.299999999999</v>
      </c>
      <c r="E1479" s="561">
        <v>3030</v>
      </c>
      <c r="F1479" s="561">
        <v>7050.2999999999993</v>
      </c>
      <c r="G1479" s="561">
        <v>131</v>
      </c>
      <c r="H1479" s="561">
        <v>11198.4</v>
      </c>
      <c r="I1479" s="561">
        <v>29</v>
      </c>
      <c r="J1479" s="561">
        <v>1118.0999999999999</v>
      </c>
      <c r="K1479" s="561">
        <v>131</v>
      </c>
      <c r="L1479" s="561">
        <v>10080.299999999999</v>
      </c>
      <c r="M1479" s="561">
        <v>10080.299999999999</v>
      </c>
      <c r="N1479" s="561">
        <v>3030</v>
      </c>
      <c r="P1479" s="561">
        <v>7050.3</v>
      </c>
    </row>
    <row r="1480" spans="1:16">
      <c r="C1480" s="561" t="s">
        <v>1197</v>
      </c>
      <c r="D1480" s="561">
        <v>10080.299999999999</v>
      </c>
      <c r="E1480" s="561">
        <v>3030</v>
      </c>
      <c r="F1480" s="561">
        <v>7050.2999999999993</v>
      </c>
      <c r="G1480" s="561">
        <v>131</v>
      </c>
      <c r="H1480" s="561">
        <v>11198.4</v>
      </c>
      <c r="I1480" s="561">
        <v>29</v>
      </c>
      <c r="J1480" s="561">
        <v>1118.0999999999999</v>
      </c>
      <c r="K1480" s="561">
        <v>131</v>
      </c>
      <c r="L1480" s="561">
        <v>10080.299999999999</v>
      </c>
      <c r="M1480" s="561">
        <v>10080.299999999999</v>
      </c>
      <c r="N1480" s="561">
        <v>3030</v>
      </c>
    </row>
    <row r="1481" spans="1:16">
      <c r="A1481" s="561">
        <v>19</v>
      </c>
      <c r="B1481" s="561" t="s">
        <v>1406</v>
      </c>
      <c r="C1481" s="561" t="s">
        <v>1267</v>
      </c>
      <c r="D1481" s="561">
        <v>29432.799999999999</v>
      </c>
      <c r="E1481" s="561">
        <v>6930</v>
      </c>
      <c r="F1481" s="561">
        <v>22502.799999999999</v>
      </c>
      <c r="G1481" s="561">
        <v>2020</v>
      </c>
      <c r="H1481" s="561">
        <v>29812.2</v>
      </c>
      <c r="I1481" s="561">
        <v>73</v>
      </c>
      <c r="J1481" s="561">
        <v>379.4</v>
      </c>
      <c r="K1481" s="561">
        <v>2019</v>
      </c>
      <c r="L1481" s="561">
        <v>29432.799999999999</v>
      </c>
      <c r="M1481" s="561">
        <v>29432.799999999999</v>
      </c>
      <c r="N1481" s="561">
        <v>6930</v>
      </c>
      <c r="P1481" s="561">
        <v>22502.799999999999</v>
      </c>
    </row>
    <row r="1482" spans="1:16">
      <c r="C1482" s="561" t="s">
        <v>1199</v>
      </c>
      <c r="D1482" s="561">
        <v>29432.799999999999</v>
      </c>
      <c r="E1482" s="561">
        <v>6930</v>
      </c>
      <c r="F1482" s="561">
        <v>22502.799999999999</v>
      </c>
      <c r="G1482" s="561">
        <v>2020</v>
      </c>
      <c r="H1482" s="561">
        <v>29812.2</v>
      </c>
      <c r="I1482" s="561">
        <v>73</v>
      </c>
      <c r="J1482" s="561">
        <v>379.4</v>
      </c>
      <c r="K1482" s="561">
        <v>2019</v>
      </c>
      <c r="L1482" s="561">
        <v>29432.799999999999</v>
      </c>
      <c r="M1482" s="561">
        <v>29432.799999999999</v>
      </c>
      <c r="N1482" s="561">
        <v>6930</v>
      </c>
      <c r="P1482" s="561">
        <v>22502.799999999999</v>
      </c>
    </row>
    <row r="1483" spans="1:16">
      <c r="A1483" s="561">
        <v>20</v>
      </c>
      <c r="B1483" s="561" t="s">
        <v>1407</v>
      </c>
      <c r="C1483" s="561" t="s">
        <v>1267</v>
      </c>
      <c r="D1483" s="561">
        <v>27672.1</v>
      </c>
      <c r="E1483" s="561">
        <v>6930</v>
      </c>
      <c r="F1483" s="561">
        <v>20742.099999999999</v>
      </c>
      <c r="G1483" s="561">
        <v>1981</v>
      </c>
      <c r="H1483" s="561">
        <v>28788.6</v>
      </c>
      <c r="I1483" s="561">
        <v>140</v>
      </c>
      <c r="J1483" s="561">
        <v>1116.5</v>
      </c>
      <c r="K1483" s="561">
        <v>1978</v>
      </c>
      <c r="L1483" s="561">
        <v>27672.1</v>
      </c>
      <c r="M1483" s="561">
        <v>27672.1</v>
      </c>
      <c r="N1483" s="561">
        <v>6930</v>
      </c>
      <c r="P1483" s="561">
        <v>20742.099999999999</v>
      </c>
    </row>
    <row r="1484" spans="1:16">
      <c r="C1484" s="561" t="s">
        <v>1199</v>
      </c>
      <c r="D1484" s="561">
        <v>27672.1</v>
      </c>
      <c r="E1484" s="561">
        <v>6930</v>
      </c>
      <c r="F1484" s="561">
        <v>20742.099999999999</v>
      </c>
      <c r="G1484" s="561">
        <v>1981</v>
      </c>
      <c r="H1484" s="561">
        <v>28788.6</v>
      </c>
      <c r="I1484" s="561">
        <v>140</v>
      </c>
      <c r="J1484" s="561">
        <v>1116.5</v>
      </c>
      <c r="K1484" s="561">
        <v>1978</v>
      </c>
      <c r="L1484" s="561">
        <v>27672.1</v>
      </c>
      <c r="M1484" s="561">
        <v>27672.1</v>
      </c>
      <c r="N1484" s="561">
        <v>6930</v>
      </c>
      <c r="P1484" s="561">
        <v>20742.099999999999</v>
      </c>
    </row>
    <row r="1485" spans="1:16">
      <c r="A1485" s="561">
        <v>21</v>
      </c>
      <c r="B1485" s="561" t="s">
        <v>1408</v>
      </c>
      <c r="C1485" s="561" t="s">
        <v>1267</v>
      </c>
      <c r="D1485" s="561">
        <v>25412.2</v>
      </c>
      <c r="E1485" s="561">
        <v>5940</v>
      </c>
      <c r="F1485" s="561">
        <v>19472.2</v>
      </c>
      <c r="G1485" s="561">
        <v>1793</v>
      </c>
      <c r="H1485" s="561">
        <v>25500.400000000001</v>
      </c>
      <c r="I1485" s="561">
        <v>11</v>
      </c>
      <c r="J1485" s="561">
        <v>88.2</v>
      </c>
      <c r="K1485" s="561">
        <v>1793</v>
      </c>
      <c r="L1485" s="561">
        <v>25412.2</v>
      </c>
      <c r="M1485" s="561">
        <v>25412.2</v>
      </c>
      <c r="N1485" s="561">
        <v>5940</v>
      </c>
      <c r="P1485" s="561">
        <v>19472.2</v>
      </c>
    </row>
    <row r="1486" spans="1:16">
      <c r="C1486" s="561" t="s">
        <v>1199</v>
      </c>
      <c r="D1486" s="561">
        <v>25412.2</v>
      </c>
      <c r="E1486" s="561">
        <v>5940</v>
      </c>
      <c r="F1486" s="561">
        <v>19472.2</v>
      </c>
      <c r="G1486" s="561">
        <v>1793</v>
      </c>
      <c r="H1486" s="561">
        <v>25500.400000000001</v>
      </c>
      <c r="I1486" s="561">
        <v>11</v>
      </c>
      <c r="J1486" s="561">
        <v>88.2</v>
      </c>
      <c r="K1486" s="561">
        <v>1793</v>
      </c>
      <c r="L1486" s="561">
        <v>25412.2</v>
      </c>
      <c r="M1486" s="561">
        <v>25412.2</v>
      </c>
      <c r="N1486" s="561">
        <v>5940</v>
      </c>
      <c r="P1486" s="561">
        <v>19472.2</v>
      </c>
    </row>
    <row r="1487" spans="1:16">
      <c r="A1487" s="561">
        <v>22</v>
      </c>
      <c r="B1487" s="561" t="s">
        <v>1409</v>
      </c>
      <c r="C1487" s="561" t="s">
        <v>1267</v>
      </c>
      <c r="D1487" s="561">
        <v>14939.5</v>
      </c>
      <c r="E1487" s="561">
        <v>3300</v>
      </c>
      <c r="F1487" s="561">
        <v>11639.5</v>
      </c>
      <c r="G1487" s="561">
        <v>1205</v>
      </c>
      <c r="H1487" s="561">
        <v>15196.8</v>
      </c>
      <c r="I1487" s="561">
        <v>42</v>
      </c>
      <c r="J1487" s="561">
        <v>257.3</v>
      </c>
      <c r="K1487" s="561">
        <v>1205</v>
      </c>
      <c r="L1487" s="561">
        <v>14939.5</v>
      </c>
      <c r="M1487" s="561">
        <v>14939.5</v>
      </c>
      <c r="N1487" s="561">
        <v>3300</v>
      </c>
      <c r="P1487" s="561">
        <v>11639.5</v>
      </c>
    </row>
    <row r="1488" spans="1:16">
      <c r="C1488" s="561" t="s">
        <v>1199</v>
      </c>
      <c r="D1488" s="561">
        <v>14939.5</v>
      </c>
      <c r="E1488" s="561">
        <v>3300</v>
      </c>
      <c r="F1488" s="561">
        <v>11639.5</v>
      </c>
      <c r="G1488" s="561">
        <v>1205</v>
      </c>
      <c r="H1488" s="561">
        <v>15196.8</v>
      </c>
      <c r="I1488" s="561">
        <v>42</v>
      </c>
      <c r="J1488" s="561">
        <v>257.3</v>
      </c>
      <c r="K1488" s="561">
        <v>1205</v>
      </c>
      <c r="L1488" s="561">
        <v>14939.5</v>
      </c>
      <c r="M1488" s="561">
        <v>14939.5</v>
      </c>
      <c r="N1488" s="561">
        <v>3300</v>
      </c>
      <c r="P1488" s="561">
        <v>11639.5</v>
      </c>
    </row>
    <row r="1489" spans="1:16">
      <c r="A1489" s="561">
        <v>23</v>
      </c>
      <c r="B1489" s="561" t="s">
        <v>1410</v>
      </c>
      <c r="C1489" s="561" t="s">
        <v>1267</v>
      </c>
      <c r="D1489" s="561">
        <v>8598.4</v>
      </c>
      <c r="E1489" s="561">
        <v>1980</v>
      </c>
      <c r="F1489" s="561">
        <v>6618.4</v>
      </c>
      <c r="G1489" s="561">
        <v>640</v>
      </c>
      <c r="H1489" s="561">
        <v>8741.9</v>
      </c>
      <c r="I1489" s="561">
        <v>16</v>
      </c>
      <c r="J1489" s="561">
        <v>143.5</v>
      </c>
      <c r="K1489" s="561">
        <v>640</v>
      </c>
      <c r="L1489" s="561">
        <v>8598.4</v>
      </c>
      <c r="M1489" s="561">
        <v>8598.4</v>
      </c>
      <c r="N1489" s="561">
        <v>1980</v>
      </c>
      <c r="P1489" s="561">
        <v>6618.4</v>
      </c>
    </row>
    <row r="1490" spans="1:16">
      <c r="C1490" s="561" t="s">
        <v>1199</v>
      </c>
      <c r="D1490" s="561">
        <v>8598.4</v>
      </c>
      <c r="E1490" s="561">
        <v>1980</v>
      </c>
      <c r="F1490" s="561">
        <v>6618.4</v>
      </c>
      <c r="G1490" s="561">
        <v>640</v>
      </c>
      <c r="H1490" s="561">
        <v>8741.9</v>
      </c>
      <c r="I1490" s="561">
        <v>16</v>
      </c>
      <c r="J1490" s="561">
        <v>143.5</v>
      </c>
      <c r="K1490" s="561">
        <v>640</v>
      </c>
      <c r="L1490" s="561">
        <v>8598.4</v>
      </c>
      <c r="M1490" s="561">
        <v>8598.4</v>
      </c>
      <c r="N1490" s="561">
        <v>1980</v>
      </c>
      <c r="P1490" s="561">
        <v>6618.4</v>
      </c>
    </row>
    <row r="1491" spans="1:16">
      <c r="A1491" s="561">
        <v>24</v>
      </c>
      <c r="B1491" s="561" t="s">
        <v>1411</v>
      </c>
      <c r="C1491" s="561" t="s">
        <v>1267</v>
      </c>
      <c r="D1491" s="561">
        <v>6343.5</v>
      </c>
      <c r="E1491" s="561">
        <v>1650</v>
      </c>
      <c r="F1491" s="561">
        <v>4693.5</v>
      </c>
      <c r="G1491" s="561">
        <v>545</v>
      </c>
      <c r="H1491" s="561">
        <v>6432.3</v>
      </c>
      <c r="I1491" s="561">
        <v>21</v>
      </c>
      <c r="J1491" s="561">
        <v>88.8</v>
      </c>
      <c r="K1491" s="561">
        <v>545</v>
      </c>
      <c r="L1491" s="561">
        <v>6343.5</v>
      </c>
      <c r="M1491" s="561">
        <v>6343.5</v>
      </c>
      <c r="N1491" s="561">
        <v>1650</v>
      </c>
      <c r="P1491" s="561">
        <v>4693.5</v>
      </c>
    </row>
    <row r="1492" spans="1:16">
      <c r="C1492" s="561" t="s">
        <v>1199</v>
      </c>
      <c r="D1492" s="561">
        <v>6343.5</v>
      </c>
      <c r="E1492" s="561">
        <v>1650</v>
      </c>
      <c r="F1492" s="561">
        <v>4693.5</v>
      </c>
      <c r="G1492" s="561">
        <v>545</v>
      </c>
      <c r="H1492" s="561">
        <v>6432.3</v>
      </c>
      <c r="I1492" s="561">
        <v>21</v>
      </c>
      <c r="J1492" s="561">
        <v>88.8</v>
      </c>
      <c r="K1492" s="561">
        <v>545</v>
      </c>
      <c r="L1492" s="561">
        <v>6343.5</v>
      </c>
      <c r="M1492" s="561">
        <v>6343.5</v>
      </c>
      <c r="N1492" s="561">
        <v>1650</v>
      </c>
      <c r="P1492" s="561">
        <v>4693.5</v>
      </c>
    </row>
    <row r="1493" spans="1:16">
      <c r="A1493" s="561">
        <v>25</v>
      </c>
      <c r="B1493" s="561" t="s">
        <v>1412</v>
      </c>
      <c r="C1493" s="561" t="s">
        <v>1267</v>
      </c>
      <c r="D1493" s="561">
        <v>8712.7000000000007</v>
      </c>
      <c r="E1493" s="561">
        <v>2310</v>
      </c>
      <c r="F1493" s="561">
        <v>6402.7000000000007</v>
      </c>
      <c r="G1493" s="561">
        <v>707</v>
      </c>
      <c r="H1493" s="561">
        <v>8965.2000000000007</v>
      </c>
      <c r="I1493" s="561">
        <v>43</v>
      </c>
      <c r="J1493" s="561">
        <v>252.5</v>
      </c>
      <c r="K1493" s="561">
        <v>707</v>
      </c>
      <c r="L1493" s="561">
        <v>8712.7000000000007</v>
      </c>
      <c r="M1493" s="561">
        <v>8712.7000000000007</v>
      </c>
      <c r="N1493" s="561">
        <v>2310</v>
      </c>
      <c r="P1493" s="561">
        <v>6402.7</v>
      </c>
    </row>
    <row r="1494" spans="1:16">
      <c r="C1494" s="561" t="s">
        <v>1199</v>
      </c>
      <c r="D1494" s="561">
        <v>8712.7000000000007</v>
      </c>
      <c r="E1494" s="561">
        <v>2310</v>
      </c>
      <c r="F1494" s="561">
        <v>6402.7000000000007</v>
      </c>
      <c r="G1494" s="561">
        <v>707</v>
      </c>
      <c r="H1494" s="561">
        <v>8965.2000000000007</v>
      </c>
      <c r="I1494" s="561">
        <v>43</v>
      </c>
      <c r="J1494" s="561">
        <v>252.5</v>
      </c>
      <c r="K1494" s="561">
        <v>707</v>
      </c>
      <c r="L1494" s="561">
        <v>8712.7000000000007</v>
      </c>
      <c r="M1494" s="561">
        <v>8712.7000000000007</v>
      </c>
      <c r="N1494" s="561">
        <v>2310</v>
      </c>
      <c r="P1494" s="561">
        <v>6402.7</v>
      </c>
    </row>
    <row r="1495" spans="1:16">
      <c r="A1495" s="561">
        <v>26</v>
      </c>
      <c r="B1495" s="561" t="s">
        <v>1413</v>
      </c>
      <c r="C1495" s="561" t="s">
        <v>1267</v>
      </c>
      <c r="D1495" s="561">
        <v>20635.5</v>
      </c>
      <c r="E1495" s="561">
        <v>3960</v>
      </c>
      <c r="F1495" s="561">
        <v>16675.5</v>
      </c>
      <c r="G1495" s="561">
        <v>1519</v>
      </c>
      <c r="H1495" s="561">
        <v>21027.599999999999</v>
      </c>
      <c r="I1495" s="561">
        <v>53</v>
      </c>
      <c r="J1495" s="561">
        <v>392.1</v>
      </c>
      <c r="K1495" s="561">
        <v>1516</v>
      </c>
      <c r="L1495" s="561">
        <v>20635.5</v>
      </c>
      <c r="M1495" s="561">
        <v>20635.5</v>
      </c>
      <c r="N1495" s="561">
        <v>3080</v>
      </c>
      <c r="O1495" s="561">
        <v>880</v>
      </c>
      <c r="P1495" s="561">
        <v>16675.5</v>
      </c>
    </row>
    <row r="1496" spans="1:16">
      <c r="C1496" s="561" t="s">
        <v>1199</v>
      </c>
      <c r="D1496" s="561">
        <v>20635.5</v>
      </c>
      <c r="E1496" s="561">
        <v>3960</v>
      </c>
      <c r="F1496" s="561">
        <v>16675.5</v>
      </c>
      <c r="G1496" s="561">
        <v>1519</v>
      </c>
      <c r="H1496" s="561">
        <v>21027.599999999999</v>
      </c>
      <c r="I1496" s="561">
        <v>53</v>
      </c>
      <c r="J1496" s="561">
        <v>392.1</v>
      </c>
      <c r="K1496" s="561">
        <v>1516</v>
      </c>
      <c r="L1496" s="561">
        <v>20635.5</v>
      </c>
      <c r="M1496" s="561">
        <v>20635.5</v>
      </c>
      <c r="N1496" s="561">
        <v>3080</v>
      </c>
      <c r="O1496" s="561">
        <v>880</v>
      </c>
      <c r="P1496" s="561">
        <v>16675.5</v>
      </c>
    </row>
    <row r="1497" spans="1:16">
      <c r="A1497" s="561">
        <v>27</v>
      </c>
      <c r="B1497" s="561" t="s">
        <v>1414</v>
      </c>
      <c r="C1497" s="561" t="s">
        <v>1267</v>
      </c>
      <c r="D1497" s="561">
        <v>44964.3</v>
      </c>
      <c r="E1497" s="561">
        <v>9240</v>
      </c>
      <c r="F1497" s="561">
        <v>35724.300000000003</v>
      </c>
      <c r="G1497" s="561">
        <v>2694</v>
      </c>
      <c r="H1497" s="561">
        <v>45594.7</v>
      </c>
      <c r="I1497" s="561">
        <v>57</v>
      </c>
      <c r="J1497" s="561">
        <v>630.4</v>
      </c>
      <c r="K1497" s="561">
        <v>2692</v>
      </c>
      <c r="L1497" s="561">
        <v>44964.3</v>
      </c>
      <c r="M1497" s="561">
        <v>44964.3</v>
      </c>
      <c r="N1497" s="561">
        <v>8540</v>
      </c>
      <c r="O1497" s="561">
        <v>700</v>
      </c>
      <c r="P1497" s="561">
        <v>35724.300000000003</v>
      </c>
    </row>
    <row r="1498" spans="1:16">
      <c r="C1498" s="561" t="s">
        <v>1199</v>
      </c>
      <c r="D1498" s="561">
        <v>44964.3</v>
      </c>
      <c r="E1498" s="561">
        <v>9240</v>
      </c>
      <c r="F1498" s="561">
        <v>35724.300000000003</v>
      </c>
      <c r="G1498" s="561">
        <v>2694</v>
      </c>
      <c r="H1498" s="561">
        <v>45594.7</v>
      </c>
      <c r="I1498" s="561">
        <v>57</v>
      </c>
      <c r="J1498" s="561">
        <v>630.4</v>
      </c>
      <c r="K1498" s="561">
        <v>2692</v>
      </c>
      <c r="L1498" s="561">
        <v>44964.3</v>
      </c>
      <c r="M1498" s="561">
        <v>44964.3</v>
      </c>
      <c r="N1498" s="561">
        <v>8540</v>
      </c>
      <c r="O1498" s="561">
        <v>700</v>
      </c>
      <c r="P1498" s="561">
        <v>35724.300000000003</v>
      </c>
    </row>
    <row r="1499" spans="1:16">
      <c r="A1499" s="561">
        <v>28</v>
      </c>
      <c r="B1499" s="561" t="s">
        <v>1415</v>
      </c>
      <c r="C1499" s="561" t="s">
        <v>1267</v>
      </c>
      <c r="D1499" s="561">
        <v>5483.6</v>
      </c>
      <c r="E1499" s="561">
        <v>1650</v>
      </c>
      <c r="F1499" s="561">
        <v>3833.6000000000004</v>
      </c>
      <c r="G1499" s="561">
        <v>401</v>
      </c>
      <c r="H1499" s="561">
        <v>5550.3</v>
      </c>
      <c r="I1499" s="561">
        <v>12</v>
      </c>
      <c r="J1499" s="561">
        <v>66.7</v>
      </c>
      <c r="K1499" s="561">
        <v>401</v>
      </c>
      <c r="L1499" s="561">
        <v>5483.6</v>
      </c>
      <c r="M1499" s="561">
        <v>5483.6</v>
      </c>
      <c r="N1499" s="561">
        <v>1650</v>
      </c>
      <c r="P1499" s="561">
        <v>3833.6</v>
      </c>
    </row>
    <row r="1500" spans="1:16">
      <c r="C1500" s="561" t="s">
        <v>1199</v>
      </c>
      <c r="D1500" s="561">
        <v>5483.6</v>
      </c>
      <c r="E1500" s="561">
        <v>1650</v>
      </c>
      <c r="F1500" s="561">
        <v>3833.6000000000004</v>
      </c>
      <c r="G1500" s="561">
        <v>401</v>
      </c>
      <c r="H1500" s="561">
        <v>5550.3</v>
      </c>
      <c r="I1500" s="561">
        <v>12</v>
      </c>
      <c r="J1500" s="561">
        <v>66.7</v>
      </c>
      <c r="K1500" s="561">
        <v>401</v>
      </c>
      <c r="L1500" s="561">
        <v>5483.6</v>
      </c>
      <c r="M1500" s="561">
        <v>5483.6</v>
      </c>
      <c r="N1500" s="561">
        <v>1650</v>
      </c>
      <c r="P1500" s="561">
        <v>3833.6</v>
      </c>
    </row>
    <row r="1501" spans="1:16">
      <c r="A1501" s="561">
        <v>29</v>
      </c>
      <c r="B1501" s="561" t="s">
        <v>1416</v>
      </c>
      <c r="C1501" s="561" t="s">
        <v>1267</v>
      </c>
      <c r="D1501" s="561">
        <v>11000</v>
      </c>
      <c r="E1501" s="561">
        <v>3300</v>
      </c>
      <c r="F1501" s="561">
        <v>7700</v>
      </c>
      <c r="G1501" s="561">
        <v>870</v>
      </c>
      <c r="H1501" s="561">
        <v>11049.4</v>
      </c>
      <c r="I1501" s="561">
        <v>11</v>
      </c>
      <c r="J1501" s="561">
        <v>49.4</v>
      </c>
      <c r="K1501" s="561">
        <v>870</v>
      </c>
      <c r="L1501" s="561">
        <v>11000</v>
      </c>
      <c r="M1501" s="561">
        <v>11000</v>
      </c>
      <c r="N1501" s="561">
        <v>3300</v>
      </c>
      <c r="P1501" s="561">
        <v>7700</v>
      </c>
    </row>
    <row r="1502" spans="1:16">
      <c r="C1502" s="561" t="s">
        <v>1199</v>
      </c>
      <c r="D1502" s="561">
        <v>11000</v>
      </c>
      <c r="E1502" s="561">
        <v>3300</v>
      </c>
      <c r="F1502" s="561">
        <v>7700</v>
      </c>
      <c r="G1502" s="561">
        <v>870</v>
      </c>
      <c r="H1502" s="561">
        <v>11049.4</v>
      </c>
      <c r="I1502" s="561">
        <v>11</v>
      </c>
      <c r="J1502" s="561">
        <v>49.4</v>
      </c>
      <c r="K1502" s="561">
        <v>870</v>
      </c>
      <c r="L1502" s="561">
        <v>11000</v>
      </c>
      <c r="M1502" s="561">
        <v>11000</v>
      </c>
      <c r="N1502" s="561">
        <v>3300</v>
      </c>
      <c r="P1502" s="561">
        <v>7700</v>
      </c>
    </row>
    <row r="1503" spans="1:16">
      <c r="A1503" s="561">
        <v>30</v>
      </c>
      <c r="B1503" s="561" t="s">
        <v>1417</v>
      </c>
      <c r="C1503" s="561" t="s">
        <v>1267</v>
      </c>
      <c r="D1503" s="561">
        <v>20481.3</v>
      </c>
      <c r="E1503" s="561">
        <v>3300</v>
      </c>
      <c r="F1503" s="561">
        <v>17181.3</v>
      </c>
      <c r="G1503" s="561">
        <v>1494</v>
      </c>
      <c r="H1503" s="561">
        <v>20637.3</v>
      </c>
      <c r="I1503" s="561">
        <v>21</v>
      </c>
      <c r="J1503" s="561">
        <v>156</v>
      </c>
      <c r="K1503" s="561">
        <v>1494</v>
      </c>
      <c r="L1503" s="561">
        <v>20481.3</v>
      </c>
      <c r="M1503" s="561">
        <v>20481.3</v>
      </c>
      <c r="N1503" s="561">
        <v>2600.02</v>
      </c>
      <c r="O1503" s="561">
        <v>700</v>
      </c>
      <c r="P1503" s="561">
        <v>17181.3</v>
      </c>
    </row>
    <row r="1504" spans="1:16">
      <c r="C1504" s="561" t="s">
        <v>1199</v>
      </c>
      <c r="D1504" s="561">
        <v>20481.3</v>
      </c>
      <c r="E1504" s="561">
        <v>3300</v>
      </c>
      <c r="F1504" s="561">
        <v>17181.3</v>
      </c>
      <c r="G1504" s="561">
        <v>1494</v>
      </c>
      <c r="H1504" s="561">
        <v>20637.3</v>
      </c>
      <c r="I1504" s="561">
        <v>21</v>
      </c>
      <c r="J1504" s="561">
        <v>156</v>
      </c>
      <c r="K1504" s="561">
        <v>1494</v>
      </c>
      <c r="L1504" s="561">
        <v>20481.3</v>
      </c>
      <c r="M1504" s="561">
        <v>20481.3</v>
      </c>
      <c r="N1504" s="561">
        <v>2600.02</v>
      </c>
      <c r="O1504" s="561">
        <v>700</v>
      </c>
      <c r="P1504" s="561">
        <v>17181.3</v>
      </c>
    </row>
    <row r="1505" spans="1:111">
      <c r="A1505" s="561">
        <v>31</v>
      </c>
      <c r="B1505" s="561" t="s">
        <v>1418</v>
      </c>
      <c r="C1505" s="561" t="s">
        <v>1267</v>
      </c>
      <c r="D1505" s="561">
        <v>14298.9</v>
      </c>
      <c r="E1505" s="561">
        <v>4290</v>
      </c>
      <c r="F1505" s="561">
        <v>10008.9</v>
      </c>
      <c r="G1505" s="561">
        <v>1077</v>
      </c>
      <c r="H1505" s="561">
        <v>14471.9</v>
      </c>
      <c r="I1505" s="561">
        <v>21</v>
      </c>
      <c r="J1505" s="561">
        <v>173</v>
      </c>
      <c r="K1505" s="561">
        <v>1069</v>
      </c>
      <c r="L1505" s="561">
        <v>14298.9</v>
      </c>
      <c r="M1505" s="561">
        <v>14298.9</v>
      </c>
      <c r="N1505" s="561">
        <v>4290</v>
      </c>
      <c r="P1505" s="561">
        <v>10008.9</v>
      </c>
    </row>
    <row r="1506" spans="1:111">
      <c r="C1506" s="561" t="s">
        <v>1199</v>
      </c>
      <c r="D1506" s="561">
        <v>14298.9</v>
      </c>
      <c r="E1506" s="561">
        <v>4290</v>
      </c>
      <c r="F1506" s="561">
        <v>10008.9</v>
      </c>
      <c r="G1506" s="561">
        <v>1077</v>
      </c>
      <c r="H1506" s="561">
        <v>14471.9</v>
      </c>
      <c r="I1506" s="561">
        <v>21</v>
      </c>
      <c r="J1506" s="561">
        <v>173</v>
      </c>
      <c r="K1506" s="561">
        <v>1069</v>
      </c>
      <c r="L1506" s="561">
        <v>14298.9</v>
      </c>
      <c r="M1506" s="561">
        <v>14298.9</v>
      </c>
      <c r="N1506" s="561">
        <v>4290</v>
      </c>
      <c r="P1506" s="561">
        <v>10008.9</v>
      </c>
    </row>
    <row r="1507" spans="1:111">
      <c r="A1507" s="561">
        <v>32</v>
      </c>
      <c r="B1507" s="561" t="s">
        <v>1419</v>
      </c>
      <c r="C1507" s="561" t="s">
        <v>1267</v>
      </c>
      <c r="D1507" s="561">
        <v>12100</v>
      </c>
      <c r="E1507" s="561">
        <v>3630</v>
      </c>
      <c r="F1507" s="561">
        <v>8470</v>
      </c>
      <c r="G1507" s="561">
        <v>906</v>
      </c>
      <c r="H1507" s="561">
        <v>20862.099999999999</v>
      </c>
      <c r="I1507" s="561">
        <v>185</v>
      </c>
      <c r="J1507" s="561">
        <v>8762.6</v>
      </c>
      <c r="K1507" s="561">
        <v>903</v>
      </c>
      <c r="L1507" s="561">
        <v>12099.5</v>
      </c>
      <c r="M1507" s="561">
        <v>12099.5</v>
      </c>
      <c r="N1507" s="561">
        <v>2016.6</v>
      </c>
      <c r="O1507" s="561">
        <v>1613.4</v>
      </c>
      <c r="P1507" s="561">
        <v>8469.5</v>
      </c>
    </row>
    <row r="1508" spans="1:111">
      <c r="C1508" s="561" t="s">
        <v>1199</v>
      </c>
      <c r="D1508" s="561">
        <v>12100</v>
      </c>
      <c r="E1508" s="561">
        <v>3630</v>
      </c>
      <c r="F1508" s="561">
        <v>8470</v>
      </c>
      <c r="G1508" s="561">
        <v>906</v>
      </c>
      <c r="H1508" s="561">
        <v>20862.099999999999</v>
      </c>
      <c r="I1508" s="561">
        <v>185</v>
      </c>
      <c r="J1508" s="561">
        <v>8762.6</v>
      </c>
      <c r="K1508" s="561">
        <v>903</v>
      </c>
      <c r="L1508" s="561">
        <v>12099.5</v>
      </c>
      <c r="M1508" s="561">
        <v>12099.5</v>
      </c>
      <c r="N1508" s="561">
        <v>2016.6</v>
      </c>
      <c r="O1508" s="561">
        <v>1613.4</v>
      </c>
      <c r="P1508" s="561">
        <v>8469.5</v>
      </c>
    </row>
    <row r="1509" spans="1:111">
      <c r="A1509" s="1735" t="s">
        <v>1199</v>
      </c>
      <c r="B1509" s="1735"/>
      <c r="C1509" s="1735"/>
      <c r="D1509" s="1735"/>
      <c r="E1509" s="1735"/>
      <c r="F1509" s="1735"/>
      <c r="G1509" s="1735"/>
      <c r="H1509" s="1735"/>
      <c r="I1509" s="1735"/>
      <c r="J1509" s="1735"/>
      <c r="K1509" s="1735"/>
      <c r="L1509" s="1735"/>
      <c r="M1509" s="1735"/>
      <c r="N1509" s="1735"/>
      <c r="O1509" s="1735"/>
      <c r="P1509" s="1735"/>
      <c r="AL1509" s="561">
        <f>SUM(AL1510:AL1590)</f>
        <v>219535.4</v>
      </c>
      <c r="AM1509" s="561">
        <f t="shared" ref="AM1509:CX1509" si="94">SUM(AM1510:AM1590)</f>
        <v>0</v>
      </c>
      <c r="AN1509" s="561">
        <f t="shared" si="94"/>
        <v>0</v>
      </c>
      <c r="AO1509" s="561">
        <f t="shared" si="94"/>
        <v>0</v>
      </c>
      <c r="AP1509" s="561">
        <f t="shared" si="94"/>
        <v>0</v>
      </c>
      <c r="AQ1509" s="561">
        <f t="shared" si="94"/>
        <v>0</v>
      </c>
      <c r="AR1509" s="561">
        <f t="shared" si="94"/>
        <v>0</v>
      </c>
      <c r="AS1509" s="561">
        <f t="shared" si="94"/>
        <v>0</v>
      </c>
      <c r="AT1509" s="561">
        <f t="shared" si="94"/>
        <v>8474</v>
      </c>
      <c r="AU1509" s="561">
        <f t="shared" si="94"/>
        <v>0</v>
      </c>
      <c r="AV1509" s="561">
        <f t="shared" si="94"/>
        <v>0</v>
      </c>
      <c r="AW1509" s="561">
        <f t="shared" si="94"/>
        <v>0</v>
      </c>
      <c r="AX1509" s="561">
        <f t="shared" si="94"/>
        <v>0</v>
      </c>
      <c r="AY1509" s="561">
        <f t="shared" si="94"/>
        <v>0</v>
      </c>
      <c r="AZ1509" s="561">
        <f t="shared" si="94"/>
        <v>0</v>
      </c>
      <c r="BA1509" s="561">
        <f t="shared" si="94"/>
        <v>0</v>
      </c>
      <c r="BB1509" s="561">
        <f t="shared" si="94"/>
        <v>16568.599999999999</v>
      </c>
      <c r="BC1509" s="561">
        <f t="shared" si="94"/>
        <v>0</v>
      </c>
      <c r="BD1509" s="561">
        <f t="shared" si="94"/>
        <v>0</v>
      </c>
      <c r="BE1509" s="561">
        <f t="shared" si="94"/>
        <v>0</v>
      </c>
      <c r="BF1509" s="561">
        <f t="shared" si="94"/>
        <v>0</v>
      </c>
      <c r="BG1509" s="561">
        <f t="shared" si="94"/>
        <v>0</v>
      </c>
      <c r="BH1509" s="561">
        <f t="shared" si="94"/>
        <v>0</v>
      </c>
      <c r="BI1509" s="561">
        <f t="shared" si="94"/>
        <v>0</v>
      </c>
      <c r="BJ1509" s="561">
        <f t="shared" si="94"/>
        <v>0</v>
      </c>
      <c r="BK1509" s="561">
        <f t="shared" si="94"/>
        <v>0</v>
      </c>
      <c r="BL1509" s="561">
        <f t="shared" si="94"/>
        <v>0</v>
      </c>
      <c r="BM1509" s="561">
        <f>SUM(BM1510:BM1590)</f>
        <v>6402.7</v>
      </c>
      <c r="BN1509" s="561">
        <f t="shared" si="94"/>
        <v>0</v>
      </c>
      <c r="BO1509" s="561">
        <f t="shared" si="94"/>
        <v>0</v>
      </c>
      <c r="BP1509" s="561">
        <f t="shared" si="94"/>
        <v>0</v>
      </c>
      <c r="BQ1509" s="561">
        <f t="shared" si="94"/>
        <v>0</v>
      </c>
      <c r="BR1509" s="561">
        <f t="shared" si="94"/>
        <v>0</v>
      </c>
      <c r="BS1509" s="561">
        <f t="shared" si="94"/>
        <v>0</v>
      </c>
      <c r="BT1509" s="561">
        <f t="shared" si="94"/>
        <v>0</v>
      </c>
      <c r="BU1509" s="561">
        <f t="shared" si="94"/>
        <v>0</v>
      </c>
      <c r="BV1509" s="561">
        <f t="shared" si="94"/>
        <v>0</v>
      </c>
      <c r="BW1509" s="561">
        <f t="shared" si="94"/>
        <v>0</v>
      </c>
      <c r="BX1509" s="561">
        <f t="shared" si="94"/>
        <v>0</v>
      </c>
      <c r="BY1509" s="561">
        <f t="shared" si="94"/>
        <v>0</v>
      </c>
      <c r="BZ1509" s="561">
        <f t="shared" si="94"/>
        <v>162949.59999999998</v>
      </c>
      <c r="CA1509" s="561">
        <f t="shared" si="94"/>
        <v>0</v>
      </c>
      <c r="CB1509" s="561">
        <f t="shared" si="94"/>
        <v>0</v>
      </c>
      <c r="CC1509" s="561">
        <f t="shared" si="94"/>
        <v>0</v>
      </c>
      <c r="CD1509" s="561">
        <f t="shared" si="94"/>
        <v>0</v>
      </c>
      <c r="CE1509" s="561">
        <f t="shared" si="94"/>
        <v>0</v>
      </c>
      <c r="CF1509" s="561">
        <f t="shared" si="94"/>
        <v>0</v>
      </c>
      <c r="CG1509" s="561">
        <f t="shared" si="94"/>
        <v>0</v>
      </c>
      <c r="CH1509" s="561">
        <f t="shared" si="94"/>
        <v>0</v>
      </c>
      <c r="CI1509" s="561">
        <f t="shared" si="94"/>
        <v>0</v>
      </c>
      <c r="CJ1509" s="561">
        <f t="shared" si="94"/>
        <v>0</v>
      </c>
      <c r="CK1509" s="561">
        <f t="shared" si="94"/>
        <v>0</v>
      </c>
      <c r="CL1509" s="561">
        <f t="shared" si="94"/>
        <v>0</v>
      </c>
      <c r="CM1509" s="561">
        <f t="shared" si="94"/>
        <v>0</v>
      </c>
      <c r="CN1509" s="561">
        <f t="shared" si="94"/>
        <v>0</v>
      </c>
      <c r="CO1509" s="561">
        <f t="shared" si="94"/>
        <v>0</v>
      </c>
      <c r="CP1509" s="561">
        <f t="shared" si="94"/>
        <v>0</v>
      </c>
      <c r="CQ1509" s="561">
        <f t="shared" si="94"/>
        <v>0</v>
      </c>
      <c r="CR1509" s="561">
        <f t="shared" si="94"/>
        <v>0</v>
      </c>
      <c r="CS1509" s="561">
        <f t="shared" si="94"/>
        <v>0</v>
      </c>
      <c r="CT1509" s="561">
        <f t="shared" si="94"/>
        <v>0</v>
      </c>
      <c r="CU1509" s="561">
        <f t="shared" si="94"/>
        <v>0</v>
      </c>
      <c r="CV1509" s="561">
        <f t="shared" si="94"/>
        <v>0</v>
      </c>
      <c r="CW1509" s="561">
        <f t="shared" si="94"/>
        <v>0</v>
      </c>
      <c r="CX1509" s="561">
        <f t="shared" si="94"/>
        <v>0</v>
      </c>
      <c r="CY1509" s="561">
        <f t="shared" ref="CY1509:DG1509" si="95">SUM(CY1510:CY1590)</f>
        <v>0</v>
      </c>
      <c r="CZ1509" s="561">
        <f t="shared" si="95"/>
        <v>0</v>
      </c>
      <c r="DA1509" s="561">
        <f t="shared" si="95"/>
        <v>0</v>
      </c>
      <c r="DB1509" s="561">
        <f t="shared" si="95"/>
        <v>0</v>
      </c>
      <c r="DC1509" s="561">
        <f t="shared" si="95"/>
        <v>0</v>
      </c>
      <c r="DD1509" s="561">
        <f t="shared" si="95"/>
        <v>0</v>
      </c>
      <c r="DE1509" s="561">
        <f t="shared" si="95"/>
        <v>0</v>
      </c>
      <c r="DF1509" s="561">
        <f t="shared" si="95"/>
        <v>0</v>
      </c>
      <c r="DG1509" s="561">
        <f t="shared" si="95"/>
        <v>0</v>
      </c>
    </row>
    <row r="1510" spans="1:111">
      <c r="A1510" s="561">
        <v>1</v>
      </c>
      <c r="B1510" s="561" t="s">
        <v>1388</v>
      </c>
      <c r="C1510" s="561" t="s">
        <v>1267</v>
      </c>
      <c r="D1510" s="561">
        <v>1244796.1000000001</v>
      </c>
      <c r="E1510" s="561">
        <v>359043.9</v>
      </c>
      <c r="F1510" s="561">
        <v>885752.20000000007</v>
      </c>
      <c r="G1510" s="561">
        <v>16747</v>
      </c>
      <c r="H1510" s="561">
        <v>1284566.2</v>
      </c>
      <c r="I1510" s="561">
        <v>930</v>
      </c>
      <c r="J1510" s="561">
        <v>39770.1</v>
      </c>
      <c r="K1510" s="561">
        <v>16694</v>
      </c>
      <c r="L1510" s="561">
        <v>1244796.1000000001</v>
      </c>
      <c r="M1510" s="561">
        <v>1244796.1000000001</v>
      </c>
      <c r="N1510" s="561">
        <v>299254</v>
      </c>
      <c r="O1510" s="561">
        <v>59789.9</v>
      </c>
      <c r="P1510" s="561">
        <v>885752.2</v>
      </c>
    </row>
    <row r="1511" spans="1:111">
      <c r="C1511" s="561" t="s">
        <v>1197</v>
      </c>
      <c r="D1511" s="561">
        <v>1066771.3</v>
      </c>
      <c r="E1511" s="561">
        <v>319500</v>
      </c>
      <c r="F1511" s="561">
        <v>747271.3</v>
      </c>
      <c r="G1511" s="561">
        <v>15189</v>
      </c>
      <c r="H1511" s="561">
        <v>1101959.2</v>
      </c>
      <c r="I1511" s="561">
        <v>879</v>
      </c>
      <c r="J1511" s="561">
        <v>35187.9</v>
      </c>
      <c r="K1511" s="561">
        <v>15139</v>
      </c>
      <c r="L1511" s="561">
        <v>1066771.3</v>
      </c>
      <c r="M1511" s="561">
        <v>1066771.3</v>
      </c>
      <c r="N1511" s="561">
        <v>261385</v>
      </c>
      <c r="O1511" s="561">
        <v>58115</v>
      </c>
    </row>
    <row r="1512" spans="1:111">
      <c r="C1512" s="561" t="s">
        <v>1198</v>
      </c>
      <c r="D1512" s="561">
        <v>72027.7</v>
      </c>
      <c r="E1512" s="561">
        <v>1200</v>
      </c>
      <c r="F1512" s="561">
        <v>70827.7</v>
      </c>
      <c r="G1512" s="561">
        <v>245</v>
      </c>
      <c r="H1512" s="561">
        <v>75887.5</v>
      </c>
      <c r="I1512" s="561">
        <v>28</v>
      </c>
      <c r="J1512" s="561">
        <v>3859.8</v>
      </c>
      <c r="K1512" s="561">
        <v>243</v>
      </c>
      <c r="L1512" s="561">
        <v>72027.7</v>
      </c>
      <c r="M1512" s="561">
        <v>72027.7</v>
      </c>
      <c r="N1512" s="561">
        <v>133.30000000000001</v>
      </c>
      <c r="O1512" s="561">
        <v>1066.7</v>
      </c>
    </row>
    <row r="1513" spans="1:111">
      <c r="C1513" s="561" t="s">
        <v>1199</v>
      </c>
      <c r="D1513" s="561">
        <v>105997.1</v>
      </c>
      <c r="E1513" s="561">
        <v>38343.9</v>
      </c>
      <c r="F1513" s="561">
        <v>67653.200000000012</v>
      </c>
      <c r="G1513" s="561">
        <v>1313</v>
      </c>
      <c r="H1513" s="561">
        <v>106719.5</v>
      </c>
      <c r="I1513" s="561">
        <v>23</v>
      </c>
      <c r="J1513" s="561">
        <v>722.4</v>
      </c>
      <c r="K1513" s="561">
        <v>1312</v>
      </c>
      <c r="L1513" s="561">
        <v>105997.1</v>
      </c>
      <c r="M1513" s="561">
        <v>105997.1</v>
      </c>
      <c r="N1513" s="561">
        <v>37735.699999999997</v>
      </c>
      <c r="O1513" s="561">
        <v>608.20000000000005</v>
      </c>
      <c r="AL1513" s="561">
        <v>67653.2</v>
      </c>
    </row>
    <row r="1514" spans="1:111">
      <c r="A1514" s="561">
        <v>2</v>
      </c>
      <c r="B1514" s="561" t="s">
        <v>1389</v>
      </c>
      <c r="C1514" s="561" t="s">
        <v>1267</v>
      </c>
      <c r="D1514" s="561">
        <v>364638.7</v>
      </c>
      <c r="E1514" s="561">
        <v>99387.3</v>
      </c>
      <c r="F1514" s="561">
        <v>265251.40000000002</v>
      </c>
      <c r="G1514" s="561">
        <v>5433</v>
      </c>
      <c r="H1514" s="561">
        <v>373069.2</v>
      </c>
      <c r="I1514" s="561">
        <v>133</v>
      </c>
      <c r="J1514" s="561">
        <v>8430.5</v>
      </c>
      <c r="K1514" s="561">
        <v>5422</v>
      </c>
      <c r="L1514" s="561">
        <v>364638.7</v>
      </c>
      <c r="M1514" s="561">
        <v>364638.7</v>
      </c>
      <c r="N1514" s="561">
        <v>99387.3</v>
      </c>
      <c r="P1514" s="561">
        <v>265251.43</v>
      </c>
    </row>
    <row r="1515" spans="1:111">
      <c r="C1515" s="561" t="s">
        <v>1197</v>
      </c>
      <c r="D1515" s="561">
        <v>351447.3</v>
      </c>
      <c r="E1515" s="561">
        <v>95757.3</v>
      </c>
      <c r="F1515" s="561">
        <v>255690</v>
      </c>
      <c r="G1515" s="561">
        <v>4425</v>
      </c>
      <c r="H1515" s="561">
        <v>359839.7</v>
      </c>
      <c r="I1515" s="561">
        <v>126</v>
      </c>
      <c r="J1515" s="561">
        <v>8392.4</v>
      </c>
      <c r="K1515" s="561">
        <v>4414</v>
      </c>
      <c r="L1515" s="561">
        <v>351447.3</v>
      </c>
      <c r="M1515" s="561">
        <v>351447.3</v>
      </c>
      <c r="N1515" s="561">
        <v>95757.3</v>
      </c>
    </row>
    <row r="1516" spans="1:111">
      <c r="C1516" s="561" t="s">
        <v>1199</v>
      </c>
      <c r="D1516" s="561">
        <v>13191.4</v>
      </c>
      <c r="E1516" s="561">
        <v>3630</v>
      </c>
      <c r="F1516" s="561">
        <v>9561.4</v>
      </c>
      <c r="G1516" s="561">
        <v>1008</v>
      </c>
      <c r="H1516" s="561">
        <v>13229.5</v>
      </c>
      <c r="I1516" s="561">
        <v>7</v>
      </c>
      <c r="J1516" s="561">
        <v>38.1</v>
      </c>
      <c r="K1516" s="561">
        <v>1008</v>
      </c>
      <c r="L1516" s="561">
        <v>13191.4</v>
      </c>
      <c r="M1516" s="561">
        <v>13191.4</v>
      </c>
      <c r="N1516" s="561">
        <v>3630</v>
      </c>
      <c r="AL1516" s="561">
        <v>9561.4</v>
      </c>
    </row>
    <row r="1517" spans="1:111">
      <c r="A1517" s="561">
        <v>3</v>
      </c>
      <c r="B1517" s="561" t="s">
        <v>1390</v>
      </c>
      <c r="C1517" s="561" t="s">
        <v>1206</v>
      </c>
      <c r="D1517" s="561">
        <v>62758.3</v>
      </c>
      <c r="E1517" s="561">
        <v>17030.400000000001</v>
      </c>
      <c r="F1517" s="561">
        <v>45727.9</v>
      </c>
      <c r="G1517" s="561">
        <v>840</v>
      </c>
      <c r="H1517" s="561">
        <v>63434.5</v>
      </c>
      <c r="I1517" s="561">
        <v>27</v>
      </c>
      <c r="J1517" s="561">
        <v>676.2</v>
      </c>
      <c r="K1517" s="561">
        <v>840</v>
      </c>
      <c r="L1517" s="561">
        <v>62758.3</v>
      </c>
      <c r="M1517" s="561">
        <v>62758.3</v>
      </c>
      <c r="N1517" s="561">
        <v>17030.400000000001</v>
      </c>
      <c r="P1517" s="561">
        <v>45727.9</v>
      </c>
    </row>
    <row r="1518" spans="1:111">
      <c r="C1518" s="561" t="s">
        <v>1197</v>
      </c>
      <c r="D1518" s="561">
        <v>62758.3</v>
      </c>
      <c r="E1518" s="561">
        <v>17030.400000000001</v>
      </c>
      <c r="F1518" s="561">
        <v>45727.9</v>
      </c>
      <c r="G1518" s="561">
        <v>840</v>
      </c>
      <c r="H1518" s="561">
        <v>63434.5</v>
      </c>
      <c r="I1518" s="561">
        <v>27</v>
      </c>
      <c r="J1518" s="561">
        <v>676.2</v>
      </c>
      <c r="K1518" s="561">
        <v>840</v>
      </c>
      <c r="L1518" s="561">
        <v>62758.3</v>
      </c>
      <c r="M1518" s="561">
        <v>62758.3</v>
      </c>
      <c r="N1518" s="561">
        <v>17030.400000000001</v>
      </c>
    </row>
    <row r="1519" spans="1:111">
      <c r="A1519" s="561">
        <v>4</v>
      </c>
      <c r="B1519" s="561" t="s">
        <v>1391</v>
      </c>
      <c r="C1519" s="561" t="s">
        <v>1267</v>
      </c>
      <c r="D1519" s="561">
        <v>835679.1</v>
      </c>
      <c r="E1519" s="561">
        <v>205160.1</v>
      </c>
      <c r="F1519" s="561">
        <v>630519</v>
      </c>
      <c r="G1519" s="561">
        <v>13201</v>
      </c>
      <c r="H1519" s="561">
        <v>856592.8</v>
      </c>
      <c r="I1519" s="561">
        <v>562</v>
      </c>
      <c r="J1519" s="561">
        <v>20913.7</v>
      </c>
      <c r="K1519" s="561">
        <v>13156</v>
      </c>
      <c r="L1519" s="561">
        <v>835679.1</v>
      </c>
      <c r="M1519" s="561">
        <v>835679.1</v>
      </c>
      <c r="N1519" s="561">
        <v>97668.800000000003</v>
      </c>
      <c r="O1519" s="561">
        <v>107491.3</v>
      </c>
      <c r="P1519" s="561">
        <v>630519</v>
      </c>
    </row>
    <row r="1520" spans="1:111">
      <c r="C1520" s="561" t="s">
        <v>1197</v>
      </c>
      <c r="D1520" s="561">
        <v>821840.6</v>
      </c>
      <c r="E1520" s="561">
        <v>202355.1</v>
      </c>
      <c r="F1520" s="561">
        <v>619485.5</v>
      </c>
      <c r="G1520" s="561">
        <v>12108</v>
      </c>
      <c r="H1520" s="561">
        <v>842681.8</v>
      </c>
      <c r="I1520" s="561">
        <v>553</v>
      </c>
      <c r="J1520" s="561">
        <v>20841.2</v>
      </c>
      <c r="K1520" s="561">
        <v>12063</v>
      </c>
      <c r="L1520" s="561">
        <v>821840.6</v>
      </c>
      <c r="M1520" s="561">
        <v>821840.6</v>
      </c>
      <c r="N1520" s="561">
        <v>96236.2</v>
      </c>
      <c r="O1520" s="561">
        <v>106118.9</v>
      </c>
    </row>
    <row r="1521" spans="1:54">
      <c r="C1521" s="561" t="s">
        <v>1199</v>
      </c>
      <c r="D1521" s="561">
        <v>13838.5</v>
      </c>
      <c r="E1521" s="561">
        <v>2805</v>
      </c>
      <c r="F1521" s="561">
        <v>11033.5</v>
      </c>
      <c r="G1521" s="561">
        <v>1093</v>
      </c>
      <c r="H1521" s="561">
        <v>13911</v>
      </c>
      <c r="I1521" s="561">
        <v>9</v>
      </c>
      <c r="J1521" s="561">
        <v>72.5</v>
      </c>
      <c r="K1521" s="561">
        <v>1093</v>
      </c>
      <c r="L1521" s="561">
        <v>13838.5</v>
      </c>
      <c r="M1521" s="561">
        <v>13838.5</v>
      </c>
      <c r="N1521" s="561">
        <v>1432.6</v>
      </c>
      <c r="O1521" s="561">
        <v>1372.4</v>
      </c>
      <c r="BB1521" s="561">
        <v>11033.5</v>
      </c>
    </row>
    <row r="1522" spans="1:54">
      <c r="A1522" s="561">
        <v>5</v>
      </c>
      <c r="B1522" s="561" t="s">
        <v>1392</v>
      </c>
      <c r="C1522" s="561" t="s">
        <v>1267</v>
      </c>
      <c r="D1522" s="561">
        <v>144993.5</v>
      </c>
      <c r="E1522" s="561">
        <v>37097.1</v>
      </c>
      <c r="F1522" s="561">
        <v>107896.4</v>
      </c>
      <c r="G1522" s="561">
        <v>2431</v>
      </c>
      <c r="H1522" s="561">
        <v>148031.5</v>
      </c>
      <c r="I1522" s="561">
        <v>82</v>
      </c>
      <c r="J1522" s="561">
        <v>3038</v>
      </c>
      <c r="K1522" s="561">
        <v>2430</v>
      </c>
      <c r="L1522" s="561">
        <v>144993.5</v>
      </c>
      <c r="M1522" s="561">
        <v>144993.5</v>
      </c>
      <c r="N1522" s="561">
        <v>33097.1</v>
      </c>
      <c r="O1522" s="561">
        <v>4000</v>
      </c>
      <c r="P1522" s="561">
        <v>107896.4</v>
      </c>
    </row>
    <row r="1523" spans="1:54">
      <c r="C1523" s="561" t="s">
        <v>1197</v>
      </c>
      <c r="D1523" s="561">
        <v>134793.20000000001</v>
      </c>
      <c r="E1523" s="561">
        <v>36107.1</v>
      </c>
      <c r="F1523" s="561">
        <v>98686.1</v>
      </c>
      <c r="G1523" s="561">
        <v>1765</v>
      </c>
      <c r="H1523" s="561">
        <v>137824.6</v>
      </c>
      <c r="I1523" s="561">
        <v>81</v>
      </c>
      <c r="J1523" s="561">
        <v>3031.4</v>
      </c>
      <c r="K1523" s="561">
        <v>1764</v>
      </c>
      <c r="L1523" s="561">
        <v>134793.20000000001</v>
      </c>
      <c r="M1523" s="561">
        <v>134793.20000000001</v>
      </c>
      <c r="N1523" s="561">
        <v>32107.1</v>
      </c>
      <c r="O1523" s="561">
        <v>4000</v>
      </c>
    </row>
    <row r="1524" spans="1:54">
      <c r="C1524" s="561" t="s">
        <v>1199</v>
      </c>
      <c r="D1524" s="561">
        <v>9464</v>
      </c>
      <c r="E1524" s="561">
        <v>990</v>
      </c>
      <c r="F1524" s="561">
        <v>8474</v>
      </c>
      <c r="G1524" s="561">
        <v>622</v>
      </c>
      <c r="H1524" s="561">
        <v>9470.6</v>
      </c>
      <c r="I1524" s="561">
        <v>1</v>
      </c>
      <c r="J1524" s="561">
        <v>6.6</v>
      </c>
      <c r="K1524" s="561">
        <v>622</v>
      </c>
      <c r="L1524" s="561">
        <v>9464</v>
      </c>
      <c r="M1524" s="561">
        <v>9464</v>
      </c>
      <c r="N1524" s="561">
        <v>990</v>
      </c>
      <c r="AT1524" s="561">
        <v>8474</v>
      </c>
    </row>
    <row r="1525" spans="1:54">
      <c r="C1525" s="561" t="s">
        <v>1203</v>
      </c>
      <c r="D1525" s="561">
        <v>736.3</v>
      </c>
      <c r="F1525" s="561">
        <v>736.3</v>
      </c>
      <c r="G1525" s="561">
        <v>44</v>
      </c>
      <c r="H1525" s="561">
        <v>736.3</v>
      </c>
      <c r="K1525" s="561">
        <v>44</v>
      </c>
      <c r="L1525" s="561">
        <v>736.3</v>
      </c>
      <c r="M1525" s="561">
        <v>736.3</v>
      </c>
      <c r="P1525" s="561">
        <v>736.3</v>
      </c>
    </row>
    <row r="1526" spans="1:54">
      <c r="A1526" s="561">
        <v>6</v>
      </c>
      <c r="B1526" s="561" t="s">
        <v>1393</v>
      </c>
      <c r="C1526" s="561" t="s">
        <v>1267</v>
      </c>
      <c r="D1526" s="561">
        <v>659885.30000000005</v>
      </c>
      <c r="E1526" s="561">
        <v>184056</v>
      </c>
      <c r="F1526" s="561">
        <v>475829.30000000005</v>
      </c>
      <c r="G1526" s="561">
        <v>3004</v>
      </c>
      <c r="H1526" s="561">
        <v>708814</v>
      </c>
      <c r="I1526" s="561">
        <v>242</v>
      </c>
      <c r="J1526" s="561">
        <v>48928.7</v>
      </c>
      <c r="K1526" s="561">
        <v>2984</v>
      </c>
      <c r="L1526" s="561">
        <v>659885.30000000005</v>
      </c>
      <c r="M1526" s="561">
        <v>659885.30000000005</v>
      </c>
      <c r="N1526" s="561">
        <v>171406.6</v>
      </c>
      <c r="O1526" s="561">
        <v>12649.4</v>
      </c>
      <c r="P1526" s="561">
        <v>475829.3</v>
      </c>
    </row>
    <row r="1527" spans="1:54">
      <c r="C1527" s="561" t="s">
        <v>1197</v>
      </c>
      <c r="D1527" s="561">
        <v>341918.7</v>
      </c>
      <c r="E1527" s="561">
        <v>172631.1</v>
      </c>
      <c r="F1527" s="561">
        <v>169287.6</v>
      </c>
      <c r="G1527" s="561">
        <v>2748</v>
      </c>
      <c r="H1527" s="561">
        <v>356066.3</v>
      </c>
      <c r="I1527" s="561">
        <v>205</v>
      </c>
      <c r="J1527" s="561">
        <v>14147.6</v>
      </c>
      <c r="K1527" s="561">
        <v>2733</v>
      </c>
      <c r="L1527" s="561">
        <v>341918.7</v>
      </c>
      <c r="M1527" s="561">
        <v>341918.7</v>
      </c>
      <c r="N1527" s="561">
        <v>161139</v>
      </c>
      <c r="O1527" s="561">
        <v>11492.1</v>
      </c>
    </row>
    <row r="1528" spans="1:54">
      <c r="C1528" s="561" t="s">
        <v>1198</v>
      </c>
      <c r="D1528" s="561">
        <v>317966.59999999998</v>
      </c>
      <c r="E1528" s="561">
        <v>11424.9</v>
      </c>
      <c r="F1528" s="561">
        <v>306541.69999999995</v>
      </c>
      <c r="G1528" s="561">
        <v>256</v>
      </c>
      <c r="H1528" s="561">
        <v>352747.7</v>
      </c>
      <c r="I1528" s="561">
        <v>37</v>
      </c>
      <c r="J1528" s="561">
        <v>34781.1</v>
      </c>
      <c r="K1528" s="561">
        <v>251</v>
      </c>
      <c r="L1528" s="561">
        <v>317966.59999999998</v>
      </c>
      <c r="M1528" s="561">
        <v>317966.59999999998</v>
      </c>
      <c r="N1528" s="561">
        <v>10267.6</v>
      </c>
      <c r="O1528" s="561">
        <v>1157.3</v>
      </c>
    </row>
    <row r="1529" spans="1:54">
      <c r="A1529" s="561">
        <v>7</v>
      </c>
      <c r="B1529" s="561" t="s">
        <v>1394</v>
      </c>
      <c r="C1529" s="561" t="s">
        <v>1267</v>
      </c>
      <c r="D1529" s="561">
        <v>261982.5</v>
      </c>
      <c r="E1529" s="561">
        <v>60426.3</v>
      </c>
      <c r="F1529" s="561">
        <v>201556.2</v>
      </c>
      <c r="G1529" s="561">
        <v>5746</v>
      </c>
      <c r="H1529" s="561">
        <v>268065.59999999998</v>
      </c>
      <c r="I1529" s="561">
        <v>217</v>
      </c>
      <c r="J1529" s="561">
        <v>6083.3</v>
      </c>
      <c r="K1529" s="561">
        <v>5744</v>
      </c>
      <c r="L1529" s="561">
        <v>261982.4</v>
      </c>
      <c r="M1529" s="561">
        <v>261982.4</v>
      </c>
      <c r="N1529" s="561">
        <v>28603.8</v>
      </c>
      <c r="O1529" s="561">
        <v>31822.5</v>
      </c>
      <c r="P1529" s="561">
        <v>201556.1</v>
      </c>
    </row>
    <row r="1530" spans="1:54">
      <c r="C1530" s="561" t="s">
        <v>1197</v>
      </c>
      <c r="D1530" s="561">
        <v>254797.4</v>
      </c>
      <c r="E1530" s="561">
        <v>58776.3</v>
      </c>
      <c r="F1530" s="561">
        <v>196021.09999999998</v>
      </c>
      <c r="G1530" s="561">
        <v>5184</v>
      </c>
      <c r="H1530" s="561">
        <v>260796.5</v>
      </c>
      <c r="I1530" s="561">
        <v>198</v>
      </c>
      <c r="J1530" s="561">
        <v>5999.3</v>
      </c>
      <c r="K1530" s="561">
        <v>5182</v>
      </c>
      <c r="L1530" s="561">
        <v>254797.3</v>
      </c>
      <c r="M1530" s="561">
        <v>254797.3</v>
      </c>
      <c r="N1530" s="561">
        <v>27808.7</v>
      </c>
      <c r="O1530" s="561">
        <v>30967.599999999999</v>
      </c>
    </row>
    <row r="1531" spans="1:54">
      <c r="C1531" s="561" t="s">
        <v>1199</v>
      </c>
      <c r="D1531" s="561">
        <v>7185.1</v>
      </c>
      <c r="E1531" s="561">
        <v>1650</v>
      </c>
      <c r="F1531" s="561">
        <v>5535.1</v>
      </c>
      <c r="G1531" s="561">
        <v>562</v>
      </c>
      <c r="H1531" s="561">
        <v>7269.1</v>
      </c>
      <c r="I1531" s="561">
        <v>19</v>
      </c>
      <c r="J1531" s="561">
        <v>84</v>
      </c>
      <c r="K1531" s="561">
        <v>562</v>
      </c>
      <c r="L1531" s="561">
        <v>7185.1</v>
      </c>
      <c r="M1531" s="561">
        <v>7185.1</v>
      </c>
      <c r="N1531" s="561">
        <v>795.1</v>
      </c>
      <c r="O1531" s="561">
        <v>854.9</v>
      </c>
      <c r="BB1531" s="561">
        <v>5535.1</v>
      </c>
    </row>
    <row r="1532" spans="1:54">
      <c r="A1532" s="561">
        <v>8</v>
      </c>
      <c r="B1532" s="561" t="s">
        <v>1395</v>
      </c>
      <c r="C1532" s="561" t="s">
        <v>1267</v>
      </c>
      <c r="D1532" s="561">
        <v>188094.5</v>
      </c>
      <c r="E1532" s="561">
        <v>50460.9</v>
      </c>
      <c r="F1532" s="561">
        <v>137633.60000000001</v>
      </c>
      <c r="G1532" s="561">
        <v>4088</v>
      </c>
      <c r="H1532" s="561">
        <v>194824.6</v>
      </c>
      <c r="I1532" s="561">
        <v>242</v>
      </c>
      <c r="J1532" s="561">
        <v>6730</v>
      </c>
      <c r="K1532" s="561">
        <v>4079</v>
      </c>
      <c r="L1532" s="561">
        <v>188094.5</v>
      </c>
      <c r="M1532" s="561">
        <v>188094.5</v>
      </c>
      <c r="N1532" s="561">
        <v>50460.9</v>
      </c>
      <c r="P1532" s="561">
        <v>137633.60000000001</v>
      </c>
    </row>
    <row r="1533" spans="1:54">
      <c r="C1533" s="561" t="s">
        <v>1197</v>
      </c>
      <c r="D1533" s="561">
        <v>153695.9</v>
      </c>
      <c r="E1533" s="561">
        <v>43860.9</v>
      </c>
      <c r="F1533" s="561">
        <v>109835</v>
      </c>
      <c r="G1533" s="561">
        <v>1930</v>
      </c>
      <c r="H1533" s="561">
        <v>160038.6</v>
      </c>
      <c r="I1533" s="561">
        <v>193</v>
      </c>
      <c r="J1533" s="561">
        <v>6342.6</v>
      </c>
      <c r="K1533" s="561">
        <v>1921</v>
      </c>
      <c r="L1533" s="561">
        <v>153695.9</v>
      </c>
      <c r="M1533" s="561">
        <v>153695.9</v>
      </c>
      <c r="N1533" s="561">
        <v>43860.9</v>
      </c>
    </row>
    <row r="1534" spans="1:54">
      <c r="C1534" s="561" t="s">
        <v>1199</v>
      </c>
      <c r="D1534" s="561">
        <v>34398.6</v>
      </c>
      <c r="E1534" s="561">
        <v>6600</v>
      </c>
      <c r="F1534" s="561">
        <v>27798.6</v>
      </c>
      <c r="G1534" s="561">
        <v>2158</v>
      </c>
      <c r="H1534" s="561">
        <v>34786</v>
      </c>
      <c r="I1534" s="561">
        <v>49</v>
      </c>
      <c r="J1534" s="561">
        <v>387.4</v>
      </c>
      <c r="K1534" s="561">
        <v>2158</v>
      </c>
      <c r="L1534" s="561">
        <v>34398.6</v>
      </c>
      <c r="M1534" s="561">
        <v>34398.6</v>
      </c>
      <c r="N1534" s="561">
        <v>6600</v>
      </c>
      <c r="AL1534" s="561">
        <v>27798.6</v>
      </c>
    </row>
    <row r="1535" spans="1:54">
      <c r="A1535" s="561">
        <v>9</v>
      </c>
      <c r="B1535" s="561" t="s">
        <v>1396</v>
      </c>
      <c r="C1535" s="561" t="s">
        <v>1267</v>
      </c>
      <c r="D1535" s="561">
        <v>264820.90999999997</v>
      </c>
      <c r="E1535" s="561">
        <v>73008</v>
      </c>
      <c r="F1535" s="561">
        <v>191812.90999999997</v>
      </c>
      <c r="G1535" s="561">
        <v>4585</v>
      </c>
      <c r="H1535" s="561">
        <v>283697.90000000002</v>
      </c>
      <c r="I1535" s="561">
        <v>490</v>
      </c>
      <c r="J1535" s="561">
        <v>18877</v>
      </c>
      <c r="K1535" s="561">
        <v>4558</v>
      </c>
      <c r="L1535" s="561">
        <v>264820.90999999997</v>
      </c>
      <c r="M1535" s="561">
        <v>264820.90999999997</v>
      </c>
      <c r="N1535" s="561">
        <v>73008</v>
      </c>
      <c r="P1535" s="561">
        <v>191812.9</v>
      </c>
    </row>
    <row r="1536" spans="1:54">
      <c r="C1536" s="561" t="s">
        <v>1197</v>
      </c>
      <c r="D1536" s="561">
        <v>263765.59999999998</v>
      </c>
      <c r="E1536" s="561">
        <v>72183</v>
      </c>
      <c r="F1536" s="561">
        <v>191582.59999999998</v>
      </c>
      <c r="G1536" s="561">
        <v>4518</v>
      </c>
      <c r="H1536" s="561">
        <v>282625.3</v>
      </c>
      <c r="I1536" s="561">
        <v>489</v>
      </c>
      <c r="J1536" s="561">
        <v>18859.7</v>
      </c>
      <c r="K1536" s="561">
        <v>4491</v>
      </c>
      <c r="L1536" s="561">
        <v>263765.59999999998</v>
      </c>
      <c r="M1536" s="561">
        <v>263765.59999999998</v>
      </c>
      <c r="N1536" s="561">
        <v>72183</v>
      </c>
      <c r="P1536" s="561">
        <v>191582.6</v>
      </c>
    </row>
    <row r="1537" spans="1:38">
      <c r="C1537" s="561" t="s">
        <v>1199</v>
      </c>
      <c r="D1537" s="561">
        <v>1055.3</v>
      </c>
      <c r="E1537" s="561">
        <v>825</v>
      </c>
      <c r="F1537" s="561">
        <v>230.29999999999995</v>
      </c>
      <c r="G1537" s="561">
        <v>67</v>
      </c>
      <c r="H1537" s="561">
        <v>1072.5999999999999</v>
      </c>
      <c r="I1537" s="561">
        <v>1</v>
      </c>
      <c r="J1537" s="561">
        <v>17.3</v>
      </c>
      <c r="K1537" s="561">
        <v>67</v>
      </c>
      <c r="L1537" s="561">
        <v>1055.3</v>
      </c>
      <c r="M1537" s="561">
        <v>1055.3</v>
      </c>
      <c r="N1537" s="561">
        <v>825</v>
      </c>
      <c r="AL1537" s="561">
        <v>230.3</v>
      </c>
    </row>
    <row r="1538" spans="1:38">
      <c r="A1538" s="561">
        <v>10</v>
      </c>
      <c r="B1538" s="561" t="s">
        <v>1397</v>
      </c>
      <c r="C1538" s="561" t="s">
        <v>1267</v>
      </c>
      <c r="D1538" s="561">
        <v>164658.6</v>
      </c>
      <c r="E1538" s="561">
        <v>47817</v>
      </c>
      <c r="F1538" s="561">
        <v>116841.60000000001</v>
      </c>
      <c r="G1538" s="561">
        <v>3879</v>
      </c>
      <c r="H1538" s="561">
        <v>173959.5</v>
      </c>
      <c r="I1538" s="561">
        <v>298</v>
      </c>
      <c r="J1538" s="561">
        <v>9300.9</v>
      </c>
      <c r="K1538" s="561">
        <v>3864</v>
      </c>
      <c r="L1538" s="561">
        <v>164658.6</v>
      </c>
      <c r="M1538" s="561">
        <v>164658.6</v>
      </c>
      <c r="N1538" s="561">
        <v>47817</v>
      </c>
      <c r="P1538" s="561">
        <v>116841.60000000001</v>
      </c>
    </row>
    <row r="1539" spans="1:38">
      <c r="C1539" s="561" t="s">
        <v>1197</v>
      </c>
      <c r="D1539" s="561">
        <v>141153.9</v>
      </c>
      <c r="E1539" s="561">
        <v>42867</v>
      </c>
      <c r="F1539" s="561">
        <v>98286.9</v>
      </c>
      <c r="G1539" s="561">
        <v>2314</v>
      </c>
      <c r="H1539" s="561">
        <v>150053.1</v>
      </c>
      <c r="I1539" s="561">
        <v>238</v>
      </c>
      <c r="J1539" s="561">
        <v>8899.2000000000007</v>
      </c>
      <c r="K1539" s="561">
        <v>2299</v>
      </c>
      <c r="L1539" s="561">
        <v>141153.9</v>
      </c>
      <c r="M1539" s="561">
        <v>141153.9</v>
      </c>
      <c r="N1539" s="561">
        <v>42867</v>
      </c>
    </row>
    <row r="1540" spans="1:38">
      <c r="C1540" s="561" t="s">
        <v>1199</v>
      </c>
      <c r="D1540" s="561">
        <v>23504.7</v>
      </c>
      <c r="E1540" s="561">
        <v>4950</v>
      </c>
      <c r="F1540" s="561">
        <v>18554.7</v>
      </c>
      <c r="G1540" s="561">
        <v>1565</v>
      </c>
      <c r="H1540" s="561">
        <v>23906.400000000001</v>
      </c>
      <c r="I1540" s="561">
        <v>60</v>
      </c>
      <c r="J1540" s="561">
        <v>401.7</v>
      </c>
      <c r="K1540" s="561">
        <v>1565</v>
      </c>
      <c r="L1540" s="561">
        <v>23504.7</v>
      </c>
      <c r="M1540" s="561">
        <v>23504.7</v>
      </c>
      <c r="N1540" s="561">
        <v>4950</v>
      </c>
      <c r="AL1540" s="561">
        <v>18554.7</v>
      </c>
    </row>
    <row r="1541" spans="1:38">
      <c r="A1541" s="561">
        <v>11</v>
      </c>
      <c r="B1541" s="561" t="s">
        <v>1398</v>
      </c>
      <c r="C1541" s="561" t="s">
        <v>1267</v>
      </c>
      <c r="D1541" s="561">
        <v>89823.7</v>
      </c>
      <c r="E1541" s="561">
        <v>26842.2</v>
      </c>
      <c r="F1541" s="561">
        <v>62981.5</v>
      </c>
      <c r="G1541" s="561">
        <v>2078</v>
      </c>
      <c r="H1541" s="561">
        <v>94931.7</v>
      </c>
      <c r="I1541" s="561">
        <v>142</v>
      </c>
      <c r="J1541" s="561">
        <v>5108</v>
      </c>
      <c r="K1541" s="561">
        <v>2073</v>
      </c>
      <c r="L1541" s="561">
        <v>89823.7</v>
      </c>
      <c r="M1541" s="561">
        <v>89823.7</v>
      </c>
      <c r="N1541" s="561">
        <v>26842.2</v>
      </c>
      <c r="P1541" s="561">
        <v>62981.5</v>
      </c>
    </row>
    <row r="1542" spans="1:38">
      <c r="C1542" s="561" t="s">
        <v>1197</v>
      </c>
      <c r="D1542" s="561">
        <v>79374.2</v>
      </c>
      <c r="E1542" s="561">
        <v>23872.2</v>
      </c>
      <c r="F1542" s="561">
        <v>55502</v>
      </c>
      <c r="G1542" s="561">
        <v>1377</v>
      </c>
      <c r="H1542" s="561">
        <v>84153.2</v>
      </c>
      <c r="I1542" s="561">
        <v>117</v>
      </c>
      <c r="J1542" s="561">
        <v>4779</v>
      </c>
      <c r="K1542" s="561">
        <v>1373</v>
      </c>
      <c r="L1542" s="561">
        <v>79374.2</v>
      </c>
      <c r="M1542" s="561">
        <v>79374.2</v>
      </c>
      <c r="N1542" s="561">
        <v>23872.2</v>
      </c>
    </row>
    <row r="1543" spans="1:38">
      <c r="C1543" s="561" t="s">
        <v>1199</v>
      </c>
      <c r="D1543" s="561">
        <v>10449.5</v>
      </c>
      <c r="E1543" s="561">
        <v>2970</v>
      </c>
      <c r="F1543" s="561">
        <v>7479.5</v>
      </c>
      <c r="G1543" s="561">
        <v>701</v>
      </c>
      <c r="H1543" s="561">
        <v>10778.5</v>
      </c>
      <c r="I1543" s="561">
        <v>25</v>
      </c>
      <c r="J1543" s="561">
        <v>329</v>
      </c>
      <c r="K1543" s="561">
        <v>700</v>
      </c>
      <c r="L1543" s="561">
        <v>10449.5</v>
      </c>
      <c r="M1543" s="561">
        <v>10449.5</v>
      </c>
      <c r="N1543" s="561">
        <v>2970</v>
      </c>
      <c r="AL1543" s="561">
        <v>7479.5</v>
      </c>
    </row>
    <row r="1544" spans="1:38">
      <c r="A1544" s="561">
        <v>12</v>
      </c>
      <c r="B1544" s="561" t="s">
        <v>1399</v>
      </c>
      <c r="C1544" s="561" t="s">
        <v>1267</v>
      </c>
      <c r="D1544" s="561">
        <v>100842.8</v>
      </c>
      <c r="E1544" s="561">
        <v>28768.5</v>
      </c>
      <c r="F1544" s="561">
        <v>72074.3</v>
      </c>
      <c r="G1544" s="561">
        <v>2641</v>
      </c>
      <c r="H1544" s="561">
        <v>107843.5</v>
      </c>
      <c r="I1544" s="561">
        <v>222</v>
      </c>
      <c r="J1544" s="561">
        <v>7000.7</v>
      </c>
      <c r="K1544" s="561">
        <v>2633</v>
      </c>
      <c r="L1544" s="561">
        <v>100842.8</v>
      </c>
      <c r="M1544" s="561">
        <v>100842.8</v>
      </c>
      <c r="N1544" s="561">
        <v>28768.5</v>
      </c>
      <c r="P1544" s="561">
        <v>72074.3</v>
      </c>
    </row>
    <row r="1545" spans="1:38">
      <c r="C1545" s="561" t="s">
        <v>1197</v>
      </c>
      <c r="D1545" s="561">
        <v>82108.600000000006</v>
      </c>
      <c r="E1545" s="561">
        <v>24808.5</v>
      </c>
      <c r="F1545" s="561">
        <v>57300.100000000006</v>
      </c>
      <c r="G1545" s="561">
        <v>1410</v>
      </c>
      <c r="H1545" s="561">
        <v>88783.9</v>
      </c>
      <c r="I1545" s="561">
        <v>189</v>
      </c>
      <c r="J1545" s="561">
        <v>6675.3</v>
      </c>
      <c r="K1545" s="561">
        <v>1404</v>
      </c>
      <c r="L1545" s="561">
        <v>82108.600000000006</v>
      </c>
      <c r="M1545" s="561">
        <v>82108.600000000006</v>
      </c>
      <c r="N1545" s="561">
        <v>24808.5</v>
      </c>
    </row>
    <row r="1546" spans="1:38">
      <c r="C1546" s="561" t="s">
        <v>1199</v>
      </c>
      <c r="D1546" s="561">
        <v>18734.2</v>
      </c>
      <c r="E1546" s="561">
        <v>3960</v>
      </c>
      <c r="F1546" s="561">
        <v>14774.2</v>
      </c>
      <c r="G1546" s="561">
        <v>1231</v>
      </c>
      <c r="H1546" s="561">
        <v>19059.599999999999</v>
      </c>
      <c r="I1546" s="561">
        <v>33</v>
      </c>
      <c r="J1546" s="561">
        <v>325.39999999999998</v>
      </c>
      <c r="K1546" s="561">
        <v>1229</v>
      </c>
      <c r="L1546" s="561">
        <v>18734.2</v>
      </c>
      <c r="M1546" s="561">
        <v>18734.2</v>
      </c>
      <c r="N1546" s="561">
        <v>3960</v>
      </c>
      <c r="AL1546" s="561">
        <v>14774.2</v>
      </c>
    </row>
    <row r="1547" spans="1:38">
      <c r="A1547" s="561">
        <v>13</v>
      </c>
      <c r="B1547" s="561" t="s">
        <v>1400</v>
      </c>
      <c r="C1547" s="561" t="s">
        <v>1267</v>
      </c>
      <c r="D1547" s="561">
        <v>96584.7</v>
      </c>
      <c r="E1547" s="561">
        <v>29319</v>
      </c>
      <c r="F1547" s="561">
        <v>67265.7</v>
      </c>
      <c r="G1547" s="561">
        <v>2464</v>
      </c>
      <c r="H1547" s="561">
        <v>102440.9</v>
      </c>
      <c r="I1547" s="561">
        <v>217</v>
      </c>
      <c r="J1547" s="561">
        <v>5856.2</v>
      </c>
      <c r="K1547" s="561">
        <v>2449</v>
      </c>
      <c r="L1547" s="561">
        <v>96584.7</v>
      </c>
      <c r="M1547" s="561">
        <v>96584.7</v>
      </c>
      <c r="N1547" s="561">
        <v>29319</v>
      </c>
      <c r="P1547" s="561">
        <v>67265.7</v>
      </c>
    </row>
    <row r="1548" spans="1:38">
      <c r="C1548" s="561" t="s">
        <v>1197</v>
      </c>
      <c r="D1548" s="561">
        <v>79475</v>
      </c>
      <c r="E1548" s="561">
        <v>26019</v>
      </c>
      <c r="F1548" s="561">
        <v>53456</v>
      </c>
      <c r="G1548" s="561">
        <v>1305</v>
      </c>
      <c r="H1548" s="561">
        <v>84954.9</v>
      </c>
      <c r="I1548" s="561">
        <v>155</v>
      </c>
      <c r="J1548" s="561">
        <v>5479.9</v>
      </c>
      <c r="K1548" s="561">
        <v>1292</v>
      </c>
      <c r="L1548" s="561">
        <v>79475</v>
      </c>
      <c r="M1548" s="561">
        <v>79475</v>
      </c>
      <c r="N1548" s="561">
        <v>26019</v>
      </c>
    </row>
    <row r="1549" spans="1:38">
      <c r="C1549" s="561" t="s">
        <v>1199</v>
      </c>
      <c r="D1549" s="561">
        <v>17109.7</v>
      </c>
      <c r="E1549" s="561">
        <v>3300</v>
      </c>
      <c r="F1549" s="561">
        <v>13809.7</v>
      </c>
      <c r="G1549" s="561">
        <v>1159</v>
      </c>
      <c r="H1549" s="561">
        <v>17486</v>
      </c>
      <c r="I1549" s="561">
        <v>62</v>
      </c>
      <c r="J1549" s="561">
        <v>376.3</v>
      </c>
      <c r="K1549" s="561">
        <v>1157</v>
      </c>
      <c r="L1549" s="561">
        <v>17109.7</v>
      </c>
      <c r="M1549" s="561">
        <v>17109.7</v>
      </c>
      <c r="N1549" s="561">
        <v>3300</v>
      </c>
      <c r="AL1549" s="561">
        <v>13809.7</v>
      </c>
    </row>
    <row r="1550" spans="1:38">
      <c r="A1550" s="561">
        <v>14</v>
      </c>
      <c r="B1550" s="561" t="s">
        <v>1401</v>
      </c>
      <c r="C1550" s="561" t="s">
        <v>1267</v>
      </c>
      <c r="D1550" s="561">
        <v>65445</v>
      </c>
      <c r="E1550" s="561">
        <v>21378.9</v>
      </c>
      <c r="F1550" s="561">
        <v>44066.1</v>
      </c>
      <c r="G1550" s="561">
        <v>1599</v>
      </c>
      <c r="H1550" s="561">
        <v>68617.8</v>
      </c>
      <c r="I1550" s="561">
        <v>115</v>
      </c>
      <c r="J1550" s="561">
        <v>3172.8</v>
      </c>
      <c r="K1550" s="561">
        <v>1594</v>
      </c>
      <c r="L1550" s="561">
        <v>65445</v>
      </c>
      <c r="M1550" s="561">
        <v>65445</v>
      </c>
      <c r="N1550" s="561">
        <v>21378.9</v>
      </c>
      <c r="P1550" s="561">
        <v>44066.1</v>
      </c>
    </row>
    <row r="1551" spans="1:38">
      <c r="C1551" s="561" t="s">
        <v>1197</v>
      </c>
      <c r="D1551" s="561">
        <v>57541.8</v>
      </c>
      <c r="E1551" s="561">
        <v>19728.900000000001</v>
      </c>
      <c r="F1551" s="561">
        <v>37812.9</v>
      </c>
      <c r="G1551" s="561">
        <v>998</v>
      </c>
      <c r="H1551" s="561">
        <v>60378.3</v>
      </c>
      <c r="I1551" s="561">
        <v>71</v>
      </c>
      <c r="J1551" s="561">
        <v>2836.5</v>
      </c>
      <c r="K1551" s="561">
        <v>994</v>
      </c>
      <c r="L1551" s="561">
        <v>57541.8</v>
      </c>
      <c r="M1551" s="561">
        <v>57541.8</v>
      </c>
      <c r="N1551" s="561">
        <v>19728.900000000001</v>
      </c>
    </row>
    <row r="1552" spans="1:38">
      <c r="C1552" s="561" t="s">
        <v>1199</v>
      </c>
      <c r="D1552" s="561">
        <v>7903.2</v>
      </c>
      <c r="E1552" s="561">
        <v>1650</v>
      </c>
      <c r="F1552" s="561">
        <v>6253.2</v>
      </c>
      <c r="G1552" s="561">
        <v>601</v>
      </c>
      <c r="H1552" s="561">
        <v>8239.5</v>
      </c>
      <c r="I1552" s="561">
        <v>44</v>
      </c>
      <c r="J1552" s="561">
        <v>336.3</v>
      </c>
      <c r="K1552" s="561">
        <v>600</v>
      </c>
      <c r="L1552" s="561">
        <v>7903.2</v>
      </c>
      <c r="M1552" s="561">
        <v>7903.2</v>
      </c>
      <c r="N1552" s="561">
        <v>1650</v>
      </c>
      <c r="AL1552" s="561">
        <v>6253.2</v>
      </c>
    </row>
    <row r="1553" spans="1:78">
      <c r="A1553" s="561">
        <v>15</v>
      </c>
      <c r="B1553" s="561" t="s">
        <v>1402</v>
      </c>
      <c r="C1553" s="561" t="s">
        <v>1267</v>
      </c>
      <c r="D1553" s="561">
        <v>272770.5</v>
      </c>
      <c r="E1553" s="561">
        <v>68292</v>
      </c>
      <c r="F1553" s="561">
        <v>204478.5</v>
      </c>
      <c r="G1553" s="561">
        <v>6624</v>
      </c>
      <c r="H1553" s="561">
        <v>293203.8</v>
      </c>
      <c r="I1553" s="561">
        <v>692</v>
      </c>
      <c r="J1553" s="561">
        <v>20433.3</v>
      </c>
      <c r="K1553" s="561">
        <v>6590</v>
      </c>
      <c r="L1553" s="561">
        <v>272770.5</v>
      </c>
      <c r="M1553" s="561">
        <v>272770.5</v>
      </c>
      <c r="N1553" s="561">
        <v>37024.400000000001</v>
      </c>
      <c r="O1553" s="561">
        <v>31267.599999999999</v>
      </c>
      <c r="P1553" s="561">
        <v>204478.5</v>
      </c>
    </row>
    <row r="1554" spans="1:78">
      <c r="C1554" s="561" t="s">
        <v>1197</v>
      </c>
      <c r="D1554" s="561">
        <v>236350.7</v>
      </c>
      <c r="E1554" s="561">
        <v>60042</v>
      </c>
      <c r="F1554" s="561">
        <v>176308.7</v>
      </c>
      <c r="G1554" s="561">
        <v>4243</v>
      </c>
      <c r="H1554" s="561">
        <v>254682.5</v>
      </c>
      <c r="I1554" s="561">
        <v>517</v>
      </c>
      <c r="J1554" s="561">
        <v>18331.8</v>
      </c>
      <c r="K1554" s="561">
        <v>4218</v>
      </c>
      <c r="L1554" s="561">
        <v>236350.7</v>
      </c>
      <c r="M1554" s="561">
        <v>236350.7</v>
      </c>
      <c r="N1554" s="561">
        <v>32871.4</v>
      </c>
      <c r="O1554" s="561">
        <v>27170.6</v>
      </c>
    </row>
    <row r="1555" spans="1:78">
      <c r="C1555" s="561" t="s">
        <v>1199</v>
      </c>
      <c r="D1555" s="561">
        <v>36419.800000000003</v>
      </c>
      <c r="E1555" s="561">
        <v>8250</v>
      </c>
      <c r="F1555" s="561">
        <v>28169.800000000003</v>
      </c>
      <c r="G1555" s="561">
        <v>2381</v>
      </c>
      <c r="H1555" s="561">
        <v>38521.300000000003</v>
      </c>
      <c r="I1555" s="561">
        <v>175</v>
      </c>
      <c r="J1555" s="561">
        <v>2101.5</v>
      </c>
      <c r="K1555" s="561">
        <v>2372</v>
      </c>
      <c r="L1555" s="561">
        <v>36419.800000000003</v>
      </c>
      <c r="M1555" s="561">
        <v>36419.800000000003</v>
      </c>
      <c r="N1555" s="561">
        <v>4153</v>
      </c>
      <c r="O1555" s="561">
        <v>4097</v>
      </c>
      <c r="AL1555" s="561">
        <v>28169.8</v>
      </c>
    </row>
    <row r="1556" spans="1:78">
      <c r="A1556" s="561">
        <v>16</v>
      </c>
      <c r="B1556" s="561" t="s">
        <v>1403</v>
      </c>
      <c r="C1556" s="561" t="s">
        <v>1267</v>
      </c>
      <c r="D1556" s="561">
        <v>120502.39999999999</v>
      </c>
      <c r="E1556" s="561">
        <v>36980.1</v>
      </c>
      <c r="F1556" s="561">
        <v>83522.299999999988</v>
      </c>
      <c r="G1556" s="561">
        <v>2477</v>
      </c>
      <c r="H1556" s="561">
        <v>124691.6</v>
      </c>
      <c r="I1556" s="561">
        <v>131</v>
      </c>
      <c r="J1556" s="561">
        <v>4189.2</v>
      </c>
      <c r="K1556" s="561">
        <v>2468</v>
      </c>
      <c r="L1556" s="561">
        <v>120502.39999999999</v>
      </c>
      <c r="M1556" s="561">
        <v>120502.39999999999</v>
      </c>
      <c r="N1556" s="561">
        <v>32578.2</v>
      </c>
      <c r="O1556" s="561">
        <v>4401.8999999999996</v>
      </c>
      <c r="P1556" s="561">
        <v>83522.3</v>
      </c>
    </row>
    <row r="1557" spans="1:78">
      <c r="C1557" s="561" t="s">
        <v>1197</v>
      </c>
      <c r="D1557" s="561">
        <v>115913.60000000001</v>
      </c>
      <c r="E1557" s="561">
        <v>35330.1</v>
      </c>
      <c r="F1557" s="561">
        <v>80583.5</v>
      </c>
      <c r="G1557" s="561">
        <v>2101</v>
      </c>
      <c r="H1557" s="561">
        <v>120082.8</v>
      </c>
      <c r="I1557" s="561">
        <v>125</v>
      </c>
      <c r="J1557" s="561">
        <v>4169.2</v>
      </c>
      <c r="K1557" s="561">
        <v>2092</v>
      </c>
      <c r="L1557" s="561">
        <v>115913.60000000001</v>
      </c>
      <c r="M1557" s="561">
        <v>115913.60000000001</v>
      </c>
      <c r="N1557" s="561">
        <v>31105.3</v>
      </c>
      <c r="O1557" s="561">
        <v>4224.8</v>
      </c>
    </row>
    <row r="1558" spans="1:78">
      <c r="C1558" s="561" t="s">
        <v>1199</v>
      </c>
      <c r="D1558" s="561">
        <v>4588.8</v>
      </c>
      <c r="E1558" s="561">
        <v>1650</v>
      </c>
      <c r="F1558" s="561">
        <v>2938.8</v>
      </c>
      <c r="G1558" s="561">
        <v>376</v>
      </c>
      <c r="H1558" s="561">
        <v>4608.8</v>
      </c>
      <c r="I1558" s="561">
        <v>6</v>
      </c>
      <c r="J1558" s="561">
        <v>20</v>
      </c>
      <c r="K1558" s="561">
        <v>376</v>
      </c>
      <c r="L1558" s="561">
        <v>4588.8</v>
      </c>
      <c r="M1558" s="561">
        <v>4588.8</v>
      </c>
      <c r="N1558" s="561">
        <v>1472.9</v>
      </c>
      <c r="O1558" s="561">
        <v>177.1</v>
      </c>
      <c r="AL1558" s="561">
        <v>2938.8</v>
      </c>
    </row>
    <row r="1559" spans="1:78">
      <c r="A1559" s="561">
        <v>17</v>
      </c>
      <c r="B1559" s="561" t="s">
        <v>1404</v>
      </c>
      <c r="C1559" s="561" t="s">
        <v>1267</v>
      </c>
      <c r="D1559" s="561">
        <v>9991</v>
      </c>
      <c r="E1559" s="561">
        <v>3003</v>
      </c>
      <c r="F1559" s="561">
        <v>6988</v>
      </c>
      <c r="G1559" s="561">
        <v>180</v>
      </c>
      <c r="H1559" s="561">
        <v>10078.9</v>
      </c>
      <c r="I1559" s="561">
        <v>3</v>
      </c>
      <c r="J1559" s="561">
        <v>88</v>
      </c>
      <c r="K1559" s="561">
        <v>180</v>
      </c>
      <c r="L1559" s="561">
        <v>9990.9</v>
      </c>
      <c r="M1559" s="561">
        <v>9990.9</v>
      </c>
      <c r="N1559" s="561">
        <v>3003</v>
      </c>
      <c r="P1559" s="561">
        <v>6987.9</v>
      </c>
    </row>
    <row r="1560" spans="1:78">
      <c r="C1560" s="561" t="s">
        <v>1197</v>
      </c>
      <c r="D1560" s="561">
        <v>9991</v>
      </c>
      <c r="E1560" s="561">
        <v>3003</v>
      </c>
      <c r="F1560" s="561">
        <v>6988</v>
      </c>
      <c r="G1560" s="561">
        <v>180</v>
      </c>
      <c r="H1560" s="561">
        <v>10078.9</v>
      </c>
      <c r="I1560" s="561">
        <v>3</v>
      </c>
      <c r="J1560" s="561">
        <v>88</v>
      </c>
      <c r="K1560" s="561">
        <v>180</v>
      </c>
      <c r="L1560" s="561">
        <v>9990.9</v>
      </c>
      <c r="M1560" s="561">
        <v>9990.9</v>
      </c>
      <c r="N1560" s="561">
        <v>3003</v>
      </c>
    </row>
    <row r="1561" spans="1:78">
      <c r="A1561" s="561">
        <v>18</v>
      </c>
      <c r="B1561" s="561" t="s">
        <v>1405</v>
      </c>
      <c r="C1561" s="561" t="s">
        <v>1267</v>
      </c>
      <c r="D1561" s="561">
        <v>10080.299999999999</v>
      </c>
      <c r="E1561" s="561">
        <v>3030</v>
      </c>
      <c r="F1561" s="561">
        <v>7050.2999999999993</v>
      </c>
      <c r="G1561" s="561">
        <v>131</v>
      </c>
      <c r="H1561" s="561">
        <v>11198.4</v>
      </c>
      <c r="I1561" s="561">
        <v>29</v>
      </c>
      <c r="J1561" s="561">
        <v>1118.0999999999999</v>
      </c>
      <c r="K1561" s="561">
        <v>131</v>
      </c>
      <c r="L1561" s="561">
        <v>10080.299999999999</v>
      </c>
      <c r="M1561" s="561">
        <v>10080.299999999999</v>
      </c>
      <c r="N1561" s="561">
        <v>3030</v>
      </c>
      <c r="P1561" s="561">
        <v>7050.3</v>
      </c>
    </row>
    <row r="1562" spans="1:78">
      <c r="C1562" s="561" t="s">
        <v>1197</v>
      </c>
      <c r="D1562" s="561">
        <v>10080.299999999999</v>
      </c>
      <c r="E1562" s="561">
        <v>3030</v>
      </c>
      <c r="F1562" s="561">
        <v>7050.2999999999993</v>
      </c>
      <c r="G1562" s="561">
        <v>131</v>
      </c>
      <c r="H1562" s="561">
        <v>11198.4</v>
      </c>
      <c r="I1562" s="561">
        <v>29</v>
      </c>
      <c r="J1562" s="561">
        <v>1118.0999999999999</v>
      </c>
      <c r="K1562" s="561">
        <v>131</v>
      </c>
      <c r="L1562" s="561">
        <v>10080.299999999999</v>
      </c>
      <c r="M1562" s="561">
        <v>10080.299999999999</v>
      </c>
      <c r="N1562" s="561">
        <v>3030</v>
      </c>
    </row>
    <row r="1563" spans="1:78">
      <c r="A1563" s="561">
        <v>19</v>
      </c>
      <c r="B1563" s="561" t="s">
        <v>1406</v>
      </c>
      <c r="C1563" s="561" t="s">
        <v>1267</v>
      </c>
      <c r="D1563" s="561">
        <v>29432.799999999999</v>
      </c>
      <c r="E1563" s="561">
        <v>6930</v>
      </c>
      <c r="F1563" s="561">
        <v>22502.799999999999</v>
      </c>
      <c r="G1563" s="561">
        <v>2020</v>
      </c>
      <c r="H1563" s="561">
        <v>29812.2</v>
      </c>
      <c r="I1563" s="561">
        <v>73</v>
      </c>
      <c r="J1563" s="561">
        <v>379.4</v>
      </c>
      <c r="K1563" s="561">
        <v>2019</v>
      </c>
      <c r="L1563" s="561">
        <v>29432.799999999999</v>
      </c>
      <c r="M1563" s="561">
        <v>29432.799999999999</v>
      </c>
      <c r="N1563" s="561">
        <v>6930</v>
      </c>
      <c r="P1563" s="561">
        <v>22502.799999999999</v>
      </c>
    </row>
    <row r="1564" spans="1:78">
      <c r="C1564" s="561" t="s">
        <v>1199</v>
      </c>
      <c r="D1564" s="561">
        <v>29432.799999999999</v>
      </c>
      <c r="E1564" s="561">
        <v>6930</v>
      </c>
      <c r="F1564" s="561">
        <v>22502.799999999999</v>
      </c>
      <c r="G1564" s="561">
        <v>2020</v>
      </c>
      <c r="H1564" s="561">
        <v>29812.2</v>
      </c>
      <c r="I1564" s="561">
        <v>73</v>
      </c>
      <c r="J1564" s="561">
        <v>379.4</v>
      </c>
      <c r="K1564" s="561">
        <v>2019</v>
      </c>
      <c r="L1564" s="561">
        <v>29432.799999999999</v>
      </c>
      <c r="M1564" s="561">
        <v>29432.799999999999</v>
      </c>
      <c r="N1564" s="561">
        <v>6930</v>
      </c>
      <c r="BZ1564" s="561">
        <v>22502.799999999999</v>
      </c>
    </row>
    <row r="1565" spans="1:78">
      <c r="A1565" s="561">
        <v>20</v>
      </c>
      <c r="B1565" s="561" t="s">
        <v>1407</v>
      </c>
      <c r="C1565" s="561" t="s">
        <v>1267</v>
      </c>
      <c r="D1565" s="561">
        <v>27672.1</v>
      </c>
      <c r="E1565" s="561">
        <v>6930</v>
      </c>
      <c r="F1565" s="561">
        <v>20742.099999999999</v>
      </c>
      <c r="G1565" s="561">
        <v>1981</v>
      </c>
      <c r="H1565" s="561">
        <v>28788.6</v>
      </c>
      <c r="I1565" s="561">
        <v>140</v>
      </c>
      <c r="J1565" s="561">
        <v>1116.5</v>
      </c>
      <c r="K1565" s="561">
        <v>1978</v>
      </c>
      <c r="L1565" s="561">
        <v>27672.1</v>
      </c>
      <c r="M1565" s="561">
        <v>27672.1</v>
      </c>
      <c r="N1565" s="561">
        <v>6930</v>
      </c>
      <c r="P1565" s="561">
        <v>20742.099999999999</v>
      </c>
    </row>
    <row r="1566" spans="1:78">
      <c r="C1566" s="561" t="s">
        <v>1199</v>
      </c>
      <c r="D1566" s="561">
        <v>27672.1</v>
      </c>
      <c r="E1566" s="561">
        <v>6930</v>
      </c>
      <c r="F1566" s="561">
        <v>20742.099999999999</v>
      </c>
      <c r="G1566" s="561">
        <v>1981</v>
      </c>
      <c r="H1566" s="561">
        <v>28788.6</v>
      </c>
      <c r="I1566" s="561">
        <v>140</v>
      </c>
      <c r="J1566" s="561">
        <v>1116.5</v>
      </c>
      <c r="K1566" s="561">
        <v>1978</v>
      </c>
      <c r="L1566" s="561">
        <v>27672.1</v>
      </c>
      <c r="M1566" s="561">
        <v>27672.1</v>
      </c>
      <c r="N1566" s="561">
        <v>6930</v>
      </c>
      <c r="BZ1566" s="561">
        <v>20742.099999999999</v>
      </c>
    </row>
    <row r="1567" spans="1:78">
      <c r="A1567" s="561">
        <v>21</v>
      </c>
      <c r="B1567" s="561" t="s">
        <v>1408</v>
      </c>
      <c r="C1567" s="561" t="s">
        <v>1267</v>
      </c>
      <c r="D1567" s="561">
        <v>25412.2</v>
      </c>
      <c r="E1567" s="561">
        <v>5940</v>
      </c>
      <c r="F1567" s="561">
        <v>19472.2</v>
      </c>
      <c r="G1567" s="561">
        <v>1793</v>
      </c>
      <c r="H1567" s="561">
        <v>25500.400000000001</v>
      </c>
      <c r="I1567" s="561">
        <v>11</v>
      </c>
      <c r="J1567" s="561">
        <v>88.2</v>
      </c>
      <c r="K1567" s="561">
        <v>1793</v>
      </c>
      <c r="L1567" s="561">
        <v>25412.2</v>
      </c>
      <c r="M1567" s="561">
        <v>25412.2</v>
      </c>
      <c r="N1567" s="561">
        <v>5940</v>
      </c>
      <c r="P1567" s="561">
        <v>19472.2</v>
      </c>
    </row>
    <row r="1568" spans="1:78">
      <c r="C1568" s="561" t="s">
        <v>1199</v>
      </c>
      <c r="D1568" s="561">
        <v>25412.2</v>
      </c>
      <c r="E1568" s="561">
        <v>5940</v>
      </c>
      <c r="F1568" s="561">
        <v>19472.2</v>
      </c>
      <c r="G1568" s="561">
        <v>1793</v>
      </c>
      <c r="H1568" s="561">
        <v>25500.400000000001</v>
      </c>
      <c r="I1568" s="561">
        <v>11</v>
      </c>
      <c r="J1568" s="561">
        <v>88.2</v>
      </c>
      <c r="K1568" s="561">
        <v>1793</v>
      </c>
      <c r="L1568" s="561">
        <v>25412.2</v>
      </c>
      <c r="M1568" s="561">
        <v>25412.2</v>
      </c>
      <c r="N1568" s="561">
        <v>5940</v>
      </c>
      <c r="BZ1568" s="561">
        <v>19472.2</v>
      </c>
    </row>
    <row r="1569" spans="1:78">
      <c r="A1569" s="561">
        <v>22</v>
      </c>
      <c r="B1569" s="561" t="s">
        <v>1409</v>
      </c>
      <c r="C1569" s="561" t="s">
        <v>1267</v>
      </c>
      <c r="D1569" s="561">
        <v>14939.5</v>
      </c>
      <c r="E1569" s="561">
        <v>3300</v>
      </c>
      <c r="F1569" s="561">
        <v>11639.5</v>
      </c>
      <c r="G1569" s="561">
        <v>1205</v>
      </c>
      <c r="H1569" s="561">
        <v>15196.8</v>
      </c>
      <c r="I1569" s="561">
        <v>42</v>
      </c>
      <c r="J1569" s="561">
        <v>257.3</v>
      </c>
      <c r="K1569" s="561">
        <v>1205</v>
      </c>
      <c r="L1569" s="561">
        <v>14939.5</v>
      </c>
      <c r="M1569" s="561">
        <v>14939.5</v>
      </c>
      <c r="N1569" s="561">
        <v>3300</v>
      </c>
      <c r="P1569" s="561">
        <v>11639.5</v>
      </c>
    </row>
    <row r="1570" spans="1:78">
      <c r="C1570" s="561" t="s">
        <v>1199</v>
      </c>
      <c r="D1570" s="561">
        <v>14939.5</v>
      </c>
      <c r="E1570" s="561">
        <v>3300</v>
      </c>
      <c r="F1570" s="561">
        <v>11639.5</v>
      </c>
      <c r="G1570" s="561">
        <v>1205</v>
      </c>
      <c r="H1570" s="561">
        <v>15196.8</v>
      </c>
      <c r="I1570" s="561">
        <v>42</v>
      </c>
      <c r="J1570" s="561">
        <v>257.3</v>
      </c>
      <c r="K1570" s="561">
        <v>1205</v>
      </c>
      <c r="L1570" s="561">
        <v>14939.5</v>
      </c>
      <c r="M1570" s="561">
        <v>14939.5</v>
      </c>
      <c r="N1570" s="561">
        <v>3300</v>
      </c>
      <c r="BZ1570" s="561">
        <v>11639.5</v>
      </c>
    </row>
    <row r="1571" spans="1:78">
      <c r="A1571" s="561">
        <v>23</v>
      </c>
      <c r="B1571" s="561" t="s">
        <v>1410</v>
      </c>
      <c r="C1571" s="561" t="s">
        <v>1267</v>
      </c>
      <c r="D1571" s="561">
        <v>8598.4</v>
      </c>
      <c r="E1571" s="561">
        <v>1980</v>
      </c>
      <c r="F1571" s="561">
        <v>6618.4</v>
      </c>
      <c r="G1571" s="561">
        <v>640</v>
      </c>
      <c r="H1571" s="561">
        <v>8741.9</v>
      </c>
      <c r="I1571" s="561">
        <v>16</v>
      </c>
      <c r="J1571" s="561">
        <v>143.5</v>
      </c>
      <c r="K1571" s="561">
        <v>640</v>
      </c>
      <c r="L1571" s="561">
        <v>8598.4</v>
      </c>
      <c r="M1571" s="561">
        <v>8598.4</v>
      </c>
      <c r="N1571" s="561">
        <v>1980</v>
      </c>
      <c r="P1571" s="561">
        <v>6618.4</v>
      </c>
    </row>
    <row r="1572" spans="1:78">
      <c r="C1572" s="561" t="s">
        <v>1199</v>
      </c>
      <c r="D1572" s="561">
        <v>8598.4</v>
      </c>
      <c r="E1572" s="561">
        <v>1980</v>
      </c>
      <c r="F1572" s="561">
        <v>6618.4</v>
      </c>
      <c r="G1572" s="561">
        <v>640</v>
      </c>
      <c r="H1572" s="561">
        <v>8741.9</v>
      </c>
      <c r="I1572" s="561">
        <v>16</v>
      </c>
      <c r="J1572" s="561">
        <v>143.5</v>
      </c>
      <c r="K1572" s="561">
        <v>640</v>
      </c>
      <c r="L1572" s="561">
        <v>8598.4</v>
      </c>
      <c r="M1572" s="561">
        <v>8598.4</v>
      </c>
      <c r="N1572" s="561">
        <v>1980</v>
      </c>
      <c r="BZ1572" s="561">
        <v>6618.4</v>
      </c>
    </row>
    <row r="1573" spans="1:78">
      <c r="A1573" s="561">
        <v>24</v>
      </c>
      <c r="B1573" s="561" t="s">
        <v>1411</v>
      </c>
      <c r="C1573" s="561" t="s">
        <v>1267</v>
      </c>
      <c r="D1573" s="561">
        <v>6343.5</v>
      </c>
      <c r="E1573" s="561">
        <v>1650</v>
      </c>
      <c r="F1573" s="561">
        <v>4693.5</v>
      </c>
      <c r="G1573" s="561">
        <v>545</v>
      </c>
      <c r="H1573" s="561">
        <v>6432.3</v>
      </c>
      <c r="I1573" s="561">
        <v>21</v>
      </c>
      <c r="J1573" s="561">
        <v>88.8</v>
      </c>
      <c r="K1573" s="561">
        <v>545</v>
      </c>
      <c r="L1573" s="561">
        <v>6343.5</v>
      </c>
      <c r="M1573" s="561">
        <v>6343.5</v>
      </c>
      <c r="N1573" s="561">
        <v>1650</v>
      </c>
      <c r="P1573" s="561">
        <v>4693.5</v>
      </c>
    </row>
    <row r="1574" spans="1:78">
      <c r="C1574" s="561" t="s">
        <v>1199</v>
      </c>
      <c r="D1574" s="561">
        <v>6343.5</v>
      </c>
      <c r="E1574" s="561">
        <v>1650</v>
      </c>
      <c r="F1574" s="561">
        <v>4693.5</v>
      </c>
      <c r="G1574" s="561">
        <v>545</v>
      </c>
      <c r="H1574" s="561">
        <v>6432.3</v>
      </c>
      <c r="I1574" s="561">
        <v>21</v>
      </c>
      <c r="J1574" s="561">
        <v>88.8</v>
      </c>
      <c r="K1574" s="561">
        <v>545</v>
      </c>
      <c r="L1574" s="561">
        <v>6343.5</v>
      </c>
      <c r="M1574" s="561">
        <v>6343.5</v>
      </c>
      <c r="N1574" s="561">
        <v>1650</v>
      </c>
      <c r="BZ1574" s="561">
        <v>4693.5</v>
      </c>
    </row>
    <row r="1575" spans="1:78">
      <c r="A1575" s="561">
        <v>25</v>
      </c>
      <c r="B1575" s="561" t="s">
        <v>1412</v>
      </c>
      <c r="C1575" s="561" t="s">
        <v>1267</v>
      </c>
      <c r="D1575" s="561">
        <v>8712.7000000000007</v>
      </c>
      <c r="E1575" s="561">
        <v>2310</v>
      </c>
      <c r="F1575" s="561">
        <v>6402.7000000000007</v>
      </c>
      <c r="G1575" s="561">
        <v>707</v>
      </c>
      <c r="H1575" s="561">
        <v>8965.2000000000007</v>
      </c>
      <c r="I1575" s="561">
        <v>43</v>
      </c>
      <c r="J1575" s="561">
        <v>252.5</v>
      </c>
      <c r="K1575" s="561">
        <v>707</v>
      </c>
      <c r="L1575" s="561">
        <v>8712.7000000000007</v>
      </c>
      <c r="M1575" s="561">
        <v>8712.7000000000007</v>
      </c>
      <c r="N1575" s="561">
        <v>2310</v>
      </c>
      <c r="P1575" s="561">
        <v>6402.7</v>
      </c>
    </row>
    <row r="1576" spans="1:78">
      <c r="C1576" s="561" t="s">
        <v>1199</v>
      </c>
      <c r="D1576" s="561">
        <v>8712.7000000000007</v>
      </c>
      <c r="E1576" s="561">
        <v>2310</v>
      </c>
      <c r="F1576" s="561">
        <v>6402.7000000000007</v>
      </c>
      <c r="G1576" s="561">
        <v>707</v>
      </c>
      <c r="H1576" s="561">
        <v>8965.2000000000007</v>
      </c>
      <c r="I1576" s="561">
        <v>43</v>
      </c>
      <c r="J1576" s="561">
        <v>252.5</v>
      </c>
      <c r="K1576" s="561">
        <v>707</v>
      </c>
      <c r="L1576" s="561">
        <v>8712.7000000000007</v>
      </c>
      <c r="M1576" s="561">
        <v>8712.7000000000007</v>
      </c>
      <c r="N1576" s="561">
        <v>2310</v>
      </c>
      <c r="BM1576" s="561">
        <v>6402.7</v>
      </c>
    </row>
    <row r="1577" spans="1:78">
      <c r="A1577" s="561">
        <v>26</v>
      </c>
      <c r="B1577" s="561" t="s">
        <v>1413</v>
      </c>
      <c r="C1577" s="561" t="s">
        <v>1267</v>
      </c>
      <c r="D1577" s="561">
        <v>20635.5</v>
      </c>
      <c r="E1577" s="561">
        <v>3960</v>
      </c>
      <c r="F1577" s="561">
        <v>16675.5</v>
      </c>
      <c r="G1577" s="561">
        <v>1519</v>
      </c>
      <c r="H1577" s="561">
        <v>21027.599999999999</v>
      </c>
      <c r="I1577" s="561">
        <v>53</v>
      </c>
      <c r="J1577" s="561">
        <v>392.1</v>
      </c>
      <c r="K1577" s="561">
        <v>1516</v>
      </c>
      <c r="L1577" s="561">
        <v>20635.5</v>
      </c>
      <c r="M1577" s="561">
        <v>20635.5</v>
      </c>
      <c r="N1577" s="561">
        <v>3080</v>
      </c>
      <c r="O1577" s="561">
        <v>880</v>
      </c>
      <c r="P1577" s="561">
        <v>16675.5</v>
      </c>
    </row>
    <row r="1578" spans="1:78">
      <c r="C1578" s="561" t="s">
        <v>1199</v>
      </c>
      <c r="D1578" s="561">
        <v>20635.5</v>
      </c>
      <c r="E1578" s="561">
        <v>3960</v>
      </c>
      <c r="F1578" s="561">
        <v>16675.5</v>
      </c>
      <c r="G1578" s="561">
        <v>1519</v>
      </c>
      <c r="H1578" s="561">
        <v>21027.599999999999</v>
      </c>
      <c r="I1578" s="561">
        <v>53</v>
      </c>
      <c r="J1578" s="561">
        <v>392.1</v>
      </c>
      <c r="K1578" s="561">
        <v>1516</v>
      </c>
      <c r="L1578" s="561">
        <v>20635.5</v>
      </c>
      <c r="M1578" s="561">
        <v>20635.5</v>
      </c>
      <c r="N1578" s="561">
        <v>3080</v>
      </c>
      <c r="O1578" s="561">
        <v>880</v>
      </c>
      <c r="BZ1578" s="561">
        <v>16675.5</v>
      </c>
    </row>
    <row r="1579" spans="1:78">
      <c r="A1579" s="561">
        <v>27</v>
      </c>
      <c r="B1579" s="561" t="s">
        <v>1414</v>
      </c>
      <c r="C1579" s="561" t="s">
        <v>1267</v>
      </c>
      <c r="D1579" s="561">
        <v>44964.3</v>
      </c>
      <c r="E1579" s="561">
        <v>9240</v>
      </c>
      <c r="F1579" s="561">
        <v>35724.300000000003</v>
      </c>
      <c r="G1579" s="561">
        <v>2694</v>
      </c>
      <c r="H1579" s="561">
        <v>45594.7</v>
      </c>
      <c r="I1579" s="561">
        <v>57</v>
      </c>
      <c r="J1579" s="561">
        <v>630.4</v>
      </c>
      <c r="K1579" s="561">
        <v>2692</v>
      </c>
      <c r="L1579" s="561">
        <v>44964.3</v>
      </c>
      <c r="M1579" s="561">
        <v>44964.3</v>
      </c>
      <c r="N1579" s="561">
        <v>8540</v>
      </c>
      <c r="O1579" s="561">
        <v>700</v>
      </c>
      <c r="P1579" s="561">
        <v>35724.300000000003</v>
      </c>
    </row>
    <row r="1580" spans="1:78">
      <c r="C1580" s="561" t="s">
        <v>1199</v>
      </c>
      <c r="D1580" s="561">
        <v>44964.3</v>
      </c>
      <c r="E1580" s="561">
        <v>9240</v>
      </c>
      <c r="F1580" s="561">
        <v>35724.300000000003</v>
      </c>
      <c r="G1580" s="561">
        <v>2694</v>
      </c>
      <c r="H1580" s="561">
        <v>45594.7</v>
      </c>
      <c r="I1580" s="561">
        <v>57</v>
      </c>
      <c r="J1580" s="561">
        <v>630.4</v>
      </c>
      <c r="K1580" s="561">
        <v>2692</v>
      </c>
      <c r="L1580" s="561">
        <v>44964.3</v>
      </c>
      <c r="M1580" s="561">
        <v>44964.3</v>
      </c>
      <c r="N1580" s="561">
        <v>8540</v>
      </c>
      <c r="O1580" s="561">
        <v>700</v>
      </c>
      <c r="BZ1580" s="561">
        <v>35724.300000000003</v>
      </c>
    </row>
    <row r="1581" spans="1:78">
      <c r="A1581" s="561">
        <v>28</v>
      </c>
      <c r="B1581" s="561" t="s">
        <v>1415</v>
      </c>
      <c r="C1581" s="561" t="s">
        <v>1267</v>
      </c>
      <c r="D1581" s="561">
        <v>5483.6</v>
      </c>
      <c r="E1581" s="561">
        <v>1650</v>
      </c>
      <c r="F1581" s="561">
        <v>3833.6000000000004</v>
      </c>
      <c r="G1581" s="561">
        <v>401</v>
      </c>
      <c r="H1581" s="561">
        <v>5550.3</v>
      </c>
      <c r="I1581" s="561">
        <v>12</v>
      </c>
      <c r="J1581" s="561">
        <v>66.7</v>
      </c>
      <c r="K1581" s="561">
        <v>401</v>
      </c>
      <c r="L1581" s="561">
        <v>5483.6</v>
      </c>
      <c r="M1581" s="561">
        <v>5483.6</v>
      </c>
      <c r="N1581" s="561">
        <v>1650</v>
      </c>
      <c r="P1581" s="561">
        <v>3833.6</v>
      </c>
    </row>
    <row r="1582" spans="1:78">
      <c r="C1582" s="561" t="s">
        <v>1199</v>
      </c>
      <c r="D1582" s="561">
        <v>5483.6</v>
      </c>
      <c r="E1582" s="561">
        <v>1650</v>
      </c>
      <c r="F1582" s="561">
        <v>3833.6000000000004</v>
      </c>
      <c r="G1582" s="561">
        <v>401</v>
      </c>
      <c r="H1582" s="561">
        <v>5550.3</v>
      </c>
      <c r="I1582" s="561">
        <v>12</v>
      </c>
      <c r="J1582" s="561">
        <v>66.7</v>
      </c>
      <c r="K1582" s="561">
        <v>401</v>
      </c>
      <c r="L1582" s="561">
        <v>5483.6</v>
      </c>
      <c r="M1582" s="561">
        <v>5483.6</v>
      </c>
      <c r="N1582" s="561">
        <v>1650</v>
      </c>
      <c r="AL1582" s="561">
        <v>3833.6</v>
      </c>
    </row>
    <row r="1583" spans="1:78">
      <c r="A1583" s="561">
        <v>29</v>
      </c>
      <c r="B1583" s="561" t="s">
        <v>1416</v>
      </c>
      <c r="C1583" s="561" t="s">
        <v>1267</v>
      </c>
      <c r="D1583" s="561">
        <v>11000</v>
      </c>
      <c r="E1583" s="561">
        <v>3300</v>
      </c>
      <c r="F1583" s="561">
        <v>7700</v>
      </c>
      <c r="G1583" s="561">
        <v>870</v>
      </c>
      <c r="H1583" s="561">
        <v>11049.4</v>
      </c>
      <c r="I1583" s="561">
        <v>11</v>
      </c>
      <c r="J1583" s="561">
        <v>49.4</v>
      </c>
      <c r="K1583" s="561">
        <v>870</v>
      </c>
      <c r="L1583" s="561">
        <v>11000</v>
      </c>
      <c r="M1583" s="561">
        <v>11000</v>
      </c>
      <c r="N1583" s="561">
        <v>3300</v>
      </c>
      <c r="P1583" s="561">
        <v>7700</v>
      </c>
    </row>
    <row r="1584" spans="1:78">
      <c r="C1584" s="561" t="s">
        <v>1199</v>
      </c>
      <c r="D1584" s="561">
        <v>11000</v>
      </c>
      <c r="E1584" s="561">
        <v>3300</v>
      </c>
      <c r="F1584" s="561">
        <v>7700</v>
      </c>
      <c r="G1584" s="561">
        <v>870</v>
      </c>
      <c r="H1584" s="561">
        <v>11049.4</v>
      </c>
      <c r="I1584" s="561">
        <v>11</v>
      </c>
      <c r="J1584" s="561">
        <v>49.4</v>
      </c>
      <c r="K1584" s="561">
        <v>870</v>
      </c>
      <c r="L1584" s="561">
        <v>11000</v>
      </c>
      <c r="M1584" s="561">
        <v>11000</v>
      </c>
      <c r="N1584" s="561">
        <v>3300</v>
      </c>
      <c r="BZ1584" s="561">
        <v>7700</v>
      </c>
    </row>
    <row r="1585" spans="1:111">
      <c r="A1585" s="561">
        <v>30</v>
      </c>
      <c r="B1585" s="561" t="s">
        <v>1417</v>
      </c>
      <c r="C1585" s="561" t="s">
        <v>1267</v>
      </c>
      <c r="D1585" s="561">
        <v>20481.3</v>
      </c>
      <c r="E1585" s="561">
        <v>3300</v>
      </c>
      <c r="F1585" s="561">
        <v>17181.3</v>
      </c>
      <c r="G1585" s="561">
        <v>1494</v>
      </c>
      <c r="H1585" s="561">
        <v>20637.3</v>
      </c>
      <c r="I1585" s="561">
        <v>21</v>
      </c>
      <c r="J1585" s="561">
        <v>156</v>
      </c>
      <c r="K1585" s="561">
        <v>1494</v>
      </c>
      <c r="L1585" s="561">
        <v>20481.3</v>
      </c>
      <c r="M1585" s="561">
        <v>20481.3</v>
      </c>
      <c r="N1585" s="561">
        <v>2600.02</v>
      </c>
      <c r="O1585" s="561">
        <v>700</v>
      </c>
      <c r="P1585" s="561">
        <v>17181.3</v>
      </c>
    </row>
    <row r="1586" spans="1:111">
      <c r="C1586" s="561" t="s">
        <v>1199</v>
      </c>
      <c r="D1586" s="561">
        <v>20481.3</v>
      </c>
      <c r="E1586" s="561">
        <v>3300</v>
      </c>
      <c r="F1586" s="561">
        <v>17181.3</v>
      </c>
      <c r="G1586" s="561">
        <v>1494</v>
      </c>
      <c r="H1586" s="561">
        <v>20637.3</v>
      </c>
      <c r="I1586" s="561">
        <v>21</v>
      </c>
      <c r="J1586" s="561">
        <v>156</v>
      </c>
      <c r="K1586" s="561">
        <v>1494</v>
      </c>
      <c r="L1586" s="561">
        <v>20481.3</v>
      </c>
      <c r="M1586" s="561">
        <v>20481.3</v>
      </c>
      <c r="N1586" s="561">
        <v>2600.02</v>
      </c>
      <c r="O1586" s="561">
        <v>700</v>
      </c>
      <c r="BZ1586" s="561">
        <v>17181.3</v>
      </c>
    </row>
    <row r="1587" spans="1:111">
      <c r="A1587" s="561">
        <v>31</v>
      </c>
      <c r="B1587" s="561" t="s">
        <v>1418</v>
      </c>
      <c r="C1587" s="561" t="s">
        <v>1267</v>
      </c>
      <c r="D1587" s="561">
        <v>14298.9</v>
      </c>
      <c r="E1587" s="561">
        <v>4290</v>
      </c>
      <c r="F1587" s="561">
        <v>10008.9</v>
      </c>
      <c r="G1587" s="561">
        <v>1077</v>
      </c>
      <c r="H1587" s="561">
        <v>14471.9</v>
      </c>
      <c r="I1587" s="561">
        <v>21</v>
      </c>
      <c r="J1587" s="561">
        <v>173</v>
      </c>
      <c r="K1587" s="561">
        <v>1069</v>
      </c>
      <c r="L1587" s="561">
        <v>14298.9</v>
      </c>
      <c r="M1587" s="561">
        <v>14298.9</v>
      </c>
      <c r="N1587" s="561">
        <v>4290</v>
      </c>
      <c r="P1587" s="561">
        <v>10008.9</v>
      </c>
    </row>
    <row r="1588" spans="1:111">
      <c r="C1588" s="561" t="s">
        <v>1199</v>
      </c>
      <c r="D1588" s="561">
        <v>14298.9</v>
      </c>
      <c r="E1588" s="561">
        <v>4290</v>
      </c>
      <c r="F1588" s="561">
        <v>10008.9</v>
      </c>
      <c r="G1588" s="561">
        <v>1077</v>
      </c>
      <c r="H1588" s="561">
        <v>14471.9</v>
      </c>
      <c r="I1588" s="561">
        <v>21</v>
      </c>
      <c r="J1588" s="561">
        <v>173</v>
      </c>
      <c r="K1588" s="561">
        <v>1069</v>
      </c>
      <c r="L1588" s="561">
        <v>14298.9</v>
      </c>
      <c r="M1588" s="561">
        <v>14298.9</v>
      </c>
      <c r="N1588" s="561">
        <v>4290</v>
      </c>
      <c r="AL1588" s="561">
        <v>10008.9</v>
      </c>
    </row>
    <row r="1589" spans="1:111">
      <c r="A1589" s="561">
        <v>32</v>
      </c>
      <c r="B1589" s="561" t="s">
        <v>1419</v>
      </c>
      <c r="C1589" s="561" t="s">
        <v>1267</v>
      </c>
      <c r="D1589" s="561">
        <v>12100</v>
      </c>
      <c r="E1589" s="561">
        <v>3630</v>
      </c>
      <c r="F1589" s="561">
        <v>8470</v>
      </c>
      <c r="G1589" s="561">
        <v>906</v>
      </c>
      <c r="H1589" s="561">
        <v>20862.099999999999</v>
      </c>
      <c r="I1589" s="561">
        <v>185</v>
      </c>
      <c r="J1589" s="561">
        <v>8762.6</v>
      </c>
      <c r="K1589" s="561">
        <v>903</v>
      </c>
      <c r="L1589" s="561">
        <v>12099.5</v>
      </c>
      <c r="M1589" s="561">
        <v>12099.5</v>
      </c>
      <c r="N1589" s="561">
        <v>2016.6</v>
      </c>
      <c r="O1589" s="561">
        <v>1613.4</v>
      </c>
      <c r="P1589" s="561">
        <v>8469.5</v>
      </c>
    </row>
    <row r="1590" spans="1:111">
      <c r="C1590" s="561" t="s">
        <v>1199</v>
      </c>
      <c r="D1590" s="561">
        <v>12100</v>
      </c>
      <c r="E1590" s="561">
        <v>3630</v>
      </c>
      <c r="F1590" s="561">
        <v>8470</v>
      </c>
      <c r="G1590" s="561">
        <v>906</v>
      </c>
      <c r="H1590" s="561">
        <v>20862.099999999999</v>
      </c>
      <c r="I1590" s="561">
        <v>185</v>
      </c>
      <c r="J1590" s="561">
        <v>8762.6</v>
      </c>
      <c r="K1590" s="561">
        <v>903</v>
      </c>
      <c r="L1590" s="561">
        <v>12099.5</v>
      </c>
      <c r="M1590" s="561">
        <v>12099.5</v>
      </c>
      <c r="N1590" s="561">
        <v>2016.6</v>
      </c>
      <c r="O1590" s="561">
        <v>1613.4</v>
      </c>
      <c r="AL1590" s="561">
        <v>8469.5</v>
      </c>
    </row>
    <row r="1591" spans="1:111">
      <c r="A1591" s="1742" t="s">
        <v>1420</v>
      </c>
      <c r="B1591" s="1742"/>
      <c r="C1591" s="1742"/>
      <c r="D1591" s="1742"/>
      <c r="E1591" s="1742"/>
      <c r="F1591" s="1742"/>
      <c r="G1591" s="1742"/>
      <c r="H1591" s="1742"/>
      <c r="I1591" s="1742"/>
      <c r="J1591" s="1742"/>
      <c r="K1591" s="1742"/>
      <c r="L1591" s="1742"/>
      <c r="M1591" s="1742"/>
      <c r="N1591" s="1742"/>
      <c r="O1591" s="1742"/>
      <c r="P1591" s="1742"/>
    </row>
    <row r="1592" spans="1:111">
      <c r="A1592" s="1735" t="s">
        <v>1197</v>
      </c>
      <c r="B1592" s="1735"/>
      <c r="C1592" s="1735"/>
      <c r="D1592" s="1735"/>
      <c r="E1592" s="1735"/>
      <c r="F1592" s="1735"/>
      <c r="G1592" s="1735"/>
      <c r="H1592" s="1735"/>
      <c r="I1592" s="1735"/>
      <c r="J1592" s="1735"/>
      <c r="K1592" s="1735"/>
      <c r="L1592" s="1735"/>
      <c r="M1592" s="1735"/>
      <c r="N1592" s="1735"/>
      <c r="O1592" s="1735"/>
      <c r="P1592" s="1735"/>
      <c r="AL1592" s="561">
        <f>SUM(AL1593:AL1962)</f>
        <v>7524956.180999998</v>
      </c>
      <c r="AM1592" s="561">
        <f t="shared" ref="AM1592:CX1592" si="96">SUM(AM1593:AM1962)</f>
        <v>0</v>
      </c>
      <c r="AN1592" s="561">
        <f t="shared" si="96"/>
        <v>69325.421999999991</v>
      </c>
      <c r="AO1592" s="561">
        <f t="shared" si="96"/>
        <v>0</v>
      </c>
      <c r="AP1592" s="561">
        <f t="shared" si="96"/>
        <v>0</v>
      </c>
      <c r="AQ1592" s="561">
        <f t="shared" si="96"/>
        <v>0</v>
      </c>
      <c r="AR1592" s="561">
        <f t="shared" si="96"/>
        <v>0</v>
      </c>
      <c r="AS1592" s="561">
        <f t="shared" si="96"/>
        <v>0</v>
      </c>
      <c r="AT1592" s="561">
        <f t="shared" si="96"/>
        <v>114916.035</v>
      </c>
      <c r="AU1592" s="561">
        <f t="shared" si="96"/>
        <v>0</v>
      </c>
      <c r="AV1592" s="561">
        <f t="shared" si="96"/>
        <v>0</v>
      </c>
      <c r="AW1592" s="561">
        <f t="shared" si="96"/>
        <v>0</v>
      </c>
      <c r="AX1592" s="561">
        <f t="shared" si="96"/>
        <v>0</v>
      </c>
      <c r="AY1592" s="561">
        <f t="shared" si="96"/>
        <v>118600</v>
      </c>
      <c r="AZ1592" s="561">
        <f t="shared" si="96"/>
        <v>0</v>
      </c>
      <c r="BA1592" s="561">
        <f t="shared" si="96"/>
        <v>0</v>
      </c>
      <c r="BB1592" s="561">
        <f t="shared" si="96"/>
        <v>462499.09900000005</v>
      </c>
      <c r="BC1592" s="561">
        <f t="shared" si="96"/>
        <v>0</v>
      </c>
      <c r="BD1592" s="561">
        <f t="shared" si="96"/>
        <v>140910</v>
      </c>
      <c r="BE1592" s="561">
        <f t="shared" si="96"/>
        <v>0</v>
      </c>
      <c r="BF1592" s="561">
        <f t="shared" si="96"/>
        <v>0</v>
      </c>
      <c r="BG1592" s="561">
        <f t="shared" si="96"/>
        <v>0</v>
      </c>
      <c r="BH1592" s="561">
        <f t="shared" si="96"/>
        <v>0</v>
      </c>
      <c r="BI1592" s="561">
        <f t="shared" si="96"/>
        <v>0</v>
      </c>
      <c r="BJ1592" s="561">
        <f t="shared" si="96"/>
        <v>0</v>
      </c>
      <c r="BK1592" s="561">
        <f t="shared" si="96"/>
        <v>0</v>
      </c>
      <c r="BL1592" s="561">
        <f t="shared" si="96"/>
        <v>0</v>
      </c>
      <c r="BM1592" s="561">
        <f t="shared" si="96"/>
        <v>0</v>
      </c>
      <c r="BN1592" s="561">
        <f t="shared" si="96"/>
        <v>0</v>
      </c>
      <c r="BO1592" s="561">
        <f t="shared" si="96"/>
        <v>0</v>
      </c>
      <c r="BP1592" s="561">
        <f t="shared" si="96"/>
        <v>0</v>
      </c>
      <c r="BQ1592" s="561">
        <f t="shared" si="96"/>
        <v>0</v>
      </c>
      <c r="BR1592" s="561">
        <f t="shared" si="96"/>
        <v>0</v>
      </c>
      <c r="BS1592" s="561">
        <f t="shared" si="96"/>
        <v>0</v>
      </c>
      <c r="BT1592" s="561">
        <f t="shared" si="96"/>
        <v>299027.92700000003</v>
      </c>
      <c r="BU1592" s="561">
        <f t="shared" si="96"/>
        <v>0</v>
      </c>
      <c r="BV1592" s="561">
        <f t="shared" si="96"/>
        <v>0</v>
      </c>
      <c r="BW1592" s="561">
        <f t="shared" si="96"/>
        <v>0</v>
      </c>
      <c r="BX1592" s="561">
        <f t="shared" si="96"/>
        <v>158942.28099999999</v>
      </c>
      <c r="BY1592" s="561">
        <f t="shared" si="96"/>
        <v>0</v>
      </c>
      <c r="BZ1592" s="561">
        <f t="shared" si="96"/>
        <v>0</v>
      </c>
      <c r="CA1592" s="561">
        <f t="shared" si="96"/>
        <v>0</v>
      </c>
      <c r="CB1592" s="561">
        <f t="shared" si="96"/>
        <v>0</v>
      </c>
      <c r="CC1592" s="561">
        <f t="shared" si="96"/>
        <v>0</v>
      </c>
      <c r="CD1592" s="561">
        <f t="shared" si="96"/>
        <v>0</v>
      </c>
      <c r="CE1592" s="561">
        <f t="shared" si="96"/>
        <v>0</v>
      </c>
      <c r="CF1592" s="561">
        <f t="shared" si="96"/>
        <v>0</v>
      </c>
      <c r="CG1592" s="561">
        <f t="shared" si="96"/>
        <v>0</v>
      </c>
      <c r="CH1592" s="561">
        <f t="shared" si="96"/>
        <v>0</v>
      </c>
      <c r="CI1592" s="561">
        <f t="shared" si="96"/>
        <v>0</v>
      </c>
      <c r="CJ1592" s="561">
        <f t="shared" si="96"/>
        <v>0</v>
      </c>
      <c r="CK1592" s="561">
        <f t="shared" si="96"/>
        <v>0</v>
      </c>
      <c r="CL1592" s="561">
        <f t="shared" si="96"/>
        <v>0</v>
      </c>
      <c r="CM1592" s="561">
        <f t="shared" si="96"/>
        <v>0</v>
      </c>
      <c r="CN1592" s="561">
        <f t="shared" si="96"/>
        <v>0</v>
      </c>
      <c r="CO1592" s="561">
        <f t="shared" si="96"/>
        <v>0</v>
      </c>
      <c r="CP1592" s="561">
        <f t="shared" si="96"/>
        <v>0</v>
      </c>
      <c r="CQ1592" s="561">
        <f t="shared" si="96"/>
        <v>0</v>
      </c>
      <c r="CR1592" s="561">
        <f t="shared" si="96"/>
        <v>0</v>
      </c>
      <c r="CS1592" s="561">
        <f t="shared" si="96"/>
        <v>0</v>
      </c>
      <c r="CT1592" s="561">
        <f t="shared" si="96"/>
        <v>0</v>
      </c>
      <c r="CU1592" s="561">
        <f t="shared" si="96"/>
        <v>0</v>
      </c>
      <c r="CV1592" s="561">
        <f t="shared" si="96"/>
        <v>0</v>
      </c>
      <c r="CW1592" s="561">
        <f t="shared" si="96"/>
        <v>0</v>
      </c>
      <c r="CX1592" s="561">
        <f t="shared" si="96"/>
        <v>0</v>
      </c>
      <c r="CY1592" s="561">
        <f t="shared" ref="CY1592:DG1592" si="97">SUM(CY1593:CY1962)</f>
        <v>0</v>
      </c>
      <c r="CZ1592" s="561">
        <f t="shared" si="97"/>
        <v>0</v>
      </c>
      <c r="DA1592" s="561">
        <f t="shared" si="97"/>
        <v>0</v>
      </c>
      <c r="DB1592" s="561">
        <f t="shared" si="97"/>
        <v>838742.33000000007</v>
      </c>
      <c r="DC1592" s="561">
        <f t="shared" si="97"/>
        <v>0</v>
      </c>
      <c r="DD1592" s="561">
        <f t="shared" si="97"/>
        <v>0</v>
      </c>
      <c r="DE1592" s="561">
        <f t="shared" si="97"/>
        <v>0</v>
      </c>
      <c r="DF1592" s="561">
        <f t="shared" si="97"/>
        <v>0</v>
      </c>
      <c r="DG1592" s="561">
        <f t="shared" si="97"/>
        <v>0</v>
      </c>
    </row>
    <row r="1593" spans="1:111">
      <c r="A1593" s="561">
        <v>1</v>
      </c>
      <c r="B1593" s="561" t="s">
        <v>1421</v>
      </c>
      <c r="C1593" s="561" t="s">
        <v>1206</v>
      </c>
      <c r="D1593" s="561">
        <v>2010025.9999999998</v>
      </c>
      <c r="E1593" s="561">
        <v>421500</v>
      </c>
      <c r="F1593" s="561">
        <v>1588525.9999999998</v>
      </c>
      <c r="G1593" s="561">
        <v>10796</v>
      </c>
      <c r="H1593" s="561">
        <v>2060409.4909999999</v>
      </c>
      <c r="I1593" s="561">
        <v>72</v>
      </c>
      <c r="J1593" s="561">
        <v>49284.84</v>
      </c>
      <c r="K1593" s="561">
        <v>10724</v>
      </c>
      <c r="L1593" s="561">
        <v>2010025.9999999998</v>
      </c>
      <c r="M1593" s="561">
        <v>2010025.9999999998</v>
      </c>
      <c r="N1593" s="561">
        <v>421500</v>
      </c>
      <c r="O1593" s="561">
        <v>0</v>
      </c>
      <c r="P1593" s="561">
        <v>1588525.9999999998</v>
      </c>
      <c r="Q1593" s="561">
        <v>1588525.9999999998</v>
      </c>
    </row>
    <row r="1594" spans="1:111">
      <c r="C1594" s="561" t="s">
        <v>1197</v>
      </c>
      <c r="D1594" s="561">
        <v>1063386</v>
      </c>
      <c r="E1594" s="561">
        <v>345000</v>
      </c>
      <c r="F1594" s="561">
        <v>718386</v>
      </c>
      <c r="G1594" s="561">
        <v>9736</v>
      </c>
      <c r="H1594" s="561">
        <v>1105001.3289999999</v>
      </c>
      <c r="I1594" s="561">
        <v>66</v>
      </c>
      <c r="J1594" s="561">
        <v>41428.019999999997</v>
      </c>
      <c r="K1594" s="561">
        <v>9670</v>
      </c>
      <c r="L1594" s="561">
        <v>1063386</v>
      </c>
      <c r="M1594" s="561">
        <v>1063386</v>
      </c>
      <c r="N1594" s="561">
        <v>345000</v>
      </c>
      <c r="Q1594" s="561">
        <v>718386</v>
      </c>
      <c r="AL1594" s="561">
        <v>718386</v>
      </c>
    </row>
    <row r="1595" spans="1:111">
      <c r="C1595" s="561" t="s">
        <v>1198</v>
      </c>
      <c r="D1595" s="561">
        <v>945182.84299999999</v>
      </c>
      <c r="E1595" s="561">
        <v>76500</v>
      </c>
      <c r="F1595" s="561">
        <v>868682.84299999999</v>
      </c>
      <c r="G1595" s="561">
        <v>986</v>
      </c>
      <c r="H1595" s="561">
        <v>953799.69200000004</v>
      </c>
      <c r="I1595" s="561">
        <v>-2</v>
      </c>
      <c r="J1595" s="561">
        <v>7705.5069999999996</v>
      </c>
      <c r="K1595" s="561">
        <v>988</v>
      </c>
      <c r="L1595" s="561">
        <v>945182.84299999999</v>
      </c>
      <c r="M1595" s="561">
        <v>945182.84299999999</v>
      </c>
      <c r="N1595" s="561">
        <v>76500</v>
      </c>
      <c r="P1595" s="561">
        <v>868682.84299999999</v>
      </c>
      <c r="Q1595" s="561">
        <v>868682.84299999999</v>
      </c>
    </row>
    <row r="1596" spans="1:111">
      <c r="C1596" s="561" t="s">
        <v>1199</v>
      </c>
      <c r="D1596" s="561">
        <v>1457.1569999999999</v>
      </c>
      <c r="F1596" s="561">
        <v>1457.1569999999999</v>
      </c>
      <c r="G1596" s="561">
        <v>74</v>
      </c>
      <c r="H1596" s="561">
        <v>1608.47</v>
      </c>
      <c r="I1596" s="561">
        <v>8</v>
      </c>
      <c r="J1596" s="561">
        <v>151.31299999999999</v>
      </c>
      <c r="K1596" s="561">
        <v>66</v>
      </c>
      <c r="L1596" s="561">
        <v>1457.1569999999999</v>
      </c>
      <c r="M1596" s="561">
        <v>1457.1569999999999</v>
      </c>
      <c r="N1596" s="561">
        <v>0</v>
      </c>
      <c r="P1596" s="561">
        <v>1457.1569999999999</v>
      </c>
      <c r="Q1596" s="561">
        <v>1457.1569999999999</v>
      </c>
    </row>
    <row r="1597" spans="1:111">
      <c r="C1597" s="561" t="s">
        <v>1200</v>
      </c>
      <c r="L1597" s="561">
        <v>0</v>
      </c>
    </row>
    <row r="1598" spans="1:111">
      <c r="A1598" s="561">
        <v>2</v>
      </c>
      <c r="B1598" s="561" t="s">
        <v>1422</v>
      </c>
      <c r="C1598" s="561" t="s">
        <v>1206</v>
      </c>
      <c r="D1598" s="561">
        <v>1593821.027</v>
      </c>
      <c r="E1598" s="561">
        <v>458823.6</v>
      </c>
      <c r="F1598" s="561">
        <v>1134997.4269999999</v>
      </c>
      <c r="G1598" s="561">
        <v>22719</v>
      </c>
      <c r="H1598" s="561">
        <v>1638945.8619999997</v>
      </c>
      <c r="I1598" s="561">
        <v>104</v>
      </c>
      <c r="J1598" s="561">
        <v>40443.385999999999</v>
      </c>
      <c r="K1598" s="561">
        <v>22615</v>
      </c>
      <c r="L1598" s="561">
        <v>1593821.027</v>
      </c>
      <c r="M1598" s="561">
        <v>1593821.027</v>
      </c>
      <c r="N1598" s="561">
        <v>458823.6</v>
      </c>
      <c r="O1598" s="561">
        <v>0</v>
      </c>
      <c r="P1598" s="561">
        <v>1134997.4269999999</v>
      </c>
      <c r="Q1598" s="561">
        <v>1134997.4269999999</v>
      </c>
    </row>
    <row r="1599" spans="1:111">
      <c r="C1599" s="561" t="s">
        <v>1197</v>
      </c>
      <c r="D1599" s="561">
        <v>1534624.6140000001</v>
      </c>
      <c r="E1599" s="561">
        <v>453600</v>
      </c>
      <c r="F1599" s="561">
        <v>1081024.6140000001</v>
      </c>
      <c r="G1599" s="561">
        <v>20972</v>
      </c>
      <c r="H1599" s="561">
        <v>1574371.1939999999</v>
      </c>
      <c r="I1599" s="561">
        <v>49</v>
      </c>
      <c r="J1599" s="561">
        <v>39769.32</v>
      </c>
      <c r="K1599" s="561">
        <v>20923</v>
      </c>
      <c r="L1599" s="561">
        <v>1534624.6140000001</v>
      </c>
      <c r="M1599" s="561">
        <v>1534624.6140000001</v>
      </c>
      <c r="N1599" s="561">
        <v>453600</v>
      </c>
      <c r="Q1599" s="561">
        <v>1081024.6140000001</v>
      </c>
      <c r="AL1599" s="561">
        <v>1081024.6140000001</v>
      </c>
    </row>
    <row r="1600" spans="1:111">
      <c r="C1600" s="561" t="s">
        <v>1198</v>
      </c>
      <c r="D1600" s="561">
        <v>27431.123</v>
      </c>
      <c r="E1600" s="561">
        <v>1800</v>
      </c>
      <c r="F1600" s="561">
        <v>25631.123</v>
      </c>
      <c r="G1600" s="561">
        <v>73</v>
      </c>
      <c r="H1600" s="561">
        <v>27643.396000000001</v>
      </c>
      <c r="I1600" s="561">
        <v>0</v>
      </c>
      <c r="J1600" s="561">
        <v>79.986000000000004</v>
      </c>
      <c r="K1600" s="561">
        <v>73</v>
      </c>
      <c r="L1600" s="561">
        <v>27431.123</v>
      </c>
      <c r="M1600" s="561">
        <v>27431.123</v>
      </c>
      <c r="N1600" s="561">
        <v>1800</v>
      </c>
      <c r="P1600" s="561">
        <v>25631.123</v>
      </c>
      <c r="Q1600" s="561">
        <v>25631.123</v>
      </c>
    </row>
    <row r="1601" spans="1:106">
      <c r="C1601" s="561" t="s">
        <v>1199</v>
      </c>
      <c r="D1601" s="561">
        <v>24912</v>
      </c>
      <c r="E1601" s="561">
        <v>3423.6</v>
      </c>
      <c r="F1601" s="561">
        <v>21488.400000000001</v>
      </c>
      <c r="G1601" s="561">
        <v>1674</v>
      </c>
      <c r="H1601" s="561">
        <v>25550.906999999999</v>
      </c>
      <c r="I1601" s="561">
        <v>55</v>
      </c>
      <c r="J1601" s="561">
        <v>594.08000000000004</v>
      </c>
      <c r="K1601" s="561">
        <v>1619</v>
      </c>
      <c r="L1601" s="561">
        <v>24912</v>
      </c>
      <c r="M1601" s="561">
        <v>24912</v>
      </c>
      <c r="N1601" s="561">
        <v>3423.6</v>
      </c>
      <c r="P1601" s="561">
        <v>21488.400000000001</v>
      </c>
      <c r="Q1601" s="561">
        <v>21488.400000000001</v>
      </c>
    </row>
    <row r="1602" spans="1:106">
      <c r="C1602" s="561" t="s">
        <v>1200</v>
      </c>
      <c r="L1602" s="561">
        <v>0</v>
      </c>
      <c r="M1602" s="561">
        <v>0</v>
      </c>
    </row>
    <row r="1603" spans="1:106">
      <c r="C1603" s="561" t="s">
        <v>1202</v>
      </c>
      <c r="D1603" s="561">
        <v>6853.29</v>
      </c>
      <c r="F1603" s="561">
        <v>6853.29</v>
      </c>
      <c r="G1603" s="561">
        <v>0</v>
      </c>
      <c r="H1603" s="561">
        <v>11380.365</v>
      </c>
      <c r="I1603" s="561">
        <v>0</v>
      </c>
      <c r="J1603" s="561">
        <v>0</v>
      </c>
      <c r="K1603" s="561">
        <v>0</v>
      </c>
      <c r="L1603" s="561">
        <v>6853.29</v>
      </c>
      <c r="M1603" s="561">
        <v>6853.29</v>
      </c>
      <c r="P1603" s="561">
        <v>6853.29</v>
      </c>
      <c r="Q1603" s="561">
        <v>6853.29</v>
      </c>
    </row>
    <row r="1604" spans="1:106">
      <c r="A1604" s="561">
        <v>3</v>
      </c>
      <c r="B1604" s="561" t="s">
        <v>1423</v>
      </c>
      <c r="C1604" s="561" t="s">
        <v>1206</v>
      </c>
      <c r="D1604" s="561">
        <v>105282</v>
      </c>
      <c r="E1604" s="561">
        <v>31284.6</v>
      </c>
      <c r="F1604" s="561">
        <v>73997.399999999994</v>
      </c>
      <c r="G1604" s="561">
        <v>1787</v>
      </c>
      <c r="H1604" s="561">
        <v>106514.44</v>
      </c>
      <c r="I1604" s="561">
        <v>2</v>
      </c>
      <c r="J1604" s="561">
        <v>554.65200000000004</v>
      </c>
      <c r="K1604" s="561">
        <v>1785</v>
      </c>
      <c r="L1604" s="561">
        <v>105282</v>
      </c>
      <c r="M1604" s="561">
        <v>105282</v>
      </c>
      <c r="N1604" s="561">
        <v>31284.6</v>
      </c>
      <c r="O1604" s="561">
        <v>0</v>
      </c>
      <c r="P1604" s="561">
        <v>73997.399999999994</v>
      </c>
      <c r="Q1604" s="561">
        <v>73997.399999999994</v>
      </c>
    </row>
    <row r="1605" spans="1:106">
      <c r="C1605" s="561" t="s">
        <v>1197</v>
      </c>
      <c r="D1605" s="561">
        <v>103000</v>
      </c>
      <c r="E1605" s="561">
        <v>30600</v>
      </c>
      <c r="F1605" s="561">
        <v>72400</v>
      </c>
      <c r="G1605" s="561">
        <v>1583</v>
      </c>
      <c r="H1605" s="561">
        <v>104085.198</v>
      </c>
      <c r="I1605" s="561">
        <v>1</v>
      </c>
      <c r="J1605" s="561">
        <v>540.02700000000004</v>
      </c>
      <c r="K1605" s="561">
        <v>1582</v>
      </c>
      <c r="L1605" s="561">
        <v>103000</v>
      </c>
      <c r="M1605" s="561">
        <v>103000</v>
      </c>
      <c r="N1605" s="561">
        <v>30600</v>
      </c>
      <c r="Q1605" s="561">
        <v>72400</v>
      </c>
      <c r="AY1605" s="561">
        <v>72400</v>
      </c>
    </row>
    <row r="1606" spans="1:106">
      <c r="C1606" s="561" t="s">
        <v>1198</v>
      </c>
      <c r="L1606" s="561">
        <v>0</v>
      </c>
      <c r="N1606" s="561">
        <v>0</v>
      </c>
    </row>
    <row r="1607" spans="1:106">
      <c r="C1607" s="561" t="s">
        <v>1199</v>
      </c>
      <c r="D1607" s="561">
        <v>2282</v>
      </c>
      <c r="E1607" s="561">
        <v>684.6</v>
      </c>
      <c r="F1607" s="561">
        <v>1597.4</v>
      </c>
      <c r="G1607" s="561">
        <v>204</v>
      </c>
      <c r="H1607" s="561">
        <v>2429.2420000000002</v>
      </c>
      <c r="I1607" s="561">
        <v>1</v>
      </c>
      <c r="J1607" s="561">
        <v>14.625</v>
      </c>
      <c r="K1607" s="561">
        <v>203</v>
      </c>
      <c r="L1607" s="561">
        <v>2282</v>
      </c>
      <c r="M1607" s="561">
        <v>2282</v>
      </c>
      <c r="N1607" s="561">
        <v>684.6</v>
      </c>
      <c r="P1607" s="561">
        <v>1597.4</v>
      </c>
      <c r="Q1607" s="561">
        <v>1597.4</v>
      </c>
    </row>
    <row r="1608" spans="1:106">
      <c r="C1608" s="561" t="s">
        <v>1200</v>
      </c>
      <c r="L1608" s="561">
        <v>0</v>
      </c>
      <c r="N1608" s="561">
        <v>0</v>
      </c>
    </row>
    <row r="1609" spans="1:106">
      <c r="A1609" s="561">
        <v>4</v>
      </c>
      <c r="B1609" s="561" t="s">
        <v>1424</v>
      </c>
      <c r="C1609" s="561" t="s">
        <v>1206</v>
      </c>
      <c r="D1609" s="561">
        <v>1285246</v>
      </c>
      <c r="E1609" s="561">
        <v>378523.8</v>
      </c>
      <c r="F1609" s="561">
        <v>906722.20000000007</v>
      </c>
      <c r="G1609" s="561">
        <v>16577</v>
      </c>
      <c r="H1609" s="561">
        <v>1298154.439</v>
      </c>
      <c r="I1609" s="561">
        <v>16</v>
      </c>
      <c r="J1609" s="561">
        <v>11789.8</v>
      </c>
      <c r="K1609" s="561">
        <v>16561</v>
      </c>
      <c r="L1609" s="561">
        <v>1285246</v>
      </c>
      <c r="M1609" s="561">
        <v>1285246</v>
      </c>
      <c r="N1609" s="561">
        <v>378523.8</v>
      </c>
      <c r="O1609" s="561">
        <v>0</v>
      </c>
      <c r="P1609" s="561">
        <v>906722.20000000007</v>
      </c>
      <c r="Q1609" s="561">
        <v>906722.2</v>
      </c>
    </row>
    <row r="1610" spans="1:106">
      <c r="C1610" s="561" t="s">
        <v>1197</v>
      </c>
      <c r="D1610" s="561">
        <v>1204952.33</v>
      </c>
      <c r="E1610" s="561">
        <v>366210</v>
      </c>
      <c r="F1610" s="561">
        <v>838742.33000000007</v>
      </c>
      <c r="G1610" s="561">
        <v>15243</v>
      </c>
      <c r="H1610" s="561">
        <v>1216913.2050000001</v>
      </c>
      <c r="I1610" s="561">
        <v>16</v>
      </c>
      <c r="J1610" s="561">
        <v>11998.775</v>
      </c>
      <c r="K1610" s="561">
        <v>15227</v>
      </c>
      <c r="L1610" s="561">
        <v>1204952.33</v>
      </c>
      <c r="M1610" s="561">
        <v>1204952.33</v>
      </c>
      <c r="N1610" s="561">
        <v>366210</v>
      </c>
      <c r="Q1610" s="561">
        <v>838742.33</v>
      </c>
      <c r="DB1610" s="561">
        <v>838742.33000000007</v>
      </c>
    </row>
    <row r="1611" spans="1:106">
      <c r="C1611" s="561" t="s">
        <v>1198</v>
      </c>
      <c r="D1611" s="561">
        <v>61747.67</v>
      </c>
      <c r="E1611" s="561">
        <v>8100</v>
      </c>
      <c r="F1611" s="561">
        <v>53647.67</v>
      </c>
      <c r="G1611" s="561">
        <v>94</v>
      </c>
      <c r="H1611" s="561">
        <v>62622.688999999998</v>
      </c>
      <c r="I1611" s="561">
        <v>-1</v>
      </c>
      <c r="J1611" s="561">
        <v>-273.90300000000002</v>
      </c>
      <c r="K1611" s="561">
        <v>95</v>
      </c>
      <c r="L1611" s="561">
        <v>61747.67</v>
      </c>
      <c r="M1611" s="561">
        <v>61747.67</v>
      </c>
      <c r="N1611" s="561">
        <v>8100</v>
      </c>
      <c r="P1611" s="561">
        <v>53647.67</v>
      </c>
      <c r="Q1611" s="561">
        <v>53647.67</v>
      </c>
    </row>
    <row r="1612" spans="1:106">
      <c r="C1612" s="561" t="s">
        <v>1199</v>
      </c>
      <c r="D1612" s="561">
        <v>18546</v>
      </c>
      <c r="E1612" s="561">
        <v>4213.8</v>
      </c>
      <c r="F1612" s="561">
        <v>14332.2</v>
      </c>
      <c r="G1612" s="561">
        <v>1240</v>
      </c>
      <c r="H1612" s="561">
        <v>18618.544999999998</v>
      </c>
      <c r="I1612" s="561">
        <v>1</v>
      </c>
      <c r="J1612" s="561">
        <v>64.927999999999997</v>
      </c>
      <c r="K1612" s="561">
        <v>1239</v>
      </c>
      <c r="L1612" s="561">
        <v>18546</v>
      </c>
      <c r="M1612" s="561">
        <v>18546</v>
      </c>
      <c r="N1612" s="561">
        <v>4213.8</v>
      </c>
      <c r="P1612" s="561">
        <v>14332.2</v>
      </c>
      <c r="Q1612" s="561">
        <v>14332.2</v>
      </c>
    </row>
    <row r="1613" spans="1:106">
      <c r="C1613" s="561" t="s">
        <v>1200</v>
      </c>
      <c r="L1613" s="561">
        <v>0</v>
      </c>
      <c r="N1613" s="561">
        <v>0</v>
      </c>
    </row>
    <row r="1614" spans="1:106">
      <c r="A1614" s="561">
        <v>5</v>
      </c>
      <c r="B1614" s="561" t="s">
        <v>1425</v>
      </c>
      <c r="C1614" s="561" t="s">
        <v>1206</v>
      </c>
      <c r="D1614" s="561">
        <v>29244</v>
      </c>
      <c r="E1614" s="561">
        <v>8773.2000000000007</v>
      </c>
      <c r="F1614" s="561">
        <v>20470.8</v>
      </c>
      <c r="G1614" s="561">
        <v>624</v>
      </c>
      <c r="H1614" s="561">
        <v>29338.490999999998</v>
      </c>
      <c r="I1614" s="561">
        <v>0</v>
      </c>
      <c r="J1614" s="561">
        <v>42.682000000000002</v>
      </c>
      <c r="K1614" s="561">
        <v>624</v>
      </c>
      <c r="L1614" s="561">
        <v>29244</v>
      </c>
      <c r="M1614" s="561">
        <v>29244</v>
      </c>
      <c r="N1614" s="561">
        <v>8773.2000000000007</v>
      </c>
      <c r="O1614" s="561">
        <v>0</v>
      </c>
      <c r="P1614" s="561">
        <v>20470.8</v>
      </c>
      <c r="Q1614" s="561">
        <v>20470.8</v>
      </c>
    </row>
    <row r="1615" spans="1:106">
      <c r="C1615" s="561" t="s">
        <v>1197</v>
      </c>
      <c r="D1615" s="561">
        <v>28605.421999999999</v>
      </c>
      <c r="E1615" s="561">
        <v>8580</v>
      </c>
      <c r="F1615" s="561">
        <v>20025.421999999999</v>
      </c>
      <c r="G1615" s="561">
        <v>568</v>
      </c>
      <c r="H1615" s="561">
        <v>28700.281999999999</v>
      </c>
      <c r="I1615" s="561">
        <v>0</v>
      </c>
      <c r="J1615" s="561">
        <v>43.051000000000002</v>
      </c>
      <c r="K1615" s="561">
        <v>568</v>
      </c>
      <c r="L1615" s="561">
        <v>28605.421999999999</v>
      </c>
      <c r="M1615" s="561">
        <v>28605.421999999999</v>
      </c>
      <c r="N1615" s="561">
        <v>8580</v>
      </c>
      <c r="Q1615" s="561">
        <v>20025.421999999999</v>
      </c>
      <c r="AN1615" s="561">
        <v>20025.421999999999</v>
      </c>
    </row>
    <row r="1616" spans="1:106">
      <c r="C1616" s="561" t="s">
        <v>1198</v>
      </c>
      <c r="L1616" s="561">
        <v>0</v>
      </c>
      <c r="N1616" s="561">
        <v>0</v>
      </c>
    </row>
    <row r="1617" spans="1:38">
      <c r="C1617" s="561" t="s">
        <v>1199</v>
      </c>
      <c r="D1617" s="561">
        <v>638.57799999999997</v>
      </c>
      <c r="E1617" s="561">
        <v>193.2</v>
      </c>
      <c r="F1617" s="561">
        <v>445.37799999999999</v>
      </c>
      <c r="G1617" s="561">
        <v>56</v>
      </c>
      <c r="H1617" s="561">
        <v>638.20899999999995</v>
      </c>
      <c r="I1617" s="561">
        <v>0</v>
      </c>
      <c r="J1617" s="561">
        <v>-0.36899999999999999</v>
      </c>
      <c r="K1617" s="561">
        <v>56</v>
      </c>
      <c r="L1617" s="561">
        <v>638.57799999999997</v>
      </c>
      <c r="M1617" s="561">
        <v>638.57799999999997</v>
      </c>
      <c r="N1617" s="561">
        <v>193.2</v>
      </c>
      <c r="P1617" s="561">
        <v>445.37799999999999</v>
      </c>
      <c r="Q1617" s="561">
        <v>445.37799999999999</v>
      </c>
    </row>
    <row r="1618" spans="1:38">
      <c r="C1618" s="561" t="s">
        <v>1200</v>
      </c>
      <c r="L1618" s="561">
        <v>0</v>
      </c>
      <c r="N1618" s="561">
        <v>0</v>
      </c>
    </row>
    <row r="1619" spans="1:38">
      <c r="A1619" s="561">
        <v>6</v>
      </c>
      <c r="B1619" s="561" t="s">
        <v>1426</v>
      </c>
      <c r="C1619" s="561" t="s">
        <v>1206</v>
      </c>
      <c r="D1619" s="561">
        <v>21069</v>
      </c>
      <c r="E1619" s="561">
        <v>6320.7</v>
      </c>
      <c r="F1619" s="561">
        <v>14748.3</v>
      </c>
      <c r="G1619" s="561">
        <v>1615</v>
      </c>
      <c r="H1619" s="561">
        <v>21297.184000000001</v>
      </c>
      <c r="I1619" s="561">
        <v>14</v>
      </c>
      <c r="J1619" s="561">
        <v>225.69</v>
      </c>
      <c r="K1619" s="561">
        <v>1601</v>
      </c>
      <c r="L1619" s="561">
        <v>21069</v>
      </c>
      <c r="M1619" s="561">
        <v>21069</v>
      </c>
      <c r="N1619" s="561">
        <v>6320.7</v>
      </c>
      <c r="O1619" s="561">
        <v>0</v>
      </c>
      <c r="P1619" s="561">
        <v>14748.3</v>
      </c>
      <c r="Q1619" s="561">
        <v>14748.3</v>
      </c>
    </row>
    <row r="1620" spans="1:38">
      <c r="C1620" s="561" t="s">
        <v>1197</v>
      </c>
      <c r="L1620" s="561">
        <v>0</v>
      </c>
      <c r="N1620" s="561">
        <v>0</v>
      </c>
    </row>
    <row r="1621" spans="1:38">
      <c r="C1621" s="561" t="s">
        <v>1198</v>
      </c>
      <c r="L1621" s="561">
        <v>0</v>
      </c>
      <c r="N1621" s="561">
        <v>0</v>
      </c>
    </row>
    <row r="1622" spans="1:38">
      <c r="C1622" s="561" t="s">
        <v>1199</v>
      </c>
      <c r="D1622" s="561">
        <v>21069</v>
      </c>
      <c r="E1622" s="561">
        <v>6320.7</v>
      </c>
      <c r="F1622" s="561">
        <v>14748.3</v>
      </c>
      <c r="G1622" s="561">
        <v>1615</v>
      </c>
      <c r="H1622" s="561">
        <v>21297.184000000001</v>
      </c>
      <c r="I1622" s="561">
        <v>14</v>
      </c>
      <c r="J1622" s="561">
        <v>225.69</v>
      </c>
      <c r="K1622" s="561">
        <v>1601</v>
      </c>
      <c r="L1622" s="561">
        <v>21069</v>
      </c>
      <c r="M1622" s="561">
        <v>21069</v>
      </c>
      <c r="N1622" s="561">
        <v>6320.7</v>
      </c>
      <c r="P1622" s="561">
        <v>14748.3</v>
      </c>
      <c r="Q1622" s="561">
        <v>14748.3</v>
      </c>
    </row>
    <row r="1623" spans="1:38">
      <c r="C1623" s="561" t="s">
        <v>1200</v>
      </c>
      <c r="L1623" s="561">
        <v>0</v>
      </c>
      <c r="N1623" s="561">
        <v>0</v>
      </c>
    </row>
    <row r="1624" spans="1:38">
      <c r="A1624" s="561">
        <v>7</v>
      </c>
      <c r="B1624" s="561" t="s">
        <v>1427</v>
      </c>
      <c r="C1624" s="561" t="s">
        <v>1206</v>
      </c>
      <c r="D1624" s="561">
        <v>1571880.2879999997</v>
      </c>
      <c r="E1624" s="561">
        <v>356584.5</v>
      </c>
      <c r="F1624" s="561">
        <v>1215295.7879999997</v>
      </c>
      <c r="G1624" s="561">
        <v>18514</v>
      </c>
      <c r="H1624" s="561">
        <v>1716415.648</v>
      </c>
      <c r="I1624" s="561">
        <v>204</v>
      </c>
      <c r="J1624" s="561">
        <v>143753.24100000001</v>
      </c>
      <c r="K1624" s="561">
        <v>18310</v>
      </c>
      <c r="L1624" s="561">
        <v>1571880.2879999997</v>
      </c>
      <c r="M1624" s="561">
        <v>1571880.2879999997</v>
      </c>
      <c r="N1624" s="561">
        <v>356584.5</v>
      </c>
      <c r="O1624" s="561">
        <v>0</v>
      </c>
      <c r="P1624" s="561">
        <v>1215295.7879999997</v>
      </c>
      <c r="Q1624" s="561">
        <v>1215295.7879999997</v>
      </c>
    </row>
    <row r="1625" spans="1:38">
      <c r="C1625" s="561" t="s">
        <v>1197</v>
      </c>
      <c r="D1625" s="561">
        <v>1298369.662</v>
      </c>
      <c r="E1625" s="561">
        <v>309000</v>
      </c>
      <c r="F1625" s="561">
        <v>989369.66200000001</v>
      </c>
      <c r="G1625" s="561">
        <v>16981</v>
      </c>
      <c r="H1625" s="561">
        <v>1354524.2150000001</v>
      </c>
      <c r="I1625" s="561">
        <v>-124</v>
      </c>
      <c r="J1625" s="561">
        <v>56192.453000000001</v>
      </c>
      <c r="K1625" s="561">
        <v>17105</v>
      </c>
      <c r="L1625" s="561">
        <v>1298369.662</v>
      </c>
      <c r="M1625" s="561">
        <v>1298369.662</v>
      </c>
      <c r="N1625" s="561">
        <v>309000</v>
      </c>
      <c r="Q1625" s="561">
        <v>989369.66200000001</v>
      </c>
      <c r="AL1625" s="561">
        <v>989369.66200000001</v>
      </c>
    </row>
    <row r="1626" spans="1:38">
      <c r="C1626" s="561" t="s">
        <v>1198</v>
      </c>
      <c r="D1626" s="561">
        <v>116467.21799999999</v>
      </c>
      <c r="E1626" s="561">
        <v>14100</v>
      </c>
      <c r="F1626" s="561">
        <v>102367.21799999999</v>
      </c>
      <c r="G1626" s="561">
        <v>691</v>
      </c>
      <c r="H1626" s="561">
        <v>203967.69099999999</v>
      </c>
      <c r="I1626" s="561">
        <v>328</v>
      </c>
      <c r="J1626" s="561">
        <v>87500.472999999998</v>
      </c>
      <c r="K1626" s="561">
        <v>363</v>
      </c>
      <c r="L1626" s="561">
        <v>116467.21799999999</v>
      </c>
      <c r="M1626" s="561">
        <v>116467.21799999999</v>
      </c>
      <c r="N1626" s="561">
        <v>14100</v>
      </c>
      <c r="P1626" s="561">
        <v>102367.21799999999</v>
      </c>
      <c r="Q1626" s="561">
        <v>102367.21799999999</v>
      </c>
    </row>
    <row r="1627" spans="1:38">
      <c r="C1627" s="561" t="s">
        <v>1199</v>
      </c>
      <c r="D1627" s="561">
        <v>150712.48499999999</v>
      </c>
      <c r="E1627" s="561">
        <v>33484.5</v>
      </c>
      <c r="F1627" s="561">
        <v>117227.98499999999</v>
      </c>
      <c r="G1627" s="561">
        <v>842</v>
      </c>
      <c r="H1627" s="561">
        <v>150772.79999999999</v>
      </c>
      <c r="I1627" s="561">
        <v>0</v>
      </c>
      <c r="J1627" s="561">
        <v>60.314999999999998</v>
      </c>
      <c r="K1627" s="561">
        <v>842</v>
      </c>
      <c r="L1627" s="561">
        <v>150712.48499999999</v>
      </c>
      <c r="M1627" s="561">
        <v>150712.48499999999</v>
      </c>
      <c r="N1627" s="561">
        <v>33484.5</v>
      </c>
      <c r="P1627" s="561">
        <v>117227.98499999999</v>
      </c>
      <c r="Q1627" s="561">
        <v>117227.98499999999</v>
      </c>
    </row>
    <row r="1628" spans="1:38">
      <c r="C1628" s="561" t="s">
        <v>1200</v>
      </c>
      <c r="L1628" s="561">
        <v>0</v>
      </c>
      <c r="M1628" s="561">
        <v>0</v>
      </c>
    </row>
    <row r="1629" spans="1:38">
      <c r="C1629" s="561" t="s">
        <v>1202</v>
      </c>
      <c r="D1629" s="561">
        <v>6330.9229999999998</v>
      </c>
      <c r="F1629" s="561">
        <v>6330.9229999999998</v>
      </c>
      <c r="G1629" s="561">
        <v>0</v>
      </c>
      <c r="H1629" s="561">
        <v>7150.942</v>
      </c>
      <c r="I1629" s="561">
        <v>0</v>
      </c>
      <c r="J1629" s="561">
        <v>0</v>
      </c>
      <c r="K1629" s="561">
        <v>0</v>
      </c>
      <c r="L1629" s="561">
        <v>6330.9229999999998</v>
      </c>
      <c r="M1629" s="561">
        <v>6330.9229999999998</v>
      </c>
      <c r="P1629" s="561">
        <v>6330.9229999999998</v>
      </c>
      <c r="Q1629" s="561">
        <v>6330.9229999999998</v>
      </c>
    </row>
    <row r="1630" spans="1:38">
      <c r="A1630" s="561">
        <v>8</v>
      </c>
      <c r="B1630" s="561" t="s">
        <v>1428</v>
      </c>
      <c r="C1630" s="561" t="s">
        <v>1206</v>
      </c>
      <c r="D1630" s="561">
        <v>32518.657999999999</v>
      </c>
      <c r="E1630" s="561">
        <v>8111.7</v>
      </c>
      <c r="F1630" s="561">
        <v>24406.957999999999</v>
      </c>
      <c r="G1630" s="561">
        <v>2037</v>
      </c>
      <c r="H1630" s="561">
        <v>33116.896999999997</v>
      </c>
      <c r="I1630" s="561">
        <v>5</v>
      </c>
      <c r="J1630" s="561">
        <v>598.23900000000003</v>
      </c>
      <c r="K1630" s="561">
        <v>2032</v>
      </c>
      <c r="L1630" s="561">
        <v>32518.657999999999</v>
      </c>
      <c r="M1630" s="561">
        <v>32518.657999999999</v>
      </c>
      <c r="N1630" s="561">
        <v>8111.7</v>
      </c>
      <c r="O1630" s="561">
        <v>0</v>
      </c>
      <c r="P1630" s="561">
        <v>24406.957999999999</v>
      </c>
      <c r="Q1630" s="561">
        <v>24406.957999999999</v>
      </c>
    </row>
    <row r="1631" spans="1:38">
      <c r="C1631" s="561" t="s">
        <v>1197</v>
      </c>
      <c r="L1631" s="561">
        <v>0</v>
      </c>
      <c r="N1631" s="561">
        <v>0</v>
      </c>
    </row>
    <row r="1632" spans="1:38">
      <c r="C1632" s="561" t="s">
        <v>1198</v>
      </c>
      <c r="L1632" s="561">
        <v>0</v>
      </c>
      <c r="N1632" s="561">
        <v>0</v>
      </c>
    </row>
    <row r="1633" spans="1:72">
      <c r="C1633" s="561" t="s">
        <v>1199</v>
      </c>
      <c r="D1633" s="561">
        <v>32518.657999999999</v>
      </c>
      <c r="E1633" s="561">
        <v>8111.7</v>
      </c>
      <c r="F1633" s="561">
        <v>24406.957999999999</v>
      </c>
      <c r="G1633" s="561">
        <v>2037</v>
      </c>
      <c r="H1633" s="561">
        <v>33116.896999999997</v>
      </c>
      <c r="I1633" s="561">
        <v>5</v>
      </c>
      <c r="J1633" s="561">
        <v>598.23900000000003</v>
      </c>
      <c r="K1633" s="561">
        <v>2032</v>
      </c>
      <c r="L1633" s="561">
        <v>32518.657999999999</v>
      </c>
      <c r="M1633" s="561">
        <v>32518.657999999999</v>
      </c>
      <c r="N1633" s="561">
        <v>8111.7</v>
      </c>
      <c r="P1633" s="561">
        <v>24406.957999999999</v>
      </c>
      <c r="Q1633" s="561">
        <v>24406.957999999999</v>
      </c>
    </row>
    <row r="1634" spans="1:72">
      <c r="C1634" s="561" t="s">
        <v>1200</v>
      </c>
      <c r="L1634" s="561">
        <v>0</v>
      </c>
      <c r="N1634" s="561">
        <v>0</v>
      </c>
    </row>
    <row r="1635" spans="1:72">
      <c r="A1635" s="561">
        <v>9</v>
      </c>
      <c r="B1635" s="561" t="s">
        <v>1429</v>
      </c>
      <c r="C1635" s="561" t="s">
        <v>1206</v>
      </c>
      <c r="D1635" s="561">
        <v>70979.505000000005</v>
      </c>
      <c r="E1635" s="561">
        <v>23520</v>
      </c>
      <c r="F1635" s="561">
        <v>47459.505000000005</v>
      </c>
      <c r="G1635" s="561">
        <v>1410</v>
      </c>
      <c r="H1635" s="561">
        <v>72850.229000000007</v>
      </c>
      <c r="I1635" s="561">
        <v>1</v>
      </c>
      <c r="J1635" s="561">
        <v>1870.7239999999999</v>
      </c>
      <c r="K1635" s="561">
        <v>1409</v>
      </c>
      <c r="L1635" s="561">
        <v>70979.505000000005</v>
      </c>
      <c r="M1635" s="561">
        <v>70979.505000000005</v>
      </c>
      <c r="N1635" s="561">
        <v>23520</v>
      </c>
      <c r="O1635" s="561">
        <v>0</v>
      </c>
      <c r="P1635" s="561">
        <v>47459.505000000005</v>
      </c>
      <c r="Q1635" s="561">
        <v>47459.505000000005</v>
      </c>
    </row>
    <row r="1636" spans="1:72">
      <c r="C1636" s="561" t="s">
        <v>1197</v>
      </c>
      <c r="D1636" s="561">
        <v>70979.505000000005</v>
      </c>
      <c r="E1636" s="561">
        <v>23520</v>
      </c>
      <c r="F1636" s="561">
        <v>47459.505000000005</v>
      </c>
      <c r="G1636" s="561">
        <v>1410</v>
      </c>
      <c r="H1636" s="561">
        <v>72850.229000000007</v>
      </c>
      <c r="I1636" s="561">
        <v>1</v>
      </c>
      <c r="J1636" s="561">
        <v>1870.7239999999999</v>
      </c>
      <c r="K1636" s="561">
        <v>1409</v>
      </c>
      <c r="L1636" s="561">
        <v>70979.505000000005</v>
      </c>
      <c r="M1636" s="561">
        <v>70979.505000000005</v>
      </c>
      <c r="N1636" s="561">
        <v>23520</v>
      </c>
      <c r="Q1636" s="561">
        <v>47459.505000000005</v>
      </c>
      <c r="AL1636" s="561">
        <v>47459.505000000005</v>
      </c>
    </row>
    <row r="1637" spans="1:72">
      <c r="C1637" s="561" t="s">
        <v>1198</v>
      </c>
      <c r="L1637" s="561">
        <v>0</v>
      </c>
      <c r="N1637" s="561">
        <v>0</v>
      </c>
    </row>
    <row r="1638" spans="1:72">
      <c r="C1638" s="561" t="s">
        <v>1199</v>
      </c>
      <c r="L1638" s="561">
        <v>0</v>
      </c>
      <c r="N1638" s="561">
        <v>0</v>
      </c>
    </row>
    <row r="1639" spans="1:72">
      <c r="C1639" s="561" t="s">
        <v>1200</v>
      </c>
      <c r="L1639" s="561">
        <v>0</v>
      </c>
      <c r="N1639" s="561">
        <v>0</v>
      </c>
    </row>
    <row r="1640" spans="1:72">
      <c r="A1640" s="561">
        <v>10</v>
      </c>
      <c r="B1640" s="561" t="s">
        <v>1430</v>
      </c>
      <c r="C1640" s="561" t="s">
        <v>1206</v>
      </c>
      <c r="D1640" s="561">
        <v>433784</v>
      </c>
      <c r="E1640" s="561">
        <v>125398.2</v>
      </c>
      <c r="F1640" s="561">
        <v>308385.80000000005</v>
      </c>
      <c r="G1640" s="561">
        <v>7937</v>
      </c>
      <c r="H1640" s="561">
        <v>442162.761</v>
      </c>
      <c r="I1640" s="561">
        <v>4</v>
      </c>
      <c r="J1640" s="561">
        <v>7826.9769999999999</v>
      </c>
      <c r="K1640" s="561">
        <v>7933</v>
      </c>
      <c r="L1640" s="561">
        <v>433784</v>
      </c>
      <c r="M1640" s="561">
        <v>433784</v>
      </c>
      <c r="N1640" s="561">
        <v>125398.2</v>
      </c>
      <c r="O1640" s="561">
        <v>0</v>
      </c>
      <c r="P1640" s="561">
        <v>308385.80000000005</v>
      </c>
      <c r="Q1640" s="561">
        <v>308385.80000000005</v>
      </c>
    </row>
    <row r="1641" spans="1:72">
      <c r="C1641" s="561" t="s">
        <v>1197</v>
      </c>
      <c r="D1641" s="561">
        <v>421967.92700000003</v>
      </c>
      <c r="E1641" s="561">
        <v>122940</v>
      </c>
      <c r="F1641" s="561">
        <v>299027.92700000003</v>
      </c>
      <c r="G1641" s="561">
        <v>7228</v>
      </c>
      <c r="H1641" s="561">
        <v>430113.98</v>
      </c>
      <c r="I1641" s="561">
        <v>4</v>
      </c>
      <c r="J1641" s="561">
        <v>7594.2690000000002</v>
      </c>
      <c r="K1641" s="561">
        <v>7224</v>
      </c>
      <c r="L1641" s="561">
        <v>421967.92700000003</v>
      </c>
      <c r="M1641" s="561">
        <v>421967.92700000003</v>
      </c>
      <c r="N1641" s="561">
        <v>122940</v>
      </c>
      <c r="Q1641" s="561">
        <v>299027.92700000003</v>
      </c>
      <c r="BT1641" s="561">
        <v>299027.92700000003</v>
      </c>
    </row>
    <row r="1642" spans="1:72">
      <c r="C1642" s="561" t="s">
        <v>1198</v>
      </c>
      <c r="L1642" s="561">
        <v>0</v>
      </c>
      <c r="N1642" s="561">
        <v>0</v>
      </c>
    </row>
    <row r="1643" spans="1:72">
      <c r="C1643" s="561" t="s">
        <v>1199</v>
      </c>
      <c r="D1643" s="561">
        <v>11816.073</v>
      </c>
      <c r="E1643" s="561">
        <v>2458.1999999999998</v>
      </c>
      <c r="F1643" s="561">
        <v>9357.8729999999996</v>
      </c>
      <c r="G1643" s="561">
        <v>709</v>
      </c>
      <c r="H1643" s="561">
        <v>12048.781000000001</v>
      </c>
      <c r="I1643" s="561">
        <v>0</v>
      </c>
      <c r="J1643" s="561">
        <v>232.708</v>
      </c>
      <c r="K1643" s="561">
        <v>709</v>
      </c>
      <c r="L1643" s="561">
        <v>11816.073</v>
      </c>
      <c r="M1643" s="561">
        <v>11816.073</v>
      </c>
      <c r="N1643" s="561">
        <v>2458.1999999999998</v>
      </c>
      <c r="P1643" s="561">
        <v>9357.8729999999996</v>
      </c>
      <c r="Q1643" s="561">
        <v>9357.8729999999996</v>
      </c>
    </row>
    <row r="1644" spans="1:72">
      <c r="C1644" s="561" t="s">
        <v>1200</v>
      </c>
      <c r="L1644" s="561">
        <v>0</v>
      </c>
      <c r="N1644" s="561">
        <v>0</v>
      </c>
    </row>
    <row r="1645" spans="1:72">
      <c r="A1645" s="561">
        <v>11</v>
      </c>
      <c r="B1645" s="561" t="s">
        <v>1431</v>
      </c>
      <c r="C1645" s="561" t="s">
        <v>1206</v>
      </c>
      <c r="D1645" s="561">
        <v>103066</v>
      </c>
      <c r="E1645" s="561">
        <v>30919.8</v>
      </c>
      <c r="F1645" s="561">
        <v>72146.2</v>
      </c>
      <c r="G1645" s="561">
        <v>2337</v>
      </c>
      <c r="H1645" s="561">
        <v>104851.39899999999</v>
      </c>
      <c r="I1645" s="561">
        <v>9</v>
      </c>
      <c r="J1645" s="561">
        <v>1361.9649999999999</v>
      </c>
      <c r="K1645" s="561">
        <v>2328</v>
      </c>
      <c r="L1645" s="561">
        <v>103066</v>
      </c>
      <c r="M1645" s="561">
        <v>103066</v>
      </c>
      <c r="N1645" s="561">
        <v>30919.8</v>
      </c>
      <c r="O1645" s="561">
        <v>0</v>
      </c>
      <c r="P1645" s="561">
        <v>72146.2</v>
      </c>
      <c r="Q1645" s="561">
        <v>72146.2</v>
      </c>
    </row>
    <row r="1646" spans="1:72">
      <c r="C1646" s="561" t="s">
        <v>1197</v>
      </c>
      <c r="D1646" s="561">
        <v>91475</v>
      </c>
      <c r="E1646" s="561">
        <v>27900</v>
      </c>
      <c r="F1646" s="561">
        <v>63575</v>
      </c>
      <c r="G1646" s="561">
        <v>1483</v>
      </c>
      <c r="H1646" s="561">
        <v>93117.638999999996</v>
      </c>
      <c r="I1646" s="561">
        <v>4</v>
      </c>
      <c r="J1646" s="561">
        <v>1247.3499999999999</v>
      </c>
      <c r="K1646" s="561">
        <v>1479</v>
      </c>
      <c r="L1646" s="561">
        <v>91475</v>
      </c>
      <c r="M1646" s="561">
        <v>91475</v>
      </c>
      <c r="N1646" s="561">
        <v>27900</v>
      </c>
      <c r="Q1646" s="561">
        <v>63575</v>
      </c>
      <c r="AL1646" s="561">
        <v>63575</v>
      </c>
    </row>
    <row r="1647" spans="1:72">
      <c r="C1647" s="561" t="s">
        <v>1198</v>
      </c>
      <c r="L1647" s="561">
        <v>0</v>
      </c>
      <c r="N1647" s="561">
        <v>0</v>
      </c>
    </row>
    <row r="1648" spans="1:72">
      <c r="C1648" s="561" t="s">
        <v>1199</v>
      </c>
      <c r="D1648" s="561">
        <v>11591</v>
      </c>
      <c r="E1648" s="561">
        <v>3019.8</v>
      </c>
      <c r="F1648" s="561">
        <v>8571.2000000000007</v>
      </c>
      <c r="G1648" s="561">
        <v>854</v>
      </c>
      <c r="H1648" s="561">
        <v>11733.76</v>
      </c>
      <c r="I1648" s="561">
        <v>5</v>
      </c>
      <c r="J1648" s="561">
        <v>114.61499999999999</v>
      </c>
      <c r="K1648" s="561">
        <v>849</v>
      </c>
      <c r="L1648" s="561">
        <v>11591</v>
      </c>
      <c r="M1648" s="561">
        <v>11591</v>
      </c>
      <c r="N1648" s="561">
        <v>3019.8</v>
      </c>
      <c r="P1648" s="561">
        <v>8571.2000000000007</v>
      </c>
      <c r="Q1648" s="561">
        <v>8571.2000000000007</v>
      </c>
    </row>
    <row r="1649" spans="1:38">
      <c r="C1649" s="561" t="s">
        <v>1200</v>
      </c>
      <c r="L1649" s="561">
        <v>0</v>
      </c>
      <c r="N1649" s="561">
        <v>0</v>
      </c>
    </row>
    <row r="1650" spans="1:38">
      <c r="A1650" s="561">
        <v>12</v>
      </c>
      <c r="B1650" s="561" t="s">
        <v>1432</v>
      </c>
      <c r="C1650" s="561" t="s">
        <v>1206</v>
      </c>
      <c r="D1650" s="561">
        <v>600761.92299999995</v>
      </c>
      <c r="E1650" s="561">
        <v>165450</v>
      </c>
      <c r="F1650" s="561">
        <v>435311.92300000001</v>
      </c>
      <c r="G1650" s="561">
        <v>7496</v>
      </c>
      <c r="H1650" s="561">
        <v>630906.99</v>
      </c>
      <c r="I1650" s="561">
        <v>234</v>
      </c>
      <c r="J1650" s="561">
        <v>31716.248</v>
      </c>
      <c r="K1650" s="561">
        <v>7262</v>
      </c>
      <c r="L1650" s="561">
        <v>600761.92299999995</v>
      </c>
      <c r="M1650" s="561">
        <v>600761.92299999995</v>
      </c>
      <c r="N1650" s="561">
        <v>165450</v>
      </c>
      <c r="O1650" s="561">
        <v>0</v>
      </c>
      <c r="P1650" s="561">
        <v>435311.92300000001</v>
      </c>
      <c r="Q1650" s="561">
        <v>435311.92300000007</v>
      </c>
    </row>
    <row r="1651" spans="1:38">
      <c r="C1651" s="561" t="s">
        <v>1197</v>
      </c>
      <c r="D1651" s="561">
        <v>588595.57999999996</v>
      </c>
      <c r="E1651" s="561">
        <v>164250</v>
      </c>
      <c r="F1651" s="561">
        <v>424345.57999999996</v>
      </c>
      <c r="G1651" s="561">
        <v>7435</v>
      </c>
      <c r="H1651" s="561">
        <v>618215.228</v>
      </c>
      <c r="I1651" s="561">
        <v>234</v>
      </c>
      <c r="J1651" s="561">
        <v>31204.16</v>
      </c>
      <c r="K1651" s="561">
        <v>7201</v>
      </c>
      <c r="L1651" s="561">
        <v>588595.57999999996</v>
      </c>
      <c r="M1651" s="561">
        <v>588595.57999999996</v>
      </c>
      <c r="N1651" s="561">
        <v>164250</v>
      </c>
      <c r="Q1651" s="561">
        <v>424345.58</v>
      </c>
      <c r="AL1651" s="561">
        <v>424345.57999999996</v>
      </c>
    </row>
    <row r="1652" spans="1:38">
      <c r="C1652" s="561" t="s">
        <v>1198</v>
      </c>
      <c r="D1652" s="561">
        <v>11648.775</v>
      </c>
      <c r="E1652" s="561">
        <v>1200</v>
      </c>
      <c r="F1652" s="561">
        <v>10448.775</v>
      </c>
      <c r="G1652" s="561">
        <v>41</v>
      </c>
      <c r="H1652" s="561">
        <v>12152.87</v>
      </c>
      <c r="I1652" s="561">
        <v>0</v>
      </c>
      <c r="J1652" s="561">
        <v>504.09500000000003</v>
      </c>
      <c r="K1652" s="561">
        <v>41</v>
      </c>
      <c r="L1652" s="561">
        <v>11648.775</v>
      </c>
      <c r="M1652" s="561">
        <v>11648.775</v>
      </c>
      <c r="N1652" s="561">
        <v>1200</v>
      </c>
      <c r="P1652" s="561">
        <v>10448.775</v>
      </c>
      <c r="Q1652" s="561">
        <v>10448.775</v>
      </c>
    </row>
    <row r="1653" spans="1:38">
      <c r="C1653" s="561" t="s">
        <v>1199</v>
      </c>
      <c r="D1653" s="561">
        <v>351.06799999999998</v>
      </c>
      <c r="F1653" s="561">
        <v>351.06799999999998</v>
      </c>
      <c r="G1653" s="561">
        <v>20</v>
      </c>
      <c r="H1653" s="561">
        <v>359.06099999999998</v>
      </c>
      <c r="I1653" s="561">
        <v>0</v>
      </c>
      <c r="J1653" s="561">
        <v>7.9930000000000003</v>
      </c>
      <c r="K1653" s="561">
        <v>20</v>
      </c>
      <c r="L1653" s="561">
        <v>351.06799999999998</v>
      </c>
      <c r="M1653" s="561">
        <v>351.06799999999998</v>
      </c>
      <c r="N1653" s="561">
        <v>0</v>
      </c>
      <c r="P1653" s="561">
        <v>351.06799999999998</v>
      </c>
      <c r="Q1653" s="561">
        <v>351.06799999999998</v>
      </c>
    </row>
    <row r="1654" spans="1:38">
      <c r="C1654" s="561" t="s">
        <v>1200</v>
      </c>
      <c r="L1654" s="561">
        <v>0</v>
      </c>
      <c r="M1654" s="561">
        <v>0</v>
      </c>
    </row>
    <row r="1655" spans="1:38">
      <c r="C1655" s="561" t="s">
        <v>1202</v>
      </c>
      <c r="D1655" s="561">
        <v>166.5</v>
      </c>
      <c r="F1655" s="561">
        <v>166.5</v>
      </c>
      <c r="G1655" s="561">
        <v>0</v>
      </c>
      <c r="H1655" s="561">
        <v>179.83099999999999</v>
      </c>
      <c r="I1655" s="561">
        <v>0</v>
      </c>
      <c r="J1655" s="561">
        <v>0</v>
      </c>
      <c r="K1655" s="561">
        <v>0</v>
      </c>
      <c r="L1655" s="561">
        <v>166.5</v>
      </c>
      <c r="M1655" s="561">
        <v>166.5</v>
      </c>
      <c r="P1655" s="561">
        <v>166.5</v>
      </c>
      <c r="Q1655" s="561">
        <v>166.5</v>
      </c>
    </row>
    <row r="1656" spans="1:38">
      <c r="A1656" s="561">
        <v>13</v>
      </c>
      <c r="B1656" s="561" t="s">
        <v>1433</v>
      </c>
      <c r="C1656" s="561" t="s">
        <v>1206</v>
      </c>
      <c r="D1656" s="561">
        <v>71628</v>
      </c>
      <c r="E1656" s="561">
        <v>23520</v>
      </c>
      <c r="F1656" s="561">
        <v>48108</v>
      </c>
      <c r="G1656" s="561">
        <v>1381</v>
      </c>
      <c r="H1656" s="561">
        <v>73022.762000000002</v>
      </c>
      <c r="I1656" s="561">
        <v>1</v>
      </c>
      <c r="J1656" s="561">
        <v>1383.5239999999999</v>
      </c>
      <c r="K1656" s="561">
        <v>1380</v>
      </c>
      <c r="L1656" s="561">
        <v>71628</v>
      </c>
      <c r="M1656" s="561">
        <v>71628</v>
      </c>
      <c r="N1656" s="561">
        <v>23520</v>
      </c>
      <c r="O1656" s="561">
        <v>0</v>
      </c>
      <c r="P1656" s="561">
        <v>48108</v>
      </c>
      <c r="Q1656" s="561">
        <v>48108</v>
      </c>
    </row>
    <row r="1657" spans="1:38">
      <c r="C1657" s="561" t="s">
        <v>1197</v>
      </c>
      <c r="D1657" s="561">
        <v>71628</v>
      </c>
      <c r="E1657" s="561">
        <v>23520</v>
      </c>
      <c r="F1657" s="561">
        <v>48108</v>
      </c>
      <c r="G1657" s="561">
        <v>1381</v>
      </c>
      <c r="H1657" s="561">
        <v>73022.762000000002</v>
      </c>
      <c r="I1657" s="561">
        <v>1</v>
      </c>
      <c r="J1657" s="561">
        <v>1383.5239999999999</v>
      </c>
      <c r="K1657" s="561">
        <v>1380</v>
      </c>
      <c r="L1657" s="561">
        <v>71628</v>
      </c>
      <c r="M1657" s="561">
        <v>71628</v>
      </c>
      <c r="N1657" s="561">
        <v>23520</v>
      </c>
      <c r="Q1657" s="561">
        <v>48108</v>
      </c>
      <c r="AL1657" s="561">
        <v>48108</v>
      </c>
    </row>
    <row r="1658" spans="1:38">
      <c r="C1658" s="561" t="s">
        <v>1198</v>
      </c>
      <c r="L1658" s="561">
        <v>0</v>
      </c>
      <c r="N1658" s="561">
        <v>0</v>
      </c>
    </row>
    <row r="1659" spans="1:38">
      <c r="C1659" s="561" t="s">
        <v>1199</v>
      </c>
      <c r="L1659" s="561">
        <v>0</v>
      </c>
      <c r="N1659" s="561">
        <v>0</v>
      </c>
    </row>
    <row r="1660" spans="1:38">
      <c r="C1660" s="561" t="s">
        <v>1200</v>
      </c>
      <c r="L1660" s="561">
        <v>0</v>
      </c>
      <c r="N1660" s="561">
        <v>0</v>
      </c>
    </row>
    <row r="1661" spans="1:38">
      <c r="A1661" s="561">
        <v>14</v>
      </c>
      <c r="B1661" s="561" t="s">
        <v>1434</v>
      </c>
      <c r="C1661" s="561" t="s">
        <v>1206</v>
      </c>
      <c r="D1661" s="561">
        <v>7853</v>
      </c>
      <c r="E1661" s="561">
        <v>1755.9</v>
      </c>
      <c r="F1661" s="561">
        <v>6097.1</v>
      </c>
      <c r="G1661" s="561">
        <v>500</v>
      </c>
      <c r="H1661" s="561">
        <v>8201.7420000000002</v>
      </c>
      <c r="I1661" s="561">
        <v>0</v>
      </c>
      <c r="J1661" s="561">
        <v>148.20599999999999</v>
      </c>
      <c r="K1661" s="561">
        <v>500</v>
      </c>
      <c r="L1661" s="561">
        <v>7853</v>
      </c>
      <c r="M1661" s="561">
        <v>7853</v>
      </c>
      <c r="N1661" s="561">
        <v>1755.9</v>
      </c>
      <c r="O1661" s="561">
        <v>0</v>
      </c>
      <c r="P1661" s="561">
        <v>6097.1</v>
      </c>
      <c r="Q1661" s="561">
        <v>6097.1</v>
      </c>
    </row>
    <row r="1662" spans="1:38">
      <c r="C1662" s="561" t="s">
        <v>1197</v>
      </c>
      <c r="L1662" s="561">
        <v>0</v>
      </c>
      <c r="N1662" s="561">
        <v>0</v>
      </c>
    </row>
    <row r="1663" spans="1:38">
      <c r="C1663" s="561" t="s">
        <v>1198</v>
      </c>
      <c r="L1663" s="561">
        <v>0</v>
      </c>
      <c r="N1663" s="561">
        <v>0</v>
      </c>
    </row>
    <row r="1664" spans="1:38">
      <c r="C1664" s="561" t="s">
        <v>1199</v>
      </c>
      <c r="D1664" s="561">
        <v>7853</v>
      </c>
      <c r="E1664" s="561">
        <v>1755.9</v>
      </c>
      <c r="F1664" s="561">
        <v>6097.1</v>
      </c>
      <c r="G1664" s="561">
        <v>500</v>
      </c>
      <c r="H1664" s="561">
        <v>8201.7420000000002</v>
      </c>
      <c r="I1664" s="561">
        <v>0</v>
      </c>
      <c r="J1664" s="561">
        <v>148.20599999999999</v>
      </c>
      <c r="K1664" s="561">
        <v>500</v>
      </c>
      <c r="L1664" s="561">
        <v>7853</v>
      </c>
      <c r="M1664" s="561">
        <v>7853</v>
      </c>
      <c r="N1664" s="561">
        <v>1755.9</v>
      </c>
      <c r="P1664" s="561">
        <v>6097.1</v>
      </c>
      <c r="Q1664" s="561">
        <v>6097.1</v>
      </c>
    </row>
    <row r="1665" spans="1:38">
      <c r="C1665" s="561" t="s">
        <v>1200</v>
      </c>
      <c r="L1665" s="561">
        <v>0</v>
      </c>
      <c r="N1665" s="561">
        <v>0</v>
      </c>
    </row>
    <row r="1666" spans="1:38">
      <c r="A1666" s="561">
        <v>15</v>
      </c>
      <c r="B1666" s="561" t="s">
        <v>1435</v>
      </c>
      <c r="C1666" s="561" t="s">
        <v>1206</v>
      </c>
      <c r="D1666" s="561">
        <v>12876</v>
      </c>
      <c r="E1666" s="561">
        <v>3862.8</v>
      </c>
      <c r="F1666" s="561">
        <v>9013.2000000000007</v>
      </c>
      <c r="G1666" s="561">
        <v>817</v>
      </c>
      <c r="H1666" s="561">
        <v>13285.996999999999</v>
      </c>
      <c r="I1666" s="561">
        <v>2</v>
      </c>
      <c r="J1666" s="561">
        <v>391.65800000000002</v>
      </c>
      <c r="K1666" s="561">
        <v>815</v>
      </c>
      <c r="L1666" s="561">
        <v>12876</v>
      </c>
      <c r="M1666" s="561">
        <v>12876</v>
      </c>
      <c r="N1666" s="561">
        <v>3862.8</v>
      </c>
      <c r="O1666" s="561">
        <v>0</v>
      </c>
      <c r="P1666" s="561">
        <v>9013.2000000000007</v>
      </c>
      <c r="Q1666" s="561">
        <v>9013.2000000000007</v>
      </c>
    </row>
    <row r="1667" spans="1:38">
      <c r="C1667" s="561" t="s">
        <v>1197</v>
      </c>
      <c r="L1667" s="561">
        <v>0</v>
      </c>
      <c r="N1667" s="561">
        <v>0</v>
      </c>
    </row>
    <row r="1668" spans="1:38">
      <c r="C1668" s="561" t="s">
        <v>1198</v>
      </c>
      <c r="L1668" s="561">
        <v>0</v>
      </c>
      <c r="N1668" s="561">
        <v>0</v>
      </c>
    </row>
    <row r="1669" spans="1:38">
      <c r="C1669" s="561" t="s">
        <v>1199</v>
      </c>
      <c r="D1669" s="561">
        <v>12876</v>
      </c>
      <c r="E1669" s="561">
        <v>3862.8</v>
      </c>
      <c r="F1669" s="561">
        <v>9013.2000000000007</v>
      </c>
      <c r="G1669" s="561">
        <v>817</v>
      </c>
      <c r="H1669" s="561">
        <v>13285.996999999999</v>
      </c>
      <c r="I1669" s="561">
        <v>2</v>
      </c>
      <c r="J1669" s="561">
        <v>391.65800000000002</v>
      </c>
      <c r="K1669" s="561">
        <v>815</v>
      </c>
      <c r="L1669" s="561">
        <v>12876</v>
      </c>
      <c r="M1669" s="561">
        <v>12876</v>
      </c>
      <c r="N1669" s="561">
        <v>3862.8</v>
      </c>
      <c r="P1669" s="561">
        <v>9013.2000000000007</v>
      </c>
      <c r="Q1669" s="561">
        <v>9013.2000000000007</v>
      </c>
    </row>
    <row r="1670" spans="1:38">
      <c r="C1670" s="561" t="s">
        <v>1200</v>
      </c>
      <c r="L1670" s="561">
        <v>0</v>
      </c>
      <c r="N1670" s="561">
        <v>0</v>
      </c>
    </row>
    <row r="1671" spans="1:38">
      <c r="A1671" s="561">
        <v>16</v>
      </c>
      <c r="B1671" s="561" t="s">
        <v>1436</v>
      </c>
      <c r="C1671" s="561" t="s">
        <v>1206</v>
      </c>
      <c r="D1671" s="561">
        <v>445296</v>
      </c>
      <c r="E1671" s="561">
        <v>117080.1</v>
      </c>
      <c r="F1671" s="561">
        <v>328215.90000000002</v>
      </c>
      <c r="G1671" s="561">
        <v>6216</v>
      </c>
      <c r="H1671" s="561">
        <v>464269.913</v>
      </c>
      <c r="I1671" s="561">
        <v>25</v>
      </c>
      <c r="J1671" s="561">
        <v>17354</v>
      </c>
      <c r="K1671" s="561">
        <v>6191</v>
      </c>
      <c r="L1671" s="561">
        <v>445296</v>
      </c>
      <c r="M1671" s="561">
        <v>445296</v>
      </c>
      <c r="N1671" s="561">
        <v>117080.1</v>
      </c>
      <c r="O1671" s="561">
        <v>0</v>
      </c>
      <c r="P1671" s="561">
        <v>328215.90000000002</v>
      </c>
      <c r="Q1671" s="561">
        <v>328215.90000000002</v>
      </c>
      <c r="AL1671" s="561">
        <v>316529</v>
      </c>
    </row>
    <row r="1672" spans="1:38">
      <c r="C1672" s="561" t="s">
        <v>1197</v>
      </c>
      <c r="D1672" s="561">
        <v>432029</v>
      </c>
      <c r="E1672" s="561">
        <v>115500</v>
      </c>
      <c r="F1672" s="561">
        <v>316529</v>
      </c>
      <c r="G1672" s="561">
        <v>5721</v>
      </c>
      <c r="H1672" s="561">
        <v>450407.81099999999</v>
      </c>
      <c r="I1672" s="561">
        <v>16</v>
      </c>
      <c r="J1672" s="561">
        <v>16885.143</v>
      </c>
      <c r="K1672" s="561">
        <v>5705</v>
      </c>
      <c r="L1672" s="561">
        <v>432029</v>
      </c>
      <c r="M1672" s="561">
        <v>432029</v>
      </c>
      <c r="N1672" s="561">
        <v>115500</v>
      </c>
      <c r="Q1672" s="561">
        <v>316529</v>
      </c>
    </row>
    <row r="1673" spans="1:38">
      <c r="C1673" s="561" t="s">
        <v>1198</v>
      </c>
      <c r="G1673" s="561">
        <v>1</v>
      </c>
      <c r="H1673" s="561">
        <v>255.416</v>
      </c>
      <c r="I1673" s="561">
        <v>1</v>
      </c>
      <c r="J1673" s="561">
        <v>255.416</v>
      </c>
      <c r="K1673" s="561">
        <v>0</v>
      </c>
      <c r="L1673" s="561">
        <v>0</v>
      </c>
      <c r="N1673" s="561">
        <v>0</v>
      </c>
    </row>
    <row r="1674" spans="1:38">
      <c r="C1674" s="561" t="s">
        <v>1199</v>
      </c>
      <c r="D1674" s="561">
        <v>13267</v>
      </c>
      <c r="E1674" s="561">
        <v>1580.1</v>
      </c>
      <c r="F1674" s="561">
        <v>11686.9</v>
      </c>
      <c r="G1674" s="561">
        <v>494</v>
      </c>
      <c r="H1674" s="561">
        <v>13606.686</v>
      </c>
      <c r="I1674" s="561">
        <v>8</v>
      </c>
      <c r="J1674" s="561">
        <v>213.441</v>
      </c>
      <c r="K1674" s="561">
        <v>486</v>
      </c>
      <c r="L1674" s="561">
        <v>13267</v>
      </c>
      <c r="M1674" s="561">
        <v>13267</v>
      </c>
      <c r="N1674" s="561">
        <v>1580.1</v>
      </c>
      <c r="P1674" s="561">
        <v>11686.9</v>
      </c>
      <c r="Q1674" s="561">
        <v>11686.9</v>
      </c>
    </row>
    <row r="1675" spans="1:38">
      <c r="C1675" s="561" t="s">
        <v>1200</v>
      </c>
      <c r="L1675" s="561">
        <v>0</v>
      </c>
      <c r="N1675" s="561">
        <v>0</v>
      </c>
    </row>
    <row r="1676" spans="1:38">
      <c r="A1676" s="561">
        <v>17</v>
      </c>
      <c r="B1676" s="561" t="s">
        <v>1437</v>
      </c>
      <c r="C1676" s="561" t="s">
        <v>1206</v>
      </c>
      <c r="D1676" s="561">
        <v>571589</v>
      </c>
      <c r="E1676" s="561">
        <v>164932.20000000001</v>
      </c>
      <c r="F1676" s="561">
        <v>406656.8</v>
      </c>
      <c r="G1676" s="561">
        <v>11761</v>
      </c>
      <c r="H1676" s="561">
        <v>594728.38199999998</v>
      </c>
      <c r="I1676" s="561">
        <v>83</v>
      </c>
      <c r="J1676" s="561">
        <v>21175.508999999998</v>
      </c>
      <c r="K1676" s="561">
        <v>11678</v>
      </c>
      <c r="L1676" s="561">
        <v>571589</v>
      </c>
      <c r="M1676" s="561">
        <v>571589</v>
      </c>
      <c r="N1676" s="561">
        <v>164932.20000000001</v>
      </c>
      <c r="O1676" s="561">
        <v>0</v>
      </c>
      <c r="P1676" s="561">
        <v>406656.8</v>
      </c>
      <c r="Q1676" s="561">
        <v>406656.8</v>
      </c>
    </row>
    <row r="1677" spans="1:38">
      <c r="C1677" s="561" t="s">
        <v>1197</v>
      </c>
      <c r="D1677" s="561">
        <v>511114.26799999998</v>
      </c>
      <c r="E1677" s="561">
        <v>155100</v>
      </c>
      <c r="F1677" s="561">
        <v>356014.26799999998</v>
      </c>
      <c r="G1677" s="561">
        <v>7839</v>
      </c>
      <c r="H1677" s="561">
        <v>530535.07700000005</v>
      </c>
      <c r="I1677" s="561">
        <v>38</v>
      </c>
      <c r="J1677" s="561">
        <v>19428.388999999999</v>
      </c>
      <c r="K1677" s="561">
        <v>7801</v>
      </c>
      <c r="L1677" s="561">
        <v>511114.26799999998</v>
      </c>
      <c r="M1677" s="561">
        <v>511114.26799999998</v>
      </c>
      <c r="N1677" s="561">
        <v>155100</v>
      </c>
      <c r="Q1677" s="561">
        <v>356014.26799999998</v>
      </c>
      <c r="AL1677" s="561">
        <v>356014.26799999998</v>
      </c>
    </row>
    <row r="1678" spans="1:38">
      <c r="C1678" s="561" t="s">
        <v>1198</v>
      </c>
      <c r="G1678" s="561">
        <v>1</v>
      </c>
      <c r="H1678" s="561">
        <v>288.57</v>
      </c>
      <c r="I1678" s="561">
        <v>1</v>
      </c>
      <c r="J1678" s="561">
        <v>288.57</v>
      </c>
      <c r="K1678" s="561">
        <v>0</v>
      </c>
      <c r="L1678" s="561">
        <v>0</v>
      </c>
      <c r="N1678" s="561">
        <v>0</v>
      </c>
    </row>
    <row r="1679" spans="1:38">
      <c r="C1679" s="561" t="s">
        <v>1199</v>
      </c>
      <c r="D1679" s="561">
        <v>60474.732000000004</v>
      </c>
      <c r="E1679" s="561">
        <v>9832.2000000000007</v>
      </c>
      <c r="F1679" s="561">
        <v>50642.532000000007</v>
      </c>
      <c r="G1679" s="561">
        <v>3921</v>
      </c>
      <c r="H1679" s="561">
        <v>63904.735000000001</v>
      </c>
      <c r="I1679" s="561">
        <v>44</v>
      </c>
      <c r="J1679" s="561">
        <v>1458.55</v>
      </c>
      <c r="K1679" s="561">
        <v>3877</v>
      </c>
      <c r="L1679" s="561">
        <v>60474.732000000004</v>
      </c>
      <c r="M1679" s="561">
        <v>60474.732000000004</v>
      </c>
      <c r="N1679" s="561">
        <v>9832.2000000000007</v>
      </c>
      <c r="P1679" s="561">
        <v>50642.532000000007</v>
      </c>
      <c r="Q1679" s="561">
        <v>50642.532000000007</v>
      </c>
    </row>
    <row r="1680" spans="1:38">
      <c r="C1680" s="561" t="s">
        <v>1200</v>
      </c>
      <c r="L1680" s="561">
        <v>0</v>
      </c>
      <c r="N1680" s="561">
        <v>0</v>
      </c>
    </row>
    <row r="1681" spans="1:38">
      <c r="A1681" s="561">
        <v>18</v>
      </c>
      <c r="B1681" s="561" t="s">
        <v>1438</v>
      </c>
      <c r="C1681" s="561" t="s">
        <v>1206</v>
      </c>
      <c r="D1681" s="561">
        <v>108515</v>
      </c>
      <c r="E1681" s="561">
        <v>29231.4</v>
      </c>
      <c r="F1681" s="561">
        <v>79283.600000000006</v>
      </c>
      <c r="G1681" s="561">
        <v>1962</v>
      </c>
      <c r="H1681" s="561">
        <v>112774.549</v>
      </c>
      <c r="I1681" s="561">
        <v>19</v>
      </c>
      <c r="J1681" s="561">
        <v>3598.4839999999999</v>
      </c>
      <c r="K1681" s="561">
        <v>1943</v>
      </c>
      <c r="L1681" s="561">
        <v>108515</v>
      </c>
      <c r="M1681" s="561">
        <v>108515</v>
      </c>
      <c r="N1681" s="561">
        <v>29231.4</v>
      </c>
      <c r="O1681" s="561">
        <v>0</v>
      </c>
      <c r="P1681" s="561">
        <v>79283.600000000006</v>
      </c>
      <c r="Q1681" s="561">
        <v>79283.600000000006</v>
      </c>
    </row>
    <row r="1682" spans="1:38">
      <c r="C1682" s="561" t="s">
        <v>1197</v>
      </c>
      <c r="D1682" s="561">
        <v>101129.35400000001</v>
      </c>
      <c r="E1682" s="561">
        <v>27300</v>
      </c>
      <c r="F1682" s="561">
        <v>73829.354000000007</v>
      </c>
      <c r="G1682" s="561">
        <v>1477</v>
      </c>
      <c r="H1682" s="561">
        <v>104085.80899999999</v>
      </c>
      <c r="I1682" s="561">
        <v>7</v>
      </c>
      <c r="J1682" s="561">
        <v>2956.4549999999999</v>
      </c>
      <c r="K1682" s="561">
        <v>1470</v>
      </c>
      <c r="L1682" s="561">
        <v>101129.35400000001</v>
      </c>
      <c r="M1682" s="561">
        <v>101129.35400000001</v>
      </c>
      <c r="N1682" s="561">
        <v>27300</v>
      </c>
      <c r="Q1682" s="561">
        <v>73829.354000000007</v>
      </c>
      <c r="AL1682" s="561">
        <v>73829.354000000007</v>
      </c>
    </row>
    <row r="1683" spans="1:38">
      <c r="C1683" s="561" t="s">
        <v>1198</v>
      </c>
      <c r="L1683" s="561">
        <v>0</v>
      </c>
      <c r="N1683" s="561">
        <v>0</v>
      </c>
    </row>
    <row r="1684" spans="1:38">
      <c r="C1684" s="561" t="s">
        <v>1199</v>
      </c>
      <c r="D1684" s="561">
        <v>7385.6459999999997</v>
      </c>
      <c r="E1684" s="561">
        <v>1931.4</v>
      </c>
      <c r="F1684" s="561">
        <v>5454.2459999999992</v>
      </c>
      <c r="G1684" s="561">
        <v>485</v>
      </c>
      <c r="H1684" s="561">
        <v>8688.74</v>
      </c>
      <c r="I1684" s="561">
        <v>12</v>
      </c>
      <c r="J1684" s="561">
        <v>642.029</v>
      </c>
      <c r="K1684" s="561">
        <v>473</v>
      </c>
      <c r="L1684" s="561">
        <v>7385.6459999999997</v>
      </c>
      <c r="M1684" s="561">
        <v>7385.6459999999997</v>
      </c>
      <c r="N1684" s="561">
        <v>1931.4</v>
      </c>
      <c r="P1684" s="561">
        <v>5454.2459999999992</v>
      </c>
      <c r="Q1684" s="561">
        <v>5454.2459999999992</v>
      </c>
    </row>
    <row r="1685" spans="1:38">
      <c r="C1685" s="561" t="s">
        <v>1200</v>
      </c>
      <c r="L1685" s="561">
        <v>0</v>
      </c>
      <c r="N1685" s="561">
        <v>0</v>
      </c>
    </row>
    <row r="1686" spans="1:38">
      <c r="A1686" s="561">
        <v>19</v>
      </c>
      <c r="B1686" s="561" t="s">
        <v>1439</v>
      </c>
      <c r="C1686" s="561" t="s">
        <v>1206</v>
      </c>
      <c r="D1686" s="561">
        <v>275176</v>
      </c>
      <c r="E1686" s="561">
        <v>82169.7</v>
      </c>
      <c r="F1686" s="561">
        <v>193006.3</v>
      </c>
      <c r="G1686" s="561">
        <v>4662</v>
      </c>
      <c r="H1686" s="561">
        <v>287933.63500000001</v>
      </c>
      <c r="I1686" s="561">
        <v>30</v>
      </c>
      <c r="J1686" s="561">
        <v>11148.733</v>
      </c>
      <c r="K1686" s="561">
        <v>4632</v>
      </c>
      <c r="L1686" s="561">
        <v>275176</v>
      </c>
      <c r="M1686" s="561">
        <v>275176</v>
      </c>
      <c r="N1686" s="561">
        <v>82169.7</v>
      </c>
      <c r="O1686" s="561">
        <v>0</v>
      </c>
      <c r="P1686" s="561">
        <v>193006.3</v>
      </c>
      <c r="Q1686" s="561">
        <v>193006.3</v>
      </c>
    </row>
    <row r="1687" spans="1:38">
      <c r="C1687" s="561" t="s">
        <v>1197</v>
      </c>
      <c r="D1687" s="561">
        <v>255277</v>
      </c>
      <c r="E1687" s="561">
        <v>76200</v>
      </c>
      <c r="F1687" s="561">
        <v>179077</v>
      </c>
      <c r="G1687" s="561">
        <v>3646</v>
      </c>
      <c r="H1687" s="561">
        <v>267295.17300000001</v>
      </c>
      <c r="I1687" s="561">
        <v>22</v>
      </c>
      <c r="J1687" s="561">
        <v>10658.26</v>
      </c>
      <c r="K1687" s="561">
        <v>3624</v>
      </c>
      <c r="L1687" s="561">
        <v>255277</v>
      </c>
      <c r="M1687" s="561">
        <v>255277</v>
      </c>
      <c r="N1687" s="561">
        <v>76200</v>
      </c>
      <c r="Q1687" s="561">
        <v>179077</v>
      </c>
      <c r="AL1687" s="561">
        <v>179077</v>
      </c>
    </row>
    <row r="1688" spans="1:38">
      <c r="C1688" s="561" t="s">
        <v>1198</v>
      </c>
      <c r="G1688" s="561">
        <v>1</v>
      </c>
      <c r="H1688" s="561">
        <v>224.86799999999999</v>
      </c>
      <c r="I1688" s="561">
        <v>1</v>
      </c>
      <c r="J1688" s="561">
        <v>157.40799999999999</v>
      </c>
      <c r="K1688" s="561">
        <v>0</v>
      </c>
      <c r="L1688" s="561">
        <v>0</v>
      </c>
      <c r="N1688" s="561">
        <v>0</v>
      </c>
    </row>
    <row r="1689" spans="1:38">
      <c r="C1689" s="561" t="s">
        <v>1199</v>
      </c>
      <c r="D1689" s="561">
        <v>19899</v>
      </c>
      <c r="E1689" s="561">
        <v>5969.7</v>
      </c>
      <c r="F1689" s="561">
        <v>13929.3</v>
      </c>
      <c r="G1689" s="561">
        <v>1015</v>
      </c>
      <c r="H1689" s="561">
        <v>20413.594000000001</v>
      </c>
      <c r="I1689" s="561">
        <v>7</v>
      </c>
      <c r="J1689" s="561">
        <v>333.065</v>
      </c>
      <c r="K1689" s="561">
        <v>1008</v>
      </c>
      <c r="L1689" s="561">
        <v>19899</v>
      </c>
      <c r="M1689" s="561">
        <v>19899</v>
      </c>
      <c r="N1689" s="561">
        <v>5969.7</v>
      </c>
      <c r="P1689" s="561">
        <v>13929.3</v>
      </c>
      <c r="Q1689" s="561">
        <v>13929.3</v>
      </c>
    </row>
    <row r="1690" spans="1:38">
      <c r="C1690" s="561" t="s">
        <v>1200</v>
      </c>
      <c r="L1690" s="561">
        <v>0</v>
      </c>
      <c r="N1690" s="561">
        <v>0</v>
      </c>
    </row>
    <row r="1691" spans="1:38">
      <c r="A1691" s="561">
        <v>20</v>
      </c>
      <c r="B1691" s="561" t="s">
        <v>1440</v>
      </c>
      <c r="C1691" s="561" t="s">
        <v>1206</v>
      </c>
      <c r="D1691" s="561">
        <v>47104.12</v>
      </c>
      <c r="E1691" s="561">
        <v>25759.200000000001</v>
      </c>
      <c r="F1691" s="561">
        <v>21344.920000000002</v>
      </c>
      <c r="G1691" s="561">
        <v>1021</v>
      </c>
      <c r="H1691" s="561">
        <v>51338.548999999999</v>
      </c>
      <c r="I1691" s="561">
        <v>45</v>
      </c>
      <c r="J1691" s="561">
        <v>4234.4290000000001</v>
      </c>
      <c r="K1691" s="561">
        <v>976</v>
      </c>
      <c r="L1691" s="561">
        <v>47104.12</v>
      </c>
      <c r="M1691" s="561">
        <v>47104.12</v>
      </c>
      <c r="N1691" s="561">
        <v>25759.200000000001</v>
      </c>
      <c r="O1691" s="561">
        <v>0</v>
      </c>
      <c r="P1691" s="561">
        <v>21344.920000000002</v>
      </c>
      <c r="Q1691" s="561">
        <v>21344.920000000002</v>
      </c>
    </row>
    <row r="1692" spans="1:38">
      <c r="C1692" s="561" t="s">
        <v>1197</v>
      </c>
      <c r="D1692" s="561">
        <v>41413.158000000003</v>
      </c>
      <c r="E1692" s="561">
        <v>22950</v>
      </c>
      <c r="F1692" s="561">
        <v>18463.158000000003</v>
      </c>
      <c r="G1692" s="561">
        <v>614</v>
      </c>
      <c r="H1692" s="561">
        <v>44850.775000000001</v>
      </c>
      <c r="I1692" s="561">
        <v>12</v>
      </c>
      <c r="J1692" s="561">
        <v>3437.6170000000002</v>
      </c>
      <c r="K1692" s="561">
        <v>602</v>
      </c>
      <c r="L1692" s="561">
        <v>41413.158000000003</v>
      </c>
      <c r="M1692" s="561">
        <v>41413.158000000003</v>
      </c>
      <c r="N1692" s="561">
        <v>22950</v>
      </c>
      <c r="Q1692" s="561">
        <v>18463.158000000003</v>
      </c>
      <c r="AL1692" s="561">
        <v>18463.158000000003</v>
      </c>
    </row>
    <row r="1693" spans="1:38">
      <c r="C1693" s="561" t="s">
        <v>1198</v>
      </c>
      <c r="L1693" s="561">
        <v>0</v>
      </c>
      <c r="N1693" s="561">
        <v>0</v>
      </c>
    </row>
    <row r="1694" spans="1:38">
      <c r="C1694" s="561" t="s">
        <v>1199</v>
      </c>
      <c r="D1694" s="561">
        <v>5690.9619999999995</v>
      </c>
      <c r="E1694" s="561">
        <v>2809.2</v>
      </c>
      <c r="F1694" s="561">
        <v>2881.7619999999997</v>
      </c>
      <c r="G1694" s="561">
        <v>407</v>
      </c>
      <c r="H1694" s="561">
        <v>6487.7740000000003</v>
      </c>
      <c r="I1694" s="561">
        <v>33</v>
      </c>
      <c r="J1694" s="561">
        <v>796.81200000000001</v>
      </c>
      <c r="K1694" s="561">
        <v>374</v>
      </c>
      <c r="L1694" s="561">
        <v>5690.9619999999995</v>
      </c>
      <c r="M1694" s="561">
        <v>5690.9619999999995</v>
      </c>
      <c r="N1694" s="561">
        <v>2809.2</v>
      </c>
      <c r="P1694" s="561">
        <v>2881.7619999999997</v>
      </c>
      <c r="Q1694" s="561">
        <v>2881.7619999999997</v>
      </c>
    </row>
    <row r="1695" spans="1:38">
      <c r="C1695" s="561" t="s">
        <v>1200</v>
      </c>
      <c r="L1695" s="561">
        <v>0</v>
      </c>
      <c r="N1695" s="561">
        <v>0</v>
      </c>
    </row>
    <row r="1696" spans="1:38">
      <c r="B1696" s="561" t="s">
        <v>1441</v>
      </c>
      <c r="C1696" s="561" t="s">
        <v>1206</v>
      </c>
      <c r="D1696" s="561">
        <v>40499.168000000005</v>
      </c>
      <c r="E1696" s="561">
        <v>11627.964</v>
      </c>
      <c r="F1696" s="561">
        <v>28871.204000000002</v>
      </c>
      <c r="G1696" s="561">
        <v>861</v>
      </c>
      <c r="H1696" s="561">
        <v>44517.676999999996</v>
      </c>
      <c r="I1696" s="561">
        <v>7</v>
      </c>
      <c r="J1696" s="561">
        <v>1238.335</v>
      </c>
      <c r="K1696" s="561">
        <v>854</v>
      </c>
      <c r="L1696" s="561">
        <v>40499.168000000005</v>
      </c>
      <c r="M1696" s="561">
        <v>40499.168000000005</v>
      </c>
      <c r="N1696" s="561">
        <v>11627.964</v>
      </c>
      <c r="O1696" s="561">
        <v>0</v>
      </c>
      <c r="P1696" s="561">
        <v>28871.204000000002</v>
      </c>
      <c r="Q1696" s="561">
        <v>28871.204000000002</v>
      </c>
    </row>
    <row r="1697" spans="1:38">
      <c r="C1697" s="561" t="s">
        <v>1197</v>
      </c>
      <c r="D1697" s="561">
        <v>35194.542000000001</v>
      </c>
      <c r="E1697" s="561">
        <v>10526.053</v>
      </c>
      <c r="F1697" s="561">
        <v>24668.489000000001</v>
      </c>
      <c r="G1697" s="561">
        <v>467</v>
      </c>
      <c r="H1697" s="561">
        <v>37884.442999999999</v>
      </c>
      <c r="I1697" s="561">
        <v>3</v>
      </c>
      <c r="J1697" s="561">
        <v>1181.1890000000001</v>
      </c>
      <c r="K1697" s="561">
        <v>464</v>
      </c>
      <c r="L1697" s="561">
        <v>35194.542000000001</v>
      </c>
      <c r="M1697" s="561">
        <v>35194.542000000001</v>
      </c>
      <c r="N1697" s="561">
        <v>10526.053</v>
      </c>
      <c r="Q1697" s="561">
        <v>24668.489000000001</v>
      </c>
      <c r="AL1697" s="561">
        <v>24668.489000000001</v>
      </c>
    </row>
    <row r="1698" spans="1:38">
      <c r="C1698" s="561" t="s">
        <v>1198</v>
      </c>
      <c r="L1698" s="561">
        <v>0</v>
      </c>
      <c r="N1698" s="561">
        <v>0</v>
      </c>
    </row>
    <row r="1699" spans="1:38">
      <c r="C1699" s="561" t="s">
        <v>1199</v>
      </c>
      <c r="D1699" s="561">
        <v>5304.6260000000002</v>
      </c>
      <c r="E1699" s="561">
        <v>1101.9110000000001</v>
      </c>
      <c r="F1699" s="561">
        <v>4202.7150000000001</v>
      </c>
      <c r="G1699" s="561">
        <v>394</v>
      </c>
      <c r="H1699" s="561">
        <v>6633.2340000000004</v>
      </c>
      <c r="I1699" s="561">
        <v>4</v>
      </c>
      <c r="J1699" s="561">
        <v>57.146000000000001</v>
      </c>
      <c r="K1699" s="561">
        <v>390</v>
      </c>
      <c r="L1699" s="561">
        <v>5304.6260000000002</v>
      </c>
      <c r="M1699" s="561">
        <v>5304.6260000000002</v>
      </c>
      <c r="N1699" s="561">
        <v>1101.9110000000001</v>
      </c>
      <c r="P1699" s="561">
        <v>4202.7150000000001</v>
      </c>
      <c r="Q1699" s="561">
        <v>4202.7150000000001</v>
      </c>
    </row>
    <row r="1700" spans="1:38">
      <c r="C1700" s="561" t="s">
        <v>1200</v>
      </c>
      <c r="L1700" s="561">
        <v>0</v>
      </c>
      <c r="N1700" s="561">
        <v>0</v>
      </c>
    </row>
    <row r="1701" spans="1:38">
      <c r="A1701" s="561">
        <v>21</v>
      </c>
      <c r="B1701" s="561" t="s">
        <v>1442</v>
      </c>
      <c r="C1701" s="561" t="s">
        <v>1206</v>
      </c>
      <c r="D1701" s="561">
        <v>253184</v>
      </c>
      <c r="E1701" s="561">
        <v>75801.899999999994</v>
      </c>
      <c r="F1701" s="561">
        <v>177382.09999999998</v>
      </c>
      <c r="G1701" s="561">
        <v>8091</v>
      </c>
      <c r="H1701" s="561">
        <v>267995.50199999998</v>
      </c>
      <c r="I1701" s="561">
        <v>198</v>
      </c>
      <c r="J1701" s="561">
        <v>11677.446</v>
      </c>
      <c r="K1701" s="561">
        <v>7893</v>
      </c>
      <c r="L1701" s="561">
        <v>253184</v>
      </c>
      <c r="M1701" s="561">
        <v>253184</v>
      </c>
      <c r="N1701" s="561">
        <v>75801.899999999994</v>
      </c>
      <c r="O1701" s="561">
        <v>0</v>
      </c>
      <c r="P1701" s="561">
        <v>177382.09999999998</v>
      </c>
      <c r="Q1701" s="561">
        <v>177382.09999999998</v>
      </c>
    </row>
    <row r="1702" spans="1:38">
      <c r="C1702" s="561" t="s">
        <v>1197</v>
      </c>
      <c r="D1702" s="561">
        <v>194582.05499999999</v>
      </c>
      <c r="E1702" s="561">
        <v>60000</v>
      </c>
      <c r="F1702" s="561">
        <v>134582.05499999999</v>
      </c>
      <c r="G1702" s="561">
        <v>3405</v>
      </c>
      <c r="H1702" s="561">
        <v>202297.152</v>
      </c>
      <c r="I1702" s="561">
        <v>20</v>
      </c>
      <c r="J1702" s="561">
        <v>7722.6769999999997</v>
      </c>
      <c r="K1702" s="561">
        <v>3385</v>
      </c>
      <c r="L1702" s="561">
        <v>194582.05499999999</v>
      </c>
      <c r="M1702" s="561">
        <v>194582.05499999999</v>
      </c>
      <c r="N1702" s="561">
        <v>60000</v>
      </c>
      <c r="Q1702" s="561">
        <v>134582.05499999999</v>
      </c>
      <c r="AL1702" s="561">
        <v>134582.05499999999</v>
      </c>
    </row>
    <row r="1703" spans="1:38">
      <c r="C1703" s="561" t="s">
        <v>1198</v>
      </c>
      <c r="G1703" s="561">
        <v>1</v>
      </c>
      <c r="H1703" s="561">
        <v>288.57</v>
      </c>
      <c r="I1703" s="561">
        <v>1</v>
      </c>
      <c r="J1703" s="561">
        <v>288.57</v>
      </c>
      <c r="K1703" s="561">
        <v>0</v>
      </c>
      <c r="L1703" s="561">
        <v>0</v>
      </c>
      <c r="N1703" s="561">
        <v>0</v>
      </c>
    </row>
    <row r="1704" spans="1:38">
      <c r="C1704" s="561" t="s">
        <v>1199</v>
      </c>
      <c r="D1704" s="561">
        <v>58601.945</v>
      </c>
      <c r="E1704" s="561">
        <v>15801.9</v>
      </c>
      <c r="F1704" s="561">
        <v>42800.044999999998</v>
      </c>
      <c r="G1704" s="561">
        <v>4685</v>
      </c>
      <c r="H1704" s="561">
        <v>65409.78</v>
      </c>
      <c r="I1704" s="561">
        <v>177</v>
      </c>
      <c r="J1704" s="561">
        <v>3666.1990000000001</v>
      </c>
      <c r="K1704" s="561">
        <v>4508</v>
      </c>
      <c r="L1704" s="561">
        <v>58601.945</v>
      </c>
      <c r="M1704" s="561">
        <v>58601.945</v>
      </c>
      <c r="N1704" s="561">
        <v>15801.9</v>
      </c>
      <c r="P1704" s="561">
        <v>42800.044999999998</v>
      </c>
      <c r="Q1704" s="561">
        <v>42800.044999999998</v>
      </c>
    </row>
    <row r="1705" spans="1:38">
      <c r="C1705" s="561" t="s">
        <v>1200</v>
      </c>
      <c r="L1705" s="561">
        <v>0</v>
      </c>
      <c r="N1705" s="561">
        <v>0</v>
      </c>
    </row>
    <row r="1706" spans="1:38">
      <c r="A1706" s="561">
        <v>22</v>
      </c>
      <c r="B1706" s="561" t="s">
        <v>1443</v>
      </c>
      <c r="C1706" s="561" t="s">
        <v>1206</v>
      </c>
      <c r="D1706" s="561">
        <v>130690</v>
      </c>
      <c r="E1706" s="561">
        <v>34907.4</v>
      </c>
      <c r="F1706" s="561">
        <v>95782.6</v>
      </c>
      <c r="G1706" s="561">
        <v>3024</v>
      </c>
      <c r="H1706" s="561">
        <v>136017.84899999999</v>
      </c>
      <c r="I1706" s="561">
        <v>15</v>
      </c>
      <c r="J1706" s="561">
        <v>4010.453</v>
      </c>
      <c r="K1706" s="561">
        <v>3009</v>
      </c>
      <c r="L1706" s="561">
        <v>130690</v>
      </c>
      <c r="M1706" s="561">
        <v>130690</v>
      </c>
      <c r="N1706" s="561">
        <v>34907.4</v>
      </c>
      <c r="O1706" s="561">
        <v>0</v>
      </c>
      <c r="P1706" s="561">
        <v>95782.6</v>
      </c>
      <c r="Q1706" s="561">
        <v>95782.6</v>
      </c>
    </row>
    <row r="1707" spans="1:38">
      <c r="C1707" s="561" t="s">
        <v>1197</v>
      </c>
      <c r="D1707" s="561">
        <v>106532</v>
      </c>
      <c r="E1707" s="561">
        <v>29640</v>
      </c>
      <c r="F1707" s="561">
        <v>76892</v>
      </c>
      <c r="G1707" s="561">
        <v>1556</v>
      </c>
      <c r="H1707" s="561">
        <v>110594.685</v>
      </c>
      <c r="I1707" s="561">
        <v>12</v>
      </c>
      <c r="J1707" s="561">
        <v>3798.0239999999999</v>
      </c>
      <c r="K1707" s="561">
        <v>1544</v>
      </c>
      <c r="L1707" s="561">
        <v>106532</v>
      </c>
      <c r="M1707" s="561">
        <v>106532</v>
      </c>
      <c r="N1707" s="561">
        <v>29640</v>
      </c>
      <c r="Q1707" s="561">
        <v>76892</v>
      </c>
      <c r="AL1707" s="561">
        <v>76892</v>
      </c>
    </row>
    <row r="1708" spans="1:38">
      <c r="C1708" s="561" t="s">
        <v>1198</v>
      </c>
      <c r="L1708" s="561">
        <v>0</v>
      </c>
      <c r="N1708" s="561">
        <v>0</v>
      </c>
    </row>
    <row r="1709" spans="1:38">
      <c r="C1709" s="561" t="s">
        <v>1199</v>
      </c>
      <c r="D1709" s="561">
        <v>24158</v>
      </c>
      <c r="E1709" s="561">
        <v>5267.4</v>
      </c>
      <c r="F1709" s="561">
        <v>18890.599999999999</v>
      </c>
      <c r="G1709" s="561">
        <v>1468</v>
      </c>
      <c r="H1709" s="561">
        <v>25423.164000000001</v>
      </c>
      <c r="I1709" s="561">
        <v>3</v>
      </c>
      <c r="J1709" s="561">
        <v>212.429</v>
      </c>
      <c r="K1709" s="561">
        <v>1465</v>
      </c>
      <c r="L1709" s="561">
        <v>24158</v>
      </c>
      <c r="M1709" s="561">
        <v>24158</v>
      </c>
      <c r="N1709" s="561">
        <v>5267.4</v>
      </c>
      <c r="P1709" s="561">
        <v>18890.599999999999</v>
      </c>
      <c r="Q1709" s="561">
        <v>18890.599999999999</v>
      </c>
    </row>
    <row r="1710" spans="1:38">
      <c r="C1710" s="561" t="s">
        <v>1200</v>
      </c>
      <c r="L1710" s="561">
        <v>0</v>
      </c>
      <c r="N1710" s="561">
        <v>0</v>
      </c>
    </row>
    <row r="1711" spans="1:38">
      <c r="A1711" s="561">
        <v>23</v>
      </c>
      <c r="B1711" s="561" t="s">
        <v>1444</v>
      </c>
      <c r="C1711" s="561" t="s">
        <v>1206</v>
      </c>
      <c r="D1711" s="561">
        <v>134747.84299999999</v>
      </c>
      <c r="E1711" s="561">
        <v>32629.200000000001</v>
      </c>
      <c r="F1711" s="561">
        <v>102118.64300000001</v>
      </c>
      <c r="G1711" s="561">
        <v>2774</v>
      </c>
      <c r="H1711" s="561">
        <v>139752.17799999999</v>
      </c>
      <c r="I1711" s="561">
        <v>56</v>
      </c>
      <c r="J1711" s="561">
        <v>5004.335</v>
      </c>
      <c r="K1711" s="561">
        <v>2718</v>
      </c>
      <c r="L1711" s="561">
        <v>134747.84299999999</v>
      </c>
      <c r="M1711" s="561">
        <v>134747.84299999999</v>
      </c>
      <c r="N1711" s="561">
        <v>32629.200000000001</v>
      </c>
      <c r="O1711" s="561">
        <v>0</v>
      </c>
      <c r="P1711" s="561">
        <v>102118.64300000001</v>
      </c>
      <c r="Q1711" s="561">
        <v>102118.64300000001</v>
      </c>
    </row>
    <row r="1712" spans="1:38">
      <c r="C1712" s="561" t="s">
        <v>1197</v>
      </c>
      <c r="D1712" s="561">
        <v>122673.22900000001</v>
      </c>
      <c r="E1712" s="561">
        <v>29820</v>
      </c>
      <c r="F1712" s="561">
        <v>92853.229000000007</v>
      </c>
      <c r="G1712" s="561">
        <v>1938</v>
      </c>
      <c r="H1712" s="561">
        <v>127170.423</v>
      </c>
      <c r="I1712" s="561">
        <v>28</v>
      </c>
      <c r="J1712" s="561">
        <v>4497.1940000000004</v>
      </c>
      <c r="K1712" s="561">
        <v>1910</v>
      </c>
      <c r="L1712" s="561">
        <v>122673.22900000001</v>
      </c>
      <c r="M1712" s="561">
        <v>122673.22900000001</v>
      </c>
      <c r="N1712" s="561">
        <v>29820</v>
      </c>
      <c r="Q1712" s="561">
        <v>92853.229000000007</v>
      </c>
      <c r="AL1712" s="561">
        <v>92853.229000000007</v>
      </c>
    </row>
    <row r="1713" spans="1:38">
      <c r="C1713" s="561" t="s">
        <v>1198</v>
      </c>
      <c r="L1713" s="561">
        <v>0</v>
      </c>
      <c r="N1713" s="561">
        <v>0</v>
      </c>
    </row>
    <row r="1714" spans="1:38">
      <c r="C1714" s="561" t="s">
        <v>1199</v>
      </c>
      <c r="D1714" s="561">
        <v>12074.614</v>
      </c>
      <c r="E1714" s="561">
        <v>2809.2</v>
      </c>
      <c r="F1714" s="561">
        <v>9265.4140000000007</v>
      </c>
      <c r="G1714" s="561">
        <v>836</v>
      </c>
      <c r="H1714" s="561">
        <v>12581.754999999999</v>
      </c>
      <c r="I1714" s="561">
        <v>28</v>
      </c>
      <c r="J1714" s="561">
        <v>507.14100000000002</v>
      </c>
      <c r="K1714" s="561">
        <v>808</v>
      </c>
      <c r="L1714" s="561">
        <v>12074.614</v>
      </c>
      <c r="M1714" s="561">
        <v>12074.614</v>
      </c>
      <c r="N1714" s="561">
        <v>2809.2</v>
      </c>
      <c r="P1714" s="561">
        <v>9265.4140000000007</v>
      </c>
      <c r="Q1714" s="561">
        <v>9265.4140000000007</v>
      </c>
    </row>
    <row r="1715" spans="1:38">
      <c r="C1715" s="561" t="s">
        <v>1200</v>
      </c>
      <c r="L1715" s="561">
        <v>0</v>
      </c>
      <c r="N1715" s="561">
        <v>0</v>
      </c>
    </row>
    <row r="1716" spans="1:38">
      <c r="A1716" s="561">
        <v>24</v>
      </c>
      <c r="B1716" s="561" t="s">
        <v>1445</v>
      </c>
      <c r="C1716" s="561" t="s">
        <v>1206</v>
      </c>
      <c r="D1716" s="561">
        <v>149492</v>
      </c>
      <c r="E1716" s="561">
        <v>42390</v>
      </c>
      <c r="F1716" s="561">
        <v>107102</v>
      </c>
      <c r="G1716" s="561">
        <v>5156</v>
      </c>
      <c r="H1716" s="561">
        <v>154188.40000000002</v>
      </c>
      <c r="I1716" s="561">
        <v>36</v>
      </c>
      <c r="J1716" s="561">
        <v>3991.5749999999998</v>
      </c>
      <c r="K1716" s="561">
        <v>5120</v>
      </c>
      <c r="L1716" s="561">
        <v>149492</v>
      </c>
      <c r="M1716" s="561">
        <v>149492</v>
      </c>
      <c r="N1716" s="561">
        <v>42390</v>
      </c>
      <c r="O1716" s="561">
        <v>0</v>
      </c>
      <c r="P1716" s="561">
        <v>107102</v>
      </c>
      <c r="Q1716" s="561">
        <v>107102</v>
      </c>
    </row>
    <row r="1717" spans="1:38">
      <c r="C1717" s="561" t="s">
        <v>1197</v>
      </c>
      <c r="D1717" s="561">
        <v>95692</v>
      </c>
      <c r="E1717" s="561">
        <v>27150</v>
      </c>
      <c r="F1717" s="561">
        <v>68542</v>
      </c>
      <c r="G1717" s="561">
        <v>1491</v>
      </c>
      <c r="H1717" s="561">
        <v>98882.267000000007</v>
      </c>
      <c r="I1717" s="561">
        <v>4</v>
      </c>
      <c r="J1717" s="561">
        <v>2749.1309999999999</v>
      </c>
      <c r="K1717" s="561">
        <v>1487</v>
      </c>
      <c r="L1717" s="561">
        <v>95692</v>
      </c>
      <c r="M1717" s="561">
        <v>95692</v>
      </c>
      <c r="N1717" s="561">
        <v>27150</v>
      </c>
      <c r="Q1717" s="561">
        <v>68542</v>
      </c>
      <c r="AL1717" s="561">
        <v>68542</v>
      </c>
    </row>
    <row r="1718" spans="1:38">
      <c r="C1718" s="561" t="s">
        <v>1198</v>
      </c>
      <c r="L1718" s="561">
        <v>0</v>
      </c>
      <c r="N1718" s="561">
        <v>0</v>
      </c>
    </row>
    <row r="1719" spans="1:38">
      <c r="C1719" s="561" t="s">
        <v>1199</v>
      </c>
      <c r="D1719" s="561">
        <v>53800</v>
      </c>
      <c r="E1719" s="561">
        <v>15240</v>
      </c>
      <c r="F1719" s="561">
        <v>38560</v>
      </c>
      <c r="G1719" s="561">
        <v>3665</v>
      </c>
      <c r="H1719" s="561">
        <v>55306.133000000002</v>
      </c>
      <c r="I1719" s="561">
        <v>32</v>
      </c>
      <c r="J1719" s="561">
        <v>1242.444</v>
      </c>
      <c r="K1719" s="561">
        <v>3633</v>
      </c>
      <c r="L1719" s="561">
        <v>53800</v>
      </c>
      <c r="M1719" s="561">
        <v>53800</v>
      </c>
      <c r="N1719" s="561">
        <v>15240</v>
      </c>
      <c r="P1719" s="561">
        <v>38560</v>
      </c>
      <c r="Q1719" s="561">
        <v>38560</v>
      </c>
    </row>
    <row r="1720" spans="1:38">
      <c r="C1720" s="561" t="s">
        <v>1200</v>
      </c>
      <c r="L1720" s="561">
        <v>0</v>
      </c>
      <c r="N1720" s="561">
        <v>0</v>
      </c>
    </row>
    <row r="1721" spans="1:38">
      <c r="A1721" s="561">
        <v>25</v>
      </c>
      <c r="B1721" s="561" t="s">
        <v>1446</v>
      </c>
      <c r="C1721" s="561" t="s">
        <v>1206</v>
      </c>
      <c r="D1721" s="561">
        <v>121448</v>
      </c>
      <c r="E1721" s="561">
        <v>32776.800000000003</v>
      </c>
      <c r="F1721" s="561">
        <v>88671.2</v>
      </c>
      <c r="G1721" s="561">
        <v>3900</v>
      </c>
      <c r="H1721" s="561">
        <v>129780.27499999999</v>
      </c>
      <c r="I1721" s="561">
        <v>121</v>
      </c>
      <c r="J1721" s="561">
        <v>6253.9570000000003</v>
      </c>
      <c r="K1721" s="561">
        <v>3779</v>
      </c>
      <c r="L1721" s="561">
        <v>121448</v>
      </c>
      <c r="M1721" s="561">
        <v>121448</v>
      </c>
      <c r="N1721" s="561">
        <v>32776.800000000003</v>
      </c>
      <c r="O1721" s="561">
        <v>0</v>
      </c>
      <c r="P1721" s="561">
        <v>88671.2</v>
      </c>
      <c r="Q1721" s="561">
        <v>88671.2</v>
      </c>
    </row>
    <row r="1722" spans="1:38">
      <c r="C1722" s="561" t="s">
        <v>1197</v>
      </c>
      <c r="D1722" s="561">
        <v>77992</v>
      </c>
      <c r="E1722" s="561">
        <v>21540</v>
      </c>
      <c r="F1722" s="561">
        <v>56452</v>
      </c>
      <c r="G1722" s="561">
        <v>1080</v>
      </c>
      <c r="H1722" s="561">
        <v>83975.808999999994</v>
      </c>
      <c r="I1722" s="561">
        <v>25</v>
      </c>
      <c r="J1722" s="561">
        <v>4728.9859999999999</v>
      </c>
      <c r="K1722" s="561">
        <v>1055</v>
      </c>
      <c r="L1722" s="561">
        <v>77992</v>
      </c>
      <c r="M1722" s="561">
        <v>77992</v>
      </c>
      <c r="N1722" s="561">
        <v>21540</v>
      </c>
      <c r="Q1722" s="561">
        <v>56452</v>
      </c>
      <c r="AL1722" s="561">
        <v>56452</v>
      </c>
    </row>
    <row r="1723" spans="1:38">
      <c r="C1723" s="561" t="s">
        <v>1198</v>
      </c>
      <c r="L1723" s="561">
        <v>0</v>
      </c>
      <c r="N1723" s="561">
        <v>0</v>
      </c>
    </row>
    <row r="1724" spans="1:38">
      <c r="C1724" s="561" t="s">
        <v>1199</v>
      </c>
      <c r="D1724" s="561">
        <v>43456</v>
      </c>
      <c r="E1724" s="561">
        <v>11236.8</v>
      </c>
      <c r="F1724" s="561">
        <v>32219.200000000001</v>
      </c>
      <c r="G1724" s="561">
        <v>2820</v>
      </c>
      <c r="H1724" s="561">
        <v>45804.466</v>
      </c>
      <c r="I1724" s="561">
        <v>96</v>
      </c>
      <c r="J1724" s="561">
        <v>1524.971</v>
      </c>
      <c r="K1724" s="561">
        <v>2724</v>
      </c>
      <c r="L1724" s="561">
        <v>43456</v>
      </c>
      <c r="M1724" s="561">
        <v>43456</v>
      </c>
      <c r="N1724" s="561">
        <v>11236.8</v>
      </c>
      <c r="P1724" s="561">
        <v>32219.200000000001</v>
      </c>
      <c r="Q1724" s="561">
        <v>32219.200000000001</v>
      </c>
    </row>
    <row r="1725" spans="1:38">
      <c r="C1725" s="561" t="s">
        <v>1200</v>
      </c>
      <c r="L1725" s="561">
        <v>0</v>
      </c>
      <c r="N1725" s="561">
        <v>0</v>
      </c>
    </row>
    <row r="1726" spans="1:38">
      <c r="A1726" s="561">
        <v>26</v>
      </c>
      <c r="B1726" s="561" t="s">
        <v>1447</v>
      </c>
      <c r="C1726" s="561" t="s">
        <v>1206</v>
      </c>
      <c r="D1726" s="561">
        <v>107965</v>
      </c>
      <c r="E1726" s="561">
        <v>31693.8</v>
      </c>
      <c r="F1726" s="561">
        <v>76271.199999999997</v>
      </c>
      <c r="G1726" s="561">
        <v>2602</v>
      </c>
      <c r="H1726" s="561">
        <v>117340.56700000001</v>
      </c>
      <c r="I1726" s="561">
        <v>42</v>
      </c>
      <c r="J1726" s="561">
        <v>5286.9790000000003</v>
      </c>
      <c r="K1726" s="561">
        <v>2560</v>
      </c>
      <c r="L1726" s="561">
        <v>107965</v>
      </c>
      <c r="M1726" s="561">
        <v>107965</v>
      </c>
      <c r="N1726" s="561">
        <v>31693.8</v>
      </c>
      <c r="O1726" s="561">
        <v>0</v>
      </c>
      <c r="P1726" s="561">
        <v>76271.199999999997</v>
      </c>
      <c r="Q1726" s="561">
        <v>76271.199999999997</v>
      </c>
    </row>
    <row r="1727" spans="1:38">
      <c r="C1727" s="561" t="s">
        <v>1197</v>
      </c>
      <c r="D1727" s="561">
        <v>91919</v>
      </c>
      <c r="E1727" s="561">
        <v>27480</v>
      </c>
      <c r="F1727" s="561">
        <v>64439</v>
      </c>
      <c r="G1727" s="561">
        <v>1495</v>
      </c>
      <c r="H1727" s="561">
        <v>100047.376</v>
      </c>
      <c r="I1727" s="561">
        <v>12</v>
      </c>
      <c r="J1727" s="561">
        <v>4301.91</v>
      </c>
      <c r="K1727" s="561">
        <v>1483</v>
      </c>
      <c r="L1727" s="561">
        <v>91919</v>
      </c>
      <c r="M1727" s="561">
        <v>91919</v>
      </c>
      <c r="N1727" s="561">
        <v>27480</v>
      </c>
      <c r="Q1727" s="561">
        <v>64439</v>
      </c>
      <c r="AL1727" s="561">
        <v>64439</v>
      </c>
    </row>
    <row r="1728" spans="1:38">
      <c r="C1728" s="561" t="s">
        <v>1198</v>
      </c>
      <c r="G1728" s="561">
        <v>1</v>
      </c>
      <c r="H1728" s="561">
        <v>189.792</v>
      </c>
      <c r="I1728" s="561">
        <v>1</v>
      </c>
      <c r="J1728" s="561">
        <v>189.792</v>
      </c>
      <c r="K1728" s="561">
        <v>0</v>
      </c>
      <c r="L1728" s="561">
        <v>0</v>
      </c>
      <c r="N1728" s="561">
        <v>0</v>
      </c>
    </row>
    <row r="1729" spans="1:38">
      <c r="C1729" s="561" t="s">
        <v>1199</v>
      </c>
      <c r="D1729" s="561">
        <v>16046</v>
      </c>
      <c r="E1729" s="561">
        <v>4213.8</v>
      </c>
      <c r="F1729" s="561">
        <v>11832.2</v>
      </c>
      <c r="G1729" s="561">
        <v>1106</v>
      </c>
      <c r="H1729" s="561">
        <v>17103.399000000001</v>
      </c>
      <c r="I1729" s="561">
        <v>29</v>
      </c>
      <c r="J1729" s="561">
        <v>795.27700000000004</v>
      </c>
      <c r="K1729" s="561">
        <v>1077</v>
      </c>
      <c r="L1729" s="561">
        <v>16046</v>
      </c>
      <c r="M1729" s="561">
        <v>16046</v>
      </c>
      <c r="N1729" s="561">
        <v>4213.8</v>
      </c>
      <c r="P1729" s="561">
        <v>11832.2</v>
      </c>
      <c r="Q1729" s="561">
        <v>11832.2</v>
      </c>
    </row>
    <row r="1730" spans="1:38">
      <c r="C1730" s="561" t="s">
        <v>1200</v>
      </c>
      <c r="L1730" s="561">
        <v>0</v>
      </c>
      <c r="N1730" s="561">
        <v>0</v>
      </c>
    </row>
    <row r="1731" spans="1:38">
      <c r="A1731" s="561">
        <v>27</v>
      </c>
      <c r="B1731" s="561" t="s">
        <v>1448</v>
      </c>
      <c r="C1731" s="561" t="s">
        <v>1206</v>
      </c>
      <c r="D1731" s="561">
        <v>149321</v>
      </c>
      <c r="E1731" s="561">
        <v>33865.800000000003</v>
      </c>
      <c r="F1731" s="561">
        <v>115455.2</v>
      </c>
      <c r="G1731" s="561">
        <v>2931</v>
      </c>
      <c r="H1731" s="561">
        <v>157401.592</v>
      </c>
      <c r="I1731" s="561">
        <v>44</v>
      </c>
      <c r="J1731" s="561">
        <v>6137.768</v>
      </c>
      <c r="K1731" s="561">
        <v>2887</v>
      </c>
      <c r="L1731" s="561">
        <v>149321</v>
      </c>
      <c r="M1731" s="561">
        <v>149321</v>
      </c>
      <c r="N1731" s="561">
        <v>33865.800000000003</v>
      </c>
      <c r="O1731" s="561">
        <v>0</v>
      </c>
      <c r="P1731" s="561">
        <v>115455.2</v>
      </c>
      <c r="Q1731" s="561">
        <v>115455.2</v>
      </c>
    </row>
    <row r="1732" spans="1:38">
      <c r="C1732" s="561" t="s">
        <v>1197</v>
      </c>
      <c r="D1732" s="561">
        <v>131945</v>
      </c>
      <c r="E1732" s="561">
        <v>30003</v>
      </c>
      <c r="F1732" s="561">
        <v>101942</v>
      </c>
      <c r="G1732" s="561">
        <v>1862</v>
      </c>
      <c r="H1732" s="561">
        <v>139150.43</v>
      </c>
      <c r="I1732" s="561">
        <v>14</v>
      </c>
      <c r="J1732" s="561">
        <v>5700.5389999999998</v>
      </c>
      <c r="K1732" s="561">
        <v>1848</v>
      </c>
      <c r="L1732" s="561">
        <v>131945</v>
      </c>
      <c r="M1732" s="561">
        <v>131945</v>
      </c>
      <c r="N1732" s="561">
        <v>30003</v>
      </c>
      <c r="Q1732" s="561">
        <v>101942</v>
      </c>
      <c r="AL1732" s="561">
        <v>101942</v>
      </c>
    </row>
    <row r="1733" spans="1:38">
      <c r="C1733" s="561" t="s">
        <v>1198</v>
      </c>
      <c r="L1733" s="561">
        <v>0</v>
      </c>
      <c r="N1733" s="561">
        <v>0</v>
      </c>
    </row>
    <row r="1734" spans="1:38">
      <c r="C1734" s="561" t="s">
        <v>1199</v>
      </c>
      <c r="D1734" s="561">
        <v>17376</v>
      </c>
      <c r="E1734" s="561">
        <v>3862.8</v>
      </c>
      <c r="F1734" s="561">
        <v>13513.2</v>
      </c>
      <c r="G1734" s="561">
        <v>1069</v>
      </c>
      <c r="H1734" s="561">
        <v>18251.162</v>
      </c>
      <c r="I1734" s="561">
        <v>30</v>
      </c>
      <c r="J1734" s="561">
        <v>437.22899999999998</v>
      </c>
      <c r="K1734" s="561">
        <v>1039</v>
      </c>
      <c r="L1734" s="561">
        <v>17376</v>
      </c>
      <c r="M1734" s="561">
        <v>17376</v>
      </c>
      <c r="N1734" s="561">
        <v>3862.8</v>
      </c>
      <c r="P1734" s="561">
        <v>13513.2</v>
      </c>
      <c r="Q1734" s="561">
        <v>13513.2</v>
      </c>
    </row>
    <row r="1735" spans="1:38">
      <c r="C1735" s="561" t="s">
        <v>1200</v>
      </c>
      <c r="L1735" s="561">
        <v>0</v>
      </c>
      <c r="N1735" s="561">
        <v>0</v>
      </c>
    </row>
    <row r="1736" spans="1:38">
      <c r="A1736" s="561">
        <v>28</v>
      </c>
      <c r="B1736" s="561" t="s">
        <v>1449</v>
      </c>
      <c r="C1736" s="561" t="s">
        <v>1206</v>
      </c>
      <c r="D1736" s="561">
        <v>152538</v>
      </c>
      <c r="E1736" s="561">
        <v>45313.8</v>
      </c>
      <c r="F1736" s="561">
        <v>107224.19999999998</v>
      </c>
      <c r="G1736" s="561">
        <v>3174</v>
      </c>
      <c r="H1736" s="561">
        <v>158989.261</v>
      </c>
      <c r="I1736" s="561">
        <v>34</v>
      </c>
      <c r="J1736" s="561">
        <v>6329.7179999999998</v>
      </c>
      <c r="K1736" s="561">
        <v>3140</v>
      </c>
      <c r="L1736" s="561">
        <v>152538</v>
      </c>
      <c r="M1736" s="561">
        <v>152538</v>
      </c>
      <c r="N1736" s="561">
        <v>45313.8</v>
      </c>
      <c r="O1736" s="561">
        <v>0</v>
      </c>
      <c r="P1736" s="561">
        <v>107224.19999999998</v>
      </c>
      <c r="Q1736" s="561">
        <v>107224.2</v>
      </c>
    </row>
    <row r="1737" spans="1:38">
      <c r="C1737" s="561" t="s">
        <v>1197</v>
      </c>
      <c r="D1737" s="561">
        <v>134789.04999999999</v>
      </c>
      <c r="E1737" s="561">
        <v>41100</v>
      </c>
      <c r="F1737" s="561">
        <v>93689.049999999988</v>
      </c>
      <c r="G1737" s="561">
        <v>2028</v>
      </c>
      <c r="H1737" s="561">
        <v>140544.24100000001</v>
      </c>
      <c r="I1737" s="561">
        <v>16</v>
      </c>
      <c r="J1737" s="561">
        <v>5633.6480000000001</v>
      </c>
      <c r="K1737" s="561">
        <v>2012</v>
      </c>
      <c r="L1737" s="561">
        <v>134789.04999999999</v>
      </c>
      <c r="M1737" s="561">
        <v>134789.04999999999</v>
      </c>
      <c r="N1737" s="561">
        <v>41100</v>
      </c>
      <c r="Q1737" s="561">
        <v>93689.05</v>
      </c>
      <c r="AL1737" s="561">
        <v>93689.049999999988</v>
      </c>
    </row>
    <row r="1738" spans="1:38">
      <c r="C1738" s="561" t="s">
        <v>1198</v>
      </c>
      <c r="L1738" s="561">
        <v>0</v>
      </c>
      <c r="N1738" s="561">
        <v>0</v>
      </c>
    </row>
    <row r="1739" spans="1:38">
      <c r="C1739" s="561" t="s">
        <v>1199</v>
      </c>
      <c r="D1739" s="561">
        <v>17748.95</v>
      </c>
      <c r="E1739" s="561">
        <v>4213.8</v>
      </c>
      <c r="F1739" s="561">
        <v>13535.150000000001</v>
      </c>
      <c r="G1739" s="561">
        <v>1146</v>
      </c>
      <c r="H1739" s="561">
        <v>18445.02</v>
      </c>
      <c r="I1739" s="561">
        <v>18</v>
      </c>
      <c r="J1739" s="561">
        <v>696.07</v>
      </c>
      <c r="K1739" s="561">
        <v>1128</v>
      </c>
      <c r="L1739" s="561">
        <v>17748.95</v>
      </c>
      <c r="M1739" s="561">
        <v>17748.95</v>
      </c>
      <c r="N1739" s="561">
        <v>4213.8</v>
      </c>
      <c r="P1739" s="561">
        <v>13535.150000000001</v>
      </c>
      <c r="Q1739" s="561">
        <v>13535.15</v>
      </c>
    </row>
    <row r="1740" spans="1:38">
      <c r="C1740" s="561" t="s">
        <v>1200</v>
      </c>
      <c r="L1740" s="561">
        <v>0</v>
      </c>
      <c r="N1740" s="561">
        <v>0</v>
      </c>
    </row>
    <row r="1741" spans="1:38">
      <c r="A1741" s="561">
        <v>29</v>
      </c>
      <c r="B1741" s="561" t="s">
        <v>1450</v>
      </c>
      <c r="C1741" s="561" t="s">
        <v>1206</v>
      </c>
      <c r="D1741" s="561">
        <v>164373</v>
      </c>
      <c r="E1741" s="561">
        <v>49254.3</v>
      </c>
      <c r="F1741" s="561">
        <v>115118.7</v>
      </c>
      <c r="G1741" s="561">
        <v>4556</v>
      </c>
      <c r="H1741" s="561">
        <v>172441.54300000001</v>
      </c>
      <c r="I1741" s="561">
        <v>240</v>
      </c>
      <c r="J1741" s="561">
        <v>7392.4679999999998</v>
      </c>
      <c r="K1741" s="561">
        <v>4316</v>
      </c>
      <c r="L1741" s="561">
        <v>164373</v>
      </c>
      <c r="M1741" s="561">
        <v>164373</v>
      </c>
      <c r="N1741" s="561">
        <v>49254.3</v>
      </c>
      <c r="O1741" s="561">
        <v>0</v>
      </c>
      <c r="P1741" s="561">
        <v>115118.7</v>
      </c>
      <c r="Q1741" s="561">
        <v>115118.7</v>
      </c>
    </row>
    <row r="1742" spans="1:38">
      <c r="C1742" s="561" t="s">
        <v>1197</v>
      </c>
      <c r="D1742" s="561">
        <v>135792</v>
      </c>
      <c r="E1742" s="561">
        <v>41880</v>
      </c>
      <c r="F1742" s="561">
        <v>93912</v>
      </c>
      <c r="G1742" s="561">
        <v>2238</v>
      </c>
      <c r="H1742" s="561">
        <v>140671.38500000001</v>
      </c>
      <c r="I1742" s="561">
        <v>23</v>
      </c>
      <c r="J1742" s="561">
        <v>4414.5709999999999</v>
      </c>
      <c r="K1742" s="561">
        <v>2215</v>
      </c>
      <c r="L1742" s="561">
        <v>135792</v>
      </c>
      <c r="M1742" s="561">
        <v>135792</v>
      </c>
      <c r="N1742" s="561">
        <v>41880</v>
      </c>
      <c r="Q1742" s="561">
        <v>93912</v>
      </c>
      <c r="AL1742" s="561">
        <v>93912</v>
      </c>
    </row>
    <row r="1743" spans="1:38">
      <c r="C1743" s="561" t="s">
        <v>1198</v>
      </c>
      <c r="L1743" s="561">
        <v>0</v>
      </c>
      <c r="N1743" s="561">
        <v>0</v>
      </c>
    </row>
    <row r="1744" spans="1:38">
      <c r="C1744" s="561" t="s">
        <v>1199</v>
      </c>
      <c r="D1744" s="561">
        <v>28581</v>
      </c>
      <c r="E1744" s="561">
        <v>7374.3</v>
      </c>
      <c r="F1744" s="561">
        <v>21206.7</v>
      </c>
      <c r="G1744" s="561">
        <v>2318</v>
      </c>
      <c r="H1744" s="561">
        <v>31770.157999999999</v>
      </c>
      <c r="I1744" s="561">
        <v>217</v>
      </c>
      <c r="J1744" s="561">
        <v>2977.8969999999999</v>
      </c>
      <c r="K1744" s="561">
        <v>2101</v>
      </c>
      <c r="L1744" s="561">
        <v>28581</v>
      </c>
      <c r="M1744" s="561">
        <v>28581</v>
      </c>
      <c r="N1744" s="561">
        <v>7374.3</v>
      </c>
      <c r="P1744" s="561">
        <v>21206.7</v>
      </c>
      <c r="Q1744" s="561">
        <v>21206.7</v>
      </c>
    </row>
    <row r="1745" spans="1:38">
      <c r="C1745" s="561" t="s">
        <v>1200</v>
      </c>
      <c r="L1745" s="561">
        <v>0</v>
      </c>
      <c r="N1745" s="561">
        <v>0</v>
      </c>
    </row>
    <row r="1746" spans="1:38">
      <c r="A1746" s="561">
        <v>30</v>
      </c>
      <c r="B1746" s="561" t="s">
        <v>1451</v>
      </c>
      <c r="C1746" s="561" t="s">
        <v>1206</v>
      </c>
      <c r="D1746" s="561">
        <v>166580</v>
      </c>
      <c r="E1746" s="561">
        <v>49820.7</v>
      </c>
      <c r="F1746" s="561">
        <v>116759.29999999999</v>
      </c>
      <c r="G1746" s="561">
        <v>3464</v>
      </c>
      <c r="H1746" s="561">
        <v>176509.50400000002</v>
      </c>
      <c r="I1746" s="561">
        <v>106</v>
      </c>
      <c r="J1746" s="561">
        <v>9330.366</v>
      </c>
      <c r="K1746" s="561">
        <v>3358</v>
      </c>
      <c r="L1746" s="561">
        <v>166580</v>
      </c>
      <c r="M1746" s="561">
        <v>166580</v>
      </c>
      <c r="N1746" s="561">
        <v>49820.7</v>
      </c>
      <c r="O1746" s="561">
        <v>0</v>
      </c>
      <c r="P1746" s="561">
        <v>116759.29999999999</v>
      </c>
      <c r="Q1746" s="561">
        <v>116759.29999999999</v>
      </c>
    </row>
    <row r="1747" spans="1:38">
      <c r="C1747" s="561" t="s">
        <v>1197</v>
      </c>
      <c r="D1747" s="561">
        <v>137891.00899999999</v>
      </c>
      <c r="E1747" s="561">
        <v>43500</v>
      </c>
      <c r="F1747" s="561">
        <v>94391.008999999991</v>
      </c>
      <c r="G1747" s="561">
        <v>1768</v>
      </c>
      <c r="H1747" s="561">
        <v>145768.641</v>
      </c>
      <c r="I1747" s="561">
        <v>18</v>
      </c>
      <c r="J1747" s="561">
        <v>7888.9620000000004</v>
      </c>
      <c r="K1747" s="561">
        <v>1750</v>
      </c>
      <c r="L1747" s="561">
        <v>137891.00899999999</v>
      </c>
      <c r="M1747" s="561">
        <v>137891.00899999999</v>
      </c>
      <c r="N1747" s="561">
        <v>43500</v>
      </c>
      <c r="Q1747" s="561">
        <v>94391.008999999991</v>
      </c>
      <c r="AL1747" s="561">
        <v>94391.008999999991</v>
      </c>
    </row>
    <row r="1748" spans="1:38">
      <c r="C1748" s="561" t="s">
        <v>1198</v>
      </c>
      <c r="L1748" s="561">
        <v>0</v>
      </c>
      <c r="N1748" s="561">
        <v>0</v>
      </c>
    </row>
    <row r="1749" spans="1:38">
      <c r="C1749" s="561" t="s">
        <v>1199</v>
      </c>
      <c r="D1749" s="561">
        <v>28688.991000000002</v>
      </c>
      <c r="E1749" s="561">
        <v>6320.7</v>
      </c>
      <c r="F1749" s="561">
        <v>22368.291000000001</v>
      </c>
      <c r="G1749" s="561">
        <v>1696</v>
      </c>
      <c r="H1749" s="561">
        <v>30740.863000000001</v>
      </c>
      <c r="I1749" s="561">
        <v>88</v>
      </c>
      <c r="J1749" s="561">
        <v>1441.404</v>
      </c>
      <c r="K1749" s="561">
        <v>1608</v>
      </c>
      <c r="L1749" s="561">
        <v>28688.991000000002</v>
      </c>
      <c r="M1749" s="561">
        <v>28688.991000000002</v>
      </c>
      <c r="N1749" s="561">
        <v>6320.7</v>
      </c>
      <c r="P1749" s="561">
        <v>22368.291000000001</v>
      </c>
      <c r="Q1749" s="561">
        <v>22368.291000000001</v>
      </c>
    </row>
    <row r="1750" spans="1:38">
      <c r="C1750" s="561" t="s">
        <v>1200</v>
      </c>
      <c r="L1750" s="561">
        <v>0</v>
      </c>
      <c r="N1750" s="561">
        <v>0</v>
      </c>
    </row>
    <row r="1751" spans="1:38">
      <c r="A1751" s="561">
        <v>31</v>
      </c>
      <c r="B1751" s="561" t="s">
        <v>1452</v>
      </c>
      <c r="C1751" s="561" t="s">
        <v>1206</v>
      </c>
      <c r="D1751" s="561">
        <v>296699.68800000002</v>
      </c>
      <c r="E1751" s="561">
        <v>89588.1</v>
      </c>
      <c r="F1751" s="561">
        <v>207111.58800000002</v>
      </c>
      <c r="G1751" s="561">
        <v>7346</v>
      </c>
      <c r="H1751" s="561">
        <v>304126.97100000002</v>
      </c>
      <c r="I1751" s="561">
        <v>21</v>
      </c>
      <c r="J1751" s="561">
        <v>7427.2829999999994</v>
      </c>
      <c r="K1751" s="561">
        <v>7325</v>
      </c>
      <c r="L1751" s="561">
        <v>296699.68800000002</v>
      </c>
      <c r="M1751" s="561">
        <v>296699.68800000002</v>
      </c>
      <c r="N1751" s="561">
        <v>89588.1</v>
      </c>
      <c r="O1751" s="561">
        <v>0</v>
      </c>
      <c r="P1751" s="561">
        <v>207111.58800000002</v>
      </c>
      <c r="Q1751" s="561">
        <v>207111.58800000002</v>
      </c>
    </row>
    <row r="1752" spans="1:38">
      <c r="C1752" s="561" t="s">
        <v>1197</v>
      </c>
      <c r="D1752" s="561">
        <v>252156.98</v>
      </c>
      <c r="E1752" s="561">
        <v>78000</v>
      </c>
      <c r="F1752" s="561">
        <v>174156.98</v>
      </c>
      <c r="G1752" s="561">
        <v>4260</v>
      </c>
      <c r="H1752" s="561">
        <v>259285.40299999999</v>
      </c>
      <c r="I1752" s="561">
        <v>9</v>
      </c>
      <c r="J1752" s="561">
        <v>7128.4229999999998</v>
      </c>
      <c r="K1752" s="561">
        <v>4251</v>
      </c>
      <c r="L1752" s="561">
        <v>252156.98</v>
      </c>
      <c r="M1752" s="561">
        <v>252156.98</v>
      </c>
      <c r="N1752" s="561">
        <v>78000</v>
      </c>
      <c r="Q1752" s="561">
        <v>174156.98</v>
      </c>
      <c r="AL1752" s="561">
        <v>174156.98</v>
      </c>
    </row>
    <row r="1753" spans="1:38">
      <c r="C1753" s="561" t="s">
        <v>1198</v>
      </c>
      <c r="L1753" s="561">
        <v>0</v>
      </c>
      <c r="N1753" s="561">
        <v>0</v>
      </c>
    </row>
    <row r="1754" spans="1:38">
      <c r="C1754" s="561" t="s">
        <v>1199</v>
      </c>
      <c r="D1754" s="561">
        <v>44542.707999999999</v>
      </c>
      <c r="E1754" s="561">
        <v>11588.1</v>
      </c>
      <c r="F1754" s="561">
        <v>32954.608</v>
      </c>
      <c r="G1754" s="561">
        <v>3086</v>
      </c>
      <c r="H1754" s="561">
        <v>44841.567999999999</v>
      </c>
      <c r="I1754" s="561">
        <v>12</v>
      </c>
      <c r="J1754" s="561">
        <v>298.86</v>
      </c>
      <c r="K1754" s="561">
        <v>3074</v>
      </c>
      <c r="L1754" s="561">
        <v>44542.707999999999</v>
      </c>
      <c r="M1754" s="561">
        <v>44542.707999999999</v>
      </c>
      <c r="N1754" s="561">
        <v>11588.1</v>
      </c>
      <c r="P1754" s="561">
        <v>32954.608</v>
      </c>
      <c r="Q1754" s="561">
        <v>32954.608</v>
      </c>
    </row>
    <row r="1755" spans="1:38">
      <c r="C1755" s="561" t="s">
        <v>1200</v>
      </c>
      <c r="L1755" s="561">
        <v>0</v>
      </c>
      <c r="N1755" s="561">
        <v>0</v>
      </c>
    </row>
    <row r="1756" spans="1:38">
      <c r="A1756" s="561">
        <v>32</v>
      </c>
      <c r="B1756" s="561" t="s">
        <v>1453</v>
      </c>
      <c r="C1756" s="561" t="s">
        <v>1206</v>
      </c>
      <c r="D1756" s="561">
        <v>34429</v>
      </c>
      <c r="E1756" s="561">
        <v>10328.700000000001</v>
      </c>
      <c r="F1756" s="561">
        <v>24100.3</v>
      </c>
      <c r="G1756" s="561">
        <v>656</v>
      </c>
      <c r="H1756" s="561">
        <v>36822.606</v>
      </c>
      <c r="I1756" s="561">
        <v>1</v>
      </c>
      <c r="J1756" s="561">
        <v>2309.5350000000003</v>
      </c>
      <c r="K1756" s="561">
        <v>655</v>
      </c>
      <c r="L1756" s="561">
        <v>34429</v>
      </c>
      <c r="M1756" s="561">
        <v>34429</v>
      </c>
      <c r="N1756" s="561">
        <v>10328.700000000001</v>
      </c>
      <c r="O1756" s="561">
        <v>0</v>
      </c>
      <c r="P1756" s="561">
        <v>24100.3</v>
      </c>
      <c r="Q1756" s="561">
        <v>24100.3</v>
      </c>
    </row>
    <row r="1757" spans="1:38">
      <c r="C1757" s="561" t="s">
        <v>1197</v>
      </c>
      <c r="D1757" s="561">
        <v>29101.100999999999</v>
      </c>
      <c r="E1757" s="561">
        <v>9240</v>
      </c>
      <c r="F1757" s="561">
        <v>19861.100999999999</v>
      </c>
      <c r="G1757" s="561">
        <v>357</v>
      </c>
      <c r="H1757" s="561">
        <v>31363.626</v>
      </c>
      <c r="I1757" s="561">
        <v>1</v>
      </c>
      <c r="J1757" s="561">
        <v>2178.4540000000002</v>
      </c>
      <c r="K1757" s="561">
        <v>356</v>
      </c>
      <c r="L1757" s="561">
        <v>29101.100999999999</v>
      </c>
      <c r="M1757" s="561">
        <v>29101.100999999999</v>
      </c>
      <c r="N1757" s="561">
        <v>9240</v>
      </c>
      <c r="Q1757" s="561">
        <v>19861.100999999999</v>
      </c>
      <c r="AL1757" s="561">
        <v>19861.100999999999</v>
      </c>
    </row>
    <row r="1758" spans="1:38">
      <c r="C1758" s="561" t="s">
        <v>1198</v>
      </c>
      <c r="L1758" s="561">
        <v>0</v>
      </c>
      <c r="N1758" s="561">
        <v>0</v>
      </c>
    </row>
    <row r="1759" spans="1:38">
      <c r="C1759" s="561" t="s">
        <v>1199</v>
      </c>
      <c r="D1759" s="561">
        <v>5327.8990000000003</v>
      </c>
      <c r="E1759" s="561">
        <v>1088.7</v>
      </c>
      <c r="F1759" s="561">
        <v>4239.1990000000005</v>
      </c>
      <c r="G1759" s="561">
        <v>299</v>
      </c>
      <c r="H1759" s="561">
        <v>5458.98</v>
      </c>
      <c r="I1759" s="561">
        <v>0</v>
      </c>
      <c r="J1759" s="561">
        <v>131.08099999999999</v>
      </c>
      <c r="K1759" s="561">
        <v>299</v>
      </c>
      <c r="L1759" s="561">
        <v>5327.8990000000003</v>
      </c>
      <c r="M1759" s="561">
        <v>5327.8990000000003</v>
      </c>
      <c r="N1759" s="561">
        <v>1088.7</v>
      </c>
      <c r="P1759" s="561">
        <v>4239.1990000000005</v>
      </c>
      <c r="Q1759" s="561">
        <v>4239.1990000000005</v>
      </c>
    </row>
    <row r="1760" spans="1:38">
      <c r="C1760" s="561" t="s">
        <v>1200</v>
      </c>
      <c r="L1760" s="561">
        <v>0</v>
      </c>
      <c r="N1760" s="561">
        <v>0</v>
      </c>
    </row>
    <row r="1761" spans="1:17">
      <c r="A1761" s="561">
        <v>33</v>
      </c>
      <c r="B1761" s="561" t="s">
        <v>1454</v>
      </c>
      <c r="C1761" s="561" t="s">
        <v>1206</v>
      </c>
      <c r="D1761" s="561">
        <v>7837.4189999999999</v>
      </c>
      <c r="E1761" s="561">
        <v>2352.6</v>
      </c>
      <c r="F1761" s="561">
        <v>5484.8189999999995</v>
      </c>
      <c r="G1761" s="561">
        <v>485</v>
      </c>
      <c r="H1761" s="561">
        <v>7922.0259999999998</v>
      </c>
      <c r="I1761" s="561">
        <v>0</v>
      </c>
      <c r="J1761" s="561">
        <v>84.606999999999999</v>
      </c>
      <c r="K1761" s="561">
        <v>485</v>
      </c>
      <c r="L1761" s="561">
        <v>7837.4189999999999</v>
      </c>
      <c r="M1761" s="561">
        <v>7837.4189999999999</v>
      </c>
      <c r="N1761" s="561">
        <v>2352.6</v>
      </c>
      <c r="O1761" s="561">
        <v>0</v>
      </c>
      <c r="P1761" s="561">
        <v>5484.8189999999995</v>
      </c>
      <c r="Q1761" s="561">
        <v>5484.8189999999995</v>
      </c>
    </row>
    <row r="1762" spans="1:17">
      <c r="C1762" s="561" t="s">
        <v>1197</v>
      </c>
      <c r="L1762" s="561">
        <v>0</v>
      </c>
      <c r="N1762" s="561">
        <v>0</v>
      </c>
    </row>
    <row r="1763" spans="1:17">
      <c r="C1763" s="561" t="s">
        <v>1198</v>
      </c>
      <c r="L1763" s="561">
        <v>0</v>
      </c>
      <c r="N1763" s="561">
        <v>0</v>
      </c>
    </row>
    <row r="1764" spans="1:17">
      <c r="C1764" s="561" t="s">
        <v>1199</v>
      </c>
      <c r="D1764" s="561">
        <v>7837.4189999999999</v>
      </c>
      <c r="E1764" s="561">
        <v>2352.6</v>
      </c>
      <c r="F1764" s="561">
        <v>5484.8189999999995</v>
      </c>
      <c r="G1764" s="561">
        <v>485</v>
      </c>
      <c r="H1764" s="561">
        <v>7922.0259999999998</v>
      </c>
      <c r="I1764" s="561">
        <v>0</v>
      </c>
      <c r="J1764" s="561">
        <v>84.606999999999999</v>
      </c>
      <c r="K1764" s="561">
        <v>485</v>
      </c>
      <c r="L1764" s="561">
        <v>7837.4189999999999</v>
      </c>
      <c r="M1764" s="561">
        <v>7837.4189999999999</v>
      </c>
      <c r="N1764" s="561">
        <v>2352.6</v>
      </c>
      <c r="P1764" s="561">
        <v>5484.8189999999995</v>
      </c>
      <c r="Q1764" s="561">
        <v>5484.8189999999995</v>
      </c>
    </row>
    <row r="1765" spans="1:17">
      <c r="C1765" s="561" t="s">
        <v>1200</v>
      </c>
      <c r="L1765" s="561">
        <v>0</v>
      </c>
      <c r="N1765" s="561">
        <v>0</v>
      </c>
    </row>
    <row r="1766" spans="1:17">
      <c r="A1766" s="561">
        <v>34</v>
      </c>
      <c r="B1766" s="561" t="s">
        <v>1455</v>
      </c>
      <c r="C1766" s="561" t="s">
        <v>1206</v>
      </c>
      <c r="D1766" s="561">
        <v>10364</v>
      </c>
      <c r="E1766" s="561">
        <v>2809.2</v>
      </c>
      <c r="F1766" s="561">
        <v>7554.8</v>
      </c>
      <c r="G1766" s="561">
        <v>748</v>
      </c>
      <c r="H1766" s="561">
        <v>11008.593999999999</v>
      </c>
      <c r="I1766" s="561">
        <v>18</v>
      </c>
      <c r="J1766" s="561">
        <v>466.99099999999999</v>
      </c>
      <c r="K1766" s="561">
        <v>730</v>
      </c>
      <c r="L1766" s="561">
        <v>10364</v>
      </c>
      <c r="M1766" s="561">
        <v>10364</v>
      </c>
      <c r="N1766" s="561">
        <v>2809.2</v>
      </c>
      <c r="O1766" s="561">
        <v>0</v>
      </c>
      <c r="P1766" s="561">
        <v>7554.8</v>
      </c>
      <c r="Q1766" s="561">
        <v>7554.8</v>
      </c>
    </row>
    <row r="1767" spans="1:17">
      <c r="C1767" s="561" t="s">
        <v>1197</v>
      </c>
      <c r="L1767" s="561">
        <v>0</v>
      </c>
      <c r="N1767" s="561">
        <v>0</v>
      </c>
    </row>
    <row r="1768" spans="1:17">
      <c r="C1768" s="561" t="s">
        <v>1198</v>
      </c>
      <c r="L1768" s="561">
        <v>0</v>
      </c>
      <c r="N1768" s="561">
        <v>0</v>
      </c>
    </row>
    <row r="1769" spans="1:17">
      <c r="C1769" s="561" t="s">
        <v>1199</v>
      </c>
      <c r="D1769" s="561">
        <v>10364</v>
      </c>
      <c r="E1769" s="561">
        <v>2809.2</v>
      </c>
      <c r="F1769" s="561">
        <v>7554.8</v>
      </c>
      <c r="G1769" s="561">
        <v>748</v>
      </c>
      <c r="H1769" s="561">
        <v>11008.593999999999</v>
      </c>
      <c r="I1769" s="561">
        <v>18</v>
      </c>
      <c r="J1769" s="561">
        <v>466.99099999999999</v>
      </c>
      <c r="K1769" s="561">
        <v>730</v>
      </c>
      <c r="L1769" s="561">
        <v>10364</v>
      </c>
      <c r="M1769" s="561">
        <v>10364</v>
      </c>
      <c r="N1769" s="561">
        <v>2809.2</v>
      </c>
      <c r="P1769" s="561">
        <v>7554.8</v>
      </c>
      <c r="Q1769" s="561">
        <v>7554.8</v>
      </c>
    </row>
    <row r="1770" spans="1:17">
      <c r="C1770" s="561" t="s">
        <v>1200</v>
      </c>
      <c r="L1770" s="561">
        <v>0</v>
      </c>
      <c r="N1770" s="561">
        <v>0</v>
      </c>
    </row>
    <row r="1771" spans="1:17">
      <c r="A1771" s="561">
        <v>35</v>
      </c>
      <c r="B1771" s="561" t="s">
        <v>1456</v>
      </c>
      <c r="C1771" s="561" t="s">
        <v>1206</v>
      </c>
      <c r="D1771" s="561">
        <v>9247</v>
      </c>
      <c r="E1771" s="561">
        <v>2774.1</v>
      </c>
      <c r="F1771" s="561">
        <v>6472.9</v>
      </c>
      <c r="G1771" s="561">
        <v>741</v>
      </c>
      <c r="H1771" s="561">
        <v>9317.7569999999996</v>
      </c>
      <c r="I1771" s="561">
        <v>1</v>
      </c>
      <c r="J1771" s="561">
        <v>56.042000000000002</v>
      </c>
      <c r="K1771" s="561">
        <v>740</v>
      </c>
      <c r="L1771" s="561">
        <v>9247</v>
      </c>
      <c r="M1771" s="561">
        <v>9247</v>
      </c>
      <c r="N1771" s="561">
        <v>2774.1</v>
      </c>
      <c r="O1771" s="561">
        <v>0</v>
      </c>
      <c r="P1771" s="561">
        <v>6472.9</v>
      </c>
      <c r="Q1771" s="561">
        <v>6472.9</v>
      </c>
    </row>
    <row r="1772" spans="1:17">
      <c r="C1772" s="561" t="s">
        <v>1197</v>
      </c>
      <c r="L1772" s="561">
        <v>0</v>
      </c>
      <c r="N1772" s="561">
        <v>0</v>
      </c>
    </row>
    <row r="1773" spans="1:17">
      <c r="C1773" s="561" t="s">
        <v>1198</v>
      </c>
      <c r="L1773" s="561">
        <v>0</v>
      </c>
      <c r="N1773" s="561">
        <v>0</v>
      </c>
    </row>
    <row r="1774" spans="1:17">
      <c r="C1774" s="561" t="s">
        <v>1199</v>
      </c>
      <c r="D1774" s="561">
        <v>9247</v>
      </c>
      <c r="E1774" s="561">
        <v>2774.1</v>
      </c>
      <c r="F1774" s="561">
        <v>6472.9</v>
      </c>
      <c r="G1774" s="561">
        <v>741</v>
      </c>
      <c r="H1774" s="561">
        <v>9317.7569999999996</v>
      </c>
      <c r="I1774" s="561">
        <v>1</v>
      </c>
      <c r="J1774" s="561">
        <v>56.042000000000002</v>
      </c>
      <c r="K1774" s="561">
        <v>740</v>
      </c>
      <c r="L1774" s="561">
        <v>9247</v>
      </c>
      <c r="M1774" s="561">
        <v>9247</v>
      </c>
      <c r="N1774" s="561">
        <v>2774.1</v>
      </c>
      <c r="P1774" s="561">
        <v>6472.9</v>
      </c>
      <c r="Q1774" s="561">
        <v>6472.9</v>
      </c>
    </row>
    <row r="1775" spans="1:17">
      <c r="C1775" s="561" t="s">
        <v>1200</v>
      </c>
      <c r="L1775" s="561">
        <v>0</v>
      </c>
      <c r="N1775" s="561">
        <v>0</v>
      </c>
    </row>
    <row r="1776" spans="1:17">
      <c r="A1776" s="561">
        <v>36</v>
      </c>
      <c r="B1776" s="561" t="s">
        <v>1457</v>
      </c>
      <c r="C1776" s="561" t="s">
        <v>1206</v>
      </c>
      <c r="D1776" s="561">
        <v>1072769.132</v>
      </c>
      <c r="E1776" s="561">
        <v>286565.09999999998</v>
      </c>
      <c r="F1776" s="561">
        <v>786204.03199999989</v>
      </c>
      <c r="G1776" s="561">
        <v>11572</v>
      </c>
      <c r="H1776" s="561">
        <v>1109166.3359999999</v>
      </c>
      <c r="I1776" s="561">
        <v>29</v>
      </c>
      <c r="J1776" s="561">
        <v>35950.066999999995</v>
      </c>
      <c r="K1776" s="561">
        <v>11543</v>
      </c>
      <c r="L1776" s="561">
        <v>1072769.132</v>
      </c>
      <c r="M1776" s="561">
        <v>1072769.132</v>
      </c>
      <c r="N1776" s="561">
        <v>286565.09999999998</v>
      </c>
      <c r="O1776" s="561">
        <v>0</v>
      </c>
      <c r="P1776" s="561">
        <v>786204.03199999989</v>
      </c>
      <c r="Q1776" s="561">
        <v>786204.03199999989</v>
      </c>
    </row>
    <row r="1777" spans="1:54">
      <c r="C1777" s="561" t="s">
        <v>1197</v>
      </c>
      <c r="D1777" s="561">
        <v>1013864.468</v>
      </c>
      <c r="E1777" s="561">
        <v>270900</v>
      </c>
      <c r="F1777" s="561">
        <v>742964.46799999999</v>
      </c>
      <c r="G1777" s="561">
        <v>10198</v>
      </c>
      <c r="H1777" s="561">
        <v>1049330.6029999999</v>
      </c>
      <c r="I1777" s="561">
        <v>27</v>
      </c>
      <c r="J1777" s="561">
        <v>35018.998</v>
      </c>
      <c r="K1777" s="561">
        <v>10171</v>
      </c>
      <c r="L1777" s="561">
        <v>1013864.468</v>
      </c>
      <c r="M1777" s="561">
        <v>1013864.468</v>
      </c>
      <c r="N1777" s="561">
        <v>270900</v>
      </c>
      <c r="Q1777" s="561">
        <v>742964.46799999999</v>
      </c>
      <c r="AL1777" s="561">
        <v>742964.46799999999</v>
      </c>
    </row>
    <row r="1778" spans="1:54">
      <c r="C1778" s="561" t="s">
        <v>1198</v>
      </c>
      <c r="D1778" s="561">
        <v>33889.989000000001</v>
      </c>
      <c r="E1778" s="561">
        <v>11100</v>
      </c>
      <c r="F1778" s="561">
        <v>22789.989000000001</v>
      </c>
      <c r="G1778" s="561">
        <v>80</v>
      </c>
      <c r="H1778" s="561">
        <v>34061.379000000001</v>
      </c>
      <c r="I1778" s="561">
        <v>0</v>
      </c>
      <c r="J1778" s="561">
        <v>171.39</v>
      </c>
      <c r="K1778" s="561">
        <v>80</v>
      </c>
      <c r="L1778" s="561">
        <v>33889.989000000001</v>
      </c>
      <c r="M1778" s="561">
        <v>33889.989000000001</v>
      </c>
      <c r="N1778" s="561">
        <v>11100</v>
      </c>
      <c r="P1778" s="561">
        <v>22789.989000000001</v>
      </c>
      <c r="Q1778" s="561">
        <v>22789.989000000001</v>
      </c>
    </row>
    <row r="1779" spans="1:54">
      <c r="C1779" s="561" t="s">
        <v>1199</v>
      </c>
      <c r="D1779" s="561">
        <v>25014.674999999999</v>
      </c>
      <c r="E1779" s="561">
        <v>4565.1000000000004</v>
      </c>
      <c r="F1779" s="561">
        <v>20449.574999999997</v>
      </c>
      <c r="G1779" s="561">
        <v>1294</v>
      </c>
      <c r="H1779" s="561">
        <v>25774.353999999999</v>
      </c>
      <c r="I1779" s="561">
        <v>2</v>
      </c>
      <c r="J1779" s="561">
        <v>759.67899999999997</v>
      </c>
      <c r="K1779" s="561">
        <v>1292</v>
      </c>
      <c r="L1779" s="561">
        <v>25014.674999999999</v>
      </c>
      <c r="M1779" s="561">
        <v>25014.674999999999</v>
      </c>
      <c r="N1779" s="561">
        <v>4565.1000000000004</v>
      </c>
      <c r="P1779" s="561">
        <v>20449.574999999997</v>
      </c>
      <c r="Q1779" s="561">
        <v>20449.574999999997</v>
      </c>
    </row>
    <row r="1780" spans="1:54">
      <c r="C1780" s="561" t="s">
        <v>1200</v>
      </c>
      <c r="L1780" s="561">
        <v>0</v>
      </c>
      <c r="N1780" s="561">
        <v>0</v>
      </c>
    </row>
    <row r="1781" spans="1:54">
      <c r="A1781" s="561">
        <v>37</v>
      </c>
      <c r="B1781" s="561" t="s">
        <v>1458</v>
      </c>
      <c r="C1781" s="561" t="s">
        <v>1206</v>
      </c>
      <c r="D1781" s="561">
        <v>178772.66699999999</v>
      </c>
      <c r="E1781" s="561">
        <v>45600</v>
      </c>
      <c r="F1781" s="561">
        <v>133172.66699999999</v>
      </c>
      <c r="G1781" s="561">
        <v>3484</v>
      </c>
      <c r="H1781" s="561">
        <v>185203.45600000001</v>
      </c>
      <c r="I1781" s="561">
        <v>0</v>
      </c>
      <c r="J1781" s="561">
        <v>6453.5290000000005</v>
      </c>
      <c r="K1781" s="561">
        <v>3484</v>
      </c>
      <c r="L1781" s="561">
        <v>178772.66699999999</v>
      </c>
      <c r="M1781" s="561">
        <v>178772.66699999999</v>
      </c>
      <c r="N1781" s="561">
        <v>45600</v>
      </c>
      <c r="O1781" s="561">
        <v>0</v>
      </c>
      <c r="P1781" s="561">
        <v>133172.66699999999</v>
      </c>
      <c r="Q1781" s="561">
        <v>133172.66699999999</v>
      </c>
    </row>
    <row r="1782" spans="1:54">
      <c r="C1782" s="561" t="s">
        <v>1197</v>
      </c>
      <c r="D1782" s="561">
        <v>178772.66699999999</v>
      </c>
      <c r="E1782" s="561">
        <v>45600</v>
      </c>
      <c r="F1782" s="561">
        <v>133172.66699999999</v>
      </c>
      <c r="G1782" s="561">
        <v>3484</v>
      </c>
      <c r="H1782" s="561">
        <v>185203.45600000001</v>
      </c>
      <c r="I1782" s="561">
        <v>0</v>
      </c>
      <c r="J1782" s="561">
        <v>6453.5290000000005</v>
      </c>
      <c r="K1782" s="561">
        <v>3484</v>
      </c>
      <c r="L1782" s="561">
        <v>178772.66699999999</v>
      </c>
      <c r="M1782" s="561">
        <v>178772.66699999999</v>
      </c>
      <c r="N1782" s="561">
        <v>45600</v>
      </c>
      <c r="Q1782" s="561">
        <v>133172.66699999999</v>
      </c>
      <c r="BB1782" s="561">
        <v>133172.66699999999</v>
      </c>
    </row>
    <row r="1783" spans="1:54">
      <c r="C1783" s="561" t="s">
        <v>1198</v>
      </c>
      <c r="L1783" s="561">
        <v>0</v>
      </c>
      <c r="N1783" s="561">
        <v>0</v>
      </c>
    </row>
    <row r="1784" spans="1:54">
      <c r="C1784" s="561" t="s">
        <v>1199</v>
      </c>
      <c r="L1784" s="561">
        <v>0</v>
      </c>
      <c r="N1784" s="561">
        <v>0</v>
      </c>
    </row>
    <row r="1785" spans="1:54">
      <c r="C1785" s="561" t="s">
        <v>1200</v>
      </c>
      <c r="L1785" s="561">
        <v>0</v>
      </c>
      <c r="N1785" s="561">
        <v>0</v>
      </c>
    </row>
    <row r="1786" spans="1:54">
      <c r="A1786" s="561">
        <v>38</v>
      </c>
      <c r="B1786" s="561" t="s">
        <v>1459</v>
      </c>
      <c r="C1786" s="561" t="s">
        <v>1206</v>
      </c>
      <c r="D1786" s="561">
        <v>298825.549</v>
      </c>
      <c r="E1786" s="561">
        <v>67500</v>
      </c>
      <c r="F1786" s="561">
        <v>231325.549</v>
      </c>
      <c r="G1786" s="561">
        <v>4165</v>
      </c>
      <c r="H1786" s="561">
        <v>313651.21299999999</v>
      </c>
      <c r="I1786" s="561">
        <v>3</v>
      </c>
      <c r="J1786" s="561">
        <v>14833.244000000001</v>
      </c>
      <c r="K1786" s="561">
        <v>4162</v>
      </c>
      <c r="L1786" s="561">
        <v>298825.549</v>
      </c>
      <c r="M1786" s="561">
        <v>298825.549</v>
      </c>
      <c r="N1786" s="561">
        <v>67500</v>
      </c>
      <c r="O1786" s="561">
        <v>0</v>
      </c>
      <c r="P1786" s="561">
        <v>231325.549</v>
      </c>
      <c r="Q1786" s="561">
        <v>231325.549</v>
      </c>
      <c r="BB1786" s="561">
        <v>231325.549</v>
      </c>
    </row>
    <row r="1787" spans="1:54">
      <c r="C1787" s="561" t="s">
        <v>1197</v>
      </c>
      <c r="D1787" s="561">
        <v>298825.549</v>
      </c>
      <c r="E1787" s="561">
        <v>67500</v>
      </c>
      <c r="F1787" s="561">
        <v>231325.549</v>
      </c>
      <c r="G1787" s="561">
        <v>4165</v>
      </c>
      <c r="H1787" s="561">
        <v>313651.21299999999</v>
      </c>
      <c r="I1787" s="561">
        <v>3</v>
      </c>
      <c r="J1787" s="561">
        <v>14833.244000000001</v>
      </c>
      <c r="K1787" s="561">
        <v>4162</v>
      </c>
      <c r="L1787" s="561">
        <v>298825.549</v>
      </c>
      <c r="M1787" s="561">
        <v>298825.549</v>
      </c>
      <c r="N1787" s="561">
        <v>67500</v>
      </c>
      <c r="Q1787" s="561">
        <v>231325.549</v>
      </c>
    </row>
    <row r="1788" spans="1:54">
      <c r="C1788" s="561" t="s">
        <v>1198</v>
      </c>
      <c r="L1788" s="561">
        <v>0</v>
      </c>
      <c r="N1788" s="561">
        <v>0</v>
      </c>
    </row>
    <row r="1789" spans="1:54">
      <c r="C1789" s="561" t="s">
        <v>1199</v>
      </c>
      <c r="L1789" s="561">
        <v>0</v>
      </c>
      <c r="N1789" s="561">
        <v>0</v>
      </c>
    </row>
    <row r="1790" spans="1:54">
      <c r="C1790" s="561" t="s">
        <v>1200</v>
      </c>
      <c r="L1790" s="561">
        <v>0</v>
      </c>
      <c r="N1790" s="561">
        <v>0</v>
      </c>
    </row>
    <row r="1791" spans="1:54">
      <c r="A1791" s="561">
        <v>39</v>
      </c>
      <c r="B1791" s="561" t="s">
        <v>1460</v>
      </c>
      <c r="C1791" s="561" t="s">
        <v>1206</v>
      </c>
      <c r="D1791" s="561">
        <v>147691.174</v>
      </c>
      <c r="E1791" s="561">
        <v>48900</v>
      </c>
      <c r="F1791" s="561">
        <v>98791.173999999999</v>
      </c>
      <c r="G1791" s="561">
        <v>2805</v>
      </c>
      <c r="H1791" s="561">
        <v>151957.524</v>
      </c>
      <c r="I1791" s="561">
        <v>4</v>
      </c>
      <c r="J1791" s="561">
        <v>4180.99</v>
      </c>
      <c r="K1791" s="561">
        <v>2801</v>
      </c>
      <c r="L1791" s="561">
        <v>147691.174</v>
      </c>
      <c r="M1791" s="561">
        <v>147691.174</v>
      </c>
      <c r="N1791" s="561">
        <v>48900</v>
      </c>
      <c r="O1791" s="561">
        <v>0</v>
      </c>
      <c r="P1791" s="561">
        <v>98791.173999999999</v>
      </c>
      <c r="Q1791" s="561">
        <v>98791.173999999999</v>
      </c>
    </row>
    <row r="1792" spans="1:54">
      <c r="C1792" s="561" t="s">
        <v>1197</v>
      </c>
      <c r="D1792" s="561">
        <v>146900.883</v>
      </c>
      <c r="E1792" s="561">
        <v>48900</v>
      </c>
      <c r="F1792" s="561">
        <v>98000.883000000002</v>
      </c>
      <c r="G1792" s="561">
        <v>2805</v>
      </c>
      <c r="H1792" s="561">
        <v>151081.87299999999</v>
      </c>
      <c r="I1792" s="561">
        <v>4</v>
      </c>
      <c r="J1792" s="561">
        <v>4180.99</v>
      </c>
      <c r="K1792" s="561">
        <v>2801</v>
      </c>
      <c r="L1792" s="561">
        <v>146900.883</v>
      </c>
      <c r="M1792" s="561">
        <v>146900.883</v>
      </c>
      <c r="N1792" s="561">
        <v>48900</v>
      </c>
      <c r="Q1792" s="561">
        <v>98000.883000000002</v>
      </c>
      <c r="BB1792" s="561">
        <v>98000.883000000002</v>
      </c>
    </row>
    <row r="1793" spans="1:38">
      <c r="C1793" s="561" t="s">
        <v>1198</v>
      </c>
      <c r="L1793" s="561">
        <v>0</v>
      </c>
      <c r="M1793" s="561">
        <v>0</v>
      </c>
      <c r="N1793" s="561">
        <v>0</v>
      </c>
    </row>
    <row r="1794" spans="1:38">
      <c r="C1794" s="561" t="s">
        <v>1199</v>
      </c>
      <c r="L1794" s="561">
        <v>0</v>
      </c>
      <c r="M1794" s="561">
        <v>0</v>
      </c>
      <c r="N1794" s="561">
        <v>0</v>
      </c>
    </row>
    <row r="1795" spans="1:38">
      <c r="C1795" s="561" t="s">
        <v>1200</v>
      </c>
      <c r="L1795" s="561">
        <v>0</v>
      </c>
      <c r="M1795" s="561">
        <v>0</v>
      </c>
      <c r="N1795" s="561">
        <v>0</v>
      </c>
    </row>
    <row r="1796" spans="1:38">
      <c r="C1796" s="561" t="s">
        <v>1202</v>
      </c>
      <c r="D1796" s="561">
        <v>790.29100000000005</v>
      </c>
      <c r="F1796" s="561">
        <v>790.29100000000005</v>
      </c>
      <c r="G1796" s="561">
        <v>0</v>
      </c>
      <c r="H1796" s="561">
        <v>875.65099999999995</v>
      </c>
      <c r="I1796" s="561">
        <v>0</v>
      </c>
      <c r="J1796" s="561">
        <v>0</v>
      </c>
      <c r="K1796" s="561">
        <v>0</v>
      </c>
      <c r="L1796" s="561">
        <v>790.29100000000005</v>
      </c>
      <c r="M1796" s="561">
        <v>790.29100000000005</v>
      </c>
      <c r="P1796" s="561">
        <v>790.29100000000005</v>
      </c>
      <c r="Q1796" s="561">
        <v>790.29100000000005</v>
      </c>
    </row>
    <row r="1797" spans="1:38">
      <c r="A1797" s="561">
        <v>40</v>
      </c>
      <c r="B1797" s="561" t="s">
        <v>1461</v>
      </c>
      <c r="C1797" s="561" t="s">
        <v>1206</v>
      </c>
      <c r="D1797" s="561">
        <v>1873</v>
      </c>
      <c r="E1797" s="561">
        <v>561.9</v>
      </c>
      <c r="F1797" s="561">
        <v>1311.1</v>
      </c>
      <c r="G1797" s="561">
        <v>156</v>
      </c>
      <c r="H1797" s="561">
        <v>2377.7820000000002</v>
      </c>
      <c r="I1797" s="561">
        <v>14</v>
      </c>
      <c r="J1797" s="561">
        <v>501.20299999999997</v>
      </c>
      <c r="K1797" s="561">
        <v>142</v>
      </c>
      <c r="L1797" s="561">
        <v>1873</v>
      </c>
      <c r="M1797" s="561">
        <v>1873</v>
      </c>
      <c r="N1797" s="561">
        <v>561.9</v>
      </c>
      <c r="O1797" s="561">
        <v>0</v>
      </c>
      <c r="P1797" s="561">
        <v>1311.1</v>
      </c>
      <c r="Q1797" s="561">
        <v>1311.1</v>
      </c>
    </row>
    <row r="1798" spans="1:38">
      <c r="C1798" s="561" t="s">
        <v>1197</v>
      </c>
      <c r="L1798" s="561">
        <v>0</v>
      </c>
      <c r="N1798" s="561">
        <v>0</v>
      </c>
    </row>
    <row r="1799" spans="1:38">
      <c r="C1799" s="561" t="s">
        <v>1198</v>
      </c>
      <c r="L1799" s="561">
        <v>0</v>
      </c>
      <c r="N1799" s="561">
        <v>0</v>
      </c>
    </row>
    <row r="1800" spans="1:38">
      <c r="C1800" s="561" t="s">
        <v>1199</v>
      </c>
      <c r="D1800" s="561">
        <v>1873</v>
      </c>
      <c r="E1800" s="561">
        <v>561.9</v>
      </c>
      <c r="F1800" s="561">
        <v>1311.1</v>
      </c>
      <c r="G1800" s="561">
        <v>156</v>
      </c>
      <c r="H1800" s="561">
        <v>2377.7820000000002</v>
      </c>
      <c r="I1800" s="561">
        <v>14</v>
      </c>
      <c r="J1800" s="561">
        <v>501.20299999999997</v>
      </c>
      <c r="K1800" s="561">
        <v>142</v>
      </c>
      <c r="L1800" s="561">
        <v>1873</v>
      </c>
      <c r="M1800" s="561">
        <v>1873</v>
      </c>
      <c r="N1800" s="561">
        <v>561.9</v>
      </c>
      <c r="P1800" s="561">
        <v>1311.1</v>
      </c>
      <c r="Q1800" s="561">
        <v>1311.1</v>
      </c>
    </row>
    <row r="1801" spans="1:38">
      <c r="C1801" s="561" t="s">
        <v>1200</v>
      </c>
      <c r="L1801" s="561">
        <v>0</v>
      </c>
      <c r="N1801" s="561">
        <v>0</v>
      </c>
    </row>
    <row r="1802" spans="1:38">
      <c r="A1802" s="561">
        <v>41</v>
      </c>
      <c r="B1802" s="561" t="s">
        <v>1462</v>
      </c>
      <c r="C1802" s="561" t="s">
        <v>1206</v>
      </c>
      <c r="D1802" s="561">
        <v>133512</v>
      </c>
      <c r="E1802" s="561">
        <v>37953.599999999999</v>
      </c>
      <c r="F1802" s="561">
        <v>95558.400000000009</v>
      </c>
      <c r="G1802" s="561">
        <v>2500</v>
      </c>
      <c r="H1802" s="561">
        <v>136077.97500000001</v>
      </c>
      <c r="I1802" s="561">
        <v>14</v>
      </c>
      <c r="J1802" s="561">
        <v>2565.578</v>
      </c>
      <c r="K1802" s="561">
        <v>2486</v>
      </c>
      <c r="L1802" s="561">
        <v>133512</v>
      </c>
      <c r="M1802" s="561">
        <v>133512</v>
      </c>
      <c r="N1802" s="561">
        <v>37953.599999999999</v>
      </c>
      <c r="O1802" s="561">
        <v>0</v>
      </c>
      <c r="P1802" s="561">
        <v>95558.400000000009</v>
      </c>
      <c r="Q1802" s="561">
        <v>95558.400000000009</v>
      </c>
    </row>
    <row r="1803" spans="1:38">
      <c r="C1803" s="561" t="s">
        <v>1197</v>
      </c>
      <c r="D1803" s="561">
        <v>122858.67600000001</v>
      </c>
      <c r="E1803" s="561">
        <v>36900</v>
      </c>
      <c r="F1803" s="561">
        <v>85958.676000000007</v>
      </c>
      <c r="G1803" s="561">
        <v>1900</v>
      </c>
      <c r="H1803" s="561">
        <v>124752.156</v>
      </c>
      <c r="I1803" s="561">
        <v>1</v>
      </c>
      <c r="J1803" s="561">
        <v>1901.06</v>
      </c>
      <c r="K1803" s="561">
        <v>1899</v>
      </c>
      <c r="L1803" s="561">
        <v>122858.67600000001</v>
      </c>
      <c r="M1803" s="561">
        <v>122858.67600000001</v>
      </c>
      <c r="N1803" s="561">
        <v>36900</v>
      </c>
      <c r="Q1803" s="561">
        <v>85958.676000000007</v>
      </c>
      <c r="AL1803" s="561">
        <v>85958.676000000007</v>
      </c>
    </row>
    <row r="1804" spans="1:38">
      <c r="C1804" s="561" t="s">
        <v>1198</v>
      </c>
      <c r="L1804" s="561">
        <v>0</v>
      </c>
      <c r="N1804" s="561">
        <v>0</v>
      </c>
    </row>
    <row r="1805" spans="1:38">
      <c r="C1805" s="561" t="s">
        <v>1199</v>
      </c>
      <c r="D1805" s="561">
        <v>10653.324000000001</v>
      </c>
      <c r="E1805" s="561">
        <v>1053.5999999999999</v>
      </c>
      <c r="F1805" s="561">
        <v>9599.7240000000002</v>
      </c>
      <c r="G1805" s="561">
        <v>600</v>
      </c>
      <c r="H1805" s="561">
        <v>11325.819</v>
      </c>
      <c r="I1805" s="561">
        <v>13</v>
      </c>
      <c r="J1805" s="561">
        <v>664.51800000000003</v>
      </c>
      <c r="K1805" s="561">
        <v>587</v>
      </c>
      <c r="L1805" s="561">
        <v>10653.324000000001</v>
      </c>
      <c r="M1805" s="561">
        <v>10653.324000000001</v>
      </c>
      <c r="N1805" s="561">
        <v>1053.5999999999999</v>
      </c>
      <c r="P1805" s="561">
        <v>9599.7240000000002</v>
      </c>
      <c r="Q1805" s="561">
        <v>9599.7240000000002</v>
      </c>
    </row>
    <row r="1806" spans="1:38">
      <c r="C1806" s="561" t="s">
        <v>1200</v>
      </c>
      <c r="L1806" s="561">
        <v>0</v>
      </c>
      <c r="N1806" s="561">
        <v>0</v>
      </c>
    </row>
    <row r="1807" spans="1:38">
      <c r="A1807" s="561">
        <v>42</v>
      </c>
      <c r="B1807" s="561" t="s">
        <v>1463</v>
      </c>
      <c r="C1807" s="561" t="s">
        <v>1206</v>
      </c>
      <c r="D1807" s="561">
        <v>12769</v>
      </c>
      <c r="E1807" s="561">
        <v>3230.7</v>
      </c>
      <c r="F1807" s="561">
        <v>9538.2999999999993</v>
      </c>
      <c r="G1807" s="561">
        <v>1060</v>
      </c>
      <c r="H1807" s="561">
        <v>13048.712</v>
      </c>
      <c r="I1807" s="561">
        <v>0</v>
      </c>
      <c r="J1807" s="561">
        <v>193.90899999999999</v>
      </c>
      <c r="K1807" s="561">
        <v>1060</v>
      </c>
      <c r="L1807" s="561">
        <v>12769</v>
      </c>
      <c r="M1807" s="561">
        <v>12769</v>
      </c>
      <c r="N1807" s="561">
        <v>3230.7</v>
      </c>
      <c r="O1807" s="561">
        <v>0</v>
      </c>
      <c r="P1807" s="561">
        <v>9538.2999999999993</v>
      </c>
      <c r="Q1807" s="561">
        <v>9538.2999999999993</v>
      </c>
    </row>
    <row r="1808" spans="1:38">
      <c r="C1808" s="561" t="s">
        <v>1197</v>
      </c>
      <c r="L1808" s="561">
        <v>0</v>
      </c>
      <c r="N1808" s="561">
        <v>0</v>
      </c>
    </row>
    <row r="1809" spans="1:38">
      <c r="C1809" s="561" t="s">
        <v>1198</v>
      </c>
      <c r="L1809" s="561">
        <v>0</v>
      </c>
      <c r="N1809" s="561">
        <v>0</v>
      </c>
    </row>
    <row r="1810" spans="1:38">
      <c r="C1810" s="561" t="s">
        <v>1199</v>
      </c>
      <c r="D1810" s="561">
        <v>12769</v>
      </c>
      <c r="E1810" s="561">
        <v>3230.7</v>
      </c>
      <c r="F1810" s="561">
        <v>9538.2999999999993</v>
      </c>
      <c r="G1810" s="561">
        <v>1060</v>
      </c>
      <c r="H1810" s="561">
        <v>13048.712</v>
      </c>
      <c r="I1810" s="561">
        <v>0</v>
      </c>
      <c r="J1810" s="561">
        <v>193.90899999999999</v>
      </c>
      <c r="K1810" s="561">
        <v>1060</v>
      </c>
      <c r="L1810" s="561">
        <v>12769</v>
      </c>
      <c r="M1810" s="561">
        <v>12769</v>
      </c>
      <c r="N1810" s="561">
        <v>3230.7</v>
      </c>
      <c r="P1810" s="561">
        <v>9538.2999999999993</v>
      </c>
      <c r="Q1810" s="561">
        <v>9538.2999999999993</v>
      </c>
    </row>
    <row r="1811" spans="1:38">
      <c r="C1811" s="561" t="s">
        <v>1200</v>
      </c>
      <c r="L1811" s="561">
        <v>0</v>
      </c>
      <c r="N1811" s="561">
        <v>0</v>
      </c>
    </row>
    <row r="1812" spans="1:38">
      <c r="A1812" s="561">
        <v>43</v>
      </c>
      <c r="B1812" s="561" t="s">
        <v>1464</v>
      </c>
      <c r="C1812" s="561" t="s">
        <v>1206</v>
      </c>
      <c r="D1812" s="561">
        <v>3512</v>
      </c>
      <c r="E1812" s="561">
        <v>1053.5999999999999</v>
      </c>
      <c r="F1812" s="561">
        <v>2458.4</v>
      </c>
      <c r="G1812" s="561">
        <v>263</v>
      </c>
      <c r="H1812" s="561">
        <v>3565.45</v>
      </c>
      <c r="I1812" s="561">
        <v>2</v>
      </c>
      <c r="J1812" s="561">
        <v>42.07</v>
      </c>
      <c r="K1812" s="561">
        <v>261</v>
      </c>
      <c r="L1812" s="561">
        <v>3512</v>
      </c>
      <c r="M1812" s="561">
        <v>3512</v>
      </c>
      <c r="N1812" s="561">
        <v>1053.5999999999999</v>
      </c>
      <c r="O1812" s="561">
        <v>0</v>
      </c>
      <c r="P1812" s="561">
        <v>2458.4</v>
      </c>
      <c r="Q1812" s="561">
        <v>2458.4</v>
      </c>
    </row>
    <row r="1813" spans="1:38">
      <c r="C1813" s="561" t="s">
        <v>1197</v>
      </c>
      <c r="L1813" s="561">
        <v>0</v>
      </c>
      <c r="N1813" s="561">
        <v>0</v>
      </c>
    </row>
    <row r="1814" spans="1:38">
      <c r="C1814" s="561" t="s">
        <v>1198</v>
      </c>
      <c r="L1814" s="561">
        <v>0</v>
      </c>
      <c r="N1814" s="561">
        <v>0</v>
      </c>
    </row>
    <row r="1815" spans="1:38">
      <c r="C1815" s="561" t="s">
        <v>1199</v>
      </c>
      <c r="D1815" s="561">
        <v>3512</v>
      </c>
      <c r="E1815" s="561">
        <v>1053.5999999999999</v>
      </c>
      <c r="F1815" s="561">
        <v>2458.4</v>
      </c>
      <c r="G1815" s="561">
        <v>263</v>
      </c>
      <c r="H1815" s="561">
        <v>3565.45</v>
      </c>
      <c r="I1815" s="561">
        <v>2</v>
      </c>
      <c r="J1815" s="561">
        <v>42.07</v>
      </c>
      <c r="K1815" s="561">
        <v>261</v>
      </c>
      <c r="L1815" s="561">
        <v>3512</v>
      </c>
      <c r="M1815" s="561">
        <v>3512</v>
      </c>
      <c r="N1815" s="561">
        <v>1053.5999999999999</v>
      </c>
      <c r="P1815" s="561">
        <v>2458.4</v>
      </c>
      <c r="Q1815" s="561">
        <v>2458.4</v>
      </c>
    </row>
    <row r="1816" spans="1:38">
      <c r="C1816" s="561" t="s">
        <v>1200</v>
      </c>
      <c r="L1816" s="561">
        <v>0</v>
      </c>
      <c r="N1816" s="561">
        <v>0</v>
      </c>
    </row>
    <row r="1817" spans="1:38">
      <c r="A1817" s="561">
        <v>44</v>
      </c>
      <c r="B1817" s="561" t="s">
        <v>1465</v>
      </c>
      <c r="C1817" s="561" t="s">
        <v>1206</v>
      </c>
      <c r="D1817" s="561">
        <v>4213.7780000000002</v>
      </c>
      <c r="E1817" s="561">
        <v>1264.2</v>
      </c>
      <c r="F1817" s="561">
        <v>2949.5780000000004</v>
      </c>
      <c r="G1817" s="561">
        <v>270</v>
      </c>
      <c r="H1817" s="561">
        <v>4391.1620000000003</v>
      </c>
      <c r="I1817" s="561">
        <v>0</v>
      </c>
      <c r="J1817" s="561">
        <v>177.38399999999999</v>
      </c>
      <c r="K1817" s="561">
        <v>270</v>
      </c>
      <c r="L1817" s="561">
        <v>4213.7780000000002</v>
      </c>
      <c r="M1817" s="561">
        <v>4213.7780000000002</v>
      </c>
      <c r="N1817" s="561">
        <v>1264.2</v>
      </c>
      <c r="O1817" s="561">
        <v>0</v>
      </c>
      <c r="P1817" s="561">
        <v>2949.5780000000004</v>
      </c>
      <c r="Q1817" s="561">
        <v>2949.5780000000004</v>
      </c>
    </row>
    <row r="1818" spans="1:38">
      <c r="C1818" s="561" t="s">
        <v>1197</v>
      </c>
      <c r="L1818" s="561">
        <v>0</v>
      </c>
      <c r="N1818" s="561">
        <v>0</v>
      </c>
    </row>
    <row r="1819" spans="1:38">
      <c r="C1819" s="561" t="s">
        <v>1198</v>
      </c>
      <c r="L1819" s="561">
        <v>0</v>
      </c>
      <c r="N1819" s="561">
        <v>0</v>
      </c>
    </row>
    <row r="1820" spans="1:38">
      <c r="C1820" s="561" t="s">
        <v>1199</v>
      </c>
      <c r="D1820" s="561">
        <v>4213.7780000000002</v>
      </c>
      <c r="E1820" s="561">
        <v>1264.2</v>
      </c>
      <c r="F1820" s="561">
        <v>2949.5780000000004</v>
      </c>
      <c r="G1820" s="561">
        <v>270</v>
      </c>
      <c r="H1820" s="561">
        <v>4391.1620000000003</v>
      </c>
      <c r="I1820" s="561">
        <v>0</v>
      </c>
      <c r="J1820" s="561">
        <v>177.38399999999999</v>
      </c>
      <c r="K1820" s="561">
        <v>270</v>
      </c>
      <c r="L1820" s="561">
        <v>4213.7780000000002</v>
      </c>
      <c r="M1820" s="561">
        <v>4213.7780000000002</v>
      </c>
      <c r="N1820" s="561">
        <v>1264.2</v>
      </c>
      <c r="P1820" s="561">
        <v>2949.5780000000004</v>
      </c>
      <c r="Q1820" s="561">
        <v>2949.5780000000004</v>
      </c>
    </row>
    <row r="1821" spans="1:38">
      <c r="C1821" s="561" t="s">
        <v>1200</v>
      </c>
      <c r="L1821" s="561">
        <v>0</v>
      </c>
      <c r="N1821" s="561">
        <v>0</v>
      </c>
    </row>
    <row r="1822" spans="1:38">
      <c r="A1822" s="561">
        <v>45</v>
      </c>
      <c r="B1822" s="561" t="s">
        <v>1466</v>
      </c>
      <c r="C1822" s="561" t="s">
        <v>1206</v>
      </c>
      <c r="D1822" s="561">
        <v>263779</v>
      </c>
      <c r="E1822" s="561">
        <v>77633.7</v>
      </c>
      <c r="F1822" s="561">
        <v>186145.3</v>
      </c>
      <c r="G1822" s="561">
        <v>5240</v>
      </c>
      <c r="H1822" s="561">
        <v>271200.22600000002</v>
      </c>
      <c r="I1822" s="561">
        <v>7</v>
      </c>
      <c r="J1822" s="561">
        <v>7392.0870000000004</v>
      </c>
      <c r="K1822" s="561">
        <v>5233</v>
      </c>
      <c r="L1822" s="561">
        <v>263779</v>
      </c>
      <c r="M1822" s="561">
        <v>263779</v>
      </c>
      <c r="N1822" s="561">
        <v>77633.7</v>
      </c>
      <c r="O1822" s="561">
        <v>0</v>
      </c>
      <c r="P1822" s="561">
        <v>186145.3</v>
      </c>
      <c r="Q1822" s="561">
        <v>186145.3</v>
      </c>
    </row>
    <row r="1823" spans="1:38">
      <c r="C1823" s="561" t="s">
        <v>1197</v>
      </c>
      <c r="D1823" s="561">
        <v>248888.071</v>
      </c>
      <c r="E1823" s="561">
        <v>75000</v>
      </c>
      <c r="F1823" s="561">
        <v>173888.071</v>
      </c>
      <c r="G1823" s="561">
        <v>4305</v>
      </c>
      <c r="H1823" s="561">
        <v>255909.63500000001</v>
      </c>
      <c r="I1823" s="561">
        <v>4</v>
      </c>
      <c r="J1823" s="561">
        <v>6992.4250000000002</v>
      </c>
      <c r="K1823" s="561">
        <v>4301</v>
      </c>
      <c r="L1823" s="561">
        <v>248888.071</v>
      </c>
      <c r="M1823" s="561">
        <v>248888.071</v>
      </c>
      <c r="N1823" s="561">
        <v>75000</v>
      </c>
      <c r="Q1823" s="561">
        <v>173888.071</v>
      </c>
      <c r="AL1823" s="561">
        <v>173888.071</v>
      </c>
    </row>
    <row r="1824" spans="1:38">
      <c r="C1824" s="561" t="s">
        <v>1198</v>
      </c>
      <c r="L1824" s="561">
        <v>0</v>
      </c>
      <c r="N1824" s="561">
        <v>0</v>
      </c>
    </row>
    <row r="1825" spans="1:76">
      <c r="C1825" s="561" t="s">
        <v>1199</v>
      </c>
      <c r="D1825" s="561">
        <v>14890.929</v>
      </c>
      <c r="E1825" s="561">
        <v>2633.7</v>
      </c>
      <c r="F1825" s="561">
        <v>12257.228999999999</v>
      </c>
      <c r="G1825" s="561">
        <v>935</v>
      </c>
      <c r="H1825" s="561">
        <v>15290.591</v>
      </c>
      <c r="I1825" s="561">
        <v>3</v>
      </c>
      <c r="J1825" s="561">
        <v>399.66199999999998</v>
      </c>
      <c r="K1825" s="561">
        <v>932</v>
      </c>
      <c r="L1825" s="561">
        <v>14890.929</v>
      </c>
      <c r="M1825" s="561">
        <v>14890.929</v>
      </c>
      <c r="N1825" s="561">
        <v>2633.7</v>
      </c>
      <c r="P1825" s="561">
        <v>12257.228999999999</v>
      </c>
      <c r="Q1825" s="561">
        <v>12257.228999999999</v>
      </c>
    </row>
    <row r="1826" spans="1:76">
      <c r="C1826" s="561" t="s">
        <v>1200</v>
      </c>
      <c r="L1826" s="561">
        <v>0</v>
      </c>
      <c r="N1826" s="561">
        <v>0</v>
      </c>
    </row>
    <row r="1827" spans="1:76">
      <c r="A1827" s="561">
        <v>46</v>
      </c>
      <c r="B1827" s="561" t="s">
        <v>1467</v>
      </c>
      <c r="C1827" s="561" t="s">
        <v>1206</v>
      </c>
      <c r="D1827" s="561">
        <v>3277</v>
      </c>
      <c r="E1827" s="561">
        <v>983.1</v>
      </c>
      <c r="F1827" s="561">
        <v>2293.9</v>
      </c>
      <c r="G1827" s="561">
        <v>288</v>
      </c>
      <c r="H1827" s="561">
        <v>3357.4589999999998</v>
      </c>
      <c r="I1827" s="561">
        <v>8</v>
      </c>
      <c r="J1827" s="561">
        <v>70.91</v>
      </c>
      <c r="K1827" s="561">
        <v>280</v>
      </c>
      <c r="L1827" s="561">
        <v>3277</v>
      </c>
      <c r="M1827" s="561">
        <v>3277</v>
      </c>
      <c r="N1827" s="561">
        <v>983.1</v>
      </c>
      <c r="O1827" s="561">
        <v>0</v>
      </c>
      <c r="P1827" s="561">
        <v>2293.9</v>
      </c>
      <c r="Q1827" s="561">
        <v>2293.9</v>
      </c>
    </row>
    <row r="1828" spans="1:76">
      <c r="C1828" s="561" t="s">
        <v>1197</v>
      </c>
      <c r="L1828" s="561">
        <v>0</v>
      </c>
      <c r="N1828" s="561">
        <v>0</v>
      </c>
    </row>
    <row r="1829" spans="1:76">
      <c r="C1829" s="561" t="s">
        <v>1198</v>
      </c>
      <c r="L1829" s="561">
        <v>0</v>
      </c>
      <c r="N1829" s="561">
        <v>0</v>
      </c>
    </row>
    <row r="1830" spans="1:76">
      <c r="C1830" s="561" t="s">
        <v>1199</v>
      </c>
      <c r="D1830" s="561">
        <v>3277</v>
      </c>
      <c r="E1830" s="561">
        <v>983.1</v>
      </c>
      <c r="F1830" s="561">
        <v>2293.9</v>
      </c>
      <c r="G1830" s="561">
        <v>288</v>
      </c>
      <c r="H1830" s="561">
        <v>3357.4589999999998</v>
      </c>
      <c r="I1830" s="561">
        <v>8</v>
      </c>
      <c r="J1830" s="561">
        <v>70.91</v>
      </c>
      <c r="K1830" s="561">
        <v>280</v>
      </c>
      <c r="L1830" s="561">
        <v>3277</v>
      </c>
      <c r="M1830" s="561">
        <v>3277</v>
      </c>
      <c r="N1830" s="561">
        <v>983.1</v>
      </c>
      <c r="P1830" s="561">
        <v>2293.9</v>
      </c>
      <c r="Q1830" s="561">
        <v>2293.9</v>
      </c>
    </row>
    <row r="1831" spans="1:76">
      <c r="C1831" s="561" t="s">
        <v>1200</v>
      </c>
      <c r="L1831" s="561">
        <v>0</v>
      </c>
      <c r="N1831" s="561">
        <v>0</v>
      </c>
    </row>
    <row r="1832" spans="1:76">
      <c r="A1832" s="561">
        <v>47</v>
      </c>
      <c r="B1832" s="561" t="s">
        <v>1468</v>
      </c>
      <c r="C1832" s="561" t="s">
        <v>1206</v>
      </c>
      <c r="D1832" s="561">
        <v>139832</v>
      </c>
      <c r="E1832" s="561">
        <v>41949.599999999999</v>
      </c>
      <c r="F1832" s="561">
        <v>97882.4</v>
      </c>
      <c r="G1832" s="561">
        <v>2735</v>
      </c>
      <c r="H1832" s="561">
        <v>142548.837</v>
      </c>
      <c r="I1832" s="561">
        <v>11</v>
      </c>
      <c r="J1832" s="561">
        <v>2431.8559999999998</v>
      </c>
      <c r="K1832" s="561">
        <v>2724</v>
      </c>
      <c r="L1832" s="561">
        <v>139832</v>
      </c>
      <c r="M1832" s="561">
        <v>139832</v>
      </c>
      <c r="N1832" s="561">
        <v>41949.599999999999</v>
      </c>
      <c r="O1832" s="561">
        <v>0</v>
      </c>
      <c r="P1832" s="561">
        <v>97882.4</v>
      </c>
      <c r="Q1832" s="561">
        <v>97882.4</v>
      </c>
    </row>
    <row r="1833" spans="1:76">
      <c r="C1833" s="561" t="s">
        <v>1197</v>
      </c>
      <c r="D1833" s="561">
        <v>128428.488</v>
      </c>
      <c r="E1833" s="561">
        <v>39000</v>
      </c>
      <c r="F1833" s="561">
        <v>89428.487999999998</v>
      </c>
      <c r="G1833" s="561">
        <v>1881</v>
      </c>
      <c r="H1833" s="561">
        <v>130515.378</v>
      </c>
      <c r="I1833" s="561">
        <v>3</v>
      </c>
      <c r="J1833" s="561">
        <v>2086.89</v>
      </c>
      <c r="K1833" s="561">
        <v>1878</v>
      </c>
      <c r="L1833" s="561">
        <v>128428.488</v>
      </c>
      <c r="M1833" s="561">
        <v>128428.488</v>
      </c>
      <c r="N1833" s="561">
        <v>39000</v>
      </c>
      <c r="Q1833" s="561">
        <v>89428.487999999998</v>
      </c>
      <c r="AL1833" s="561">
        <v>89428.487999999998</v>
      </c>
    </row>
    <row r="1834" spans="1:76">
      <c r="C1834" s="561" t="s">
        <v>1198</v>
      </c>
      <c r="L1834" s="561">
        <v>0</v>
      </c>
      <c r="N1834" s="561">
        <v>0</v>
      </c>
    </row>
    <row r="1835" spans="1:76">
      <c r="C1835" s="561" t="s">
        <v>1199</v>
      </c>
      <c r="D1835" s="561">
        <v>11403.512000000001</v>
      </c>
      <c r="E1835" s="561">
        <v>2949.6</v>
      </c>
      <c r="F1835" s="561">
        <v>8453.9120000000003</v>
      </c>
      <c r="G1835" s="561">
        <v>854</v>
      </c>
      <c r="H1835" s="561">
        <v>12033.459000000001</v>
      </c>
      <c r="I1835" s="561">
        <v>8</v>
      </c>
      <c r="J1835" s="561">
        <v>344.96600000000001</v>
      </c>
      <c r="K1835" s="561">
        <v>846</v>
      </c>
      <c r="L1835" s="561">
        <v>11403.512000000001</v>
      </c>
      <c r="M1835" s="561">
        <v>11403.512000000001</v>
      </c>
      <c r="N1835" s="561">
        <v>2949.6</v>
      </c>
      <c r="P1835" s="561">
        <v>8453.9120000000003</v>
      </c>
      <c r="Q1835" s="561">
        <v>8453.9120000000003</v>
      </c>
    </row>
    <row r="1836" spans="1:76">
      <c r="C1836" s="561" t="s">
        <v>1200</v>
      </c>
      <c r="L1836" s="561">
        <v>0</v>
      </c>
      <c r="N1836" s="561">
        <v>0</v>
      </c>
    </row>
    <row r="1837" spans="1:76">
      <c r="A1837" s="561">
        <v>48</v>
      </c>
      <c r="B1837" s="561" t="s">
        <v>1469</v>
      </c>
      <c r="C1837" s="561" t="s">
        <v>1206</v>
      </c>
      <c r="D1837" s="561">
        <v>428000</v>
      </c>
      <c r="E1837" s="561">
        <v>128400</v>
      </c>
      <c r="F1837" s="561">
        <v>299600</v>
      </c>
      <c r="G1837" s="561">
        <v>4971</v>
      </c>
      <c r="H1837" s="561">
        <v>438981.56200000003</v>
      </c>
      <c r="I1837" s="561">
        <v>-1</v>
      </c>
      <c r="J1837" s="561">
        <v>9777.4019999999982</v>
      </c>
      <c r="K1837" s="561">
        <v>4972</v>
      </c>
      <c r="L1837" s="561">
        <v>428000</v>
      </c>
      <c r="M1837" s="561">
        <v>428000</v>
      </c>
      <c r="N1837" s="561">
        <v>128400</v>
      </c>
      <c r="O1837" s="561">
        <v>0</v>
      </c>
      <c r="P1837" s="561">
        <v>299600</v>
      </c>
      <c r="Q1837" s="561">
        <v>299600</v>
      </c>
    </row>
    <row r="1838" spans="1:76">
      <c r="C1838" s="561" t="s">
        <v>1197</v>
      </c>
      <c r="D1838" s="561">
        <v>225842.28099999999</v>
      </c>
      <c r="E1838" s="561">
        <v>66900</v>
      </c>
      <c r="F1838" s="561">
        <v>158942.28099999999</v>
      </c>
      <c r="G1838" s="561">
        <v>4199</v>
      </c>
      <c r="H1838" s="561">
        <v>231768.546</v>
      </c>
      <c r="I1838" s="561">
        <v>-1</v>
      </c>
      <c r="J1838" s="561">
        <v>4722.1049999999996</v>
      </c>
      <c r="K1838" s="561">
        <v>4200</v>
      </c>
      <c r="L1838" s="561">
        <v>225842.28099999999</v>
      </c>
      <c r="M1838" s="561">
        <v>225842.28099999999</v>
      </c>
      <c r="N1838" s="561">
        <v>66900</v>
      </c>
      <c r="Q1838" s="561">
        <v>158942.28099999999</v>
      </c>
      <c r="BX1838" s="561">
        <v>158942.28099999999</v>
      </c>
    </row>
    <row r="1839" spans="1:76">
      <c r="C1839" s="561" t="s">
        <v>1198</v>
      </c>
      <c r="L1839" s="561">
        <v>0</v>
      </c>
      <c r="N1839" s="561">
        <v>0</v>
      </c>
    </row>
    <row r="1840" spans="1:76">
      <c r="C1840" s="561" t="s">
        <v>1199</v>
      </c>
      <c r="D1840" s="561">
        <v>202157.71900000001</v>
      </c>
      <c r="E1840" s="561">
        <v>61500</v>
      </c>
      <c r="F1840" s="561">
        <v>140657.71900000001</v>
      </c>
      <c r="G1840" s="561">
        <v>772</v>
      </c>
      <c r="H1840" s="561">
        <v>207213.016</v>
      </c>
      <c r="I1840" s="561">
        <v>0</v>
      </c>
      <c r="J1840" s="561">
        <v>5055.2969999999996</v>
      </c>
      <c r="K1840" s="561">
        <v>772</v>
      </c>
      <c r="L1840" s="561">
        <v>202157.71900000001</v>
      </c>
      <c r="M1840" s="561">
        <v>202157.71900000001</v>
      </c>
      <c r="N1840" s="561">
        <v>61500</v>
      </c>
      <c r="P1840" s="561">
        <v>140657.71900000001</v>
      </c>
      <c r="Q1840" s="561">
        <v>140657.71900000001</v>
      </c>
    </row>
    <row r="1841" spans="1:51">
      <c r="C1841" s="561" t="s">
        <v>1200</v>
      </c>
      <c r="L1841" s="561">
        <v>0</v>
      </c>
      <c r="N1841" s="561">
        <v>0</v>
      </c>
    </row>
    <row r="1842" spans="1:51">
      <c r="A1842" s="561">
        <v>49</v>
      </c>
      <c r="B1842" s="561" t="s">
        <v>1470</v>
      </c>
      <c r="C1842" s="561" t="s">
        <v>1206</v>
      </c>
      <c r="D1842" s="561">
        <v>69512</v>
      </c>
      <c r="E1842" s="561">
        <v>20853.599999999999</v>
      </c>
      <c r="F1842" s="561">
        <v>48658.400000000001</v>
      </c>
      <c r="G1842" s="561">
        <v>1342</v>
      </c>
      <c r="H1842" s="561">
        <v>71135.668000000005</v>
      </c>
      <c r="I1842" s="561">
        <v>0</v>
      </c>
      <c r="J1842" s="561">
        <v>900.67600000000004</v>
      </c>
      <c r="K1842" s="561">
        <v>1342</v>
      </c>
      <c r="L1842" s="561">
        <v>69512</v>
      </c>
      <c r="M1842" s="561">
        <v>69512</v>
      </c>
      <c r="N1842" s="561">
        <v>20853.599999999999</v>
      </c>
      <c r="O1842" s="561">
        <v>0</v>
      </c>
      <c r="P1842" s="561">
        <v>48658.400000000001</v>
      </c>
      <c r="Q1842" s="561">
        <v>48658.400000000001</v>
      </c>
    </row>
    <row r="1843" spans="1:51">
      <c r="C1843" s="561" t="s">
        <v>1197</v>
      </c>
      <c r="D1843" s="561">
        <v>66000</v>
      </c>
      <c r="E1843" s="561">
        <v>19800</v>
      </c>
      <c r="F1843" s="561">
        <v>46200</v>
      </c>
      <c r="G1843" s="561">
        <v>1042</v>
      </c>
      <c r="H1843" s="561">
        <v>67305.294999999998</v>
      </c>
      <c r="I1843" s="561">
        <v>0</v>
      </c>
      <c r="J1843" s="561">
        <v>859.46400000000006</v>
      </c>
      <c r="K1843" s="561">
        <v>1042</v>
      </c>
      <c r="L1843" s="561">
        <v>66000</v>
      </c>
      <c r="M1843" s="561">
        <v>66000</v>
      </c>
      <c r="N1843" s="561">
        <v>19800</v>
      </c>
      <c r="Q1843" s="561">
        <v>46200</v>
      </c>
      <c r="AY1843" s="561">
        <v>46200</v>
      </c>
    </row>
    <row r="1844" spans="1:51">
      <c r="C1844" s="561" t="s">
        <v>1198</v>
      </c>
      <c r="L1844" s="561">
        <v>0</v>
      </c>
      <c r="N1844" s="561">
        <v>0</v>
      </c>
    </row>
    <row r="1845" spans="1:51">
      <c r="C1845" s="561" t="s">
        <v>1199</v>
      </c>
      <c r="D1845" s="561">
        <v>3512</v>
      </c>
      <c r="E1845" s="561">
        <v>1053.5999999999999</v>
      </c>
      <c r="F1845" s="561">
        <v>2458.4</v>
      </c>
      <c r="G1845" s="561">
        <v>300</v>
      </c>
      <c r="H1845" s="561">
        <v>3830.373</v>
      </c>
      <c r="I1845" s="561">
        <v>0</v>
      </c>
      <c r="J1845" s="561">
        <v>41.212000000000003</v>
      </c>
      <c r="K1845" s="561">
        <v>300</v>
      </c>
      <c r="L1845" s="561">
        <v>3512</v>
      </c>
      <c r="M1845" s="561">
        <v>3512</v>
      </c>
      <c r="N1845" s="561">
        <v>1053.5999999999999</v>
      </c>
      <c r="P1845" s="561">
        <v>2458.4</v>
      </c>
      <c r="Q1845" s="561">
        <v>2458.4</v>
      </c>
    </row>
    <row r="1846" spans="1:51">
      <c r="C1846" s="561" t="s">
        <v>1200</v>
      </c>
      <c r="L1846" s="561">
        <v>0</v>
      </c>
      <c r="N1846" s="561">
        <v>0</v>
      </c>
    </row>
    <row r="1847" spans="1:51">
      <c r="A1847" s="561">
        <v>50</v>
      </c>
      <c r="B1847" s="561" t="s">
        <v>1471</v>
      </c>
      <c r="C1847" s="561" t="s">
        <v>1206</v>
      </c>
      <c r="D1847" s="561">
        <v>3512</v>
      </c>
      <c r="E1847" s="561">
        <v>1053.5999999999999</v>
      </c>
      <c r="F1847" s="561">
        <v>2458.4</v>
      </c>
      <c r="G1847" s="561">
        <v>249</v>
      </c>
      <c r="H1847" s="561">
        <v>3583.9630000000002</v>
      </c>
      <c r="I1847" s="561">
        <v>4</v>
      </c>
      <c r="J1847" s="561">
        <v>66.893000000000001</v>
      </c>
      <c r="K1847" s="561">
        <v>245</v>
      </c>
      <c r="L1847" s="561">
        <v>3512</v>
      </c>
      <c r="M1847" s="561">
        <v>3512</v>
      </c>
      <c r="N1847" s="561">
        <v>1053.5999999999999</v>
      </c>
      <c r="O1847" s="561">
        <v>0</v>
      </c>
      <c r="P1847" s="561">
        <v>2458.4</v>
      </c>
      <c r="Q1847" s="561">
        <v>2458.4</v>
      </c>
    </row>
    <row r="1848" spans="1:51">
      <c r="C1848" s="561" t="s">
        <v>1197</v>
      </c>
      <c r="L1848" s="561">
        <v>0</v>
      </c>
      <c r="N1848" s="561">
        <v>0</v>
      </c>
    </row>
    <row r="1849" spans="1:51">
      <c r="C1849" s="561" t="s">
        <v>1198</v>
      </c>
      <c r="L1849" s="561">
        <v>0</v>
      </c>
      <c r="N1849" s="561">
        <v>0</v>
      </c>
    </row>
    <row r="1850" spans="1:51">
      <c r="C1850" s="561" t="s">
        <v>1199</v>
      </c>
      <c r="D1850" s="561">
        <v>3512</v>
      </c>
      <c r="E1850" s="561">
        <v>1053.5999999999999</v>
      </c>
      <c r="F1850" s="561">
        <v>2458.4</v>
      </c>
      <c r="G1850" s="561">
        <v>249</v>
      </c>
      <c r="H1850" s="561">
        <v>3583.9630000000002</v>
      </c>
      <c r="I1850" s="561">
        <v>4</v>
      </c>
      <c r="J1850" s="561">
        <v>66.893000000000001</v>
      </c>
      <c r="K1850" s="561">
        <v>245</v>
      </c>
      <c r="L1850" s="561">
        <v>3512</v>
      </c>
      <c r="M1850" s="561">
        <v>3512</v>
      </c>
      <c r="N1850" s="561">
        <v>1053.5999999999999</v>
      </c>
      <c r="P1850" s="561">
        <v>2458.4</v>
      </c>
      <c r="Q1850" s="561">
        <v>2458.4</v>
      </c>
    </row>
    <row r="1851" spans="1:51">
      <c r="C1851" s="561" t="s">
        <v>1200</v>
      </c>
      <c r="L1851" s="561">
        <v>0</v>
      </c>
      <c r="N1851" s="561">
        <v>0</v>
      </c>
    </row>
    <row r="1852" spans="1:51">
      <c r="A1852" s="561">
        <v>51</v>
      </c>
      <c r="B1852" s="561" t="s">
        <v>1472</v>
      </c>
      <c r="C1852" s="561" t="s">
        <v>1206</v>
      </c>
      <c r="D1852" s="561">
        <v>17046</v>
      </c>
      <c r="E1852" s="561">
        <v>4213.8</v>
      </c>
      <c r="F1852" s="561">
        <v>12832.2</v>
      </c>
      <c r="G1852" s="561">
        <v>1035</v>
      </c>
      <c r="H1852" s="561">
        <v>18265.050999999999</v>
      </c>
      <c r="I1852" s="561">
        <v>9</v>
      </c>
      <c r="J1852" s="561">
        <v>714.26800000000003</v>
      </c>
      <c r="K1852" s="561">
        <v>1026</v>
      </c>
      <c r="L1852" s="561">
        <v>17046</v>
      </c>
      <c r="M1852" s="561">
        <v>17046</v>
      </c>
      <c r="N1852" s="561">
        <v>4213.8</v>
      </c>
      <c r="O1852" s="561">
        <v>0</v>
      </c>
      <c r="P1852" s="561">
        <v>12832.2</v>
      </c>
      <c r="Q1852" s="561">
        <v>12832.2</v>
      </c>
    </row>
    <row r="1853" spans="1:51">
      <c r="C1853" s="561" t="s">
        <v>1197</v>
      </c>
      <c r="L1853" s="561">
        <v>0</v>
      </c>
      <c r="N1853" s="561">
        <v>0</v>
      </c>
    </row>
    <row r="1854" spans="1:51">
      <c r="C1854" s="561" t="s">
        <v>1198</v>
      </c>
      <c r="L1854" s="561">
        <v>0</v>
      </c>
      <c r="N1854" s="561">
        <v>0</v>
      </c>
    </row>
    <row r="1855" spans="1:51">
      <c r="C1855" s="561" t="s">
        <v>1199</v>
      </c>
      <c r="D1855" s="561">
        <v>17046</v>
      </c>
      <c r="E1855" s="561">
        <v>4213.8</v>
      </c>
      <c r="F1855" s="561">
        <v>12832.2</v>
      </c>
      <c r="G1855" s="561">
        <v>1035</v>
      </c>
      <c r="H1855" s="561">
        <v>18265.050999999999</v>
      </c>
      <c r="I1855" s="561">
        <v>9</v>
      </c>
      <c r="J1855" s="561">
        <v>714.26800000000003</v>
      </c>
      <c r="K1855" s="561">
        <v>1026</v>
      </c>
      <c r="L1855" s="561">
        <v>17046</v>
      </c>
      <c r="M1855" s="561">
        <v>17046</v>
      </c>
      <c r="N1855" s="561">
        <v>4213.8</v>
      </c>
      <c r="P1855" s="561">
        <v>12832.2</v>
      </c>
      <c r="Q1855" s="561">
        <v>12832.2</v>
      </c>
    </row>
    <row r="1856" spans="1:51">
      <c r="C1856" s="561" t="s">
        <v>1200</v>
      </c>
      <c r="L1856" s="561">
        <v>0</v>
      </c>
      <c r="N1856" s="561">
        <v>0</v>
      </c>
    </row>
    <row r="1857" spans="1:56">
      <c r="A1857" s="561">
        <v>52</v>
      </c>
      <c r="B1857" s="561" t="s">
        <v>1473</v>
      </c>
      <c r="C1857" s="561" t="s">
        <v>1206</v>
      </c>
      <c r="D1857" s="561">
        <v>170140</v>
      </c>
      <c r="E1857" s="561">
        <v>47442</v>
      </c>
      <c r="F1857" s="561">
        <v>122698</v>
      </c>
      <c r="G1857" s="561">
        <v>3072</v>
      </c>
      <c r="H1857" s="561">
        <v>171584.726</v>
      </c>
      <c r="I1857" s="561">
        <v>18</v>
      </c>
      <c r="J1857" s="561">
        <v>1411.9079999999999</v>
      </c>
      <c r="K1857" s="561">
        <v>3054</v>
      </c>
      <c r="L1857" s="561">
        <v>170140</v>
      </c>
      <c r="M1857" s="561">
        <v>170140</v>
      </c>
      <c r="N1857" s="561">
        <v>47442</v>
      </c>
      <c r="O1857" s="561">
        <v>0</v>
      </c>
      <c r="P1857" s="561">
        <v>122698</v>
      </c>
      <c r="Q1857" s="561">
        <v>122698</v>
      </c>
    </row>
    <row r="1858" spans="1:56">
      <c r="C1858" s="561" t="s">
        <v>1197</v>
      </c>
      <c r="D1858" s="561">
        <v>160216.035</v>
      </c>
      <c r="E1858" s="561">
        <v>45300</v>
      </c>
      <c r="F1858" s="561">
        <v>114916.035</v>
      </c>
      <c r="G1858" s="561">
        <v>2468</v>
      </c>
      <c r="H1858" s="561">
        <v>161409.519</v>
      </c>
      <c r="I1858" s="561">
        <v>3</v>
      </c>
      <c r="J1858" s="561">
        <v>1160.6659999999999</v>
      </c>
      <c r="K1858" s="561">
        <v>2465</v>
      </c>
      <c r="L1858" s="561">
        <v>160216.035</v>
      </c>
      <c r="M1858" s="561">
        <v>160216.035</v>
      </c>
      <c r="N1858" s="561">
        <v>45300</v>
      </c>
      <c r="Q1858" s="561">
        <v>114916.035</v>
      </c>
      <c r="AT1858" s="561">
        <v>114916.035</v>
      </c>
    </row>
    <row r="1859" spans="1:56">
      <c r="C1859" s="561" t="s">
        <v>1198</v>
      </c>
      <c r="L1859" s="561">
        <v>0</v>
      </c>
      <c r="N1859" s="561">
        <v>0</v>
      </c>
    </row>
    <row r="1860" spans="1:56">
      <c r="C1860" s="561" t="s">
        <v>1199</v>
      </c>
      <c r="D1860" s="561">
        <v>9923.9650000000001</v>
      </c>
      <c r="E1860" s="561">
        <v>2142</v>
      </c>
      <c r="F1860" s="561">
        <v>7781.9650000000001</v>
      </c>
      <c r="G1860" s="561">
        <v>604</v>
      </c>
      <c r="H1860" s="561">
        <v>10175.207</v>
      </c>
      <c r="I1860" s="561">
        <v>15</v>
      </c>
      <c r="J1860" s="561">
        <v>251.24199999999999</v>
      </c>
      <c r="K1860" s="561">
        <v>589</v>
      </c>
      <c r="L1860" s="561">
        <v>9923.9650000000001</v>
      </c>
      <c r="M1860" s="561">
        <v>9923.9650000000001</v>
      </c>
      <c r="N1860" s="561">
        <v>2142</v>
      </c>
      <c r="P1860" s="561">
        <v>7781.9650000000001</v>
      </c>
      <c r="Q1860" s="561">
        <v>7781.9650000000001</v>
      </c>
    </row>
    <row r="1861" spans="1:56">
      <c r="C1861" s="561" t="s">
        <v>1200</v>
      </c>
      <c r="L1861" s="561">
        <v>0</v>
      </c>
      <c r="N1861" s="561">
        <v>0</v>
      </c>
    </row>
    <row r="1862" spans="1:56">
      <c r="A1862" s="561">
        <v>53</v>
      </c>
      <c r="B1862" s="561" t="s">
        <v>1474</v>
      </c>
      <c r="C1862" s="561" t="s">
        <v>1206</v>
      </c>
      <c r="D1862" s="561">
        <v>121000</v>
      </c>
      <c r="E1862" s="561">
        <v>34800</v>
      </c>
      <c r="F1862" s="561">
        <v>86200</v>
      </c>
      <c r="G1862" s="561">
        <v>2050</v>
      </c>
      <c r="H1862" s="561">
        <v>124090.148</v>
      </c>
      <c r="I1862" s="561">
        <v>1</v>
      </c>
      <c r="J1862" s="561">
        <v>3006.6170000000002</v>
      </c>
      <c r="K1862" s="561">
        <v>2049</v>
      </c>
      <c r="L1862" s="561">
        <v>121000</v>
      </c>
      <c r="M1862" s="561">
        <v>121000</v>
      </c>
      <c r="N1862" s="561">
        <v>34800</v>
      </c>
      <c r="O1862" s="561">
        <v>0</v>
      </c>
      <c r="P1862" s="561">
        <v>86200</v>
      </c>
      <c r="Q1862" s="561">
        <v>86200</v>
      </c>
    </row>
    <row r="1863" spans="1:56">
      <c r="C1863" s="561" t="s">
        <v>1197</v>
      </c>
      <c r="D1863" s="561">
        <v>121000</v>
      </c>
      <c r="E1863" s="561">
        <v>34800</v>
      </c>
      <c r="F1863" s="561">
        <v>86200</v>
      </c>
      <c r="G1863" s="561">
        <v>2050</v>
      </c>
      <c r="H1863" s="561">
        <v>124090.148</v>
      </c>
      <c r="I1863" s="561">
        <v>1</v>
      </c>
      <c r="J1863" s="561">
        <v>3006.6170000000002</v>
      </c>
      <c r="K1863" s="561">
        <v>2049</v>
      </c>
      <c r="L1863" s="561">
        <v>121000</v>
      </c>
      <c r="M1863" s="561">
        <v>121000</v>
      </c>
      <c r="N1863" s="561">
        <v>34800</v>
      </c>
      <c r="Q1863" s="561">
        <v>86200</v>
      </c>
      <c r="BD1863" s="561">
        <v>86200</v>
      </c>
    </row>
    <row r="1864" spans="1:56">
      <c r="C1864" s="561" t="s">
        <v>1198</v>
      </c>
      <c r="L1864" s="561">
        <v>0</v>
      </c>
      <c r="N1864" s="561">
        <v>0</v>
      </c>
    </row>
    <row r="1865" spans="1:56">
      <c r="C1865" s="561" t="s">
        <v>1199</v>
      </c>
      <c r="L1865" s="561">
        <v>0</v>
      </c>
      <c r="N1865" s="561">
        <v>0</v>
      </c>
    </row>
    <row r="1866" spans="1:56">
      <c r="C1866" s="561" t="s">
        <v>1200</v>
      </c>
      <c r="L1866" s="561">
        <v>0</v>
      </c>
      <c r="N1866" s="561">
        <v>0</v>
      </c>
    </row>
    <row r="1867" spans="1:56">
      <c r="A1867" s="561">
        <v>54</v>
      </c>
      <c r="B1867" s="561" t="s">
        <v>1475</v>
      </c>
      <c r="C1867" s="561" t="s">
        <v>1206</v>
      </c>
      <c r="D1867" s="561">
        <v>48288</v>
      </c>
      <c r="E1867" s="561">
        <v>14486.4</v>
      </c>
      <c r="F1867" s="561">
        <v>33801.599999999999</v>
      </c>
      <c r="G1867" s="561">
        <v>709</v>
      </c>
      <c r="H1867" s="561">
        <v>50418.381999999998</v>
      </c>
      <c r="I1867" s="561">
        <v>22</v>
      </c>
      <c r="J1867" s="561">
        <v>2130.3339999999998</v>
      </c>
      <c r="K1867" s="561">
        <v>687</v>
      </c>
      <c r="L1867" s="561">
        <v>48288</v>
      </c>
      <c r="M1867" s="561">
        <v>48288</v>
      </c>
      <c r="N1867" s="561">
        <v>14486.4</v>
      </c>
      <c r="O1867" s="561">
        <v>0</v>
      </c>
      <c r="P1867" s="561">
        <v>33801.599999999999</v>
      </c>
      <c r="Q1867" s="561">
        <v>33801.599999999999</v>
      </c>
    </row>
    <row r="1868" spans="1:56">
      <c r="C1868" s="561" t="s">
        <v>1197</v>
      </c>
      <c r="D1868" s="561">
        <v>46764.093999999997</v>
      </c>
      <c r="E1868" s="561">
        <v>14100</v>
      </c>
      <c r="F1868" s="561">
        <v>32664.093999999997</v>
      </c>
      <c r="G1868" s="561">
        <v>600</v>
      </c>
      <c r="H1868" s="561">
        <v>48672.142999999996</v>
      </c>
      <c r="I1868" s="561">
        <v>12</v>
      </c>
      <c r="J1868" s="561">
        <v>1908.001</v>
      </c>
      <c r="K1868" s="561">
        <v>588</v>
      </c>
      <c r="L1868" s="561">
        <v>46764.093999999997</v>
      </c>
      <c r="M1868" s="561">
        <v>46764.093999999997</v>
      </c>
      <c r="N1868" s="561">
        <v>14100</v>
      </c>
      <c r="Q1868" s="561">
        <v>32664.093999999997</v>
      </c>
      <c r="AL1868" s="561">
        <v>32664.093999999997</v>
      </c>
    </row>
    <row r="1869" spans="1:56">
      <c r="C1869" s="561" t="s">
        <v>1198</v>
      </c>
      <c r="L1869" s="561">
        <v>0</v>
      </c>
      <c r="N1869" s="561">
        <v>0</v>
      </c>
    </row>
    <row r="1870" spans="1:56">
      <c r="C1870" s="561" t="s">
        <v>1199</v>
      </c>
      <c r="D1870" s="561">
        <v>1523.9059999999999</v>
      </c>
      <c r="E1870" s="561">
        <v>386.4</v>
      </c>
      <c r="F1870" s="561">
        <v>1137.5059999999999</v>
      </c>
      <c r="G1870" s="561">
        <v>109</v>
      </c>
      <c r="H1870" s="561">
        <v>1746.239</v>
      </c>
      <c r="I1870" s="561">
        <v>10</v>
      </c>
      <c r="J1870" s="561">
        <v>222.333</v>
      </c>
      <c r="K1870" s="561">
        <v>99</v>
      </c>
      <c r="L1870" s="561">
        <v>1523.9059999999999</v>
      </c>
      <c r="M1870" s="561">
        <v>1523.9059999999999</v>
      </c>
      <c r="N1870" s="561">
        <v>386.4</v>
      </c>
      <c r="P1870" s="561">
        <v>1137.5059999999999</v>
      </c>
      <c r="Q1870" s="561">
        <v>1137.5059999999999</v>
      </c>
    </row>
    <row r="1871" spans="1:56">
      <c r="C1871" s="561" t="s">
        <v>1200</v>
      </c>
      <c r="L1871" s="561">
        <v>0</v>
      </c>
      <c r="N1871" s="561">
        <v>0</v>
      </c>
    </row>
    <row r="1872" spans="1:56">
      <c r="A1872" s="561">
        <v>55</v>
      </c>
      <c r="B1872" s="561" t="s">
        <v>1476</v>
      </c>
      <c r="C1872" s="561" t="s">
        <v>1206</v>
      </c>
      <c r="D1872" s="561">
        <v>135615</v>
      </c>
      <c r="E1872" s="561">
        <v>40684.5</v>
      </c>
      <c r="F1872" s="561">
        <v>94930.5</v>
      </c>
      <c r="G1872" s="561">
        <v>58019</v>
      </c>
      <c r="H1872" s="561">
        <v>137086.06400000001</v>
      </c>
      <c r="I1872" s="561">
        <v>0</v>
      </c>
      <c r="J1872" s="561">
        <v>1280.4079999999999</v>
      </c>
      <c r="K1872" s="561">
        <v>58019</v>
      </c>
      <c r="L1872" s="561">
        <v>135615</v>
      </c>
      <c r="M1872" s="561">
        <v>135615</v>
      </c>
      <c r="N1872" s="561">
        <v>40684.5</v>
      </c>
      <c r="O1872" s="561">
        <v>0</v>
      </c>
      <c r="P1872" s="561">
        <v>94930.5</v>
      </c>
      <c r="Q1872" s="561">
        <v>94930.5</v>
      </c>
    </row>
    <row r="1873" spans="1:56">
      <c r="C1873" s="561" t="s">
        <v>1197</v>
      </c>
      <c r="D1873" s="561">
        <v>78500</v>
      </c>
      <c r="E1873" s="561">
        <v>23790</v>
      </c>
      <c r="F1873" s="561">
        <v>54710</v>
      </c>
      <c r="G1873" s="561">
        <v>928</v>
      </c>
      <c r="H1873" s="561">
        <v>79966.175000000003</v>
      </c>
      <c r="I1873" s="561">
        <v>0</v>
      </c>
      <c r="J1873" s="561">
        <v>1280.4079999999999</v>
      </c>
      <c r="K1873" s="561">
        <v>928</v>
      </c>
      <c r="L1873" s="561">
        <v>78500</v>
      </c>
      <c r="M1873" s="561">
        <v>78500</v>
      </c>
      <c r="N1873" s="561">
        <v>23790</v>
      </c>
      <c r="Q1873" s="561">
        <v>54710</v>
      </c>
      <c r="BD1873" s="561">
        <v>54710</v>
      </c>
    </row>
    <row r="1874" spans="1:56">
      <c r="C1874" s="561" t="s">
        <v>1198</v>
      </c>
      <c r="L1874" s="561">
        <v>0</v>
      </c>
      <c r="N1874" s="561">
        <v>0</v>
      </c>
    </row>
    <row r="1875" spans="1:56">
      <c r="C1875" s="561" t="s">
        <v>1199</v>
      </c>
      <c r="D1875" s="561">
        <v>2790</v>
      </c>
      <c r="E1875" s="561">
        <v>597</v>
      </c>
      <c r="F1875" s="561">
        <v>2193</v>
      </c>
      <c r="G1875" s="561">
        <v>173</v>
      </c>
      <c r="H1875" s="561">
        <v>2794.6260000000002</v>
      </c>
      <c r="I1875" s="561">
        <v>0</v>
      </c>
      <c r="J1875" s="561">
        <v>0</v>
      </c>
      <c r="K1875" s="561">
        <v>173</v>
      </c>
      <c r="L1875" s="561">
        <v>2790</v>
      </c>
      <c r="M1875" s="561">
        <v>2790</v>
      </c>
      <c r="N1875" s="561">
        <v>597</v>
      </c>
      <c r="P1875" s="561">
        <v>2193</v>
      </c>
      <c r="Q1875" s="561">
        <v>2193</v>
      </c>
    </row>
    <row r="1876" spans="1:56">
      <c r="C1876" s="561" t="s">
        <v>1200</v>
      </c>
      <c r="D1876" s="561">
        <v>54325</v>
      </c>
      <c r="E1876" s="561">
        <v>16297.5</v>
      </c>
      <c r="F1876" s="561">
        <v>38027.5</v>
      </c>
      <c r="G1876" s="561">
        <v>56918</v>
      </c>
      <c r="H1876" s="561">
        <v>54325.262999999999</v>
      </c>
      <c r="I1876" s="561">
        <v>0</v>
      </c>
      <c r="J1876" s="561">
        <v>0</v>
      </c>
      <c r="K1876" s="561">
        <v>56918</v>
      </c>
      <c r="L1876" s="561">
        <v>54325</v>
      </c>
      <c r="M1876" s="561">
        <v>54325</v>
      </c>
      <c r="N1876" s="561">
        <v>16297.5</v>
      </c>
      <c r="P1876" s="561">
        <v>38027.5</v>
      </c>
      <c r="Q1876" s="561">
        <v>38027.5</v>
      </c>
    </row>
    <row r="1877" spans="1:56">
      <c r="A1877" s="561">
        <v>56</v>
      </c>
      <c r="B1877" s="561" t="s">
        <v>1477</v>
      </c>
      <c r="C1877" s="561" t="s">
        <v>1206</v>
      </c>
      <c r="D1877" s="561">
        <v>71512</v>
      </c>
      <c r="E1877" s="561">
        <v>18753.599999999999</v>
      </c>
      <c r="F1877" s="561">
        <v>52758.400000000001</v>
      </c>
      <c r="G1877" s="561">
        <v>1295</v>
      </c>
      <c r="H1877" s="561">
        <v>73382.942999999999</v>
      </c>
      <c r="I1877" s="561">
        <v>1</v>
      </c>
      <c r="J1877" s="561">
        <v>1823.3520000000001</v>
      </c>
      <c r="K1877" s="561">
        <v>1294</v>
      </c>
      <c r="L1877" s="561">
        <v>71512</v>
      </c>
      <c r="M1877" s="561">
        <v>71512</v>
      </c>
      <c r="N1877" s="561">
        <v>18753.599999999999</v>
      </c>
      <c r="O1877" s="561">
        <v>0</v>
      </c>
      <c r="P1877" s="561">
        <v>52758.400000000001</v>
      </c>
      <c r="Q1877" s="561">
        <v>52758.400000000001</v>
      </c>
    </row>
    <row r="1878" spans="1:56">
      <c r="C1878" s="561" t="s">
        <v>1197</v>
      </c>
      <c r="D1878" s="561">
        <v>67000</v>
      </c>
      <c r="E1878" s="561">
        <v>17700</v>
      </c>
      <c r="F1878" s="561">
        <v>49300</v>
      </c>
      <c r="G1878" s="561">
        <v>993</v>
      </c>
      <c r="H1878" s="561">
        <v>68697.017999999996</v>
      </c>
      <c r="I1878" s="561">
        <v>1</v>
      </c>
      <c r="J1878" s="561">
        <v>1692.8340000000001</v>
      </c>
      <c r="K1878" s="561">
        <v>992</v>
      </c>
      <c r="L1878" s="561">
        <v>67000</v>
      </c>
      <c r="M1878" s="561">
        <v>67000</v>
      </c>
      <c r="N1878" s="561">
        <v>17700</v>
      </c>
      <c r="Q1878" s="561">
        <v>49300</v>
      </c>
      <c r="AN1878" s="561">
        <v>49300</v>
      </c>
    </row>
    <row r="1879" spans="1:56">
      <c r="C1879" s="561" t="s">
        <v>1198</v>
      </c>
      <c r="L1879" s="561">
        <v>0</v>
      </c>
      <c r="N1879" s="561">
        <v>0</v>
      </c>
    </row>
    <row r="1880" spans="1:56">
      <c r="C1880" s="561" t="s">
        <v>1199</v>
      </c>
      <c r="D1880" s="561">
        <v>4512</v>
      </c>
      <c r="E1880" s="561">
        <v>1053.5999999999999</v>
      </c>
      <c r="F1880" s="561">
        <v>3458.4</v>
      </c>
      <c r="G1880" s="561">
        <v>302</v>
      </c>
      <c r="H1880" s="561">
        <v>4685.9250000000002</v>
      </c>
      <c r="I1880" s="561">
        <v>0</v>
      </c>
      <c r="J1880" s="561">
        <v>130.518</v>
      </c>
      <c r="K1880" s="561">
        <v>302</v>
      </c>
      <c r="L1880" s="561">
        <v>4512</v>
      </c>
      <c r="M1880" s="561">
        <v>4512</v>
      </c>
      <c r="N1880" s="561">
        <v>1053.5999999999999</v>
      </c>
      <c r="P1880" s="561">
        <v>3458.4</v>
      </c>
      <c r="Q1880" s="561">
        <v>3458.4</v>
      </c>
    </row>
    <row r="1881" spans="1:56">
      <c r="C1881" s="561" t="s">
        <v>1200</v>
      </c>
      <c r="L1881" s="561">
        <v>0</v>
      </c>
      <c r="N1881" s="561">
        <v>0</v>
      </c>
    </row>
    <row r="1882" spans="1:56">
      <c r="A1882" s="561">
        <v>57</v>
      </c>
      <c r="B1882" s="561" t="s">
        <v>1478</v>
      </c>
      <c r="C1882" s="561" t="s">
        <v>1206</v>
      </c>
      <c r="D1882" s="561">
        <v>5267</v>
      </c>
      <c r="E1882" s="561">
        <v>1580.1</v>
      </c>
      <c r="F1882" s="561">
        <v>3686.9</v>
      </c>
      <c r="G1882" s="561">
        <v>356</v>
      </c>
      <c r="H1882" s="561">
        <v>5479.95</v>
      </c>
      <c r="I1882" s="561">
        <v>1</v>
      </c>
      <c r="J1882" s="561">
        <v>200.422</v>
      </c>
      <c r="K1882" s="561">
        <v>355</v>
      </c>
      <c r="L1882" s="561">
        <v>5267</v>
      </c>
      <c r="M1882" s="561">
        <v>5267</v>
      </c>
      <c r="N1882" s="561">
        <v>1580.1</v>
      </c>
      <c r="O1882" s="561">
        <v>0</v>
      </c>
      <c r="P1882" s="561">
        <v>3686.9</v>
      </c>
      <c r="Q1882" s="561">
        <v>3686.9</v>
      </c>
    </row>
    <row r="1883" spans="1:56">
      <c r="C1883" s="561" t="s">
        <v>1197</v>
      </c>
      <c r="L1883" s="561">
        <v>0</v>
      </c>
      <c r="N1883" s="561">
        <v>0</v>
      </c>
    </row>
    <row r="1884" spans="1:56">
      <c r="C1884" s="561" t="s">
        <v>1198</v>
      </c>
      <c r="L1884" s="561">
        <v>0</v>
      </c>
      <c r="N1884" s="561">
        <v>0</v>
      </c>
    </row>
    <row r="1885" spans="1:56">
      <c r="C1885" s="561" t="s">
        <v>1199</v>
      </c>
      <c r="D1885" s="561">
        <v>5267</v>
      </c>
      <c r="E1885" s="561">
        <v>1580.1</v>
      </c>
      <c r="F1885" s="561">
        <v>3686.9</v>
      </c>
      <c r="G1885" s="561">
        <v>356</v>
      </c>
      <c r="H1885" s="561">
        <v>5479.95</v>
      </c>
      <c r="I1885" s="561">
        <v>1</v>
      </c>
      <c r="J1885" s="561">
        <v>200.422</v>
      </c>
      <c r="K1885" s="561">
        <v>355</v>
      </c>
      <c r="L1885" s="561">
        <v>5267</v>
      </c>
      <c r="M1885" s="561">
        <v>5267</v>
      </c>
      <c r="N1885" s="561">
        <v>1580.1</v>
      </c>
      <c r="P1885" s="561">
        <v>3686.9</v>
      </c>
      <c r="Q1885" s="561">
        <v>3686.9</v>
      </c>
    </row>
    <row r="1886" spans="1:56">
      <c r="C1886" s="561" t="s">
        <v>1200</v>
      </c>
      <c r="L1886" s="561">
        <v>0</v>
      </c>
      <c r="N1886" s="561">
        <v>0</v>
      </c>
    </row>
    <row r="1887" spans="1:56">
      <c r="A1887" s="561">
        <v>58</v>
      </c>
      <c r="B1887" s="561" t="s">
        <v>1479</v>
      </c>
      <c r="C1887" s="561" t="s">
        <v>1206</v>
      </c>
      <c r="D1887" s="561">
        <v>1053</v>
      </c>
      <c r="E1887" s="561">
        <v>315.89999999999998</v>
      </c>
      <c r="F1887" s="561">
        <v>737.1</v>
      </c>
      <c r="G1887" s="561">
        <v>82</v>
      </c>
      <c r="H1887" s="561">
        <v>1273.452</v>
      </c>
      <c r="I1887" s="561">
        <v>1</v>
      </c>
      <c r="J1887" s="561">
        <v>8.7309999999999999</v>
      </c>
      <c r="K1887" s="561">
        <v>81</v>
      </c>
      <c r="L1887" s="561">
        <v>1053</v>
      </c>
      <c r="M1887" s="561">
        <v>1053</v>
      </c>
      <c r="N1887" s="561">
        <v>315.89999999999998</v>
      </c>
      <c r="O1887" s="561">
        <v>0</v>
      </c>
      <c r="P1887" s="561">
        <v>737.1</v>
      </c>
      <c r="Q1887" s="561">
        <v>737.1</v>
      </c>
    </row>
    <row r="1888" spans="1:56">
      <c r="C1888" s="561" t="s">
        <v>1197</v>
      </c>
      <c r="L1888" s="561">
        <v>0</v>
      </c>
      <c r="N1888" s="561">
        <v>0</v>
      </c>
    </row>
    <row r="1889" spans="1:38">
      <c r="C1889" s="561" t="s">
        <v>1198</v>
      </c>
      <c r="L1889" s="561">
        <v>0</v>
      </c>
      <c r="N1889" s="561">
        <v>0</v>
      </c>
    </row>
    <row r="1890" spans="1:38">
      <c r="C1890" s="561" t="s">
        <v>1199</v>
      </c>
      <c r="D1890" s="561">
        <v>1053</v>
      </c>
      <c r="E1890" s="561">
        <v>315.89999999999998</v>
      </c>
      <c r="F1890" s="561">
        <v>737.1</v>
      </c>
      <c r="G1890" s="561">
        <v>82</v>
      </c>
      <c r="H1890" s="561">
        <v>1273.452</v>
      </c>
      <c r="I1890" s="561">
        <v>1</v>
      </c>
      <c r="J1890" s="561">
        <v>8.7309999999999999</v>
      </c>
      <c r="K1890" s="561">
        <v>81</v>
      </c>
      <c r="L1890" s="561">
        <v>1053</v>
      </c>
      <c r="M1890" s="561">
        <v>1053</v>
      </c>
      <c r="N1890" s="561">
        <v>315.89999999999998</v>
      </c>
      <c r="P1890" s="561">
        <v>737.1</v>
      </c>
      <c r="Q1890" s="561">
        <v>737.1</v>
      </c>
    </row>
    <row r="1891" spans="1:38">
      <c r="C1891" s="561" t="s">
        <v>1200</v>
      </c>
      <c r="L1891" s="561">
        <v>0</v>
      </c>
      <c r="N1891" s="561">
        <v>0</v>
      </c>
    </row>
    <row r="1892" spans="1:38">
      <c r="A1892" s="561">
        <v>59</v>
      </c>
      <c r="B1892" s="561" t="s">
        <v>1480</v>
      </c>
      <c r="C1892" s="561" t="s">
        <v>1206</v>
      </c>
      <c r="D1892" s="561">
        <v>1258.607</v>
      </c>
      <c r="E1892" s="561">
        <v>386.4</v>
      </c>
      <c r="F1892" s="561">
        <v>872.20699999999999</v>
      </c>
      <c r="G1892" s="561">
        <v>110</v>
      </c>
      <c r="H1892" s="561">
        <v>1683.626</v>
      </c>
      <c r="I1892" s="561">
        <v>11</v>
      </c>
      <c r="J1892" s="561">
        <v>425.01900000000001</v>
      </c>
      <c r="K1892" s="561">
        <v>99</v>
      </c>
      <c r="L1892" s="561">
        <v>1258.607</v>
      </c>
      <c r="M1892" s="561">
        <v>1258.607</v>
      </c>
      <c r="N1892" s="561">
        <v>386.4</v>
      </c>
      <c r="O1892" s="561">
        <v>0</v>
      </c>
      <c r="P1892" s="561">
        <v>872.20699999999999</v>
      </c>
      <c r="Q1892" s="561">
        <v>872.20699999999999</v>
      </c>
    </row>
    <row r="1893" spans="1:38">
      <c r="C1893" s="561" t="s">
        <v>1197</v>
      </c>
      <c r="L1893" s="561">
        <v>0</v>
      </c>
      <c r="N1893" s="561">
        <v>0</v>
      </c>
    </row>
    <row r="1894" spans="1:38">
      <c r="C1894" s="561" t="s">
        <v>1198</v>
      </c>
      <c r="L1894" s="561">
        <v>0</v>
      </c>
      <c r="N1894" s="561">
        <v>0</v>
      </c>
    </row>
    <row r="1895" spans="1:38">
      <c r="C1895" s="561" t="s">
        <v>1199</v>
      </c>
      <c r="D1895" s="561">
        <v>1258.607</v>
      </c>
      <c r="E1895" s="561">
        <v>386.4</v>
      </c>
      <c r="F1895" s="561">
        <v>872.20699999999999</v>
      </c>
      <c r="G1895" s="561">
        <v>110</v>
      </c>
      <c r="H1895" s="561">
        <v>1683.626</v>
      </c>
      <c r="I1895" s="561">
        <v>11</v>
      </c>
      <c r="J1895" s="561">
        <v>425.01900000000001</v>
      </c>
      <c r="K1895" s="561">
        <v>99</v>
      </c>
      <c r="L1895" s="561">
        <v>1258.607</v>
      </c>
      <c r="M1895" s="561">
        <v>1258.607</v>
      </c>
      <c r="N1895" s="561">
        <v>386.4</v>
      </c>
      <c r="P1895" s="561">
        <v>872.20699999999999</v>
      </c>
      <c r="Q1895" s="561">
        <v>872.20699999999999</v>
      </c>
    </row>
    <row r="1896" spans="1:38">
      <c r="C1896" s="561" t="s">
        <v>1200</v>
      </c>
      <c r="L1896" s="561">
        <v>0</v>
      </c>
      <c r="N1896" s="561">
        <v>0</v>
      </c>
    </row>
    <row r="1897" spans="1:38">
      <c r="A1897" s="561">
        <v>60</v>
      </c>
      <c r="B1897" s="561" t="s">
        <v>1481</v>
      </c>
      <c r="C1897" s="561" t="s">
        <v>1206</v>
      </c>
      <c r="D1897" s="561">
        <v>106733</v>
      </c>
      <c r="E1897" s="561">
        <v>29720.7</v>
      </c>
      <c r="F1897" s="561">
        <v>77012.299999999988</v>
      </c>
      <c r="G1897" s="561">
        <v>2952</v>
      </c>
      <c r="H1897" s="561">
        <v>110613.766</v>
      </c>
      <c r="I1897" s="561">
        <v>40</v>
      </c>
      <c r="J1897" s="561">
        <v>3816.1629999999996</v>
      </c>
      <c r="K1897" s="561">
        <v>2912</v>
      </c>
      <c r="L1897" s="561">
        <v>106733</v>
      </c>
      <c r="M1897" s="561">
        <v>106733</v>
      </c>
      <c r="N1897" s="561">
        <v>29720.7</v>
      </c>
      <c r="O1897" s="561">
        <v>0</v>
      </c>
      <c r="P1897" s="561">
        <v>77012.299999999988</v>
      </c>
      <c r="Q1897" s="561">
        <v>77012.3</v>
      </c>
    </row>
    <row r="1898" spans="1:38">
      <c r="C1898" s="561" t="s">
        <v>1197</v>
      </c>
      <c r="D1898" s="561">
        <v>77801.289999999994</v>
      </c>
      <c r="E1898" s="561">
        <v>23400</v>
      </c>
      <c r="F1898" s="561">
        <v>54401.289999999994</v>
      </c>
      <c r="G1898" s="561">
        <v>1193</v>
      </c>
      <c r="H1898" s="561">
        <v>80485.001000000004</v>
      </c>
      <c r="I1898" s="561">
        <v>6</v>
      </c>
      <c r="J1898" s="561">
        <v>2683.7109999999998</v>
      </c>
      <c r="K1898" s="561">
        <v>1187</v>
      </c>
      <c r="L1898" s="561">
        <v>77801.289999999994</v>
      </c>
      <c r="M1898" s="561">
        <v>77801.289999999994</v>
      </c>
      <c r="N1898" s="561">
        <v>23400</v>
      </c>
      <c r="Q1898" s="561">
        <v>54401.29</v>
      </c>
      <c r="AL1898" s="561">
        <v>54401.289999999994</v>
      </c>
    </row>
    <row r="1899" spans="1:38">
      <c r="C1899" s="561" t="s">
        <v>1198</v>
      </c>
      <c r="L1899" s="561">
        <v>0</v>
      </c>
      <c r="N1899" s="561">
        <v>0</v>
      </c>
    </row>
    <row r="1900" spans="1:38">
      <c r="C1900" s="561" t="s">
        <v>1199</v>
      </c>
      <c r="D1900" s="561">
        <v>28931.71</v>
      </c>
      <c r="E1900" s="561">
        <v>6320.7</v>
      </c>
      <c r="F1900" s="561">
        <v>22611.01</v>
      </c>
      <c r="G1900" s="561">
        <v>1759</v>
      </c>
      <c r="H1900" s="561">
        <v>30128.764999999999</v>
      </c>
      <c r="I1900" s="561">
        <v>34</v>
      </c>
      <c r="J1900" s="561">
        <v>1132.452</v>
      </c>
      <c r="K1900" s="561">
        <v>1725</v>
      </c>
      <c r="L1900" s="561">
        <v>28931.71</v>
      </c>
      <c r="M1900" s="561">
        <v>28931.71</v>
      </c>
      <c r="N1900" s="561">
        <v>6320.7</v>
      </c>
      <c r="P1900" s="561">
        <v>22611.01</v>
      </c>
      <c r="Q1900" s="561">
        <v>22611.01</v>
      </c>
    </row>
    <row r="1901" spans="1:38">
      <c r="C1901" s="561" t="s">
        <v>1200</v>
      </c>
      <c r="L1901" s="561">
        <v>0</v>
      </c>
      <c r="N1901" s="561">
        <v>0</v>
      </c>
    </row>
    <row r="1902" spans="1:38">
      <c r="A1902" s="561">
        <v>61</v>
      </c>
      <c r="B1902" s="561" t="s">
        <v>1482</v>
      </c>
      <c r="C1902" s="561" t="s">
        <v>1206</v>
      </c>
      <c r="D1902" s="561">
        <v>91102</v>
      </c>
      <c r="E1902" s="561">
        <v>25909.200000000001</v>
      </c>
      <c r="F1902" s="561">
        <v>65192.800000000003</v>
      </c>
      <c r="G1902" s="561">
        <v>1983</v>
      </c>
      <c r="H1902" s="561">
        <v>79068.25</v>
      </c>
      <c r="I1902" s="561">
        <v>12</v>
      </c>
      <c r="J1902" s="561">
        <v>1304.943</v>
      </c>
      <c r="K1902" s="561">
        <v>1971</v>
      </c>
      <c r="L1902" s="561">
        <v>91102</v>
      </c>
      <c r="M1902" s="561">
        <v>91102</v>
      </c>
      <c r="N1902" s="561">
        <v>25909.200000000001</v>
      </c>
      <c r="O1902" s="561">
        <v>0</v>
      </c>
      <c r="P1902" s="561">
        <v>65192.800000000003</v>
      </c>
      <c r="Q1902" s="561">
        <v>65192.800000000003</v>
      </c>
    </row>
    <row r="1903" spans="1:38">
      <c r="C1903" s="561" t="s">
        <v>1197</v>
      </c>
      <c r="D1903" s="561">
        <v>73525.866999999998</v>
      </c>
      <c r="E1903" s="561">
        <v>23100</v>
      </c>
      <c r="F1903" s="561">
        <v>50425.866999999998</v>
      </c>
      <c r="G1903" s="561">
        <v>894</v>
      </c>
      <c r="H1903" s="561">
        <v>61923.237000000001</v>
      </c>
      <c r="I1903" s="561">
        <v>3</v>
      </c>
      <c r="J1903" s="561">
        <v>865.83299999999997</v>
      </c>
      <c r="K1903" s="561">
        <v>891</v>
      </c>
      <c r="L1903" s="561">
        <v>73525.866999999998</v>
      </c>
      <c r="M1903" s="561">
        <v>73525.866999999998</v>
      </c>
      <c r="N1903" s="561">
        <v>23100</v>
      </c>
      <c r="Q1903" s="561">
        <v>50425.866999999998</v>
      </c>
      <c r="AL1903" s="561">
        <v>50425.866999999998</v>
      </c>
    </row>
    <row r="1904" spans="1:38">
      <c r="C1904" s="561" t="s">
        <v>1198</v>
      </c>
      <c r="L1904" s="561">
        <v>0</v>
      </c>
      <c r="N1904" s="561">
        <v>0</v>
      </c>
    </row>
    <row r="1905" spans="1:38">
      <c r="C1905" s="561" t="s">
        <v>1199</v>
      </c>
      <c r="D1905" s="561">
        <v>17576.133000000002</v>
      </c>
      <c r="E1905" s="561">
        <v>2809.2</v>
      </c>
      <c r="F1905" s="561">
        <v>14766.933000000001</v>
      </c>
      <c r="G1905" s="561">
        <v>1089</v>
      </c>
      <c r="H1905" s="561">
        <v>17145.012999999999</v>
      </c>
      <c r="I1905" s="561">
        <v>9</v>
      </c>
      <c r="J1905" s="561">
        <v>439.11</v>
      </c>
      <c r="K1905" s="561">
        <v>1080</v>
      </c>
      <c r="L1905" s="561">
        <v>17576.133000000002</v>
      </c>
      <c r="M1905" s="561">
        <v>17576.133000000002</v>
      </c>
      <c r="N1905" s="561">
        <v>2809.2</v>
      </c>
      <c r="P1905" s="561">
        <v>14766.933000000001</v>
      </c>
      <c r="Q1905" s="561">
        <v>14766.933000000001</v>
      </c>
    </row>
    <row r="1906" spans="1:38">
      <c r="C1906" s="561" t="s">
        <v>1200</v>
      </c>
      <c r="L1906" s="561">
        <v>0</v>
      </c>
      <c r="N1906" s="561">
        <v>0</v>
      </c>
    </row>
    <row r="1907" spans="1:38">
      <c r="A1907" s="561">
        <v>62</v>
      </c>
      <c r="B1907" s="561" t="s">
        <v>1483</v>
      </c>
      <c r="C1907" s="561" t="s">
        <v>1206</v>
      </c>
      <c r="D1907" s="561">
        <v>405825</v>
      </c>
      <c r="E1907" s="561">
        <v>121594.2</v>
      </c>
      <c r="F1907" s="561">
        <v>284230.80000000005</v>
      </c>
      <c r="G1907" s="561">
        <v>11865</v>
      </c>
      <c r="H1907" s="561">
        <v>420701.31900000002</v>
      </c>
      <c r="I1907" s="561">
        <v>110</v>
      </c>
      <c r="J1907" s="561">
        <v>14288.972</v>
      </c>
      <c r="K1907" s="561">
        <v>11755</v>
      </c>
      <c r="L1907" s="561">
        <v>405825</v>
      </c>
      <c r="M1907" s="561">
        <v>405825</v>
      </c>
      <c r="N1907" s="561">
        <v>121594.2</v>
      </c>
      <c r="O1907" s="561">
        <v>0</v>
      </c>
      <c r="P1907" s="561">
        <v>284230.80000000005</v>
      </c>
      <c r="Q1907" s="561">
        <v>284230.80000000005</v>
      </c>
    </row>
    <row r="1908" spans="1:38">
      <c r="C1908" s="561" t="s">
        <v>1197</v>
      </c>
      <c r="D1908" s="561">
        <v>327474.34600000002</v>
      </c>
      <c r="E1908" s="561">
        <v>102000</v>
      </c>
      <c r="F1908" s="561">
        <v>225474.34600000002</v>
      </c>
      <c r="G1908" s="561">
        <v>5957</v>
      </c>
      <c r="H1908" s="561">
        <v>341009.24300000002</v>
      </c>
      <c r="I1908" s="561">
        <v>39</v>
      </c>
      <c r="J1908" s="561">
        <v>12947.55</v>
      </c>
      <c r="K1908" s="561">
        <v>5918</v>
      </c>
      <c r="L1908" s="561">
        <v>327474.34600000002</v>
      </c>
      <c r="M1908" s="561">
        <v>327474.34600000002</v>
      </c>
      <c r="N1908" s="561">
        <v>102000</v>
      </c>
      <c r="Q1908" s="561">
        <v>225474.34600000002</v>
      </c>
      <c r="AL1908" s="561">
        <v>225474.34600000002</v>
      </c>
    </row>
    <row r="1909" spans="1:38">
      <c r="C1909" s="561" t="s">
        <v>1198</v>
      </c>
      <c r="L1909" s="561">
        <v>0</v>
      </c>
      <c r="N1909" s="561">
        <v>0</v>
      </c>
    </row>
    <row r="1910" spans="1:38">
      <c r="C1910" s="561" t="s">
        <v>1199</v>
      </c>
      <c r="D1910" s="561">
        <v>78350.653999999995</v>
      </c>
      <c r="E1910" s="561">
        <v>19594.2</v>
      </c>
      <c r="F1910" s="561">
        <v>58756.453999999998</v>
      </c>
      <c r="G1910" s="561">
        <v>5908</v>
      </c>
      <c r="H1910" s="561">
        <v>79692.076000000001</v>
      </c>
      <c r="I1910" s="561">
        <v>71</v>
      </c>
      <c r="J1910" s="561">
        <v>1341.422</v>
      </c>
      <c r="K1910" s="561">
        <v>5837</v>
      </c>
      <c r="L1910" s="561">
        <v>78350.653999999995</v>
      </c>
      <c r="M1910" s="561">
        <v>78350.653999999995</v>
      </c>
      <c r="N1910" s="561">
        <v>19594.2</v>
      </c>
      <c r="P1910" s="561">
        <v>58756.453999999998</v>
      </c>
      <c r="Q1910" s="561">
        <v>58756.453999999998</v>
      </c>
    </row>
    <row r="1911" spans="1:38">
      <c r="C1911" s="561" t="s">
        <v>1200</v>
      </c>
      <c r="L1911" s="561">
        <v>0</v>
      </c>
      <c r="N1911" s="561">
        <v>0</v>
      </c>
    </row>
    <row r="1912" spans="1:38">
      <c r="A1912" s="561">
        <v>63</v>
      </c>
      <c r="B1912" s="561" t="s">
        <v>1484</v>
      </c>
      <c r="C1912" s="561" t="s">
        <v>1206</v>
      </c>
      <c r="D1912" s="561">
        <v>66740.491999999998</v>
      </c>
      <c r="E1912" s="561">
        <v>20305.5</v>
      </c>
      <c r="F1912" s="561">
        <v>46434.991999999998</v>
      </c>
      <c r="G1912" s="561">
        <v>2117</v>
      </c>
      <c r="H1912" s="561">
        <v>68733.042000000001</v>
      </c>
      <c r="I1912" s="561">
        <v>24</v>
      </c>
      <c r="J1912" s="561">
        <v>1992.5500000000002</v>
      </c>
      <c r="K1912" s="561">
        <v>2093</v>
      </c>
      <c r="L1912" s="561">
        <v>66740.491999999998</v>
      </c>
      <c r="M1912" s="561">
        <v>66740.491999999998</v>
      </c>
      <c r="N1912" s="561">
        <v>20305.5</v>
      </c>
      <c r="O1912" s="561">
        <v>0</v>
      </c>
      <c r="P1912" s="561">
        <v>46434.991999999998</v>
      </c>
      <c r="Q1912" s="561">
        <v>46434.991999999998</v>
      </c>
    </row>
    <row r="1913" spans="1:38">
      <c r="C1913" s="561" t="s">
        <v>1197</v>
      </c>
      <c r="D1913" s="561">
        <v>48542.184999999998</v>
      </c>
      <c r="E1913" s="561">
        <v>15600</v>
      </c>
      <c r="F1913" s="561">
        <v>32942.184999999998</v>
      </c>
      <c r="G1913" s="561">
        <v>747</v>
      </c>
      <c r="H1913" s="561">
        <v>49596.421999999999</v>
      </c>
      <c r="I1913" s="561">
        <v>3</v>
      </c>
      <c r="J1913" s="561">
        <v>1054.2370000000001</v>
      </c>
      <c r="K1913" s="561">
        <v>744</v>
      </c>
      <c r="L1913" s="561">
        <v>48542.184999999998</v>
      </c>
      <c r="M1913" s="561">
        <v>48542.184999999998</v>
      </c>
      <c r="N1913" s="561">
        <v>15600</v>
      </c>
      <c r="Q1913" s="561">
        <v>32942.184999999998</v>
      </c>
      <c r="AL1913" s="561">
        <v>32942.184999999998</v>
      </c>
    </row>
    <row r="1914" spans="1:38">
      <c r="C1914" s="561" t="s">
        <v>1198</v>
      </c>
      <c r="L1914" s="561">
        <v>0</v>
      </c>
      <c r="N1914" s="561">
        <v>0</v>
      </c>
    </row>
    <row r="1915" spans="1:38">
      <c r="C1915" s="561" t="s">
        <v>1199</v>
      </c>
      <c r="D1915" s="561">
        <v>18198.307000000001</v>
      </c>
      <c r="E1915" s="561">
        <v>4705.5</v>
      </c>
      <c r="F1915" s="561">
        <v>13492.807000000001</v>
      </c>
      <c r="G1915" s="561">
        <v>1370</v>
      </c>
      <c r="H1915" s="561">
        <v>19136.62</v>
      </c>
      <c r="I1915" s="561">
        <v>21</v>
      </c>
      <c r="J1915" s="561">
        <v>938.31299999999999</v>
      </c>
      <c r="K1915" s="561">
        <v>1349</v>
      </c>
      <c r="L1915" s="561">
        <v>18198.307000000001</v>
      </c>
      <c r="M1915" s="561">
        <v>18198.307000000001</v>
      </c>
      <c r="N1915" s="561">
        <v>4705.5</v>
      </c>
      <c r="P1915" s="561">
        <v>13492.807000000001</v>
      </c>
      <c r="Q1915" s="561">
        <v>13492.807000000001</v>
      </c>
    </row>
    <row r="1916" spans="1:38">
      <c r="C1916" s="561" t="s">
        <v>1200</v>
      </c>
      <c r="L1916" s="561">
        <v>0</v>
      </c>
      <c r="N1916" s="561">
        <v>0</v>
      </c>
    </row>
    <row r="1917" spans="1:38">
      <c r="A1917" s="561">
        <v>64</v>
      </c>
      <c r="B1917" s="561" t="s">
        <v>1485</v>
      </c>
      <c r="C1917" s="561" t="s">
        <v>1206</v>
      </c>
      <c r="D1917" s="561">
        <v>44675.362000000001</v>
      </c>
      <c r="E1917" s="561">
        <v>13629.6</v>
      </c>
      <c r="F1917" s="561">
        <v>31045.761999999999</v>
      </c>
      <c r="G1917" s="561">
        <v>1424</v>
      </c>
      <c r="H1917" s="561">
        <v>46983.428</v>
      </c>
      <c r="I1917" s="561">
        <v>17</v>
      </c>
      <c r="J1917" s="561">
        <v>2308.0660000000003</v>
      </c>
      <c r="K1917" s="561">
        <v>1407</v>
      </c>
      <c r="L1917" s="561">
        <v>44675.362000000001</v>
      </c>
      <c r="M1917" s="561">
        <v>44675.362000000001</v>
      </c>
      <c r="N1917" s="561">
        <v>13629.6</v>
      </c>
      <c r="O1917" s="561">
        <v>0</v>
      </c>
      <c r="P1917" s="561">
        <v>31045.761999999999</v>
      </c>
      <c r="Q1917" s="561">
        <v>31045.761999999999</v>
      </c>
    </row>
    <row r="1918" spans="1:38">
      <c r="C1918" s="561" t="s">
        <v>1197</v>
      </c>
      <c r="D1918" s="561">
        <v>33537.510999999999</v>
      </c>
      <c r="E1918" s="561">
        <v>10680</v>
      </c>
      <c r="F1918" s="561">
        <v>22857.510999999999</v>
      </c>
      <c r="G1918" s="561">
        <v>562</v>
      </c>
      <c r="H1918" s="561">
        <v>35419.131999999998</v>
      </c>
      <c r="I1918" s="561">
        <v>4</v>
      </c>
      <c r="J1918" s="561">
        <v>1881.6210000000001</v>
      </c>
      <c r="K1918" s="561">
        <v>558</v>
      </c>
      <c r="L1918" s="561">
        <v>33537.510999999999</v>
      </c>
      <c r="M1918" s="561">
        <v>33537.510999999999</v>
      </c>
      <c r="N1918" s="561">
        <v>10680</v>
      </c>
      <c r="Q1918" s="561">
        <v>22857.510999999999</v>
      </c>
      <c r="AL1918" s="561">
        <v>22857.510999999999</v>
      </c>
    </row>
    <row r="1919" spans="1:38">
      <c r="C1919" s="561" t="s">
        <v>1198</v>
      </c>
      <c r="L1919" s="561">
        <v>0</v>
      </c>
      <c r="N1919" s="561">
        <v>0</v>
      </c>
    </row>
    <row r="1920" spans="1:38">
      <c r="C1920" s="561" t="s">
        <v>1199</v>
      </c>
      <c r="D1920" s="561">
        <v>11137.851000000001</v>
      </c>
      <c r="E1920" s="561">
        <v>2949.6</v>
      </c>
      <c r="F1920" s="561">
        <v>8188.2510000000002</v>
      </c>
      <c r="G1920" s="561">
        <v>862</v>
      </c>
      <c r="H1920" s="561">
        <v>11564.296</v>
      </c>
      <c r="I1920" s="561">
        <v>13</v>
      </c>
      <c r="J1920" s="561">
        <v>426.44499999999999</v>
      </c>
      <c r="K1920" s="561">
        <v>849</v>
      </c>
      <c r="L1920" s="561">
        <v>11137.851000000001</v>
      </c>
      <c r="M1920" s="561">
        <v>11137.851000000001</v>
      </c>
      <c r="N1920" s="561">
        <v>2949.6</v>
      </c>
      <c r="P1920" s="561">
        <v>8188.2510000000002</v>
      </c>
      <c r="Q1920" s="561">
        <v>8188.2510000000002</v>
      </c>
    </row>
    <row r="1921" spans="1:38">
      <c r="C1921" s="561" t="s">
        <v>1200</v>
      </c>
      <c r="L1921" s="561">
        <v>0</v>
      </c>
      <c r="N1921" s="561">
        <v>0</v>
      </c>
    </row>
    <row r="1922" spans="1:38">
      <c r="A1922" s="561">
        <v>65</v>
      </c>
      <c r="B1922" s="561" t="s">
        <v>1486</v>
      </c>
      <c r="C1922" s="561" t="s">
        <v>1206</v>
      </c>
      <c r="D1922" s="561">
        <v>107495</v>
      </c>
      <c r="E1922" s="561">
        <v>30913.8</v>
      </c>
      <c r="F1922" s="561">
        <v>76581.2</v>
      </c>
      <c r="G1922" s="561">
        <v>2520</v>
      </c>
      <c r="H1922" s="561">
        <v>107446.974</v>
      </c>
      <c r="I1922" s="561">
        <v>7</v>
      </c>
      <c r="J1922" s="561">
        <v>3014.5549999999998</v>
      </c>
      <c r="K1922" s="561">
        <v>2513</v>
      </c>
      <c r="L1922" s="561">
        <v>107495</v>
      </c>
      <c r="M1922" s="561">
        <v>107495</v>
      </c>
      <c r="N1922" s="561">
        <v>30913.8</v>
      </c>
      <c r="O1922" s="561">
        <v>0</v>
      </c>
      <c r="P1922" s="561">
        <v>76581.2</v>
      </c>
      <c r="Q1922" s="561">
        <v>76581.2</v>
      </c>
    </row>
    <row r="1923" spans="1:38">
      <c r="C1923" s="561" t="s">
        <v>1197</v>
      </c>
      <c r="D1923" s="561">
        <v>89178.725999999995</v>
      </c>
      <c r="E1923" s="561">
        <v>26700</v>
      </c>
      <c r="F1923" s="561">
        <v>62478.725999999995</v>
      </c>
      <c r="G1923" s="561">
        <v>1304</v>
      </c>
      <c r="H1923" s="561">
        <v>87573.173999999999</v>
      </c>
      <c r="I1923" s="561">
        <v>4</v>
      </c>
      <c r="J1923" s="561">
        <v>2710.5439999999999</v>
      </c>
      <c r="K1923" s="561">
        <v>1300</v>
      </c>
      <c r="L1923" s="561">
        <v>89178.725999999995</v>
      </c>
      <c r="M1923" s="561">
        <v>89178.725999999995</v>
      </c>
      <c r="N1923" s="561">
        <v>26700</v>
      </c>
      <c r="Q1923" s="561">
        <v>62478.725999999995</v>
      </c>
      <c r="AL1923" s="561">
        <v>62478.725999999995</v>
      </c>
    </row>
    <row r="1924" spans="1:38">
      <c r="C1924" s="561" t="s">
        <v>1198</v>
      </c>
      <c r="L1924" s="561">
        <v>0</v>
      </c>
      <c r="N1924" s="561">
        <v>0</v>
      </c>
    </row>
    <row r="1925" spans="1:38">
      <c r="C1925" s="561" t="s">
        <v>1199</v>
      </c>
      <c r="D1925" s="561">
        <v>18316.274000000001</v>
      </c>
      <c r="E1925" s="561">
        <v>4213.8</v>
      </c>
      <c r="F1925" s="561">
        <v>14102.474000000002</v>
      </c>
      <c r="G1925" s="561">
        <v>1216</v>
      </c>
      <c r="H1925" s="561">
        <v>19873.8</v>
      </c>
      <c r="I1925" s="561">
        <v>3</v>
      </c>
      <c r="J1925" s="561">
        <v>304.01100000000002</v>
      </c>
      <c r="K1925" s="561">
        <v>1213</v>
      </c>
      <c r="L1925" s="561">
        <v>18316.274000000001</v>
      </c>
      <c r="M1925" s="561">
        <v>18316.274000000001</v>
      </c>
      <c r="N1925" s="561">
        <v>4213.8</v>
      </c>
      <c r="P1925" s="561">
        <v>14102.474000000002</v>
      </c>
      <c r="Q1925" s="561">
        <v>14102.474000000002</v>
      </c>
    </row>
    <row r="1926" spans="1:38">
      <c r="C1926" s="561" t="s">
        <v>1200</v>
      </c>
      <c r="L1926" s="561">
        <v>0</v>
      </c>
      <c r="N1926" s="561">
        <v>0</v>
      </c>
    </row>
    <row r="1927" spans="1:38">
      <c r="A1927" s="561">
        <v>66</v>
      </c>
      <c r="B1927" s="561" t="s">
        <v>1487</v>
      </c>
      <c r="C1927" s="561" t="s">
        <v>1206</v>
      </c>
      <c r="D1927" s="561">
        <v>235208.80000000002</v>
      </c>
      <c r="E1927" s="561">
        <v>67125.3</v>
      </c>
      <c r="F1927" s="561">
        <v>168083.50000000003</v>
      </c>
      <c r="G1927" s="561">
        <v>4923</v>
      </c>
      <c r="H1927" s="561">
        <v>243769.764</v>
      </c>
      <c r="I1927" s="561">
        <v>24</v>
      </c>
      <c r="J1927" s="561">
        <v>7213.9849999999997</v>
      </c>
      <c r="K1927" s="561">
        <v>4899</v>
      </c>
      <c r="L1927" s="561">
        <v>235208.80000000002</v>
      </c>
      <c r="M1927" s="561">
        <v>235208.80000000002</v>
      </c>
      <c r="N1927" s="561">
        <v>67125.3</v>
      </c>
      <c r="O1927" s="561">
        <v>0</v>
      </c>
      <c r="P1927" s="561">
        <v>168083.50000000003</v>
      </c>
      <c r="Q1927" s="561">
        <v>168083.50000000003</v>
      </c>
    </row>
    <row r="1928" spans="1:38">
      <c r="C1928" s="561" t="s">
        <v>1197</v>
      </c>
      <c r="D1928" s="561">
        <v>199298.82800000001</v>
      </c>
      <c r="E1928" s="561">
        <v>59400</v>
      </c>
      <c r="F1928" s="561">
        <v>139898.82800000001</v>
      </c>
      <c r="G1928" s="561">
        <v>2958</v>
      </c>
      <c r="H1928" s="561">
        <v>206385.266</v>
      </c>
      <c r="I1928" s="561">
        <v>7</v>
      </c>
      <c r="J1928" s="561">
        <v>6671.107</v>
      </c>
      <c r="K1928" s="561">
        <v>2951</v>
      </c>
      <c r="L1928" s="561">
        <v>199298.82800000001</v>
      </c>
      <c r="M1928" s="561">
        <v>199298.82800000001</v>
      </c>
      <c r="N1928" s="561">
        <v>59400</v>
      </c>
      <c r="Q1928" s="561">
        <v>139898.82800000001</v>
      </c>
      <c r="AL1928" s="561">
        <v>139898.82800000001</v>
      </c>
    </row>
    <row r="1929" spans="1:38">
      <c r="C1929" s="561" t="s">
        <v>1198</v>
      </c>
      <c r="L1929" s="561">
        <v>0</v>
      </c>
      <c r="N1929" s="561">
        <v>0</v>
      </c>
    </row>
    <row r="1930" spans="1:38">
      <c r="C1930" s="561" t="s">
        <v>1199</v>
      </c>
      <c r="D1930" s="561">
        <v>33251</v>
      </c>
      <c r="E1930" s="561">
        <v>7725.3</v>
      </c>
      <c r="F1930" s="561">
        <v>25525.7</v>
      </c>
      <c r="G1930" s="561">
        <v>1965</v>
      </c>
      <c r="H1930" s="561">
        <v>34141.85</v>
      </c>
      <c r="I1930" s="561">
        <v>17</v>
      </c>
      <c r="J1930" s="561">
        <v>542.87800000000004</v>
      </c>
      <c r="K1930" s="561">
        <v>1948</v>
      </c>
      <c r="L1930" s="561">
        <v>33251</v>
      </c>
      <c r="M1930" s="561">
        <v>33251</v>
      </c>
      <c r="N1930" s="561">
        <v>7725.3</v>
      </c>
      <c r="P1930" s="561">
        <v>25525.7</v>
      </c>
      <c r="Q1930" s="561">
        <v>25525.7</v>
      </c>
    </row>
    <row r="1931" spans="1:38">
      <c r="C1931" s="561" t="s">
        <v>1200</v>
      </c>
      <c r="L1931" s="561">
        <v>0</v>
      </c>
      <c r="M1931" s="561">
        <v>0</v>
      </c>
      <c r="N1931" s="561">
        <v>0</v>
      </c>
    </row>
    <row r="1932" spans="1:38">
      <c r="C1932" s="561" t="s">
        <v>1202</v>
      </c>
      <c r="D1932" s="561">
        <v>2658.9720000000002</v>
      </c>
      <c r="F1932" s="561">
        <v>2658.9720000000002</v>
      </c>
      <c r="G1932" s="561">
        <v>0</v>
      </c>
      <c r="H1932" s="561">
        <v>3242.6480000000001</v>
      </c>
      <c r="I1932" s="561">
        <v>0</v>
      </c>
      <c r="J1932" s="561">
        <v>0</v>
      </c>
      <c r="K1932" s="561">
        <v>0</v>
      </c>
      <c r="L1932" s="561">
        <v>2658.9720000000002</v>
      </c>
      <c r="M1932" s="561">
        <v>2658.9720000000002</v>
      </c>
      <c r="P1932" s="561">
        <v>2658.9720000000002</v>
      </c>
      <c r="Q1932" s="561">
        <v>2658.9720000000002</v>
      </c>
    </row>
    <row r="1933" spans="1:38">
      <c r="A1933" s="561">
        <v>67</v>
      </c>
      <c r="B1933" s="561" t="s">
        <v>1488</v>
      </c>
      <c r="C1933" s="561" t="s">
        <v>1206</v>
      </c>
      <c r="D1933" s="561">
        <v>142223</v>
      </c>
      <c r="E1933" s="561">
        <v>42475.199999999997</v>
      </c>
      <c r="F1933" s="561">
        <v>99747.799999999988</v>
      </c>
      <c r="G1933" s="561">
        <v>2653</v>
      </c>
      <c r="H1933" s="561">
        <v>147559.38800000001</v>
      </c>
      <c r="I1933" s="561">
        <v>10</v>
      </c>
      <c r="J1933" s="561">
        <v>5287.5300000000007</v>
      </c>
      <c r="K1933" s="561">
        <v>2643</v>
      </c>
      <c r="L1933" s="561">
        <v>142223</v>
      </c>
      <c r="M1933" s="561">
        <v>142223</v>
      </c>
      <c r="N1933" s="561">
        <v>42475.199999999997</v>
      </c>
      <c r="O1933" s="561">
        <v>0</v>
      </c>
      <c r="P1933" s="561">
        <v>99747.799999999988</v>
      </c>
      <c r="Q1933" s="561">
        <v>99747.799999999988</v>
      </c>
    </row>
    <row r="1934" spans="1:38">
      <c r="C1934" s="561" t="s">
        <v>1197</v>
      </c>
      <c r="D1934" s="561">
        <v>132677.81299999999</v>
      </c>
      <c r="E1934" s="561">
        <v>40860</v>
      </c>
      <c r="F1934" s="561">
        <v>91817.812999999995</v>
      </c>
      <c r="G1934" s="561">
        <v>2109</v>
      </c>
      <c r="H1934" s="561">
        <v>137837.75700000001</v>
      </c>
      <c r="I1934" s="561">
        <v>6</v>
      </c>
      <c r="J1934" s="561">
        <v>5111.0860000000002</v>
      </c>
      <c r="K1934" s="561">
        <v>2103</v>
      </c>
      <c r="L1934" s="561">
        <v>132677.81299999999</v>
      </c>
      <c r="M1934" s="561">
        <v>132677.81299999999</v>
      </c>
      <c r="N1934" s="561">
        <v>40860</v>
      </c>
      <c r="Q1934" s="561">
        <v>91817.812999999995</v>
      </c>
      <c r="AL1934" s="561">
        <v>91817.812999999995</v>
      </c>
    </row>
    <row r="1935" spans="1:38">
      <c r="C1935" s="561" t="s">
        <v>1198</v>
      </c>
      <c r="L1935" s="561">
        <v>0</v>
      </c>
      <c r="N1935" s="561">
        <v>0</v>
      </c>
    </row>
    <row r="1936" spans="1:38">
      <c r="C1936" s="561" t="s">
        <v>1199</v>
      </c>
      <c r="D1936" s="561">
        <v>9545.1869999999999</v>
      </c>
      <c r="E1936" s="561">
        <v>1615.2</v>
      </c>
      <c r="F1936" s="561">
        <v>7929.9870000000001</v>
      </c>
      <c r="G1936" s="561">
        <v>544</v>
      </c>
      <c r="H1936" s="561">
        <v>9721.6309999999994</v>
      </c>
      <c r="I1936" s="561">
        <v>4</v>
      </c>
      <c r="J1936" s="561">
        <v>176.44399999999999</v>
      </c>
      <c r="K1936" s="561">
        <v>540</v>
      </c>
      <c r="L1936" s="561">
        <v>9545.1869999999999</v>
      </c>
      <c r="M1936" s="561">
        <v>9545.1869999999999</v>
      </c>
      <c r="N1936" s="561">
        <v>1615.2</v>
      </c>
      <c r="P1936" s="561">
        <v>7929.9870000000001</v>
      </c>
      <c r="Q1936" s="561">
        <v>7929.9870000000001</v>
      </c>
    </row>
    <row r="1937" spans="1:38">
      <c r="C1937" s="561" t="s">
        <v>1200</v>
      </c>
      <c r="L1937" s="561">
        <v>0</v>
      </c>
      <c r="N1937" s="561">
        <v>0</v>
      </c>
    </row>
    <row r="1938" spans="1:38">
      <c r="A1938" s="561">
        <v>68</v>
      </c>
      <c r="B1938" s="561" t="s">
        <v>1489</v>
      </c>
      <c r="C1938" s="561" t="s">
        <v>1206</v>
      </c>
      <c r="D1938" s="561">
        <v>72584</v>
      </c>
      <c r="E1938" s="561">
        <v>21583.5</v>
      </c>
      <c r="F1938" s="561">
        <v>51000.5</v>
      </c>
      <c r="G1938" s="561">
        <v>1735</v>
      </c>
      <c r="H1938" s="561">
        <v>75199.724999999991</v>
      </c>
      <c r="I1938" s="561">
        <v>8</v>
      </c>
      <c r="J1938" s="561">
        <v>2614.8820000000001</v>
      </c>
      <c r="K1938" s="561">
        <v>1727</v>
      </c>
      <c r="L1938" s="561">
        <v>72584</v>
      </c>
      <c r="M1938" s="561">
        <v>72584</v>
      </c>
      <c r="N1938" s="561">
        <v>21583.5</v>
      </c>
      <c r="O1938" s="561">
        <v>0</v>
      </c>
      <c r="P1938" s="561">
        <v>51000.5</v>
      </c>
      <c r="Q1938" s="561">
        <v>51000.5</v>
      </c>
    </row>
    <row r="1939" spans="1:38">
      <c r="C1939" s="561" t="s">
        <v>1197</v>
      </c>
      <c r="D1939" s="561">
        <v>62019.249000000003</v>
      </c>
      <c r="E1939" s="561">
        <v>19020</v>
      </c>
      <c r="F1939" s="561">
        <v>42999.249000000003</v>
      </c>
      <c r="G1939" s="561">
        <v>1013</v>
      </c>
      <c r="H1939" s="561">
        <v>64102.52</v>
      </c>
      <c r="I1939" s="561">
        <v>5</v>
      </c>
      <c r="J1939" s="561">
        <v>2098.431</v>
      </c>
      <c r="K1939" s="561">
        <v>1008</v>
      </c>
      <c r="L1939" s="561">
        <v>62019.249000000003</v>
      </c>
      <c r="M1939" s="561">
        <v>62019.249000000003</v>
      </c>
      <c r="N1939" s="561">
        <v>19020</v>
      </c>
      <c r="Q1939" s="561">
        <v>42999.249000000003</v>
      </c>
      <c r="AL1939" s="561">
        <v>42999.249000000003</v>
      </c>
    </row>
    <row r="1940" spans="1:38">
      <c r="C1940" s="561" t="s">
        <v>1198</v>
      </c>
      <c r="G1940" s="561">
        <v>1</v>
      </c>
      <c r="H1940" s="561">
        <v>287.41399999999999</v>
      </c>
      <c r="I1940" s="561">
        <v>1</v>
      </c>
      <c r="J1940" s="561">
        <v>287.41399999999999</v>
      </c>
      <c r="K1940" s="561">
        <v>0</v>
      </c>
      <c r="L1940" s="561">
        <v>0</v>
      </c>
      <c r="N1940" s="561">
        <v>0</v>
      </c>
    </row>
    <row r="1941" spans="1:38">
      <c r="C1941" s="561" t="s">
        <v>1199</v>
      </c>
      <c r="D1941" s="561">
        <v>10564.751</v>
      </c>
      <c r="E1941" s="561">
        <v>2563.5</v>
      </c>
      <c r="F1941" s="561">
        <v>8001.2510000000002</v>
      </c>
      <c r="G1941" s="561">
        <v>721</v>
      </c>
      <c r="H1941" s="561">
        <v>10809.790999999999</v>
      </c>
      <c r="I1941" s="561">
        <v>2</v>
      </c>
      <c r="J1941" s="561">
        <v>229.03700000000001</v>
      </c>
      <c r="K1941" s="561">
        <v>719</v>
      </c>
      <c r="L1941" s="561">
        <v>10564.751</v>
      </c>
      <c r="M1941" s="561">
        <v>10564.751</v>
      </c>
      <c r="N1941" s="561">
        <v>2563.5</v>
      </c>
      <c r="P1941" s="561">
        <v>8001.2510000000002</v>
      </c>
      <c r="Q1941" s="561">
        <v>8001.2510000000002</v>
      </c>
    </row>
    <row r="1942" spans="1:38">
      <c r="C1942" s="561" t="s">
        <v>1200</v>
      </c>
      <c r="L1942" s="561">
        <v>0</v>
      </c>
      <c r="N1942" s="561">
        <v>0</v>
      </c>
    </row>
    <row r="1943" spans="1:38">
      <c r="A1943" s="561">
        <v>69</v>
      </c>
      <c r="B1943" s="561" t="s">
        <v>1490</v>
      </c>
      <c r="C1943" s="561" t="s">
        <v>1206</v>
      </c>
      <c r="D1943" s="561">
        <v>2341</v>
      </c>
      <c r="E1943" s="561">
        <v>702.3</v>
      </c>
      <c r="F1943" s="561">
        <v>1638.7</v>
      </c>
      <c r="G1943" s="561">
        <v>156</v>
      </c>
      <c r="H1943" s="561">
        <v>2503.87</v>
      </c>
      <c r="I1943" s="561">
        <v>0</v>
      </c>
      <c r="J1943" s="561">
        <v>41.87</v>
      </c>
      <c r="K1943" s="561">
        <v>156</v>
      </c>
      <c r="L1943" s="561">
        <v>2341</v>
      </c>
      <c r="M1943" s="561">
        <v>2341</v>
      </c>
      <c r="N1943" s="561">
        <v>702.3</v>
      </c>
      <c r="O1943" s="561">
        <v>0</v>
      </c>
      <c r="P1943" s="561">
        <v>1638.7</v>
      </c>
      <c r="Q1943" s="561">
        <v>1638.7</v>
      </c>
    </row>
    <row r="1944" spans="1:38">
      <c r="C1944" s="561" t="s">
        <v>1197</v>
      </c>
      <c r="L1944" s="561">
        <v>0</v>
      </c>
      <c r="N1944" s="561">
        <v>0</v>
      </c>
    </row>
    <row r="1945" spans="1:38">
      <c r="C1945" s="561" t="s">
        <v>1198</v>
      </c>
      <c r="L1945" s="561">
        <v>0</v>
      </c>
      <c r="N1945" s="561">
        <v>0</v>
      </c>
    </row>
    <row r="1946" spans="1:38">
      <c r="C1946" s="561" t="s">
        <v>1199</v>
      </c>
      <c r="D1946" s="561">
        <v>2341</v>
      </c>
      <c r="E1946" s="561">
        <v>702.3</v>
      </c>
      <c r="F1946" s="561">
        <v>1638.7</v>
      </c>
      <c r="G1946" s="561">
        <v>156</v>
      </c>
      <c r="H1946" s="561">
        <v>2503.87</v>
      </c>
      <c r="I1946" s="561">
        <v>0</v>
      </c>
      <c r="J1946" s="561">
        <v>41.87</v>
      </c>
      <c r="K1946" s="561">
        <v>156</v>
      </c>
      <c r="L1946" s="561">
        <v>2341</v>
      </c>
      <c r="M1946" s="561">
        <v>2341</v>
      </c>
      <c r="N1946" s="561">
        <v>702.3</v>
      </c>
      <c r="P1946" s="561">
        <v>1638.7</v>
      </c>
      <c r="Q1946" s="561">
        <v>1638.7</v>
      </c>
    </row>
    <row r="1947" spans="1:38">
      <c r="C1947" s="561" t="s">
        <v>1200</v>
      </c>
      <c r="L1947" s="561">
        <v>0</v>
      </c>
      <c r="N1947" s="561">
        <v>0</v>
      </c>
    </row>
    <row r="1948" spans="1:38">
      <c r="A1948" s="561">
        <v>70</v>
      </c>
      <c r="B1948" s="561" t="s">
        <v>1491</v>
      </c>
      <c r="C1948" s="561" t="s">
        <v>1206</v>
      </c>
      <c r="D1948" s="561">
        <v>255507</v>
      </c>
      <c r="E1948" s="561">
        <v>76575.600000000006</v>
      </c>
      <c r="F1948" s="561">
        <v>178931.40000000002</v>
      </c>
      <c r="G1948" s="561">
        <v>6099</v>
      </c>
      <c r="H1948" s="561">
        <v>263424</v>
      </c>
      <c r="I1948" s="561">
        <v>62</v>
      </c>
      <c r="J1948" s="561">
        <v>7701.0830000000005</v>
      </c>
      <c r="K1948" s="561">
        <v>6037</v>
      </c>
      <c r="L1948" s="561">
        <v>255507</v>
      </c>
      <c r="M1948" s="561">
        <v>255507</v>
      </c>
      <c r="N1948" s="561">
        <v>76575.600000000006</v>
      </c>
      <c r="O1948" s="561">
        <v>0</v>
      </c>
      <c r="P1948" s="561">
        <v>178931.40000000002</v>
      </c>
      <c r="Q1948" s="561">
        <v>178931.40000000002</v>
      </c>
    </row>
    <row r="1949" spans="1:38">
      <c r="C1949" s="561" t="s">
        <v>1197</v>
      </c>
      <c r="D1949" s="561">
        <v>218546.42300000001</v>
      </c>
      <c r="E1949" s="561">
        <v>67200</v>
      </c>
      <c r="F1949" s="561">
        <v>151346.42300000001</v>
      </c>
      <c r="G1949" s="561">
        <v>3530</v>
      </c>
      <c r="H1949" s="561">
        <v>225643.391</v>
      </c>
      <c r="I1949" s="561">
        <v>12</v>
      </c>
      <c r="J1949" s="561">
        <v>6881.0510000000004</v>
      </c>
      <c r="K1949" s="561">
        <v>3518</v>
      </c>
      <c r="L1949" s="561">
        <v>218546.42300000001</v>
      </c>
      <c r="M1949" s="561">
        <v>218546.42300000001</v>
      </c>
      <c r="N1949" s="561">
        <v>67200</v>
      </c>
      <c r="Q1949" s="561">
        <v>151346.42300000001</v>
      </c>
      <c r="AL1949" s="561">
        <v>151346.42300000001</v>
      </c>
    </row>
    <row r="1950" spans="1:38">
      <c r="C1950" s="561" t="s">
        <v>1198</v>
      </c>
      <c r="L1950" s="561">
        <v>0</v>
      </c>
      <c r="N1950" s="561">
        <v>0</v>
      </c>
    </row>
    <row r="1951" spans="1:38">
      <c r="C1951" s="561" t="s">
        <v>1199</v>
      </c>
      <c r="D1951" s="561">
        <v>36960.576999999997</v>
      </c>
      <c r="E1951" s="561">
        <v>9375.6</v>
      </c>
      <c r="F1951" s="561">
        <v>27584.976999999999</v>
      </c>
      <c r="G1951" s="561">
        <v>2569</v>
      </c>
      <c r="H1951" s="561">
        <v>37780.608999999997</v>
      </c>
      <c r="I1951" s="561">
        <v>50</v>
      </c>
      <c r="J1951" s="561">
        <v>820.03200000000004</v>
      </c>
      <c r="K1951" s="561">
        <v>2519</v>
      </c>
      <c r="L1951" s="561">
        <v>36960.576999999997</v>
      </c>
      <c r="M1951" s="561">
        <v>36960.576999999997</v>
      </c>
      <c r="N1951" s="561">
        <v>9375.6</v>
      </c>
      <c r="P1951" s="561">
        <v>27584.976999999999</v>
      </c>
      <c r="Q1951" s="561">
        <v>27584.976999999999</v>
      </c>
    </row>
    <row r="1952" spans="1:38">
      <c r="C1952" s="561" t="s">
        <v>1200</v>
      </c>
      <c r="L1952" s="561">
        <v>0</v>
      </c>
      <c r="N1952" s="561">
        <v>0</v>
      </c>
    </row>
    <row r="1953" spans="1:111">
      <c r="A1953" s="561">
        <v>71</v>
      </c>
      <c r="B1953" s="561" t="s">
        <v>1492</v>
      </c>
      <c r="C1953" s="561" t="s">
        <v>1206</v>
      </c>
      <c r="D1953" s="561">
        <v>186711</v>
      </c>
      <c r="E1953" s="561">
        <v>53236.800000000003</v>
      </c>
      <c r="F1953" s="561">
        <v>133474.20000000001</v>
      </c>
      <c r="G1953" s="561">
        <v>5423</v>
      </c>
      <c r="H1953" s="561">
        <v>193756.48300000001</v>
      </c>
      <c r="I1953" s="561">
        <v>67</v>
      </c>
      <c r="J1953" s="561">
        <v>7047.69</v>
      </c>
      <c r="K1953" s="561">
        <v>5356</v>
      </c>
      <c r="L1953" s="561">
        <v>186711</v>
      </c>
      <c r="M1953" s="561">
        <v>186711</v>
      </c>
      <c r="N1953" s="561">
        <v>53236.800000000003</v>
      </c>
      <c r="O1953" s="561">
        <v>0</v>
      </c>
      <c r="P1953" s="561">
        <v>133474.20000000001</v>
      </c>
      <c r="Q1953" s="561">
        <v>133474.20000000001</v>
      </c>
    </row>
    <row r="1954" spans="1:111">
      <c r="C1954" s="561" t="s">
        <v>1197</v>
      </c>
      <c r="D1954" s="561">
        <v>138678.092</v>
      </c>
      <c r="E1954" s="561">
        <v>42000</v>
      </c>
      <c r="F1954" s="561">
        <v>96678.092000000004</v>
      </c>
      <c r="G1954" s="561">
        <v>2181</v>
      </c>
      <c r="H1954" s="561">
        <v>144516.337</v>
      </c>
      <c r="I1954" s="561">
        <v>16</v>
      </c>
      <c r="J1954" s="561">
        <v>5843.91</v>
      </c>
      <c r="K1954" s="561">
        <v>2165</v>
      </c>
      <c r="L1954" s="561">
        <v>138678.092</v>
      </c>
      <c r="M1954" s="561">
        <v>138678.092</v>
      </c>
      <c r="N1954" s="561">
        <v>42000</v>
      </c>
      <c r="Q1954" s="561">
        <v>96678.092000000004</v>
      </c>
      <c r="AL1954" s="561">
        <v>96678.092000000004</v>
      </c>
    </row>
    <row r="1955" spans="1:111">
      <c r="C1955" s="561" t="s">
        <v>1198</v>
      </c>
      <c r="G1955" s="561">
        <v>1</v>
      </c>
      <c r="H1955" s="561">
        <v>472.18200000000002</v>
      </c>
      <c r="I1955" s="561">
        <v>1</v>
      </c>
      <c r="J1955" s="561">
        <v>472.18200000000002</v>
      </c>
      <c r="K1955" s="561">
        <v>0</v>
      </c>
      <c r="L1955" s="561">
        <v>0</v>
      </c>
      <c r="N1955" s="561">
        <v>0</v>
      </c>
    </row>
    <row r="1956" spans="1:111">
      <c r="C1956" s="561" t="s">
        <v>1199</v>
      </c>
      <c r="D1956" s="561">
        <v>48032.908000000003</v>
      </c>
      <c r="E1956" s="561">
        <v>11236.8</v>
      </c>
      <c r="F1956" s="561">
        <v>36796.108000000007</v>
      </c>
      <c r="G1956" s="561">
        <v>3241</v>
      </c>
      <c r="H1956" s="561">
        <v>48767.964</v>
      </c>
      <c r="I1956" s="561">
        <v>50</v>
      </c>
      <c r="J1956" s="561">
        <v>731.59799999999996</v>
      </c>
      <c r="K1956" s="561">
        <v>3191</v>
      </c>
      <c r="L1956" s="561">
        <v>48032.908000000003</v>
      </c>
      <c r="M1956" s="561">
        <v>48032.908000000003</v>
      </c>
      <c r="N1956" s="561">
        <v>11236.8</v>
      </c>
      <c r="P1956" s="561">
        <v>36796.108000000007</v>
      </c>
      <c r="Q1956" s="561">
        <v>36796.108000000007</v>
      </c>
    </row>
    <row r="1957" spans="1:111">
      <c r="C1957" s="561" t="s">
        <v>1200</v>
      </c>
      <c r="L1957" s="561">
        <v>0</v>
      </c>
      <c r="N1957" s="561">
        <v>0</v>
      </c>
    </row>
    <row r="1958" spans="1:111">
      <c r="A1958" s="561">
        <v>72</v>
      </c>
      <c r="B1958" s="561" t="s">
        <v>1493</v>
      </c>
      <c r="C1958" s="561" t="s">
        <v>1494</v>
      </c>
      <c r="D1958" s="561">
        <v>34379</v>
      </c>
      <c r="E1958" s="561">
        <v>9563.7000000000007</v>
      </c>
      <c r="F1958" s="561">
        <v>24815.3</v>
      </c>
      <c r="G1958" s="561">
        <v>1168</v>
      </c>
      <c r="H1958" s="561">
        <v>38277.345999999998</v>
      </c>
      <c r="I1958" s="561">
        <v>14</v>
      </c>
      <c r="J1958" s="561">
        <v>531.34500000000003</v>
      </c>
      <c r="K1958" s="561">
        <v>1154</v>
      </c>
      <c r="L1958" s="561">
        <v>34379</v>
      </c>
      <c r="M1958" s="561">
        <v>34379</v>
      </c>
      <c r="N1958" s="561">
        <v>9563.7000000000007</v>
      </c>
      <c r="O1958" s="561">
        <v>0</v>
      </c>
      <c r="P1958" s="561">
        <v>24815.3</v>
      </c>
      <c r="Q1958" s="561">
        <v>24815.3</v>
      </c>
    </row>
    <row r="1959" spans="1:111">
      <c r="C1959" s="561" t="s">
        <v>1197</v>
      </c>
      <c r="D1959" s="561">
        <v>23100</v>
      </c>
      <c r="E1959" s="561">
        <v>6930</v>
      </c>
      <c r="F1959" s="561">
        <v>16170</v>
      </c>
      <c r="G1959" s="561">
        <v>386</v>
      </c>
      <c r="H1959" s="561">
        <v>26676.208999999999</v>
      </c>
      <c r="I1959" s="561">
        <v>2</v>
      </c>
      <c r="J1959" s="561">
        <v>325.16300000000001</v>
      </c>
      <c r="K1959" s="561">
        <v>384</v>
      </c>
      <c r="L1959" s="561">
        <v>23100</v>
      </c>
      <c r="M1959" s="561">
        <v>23100</v>
      </c>
      <c r="N1959" s="561">
        <v>6930</v>
      </c>
      <c r="Q1959" s="561">
        <v>16170</v>
      </c>
      <c r="AL1959" s="561">
        <v>16170</v>
      </c>
    </row>
    <row r="1960" spans="1:111">
      <c r="C1960" s="561" t="s">
        <v>1198</v>
      </c>
      <c r="L1960" s="561">
        <v>0</v>
      </c>
      <c r="N1960" s="561">
        <v>0</v>
      </c>
    </row>
    <row r="1961" spans="1:111">
      <c r="C1961" s="561" t="s">
        <v>1199</v>
      </c>
      <c r="D1961" s="561">
        <v>11279</v>
      </c>
      <c r="E1961" s="561">
        <v>2633.7</v>
      </c>
      <c r="F1961" s="561">
        <v>8645.2999999999993</v>
      </c>
      <c r="G1961" s="561">
        <v>782</v>
      </c>
      <c r="H1961" s="561">
        <v>11601.137000000001</v>
      </c>
      <c r="I1961" s="561">
        <v>12</v>
      </c>
      <c r="J1961" s="561">
        <v>206.18199999999999</v>
      </c>
      <c r="K1961" s="561">
        <v>770</v>
      </c>
      <c r="L1961" s="561">
        <v>11279</v>
      </c>
      <c r="M1961" s="561">
        <v>11279</v>
      </c>
      <c r="N1961" s="561">
        <v>2633.7</v>
      </c>
      <c r="P1961" s="561">
        <v>8645.2999999999993</v>
      </c>
      <c r="Q1961" s="561">
        <v>8645.2999999999993</v>
      </c>
    </row>
    <row r="1962" spans="1:111">
      <c r="C1962" s="561" t="s">
        <v>1200</v>
      </c>
      <c r="L1962" s="561">
        <v>0</v>
      </c>
      <c r="N1962" s="561">
        <v>0</v>
      </c>
    </row>
    <row r="1963" spans="1:111">
      <c r="A1963" s="1735" t="s">
        <v>1198</v>
      </c>
      <c r="B1963" s="1735"/>
      <c r="C1963" s="1735"/>
      <c r="D1963" s="1735"/>
      <c r="E1963" s="1735"/>
      <c r="F1963" s="1735"/>
      <c r="G1963" s="1735"/>
      <c r="H1963" s="1735"/>
      <c r="I1963" s="1735"/>
      <c r="J1963" s="1735"/>
      <c r="K1963" s="1735"/>
      <c r="L1963" s="1735"/>
      <c r="M1963" s="1735"/>
      <c r="N1963" s="1735"/>
      <c r="O1963" s="1735"/>
      <c r="P1963" s="1735"/>
      <c r="AL1963" s="561">
        <f>SUM(AL1964:AL2333)</f>
        <v>1029919.9480000001</v>
      </c>
      <c r="AM1963" s="561">
        <f t="shared" ref="AM1963:CX1963" si="98">SUM(AM1964:AM2333)</f>
        <v>0</v>
      </c>
      <c r="AN1963" s="561">
        <f t="shared" si="98"/>
        <v>0</v>
      </c>
      <c r="AO1963" s="561">
        <f t="shared" si="98"/>
        <v>0</v>
      </c>
      <c r="AP1963" s="561">
        <f t="shared" si="98"/>
        <v>0</v>
      </c>
      <c r="AQ1963" s="561">
        <f t="shared" si="98"/>
        <v>0</v>
      </c>
      <c r="AR1963" s="561">
        <f t="shared" si="98"/>
        <v>0</v>
      </c>
      <c r="AS1963" s="561">
        <f t="shared" si="98"/>
        <v>0</v>
      </c>
      <c r="AT1963" s="561">
        <f t="shared" si="98"/>
        <v>0</v>
      </c>
      <c r="AU1963" s="561">
        <f t="shared" si="98"/>
        <v>0</v>
      </c>
      <c r="AV1963" s="561">
        <f t="shared" si="98"/>
        <v>0</v>
      </c>
      <c r="AW1963" s="561">
        <f t="shared" si="98"/>
        <v>0</v>
      </c>
      <c r="AX1963" s="561">
        <f t="shared" si="98"/>
        <v>0</v>
      </c>
      <c r="AY1963" s="561">
        <f t="shared" si="98"/>
        <v>0</v>
      </c>
      <c r="AZ1963" s="561">
        <f t="shared" si="98"/>
        <v>0</v>
      </c>
      <c r="BA1963" s="561">
        <f t="shared" si="98"/>
        <v>0</v>
      </c>
      <c r="BB1963" s="561">
        <f t="shared" si="98"/>
        <v>0</v>
      </c>
      <c r="BC1963" s="561">
        <f t="shared" si="98"/>
        <v>0</v>
      </c>
      <c r="BD1963" s="561">
        <f t="shared" si="98"/>
        <v>0</v>
      </c>
      <c r="BE1963" s="561">
        <f t="shared" si="98"/>
        <v>0</v>
      </c>
      <c r="BF1963" s="561">
        <f t="shared" si="98"/>
        <v>0</v>
      </c>
      <c r="BG1963" s="561">
        <f t="shared" si="98"/>
        <v>0</v>
      </c>
      <c r="BH1963" s="561">
        <f t="shared" si="98"/>
        <v>0</v>
      </c>
      <c r="BI1963" s="561">
        <f t="shared" si="98"/>
        <v>0</v>
      </c>
      <c r="BJ1963" s="561">
        <f t="shared" si="98"/>
        <v>0</v>
      </c>
      <c r="BK1963" s="561">
        <f t="shared" si="98"/>
        <v>0</v>
      </c>
      <c r="BL1963" s="561">
        <f t="shared" si="98"/>
        <v>0</v>
      </c>
      <c r="BM1963" s="561">
        <f t="shared" si="98"/>
        <v>0</v>
      </c>
      <c r="BN1963" s="561">
        <f t="shared" si="98"/>
        <v>0</v>
      </c>
      <c r="BO1963" s="561">
        <f t="shared" si="98"/>
        <v>0</v>
      </c>
      <c r="BP1963" s="561">
        <f t="shared" si="98"/>
        <v>0</v>
      </c>
      <c r="BQ1963" s="561">
        <f t="shared" si="98"/>
        <v>0</v>
      </c>
      <c r="BR1963" s="561">
        <f t="shared" si="98"/>
        <v>0</v>
      </c>
      <c r="BS1963" s="561">
        <f t="shared" si="98"/>
        <v>0</v>
      </c>
      <c r="BT1963" s="561">
        <f t="shared" si="98"/>
        <v>0</v>
      </c>
      <c r="BU1963" s="561">
        <f t="shared" si="98"/>
        <v>0</v>
      </c>
      <c r="BV1963" s="561">
        <f t="shared" si="98"/>
        <v>0</v>
      </c>
      <c r="BW1963" s="561">
        <f t="shared" si="98"/>
        <v>0</v>
      </c>
      <c r="BX1963" s="561">
        <f t="shared" si="98"/>
        <v>0</v>
      </c>
      <c r="BY1963" s="561">
        <f t="shared" si="98"/>
        <v>0</v>
      </c>
      <c r="BZ1963" s="561">
        <f t="shared" si="98"/>
        <v>0</v>
      </c>
      <c r="CA1963" s="561">
        <f t="shared" si="98"/>
        <v>0</v>
      </c>
      <c r="CB1963" s="561">
        <f t="shared" si="98"/>
        <v>0</v>
      </c>
      <c r="CC1963" s="561">
        <f t="shared" si="98"/>
        <v>0</v>
      </c>
      <c r="CD1963" s="561">
        <f t="shared" si="98"/>
        <v>0</v>
      </c>
      <c r="CE1963" s="561">
        <f t="shared" si="98"/>
        <v>0</v>
      </c>
      <c r="CF1963" s="561">
        <f t="shared" si="98"/>
        <v>0</v>
      </c>
      <c r="CG1963" s="561">
        <f t="shared" si="98"/>
        <v>0</v>
      </c>
      <c r="CH1963" s="561">
        <f t="shared" si="98"/>
        <v>0</v>
      </c>
      <c r="CI1963" s="561">
        <f t="shared" si="98"/>
        <v>0</v>
      </c>
      <c r="CJ1963" s="561">
        <f t="shared" si="98"/>
        <v>0</v>
      </c>
      <c r="CK1963" s="561">
        <f t="shared" si="98"/>
        <v>0</v>
      </c>
      <c r="CL1963" s="561">
        <f t="shared" si="98"/>
        <v>0</v>
      </c>
      <c r="CM1963" s="561">
        <f t="shared" si="98"/>
        <v>0</v>
      </c>
      <c r="CN1963" s="561">
        <f t="shared" si="98"/>
        <v>0</v>
      </c>
      <c r="CO1963" s="561">
        <f t="shared" si="98"/>
        <v>0</v>
      </c>
      <c r="CP1963" s="561">
        <f t="shared" si="98"/>
        <v>0</v>
      </c>
      <c r="CQ1963" s="561">
        <f t="shared" si="98"/>
        <v>0</v>
      </c>
      <c r="CR1963" s="561">
        <f t="shared" si="98"/>
        <v>0</v>
      </c>
      <c r="CS1963" s="561">
        <f t="shared" si="98"/>
        <v>0</v>
      </c>
      <c r="CT1963" s="561">
        <f t="shared" si="98"/>
        <v>0</v>
      </c>
      <c r="CU1963" s="561">
        <f t="shared" si="98"/>
        <v>0</v>
      </c>
      <c r="CV1963" s="561">
        <f t="shared" si="98"/>
        <v>0</v>
      </c>
      <c r="CW1963" s="561">
        <f t="shared" si="98"/>
        <v>0</v>
      </c>
      <c r="CX1963" s="561">
        <f t="shared" si="98"/>
        <v>0</v>
      </c>
      <c r="CY1963" s="561">
        <f t="shared" ref="CY1963:DG1963" si="99">SUM(CY1964:CY2333)</f>
        <v>0</v>
      </c>
      <c r="CZ1963" s="561">
        <f t="shared" si="99"/>
        <v>0</v>
      </c>
      <c r="DA1963" s="561">
        <f t="shared" si="99"/>
        <v>0</v>
      </c>
      <c r="DB1963" s="561">
        <f t="shared" si="99"/>
        <v>53647.67</v>
      </c>
      <c r="DC1963" s="561">
        <f t="shared" si="99"/>
        <v>0</v>
      </c>
      <c r="DD1963" s="561">
        <f t="shared" si="99"/>
        <v>0</v>
      </c>
      <c r="DE1963" s="561">
        <f t="shared" si="99"/>
        <v>0</v>
      </c>
      <c r="DF1963" s="561">
        <f t="shared" si="99"/>
        <v>0</v>
      </c>
      <c r="DG1963" s="561">
        <f t="shared" si="99"/>
        <v>0</v>
      </c>
    </row>
    <row r="1964" spans="1:111">
      <c r="A1964" s="561">
        <v>1</v>
      </c>
      <c r="B1964" s="561" t="s">
        <v>1421</v>
      </c>
      <c r="C1964" s="561" t="s">
        <v>1206</v>
      </c>
      <c r="D1964" s="561">
        <v>2010025.9999999998</v>
      </c>
      <c r="E1964" s="561">
        <v>421500</v>
      </c>
      <c r="F1964" s="561">
        <v>1588525.9999999998</v>
      </c>
      <c r="G1964" s="561">
        <v>10796</v>
      </c>
      <c r="H1964" s="561">
        <v>2060409.4909999999</v>
      </c>
      <c r="I1964" s="561">
        <v>72</v>
      </c>
      <c r="J1964" s="561">
        <v>49284.84</v>
      </c>
      <c r="K1964" s="561">
        <v>10724</v>
      </c>
      <c r="L1964" s="561">
        <v>2010025.9999999998</v>
      </c>
      <c r="M1964" s="561">
        <v>2010025.9999999998</v>
      </c>
      <c r="N1964" s="561">
        <v>421500</v>
      </c>
      <c r="O1964" s="561">
        <v>0</v>
      </c>
      <c r="P1964" s="561">
        <v>1588525.9999999998</v>
      </c>
    </row>
    <row r="1965" spans="1:111">
      <c r="C1965" s="561" t="s">
        <v>1197</v>
      </c>
      <c r="D1965" s="561">
        <v>1063386</v>
      </c>
      <c r="E1965" s="561">
        <v>345000</v>
      </c>
      <c r="F1965" s="561">
        <v>718386</v>
      </c>
      <c r="G1965" s="561">
        <v>9736</v>
      </c>
      <c r="H1965" s="561">
        <v>1105001.3289999999</v>
      </c>
      <c r="I1965" s="561">
        <v>66</v>
      </c>
      <c r="J1965" s="561">
        <v>41428.019999999997</v>
      </c>
      <c r="K1965" s="561">
        <v>9670</v>
      </c>
      <c r="L1965" s="561">
        <v>1063386</v>
      </c>
      <c r="M1965" s="561">
        <v>1063386</v>
      </c>
      <c r="N1965" s="561">
        <v>345000</v>
      </c>
    </row>
    <row r="1966" spans="1:111">
      <c r="C1966" s="561" t="s">
        <v>1198</v>
      </c>
      <c r="D1966" s="561">
        <v>945182.84299999999</v>
      </c>
      <c r="E1966" s="561">
        <v>76500</v>
      </c>
      <c r="F1966" s="561">
        <v>868682.84299999999</v>
      </c>
      <c r="G1966" s="561">
        <v>986</v>
      </c>
      <c r="H1966" s="561">
        <v>953799.69200000004</v>
      </c>
      <c r="I1966" s="561">
        <v>-2</v>
      </c>
      <c r="J1966" s="561">
        <v>7705.5069999999996</v>
      </c>
      <c r="K1966" s="561">
        <v>988</v>
      </c>
      <c r="L1966" s="561">
        <v>945182.84299999999</v>
      </c>
      <c r="M1966" s="561">
        <v>945182.84299999999</v>
      </c>
      <c r="N1966" s="561">
        <v>76500</v>
      </c>
      <c r="AL1966" s="561">
        <v>868682.84299999999</v>
      </c>
    </row>
    <row r="1967" spans="1:111">
      <c r="C1967" s="561" t="s">
        <v>1199</v>
      </c>
      <c r="D1967" s="561">
        <v>1457.1569999999999</v>
      </c>
      <c r="F1967" s="561">
        <v>1457.1569999999999</v>
      </c>
      <c r="G1967" s="561">
        <v>74</v>
      </c>
      <c r="H1967" s="561">
        <v>1608.47</v>
      </c>
      <c r="I1967" s="561">
        <v>8</v>
      </c>
      <c r="J1967" s="561">
        <v>151.31299999999999</v>
      </c>
      <c r="K1967" s="561">
        <v>66</v>
      </c>
      <c r="L1967" s="561">
        <v>1457.1569999999999</v>
      </c>
      <c r="M1967" s="561">
        <v>1457.1569999999999</v>
      </c>
      <c r="N1967" s="561">
        <v>0</v>
      </c>
      <c r="P1967" s="561">
        <v>1457.1569999999999</v>
      </c>
    </row>
    <row r="1968" spans="1:111">
      <c r="C1968" s="561" t="s">
        <v>1200</v>
      </c>
      <c r="L1968" s="561">
        <v>0</v>
      </c>
    </row>
    <row r="1969" spans="1:106">
      <c r="A1969" s="561">
        <v>2</v>
      </c>
      <c r="B1969" s="561" t="s">
        <v>1422</v>
      </c>
      <c r="C1969" s="561" t="s">
        <v>1206</v>
      </c>
      <c r="D1969" s="561">
        <v>1593821.027</v>
      </c>
      <c r="E1969" s="561">
        <v>458823.6</v>
      </c>
      <c r="F1969" s="561">
        <v>1134997.4269999999</v>
      </c>
      <c r="G1969" s="561">
        <v>22719</v>
      </c>
      <c r="H1969" s="561">
        <v>1638945.8619999997</v>
      </c>
      <c r="I1969" s="561">
        <v>104</v>
      </c>
      <c r="J1969" s="561">
        <v>40443.385999999999</v>
      </c>
      <c r="K1969" s="561">
        <v>22615</v>
      </c>
      <c r="L1969" s="561">
        <v>1593821.027</v>
      </c>
      <c r="M1969" s="561">
        <v>1593821.027</v>
      </c>
      <c r="N1969" s="561">
        <v>458823.6</v>
      </c>
      <c r="O1969" s="561">
        <v>0</v>
      </c>
      <c r="P1969" s="561">
        <v>1134997.4269999999</v>
      </c>
    </row>
    <row r="1970" spans="1:106">
      <c r="C1970" s="561" t="s">
        <v>1197</v>
      </c>
      <c r="D1970" s="561">
        <v>1534624.6140000001</v>
      </c>
      <c r="E1970" s="561">
        <v>453600</v>
      </c>
      <c r="F1970" s="561">
        <v>1081024.6140000001</v>
      </c>
      <c r="G1970" s="561">
        <v>20972</v>
      </c>
      <c r="H1970" s="561">
        <v>1574371.1939999999</v>
      </c>
      <c r="I1970" s="561">
        <v>49</v>
      </c>
      <c r="J1970" s="561">
        <v>39769.32</v>
      </c>
      <c r="K1970" s="561">
        <v>20923</v>
      </c>
      <c r="L1970" s="561">
        <v>1534624.6140000001</v>
      </c>
      <c r="M1970" s="561">
        <v>1534624.6140000001</v>
      </c>
      <c r="N1970" s="561">
        <v>453600</v>
      </c>
    </row>
    <row r="1971" spans="1:106">
      <c r="C1971" s="561" t="s">
        <v>1198</v>
      </c>
      <c r="D1971" s="561">
        <v>27431.123</v>
      </c>
      <c r="E1971" s="561">
        <v>1800</v>
      </c>
      <c r="F1971" s="561">
        <v>25631.123</v>
      </c>
      <c r="G1971" s="561">
        <v>73</v>
      </c>
      <c r="H1971" s="561">
        <v>27643.396000000001</v>
      </c>
      <c r="I1971" s="561">
        <v>0</v>
      </c>
      <c r="J1971" s="561">
        <v>79.986000000000004</v>
      </c>
      <c r="K1971" s="561">
        <v>73</v>
      </c>
      <c r="L1971" s="561">
        <v>27431.123</v>
      </c>
      <c r="M1971" s="561">
        <v>27431.123</v>
      </c>
      <c r="N1971" s="561">
        <v>1800</v>
      </c>
      <c r="AL1971" s="561">
        <v>25631.123</v>
      </c>
    </row>
    <row r="1972" spans="1:106">
      <c r="C1972" s="561" t="s">
        <v>1199</v>
      </c>
      <c r="D1972" s="561">
        <v>24912</v>
      </c>
      <c r="E1972" s="561">
        <v>3423.6</v>
      </c>
      <c r="F1972" s="561">
        <v>21488.400000000001</v>
      </c>
      <c r="G1972" s="561">
        <v>1674</v>
      </c>
      <c r="H1972" s="561">
        <v>25550.906999999999</v>
      </c>
      <c r="I1972" s="561">
        <v>55</v>
      </c>
      <c r="J1972" s="561">
        <v>594.08000000000004</v>
      </c>
      <c r="K1972" s="561">
        <v>1619</v>
      </c>
      <c r="L1972" s="561">
        <v>24912</v>
      </c>
      <c r="M1972" s="561">
        <v>24912</v>
      </c>
      <c r="N1972" s="561">
        <v>3423.6</v>
      </c>
      <c r="P1972" s="561">
        <v>21488.400000000001</v>
      </c>
    </row>
    <row r="1973" spans="1:106">
      <c r="C1973" s="561" t="s">
        <v>1200</v>
      </c>
      <c r="L1973" s="561">
        <v>0</v>
      </c>
      <c r="M1973" s="561">
        <v>0</v>
      </c>
    </row>
    <row r="1974" spans="1:106">
      <c r="C1974" s="561" t="s">
        <v>1202</v>
      </c>
      <c r="D1974" s="561">
        <v>6853.29</v>
      </c>
      <c r="F1974" s="561">
        <v>6853.29</v>
      </c>
      <c r="G1974" s="561">
        <v>0</v>
      </c>
      <c r="H1974" s="561">
        <v>11380.365</v>
      </c>
      <c r="I1974" s="561">
        <v>0</v>
      </c>
      <c r="J1974" s="561">
        <v>0</v>
      </c>
      <c r="K1974" s="561">
        <v>0</v>
      </c>
      <c r="L1974" s="561">
        <v>6853.29</v>
      </c>
      <c r="M1974" s="561">
        <v>6853.29</v>
      </c>
      <c r="P1974" s="561">
        <v>6853.29</v>
      </c>
    </row>
    <row r="1975" spans="1:106">
      <c r="A1975" s="561">
        <v>3</v>
      </c>
      <c r="B1975" s="561" t="s">
        <v>1423</v>
      </c>
      <c r="C1975" s="561" t="s">
        <v>1206</v>
      </c>
      <c r="D1975" s="561">
        <v>105282</v>
      </c>
      <c r="E1975" s="561">
        <v>31284.6</v>
      </c>
      <c r="F1975" s="561">
        <v>73997.399999999994</v>
      </c>
      <c r="G1975" s="561">
        <v>1787</v>
      </c>
      <c r="H1975" s="561">
        <v>106514.44</v>
      </c>
      <c r="I1975" s="561">
        <v>2</v>
      </c>
      <c r="J1975" s="561">
        <v>554.65200000000004</v>
      </c>
      <c r="K1975" s="561">
        <v>1785</v>
      </c>
      <c r="L1975" s="561">
        <v>105282</v>
      </c>
      <c r="M1975" s="561">
        <v>105282</v>
      </c>
      <c r="N1975" s="561">
        <v>31284.6</v>
      </c>
      <c r="O1975" s="561">
        <v>0</v>
      </c>
      <c r="P1975" s="561">
        <v>73997.399999999994</v>
      </c>
    </row>
    <row r="1976" spans="1:106">
      <c r="C1976" s="561" t="s">
        <v>1197</v>
      </c>
      <c r="D1976" s="561">
        <v>103000</v>
      </c>
      <c r="E1976" s="561">
        <v>30600</v>
      </c>
      <c r="F1976" s="561">
        <v>72400</v>
      </c>
      <c r="G1976" s="561">
        <v>1583</v>
      </c>
      <c r="H1976" s="561">
        <v>104085.198</v>
      </c>
      <c r="I1976" s="561">
        <v>1</v>
      </c>
      <c r="J1976" s="561">
        <v>540.02700000000004</v>
      </c>
      <c r="K1976" s="561">
        <v>1582</v>
      </c>
      <c r="L1976" s="561">
        <v>103000</v>
      </c>
      <c r="M1976" s="561">
        <v>103000</v>
      </c>
      <c r="N1976" s="561">
        <v>30600</v>
      </c>
    </row>
    <row r="1977" spans="1:106">
      <c r="C1977" s="561" t="s">
        <v>1198</v>
      </c>
      <c r="L1977" s="561">
        <v>0</v>
      </c>
      <c r="N1977" s="561">
        <v>0</v>
      </c>
    </row>
    <row r="1978" spans="1:106">
      <c r="C1978" s="561" t="s">
        <v>1199</v>
      </c>
      <c r="D1978" s="561">
        <v>2282</v>
      </c>
      <c r="E1978" s="561">
        <v>684.6</v>
      </c>
      <c r="F1978" s="561">
        <v>1597.4</v>
      </c>
      <c r="G1978" s="561">
        <v>204</v>
      </c>
      <c r="H1978" s="561">
        <v>2429.2420000000002</v>
      </c>
      <c r="I1978" s="561">
        <v>1</v>
      </c>
      <c r="J1978" s="561">
        <v>14.625</v>
      </c>
      <c r="K1978" s="561">
        <v>203</v>
      </c>
      <c r="L1978" s="561">
        <v>2282</v>
      </c>
      <c r="M1978" s="561">
        <v>2282</v>
      </c>
      <c r="N1978" s="561">
        <v>684.6</v>
      </c>
      <c r="P1978" s="561">
        <v>1597.4</v>
      </c>
    </row>
    <row r="1979" spans="1:106">
      <c r="C1979" s="561" t="s">
        <v>1200</v>
      </c>
      <c r="L1979" s="561">
        <v>0</v>
      </c>
      <c r="N1979" s="561">
        <v>0</v>
      </c>
    </row>
    <row r="1980" spans="1:106">
      <c r="A1980" s="561">
        <v>4</v>
      </c>
      <c r="B1980" s="561" t="s">
        <v>1424</v>
      </c>
      <c r="C1980" s="561" t="s">
        <v>1206</v>
      </c>
      <c r="D1980" s="561">
        <v>1285246</v>
      </c>
      <c r="E1980" s="561">
        <v>378523.8</v>
      </c>
      <c r="F1980" s="561">
        <v>906722.20000000007</v>
      </c>
      <c r="G1980" s="561">
        <v>16577</v>
      </c>
      <c r="H1980" s="561">
        <v>1298154.439</v>
      </c>
      <c r="I1980" s="561">
        <v>16</v>
      </c>
      <c r="J1980" s="561">
        <v>11789.8</v>
      </c>
      <c r="K1980" s="561">
        <v>16561</v>
      </c>
      <c r="L1980" s="561">
        <v>1285246</v>
      </c>
      <c r="M1980" s="561">
        <v>1285246</v>
      </c>
      <c r="N1980" s="561">
        <v>378523.8</v>
      </c>
      <c r="O1980" s="561">
        <v>0</v>
      </c>
      <c r="P1980" s="561">
        <v>906722.20000000007</v>
      </c>
    </row>
    <row r="1981" spans="1:106">
      <c r="C1981" s="561" t="s">
        <v>1197</v>
      </c>
      <c r="D1981" s="561">
        <v>1204952.33</v>
      </c>
      <c r="E1981" s="561">
        <v>366210</v>
      </c>
      <c r="F1981" s="561">
        <v>838742.33000000007</v>
      </c>
      <c r="G1981" s="561">
        <v>15243</v>
      </c>
      <c r="H1981" s="561">
        <v>1216913.2050000001</v>
      </c>
      <c r="I1981" s="561">
        <v>16</v>
      </c>
      <c r="J1981" s="561">
        <v>11998.775</v>
      </c>
      <c r="K1981" s="561">
        <v>15227</v>
      </c>
      <c r="L1981" s="561">
        <v>1204952.33</v>
      </c>
      <c r="M1981" s="561">
        <v>1204952.33</v>
      </c>
      <c r="N1981" s="561">
        <v>366210</v>
      </c>
    </row>
    <row r="1982" spans="1:106">
      <c r="C1982" s="561" t="s">
        <v>1198</v>
      </c>
      <c r="D1982" s="561">
        <v>61747.67</v>
      </c>
      <c r="E1982" s="561">
        <v>8100</v>
      </c>
      <c r="F1982" s="561">
        <v>53647.67</v>
      </c>
      <c r="G1982" s="561">
        <v>94</v>
      </c>
      <c r="H1982" s="561">
        <v>62622.688999999998</v>
      </c>
      <c r="I1982" s="561">
        <v>-1</v>
      </c>
      <c r="J1982" s="561">
        <v>-273.90300000000002</v>
      </c>
      <c r="K1982" s="561">
        <v>95</v>
      </c>
      <c r="L1982" s="561">
        <v>61747.67</v>
      </c>
      <c r="M1982" s="561">
        <v>61747.67</v>
      </c>
      <c r="N1982" s="561">
        <v>8100</v>
      </c>
      <c r="DB1982" s="561">
        <v>53647.67</v>
      </c>
    </row>
    <row r="1983" spans="1:106">
      <c r="C1983" s="561" t="s">
        <v>1199</v>
      </c>
      <c r="D1983" s="561">
        <v>18546</v>
      </c>
      <c r="E1983" s="561">
        <v>4213.8</v>
      </c>
      <c r="F1983" s="561">
        <v>14332.2</v>
      </c>
      <c r="G1983" s="561">
        <v>1240</v>
      </c>
      <c r="H1983" s="561">
        <v>18618.544999999998</v>
      </c>
      <c r="I1983" s="561">
        <v>1</v>
      </c>
      <c r="J1983" s="561">
        <v>64.927999999999997</v>
      </c>
      <c r="K1983" s="561">
        <v>1239</v>
      </c>
      <c r="L1983" s="561">
        <v>18546</v>
      </c>
      <c r="M1983" s="561">
        <v>18546</v>
      </c>
      <c r="N1983" s="561">
        <v>4213.8</v>
      </c>
      <c r="P1983" s="561">
        <v>14332.2</v>
      </c>
    </row>
    <row r="1984" spans="1:106">
      <c r="C1984" s="561" t="s">
        <v>1200</v>
      </c>
      <c r="L1984" s="561">
        <v>0</v>
      </c>
      <c r="N1984" s="561">
        <v>0</v>
      </c>
    </row>
    <row r="1985" spans="1:38">
      <c r="A1985" s="561">
        <v>5</v>
      </c>
      <c r="B1985" s="561" t="s">
        <v>1425</v>
      </c>
      <c r="C1985" s="561" t="s">
        <v>1206</v>
      </c>
      <c r="D1985" s="561">
        <v>29244</v>
      </c>
      <c r="E1985" s="561">
        <v>8773.2000000000007</v>
      </c>
      <c r="F1985" s="561">
        <v>20470.8</v>
      </c>
      <c r="G1985" s="561">
        <v>624</v>
      </c>
      <c r="H1985" s="561">
        <v>29338.490999999998</v>
      </c>
      <c r="I1985" s="561">
        <v>0</v>
      </c>
      <c r="J1985" s="561">
        <v>42.682000000000002</v>
      </c>
      <c r="K1985" s="561">
        <v>624</v>
      </c>
      <c r="L1985" s="561">
        <v>29244</v>
      </c>
      <c r="M1985" s="561">
        <v>29244</v>
      </c>
      <c r="N1985" s="561">
        <v>8773.2000000000007</v>
      </c>
      <c r="O1985" s="561">
        <v>0</v>
      </c>
      <c r="P1985" s="561">
        <v>20470.8</v>
      </c>
    </row>
    <row r="1986" spans="1:38">
      <c r="C1986" s="561" t="s">
        <v>1197</v>
      </c>
      <c r="D1986" s="561">
        <v>28605.421999999999</v>
      </c>
      <c r="E1986" s="561">
        <v>8580</v>
      </c>
      <c r="F1986" s="561">
        <v>20025.421999999999</v>
      </c>
      <c r="G1986" s="561">
        <v>568</v>
      </c>
      <c r="H1986" s="561">
        <v>28700.281999999999</v>
      </c>
      <c r="I1986" s="561">
        <v>0</v>
      </c>
      <c r="J1986" s="561">
        <v>43.051000000000002</v>
      </c>
      <c r="K1986" s="561">
        <v>568</v>
      </c>
      <c r="L1986" s="561">
        <v>28605.421999999999</v>
      </c>
      <c r="M1986" s="561">
        <v>28605.421999999999</v>
      </c>
      <c r="N1986" s="561">
        <v>8580</v>
      </c>
    </row>
    <row r="1987" spans="1:38">
      <c r="C1987" s="561" t="s">
        <v>1198</v>
      </c>
      <c r="L1987" s="561">
        <v>0</v>
      </c>
      <c r="N1987" s="561">
        <v>0</v>
      </c>
    </row>
    <row r="1988" spans="1:38">
      <c r="C1988" s="561" t="s">
        <v>1199</v>
      </c>
      <c r="D1988" s="561">
        <v>638.57799999999997</v>
      </c>
      <c r="E1988" s="561">
        <v>193.2</v>
      </c>
      <c r="F1988" s="561">
        <v>445.37799999999999</v>
      </c>
      <c r="G1988" s="561">
        <v>56</v>
      </c>
      <c r="H1988" s="561">
        <v>638.20899999999995</v>
      </c>
      <c r="I1988" s="561">
        <v>0</v>
      </c>
      <c r="J1988" s="561">
        <v>-0.36899999999999999</v>
      </c>
      <c r="K1988" s="561">
        <v>56</v>
      </c>
      <c r="L1988" s="561">
        <v>638.57799999999997</v>
      </c>
      <c r="M1988" s="561">
        <v>638.57799999999997</v>
      </c>
      <c r="N1988" s="561">
        <v>193.2</v>
      </c>
      <c r="P1988" s="561">
        <v>445.37799999999999</v>
      </c>
    </row>
    <row r="1989" spans="1:38">
      <c r="C1989" s="561" t="s">
        <v>1200</v>
      </c>
      <c r="L1989" s="561">
        <v>0</v>
      </c>
      <c r="N1989" s="561">
        <v>0</v>
      </c>
    </row>
    <row r="1990" spans="1:38">
      <c r="A1990" s="561">
        <v>6</v>
      </c>
      <c r="B1990" s="561" t="s">
        <v>1426</v>
      </c>
      <c r="C1990" s="561" t="s">
        <v>1206</v>
      </c>
      <c r="D1990" s="561">
        <v>21069</v>
      </c>
      <c r="E1990" s="561">
        <v>6320.7</v>
      </c>
      <c r="F1990" s="561">
        <v>14748.3</v>
      </c>
      <c r="G1990" s="561">
        <v>1615</v>
      </c>
      <c r="H1990" s="561">
        <v>21297.184000000001</v>
      </c>
      <c r="I1990" s="561">
        <v>14</v>
      </c>
      <c r="J1990" s="561">
        <v>225.69</v>
      </c>
      <c r="K1990" s="561">
        <v>1601</v>
      </c>
      <c r="L1990" s="561">
        <v>21069</v>
      </c>
      <c r="M1990" s="561">
        <v>21069</v>
      </c>
      <c r="N1990" s="561">
        <v>6320.7</v>
      </c>
      <c r="O1990" s="561">
        <v>0</v>
      </c>
      <c r="P1990" s="561">
        <v>14748.3</v>
      </c>
    </row>
    <row r="1991" spans="1:38">
      <c r="C1991" s="561" t="s">
        <v>1197</v>
      </c>
      <c r="L1991" s="561">
        <v>0</v>
      </c>
      <c r="N1991" s="561">
        <v>0</v>
      </c>
    </row>
    <row r="1992" spans="1:38">
      <c r="C1992" s="561" t="s">
        <v>1198</v>
      </c>
      <c r="L1992" s="561">
        <v>0</v>
      </c>
      <c r="N1992" s="561">
        <v>0</v>
      </c>
    </row>
    <row r="1993" spans="1:38">
      <c r="C1993" s="561" t="s">
        <v>1199</v>
      </c>
      <c r="D1993" s="561">
        <v>21069</v>
      </c>
      <c r="E1993" s="561">
        <v>6320.7</v>
      </c>
      <c r="F1993" s="561">
        <v>14748.3</v>
      </c>
      <c r="G1993" s="561">
        <v>1615</v>
      </c>
      <c r="H1993" s="561">
        <v>21297.184000000001</v>
      </c>
      <c r="I1993" s="561">
        <v>14</v>
      </c>
      <c r="J1993" s="561">
        <v>225.69</v>
      </c>
      <c r="K1993" s="561">
        <v>1601</v>
      </c>
      <c r="L1993" s="561">
        <v>21069</v>
      </c>
      <c r="M1993" s="561">
        <v>21069</v>
      </c>
      <c r="N1993" s="561">
        <v>6320.7</v>
      </c>
      <c r="P1993" s="561">
        <v>14748.3</v>
      </c>
    </row>
    <row r="1994" spans="1:38">
      <c r="C1994" s="561" t="s">
        <v>1200</v>
      </c>
      <c r="L1994" s="561">
        <v>0</v>
      </c>
      <c r="N1994" s="561">
        <v>0</v>
      </c>
    </row>
    <row r="1995" spans="1:38">
      <c r="A1995" s="561">
        <v>7</v>
      </c>
      <c r="B1995" s="561" t="s">
        <v>1427</v>
      </c>
      <c r="C1995" s="561" t="s">
        <v>1206</v>
      </c>
      <c r="D1995" s="561">
        <v>1571880.2879999997</v>
      </c>
      <c r="E1995" s="561">
        <v>356584.5</v>
      </c>
      <c r="F1995" s="561">
        <v>1215295.7879999997</v>
      </c>
      <c r="G1995" s="561">
        <v>18514</v>
      </c>
      <c r="H1995" s="561">
        <v>1716415.648</v>
      </c>
      <c r="I1995" s="561">
        <v>204</v>
      </c>
      <c r="J1995" s="561">
        <v>143753.24100000001</v>
      </c>
      <c r="K1995" s="561">
        <v>18310</v>
      </c>
      <c r="L1995" s="561">
        <v>1571880.2879999997</v>
      </c>
      <c r="M1995" s="561">
        <v>1571880.2879999997</v>
      </c>
      <c r="N1995" s="561">
        <v>356584.5</v>
      </c>
      <c r="O1995" s="561">
        <v>0</v>
      </c>
      <c r="P1995" s="561">
        <v>1215295.7879999997</v>
      </c>
    </row>
    <row r="1996" spans="1:38">
      <c r="C1996" s="561" t="s">
        <v>1197</v>
      </c>
      <c r="D1996" s="561">
        <v>1298369.662</v>
      </c>
      <c r="E1996" s="561">
        <v>309000</v>
      </c>
      <c r="F1996" s="561">
        <v>989369.66200000001</v>
      </c>
      <c r="G1996" s="561">
        <v>16981</v>
      </c>
      <c r="H1996" s="561">
        <v>1354524.2150000001</v>
      </c>
      <c r="I1996" s="561">
        <v>-124</v>
      </c>
      <c r="J1996" s="561">
        <v>56192.453000000001</v>
      </c>
      <c r="K1996" s="561">
        <v>17105</v>
      </c>
      <c r="L1996" s="561">
        <v>1298369.662</v>
      </c>
      <c r="M1996" s="561">
        <v>1298369.662</v>
      </c>
      <c r="N1996" s="561">
        <v>309000</v>
      </c>
    </row>
    <row r="1997" spans="1:38">
      <c r="C1997" s="561" t="s">
        <v>1198</v>
      </c>
      <c r="D1997" s="561">
        <v>116467.21799999999</v>
      </c>
      <c r="E1997" s="561">
        <v>14100</v>
      </c>
      <c r="F1997" s="561">
        <v>102367.21799999999</v>
      </c>
      <c r="G1997" s="561">
        <v>691</v>
      </c>
      <c r="H1997" s="561">
        <v>203967.69099999999</v>
      </c>
      <c r="I1997" s="561">
        <v>328</v>
      </c>
      <c r="J1997" s="561">
        <v>87500.472999999998</v>
      </c>
      <c r="K1997" s="561">
        <v>363</v>
      </c>
      <c r="L1997" s="561">
        <v>116467.21799999999</v>
      </c>
      <c r="M1997" s="561">
        <v>116467.21799999999</v>
      </c>
      <c r="N1997" s="561">
        <v>14100</v>
      </c>
      <c r="AL1997" s="561">
        <v>102367.21799999999</v>
      </c>
    </row>
    <row r="1998" spans="1:38">
      <c r="C1998" s="561" t="s">
        <v>1199</v>
      </c>
      <c r="D1998" s="561">
        <v>150712.48499999999</v>
      </c>
      <c r="E1998" s="561">
        <v>33484.5</v>
      </c>
      <c r="F1998" s="561">
        <v>117227.98499999999</v>
      </c>
      <c r="G1998" s="561">
        <v>842</v>
      </c>
      <c r="H1998" s="561">
        <v>150772.79999999999</v>
      </c>
      <c r="I1998" s="561">
        <v>0</v>
      </c>
      <c r="J1998" s="561">
        <v>60.314999999999998</v>
      </c>
      <c r="K1998" s="561">
        <v>842</v>
      </c>
      <c r="L1998" s="561">
        <v>150712.48499999999</v>
      </c>
      <c r="M1998" s="561">
        <v>150712.48499999999</v>
      </c>
      <c r="N1998" s="561">
        <v>33484.5</v>
      </c>
      <c r="P1998" s="561">
        <v>117227.98499999999</v>
      </c>
    </row>
    <row r="1999" spans="1:38">
      <c r="C1999" s="561" t="s">
        <v>1200</v>
      </c>
      <c r="L1999" s="561">
        <v>0</v>
      </c>
      <c r="M1999" s="561">
        <v>0</v>
      </c>
    </row>
    <row r="2000" spans="1:38">
      <c r="C2000" s="561" t="s">
        <v>1202</v>
      </c>
      <c r="D2000" s="561">
        <v>6330.9229999999998</v>
      </c>
      <c r="F2000" s="561">
        <v>6330.9229999999998</v>
      </c>
      <c r="G2000" s="561">
        <v>0</v>
      </c>
      <c r="H2000" s="561">
        <v>7150.942</v>
      </c>
      <c r="I2000" s="561">
        <v>0</v>
      </c>
      <c r="J2000" s="561">
        <v>0</v>
      </c>
      <c r="K2000" s="561">
        <v>0</v>
      </c>
      <c r="L2000" s="561">
        <v>6330.9229999999998</v>
      </c>
      <c r="M2000" s="561">
        <v>6330.9229999999998</v>
      </c>
      <c r="P2000" s="561">
        <v>6330.9229999999998</v>
      </c>
    </row>
    <row r="2001" spans="1:16">
      <c r="A2001" s="561">
        <v>8</v>
      </c>
      <c r="B2001" s="561" t="s">
        <v>1428</v>
      </c>
      <c r="C2001" s="561" t="s">
        <v>1206</v>
      </c>
      <c r="D2001" s="561">
        <v>32518.657999999999</v>
      </c>
      <c r="E2001" s="561">
        <v>8111.7</v>
      </c>
      <c r="F2001" s="561">
        <v>24406.957999999999</v>
      </c>
      <c r="G2001" s="561">
        <v>2037</v>
      </c>
      <c r="H2001" s="561">
        <v>33116.896999999997</v>
      </c>
      <c r="I2001" s="561">
        <v>5</v>
      </c>
      <c r="J2001" s="561">
        <v>598.23900000000003</v>
      </c>
      <c r="K2001" s="561">
        <v>2032</v>
      </c>
      <c r="L2001" s="561">
        <v>32518.657999999999</v>
      </c>
      <c r="M2001" s="561">
        <v>32518.657999999999</v>
      </c>
      <c r="N2001" s="561">
        <v>8111.7</v>
      </c>
      <c r="O2001" s="561">
        <v>0</v>
      </c>
      <c r="P2001" s="561">
        <v>24406.957999999999</v>
      </c>
    </row>
    <row r="2002" spans="1:16">
      <c r="C2002" s="561" t="s">
        <v>1197</v>
      </c>
      <c r="L2002" s="561">
        <v>0</v>
      </c>
      <c r="N2002" s="561">
        <v>0</v>
      </c>
    </row>
    <row r="2003" spans="1:16">
      <c r="C2003" s="561" t="s">
        <v>1198</v>
      </c>
      <c r="L2003" s="561">
        <v>0</v>
      </c>
      <c r="N2003" s="561">
        <v>0</v>
      </c>
    </row>
    <row r="2004" spans="1:16">
      <c r="C2004" s="561" t="s">
        <v>1199</v>
      </c>
      <c r="D2004" s="561">
        <v>32518.657999999999</v>
      </c>
      <c r="E2004" s="561">
        <v>8111.7</v>
      </c>
      <c r="F2004" s="561">
        <v>24406.957999999999</v>
      </c>
      <c r="G2004" s="561">
        <v>2037</v>
      </c>
      <c r="H2004" s="561">
        <v>33116.896999999997</v>
      </c>
      <c r="I2004" s="561">
        <v>5</v>
      </c>
      <c r="J2004" s="561">
        <v>598.23900000000003</v>
      </c>
      <c r="K2004" s="561">
        <v>2032</v>
      </c>
      <c r="L2004" s="561">
        <v>32518.657999999999</v>
      </c>
      <c r="M2004" s="561">
        <v>32518.657999999999</v>
      </c>
      <c r="N2004" s="561">
        <v>8111.7</v>
      </c>
      <c r="P2004" s="561">
        <v>24406.957999999999</v>
      </c>
    </row>
    <row r="2005" spans="1:16">
      <c r="C2005" s="561" t="s">
        <v>1200</v>
      </c>
      <c r="L2005" s="561">
        <v>0</v>
      </c>
      <c r="N2005" s="561">
        <v>0</v>
      </c>
    </row>
    <row r="2006" spans="1:16">
      <c r="A2006" s="561">
        <v>9</v>
      </c>
      <c r="B2006" s="561" t="s">
        <v>1429</v>
      </c>
      <c r="C2006" s="561" t="s">
        <v>1206</v>
      </c>
      <c r="D2006" s="561">
        <v>70979.505000000005</v>
      </c>
      <c r="E2006" s="561">
        <v>23520</v>
      </c>
      <c r="F2006" s="561">
        <v>47459.505000000005</v>
      </c>
      <c r="G2006" s="561">
        <v>1410</v>
      </c>
      <c r="H2006" s="561">
        <v>72850.229000000007</v>
      </c>
      <c r="I2006" s="561">
        <v>1</v>
      </c>
      <c r="J2006" s="561">
        <v>1870.7239999999999</v>
      </c>
      <c r="K2006" s="561">
        <v>1409</v>
      </c>
      <c r="L2006" s="561">
        <v>70979.505000000005</v>
      </c>
      <c r="M2006" s="561">
        <v>70979.505000000005</v>
      </c>
      <c r="N2006" s="561">
        <v>23520</v>
      </c>
      <c r="O2006" s="561">
        <v>0</v>
      </c>
      <c r="P2006" s="561">
        <v>47459.505000000005</v>
      </c>
    </row>
    <row r="2007" spans="1:16">
      <c r="C2007" s="561" t="s">
        <v>1197</v>
      </c>
      <c r="D2007" s="561">
        <v>70979.505000000005</v>
      </c>
      <c r="E2007" s="561">
        <v>23520</v>
      </c>
      <c r="F2007" s="561">
        <v>47459.505000000005</v>
      </c>
      <c r="G2007" s="561">
        <v>1410</v>
      </c>
      <c r="H2007" s="561">
        <v>72850.229000000007</v>
      </c>
      <c r="I2007" s="561">
        <v>1</v>
      </c>
      <c r="J2007" s="561">
        <v>1870.7239999999999</v>
      </c>
      <c r="K2007" s="561">
        <v>1409</v>
      </c>
      <c r="L2007" s="561">
        <v>70979.505000000005</v>
      </c>
      <c r="M2007" s="561">
        <v>70979.505000000005</v>
      </c>
      <c r="N2007" s="561">
        <v>23520</v>
      </c>
    </row>
    <row r="2008" spans="1:16">
      <c r="C2008" s="561" t="s">
        <v>1198</v>
      </c>
      <c r="L2008" s="561">
        <v>0</v>
      </c>
      <c r="N2008" s="561">
        <v>0</v>
      </c>
    </row>
    <row r="2009" spans="1:16">
      <c r="C2009" s="561" t="s">
        <v>1199</v>
      </c>
      <c r="L2009" s="561">
        <v>0</v>
      </c>
      <c r="N2009" s="561">
        <v>0</v>
      </c>
    </row>
    <row r="2010" spans="1:16">
      <c r="C2010" s="561" t="s">
        <v>1200</v>
      </c>
      <c r="L2010" s="561">
        <v>0</v>
      </c>
      <c r="N2010" s="561">
        <v>0</v>
      </c>
    </row>
    <row r="2011" spans="1:16">
      <c r="A2011" s="561">
        <v>10</v>
      </c>
      <c r="B2011" s="561" t="s">
        <v>1430</v>
      </c>
      <c r="C2011" s="561" t="s">
        <v>1206</v>
      </c>
      <c r="D2011" s="561">
        <v>433784</v>
      </c>
      <c r="E2011" s="561">
        <v>125398.2</v>
      </c>
      <c r="F2011" s="561">
        <v>308385.80000000005</v>
      </c>
      <c r="G2011" s="561">
        <v>7937</v>
      </c>
      <c r="H2011" s="561">
        <v>442162.761</v>
      </c>
      <c r="I2011" s="561">
        <v>4</v>
      </c>
      <c r="J2011" s="561">
        <v>7826.9769999999999</v>
      </c>
      <c r="K2011" s="561">
        <v>7933</v>
      </c>
      <c r="L2011" s="561">
        <v>433784</v>
      </c>
      <c r="M2011" s="561">
        <v>433784</v>
      </c>
      <c r="N2011" s="561">
        <v>125398.2</v>
      </c>
      <c r="O2011" s="561">
        <v>0</v>
      </c>
      <c r="P2011" s="561">
        <v>308385.80000000005</v>
      </c>
    </row>
    <row r="2012" spans="1:16">
      <c r="C2012" s="561" t="s">
        <v>1197</v>
      </c>
      <c r="D2012" s="561">
        <v>421967.92700000003</v>
      </c>
      <c r="E2012" s="561">
        <v>122940</v>
      </c>
      <c r="F2012" s="561">
        <v>299027.92700000003</v>
      </c>
      <c r="G2012" s="561">
        <v>7228</v>
      </c>
      <c r="H2012" s="561">
        <v>430113.98</v>
      </c>
      <c r="I2012" s="561">
        <v>4</v>
      </c>
      <c r="J2012" s="561">
        <v>7594.2690000000002</v>
      </c>
      <c r="K2012" s="561">
        <v>7224</v>
      </c>
      <c r="L2012" s="561">
        <v>421967.92700000003</v>
      </c>
      <c r="M2012" s="561">
        <v>421967.92700000003</v>
      </c>
      <c r="N2012" s="561">
        <v>122940</v>
      </c>
    </row>
    <row r="2013" spans="1:16">
      <c r="C2013" s="561" t="s">
        <v>1198</v>
      </c>
      <c r="L2013" s="561">
        <v>0</v>
      </c>
      <c r="N2013" s="561">
        <v>0</v>
      </c>
    </row>
    <row r="2014" spans="1:16">
      <c r="C2014" s="561" t="s">
        <v>1199</v>
      </c>
      <c r="D2014" s="561">
        <v>11816.073</v>
      </c>
      <c r="E2014" s="561">
        <v>2458.1999999999998</v>
      </c>
      <c r="F2014" s="561">
        <v>9357.8729999999996</v>
      </c>
      <c r="G2014" s="561">
        <v>709</v>
      </c>
      <c r="H2014" s="561">
        <v>12048.781000000001</v>
      </c>
      <c r="I2014" s="561">
        <v>0</v>
      </c>
      <c r="J2014" s="561">
        <v>232.708</v>
      </c>
      <c r="K2014" s="561">
        <v>709</v>
      </c>
      <c r="L2014" s="561">
        <v>11816.073</v>
      </c>
      <c r="M2014" s="561">
        <v>11816.073</v>
      </c>
      <c r="N2014" s="561">
        <v>2458.1999999999998</v>
      </c>
      <c r="P2014" s="561">
        <v>9357.8729999999996</v>
      </c>
    </row>
    <row r="2015" spans="1:16">
      <c r="C2015" s="561" t="s">
        <v>1200</v>
      </c>
      <c r="L2015" s="561">
        <v>0</v>
      </c>
      <c r="N2015" s="561">
        <v>0</v>
      </c>
    </row>
    <row r="2016" spans="1:16">
      <c r="A2016" s="561">
        <v>11</v>
      </c>
      <c r="B2016" s="561" t="s">
        <v>1431</v>
      </c>
      <c r="C2016" s="561" t="s">
        <v>1206</v>
      </c>
      <c r="D2016" s="561">
        <v>103066</v>
      </c>
      <c r="E2016" s="561">
        <v>30919.8</v>
      </c>
      <c r="F2016" s="561">
        <v>72146.2</v>
      </c>
      <c r="G2016" s="561">
        <v>2337</v>
      </c>
      <c r="H2016" s="561">
        <v>104851.39899999999</v>
      </c>
      <c r="I2016" s="561">
        <v>9</v>
      </c>
      <c r="J2016" s="561">
        <v>1361.9649999999999</v>
      </c>
      <c r="K2016" s="561">
        <v>2328</v>
      </c>
      <c r="L2016" s="561">
        <v>103066</v>
      </c>
      <c r="M2016" s="561">
        <v>103066</v>
      </c>
      <c r="N2016" s="561">
        <v>30919.8</v>
      </c>
      <c r="O2016" s="561">
        <v>0</v>
      </c>
      <c r="P2016" s="561">
        <v>72146.2</v>
      </c>
    </row>
    <row r="2017" spans="1:38">
      <c r="C2017" s="561" t="s">
        <v>1197</v>
      </c>
      <c r="D2017" s="561">
        <v>91475</v>
      </c>
      <c r="E2017" s="561">
        <v>27900</v>
      </c>
      <c r="F2017" s="561">
        <v>63575</v>
      </c>
      <c r="G2017" s="561">
        <v>1483</v>
      </c>
      <c r="H2017" s="561">
        <v>93117.638999999996</v>
      </c>
      <c r="I2017" s="561">
        <v>4</v>
      </c>
      <c r="J2017" s="561">
        <v>1247.3499999999999</v>
      </c>
      <c r="K2017" s="561">
        <v>1479</v>
      </c>
      <c r="L2017" s="561">
        <v>91475</v>
      </c>
      <c r="M2017" s="561">
        <v>91475</v>
      </c>
      <c r="N2017" s="561">
        <v>27900</v>
      </c>
    </row>
    <row r="2018" spans="1:38">
      <c r="C2018" s="561" t="s">
        <v>1198</v>
      </c>
      <c r="L2018" s="561">
        <v>0</v>
      </c>
      <c r="N2018" s="561">
        <v>0</v>
      </c>
    </row>
    <row r="2019" spans="1:38">
      <c r="C2019" s="561" t="s">
        <v>1199</v>
      </c>
      <c r="D2019" s="561">
        <v>11591</v>
      </c>
      <c r="E2019" s="561">
        <v>3019.8</v>
      </c>
      <c r="F2019" s="561">
        <v>8571.2000000000007</v>
      </c>
      <c r="G2019" s="561">
        <v>854</v>
      </c>
      <c r="H2019" s="561">
        <v>11733.76</v>
      </c>
      <c r="I2019" s="561">
        <v>5</v>
      </c>
      <c r="J2019" s="561">
        <v>114.61499999999999</v>
      </c>
      <c r="K2019" s="561">
        <v>849</v>
      </c>
      <c r="L2019" s="561">
        <v>11591</v>
      </c>
      <c r="M2019" s="561">
        <v>11591</v>
      </c>
      <c r="N2019" s="561">
        <v>3019.8</v>
      </c>
      <c r="P2019" s="561">
        <v>8571.2000000000007</v>
      </c>
    </row>
    <row r="2020" spans="1:38">
      <c r="C2020" s="561" t="s">
        <v>1200</v>
      </c>
      <c r="L2020" s="561">
        <v>0</v>
      </c>
      <c r="N2020" s="561">
        <v>0</v>
      </c>
    </row>
    <row r="2021" spans="1:38">
      <c r="A2021" s="561">
        <v>12</v>
      </c>
      <c r="B2021" s="561" t="s">
        <v>1432</v>
      </c>
      <c r="C2021" s="561" t="s">
        <v>1206</v>
      </c>
      <c r="D2021" s="561">
        <v>600761.92299999995</v>
      </c>
      <c r="E2021" s="561">
        <v>165450</v>
      </c>
      <c r="F2021" s="561">
        <v>435311.92300000001</v>
      </c>
      <c r="G2021" s="561">
        <v>7496</v>
      </c>
      <c r="H2021" s="561">
        <v>630906.99</v>
      </c>
      <c r="I2021" s="561">
        <v>234</v>
      </c>
      <c r="J2021" s="561">
        <v>31716.248</v>
      </c>
      <c r="K2021" s="561">
        <v>7262</v>
      </c>
      <c r="L2021" s="561">
        <v>600761.92299999995</v>
      </c>
      <c r="M2021" s="561">
        <v>600761.92299999995</v>
      </c>
      <c r="N2021" s="561">
        <v>165450</v>
      </c>
      <c r="O2021" s="561">
        <v>0</v>
      </c>
      <c r="P2021" s="561">
        <v>435311.92300000001</v>
      </c>
    </row>
    <row r="2022" spans="1:38">
      <c r="C2022" s="561" t="s">
        <v>1197</v>
      </c>
      <c r="D2022" s="561">
        <v>588595.57999999996</v>
      </c>
      <c r="E2022" s="561">
        <v>164250</v>
      </c>
      <c r="F2022" s="561">
        <v>424345.57999999996</v>
      </c>
      <c r="G2022" s="561">
        <v>7435</v>
      </c>
      <c r="H2022" s="561">
        <v>618215.228</v>
      </c>
      <c r="I2022" s="561">
        <v>234</v>
      </c>
      <c r="J2022" s="561">
        <v>31204.16</v>
      </c>
      <c r="K2022" s="561">
        <v>7201</v>
      </c>
      <c r="L2022" s="561">
        <v>588595.57999999996</v>
      </c>
      <c r="M2022" s="561">
        <v>588595.57999999996</v>
      </c>
      <c r="N2022" s="561">
        <v>164250</v>
      </c>
    </row>
    <row r="2023" spans="1:38">
      <c r="C2023" s="561" t="s">
        <v>1198</v>
      </c>
      <c r="D2023" s="561">
        <v>11648.775</v>
      </c>
      <c r="E2023" s="561">
        <v>1200</v>
      </c>
      <c r="F2023" s="561">
        <v>10448.775</v>
      </c>
      <c r="G2023" s="561">
        <v>41</v>
      </c>
      <c r="H2023" s="561">
        <v>12152.87</v>
      </c>
      <c r="I2023" s="561">
        <v>0</v>
      </c>
      <c r="J2023" s="561">
        <v>504.09500000000003</v>
      </c>
      <c r="K2023" s="561">
        <v>41</v>
      </c>
      <c r="L2023" s="561">
        <v>11648.775</v>
      </c>
      <c r="M2023" s="561">
        <v>11648.775</v>
      </c>
      <c r="N2023" s="561">
        <v>1200</v>
      </c>
      <c r="AL2023" s="561">
        <v>10448.775</v>
      </c>
    </row>
    <row r="2024" spans="1:38">
      <c r="C2024" s="561" t="s">
        <v>1199</v>
      </c>
      <c r="D2024" s="561">
        <v>351.06799999999998</v>
      </c>
      <c r="F2024" s="561">
        <v>351.06799999999998</v>
      </c>
      <c r="G2024" s="561">
        <v>20</v>
      </c>
      <c r="H2024" s="561">
        <v>359.06099999999998</v>
      </c>
      <c r="I2024" s="561">
        <v>0</v>
      </c>
      <c r="J2024" s="561">
        <v>7.9930000000000003</v>
      </c>
      <c r="K2024" s="561">
        <v>20</v>
      </c>
      <c r="L2024" s="561">
        <v>351.06799999999998</v>
      </c>
      <c r="M2024" s="561">
        <v>351.06799999999998</v>
      </c>
      <c r="N2024" s="561">
        <v>0</v>
      </c>
      <c r="P2024" s="561">
        <v>351.06799999999998</v>
      </c>
    </row>
    <row r="2025" spans="1:38">
      <c r="C2025" s="561" t="s">
        <v>1200</v>
      </c>
      <c r="L2025" s="561">
        <v>0</v>
      </c>
      <c r="M2025" s="561">
        <v>0</v>
      </c>
    </row>
    <row r="2026" spans="1:38">
      <c r="C2026" s="561" t="s">
        <v>1202</v>
      </c>
      <c r="D2026" s="561">
        <v>166.5</v>
      </c>
      <c r="F2026" s="561">
        <v>166.5</v>
      </c>
      <c r="G2026" s="561">
        <v>0</v>
      </c>
      <c r="H2026" s="561">
        <v>179.83099999999999</v>
      </c>
      <c r="I2026" s="561">
        <v>0</v>
      </c>
      <c r="J2026" s="561">
        <v>0</v>
      </c>
      <c r="K2026" s="561">
        <v>0</v>
      </c>
      <c r="L2026" s="561">
        <v>166.5</v>
      </c>
      <c r="M2026" s="561">
        <v>166.5</v>
      </c>
      <c r="P2026" s="561">
        <v>166.5</v>
      </c>
    </row>
    <row r="2027" spans="1:38">
      <c r="A2027" s="561">
        <v>13</v>
      </c>
      <c r="B2027" s="561" t="s">
        <v>1433</v>
      </c>
      <c r="C2027" s="561" t="s">
        <v>1206</v>
      </c>
      <c r="D2027" s="561">
        <v>71628</v>
      </c>
      <c r="E2027" s="561">
        <v>23520</v>
      </c>
      <c r="F2027" s="561">
        <v>48108</v>
      </c>
      <c r="G2027" s="561">
        <v>1381</v>
      </c>
      <c r="H2027" s="561">
        <v>73022.762000000002</v>
      </c>
      <c r="I2027" s="561">
        <v>1</v>
      </c>
      <c r="J2027" s="561">
        <v>1383.5239999999999</v>
      </c>
      <c r="K2027" s="561">
        <v>1380</v>
      </c>
      <c r="L2027" s="561">
        <v>71628</v>
      </c>
      <c r="M2027" s="561">
        <v>71628</v>
      </c>
      <c r="N2027" s="561">
        <v>23520</v>
      </c>
      <c r="O2027" s="561">
        <v>0</v>
      </c>
      <c r="P2027" s="561">
        <v>48108</v>
      </c>
    </row>
    <row r="2028" spans="1:38">
      <c r="C2028" s="561" t="s">
        <v>1197</v>
      </c>
      <c r="D2028" s="561">
        <v>71628</v>
      </c>
      <c r="E2028" s="561">
        <v>23520</v>
      </c>
      <c r="F2028" s="561">
        <v>48108</v>
      </c>
      <c r="G2028" s="561">
        <v>1381</v>
      </c>
      <c r="H2028" s="561">
        <v>73022.762000000002</v>
      </c>
      <c r="I2028" s="561">
        <v>1</v>
      </c>
      <c r="J2028" s="561">
        <v>1383.5239999999999</v>
      </c>
      <c r="K2028" s="561">
        <v>1380</v>
      </c>
      <c r="L2028" s="561">
        <v>71628</v>
      </c>
      <c r="M2028" s="561">
        <v>71628</v>
      </c>
      <c r="N2028" s="561">
        <v>23520</v>
      </c>
    </row>
    <row r="2029" spans="1:38">
      <c r="C2029" s="561" t="s">
        <v>1198</v>
      </c>
      <c r="L2029" s="561">
        <v>0</v>
      </c>
      <c r="N2029" s="561">
        <v>0</v>
      </c>
    </row>
    <row r="2030" spans="1:38">
      <c r="C2030" s="561" t="s">
        <v>1199</v>
      </c>
      <c r="L2030" s="561">
        <v>0</v>
      </c>
      <c r="N2030" s="561">
        <v>0</v>
      </c>
    </row>
    <row r="2031" spans="1:38">
      <c r="C2031" s="561" t="s">
        <v>1200</v>
      </c>
      <c r="L2031" s="561">
        <v>0</v>
      </c>
      <c r="N2031" s="561">
        <v>0</v>
      </c>
    </row>
    <row r="2032" spans="1:38">
      <c r="A2032" s="561">
        <v>14</v>
      </c>
      <c r="B2032" s="561" t="s">
        <v>1434</v>
      </c>
      <c r="C2032" s="561" t="s">
        <v>1206</v>
      </c>
      <c r="D2032" s="561">
        <v>7853</v>
      </c>
      <c r="E2032" s="561">
        <v>1755.9</v>
      </c>
      <c r="F2032" s="561">
        <v>6097.1</v>
      </c>
      <c r="G2032" s="561">
        <v>500</v>
      </c>
      <c r="H2032" s="561">
        <v>8201.7420000000002</v>
      </c>
      <c r="I2032" s="561">
        <v>0</v>
      </c>
      <c r="J2032" s="561">
        <v>148.20599999999999</v>
      </c>
      <c r="K2032" s="561">
        <v>500</v>
      </c>
      <c r="L2032" s="561">
        <v>7853</v>
      </c>
      <c r="M2032" s="561">
        <v>7853</v>
      </c>
      <c r="N2032" s="561">
        <v>1755.9</v>
      </c>
      <c r="O2032" s="561">
        <v>0</v>
      </c>
      <c r="P2032" s="561">
        <v>6097.1</v>
      </c>
    </row>
    <row r="2033" spans="1:16">
      <c r="C2033" s="561" t="s">
        <v>1197</v>
      </c>
      <c r="L2033" s="561">
        <v>0</v>
      </c>
      <c r="N2033" s="561">
        <v>0</v>
      </c>
    </row>
    <row r="2034" spans="1:16">
      <c r="C2034" s="561" t="s">
        <v>1198</v>
      </c>
      <c r="L2034" s="561">
        <v>0</v>
      </c>
      <c r="N2034" s="561">
        <v>0</v>
      </c>
    </row>
    <row r="2035" spans="1:16">
      <c r="C2035" s="561" t="s">
        <v>1199</v>
      </c>
      <c r="D2035" s="561">
        <v>7853</v>
      </c>
      <c r="E2035" s="561">
        <v>1755.9</v>
      </c>
      <c r="F2035" s="561">
        <v>6097.1</v>
      </c>
      <c r="G2035" s="561">
        <v>500</v>
      </c>
      <c r="H2035" s="561">
        <v>8201.7420000000002</v>
      </c>
      <c r="I2035" s="561">
        <v>0</v>
      </c>
      <c r="J2035" s="561">
        <v>148.20599999999999</v>
      </c>
      <c r="K2035" s="561">
        <v>500</v>
      </c>
      <c r="L2035" s="561">
        <v>7853</v>
      </c>
      <c r="M2035" s="561">
        <v>7853</v>
      </c>
      <c r="N2035" s="561">
        <v>1755.9</v>
      </c>
      <c r="P2035" s="561">
        <v>6097.1</v>
      </c>
    </row>
    <row r="2036" spans="1:16">
      <c r="C2036" s="561" t="s">
        <v>1200</v>
      </c>
      <c r="L2036" s="561">
        <v>0</v>
      </c>
      <c r="N2036" s="561">
        <v>0</v>
      </c>
    </row>
    <row r="2037" spans="1:16">
      <c r="A2037" s="561">
        <v>15</v>
      </c>
      <c r="B2037" s="561" t="s">
        <v>1435</v>
      </c>
      <c r="C2037" s="561" t="s">
        <v>1206</v>
      </c>
      <c r="D2037" s="561">
        <v>12876</v>
      </c>
      <c r="E2037" s="561">
        <v>3862.8</v>
      </c>
      <c r="F2037" s="561">
        <v>9013.2000000000007</v>
      </c>
      <c r="G2037" s="561">
        <v>817</v>
      </c>
      <c r="H2037" s="561">
        <v>13285.996999999999</v>
      </c>
      <c r="I2037" s="561">
        <v>2</v>
      </c>
      <c r="J2037" s="561">
        <v>391.65800000000002</v>
      </c>
      <c r="K2037" s="561">
        <v>815</v>
      </c>
      <c r="L2037" s="561">
        <v>12876</v>
      </c>
      <c r="M2037" s="561">
        <v>12876</v>
      </c>
      <c r="N2037" s="561">
        <v>3862.8</v>
      </c>
      <c r="O2037" s="561">
        <v>0</v>
      </c>
      <c r="P2037" s="561">
        <v>9013.2000000000007</v>
      </c>
    </row>
    <row r="2038" spans="1:16">
      <c r="C2038" s="561" t="s">
        <v>1197</v>
      </c>
      <c r="L2038" s="561">
        <v>0</v>
      </c>
      <c r="N2038" s="561">
        <v>0</v>
      </c>
    </row>
    <row r="2039" spans="1:16">
      <c r="C2039" s="561" t="s">
        <v>1198</v>
      </c>
      <c r="L2039" s="561">
        <v>0</v>
      </c>
      <c r="N2039" s="561">
        <v>0</v>
      </c>
    </row>
    <row r="2040" spans="1:16">
      <c r="C2040" s="561" t="s">
        <v>1199</v>
      </c>
      <c r="D2040" s="561">
        <v>12876</v>
      </c>
      <c r="E2040" s="561">
        <v>3862.8</v>
      </c>
      <c r="F2040" s="561">
        <v>9013.2000000000007</v>
      </c>
      <c r="G2040" s="561">
        <v>817</v>
      </c>
      <c r="H2040" s="561">
        <v>13285.996999999999</v>
      </c>
      <c r="I2040" s="561">
        <v>2</v>
      </c>
      <c r="J2040" s="561">
        <v>391.65800000000002</v>
      </c>
      <c r="K2040" s="561">
        <v>815</v>
      </c>
      <c r="L2040" s="561">
        <v>12876</v>
      </c>
      <c r="M2040" s="561">
        <v>12876</v>
      </c>
      <c r="N2040" s="561">
        <v>3862.8</v>
      </c>
      <c r="P2040" s="561">
        <v>9013.2000000000007</v>
      </c>
    </row>
    <row r="2041" spans="1:16">
      <c r="C2041" s="561" t="s">
        <v>1200</v>
      </c>
      <c r="L2041" s="561">
        <v>0</v>
      </c>
      <c r="N2041" s="561">
        <v>0</v>
      </c>
    </row>
    <row r="2042" spans="1:16">
      <c r="A2042" s="561">
        <v>16</v>
      </c>
      <c r="B2042" s="561" t="s">
        <v>1436</v>
      </c>
      <c r="C2042" s="561" t="s">
        <v>1206</v>
      </c>
      <c r="D2042" s="561">
        <v>445296</v>
      </c>
      <c r="E2042" s="561">
        <v>117080.1</v>
      </c>
      <c r="F2042" s="561">
        <v>328215.90000000002</v>
      </c>
      <c r="G2042" s="561">
        <v>6216</v>
      </c>
      <c r="H2042" s="561">
        <v>464269.913</v>
      </c>
      <c r="I2042" s="561">
        <v>25</v>
      </c>
      <c r="J2042" s="561">
        <v>17354</v>
      </c>
      <c r="K2042" s="561">
        <v>6191</v>
      </c>
      <c r="L2042" s="561">
        <v>445296</v>
      </c>
      <c r="M2042" s="561">
        <v>445296</v>
      </c>
      <c r="N2042" s="561">
        <v>117080.1</v>
      </c>
      <c r="O2042" s="561">
        <v>0</v>
      </c>
      <c r="P2042" s="561">
        <v>328215.90000000002</v>
      </c>
    </row>
    <row r="2043" spans="1:16">
      <c r="C2043" s="561" t="s">
        <v>1197</v>
      </c>
      <c r="D2043" s="561">
        <v>432029</v>
      </c>
      <c r="E2043" s="561">
        <v>115500</v>
      </c>
      <c r="F2043" s="561">
        <v>316529</v>
      </c>
      <c r="G2043" s="561">
        <v>5721</v>
      </c>
      <c r="H2043" s="561">
        <v>450407.81099999999</v>
      </c>
      <c r="I2043" s="561">
        <v>16</v>
      </c>
      <c r="J2043" s="561">
        <v>16885.143</v>
      </c>
      <c r="K2043" s="561">
        <v>5705</v>
      </c>
      <c r="L2043" s="561">
        <v>432029</v>
      </c>
      <c r="M2043" s="561">
        <v>432029</v>
      </c>
      <c r="N2043" s="561">
        <v>115500</v>
      </c>
    </row>
    <row r="2044" spans="1:16">
      <c r="C2044" s="561" t="s">
        <v>1198</v>
      </c>
      <c r="G2044" s="561">
        <v>1</v>
      </c>
      <c r="H2044" s="561">
        <v>255.416</v>
      </c>
      <c r="I2044" s="561">
        <v>1</v>
      </c>
      <c r="J2044" s="561">
        <v>255.416</v>
      </c>
      <c r="K2044" s="561">
        <v>0</v>
      </c>
      <c r="L2044" s="561">
        <v>0</v>
      </c>
      <c r="N2044" s="561">
        <v>0</v>
      </c>
    </row>
    <row r="2045" spans="1:16">
      <c r="C2045" s="561" t="s">
        <v>1199</v>
      </c>
      <c r="D2045" s="561">
        <v>13267</v>
      </c>
      <c r="E2045" s="561">
        <v>1580.1</v>
      </c>
      <c r="F2045" s="561">
        <v>11686.9</v>
      </c>
      <c r="G2045" s="561">
        <v>494</v>
      </c>
      <c r="H2045" s="561">
        <v>13606.686</v>
      </c>
      <c r="I2045" s="561">
        <v>8</v>
      </c>
      <c r="J2045" s="561">
        <v>213.441</v>
      </c>
      <c r="K2045" s="561">
        <v>486</v>
      </c>
      <c r="L2045" s="561">
        <v>13267</v>
      </c>
      <c r="M2045" s="561">
        <v>13267</v>
      </c>
      <c r="N2045" s="561">
        <v>1580.1</v>
      </c>
      <c r="P2045" s="561">
        <v>11686.9</v>
      </c>
    </row>
    <row r="2046" spans="1:16">
      <c r="C2046" s="561" t="s">
        <v>1200</v>
      </c>
      <c r="L2046" s="561">
        <v>0</v>
      </c>
      <c r="N2046" s="561">
        <v>0</v>
      </c>
    </row>
    <row r="2047" spans="1:16">
      <c r="A2047" s="561">
        <v>17</v>
      </c>
      <c r="B2047" s="561" t="s">
        <v>1437</v>
      </c>
      <c r="C2047" s="561" t="s">
        <v>1206</v>
      </c>
      <c r="D2047" s="561">
        <v>571589</v>
      </c>
      <c r="E2047" s="561">
        <v>164932.20000000001</v>
      </c>
      <c r="F2047" s="561">
        <v>406656.8</v>
      </c>
      <c r="G2047" s="561">
        <v>11761</v>
      </c>
      <c r="H2047" s="561">
        <v>594728.38199999998</v>
      </c>
      <c r="I2047" s="561">
        <v>83</v>
      </c>
      <c r="J2047" s="561">
        <v>21175.508999999998</v>
      </c>
      <c r="K2047" s="561">
        <v>11678</v>
      </c>
      <c r="L2047" s="561">
        <v>571589</v>
      </c>
      <c r="M2047" s="561">
        <v>571589</v>
      </c>
      <c r="N2047" s="561">
        <v>164932.20000000001</v>
      </c>
      <c r="O2047" s="561">
        <v>0</v>
      </c>
      <c r="P2047" s="561">
        <v>406656.8</v>
      </c>
    </row>
    <row r="2048" spans="1:16">
      <c r="C2048" s="561" t="s">
        <v>1197</v>
      </c>
      <c r="D2048" s="561">
        <v>511114.26799999998</v>
      </c>
      <c r="E2048" s="561">
        <v>155100</v>
      </c>
      <c r="F2048" s="561">
        <v>356014.26799999998</v>
      </c>
      <c r="G2048" s="561">
        <v>7839</v>
      </c>
      <c r="H2048" s="561">
        <v>530535.07700000005</v>
      </c>
      <c r="I2048" s="561">
        <v>38</v>
      </c>
      <c r="J2048" s="561">
        <v>19428.388999999999</v>
      </c>
      <c r="K2048" s="561">
        <v>7801</v>
      </c>
      <c r="L2048" s="561">
        <v>511114.26799999998</v>
      </c>
      <c r="M2048" s="561">
        <v>511114.26799999998</v>
      </c>
      <c r="N2048" s="561">
        <v>155100</v>
      </c>
    </row>
    <row r="2049" spans="1:16">
      <c r="C2049" s="561" t="s">
        <v>1198</v>
      </c>
      <c r="G2049" s="561">
        <v>1</v>
      </c>
      <c r="H2049" s="561">
        <v>288.57</v>
      </c>
      <c r="I2049" s="561">
        <v>1</v>
      </c>
      <c r="J2049" s="561">
        <v>288.57</v>
      </c>
      <c r="K2049" s="561">
        <v>0</v>
      </c>
      <c r="L2049" s="561">
        <v>0</v>
      </c>
      <c r="N2049" s="561">
        <v>0</v>
      </c>
    </row>
    <row r="2050" spans="1:16">
      <c r="C2050" s="561" t="s">
        <v>1199</v>
      </c>
      <c r="D2050" s="561">
        <v>60474.732000000004</v>
      </c>
      <c r="E2050" s="561">
        <v>9832.2000000000007</v>
      </c>
      <c r="F2050" s="561">
        <v>50642.532000000007</v>
      </c>
      <c r="G2050" s="561">
        <v>3921</v>
      </c>
      <c r="H2050" s="561">
        <v>63904.735000000001</v>
      </c>
      <c r="I2050" s="561">
        <v>44</v>
      </c>
      <c r="J2050" s="561">
        <v>1458.55</v>
      </c>
      <c r="K2050" s="561">
        <v>3877</v>
      </c>
      <c r="L2050" s="561">
        <v>60474.732000000004</v>
      </c>
      <c r="M2050" s="561">
        <v>60474.732000000004</v>
      </c>
      <c r="N2050" s="561">
        <v>9832.2000000000007</v>
      </c>
      <c r="P2050" s="561">
        <v>50642.532000000007</v>
      </c>
    </row>
    <row r="2051" spans="1:16">
      <c r="C2051" s="561" t="s">
        <v>1200</v>
      </c>
      <c r="L2051" s="561">
        <v>0</v>
      </c>
      <c r="N2051" s="561">
        <v>0</v>
      </c>
    </row>
    <row r="2052" spans="1:16">
      <c r="A2052" s="561">
        <v>18</v>
      </c>
      <c r="B2052" s="561" t="s">
        <v>1438</v>
      </c>
      <c r="C2052" s="561" t="s">
        <v>1206</v>
      </c>
      <c r="D2052" s="561">
        <v>108515</v>
      </c>
      <c r="E2052" s="561">
        <v>29231.4</v>
      </c>
      <c r="F2052" s="561">
        <v>79283.600000000006</v>
      </c>
      <c r="G2052" s="561">
        <v>1962</v>
      </c>
      <c r="H2052" s="561">
        <v>112774.549</v>
      </c>
      <c r="I2052" s="561">
        <v>19</v>
      </c>
      <c r="J2052" s="561">
        <v>3598.4839999999999</v>
      </c>
      <c r="K2052" s="561">
        <v>1943</v>
      </c>
      <c r="L2052" s="561">
        <v>108515</v>
      </c>
      <c r="M2052" s="561">
        <v>108515</v>
      </c>
      <c r="N2052" s="561">
        <v>29231.4</v>
      </c>
      <c r="O2052" s="561">
        <v>0</v>
      </c>
      <c r="P2052" s="561">
        <v>79283.600000000006</v>
      </c>
    </row>
    <row r="2053" spans="1:16">
      <c r="C2053" s="561" t="s">
        <v>1197</v>
      </c>
      <c r="D2053" s="561">
        <v>101129.35400000001</v>
      </c>
      <c r="E2053" s="561">
        <v>27300</v>
      </c>
      <c r="F2053" s="561">
        <v>73829.354000000007</v>
      </c>
      <c r="G2053" s="561">
        <v>1477</v>
      </c>
      <c r="H2053" s="561">
        <v>104085.80899999999</v>
      </c>
      <c r="I2053" s="561">
        <v>7</v>
      </c>
      <c r="J2053" s="561">
        <v>2956.4549999999999</v>
      </c>
      <c r="K2053" s="561">
        <v>1470</v>
      </c>
      <c r="L2053" s="561">
        <v>101129.35400000001</v>
      </c>
      <c r="M2053" s="561">
        <v>101129.35400000001</v>
      </c>
      <c r="N2053" s="561">
        <v>27300</v>
      </c>
    </row>
    <row r="2054" spans="1:16">
      <c r="C2054" s="561" t="s">
        <v>1198</v>
      </c>
      <c r="L2054" s="561">
        <v>0</v>
      </c>
      <c r="N2054" s="561">
        <v>0</v>
      </c>
    </row>
    <row r="2055" spans="1:16">
      <c r="C2055" s="561" t="s">
        <v>1199</v>
      </c>
      <c r="D2055" s="561">
        <v>7385.6459999999997</v>
      </c>
      <c r="E2055" s="561">
        <v>1931.4</v>
      </c>
      <c r="F2055" s="561">
        <v>5454.2459999999992</v>
      </c>
      <c r="G2055" s="561">
        <v>485</v>
      </c>
      <c r="H2055" s="561">
        <v>8688.74</v>
      </c>
      <c r="I2055" s="561">
        <v>12</v>
      </c>
      <c r="J2055" s="561">
        <v>642.029</v>
      </c>
      <c r="K2055" s="561">
        <v>473</v>
      </c>
      <c r="L2055" s="561">
        <v>7385.6459999999997</v>
      </c>
      <c r="M2055" s="561">
        <v>7385.6459999999997</v>
      </c>
      <c r="N2055" s="561">
        <v>1931.4</v>
      </c>
      <c r="P2055" s="561">
        <v>5454.2459999999992</v>
      </c>
    </row>
    <row r="2056" spans="1:16">
      <c r="C2056" s="561" t="s">
        <v>1200</v>
      </c>
      <c r="L2056" s="561">
        <v>0</v>
      </c>
      <c r="N2056" s="561">
        <v>0</v>
      </c>
    </row>
    <row r="2057" spans="1:16">
      <c r="A2057" s="561">
        <v>19</v>
      </c>
      <c r="B2057" s="561" t="s">
        <v>1439</v>
      </c>
      <c r="C2057" s="561" t="s">
        <v>1206</v>
      </c>
      <c r="D2057" s="561">
        <v>275176</v>
      </c>
      <c r="E2057" s="561">
        <v>82169.7</v>
      </c>
      <c r="F2057" s="561">
        <v>193006.3</v>
      </c>
      <c r="G2057" s="561">
        <v>4662</v>
      </c>
      <c r="H2057" s="561">
        <v>287933.63500000001</v>
      </c>
      <c r="I2057" s="561">
        <v>30</v>
      </c>
      <c r="J2057" s="561">
        <v>11148.733</v>
      </c>
      <c r="K2057" s="561">
        <v>4632</v>
      </c>
      <c r="L2057" s="561">
        <v>275176</v>
      </c>
      <c r="M2057" s="561">
        <v>275176</v>
      </c>
      <c r="N2057" s="561">
        <v>82169.7</v>
      </c>
      <c r="O2057" s="561">
        <v>0</v>
      </c>
      <c r="P2057" s="561">
        <v>193006.3</v>
      </c>
    </row>
    <row r="2058" spans="1:16">
      <c r="C2058" s="561" t="s">
        <v>1197</v>
      </c>
      <c r="D2058" s="561">
        <v>255277</v>
      </c>
      <c r="E2058" s="561">
        <v>76200</v>
      </c>
      <c r="F2058" s="561">
        <v>179077</v>
      </c>
      <c r="G2058" s="561">
        <v>3646</v>
      </c>
      <c r="H2058" s="561">
        <v>267295.17300000001</v>
      </c>
      <c r="I2058" s="561">
        <v>22</v>
      </c>
      <c r="J2058" s="561">
        <v>10658.26</v>
      </c>
      <c r="K2058" s="561">
        <v>3624</v>
      </c>
      <c r="L2058" s="561">
        <v>255277</v>
      </c>
      <c r="M2058" s="561">
        <v>255277</v>
      </c>
      <c r="N2058" s="561">
        <v>76200</v>
      </c>
    </row>
    <row r="2059" spans="1:16">
      <c r="C2059" s="561" t="s">
        <v>1198</v>
      </c>
      <c r="G2059" s="561">
        <v>1</v>
      </c>
      <c r="H2059" s="561">
        <v>224.86799999999999</v>
      </c>
      <c r="I2059" s="561">
        <v>1</v>
      </c>
      <c r="J2059" s="561">
        <v>157.40799999999999</v>
      </c>
      <c r="K2059" s="561">
        <v>0</v>
      </c>
      <c r="L2059" s="561">
        <v>0</v>
      </c>
      <c r="N2059" s="561">
        <v>0</v>
      </c>
    </row>
    <row r="2060" spans="1:16">
      <c r="C2060" s="561" t="s">
        <v>1199</v>
      </c>
      <c r="D2060" s="561">
        <v>19899</v>
      </c>
      <c r="E2060" s="561">
        <v>5969.7</v>
      </c>
      <c r="F2060" s="561">
        <v>13929.3</v>
      </c>
      <c r="G2060" s="561">
        <v>1015</v>
      </c>
      <c r="H2060" s="561">
        <v>20413.594000000001</v>
      </c>
      <c r="I2060" s="561">
        <v>7</v>
      </c>
      <c r="J2060" s="561">
        <v>333.065</v>
      </c>
      <c r="K2060" s="561">
        <v>1008</v>
      </c>
      <c r="L2060" s="561">
        <v>19899</v>
      </c>
      <c r="M2060" s="561">
        <v>19899</v>
      </c>
      <c r="N2060" s="561">
        <v>5969.7</v>
      </c>
      <c r="P2060" s="561">
        <v>13929.3</v>
      </c>
    </row>
    <row r="2061" spans="1:16">
      <c r="C2061" s="561" t="s">
        <v>1200</v>
      </c>
      <c r="L2061" s="561">
        <v>0</v>
      </c>
      <c r="N2061" s="561">
        <v>0</v>
      </c>
    </row>
    <row r="2062" spans="1:16">
      <c r="A2062" s="561">
        <v>20</v>
      </c>
      <c r="B2062" s="561" t="s">
        <v>1440</v>
      </c>
      <c r="C2062" s="561" t="s">
        <v>1206</v>
      </c>
      <c r="D2062" s="561">
        <v>47104.12</v>
      </c>
      <c r="E2062" s="561">
        <v>25759.200000000001</v>
      </c>
      <c r="F2062" s="561">
        <v>21344.920000000002</v>
      </c>
      <c r="G2062" s="561">
        <v>1021</v>
      </c>
      <c r="H2062" s="561">
        <v>51338.548999999999</v>
      </c>
      <c r="I2062" s="561">
        <v>45</v>
      </c>
      <c r="J2062" s="561">
        <v>4234.4290000000001</v>
      </c>
      <c r="K2062" s="561">
        <v>976</v>
      </c>
      <c r="L2062" s="561">
        <v>47104.12</v>
      </c>
      <c r="M2062" s="561">
        <v>47104.12</v>
      </c>
      <c r="N2062" s="561">
        <v>25759.200000000001</v>
      </c>
      <c r="O2062" s="561">
        <v>0</v>
      </c>
      <c r="P2062" s="561">
        <v>21344.920000000002</v>
      </c>
    </row>
    <row r="2063" spans="1:16">
      <c r="C2063" s="561" t="s">
        <v>1197</v>
      </c>
      <c r="D2063" s="561">
        <v>41413.158000000003</v>
      </c>
      <c r="E2063" s="561">
        <v>22950</v>
      </c>
      <c r="F2063" s="561">
        <v>18463.158000000003</v>
      </c>
      <c r="G2063" s="561">
        <v>614</v>
      </c>
      <c r="H2063" s="561">
        <v>44850.775000000001</v>
      </c>
      <c r="I2063" s="561">
        <v>12</v>
      </c>
      <c r="J2063" s="561">
        <v>3437.6170000000002</v>
      </c>
      <c r="K2063" s="561">
        <v>602</v>
      </c>
      <c r="L2063" s="561">
        <v>41413.158000000003</v>
      </c>
      <c r="M2063" s="561">
        <v>41413.158000000003</v>
      </c>
      <c r="N2063" s="561">
        <v>22950</v>
      </c>
    </row>
    <row r="2064" spans="1:16">
      <c r="C2064" s="561" t="s">
        <v>1198</v>
      </c>
      <c r="L2064" s="561">
        <v>0</v>
      </c>
      <c r="N2064" s="561">
        <v>0</v>
      </c>
    </row>
    <row r="2065" spans="1:16">
      <c r="C2065" s="561" t="s">
        <v>1199</v>
      </c>
      <c r="D2065" s="561">
        <v>5690.9619999999995</v>
      </c>
      <c r="E2065" s="561">
        <v>2809.2</v>
      </c>
      <c r="F2065" s="561">
        <v>2881.7619999999997</v>
      </c>
      <c r="G2065" s="561">
        <v>407</v>
      </c>
      <c r="H2065" s="561">
        <v>6487.7740000000003</v>
      </c>
      <c r="I2065" s="561">
        <v>33</v>
      </c>
      <c r="J2065" s="561">
        <v>796.81200000000001</v>
      </c>
      <c r="K2065" s="561">
        <v>374</v>
      </c>
      <c r="L2065" s="561">
        <v>5690.9619999999995</v>
      </c>
      <c r="M2065" s="561">
        <v>5690.9619999999995</v>
      </c>
      <c r="N2065" s="561">
        <v>2809.2</v>
      </c>
      <c r="P2065" s="561">
        <v>2881.7619999999997</v>
      </c>
    </row>
    <row r="2066" spans="1:16">
      <c r="C2066" s="561" t="s">
        <v>1200</v>
      </c>
      <c r="L2066" s="561">
        <v>0</v>
      </c>
      <c r="N2066" s="561">
        <v>0</v>
      </c>
    </row>
    <row r="2067" spans="1:16">
      <c r="B2067" s="561" t="s">
        <v>1441</v>
      </c>
      <c r="C2067" s="561" t="s">
        <v>1206</v>
      </c>
      <c r="D2067" s="561">
        <v>40499.168000000005</v>
      </c>
      <c r="E2067" s="561">
        <v>11627.964</v>
      </c>
      <c r="F2067" s="561">
        <v>28871.204000000002</v>
      </c>
      <c r="G2067" s="561">
        <v>861</v>
      </c>
      <c r="H2067" s="561">
        <v>44517.676999999996</v>
      </c>
      <c r="I2067" s="561">
        <v>7</v>
      </c>
      <c r="J2067" s="561">
        <v>1238.335</v>
      </c>
      <c r="K2067" s="561">
        <v>854</v>
      </c>
      <c r="L2067" s="561">
        <v>40499.168000000005</v>
      </c>
      <c r="M2067" s="561">
        <v>40499.168000000005</v>
      </c>
      <c r="N2067" s="561">
        <v>11627.964</v>
      </c>
      <c r="O2067" s="561">
        <v>0</v>
      </c>
      <c r="P2067" s="561">
        <v>28871.204000000002</v>
      </c>
    </row>
    <row r="2068" spans="1:16">
      <c r="C2068" s="561" t="s">
        <v>1197</v>
      </c>
      <c r="D2068" s="561">
        <v>35194.542000000001</v>
      </c>
      <c r="E2068" s="561">
        <v>10526.053</v>
      </c>
      <c r="F2068" s="561">
        <v>24668.489000000001</v>
      </c>
      <c r="G2068" s="561">
        <v>467</v>
      </c>
      <c r="H2068" s="561">
        <v>37884.442999999999</v>
      </c>
      <c r="I2068" s="561">
        <v>3</v>
      </c>
      <c r="J2068" s="561">
        <v>1181.1890000000001</v>
      </c>
      <c r="K2068" s="561">
        <v>464</v>
      </c>
      <c r="L2068" s="561">
        <v>35194.542000000001</v>
      </c>
      <c r="M2068" s="561">
        <v>35194.542000000001</v>
      </c>
      <c r="N2068" s="561">
        <v>10526.053</v>
      </c>
    </row>
    <row r="2069" spans="1:16">
      <c r="C2069" s="561" t="s">
        <v>1198</v>
      </c>
      <c r="L2069" s="561">
        <v>0</v>
      </c>
      <c r="N2069" s="561">
        <v>0</v>
      </c>
    </row>
    <row r="2070" spans="1:16">
      <c r="C2070" s="561" t="s">
        <v>1199</v>
      </c>
      <c r="D2070" s="561">
        <v>5304.6260000000002</v>
      </c>
      <c r="E2070" s="561">
        <v>1101.9110000000001</v>
      </c>
      <c r="F2070" s="561">
        <v>4202.7150000000001</v>
      </c>
      <c r="G2070" s="561">
        <v>394</v>
      </c>
      <c r="H2070" s="561">
        <v>6633.2340000000004</v>
      </c>
      <c r="I2070" s="561">
        <v>4</v>
      </c>
      <c r="J2070" s="561">
        <v>57.146000000000001</v>
      </c>
      <c r="K2070" s="561">
        <v>390</v>
      </c>
      <c r="L2070" s="561">
        <v>5304.6260000000002</v>
      </c>
      <c r="M2070" s="561">
        <v>5304.6260000000002</v>
      </c>
      <c r="N2070" s="561">
        <v>1101.9110000000001</v>
      </c>
      <c r="P2070" s="561">
        <v>4202.7150000000001</v>
      </c>
    </row>
    <row r="2071" spans="1:16">
      <c r="C2071" s="561" t="s">
        <v>1200</v>
      </c>
      <c r="L2071" s="561">
        <v>0</v>
      </c>
      <c r="N2071" s="561">
        <v>0</v>
      </c>
    </row>
    <row r="2072" spans="1:16">
      <c r="A2072" s="561">
        <v>21</v>
      </c>
      <c r="B2072" s="561" t="s">
        <v>1442</v>
      </c>
      <c r="C2072" s="561" t="s">
        <v>1206</v>
      </c>
      <c r="D2072" s="561">
        <v>253184</v>
      </c>
      <c r="E2072" s="561">
        <v>75801.899999999994</v>
      </c>
      <c r="F2072" s="561">
        <v>177382.09999999998</v>
      </c>
      <c r="G2072" s="561">
        <v>8091</v>
      </c>
      <c r="H2072" s="561">
        <v>267995.50199999998</v>
      </c>
      <c r="I2072" s="561">
        <v>198</v>
      </c>
      <c r="J2072" s="561">
        <v>11677.446</v>
      </c>
      <c r="K2072" s="561">
        <v>7893</v>
      </c>
      <c r="L2072" s="561">
        <v>253184</v>
      </c>
      <c r="M2072" s="561">
        <v>253184</v>
      </c>
      <c r="N2072" s="561">
        <v>75801.899999999994</v>
      </c>
      <c r="O2072" s="561">
        <v>0</v>
      </c>
      <c r="P2072" s="561">
        <v>177382.09999999998</v>
      </c>
    </row>
    <row r="2073" spans="1:16">
      <c r="C2073" s="561" t="s">
        <v>1197</v>
      </c>
      <c r="D2073" s="561">
        <v>194582.05499999999</v>
      </c>
      <c r="E2073" s="561">
        <v>60000</v>
      </c>
      <c r="F2073" s="561">
        <v>134582.05499999999</v>
      </c>
      <c r="G2073" s="561">
        <v>3405</v>
      </c>
      <c r="H2073" s="561">
        <v>202297.152</v>
      </c>
      <c r="I2073" s="561">
        <v>20</v>
      </c>
      <c r="J2073" s="561">
        <v>7722.6769999999997</v>
      </c>
      <c r="K2073" s="561">
        <v>3385</v>
      </c>
      <c r="L2073" s="561">
        <v>194582.05499999999</v>
      </c>
      <c r="M2073" s="561">
        <v>194582.05499999999</v>
      </c>
      <c r="N2073" s="561">
        <v>60000</v>
      </c>
    </row>
    <row r="2074" spans="1:16">
      <c r="C2074" s="561" t="s">
        <v>1198</v>
      </c>
      <c r="G2074" s="561">
        <v>1</v>
      </c>
      <c r="H2074" s="561">
        <v>288.57</v>
      </c>
      <c r="I2074" s="561">
        <v>1</v>
      </c>
      <c r="J2074" s="561">
        <v>288.57</v>
      </c>
      <c r="K2074" s="561">
        <v>0</v>
      </c>
      <c r="L2074" s="561">
        <v>0</v>
      </c>
      <c r="N2074" s="561">
        <v>0</v>
      </c>
    </row>
    <row r="2075" spans="1:16">
      <c r="C2075" s="561" t="s">
        <v>1199</v>
      </c>
      <c r="D2075" s="561">
        <v>58601.945</v>
      </c>
      <c r="E2075" s="561">
        <v>15801.9</v>
      </c>
      <c r="F2075" s="561">
        <v>42800.044999999998</v>
      </c>
      <c r="G2075" s="561">
        <v>4685</v>
      </c>
      <c r="H2075" s="561">
        <v>65409.78</v>
      </c>
      <c r="I2075" s="561">
        <v>177</v>
      </c>
      <c r="J2075" s="561">
        <v>3666.1990000000001</v>
      </c>
      <c r="K2075" s="561">
        <v>4508</v>
      </c>
      <c r="L2075" s="561">
        <v>58601.945</v>
      </c>
      <c r="M2075" s="561">
        <v>58601.945</v>
      </c>
      <c r="N2075" s="561">
        <v>15801.9</v>
      </c>
      <c r="P2075" s="561">
        <v>42800.044999999998</v>
      </c>
    </row>
    <row r="2076" spans="1:16">
      <c r="C2076" s="561" t="s">
        <v>1200</v>
      </c>
      <c r="L2076" s="561">
        <v>0</v>
      </c>
      <c r="N2076" s="561">
        <v>0</v>
      </c>
    </row>
    <row r="2077" spans="1:16">
      <c r="A2077" s="561">
        <v>22</v>
      </c>
      <c r="B2077" s="561" t="s">
        <v>1443</v>
      </c>
      <c r="C2077" s="561" t="s">
        <v>1206</v>
      </c>
      <c r="D2077" s="561">
        <v>130690</v>
      </c>
      <c r="E2077" s="561">
        <v>34907.4</v>
      </c>
      <c r="F2077" s="561">
        <v>95782.6</v>
      </c>
      <c r="G2077" s="561">
        <v>3024</v>
      </c>
      <c r="H2077" s="561">
        <v>136017.84899999999</v>
      </c>
      <c r="I2077" s="561">
        <v>15</v>
      </c>
      <c r="J2077" s="561">
        <v>4010.453</v>
      </c>
      <c r="K2077" s="561">
        <v>3009</v>
      </c>
      <c r="L2077" s="561">
        <v>130690</v>
      </c>
      <c r="M2077" s="561">
        <v>130690</v>
      </c>
      <c r="N2077" s="561">
        <v>34907.4</v>
      </c>
      <c r="O2077" s="561">
        <v>0</v>
      </c>
      <c r="P2077" s="561">
        <v>95782.6</v>
      </c>
    </row>
    <row r="2078" spans="1:16">
      <c r="C2078" s="561" t="s">
        <v>1197</v>
      </c>
      <c r="D2078" s="561">
        <v>106532</v>
      </c>
      <c r="E2078" s="561">
        <v>29640</v>
      </c>
      <c r="F2078" s="561">
        <v>76892</v>
      </c>
      <c r="G2078" s="561">
        <v>1556</v>
      </c>
      <c r="H2078" s="561">
        <v>110594.685</v>
      </c>
      <c r="I2078" s="561">
        <v>12</v>
      </c>
      <c r="J2078" s="561">
        <v>3798.0239999999999</v>
      </c>
      <c r="K2078" s="561">
        <v>1544</v>
      </c>
      <c r="L2078" s="561">
        <v>106532</v>
      </c>
      <c r="M2078" s="561">
        <v>106532</v>
      </c>
      <c r="N2078" s="561">
        <v>29640</v>
      </c>
    </row>
    <row r="2079" spans="1:16">
      <c r="C2079" s="561" t="s">
        <v>1198</v>
      </c>
      <c r="L2079" s="561">
        <v>0</v>
      </c>
      <c r="N2079" s="561">
        <v>0</v>
      </c>
    </row>
    <row r="2080" spans="1:16">
      <c r="C2080" s="561" t="s">
        <v>1199</v>
      </c>
      <c r="D2080" s="561">
        <v>24158</v>
      </c>
      <c r="E2080" s="561">
        <v>5267.4</v>
      </c>
      <c r="F2080" s="561">
        <v>18890.599999999999</v>
      </c>
      <c r="G2080" s="561">
        <v>1468</v>
      </c>
      <c r="H2080" s="561">
        <v>25423.164000000001</v>
      </c>
      <c r="I2080" s="561">
        <v>3</v>
      </c>
      <c r="J2080" s="561">
        <v>212.429</v>
      </c>
      <c r="K2080" s="561">
        <v>1465</v>
      </c>
      <c r="L2080" s="561">
        <v>24158</v>
      </c>
      <c r="M2080" s="561">
        <v>24158</v>
      </c>
      <c r="N2080" s="561">
        <v>5267.4</v>
      </c>
      <c r="P2080" s="561">
        <v>18890.599999999999</v>
      </c>
    </row>
    <row r="2081" spans="1:16">
      <c r="C2081" s="561" t="s">
        <v>1200</v>
      </c>
      <c r="L2081" s="561">
        <v>0</v>
      </c>
      <c r="N2081" s="561">
        <v>0</v>
      </c>
    </row>
    <row r="2082" spans="1:16">
      <c r="A2082" s="561">
        <v>23</v>
      </c>
      <c r="B2082" s="561" t="s">
        <v>1444</v>
      </c>
      <c r="C2082" s="561" t="s">
        <v>1206</v>
      </c>
      <c r="D2082" s="561">
        <v>134747.84299999999</v>
      </c>
      <c r="E2082" s="561">
        <v>32629.200000000001</v>
      </c>
      <c r="F2082" s="561">
        <v>102118.64300000001</v>
      </c>
      <c r="G2082" s="561">
        <v>2774</v>
      </c>
      <c r="H2082" s="561">
        <v>139752.17799999999</v>
      </c>
      <c r="I2082" s="561">
        <v>56</v>
      </c>
      <c r="J2082" s="561">
        <v>5004.335</v>
      </c>
      <c r="K2082" s="561">
        <v>2718</v>
      </c>
      <c r="L2082" s="561">
        <v>134747.84299999999</v>
      </c>
      <c r="M2082" s="561">
        <v>134747.84299999999</v>
      </c>
      <c r="N2082" s="561">
        <v>32629.200000000001</v>
      </c>
      <c r="O2082" s="561">
        <v>0</v>
      </c>
      <c r="P2082" s="561">
        <v>102118.64300000001</v>
      </c>
    </row>
    <row r="2083" spans="1:16">
      <c r="C2083" s="561" t="s">
        <v>1197</v>
      </c>
      <c r="D2083" s="561">
        <v>122673.22900000001</v>
      </c>
      <c r="E2083" s="561">
        <v>29820</v>
      </c>
      <c r="F2083" s="561">
        <v>92853.229000000007</v>
      </c>
      <c r="G2083" s="561">
        <v>1938</v>
      </c>
      <c r="H2083" s="561">
        <v>127170.423</v>
      </c>
      <c r="I2083" s="561">
        <v>28</v>
      </c>
      <c r="J2083" s="561">
        <v>4497.1940000000004</v>
      </c>
      <c r="K2083" s="561">
        <v>1910</v>
      </c>
      <c r="L2083" s="561">
        <v>122673.22900000001</v>
      </c>
      <c r="M2083" s="561">
        <v>122673.22900000001</v>
      </c>
      <c r="N2083" s="561">
        <v>29820</v>
      </c>
    </row>
    <row r="2084" spans="1:16">
      <c r="C2084" s="561" t="s">
        <v>1198</v>
      </c>
      <c r="L2084" s="561">
        <v>0</v>
      </c>
      <c r="N2084" s="561">
        <v>0</v>
      </c>
    </row>
    <row r="2085" spans="1:16">
      <c r="C2085" s="561" t="s">
        <v>1199</v>
      </c>
      <c r="D2085" s="561">
        <v>12074.614</v>
      </c>
      <c r="E2085" s="561">
        <v>2809.2</v>
      </c>
      <c r="F2085" s="561">
        <v>9265.4140000000007</v>
      </c>
      <c r="G2085" s="561">
        <v>836</v>
      </c>
      <c r="H2085" s="561">
        <v>12581.754999999999</v>
      </c>
      <c r="I2085" s="561">
        <v>28</v>
      </c>
      <c r="J2085" s="561">
        <v>507.14100000000002</v>
      </c>
      <c r="K2085" s="561">
        <v>808</v>
      </c>
      <c r="L2085" s="561">
        <v>12074.614</v>
      </c>
      <c r="M2085" s="561">
        <v>12074.614</v>
      </c>
      <c r="N2085" s="561">
        <v>2809.2</v>
      </c>
      <c r="P2085" s="561">
        <v>9265.4140000000007</v>
      </c>
    </row>
    <row r="2086" spans="1:16">
      <c r="C2086" s="561" t="s">
        <v>1200</v>
      </c>
      <c r="L2086" s="561">
        <v>0</v>
      </c>
      <c r="N2086" s="561">
        <v>0</v>
      </c>
    </row>
    <row r="2087" spans="1:16">
      <c r="A2087" s="561">
        <v>24</v>
      </c>
      <c r="B2087" s="561" t="s">
        <v>1445</v>
      </c>
      <c r="C2087" s="561" t="s">
        <v>1206</v>
      </c>
      <c r="D2087" s="561">
        <v>149492</v>
      </c>
      <c r="E2087" s="561">
        <v>42390</v>
      </c>
      <c r="F2087" s="561">
        <v>107102</v>
      </c>
      <c r="G2087" s="561">
        <v>5156</v>
      </c>
      <c r="H2087" s="561">
        <v>154188.40000000002</v>
      </c>
      <c r="I2087" s="561">
        <v>36</v>
      </c>
      <c r="J2087" s="561">
        <v>3991.5749999999998</v>
      </c>
      <c r="K2087" s="561">
        <v>5120</v>
      </c>
      <c r="L2087" s="561">
        <v>149492</v>
      </c>
      <c r="M2087" s="561">
        <v>149492</v>
      </c>
      <c r="N2087" s="561">
        <v>42390</v>
      </c>
      <c r="O2087" s="561">
        <v>0</v>
      </c>
      <c r="P2087" s="561">
        <v>107102</v>
      </c>
    </row>
    <row r="2088" spans="1:16">
      <c r="C2088" s="561" t="s">
        <v>1197</v>
      </c>
      <c r="D2088" s="561">
        <v>95692</v>
      </c>
      <c r="E2088" s="561">
        <v>27150</v>
      </c>
      <c r="F2088" s="561">
        <v>68542</v>
      </c>
      <c r="G2088" s="561">
        <v>1491</v>
      </c>
      <c r="H2088" s="561">
        <v>98882.267000000007</v>
      </c>
      <c r="I2088" s="561">
        <v>4</v>
      </c>
      <c r="J2088" s="561">
        <v>2749.1309999999999</v>
      </c>
      <c r="K2088" s="561">
        <v>1487</v>
      </c>
      <c r="L2088" s="561">
        <v>95692</v>
      </c>
      <c r="M2088" s="561">
        <v>95692</v>
      </c>
      <c r="N2088" s="561">
        <v>27150</v>
      </c>
    </row>
    <row r="2089" spans="1:16">
      <c r="C2089" s="561" t="s">
        <v>1198</v>
      </c>
      <c r="L2089" s="561">
        <v>0</v>
      </c>
      <c r="N2089" s="561">
        <v>0</v>
      </c>
    </row>
    <row r="2090" spans="1:16">
      <c r="C2090" s="561" t="s">
        <v>1199</v>
      </c>
      <c r="D2090" s="561">
        <v>53800</v>
      </c>
      <c r="E2090" s="561">
        <v>15240</v>
      </c>
      <c r="F2090" s="561">
        <v>38560</v>
      </c>
      <c r="G2090" s="561">
        <v>3665</v>
      </c>
      <c r="H2090" s="561">
        <v>55306.133000000002</v>
      </c>
      <c r="I2090" s="561">
        <v>32</v>
      </c>
      <c r="J2090" s="561">
        <v>1242.444</v>
      </c>
      <c r="K2090" s="561">
        <v>3633</v>
      </c>
      <c r="L2090" s="561">
        <v>53800</v>
      </c>
      <c r="M2090" s="561">
        <v>53800</v>
      </c>
      <c r="N2090" s="561">
        <v>15240</v>
      </c>
      <c r="P2090" s="561">
        <v>38560</v>
      </c>
    </row>
    <row r="2091" spans="1:16">
      <c r="C2091" s="561" t="s">
        <v>1200</v>
      </c>
      <c r="L2091" s="561">
        <v>0</v>
      </c>
      <c r="N2091" s="561">
        <v>0</v>
      </c>
    </row>
    <row r="2092" spans="1:16">
      <c r="A2092" s="561">
        <v>25</v>
      </c>
      <c r="B2092" s="561" t="s">
        <v>1446</v>
      </c>
      <c r="C2092" s="561" t="s">
        <v>1206</v>
      </c>
      <c r="D2092" s="561">
        <v>121448</v>
      </c>
      <c r="E2092" s="561">
        <v>32776.800000000003</v>
      </c>
      <c r="F2092" s="561">
        <v>88671.2</v>
      </c>
      <c r="G2092" s="561">
        <v>3900</v>
      </c>
      <c r="H2092" s="561">
        <v>129780.27499999999</v>
      </c>
      <c r="I2092" s="561">
        <v>121</v>
      </c>
      <c r="J2092" s="561">
        <v>6253.9570000000003</v>
      </c>
      <c r="K2092" s="561">
        <v>3779</v>
      </c>
      <c r="L2092" s="561">
        <v>121448</v>
      </c>
      <c r="M2092" s="561">
        <v>121448</v>
      </c>
      <c r="N2092" s="561">
        <v>32776.800000000003</v>
      </c>
      <c r="O2092" s="561">
        <v>0</v>
      </c>
      <c r="P2092" s="561">
        <v>88671.2</v>
      </c>
    </row>
    <row r="2093" spans="1:16">
      <c r="C2093" s="561" t="s">
        <v>1197</v>
      </c>
      <c r="D2093" s="561">
        <v>77992</v>
      </c>
      <c r="E2093" s="561">
        <v>21540</v>
      </c>
      <c r="F2093" s="561">
        <v>56452</v>
      </c>
      <c r="G2093" s="561">
        <v>1080</v>
      </c>
      <c r="H2093" s="561">
        <v>83975.808999999994</v>
      </c>
      <c r="I2093" s="561">
        <v>25</v>
      </c>
      <c r="J2093" s="561">
        <v>4728.9859999999999</v>
      </c>
      <c r="K2093" s="561">
        <v>1055</v>
      </c>
      <c r="L2093" s="561">
        <v>77992</v>
      </c>
      <c r="M2093" s="561">
        <v>77992</v>
      </c>
      <c r="N2093" s="561">
        <v>21540</v>
      </c>
    </row>
    <row r="2094" spans="1:16">
      <c r="C2094" s="561" t="s">
        <v>1198</v>
      </c>
      <c r="L2094" s="561">
        <v>0</v>
      </c>
      <c r="N2094" s="561">
        <v>0</v>
      </c>
    </row>
    <row r="2095" spans="1:16">
      <c r="C2095" s="561" t="s">
        <v>1199</v>
      </c>
      <c r="D2095" s="561">
        <v>43456</v>
      </c>
      <c r="E2095" s="561">
        <v>11236.8</v>
      </c>
      <c r="F2095" s="561">
        <v>32219.200000000001</v>
      </c>
      <c r="G2095" s="561">
        <v>2820</v>
      </c>
      <c r="H2095" s="561">
        <v>45804.466</v>
      </c>
      <c r="I2095" s="561">
        <v>96</v>
      </c>
      <c r="J2095" s="561">
        <v>1524.971</v>
      </c>
      <c r="K2095" s="561">
        <v>2724</v>
      </c>
      <c r="L2095" s="561">
        <v>43456</v>
      </c>
      <c r="M2095" s="561">
        <v>43456</v>
      </c>
      <c r="N2095" s="561">
        <v>11236.8</v>
      </c>
      <c r="P2095" s="561">
        <v>32219.200000000001</v>
      </c>
    </row>
    <row r="2096" spans="1:16">
      <c r="C2096" s="561" t="s">
        <v>1200</v>
      </c>
      <c r="L2096" s="561">
        <v>0</v>
      </c>
      <c r="N2096" s="561">
        <v>0</v>
      </c>
    </row>
    <row r="2097" spans="1:16">
      <c r="A2097" s="561">
        <v>26</v>
      </c>
      <c r="B2097" s="561" t="s">
        <v>1447</v>
      </c>
      <c r="C2097" s="561" t="s">
        <v>1206</v>
      </c>
      <c r="D2097" s="561">
        <v>107965</v>
      </c>
      <c r="E2097" s="561">
        <v>31693.8</v>
      </c>
      <c r="F2097" s="561">
        <v>76271.199999999997</v>
      </c>
      <c r="G2097" s="561">
        <v>2602</v>
      </c>
      <c r="H2097" s="561">
        <v>117340.56700000001</v>
      </c>
      <c r="I2097" s="561">
        <v>42</v>
      </c>
      <c r="J2097" s="561">
        <v>5286.9790000000003</v>
      </c>
      <c r="K2097" s="561">
        <v>2560</v>
      </c>
      <c r="L2097" s="561">
        <v>107965</v>
      </c>
      <c r="M2097" s="561">
        <v>107965</v>
      </c>
      <c r="N2097" s="561">
        <v>31693.8</v>
      </c>
      <c r="O2097" s="561">
        <v>0</v>
      </c>
      <c r="P2097" s="561">
        <v>76271.199999999997</v>
      </c>
    </row>
    <row r="2098" spans="1:16">
      <c r="C2098" s="561" t="s">
        <v>1197</v>
      </c>
      <c r="D2098" s="561">
        <v>91919</v>
      </c>
      <c r="E2098" s="561">
        <v>27480</v>
      </c>
      <c r="F2098" s="561">
        <v>64439</v>
      </c>
      <c r="G2098" s="561">
        <v>1495</v>
      </c>
      <c r="H2098" s="561">
        <v>100047.376</v>
      </c>
      <c r="I2098" s="561">
        <v>12</v>
      </c>
      <c r="J2098" s="561">
        <v>4301.91</v>
      </c>
      <c r="K2098" s="561">
        <v>1483</v>
      </c>
      <c r="L2098" s="561">
        <v>91919</v>
      </c>
      <c r="M2098" s="561">
        <v>91919</v>
      </c>
      <c r="N2098" s="561">
        <v>27480</v>
      </c>
    </row>
    <row r="2099" spans="1:16">
      <c r="C2099" s="561" t="s">
        <v>1198</v>
      </c>
      <c r="G2099" s="561">
        <v>1</v>
      </c>
      <c r="H2099" s="561">
        <v>189.792</v>
      </c>
      <c r="I2099" s="561">
        <v>1</v>
      </c>
      <c r="J2099" s="561">
        <v>189.792</v>
      </c>
      <c r="K2099" s="561">
        <v>0</v>
      </c>
      <c r="L2099" s="561">
        <v>0</v>
      </c>
      <c r="N2099" s="561">
        <v>0</v>
      </c>
    </row>
    <row r="2100" spans="1:16">
      <c r="C2100" s="561" t="s">
        <v>1199</v>
      </c>
      <c r="D2100" s="561">
        <v>16046</v>
      </c>
      <c r="E2100" s="561">
        <v>4213.8</v>
      </c>
      <c r="F2100" s="561">
        <v>11832.2</v>
      </c>
      <c r="G2100" s="561">
        <v>1106</v>
      </c>
      <c r="H2100" s="561">
        <v>17103.399000000001</v>
      </c>
      <c r="I2100" s="561">
        <v>29</v>
      </c>
      <c r="J2100" s="561">
        <v>795.27700000000004</v>
      </c>
      <c r="K2100" s="561">
        <v>1077</v>
      </c>
      <c r="L2100" s="561">
        <v>16046</v>
      </c>
      <c r="M2100" s="561">
        <v>16046</v>
      </c>
      <c r="N2100" s="561">
        <v>4213.8</v>
      </c>
      <c r="P2100" s="561">
        <v>11832.2</v>
      </c>
    </row>
    <row r="2101" spans="1:16">
      <c r="C2101" s="561" t="s">
        <v>1200</v>
      </c>
      <c r="L2101" s="561">
        <v>0</v>
      </c>
      <c r="N2101" s="561">
        <v>0</v>
      </c>
    </row>
    <row r="2102" spans="1:16">
      <c r="A2102" s="561">
        <v>27</v>
      </c>
      <c r="B2102" s="561" t="s">
        <v>1448</v>
      </c>
      <c r="C2102" s="561" t="s">
        <v>1206</v>
      </c>
      <c r="D2102" s="561">
        <v>149321</v>
      </c>
      <c r="E2102" s="561">
        <v>33865.800000000003</v>
      </c>
      <c r="F2102" s="561">
        <v>115455.2</v>
      </c>
      <c r="G2102" s="561">
        <v>2931</v>
      </c>
      <c r="H2102" s="561">
        <v>157401.592</v>
      </c>
      <c r="I2102" s="561">
        <v>44</v>
      </c>
      <c r="J2102" s="561">
        <v>6137.768</v>
      </c>
      <c r="K2102" s="561">
        <v>2887</v>
      </c>
      <c r="L2102" s="561">
        <v>149321</v>
      </c>
      <c r="M2102" s="561">
        <v>149321</v>
      </c>
      <c r="N2102" s="561">
        <v>33865.800000000003</v>
      </c>
      <c r="O2102" s="561">
        <v>0</v>
      </c>
      <c r="P2102" s="561">
        <v>115455.2</v>
      </c>
    </row>
    <row r="2103" spans="1:16">
      <c r="C2103" s="561" t="s">
        <v>1197</v>
      </c>
      <c r="D2103" s="561">
        <v>131945</v>
      </c>
      <c r="E2103" s="561">
        <v>30003</v>
      </c>
      <c r="F2103" s="561">
        <v>101942</v>
      </c>
      <c r="G2103" s="561">
        <v>1862</v>
      </c>
      <c r="H2103" s="561">
        <v>139150.43</v>
      </c>
      <c r="I2103" s="561">
        <v>14</v>
      </c>
      <c r="J2103" s="561">
        <v>5700.5389999999998</v>
      </c>
      <c r="K2103" s="561">
        <v>1848</v>
      </c>
      <c r="L2103" s="561">
        <v>131945</v>
      </c>
      <c r="M2103" s="561">
        <v>131945</v>
      </c>
      <c r="N2103" s="561">
        <v>30003</v>
      </c>
    </row>
    <row r="2104" spans="1:16">
      <c r="C2104" s="561" t="s">
        <v>1198</v>
      </c>
      <c r="L2104" s="561">
        <v>0</v>
      </c>
      <c r="N2104" s="561">
        <v>0</v>
      </c>
    </row>
    <row r="2105" spans="1:16">
      <c r="C2105" s="561" t="s">
        <v>1199</v>
      </c>
      <c r="D2105" s="561">
        <v>17376</v>
      </c>
      <c r="E2105" s="561">
        <v>3862.8</v>
      </c>
      <c r="F2105" s="561">
        <v>13513.2</v>
      </c>
      <c r="G2105" s="561">
        <v>1069</v>
      </c>
      <c r="H2105" s="561">
        <v>18251.162</v>
      </c>
      <c r="I2105" s="561">
        <v>30</v>
      </c>
      <c r="J2105" s="561">
        <v>437.22899999999998</v>
      </c>
      <c r="K2105" s="561">
        <v>1039</v>
      </c>
      <c r="L2105" s="561">
        <v>17376</v>
      </c>
      <c r="M2105" s="561">
        <v>17376</v>
      </c>
      <c r="N2105" s="561">
        <v>3862.8</v>
      </c>
      <c r="P2105" s="561">
        <v>13513.2</v>
      </c>
    </row>
    <row r="2106" spans="1:16">
      <c r="C2106" s="561" t="s">
        <v>1200</v>
      </c>
      <c r="L2106" s="561">
        <v>0</v>
      </c>
      <c r="N2106" s="561">
        <v>0</v>
      </c>
    </row>
    <row r="2107" spans="1:16">
      <c r="A2107" s="561">
        <v>28</v>
      </c>
      <c r="B2107" s="561" t="s">
        <v>1449</v>
      </c>
      <c r="C2107" s="561" t="s">
        <v>1206</v>
      </c>
      <c r="D2107" s="561">
        <v>152538</v>
      </c>
      <c r="E2107" s="561">
        <v>45313.8</v>
      </c>
      <c r="F2107" s="561">
        <v>107224.19999999998</v>
      </c>
      <c r="G2107" s="561">
        <v>3174</v>
      </c>
      <c r="H2107" s="561">
        <v>158989.261</v>
      </c>
      <c r="I2107" s="561">
        <v>34</v>
      </c>
      <c r="J2107" s="561">
        <v>6329.7179999999998</v>
      </c>
      <c r="K2107" s="561">
        <v>3140</v>
      </c>
      <c r="L2107" s="561">
        <v>152538</v>
      </c>
      <c r="M2107" s="561">
        <v>152538</v>
      </c>
      <c r="N2107" s="561">
        <v>45313.8</v>
      </c>
      <c r="O2107" s="561">
        <v>0</v>
      </c>
      <c r="P2107" s="561">
        <v>107224.19999999998</v>
      </c>
    </row>
    <row r="2108" spans="1:16">
      <c r="C2108" s="561" t="s">
        <v>1197</v>
      </c>
      <c r="D2108" s="561">
        <v>134789.04999999999</v>
      </c>
      <c r="E2108" s="561">
        <v>41100</v>
      </c>
      <c r="F2108" s="561">
        <v>93689.049999999988</v>
      </c>
      <c r="G2108" s="561">
        <v>2028</v>
      </c>
      <c r="H2108" s="561">
        <v>140544.24100000001</v>
      </c>
      <c r="I2108" s="561">
        <v>16</v>
      </c>
      <c r="J2108" s="561">
        <v>5633.6480000000001</v>
      </c>
      <c r="K2108" s="561">
        <v>2012</v>
      </c>
      <c r="L2108" s="561">
        <v>134789.04999999999</v>
      </c>
      <c r="M2108" s="561">
        <v>134789.04999999999</v>
      </c>
      <c r="N2108" s="561">
        <v>41100</v>
      </c>
    </row>
    <row r="2109" spans="1:16">
      <c r="C2109" s="561" t="s">
        <v>1198</v>
      </c>
      <c r="L2109" s="561">
        <v>0</v>
      </c>
      <c r="N2109" s="561">
        <v>0</v>
      </c>
    </row>
    <row r="2110" spans="1:16">
      <c r="C2110" s="561" t="s">
        <v>1199</v>
      </c>
      <c r="D2110" s="561">
        <v>17748.95</v>
      </c>
      <c r="E2110" s="561">
        <v>4213.8</v>
      </c>
      <c r="F2110" s="561">
        <v>13535.150000000001</v>
      </c>
      <c r="G2110" s="561">
        <v>1146</v>
      </c>
      <c r="H2110" s="561">
        <v>18445.02</v>
      </c>
      <c r="I2110" s="561">
        <v>18</v>
      </c>
      <c r="J2110" s="561">
        <v>696.07</v>
      </c>
      <c r="K2110" s="561">
        <v>1128</v>
      </c>
      <c r="L2110" s="561">
        <v>17748.95</v>
      </c>
      <c r="M2110" s="561">
        <v>17748.95</v>
      </c>
      <c r="N2110" s="561">
        <v>4213.8</v>
      </c>
      <c r="P2110" s="561">
        <v>13535.150000000001</v>
      </c>
    </row>
    <row r="2111" spans="1:16">
      <c r="C2111" s="561" t="s">
        <v>1200</v>
      </c>
      <c r="L2111" s="561">
        <v>0</v>
      </c>
      <c r="N2111" s="561">
        <v>0</v>
      </c>
    </row>
    <row r="2112" spans="1:16">
      <c r="A2112" s="561">
        <v>29</v>
      </c>
      <c r="B2112" s="561" t="s">
        <v>1450</v>
      </c>
      <c r="C2112" s="561" t="s">
        <v>1206</v>
      </c>
      <c r="D2112" s="561">
        <v>164373</v>
      </c>
      <c r="E2112" s="561">
        <v>49254.3</v>
      </c>
      <c r="F2112" s="561">
        <v>115118.7</v>
      </c>
      <c r="G2112" s="561">
        <v>4556</v>
      </c>
      <c r="H2112" s="561">
        <v>172441.54300000001</v>
      </c>
      <c r="I2112" s="561">
        <v>240</v>
      </c>
      <c r="J2112" s="561">
        <v>7392.4679999999998</v>
      </c>
      <c r="K2112" s="561">
        <v>4316</v>
      </c>
      <c r="L2112" s="561">
        <v>164373</v>
      </c>
      <c r="M2112" s="561">
        <v>164373</v>
      </c>
      <c r="N2112" s="561">
        <v>49254.3</v>
      </c>
      <c r="O2112" s="561">
        <v>0</v>
      </c>
      <c r="P2112" s="561">
        <v>115118.7</v>
      </c>
    </row>
    <row r="2113" spans="1:16">
      <c r="C2113" s="561" t="s">
        <v>1197</v>
      </c>
      <c r="D2113" s="561">
        <v>135792</v>
      </c>
      <c r="E2113" s="561">
        <v>41880</v>
      </c>
      <c r="F2113" s="561">
        <v>93912</v>
      </c>
      <c r="G2113" s="561">
        <v>2238</v>
      </c>
      <c r="H2113" s="561">
        <v>140671.38500000001</v>
      </c>
      <c r="I2113" s="561">
        <v>23</v>
      </c>
      <c r="J2113" s="561">
        <v>4414.5709999999999</v>
      </c>
      <c r="K2113" s="561">
        <v>2215</v>
      </c>
      <c r="L2113" s="561">
        <v>135792</v>
      </c>
      <c r="M2113" s="561">
        <v>135792</v>
      </c>
      <c r="N2113" s="561">
        <v>41880</v>
      </c>
    </row>
    <row r="2114" spans="1:16">
      <c r="C2114" s="561" t="s">
        <v>1198</v>
      </c>
      <c r="L2114" s="561">
        <v>0</v>
      </c>
      <c r="N2114" s="561">
        <v>0</v>
      </c>
    </row>
    <row r="2115" spans="1:16">
      <c r="C2115" s="561" t="s">
        <v>1199</v>
      </c>
      <c r="D2115" s="561">
        <v>28581</v>
      </c>
      <c r="E2115" s="561">
        <v>7374.3</v>
      </c>
      <c r="F2115" s="561">
        <v>21206.7</v>
      </c>
      <c r="G2115" s="561">
        <v>2318</v>
      </c>
      <c r="H2115" s="561">
        <v>31770.157999999999</v>
      </c>
      <c r="I2115" s="561">
        <v>217</v>
      </c>
      <c r="J2115" s="561">
        <v>2977.8969999999999</v>
      </c>
      <c r="K2115" s="561">
        <v>2101</v>
      </c>
      <c r="L2115" s="561">
        <v>28581</v>
      </c>
      <c r="M2115" s="561">
        <v>28581</v>
      </c>
      <c r="N2115" s="561">
        <v>7374.3</v>
      </c>
      <c r="P2115" s="561">
        <v>21206.7</v>
      </c>
    </row>
    <row r="2116" spans="1:16">
      <c r="C2116" s="561" t="s">
        <v>1200</v>
      </c>
      <c r="L2116" s="561">
        <v>0</v>
      </c>
      <c r="N2116" s="561">
        <v>0</v>
      </c>
    </row>
    <row r="2117" spans="1:16">
      <c r="A2117" s="561">
        <v>30</v>
      </c>
      <c r="B2117" s="561" t="s">
        <v>1451</v>
      </c>
      <c r="C2117" s="561" t="s">
        <v>1206</v>
      </c>
      <c r="D2117" s="561">
        <v>166580</v>
      </c>
      <c r="E2117" s="561">
        <v>49820.7</v>
      </c>
      <c r="F2117" s="561">
        <v>116759.29999999999</v>
      </c>
      <c r="G2117" s="561">
        <v>3464</v>
      </c>
      <c r="H2117" s="561">
        <v>176509.50400000002</v>
      </c>
      <c r="I2117" s="561">
        <v>106</v>
      </c>
      <c r="J2117" s="561">
        <v>9330.366</v>
      </c>
      <c r="K2117" s="561">
        <v>3358</v>
      </c>
      <c r="L2117" s="561">
        <v>166580</v>
      </c>
      <c r="M2117" s="561">
        <v>166580</v>
      </c>
      <c r="N2117" s="561">
        <v>49820.7</v>
      </c>
      <c r="O2117" s="561">
        <v>0</v>
      </c>
      <c r="P2117" s="561">
        <v>116759.29999999999</v>
      </c>
    </row>
    <row r="2118" spans="1:16">
      <c r="C2118" s="561" t="s">
        <v>1197</v>
      </c>
      <c r="D2118" s="561">
        <v>137891.00899999999</v>
      </c>
      <c r="E2118" s="561">
        <v>43500</v>
      </c>
      <c r="F2118" s="561">
        <v>94391.008999999991</v>
      </c>
      <c r="G2118" s="561">
        <v>1768</v>
      </c>
      <c r="H2118" s="561">
        <v>145768.641</v>
      </c>
      <c r="I2118" s="561">
        <v>18</v>
      </c>
      <c r="J2118" s="561">
        <v>7888.9620000000004</v>
      </c>
      <c r="K2118" s="561">
        <v>1750</v>
      </c>
      <c r="L2118" s="561">
        <v>137891.00899999999</v>
      </c>
      <c r="M2118" s="561">
        <v>137891.00899999999</v>
      </c>
      <c r="N2118" s="561">
        <v>43500</v>
      </c>
    </row>
    <row r="2119" spans="1:16">
      <c r="C2119" s="561" t="s">
        <v>1198</v>
      </c>
      <c r="L2119" s="561">
        <v>0</v>
      </c>
      <c r="N2119" s="561">
        <v>0</v>
      </c>
    </row>
    <row r="2120" spans="1:16">
      <c r="C2120" s="561" t="s">
        <v>1199</v>
      </c>
      <c r="D2120" s="561">
        <v>28688.991000000002</v>
      </c>
      <c r="E2120" s="561">
        <v>6320.7</v>
      </c>
      <c r="F2120" s="561">
        <v>22368.291000000001</v>
      </c>
      <c r="G2120" s="561">
        <v>1696</v>
      </c>
      <c r="H2120" s="561">
        <v>30740.863000000001</v>
      </c>
      <c r="I2120" s="561">
        <v>88</v>
      </c>
      <c r="J2120" s="561">
        <v>1441.404</v>
      </c>
      <c r="K2120" s="561">
        <v>1608</v>
      </c>
      <c r="L2120" s="561">
        <v>28688.991000000002</v>
      </c>
      <c r="M2120" s="561">
        <v>28688.991000000002</v>
      </c>
      <c r="N2120" s="561">
        <v>6320.7</v>
      </c>
      <c r="P2120" s="561">
        <v>22368.291000000001</v>
      </c>
    </row>
    <row r="2121" spans="1:16">
      <c r="C2121" s="561" t="s">
        <v>1200</v>
      </c>
      <c r="L2121" s="561">
        <v>0</v>
      </c>
      <c r="N2121" s="561">
        <v>0</v>
      </c>
    </row>
    <row r="2122" spans="1:16">
      <c r="A2122" s="561">
        <v>31</v>
      </c>
      <c r="B2122" s="561" t="s">
        <v>1452</v>
      </c>
      <c r="C2122" s="561" t="s">
        <v>1206</v>
      </c>
      <c r="D2122" s="561">
        <v>296699.68800000002</v>
      </c>
      <c r="E2122" s="561">
        <v>89588.1</v>
      </c>
      <c r="F2122" s="561">
        <v>207111.58800000002</v>
      </c>
      <c r="G2122" s="561">
        <v>7346</v>
      </c>
      <c r="H2122" s="561">
        <v>304126.97100000002</v>
      </c>
      <c r="I2122" s="561">
        <v>21</v>
      </c>
      <c r="J2122" s="561">
        <v>7427.2829999999994</v>
      </c>
      <c r="K2122" s="561">
        <v>7325</v>
      </c>
      <c r="L2122" s="561">
        <v>296699.68800000002</v>
      </c>
      <c r="M2122" s="561">
        <v>296699.68800000002</v>
      </c>
      <c r="N2122" s="561">
        <v>89588.1</v>
      </c>
      <c r="O2122" s="561">
        <v>0</v>
      </c>
      <c r="P2122" s="561">
        <v>207111.58800000002</v>
      </c>
    </row>
    <row r="2123" spans="1:16">
      <c r="C2123" s="561" t="s">
        <v>1197</v>
      </c>
      <c r="D2123" s="561">
        <v>252156.98</v>
      </c>
      <c r="E2123" s="561">
        <v>78000</v>
      </c>
      <c r="F2123" s="561">
        <v>174156.98</v>
      </c>
      <c r="G2123" s="561">
        <v>4260</v>
      </c>
      <c r="H2123" s="561">
        <v>259285.40299999999</v>
      </c>
      <c r="I2123" s="561">
        <v>9</v>
      </c>
      <c r="J2123" s="561">
        <v>7128.4229999999998</v>
      </c>
      <c r="K2123" s="561">
        <v>4251</v>
      </c>
      <c r="L2123" s="561">
        <v>252156.98</v>
      </c>
      <c r="M2123" s="561">
        <v>252156.98</v>
      </c>
      <c r="N2123" s="561">
        <v>78000</v>
      </c>
    </row>
    <row r="2124" spans="1:16">
      <c r="C2124" s="561" t="s">
        <v>1198</v>
      </c>
      <c r="L2124" s="561">
        <v>0</v>
      </c>
      <c r="N2124" s="561">
        <v>0</v>
      </c>
    </row>
    <row r="2125" spans="1:16">
      <c r="C2125" s="561" t="s">
        <v>1199</v>
      </c>
      <c r="D2125" s="561">
        <v>44542.707999999999</v>
      </c>
      <c r="E2125" s="561">
        <v>11588.1</v>
      </c>
      <c r="F2125" s="561">
        <v>32954.608</v>
      </c>
      <c r="G2125" s="561">
        <v>3086</v>
      </c>
      <c r="H2125" s="561">
        <v>44841.567999999999</v>
      </c>
      <c r="I2125" s="561">
        <v>12</v>
      </c>
      <c r="J2125" s="561">
        <v>298.86</v>
      </c>
      <c r="K2125" s="561">
        <v>3074</v>
      </c>
      <c r="L2125" s="561">
        <v>44542.707999999999</v>
      </c>
      <c r="M2125" s="561">
        <v>44542.707999999999</v>
      </c>
      <c r="N2125" s="561">
        <v>11588.1</v>
      </c>
      <c r="P2125" s="561">
        <v>32954.608</v>
      </c>
    </row>
    <row r="2126" spans="1:16">
      <c r="C2126" s="561" t="s">
        <v>1200</v>
      </c>
      <c r="L2126" s="561">
        <v>0</v>
      </c>
      <c r="N2126" s="561">
        <v>0</v>
      </c>
    </row>
    <row r="2127" spans="1:16">
      <c r="A2127" s="561">
        <v>32</v>
      </c>
      <c r="B2127" s="561" t="s">
        <v>1453</v>
      </c>
      <c r="C2127" s="561" t="s">
        <v>1206</v>
      </c>
      <c r="D2127" s="561">
        <v>34429</v>
      </c>
      <c r="E2127" s="561">
        <v>10328.700000000001</v>
      </c>
      <c r="F2127" s="561">
        <v>24100.3</v>
      </c>
      <c r="G2127" s="561">
        <v>656</v>
      </c>
      <c r="H2127" s="561">
        <v>36822.606</v>
      </c>
      <c r="I2127" s="561">
        <v>1</v>
      </c>
      <c r="J2127" s="561">
        <v>2309.5350000000003</v>
      </c>
      <c r="K2127" s="561">
        <v>655</v>
      </c>
      <c r="L2127" s="561">
        <v>34429</v>
      </c>
      <c r="M2127" s="561">
        <v>34429</v>
      </c>
      <c r="N2127" s="561">
        <v>10328.700000000001</v>
      </c>
      <c r="O2127" s="561">
        <v>0</v>
      </c>
      <c r="P2127" s="561">
        <v>24100.3</v>
      </c>
    </row>
    <row r="2128" spans="1:16">
      <c r="C2128" s="561" t="s">
        <v>1197</v>
      </c>
      <c r="D2128" s="561">
        <v>29101.100999999999</v>
      </c>
      <c r="E2128" s="561">
        <v>9240</v>
      </c>
      <c r="F2128" s="561">
        <v>19861.100999999999</v>
      </c>
      <c r="G2128" s="561">
        <v>357</v>
      </c>
      <c r="H2128" s="561">
        <v>31363.626</v>
      </c>
      <c r="I2128" s="561">
        <v>1</v>
      </c>
      <c r="J2128" s="561">
        <v>2178.4540000000002</v>
      </c>
      <c r="K2128" s="561">
        <v>356</v>
      </c>
      <c r="L2128" s="561">
        <v>29101.100999999999</v>
      </c>
      <c r="M2128" s="561">
        <v>29101.100999999999</v>
      </c>
      <c r="N2128" s="561">
        <v>9240</v>
      </c>
    </row>
    <row r="2129" spans="1:16">
      <c r="C2129" s="561" t="s">
        <v>1198</v>
      </c>
      <c r="L2129" s="561">
        <v>0</v>
      </c>
      <c r="N2129" s="561">
        <v>0</v>
      </c>
    </row>
    <row r="2130" spans="1:16">
      <c r="C2130" s="561" t="s">
        <v>1199</v>
      </c>
      <c r="D2130" s="561">
        <v>5327.8990000000003</v>
      </c>
      <c r="E2130" s="561">
        <v>1088.7</v>
      </c>
      <c r="F2130" s="561">
        <v>4239.1990000000005</v>
      </c>
      <c r="G2130" s="561">
        <v>299</v>
      </c>
      <c r="H2130" s="561">
        <v>5458.98</v>
      </c>
      <c r="I2130" s="561">
        <v>0</v>
      </c>
      <c r="J2130" s="561">
        <v>131.08099999999999</v>
      </c>
      <c r="K2130" s="561">
        <v>299</v>
      </c>
      <c r="L2130" s="561">
        <v>5327.8990000000003</v>
      </c>
      <c r="M2130" s="561">
        <v>5327.8990000000003</v>
      </c>
      <c r="N2130" s="561">
        <v>1088.7</v>
      </c>
      <c r="P2130" s="561">
        <v>4239.1990000000005</v>
      </c>
    </row>
    <row r="2131" spans="1:16">
      <c r="C2131" s="561" t="s">
        <v>1200</v>
      </c>
      <c r="L2131" s="561">
        <v>0</v>
      </c>
      <c r="N2131" s="561">
        <v>0</v>
      </c>
    </row>
    <row r="2132" spans="1:16">
      <c r="A2132" s="561">
        <v>33</v>
      </c>
      <c r="B2132" s="561" t="s">
        <v>1454</v>
      </c>
      <c r="C2132" s="561" t="s">
        <v>1206</v>
      </c>
      <c r="D2132" s="561">
        <v>7837.4189999999999</v>
      </c>
      <c r="E2132" s="561">
        <v>2352.6</v>
      </c>
      <c r="F2132" s="561">
        <v>5484.8189999999995</v>
      </c>
      <c r="G2132" s="561">
        <v>485</v>
      </c>
      <c r="H2132" s="561">
        <v>7922.0259999999998</v>
      </c>
      <c r="I2132" s="561">
        <v>0</v>
      </c>
      <c r="J2132" s="561">
        <v>84.606999999999999</v>
      </c>
      <c r="K2132" s="561">
        <v>485</v>
      </c>
      <c r="L2132" s="561">
        <v>7837.4189999999999</v>
      </c>
      <c r="M2132" s="561">
        <v>7837.4189999999999</v>
      </c>
      <c r="N2132" s="561">
        <v>2352.6</v>
      </c>
      <c r="O2132" s="561">
        <v>0</v>
      </c>
      <c r="P2132" s="561">
        <v>5484.8189999999995</v>
      </c>
    </row>
    <row r="2133" spans="1:16">
      <c r="C2133" s="561" t="s">
        <v>1197</v>
      </c>
      <c r="L2133" s="561">
        <v>0</v>
      </c>
      <c r="N2133" s="561">
        <v>0</v>
      </c>
    </row>
    <row r="2134" spans="1:16">
      <c r="C2134" s="561" t="s">
        <v>1198</v>
      </c>
      <c r="L2134" s="561">
        <v>0</v>
      </c>
      <c r="N2134" s="561">
        <v>0</v>
      </c>
    </row>
    <row r="2135" spans="1:16">
      <c r="C2135" s="561" t="s">
        <v>1199</v>
      </c>
      <c r="D2135" s="561">
        <v>7837.4189999999999</v>
      </c>
      <c r="E2135" s="561">
        <v>2352.6</v>
      </c>
      <c r="F2135" s="561">
        <v>5484.8189999999995</v>
      </c>
      <c r="G2135" s="561">
        <v>485</v>
      </c>
      <c r="H2135" s="561">
        <v>7922.0259999999998</v>
      </c>
      <c r="I2135" s="561">
        <v>0</v>
      </c>
      <c r="J2135" s="561">
        <v>84.606999999999999</v>
      </c>
      <c r="K2135" s="561">
        <v>485</v>
      </c>
      <c r="L2135" s="561">
        <v>7837.4189999999999</v>
      </c>
      <c r="M2135" s="561">
        <v>7837.4189999999999</v>
      </c>
      <c r="N2135" s="561">
        <v>2352.6</v>
      </c>
      <c r="P2135" s="561">
        <v>5484.8189999999995</v>
      </c>
    </row>
    <row r="2136" spans="1:16">
      <c r="C2136" s="561" t="s">
        <v>1200</v>
      </c>
      <c r="L2136" s="561">
        <v>0</v>
      </c>
      <c r="N2136" s="561">
        <v>0</v>
      </c>
    </row>
    <row r="2137" spans="1:16">
      <c r="A2137" s="561">
        <v>34</v>
      </c>
      <c r="B2137" s="561" t="s">
        <v>1455</v>
      </c>
      <c r="C2137" s="561" t="s">
        <v>1206</v>
      </c>
      <c r="D2137" s="561">
        <v>10364</v>
      </c>
      <c r="E2137" s="561">
        <v>2809.2</v>
      </c>
      <c r="F2137" s="561">
        <v>7554.8</v>
      </c>
      <c r="G2137" s="561">
        <v>748</v>
      </c>
      <c r="H2137" s="561">
        <v>11008.593999999999</v>
      </c>
      <c r="I2137" s="561">
        <v>18</v>
      </c>
      <c r="J2137" s="561">
        <v>466.99099999999999</v>
      </c>
      <c r="K2137" s="561">
        <v>730</v>
      </c>
      <c r="L2137" s="561">
        <v>10364</v>
      </c>
      <c r="M2137" s="561">
        <v>10364</v>
      </c>
      <c r="N2137" s="561">
        <v>2809.2</v>
      </c>
      <c r="O2137" s="561">
        <v>0</v>
      </c>
      <c r="P2137" s="561">
        <v>7554.8</v>
      </c>
    </row>
    <row r="2138" spans="1:16">
      <c r="C2138" s="561" t="s">
        <v>1197</v>
      </c>
      <c r="L2138" s="561">
        <v>0</v>
      </c>
      <c r="N2138" s="561">
        <v>0</v>
      </c>
    </row>
    <row r="2139" spans="1:16">
      <c r="C2139" s="561" t="s">
        <v>1198</v>
      </c>
      <c r="L2139" s="561">
        <v>0</v>
      </c>
      <c r="N2139" s="561">
        <v>0</v>
      </c>
    </row>
    <row r="2140" spans="1:16">
      <c r="C2140" s="561" t="s">
        <v>1199</v>
      </c>
      <c r="D2140" s="561">
        <v>10364</v>
      </c>
      <c r="E2140" s="561">
        <v>2809.2</v>
      </c>
      <c r="F2140" s="561">
        <v>7554.8</v>
      </c>
      <c r="G2140" s="561">
        <v>748</v>
      </c>
      <c r="H2140" s="561">
        <v>11008.593999999999</v>
      </c>
      <c r="I2140" s="561">
        <v>18</v>
      </c>
      <c r="J2140" s="561">
        <v>466.99099999999999</v>
      </c>
      <c r="K2140" s="561">
        <v>730</v>
      </c>
      <c r="L2140" s="561">
        <v>10364</v>
      </c>
      <c r="M2140" s="561">
        <v>10364</v>
      </c>
      <c r="N2140" s="561">
        <v>2809.2</v>
      </c>
      <c r="P2140" s="561">
        <v>7554.8</v>
      </c>
    </row>
    <row r="2141" spans="1:16">
      <c r="C2141" s="561" t="s">
        <v>1200</v>
      </c>
      <c r="L2141" s="561">
        <v>0</v>
      </c>
      <c r="N2141" s="561">
        <v>0</v>
      </c>
    </row>
    <row r="2142" spans="1:16">
      <c r="A2142" s="561">
        <v>35</v>
      </c>
      <c r="B2142" s="561" t="s">
        <v>1456</v>
      </c>
      <c r="C2142" s="561" t="s">
        <v>1206</v>
      </c>
      <c r="D2142" s="561">
        <v>9247</v>
      </c>
      <c r="E2142" s="561">
        <v>2774.1</v>
      </c>
      <c r="F2142" s="561">
        <v>6472.9</v>
      </c>
      <c r="G2142" s="561">
        <v>741</v>
      </c>
      <c r="H2142" s="561">
        <v>9317.7569999999996</v>
      </c>
      <c r="I2142" s="561">
        <v>1</v>
      </c>
      <c r="J2142" s="561">
        <v>56.042000000000002</v>
      </c>
      <c r="K2142" s="561">
        <v>740</v>
      </c>
      <c r="L2142" s="561">
        <v>9247</v>
      </c>
      <c r="M2142" s="561">
        <v>9247</v>
      </c>
      <c r="N2142" s="561">
        <v>2774.1</v>
      </c>
      <c r="O2142" s="561">
        <v>0</v>
      </c>
      <c r="P2142" s="561">
        <v>6472.9</v>
      </c>
    </row>
    <row r="2143" spans="1:16">
      <c r="C2143" s="561" t="s">
        <v>1197</v>
      </c>
      <c r="L2143" s="561">
        <v>0</v>
      </c>
      <c r="N2143" s="561">
        <v>0</v>
      </c>
    </row>
    <row r="2144" spans="1:16">
      <c r="C2144" s="561" t="s">
        <v>1198</v>
      </c>
      <c r="L2144" s="561">
        <v>0</v>
      </c>
      <c r="N2144" s="561">
        <v>0</v>
      </c>
    </row>
    <row r="2145" spans="1:38">
      <c r="C2145" s="561" t="s">
        <v>1199</v>
      </c>
      <c r="D2145" s="561">
        <v>9247</v>
      </c>
      <c r="E2145" s="561">
        <v>2774.1</v>
      </c>
      <c r="F2145" s="561">
        <v>6472.9</v>
      </c>
      <c r="G2145" s="561">
        <v>741</v>
      </c>
      <c r="H2145" s="561">
        <v>9317.7569999999996</v>
      </c>
      <c r="I2145" s="561">
        <v>1</v>
      </c>
      <c r="J2145" s="561">
        <v>56.042000000000002</v>
      </c>
      <c r="K2145" s="561">
        <v>740</v>
      </c>
      <c r="L2145" s="561">
        <v>9247</v>
      </c>
      <c r="M2145" s="561">
        <v>9247</v>
      </c>
      <c r="N2145" s="561">
        <v>2774.1</v>
      </c>
      <c r="P2145" s="561">
        <v>6472.9</v>
      </c>
    </row>
    <row r="2146" spans="1:38">
      <c r="C2146" s="561" t="s">
        <v>1200</v>
      </c>
      <c r="L2146" s="561">
        <v>0</v>
      </c>
      <c r="N2146" s="561">
        <v>0</v>
      </c>
    </row>
    <row r="2147" spans="1:38">
      <c r="A2147" s="561">
        <v>36</v>
      </c>
      <c r="B2147" s="561" t="s">
        <v>1457</v>
      </c>
      <c r="C2147" s="561" t="s">
        <v>1206</v>
      </c>
      <c r="D2147" s="561">
        <v>1072769.132</v>
      </c>
      <c r="E2147" s="561">
        <v>286565.09999999998</v>
      </c>
      <c r="F2147" s="561">
        <v>786204.03199999989</v>
      </c>
      <c r="G2147" s="561">
        <v>11572</v>
      </c>
      <c r="H2147" s="561">
        <v>1109166.3359999999</v>
      </c>
      <c r="I2147" s="561">
        <v>29</v>
      </c>
      <c r="J2147" s="561">
        <v>35950.066999999995</v>
      </c>
      <c r="K2147" s="561">
        <v>11543</v>
      </c>
      <c r="L2147" s="561">
        <v>1072769.132</v>
      </c>
      <c r="M2147" s="561">
        <v>1072769.132</v>
      </c>
      <c r="N2147" s="561">
        <v>286565.09999999998</v>
      </c>
      <c r="O2147" s="561">
        <v>0</v>
      </c>
      <c r="P2147" s="561">
        <v>786204.03199999989</v>
      </c>
    </row>
    <row r="2148" spans="1:38">
      <c r="C2148" s="561" t="s">
        <v>1197</v>
      </c>
      <c r="D2148" s="561">
        <v>1013864.468</v>
      </c>
      <c r="E2148" s="561">
        <v>270900</v>
      </c>
      <c r="F2148" s="561">
        <v>742964.46799999999</v>
      </c>
      <c r="G2148" s="561">
        <v>10198</v>
      </c>
      <c r="H2148" s="561">
        <v>1049330.6029999999</v>
      </c>
      <c r="I2148" s="561">
        <v>27</v>
      </c>
      <c r="J2148" s="561">
        <v>35018.998</v>
      </c>
      <c r="K2148" s="561">
        <v>10171</v>
      </c>
      <c r="L2148" s="561">
        <v>1013864.468</v>
      </c>
      <c r="M2148" s="561">
        <v>1013864.468</v>
      </c>
      <c r="N2148" s="561">
        <v>270900</v>
      </c>
    </row>
    <row r="2149" spans="1:38">
      <c r="C2149" s="561" t="s">
        <v>1198</v>
      </c>
      <c r="D2149" s="561">
        <v>33889.989000000001</v>
      </c>
      <c r="E2149" s="561">
        <v>11100</v>
      </c>
      <c r="F2149" s="561">
        <v>22789.989000000001</v>
      </c>
      <c r="G2149" s="561">
        <v>80</v>
      </c>
      <c r="H2149" s="561">
        <v>34061.379000000001</v>
      </c>
      <c r="I2149" s="561">
        <v>0</v>
      </c>
      <c r="J2149" s="561">
        <v>171.39</v>
      </c>
      <c r="K2149" s="561">
        <v>80</v>
      </c>
      <c r="L2149" s="561">
        <v>33889.989000000001</v>
      </c>
      <c r="M2149" s="561">
        <v>33889.989000000001</v>
      </c>
      <c r="N2149" s="561">
        <v>11100</v>
      </c>
      <c r="AL2149" s="561">
        <v>22789.989000000001</v>
      </c>
    </row>
    <row r="2150" spans="1:38">
      <c r="C2150" s="561" t="s">
        <v>1199</v>
      </c>
      <c r="D2150" s="561">
        <v>25014.674999999999</v>
      </c>
      <c r="E2150" s="561">
        <v>4565.1000000000004</v>
      </c>
      <c r="F2150" s="561">
        <v>20449.574999999997</v>
      </c>
      <c r="G2150" s="561">
        <v>1294</v>
      </c>
      <c r="H2150" s="561">
        <v>25774.353999999999</v>
      </c>
      <c r="I2150" s="561">
        <v>2</v>
      </c>
      <c r="J2150" s="561">
        <v>759.67899999999997</v>
      </c>
      <c r="K2150" s="561">
        <v>1292</v>
      </c>
      <c r="L2150" s="561">
        <v>25014.674999999999</v>
      </c>
      <c r="M2150" s="561">
        <v>25014.674999999999</v>
      </c>
      <c r="N2150" s="561">
        <v>4565.1000000000004</v>
      </c>
      <c r="P2150" s="561">
        <v>20449.574999999997</v>
      </c>
    </row>
    <row r="2151" spans="1:38">
      <c r="C2151" s="561" t="s">
        <v>1200</v>
      </c>
      <c r="L2151" s="561">
        <v>0</v>
      </c>
      <c r="N2151" s="561">
        <v>0</v>
      </c>
    </row>
    <row r="2152" spans="1:38">
      <c r="A2152" s="561">
        <v>37</v>
      </c>
      <c r="B2152" s="561" t="s">
        <v>1458</v>
      </c>
      <c r="C2152" s="561" t="s">
        <v>1206</v>
      </c>
      <c r="D2152" s="561">
        <v>178772.66699999999</v>
      </c>
      <c r="E2152" s="561">
        <v>45600</v>
      </c>
      <c r="F2152" s="561">
        <v>133172.66699999999</v>
      </c>
      <c r="G2152" s="561">
        <v>3484</v>
      </c>
      <c r="H2152" s="561">
        <v>185203.45600000001</v>
      </c>
      <c r="I2152" s="561">
        <v>0</v>
      </c>
      <c r="J2152" s="561">
        <v>6453.5290000000005</v>
      </c>
      <c r="K2152" s="561">
        <v>3484</v>
      </c>
      <c r="L2152" s="561">
        <v>178772.66699999999</v>
      </c>
      <c r="M2152" s="561">
        <v>178772.66699999999</v>
      </c>
      <c r="N2152" s="561">
        <v>45600</v>
      </c>
      <c r="O2152" s="561">
        <v>0</v>
      </c>
      <c r="P2152" s="561">
        <v>133172.66699999999</v>
      </c>
    </row>
    <row r="2153" spans="1:38">
      <c r="C2153" s="561" t="s">
        <v>1197</v>
      </c>
      <c r="D2153" s="561">
        <v>178772.66699999999</v>
      </c>
      <c r="E2153" s="561">
        <v>45600</v>
      </c>
      <c r="F2153" s="561">
        <v>133172.66699999999</v>
      </c>
      <c r="G2153" s="561">
        <v>3484</v>
      </c>
      <c r="H2153" s="561">
        <v>185203.45600000001</v>
      </c>
      <c r="I2153" s="561">
        <v>0</v>
      </c>
      <c r="J2153" s="561">
        <v>6453.5290000000005</v>
      </c>
      <c r="K2153" s="561">
        <v>3484</v>
      </c>
      <c r="L2153" s="561">
        <v>178772.66699999999</v>
      </c>
      <c r="M2153" s="561">
        <v>178772.66699999999</v>
      </c>
      <c r="N2153" s="561">
        <v>45600</v>
      </c>
    </row>
    <row r="2154" spans="1:38">
      <c r="C2154" s="561" t="s">
        <v>1198</v>
      </c>
      <c r="L2154" s="561">
        <v>0</v>
      </c>
      <c r="N2154" s="561">
        <v>0</v>
      </c>
    </row>
    <row r="2155" spans="1:38">
      <c r="C2155" s="561" t="s">
        <v>1199</v>
      </c>
      <c r="L2155" s="561">
        <v>0</v>
      </c>
      <c r="N2155" s="561">
        <v>0</v>
      </c>
    </row>
    <row r="2156" spans="1:38">
      <c r="C2156" s="561" t="s">
        <v>1200</v>
      </c>
      <c r="L2156" s="561">
        <v>0</v>
      </c>
      <c r="N2156" s="561">
        <v>0</v>
      </c>
    </row>
    <row r="2157" spans="1:38">
      <c r="A2157" s="561">
        <v>38</v>
      </c>
      <c r="B2157" s="561" t="s">
        <v>1459</v>
      </c>
      <c r="C2157" s="561" t="s">
        <v>1206</v>
      </c>
      <c r="D2157" s="561">
        <v>298825.549</v>
      </c>
      <c r="E2157" s="561">
        <v>67500</v>
      </c>
      <c r="F2157" s="561">
        <v>231325.549</v>
      </c>
      <c r="G2157" s="561">
        <v>4165</v>
      </c>
      <c r="H2157" s="561">
        <v>313651.21299999999</v>
      </c>
      <c r="I2157" s="561">
        <v>3</v>
      </c>
      <c r="J2157" s="561">
        <v>14833.244000000001</v>
      </c>
      <c r="K2157" s="561">
        <v>4162</v>
      </c>
      <c r="L2157" s="561">
        <v>298825.549</v>
      </c>
      <c r="M2157" s="561">
        <v>298825.549</v>
      </c>
      <c r="N2157" s="561">
        <v>67500</v>
      </c>
      <c r="O2157" s="561">
        <v>0</v>
      </c>
      <c r="P2157" s="561">
        <v>231325.549</v>
      </c>
    </row>
    <row r="2158" spans="1:38">
      <c r="C2158" s="561" t="s">
        <v>1197</v>
      </c>
      <c r="D2158" s="561">
        <v>298825.549</v>
      </c>
      <c r="E2158" s="561">
        <v>67500</v>
      </c>
      <c r="F2158" s="561">
        <v>231325.549</v>
      </c>
      <c r="G2158" s="561">
        <v>4165</v>
      </c>
      <c r="H2158" s="561">
        <v>313651.21299999999</v>
      </c>
      <c r="I2158" s="561">
        <v>3</v>
      </c>
      <c r="J2158" s="561">
        <v>14833.244000000001</v>
      </c>
      <c r="K2158" s="561">
        <v>4162</v>
      </c>
      <c r="L2158" s="561">
        <v>298825.549</v>
      </c>
      <c r="M2158" s="561">
        <v>298825.549</v>
      </c>
      <c r="N2158" s="561">
        <v>67500</v>
      </c>
    </row>
    <row r="2159" spans="1:38">
      <c r="C2159" s="561" t="s">
        <v>1198</v>
      </c>
      <c r="L2159" s="561">
        <v>0</v>
      </c>
      <c r="N2159" s="561">
        <v>0</v>
      </c>
    </row>
    <row r="2160" spans="1:38">
      <c r="C2160" s="561" t="s">
        <v>1199</v>
      </c>
      <c r="L2160" s="561">
        <v>0</v>
      </c>
      <c r="N2160" s="561">
        <v>0</v>
      </c>
    </row>
    <row r="2161" spans="1:16">
      <c r="C2161" s="561" t="s">
        <v>1200</v>
      </c>
      <c r="L2161" s="561">
        <v>0</v>
      </c>
      <c r="N2161" s="561">
        <v>0</v>
      </c>
    </row>
    <row r="2162" spans="1:16">
      <c r="A2162" s="561">
        <v>39</v>
      </c>
      <c r="B2162" s="561" t="s">
        <v>1460</v>
      </c>
      <c r="C2162" s="561" t="s">
        <v>1206</v>
      </c>
      <c r="D2162" s="561">
        <v>147691.174</v>
      </c>
      <c r="E2162" s="561">
        <v>48900</v>
      </c>
      <c r="F2162" s="561">
        <v>98791.173999999999</v>
      </c>
      <c r="G2162" s="561">
        <v>2805</v>
      </c>
      <c r="H2162" s="561">
        <v>151957.524</v>
      </c>
      <c r="I2162" s="561">
        <v>4</v>
      </c>
      <c r="J2162" s="561">
        <v>4180.99</v>
      </c>
      <c r="K2162" s="561">
        <v>2801</v>
      </c>
      <c r="L2162" s="561">
        <v>147691.174</v>
      </c>
      <c r="M2162" s="561">
        <v>147691.174</v>
      </c>
      <c r="N2162" s="561">
        <v>48900</v>
      </c>
      <c r="O2162" s="561">
        <v>0</v>
      </c>
      <c r="P2162" s="561">
        <v>98791.173999999999</v>
      </c>
    </row>
    <row r="2163" spans="1:16">
      <c r="C2163" s="561" t="s">
        <v>1197</v>
      </c>
      <c r="D2163" s="561">
        <v>146900.883</v>
      </c>
      <c r="E2163" s="561">
        <v>48900</v>
      </c>
      <c r="F2163" s="561">
        <v>98000.883000000002</v>
      </c>
      <c r="G2163" s="561">
        <v>2805</v>
      </c>
      <c r="H2163" s="561">
        <v>151081.87299999999</v>
      </c>
      <c r="I2163" s="561">
        <v>4</v>
      </c>
      <c r="J2163" s="561">
        <v>4180.99</v>
      </c>
      <c r="K2163" s="561">
        <v>2801</v>
      </c>
      <c r="L2163" s="561">
        <v>146900.883</v>
      </c>
      <c r="M2163" s="561">
        <v>146900.883</v>
      </c>
      <c r="N2163" s="561">
        <v>48900</v>
      </c>
    </row>
    <row r="2164" spans="1:16">
      <c r="C2164" s="561" t="s">
        <v>1198</v>
      </c>
      <c r="L2164" s="561">
        <v>0</v>
      </c>
      <c r="M2164" s="561">
        <v>0</v>
      </c>
      <c r="N2164" s="561">
        <v>0</v>
      </c>
    </row>
    <row r="2165" spans="1:16">
      <c r="C2165" s="561" t="s">
        <v>1199</v>
      </c>
      <c r="L2165" s="561">
        <v>0</v>
      </c>
      <c r="M2165" s="561">
        <v>0</v>
      </c>
      <c r="N2165" s="561">
        <v>0</v>
      </c>
    </row>
    <row r="2166" spans="1:16">
      <c r="C2166" s="561" t="s">
        <v>1200</v>
      </c>
      <c r="L2166" s="561">
        <v>0</v>
      </c>
      <c r="M2166" s="561">
        <v>0</v>
      </c>
      <c r="N2166" s="561">
        <v>0</v>
      </c>
    </row>
    <row r="2167" spans="1:16">
      <c r="C2167" s="561" t="s">
        <v>1202</v>
      </c>
      <c r="D2167" s="561">
        <v>790.29100000000005</v>
      </c>
      <c r="F2167" s="561">
        <v>790.29100000000005</v>
      </c>
      <c r="G2167" s="561">
        <v>0</v>
      </c>
      <c r="H2167" s="561">
        <v>875.65099999999995</v>
      </c>
      <c r="I2167" s="561">
        <v>0</v>
      </c>
      <c r="J2167" s="561">
        <v>0</v>
      </c>
      <c r="K2167" s="561">
        <v>0</v>
      </c>
      <c r="L2167" s="561">
        <v>790.29100000000005</v>
      </c>
      <c r="M2167" s="561">
        <v>790.29100000000005</v>
      </c>
      <c r="P2167" s="561">
        <v>790.29100000000005</v>
      </c>
    </row>
    <row r="2168" spans="1:16">
      <c r="A2168" s="561">
        <v>40</v>
      </c>
      <c r="B2168" s="561" t="s">
        <v>1461</v>
      </c>
      <c r="C2168" s="561" t="s">
        <v>1206</v>
      </c>
      <c r="D2168" s="561">
        <v>1873</v>
      </c>
      <c r="E2168" s="561">
        <v>561.9</v>
      </c>
      <c r="F2168" s="561">
        <v>1311.1</v>
      </c>
      <c r="G2168" s="561">
        <v>156</v>
      </c>
      <c r="H2168" s="561">
        <v>2377.7820000000002</v>
      </c>
      <c r="I2168" s="561">
        <v>14</v>
      </c>
      <c r="J2168" s="561">
        <v>501.20299999999997</v>
      </c>
      <c r="K2168" s="561">
        <v>142</v>
      </c>
      <c r="L2168" s="561">
        <v>1873</v>
      </c>
      <c r="M2168" s="561">
        <v>1873</v>
      </c>
      <c r="N2168" s="561">
        <v>561.9</v>
      </c>
      <c r="O2168" s="561">
        <v>0</v>
      </c>
      <c r="P2168" s="561">
        <v>1311.1</v>
      </c>
    </row>
    <row r="2169" spans="1:16">
      <c r="C2169" s="561" t="s">
        <v>1197</v>
      </c>
      <c r="L2169" s="561">
        <v>0</v>
      </c>
      <c r="N2169" s="561">
        <v>0</v>
      </c>
    </row>
    <row r="2170" spans="1:16">
      <c r="C2170" s="561" t="s">
        <v>1198</v>
      </c>
      <c r="L2170" s="561">
        <v>0</v>
      </c>
      <c r="N2170" s="561">
        <v>0</v>
      </c>
    </row>
    <row r="2171" spans="1:16">
      <c r="C2171" s="561" t="s">
        <v>1199</v>
      </c>
      <c r="D2171" s="561">
        <v>1873</v>
      </c>
      <c r="E2171" s="561">
        <v>561.9</v>
      </c>
      <c r="F2171" s="561">
        <v>1311.1</v>
      </c>
      <c r="G2171" s="561">
        <v>156</v>
      </c>
      <c r="H2171" s="561">
        <v>2377.7820000000002</v>
      </c>
      <c r="I2171" s="561">
        <v>14</v>
      </c>
      <c r="J2171" s="561">
        <v>501.20299999999997</v>
      </c>
      <c r="K2171" s="561">
        <v>142</v>
      </c>
      <c r="L2171" s="561">
        <v>1873</v>
      </c>
      <c r="M2171" s="561">
        <v>1873</v>
      </c>
      <c r="N2171" s="561">
        <v>561.9</v>
      </c>
      <c r="P2171" s="561">
        <v>1311.1</v>
      </c>
    </row>
    <row r="2172" spans="1:16">
      <c r="C2172" s="561" t="s">
        <v>1200</v>
      </c>
      <c r="L2172" s="561">
        <v>0</v>
      </c>
      <c r="N2172" s="561">
        <v>0</v>
      </c>
    </row>
    <row r="2173" spans="1:16">
      <c r="A2173" s="561">
        <v>41</v>
      </c>
      <c r="B2173" s="561" t="s">
        <v>1462</v>
      </c>
      <c r="C2173" s="561" t="s">
        <v>1206</v>
      </c>
      <c r="D2173" s="561">
        <v>133512</v>
      </c>
      <c r="E2173" s="561">
        <v>37953.599999999999</v>
      </c>
      <c r="F2173" s="561">
        <v>95558.400000000009</v>
      </c>
      <c r="G2173" s="561">
        <v>2500</v>
      </c>
      <c r="H2173" s="561">
        <v>136077.97500000001</v>
      </c>
      <c r="I2173" s="561">
        <v>14</v>
      </c>
      <c r="J2173" s="561">
        <v>2565.578</v>
      </c>
      <c r="K2173" s="561">
        <v>2486</v>
      </c>
      <c r="L2173" s="561">
        <v>133512</v>
      </c>
      <c r="M2173" s="561">
        <v>133512</v>
      </c>
      <c r="N2173" s="561">
        <v>37953.599999999999</v>
      </c>
      <c r="O2173" s="561">
        <v>0</v>
      </c>
      <c r="P2173" s="561">
        <v>95558.400000000009</v>
      </c>
    </row>
    <row r="2174" spans="1:16">
      <c r="C2174" s="561" t="s">
        <v>1197</v>
      </c>
      <c r="D2174" s="561">
        <v>122858.67600000001</v>
      </c>
      <c r="E2174" s="561">
        <v>36900</v>
      </c>
      <c r="F2174" s="561">
        <v>85958.676000000007</v>
      </c>
      <c r="G2174" s="561">
        <v>1900</v>
      </c>
      <c r="H2174" s="561">
        <v>124752.156</v>
      </c>
      <c r="I2174" s="561">
        <v>1</v>
      </c>
      <c r="J2174" s="561">
        <v>1901.06</v>
      </c>
      <c r="K2174" s="561">
        <v>1899</v>
      </c>
      <c r="L2174" s="561">
        <v>122858.67600000001</v>
      </c>
      <c r="M2174" s="561">
        <v>122858.67600000001</v>
      </c>
      <c r="N2174" s="561">
        <v>36900</v>
      </c>
    </row>
    <row r="2175" spans="1:16">
      <c r="C2175" s="561" t="s">
        <v>1198</v>
      </c>
      <c r="L2175" s="561">
        <v>0</v>
      </c>
      <c r="N2175" s="561">
        <v>0</v>
      </c>
    </row>
    <row r="2176" spans="1:16">
      <c r="C2176" s="561" t="s">
        <v>1199</v>
      </c>
      <c r="D2176" s="561">
        <v>10653.324000000001</v>
      </c>
      <c r="E2176" s="561">
        <v>1053.5999999999999</v>
      </c>
      <c r="F2176" s="561">
        <v>9599.7240000000002</v>
      </c>
      <c r="G2176" s="561">
        <v>600</v>
      </c>
      <c r="H2176" s="561">
        <v>11325.819</v>
      </c>
      <c r="I2176" s="561">
        <v>13</v>
      </c>
      <c r="J2176" s="561">
        <v>664.51800000000003</v>
      </c>
      <c r="K2176" s="561">
        <v>587</v>
      </c>
      <c r="L2176" s="561">
        <v>10653.324000000001</v>
      </c>
      <c r="M2176" s="561">
        <v>10653.324000000001</v>
      </c>
      <c r="N2176" s="561">
        <v>1053.5999999999999</v>
      </c>
      <c r="P2176" s="561">
        <v>9599.7240000000002</v>
      </c>
    </row>
    <row r="2177" spans="1:16">
      <c r="C2177" s="561" t="s">
        <v>1200</v>
      </c>
      <c r="L2177" s="561">
        <v>0</v>
      </c>
      <c r="N2177" s="561">
        <v>0</v>
      </c>
    </row>
    <row r="2178" spans="1:16">
      <c r="A2178" s="561">
        <v>42</v>
      </c>
      <c r="B2178" s="561" t="s">
        <v>1463</v>
      </c>
      <c r="C2178" s="561" t="s">
        <v>1206</v>
      </c>
      <c r="D2178" s="561">
        <v>12769</v>
      </c>
      <c r="E2178" s="561">
        <v>3230.7</v>
      </c>
      <c r="F2178" s="561">
        <v>9538.2999999999993</v>
      </c>
      <c r="G2178" s="561">
        <v>1060</v>
      </c>
      <c r="H2178" s="561">
        <v>13048.712</v>
      </c>
      <c r="I2178" s="561">
        <v>0</v>
      </c>
      <c r="J2178" s="561">
        <v>193.90899999999999</v>
      </c>
      <c r="K2178" s="561">
        <v>1060</v>
      </c>
      <c r="L2178" s="561">
        <v>12769</v>
      </c>
      <c r="M2178" s="561">
        <v>12769</v>
      </c>
      <c r="N2178" s="561">
        <v>3230.7</v>
      </c>
      <c r="O2178" s="561">
        <v>0</v>
      </c>
      <c r="P2178" s="561">
        <v>9538.2999999999993</v>
      </c>
    </row>
    <row r="2179" spans="1:16">
      <c r="C2179" s="561" t="s">
        <v>1197</v>
      </c>
      <c r="L2179" s="561">
        <v>0</v>
      </c>
      <c r="N2179" s="561">
        <v>0</v>
      </c>
    </row>
    <row r="2180" spans="1:16">
      <c r="C2180" s="561" t="s">
        <v>1198</v>
      </c>
      <c r="L2180" s="561">
        <v>0</v>
      </c>
      <c r="N2180" s="561">
        <v>0</v>
      </c>
    </row>
    <row r="2181" spans="1:16">
      <c r="C2181" s="561" t="s">
        <v>1199</v>
      </c>
      <c r="D2181" s="561">
        <v>12769</v>
      </c>
      <c r="E2181" s="561">
        <v>3230.7</v>
      </c>
      <c r="F2181" s="561">
        <v>9538.2999999999993</v>
      </c>
      <c r="G2181" s="561">
        <v>1060</v>
      </c>
      <c r="H2181" s="561">
        <v>13048.712</v>
      </c>
      <c r="I2181" s="561">
        <v>0</v>
      </c>
      <c r="J2181" s="561">
        <v>193.90899999999999</v>
      </c>
      <c r="K2181" s="561">
        <v>1060</v>
      </c>
      <c r="L2181" s="561">
        <v>12769</v>
      </c>
      <c r="M2181" s="561">
        <v>12769</v>
      </c>
      <c r="N2181" s="561">
        <v>3230.7</v>
      </c>
      <c r="P2181" s="561">
        <v>9538.2999999999993</v>
      </c>
    </row>
    <row r="2182" spans="1:16">
      <c r="C2182" s="561" t="s">
        <v>1200</v>
      </c>
      <c r="L2182" s="561">
        <v>0</v>
      </c>
      <c r="N2182" s="561">
        <v>0</v>
      </c>
    </row>
    <row r="2183" spans="1:16">
      <c r="A2183" s="561">
        <v>43</v>
      </c>
      <c r="B2183" s="561" t="s">
        <v>1464</v>
      </c>
      <c r="C2183" s="561" t="s">
        <v>1206</v>
      </c>
      <c r="D2183" s="561">
        <v>3512</v>
      </c>
      <c r="E2183" s="561">
        <v>1053.5999999999999</v>
      </c>
      <c r="F2183" s="561">
        <v>2458.4</v>
      </c>
      <c r="G2183" s="561">
        <v>263</v>
      </c>
      <c r="H2183" s="561">
        <v>3565.45</v>
      </c>
      <c r="I2183" s="561">
        <v>2</v>
      </c>
      <c r="J2183" s="561">
        <v>42.07</v>
      </c>
      <c r="K2183" s="561">
        <v>261</v>
      </c>
      <c r="L2183" s="561">
        <v>3512</v>
      </c>
      <c r="M2183" s="561">
        <v>3512</v>
      </c>
      <c r="N2183" s="561">
        <v>1053.5999999999999</v>
      </c>
      <c r="O2183" s="561">
        <v>0</v>
      </c>
      <c r="P2183" s="561">
        <v>2458.4</v>
      </c>
    </row>
    <row r="2184" spans="1:16">
      <c r="C2184" s="561" t="s">
        <v>1197</v>
      </c>
      <c r="L2184" s="561">
        <v>0</v>
      </c>
      <c r="N2184" s="561">
        <v>0</v>
      </c>
    </row>
    <row r="2185" spans="1:16">
      <c r="C2185" s="561" t="s">
        <v>1198</v>
      </c>
      <c r="L2185" s="561">
        <v>0</v>
      </c>
      <c r="N2185" s="561">
        <v>0</v>
      </c>
    </row>
    <row r="2186" spans="1:16">
      <c r="C2186" s="561" t="s">
        <v>1199</v>
      </c>
      <c r="D2186" s="561">
        <v>3512</v>
      </c>
      <c r="E2186" s="561">
        <v>1053.5999999999999</v>
      </c>
      <c r="F2186" s="561">
        <v>2458.4</v>
      </c>
      <c r="G2186" s="561">
        <v>263</v>
      </c>
      <c r="H2186" s="561">
        <v>3565.45</v>
      </c>
      <c r="I2186" s="561">
        <v>2</v>
      </c>
      <c r="J2186" s="561">
        <v>42.07</v>
      </c>
      <c r="K2186" s="561">
        <v>261</v>
      </c>
      <c r="L2186" s="561">
        <v>3512</v>
      </c>
      <c r="M2186" s="561">
        <v>3512</v>
      </c>
      <c r="N2186" s="561">
        <v>1053.5999999999999</v>
      </c>
      <c r="P2186" s="561">
        <v>2458.4</v>
      </c>
    </row>
    <row r="2187" spans="1:16">
      <c r="C2187" s="561" t="s">
        <v>1200</v>
      </c>
      <c r="L2187" s="561">
        <v>0</v>
      </c>
      <c r="N2187" s="561">
        <v>0</v>
      </c>
    </row>
    <row r="2188" spans="1:16">
      <c r="A2188" s="561">
        <v>44</v>
      </c>
      <c r="B2188" s="561" t="s">
        <v>1465</v>
      </c>
      <c r="C2188" s="561" t="s">
        <v>1206</v>
      </c>
      <c r="D2188" s="561">
        <v>4213.7780000000002</v>
      </c>
      <c r="E2188" s="561">
        <v>1264.2</v>
      </c>
      <c r="F2188" s="561">
        <v>2949.5780000000004</v>
      </c>
      <c r="G2188" s="561">
        <v>270</v>
      </c>
      <c r="H2188" s="561">
        <v>4391.1620000000003</v>
      </c>
      <c r="I2188" s="561">
        <v>0</v>
      </c>
      <c r="J2188" s="561">
        <v>177.38399999999999</v>
      </c>
      <c r="K2188" s="561">
        <v>270</v>
      </c>
      <c r="L2188" s="561">
        <v>4213.7780000000002</v>
      </c>
      <c r="M2188" s="561">
        <v>4213.7780000000002</v>
      </c>
      <c r="N2188" s="561">
        <v>1264.2</v>
      </c>
      <c r="O2188" s="561">
        <v>0</v>
      </c>
      <c r="P2188" s="561">
        <v>2949.5780000000004</v>
      </c>
    </row>
    <row r="2189" spans="1:16">
      <c r="C2189" s="561" t="s">
        <v>1197</v>
      </c>
      <c r="L2189" s="561">
        <v>0</v>
      </c>
      <c r="N2189" s="561">
        <v>0</v>
      </c>
    </row>
    <row r="2190" spans="1:16">
      <c r="C2190" s="561" t="s">
        <v>1198</v>
      </c>
      <c r="L2190" s="561">
        <v>0</v>
      </c>
      <c r="N2190" s="561">
        <v>0</v>
      </c>
    </row>
    <row r="2191" spans="1:16">
      <c r="C2191" s="561" t="s">
        <v>1199</v>
      </c>
      <c r="D2191" s="561">
        <v>4213.7780000000002</v>
      </c>
      <c r="E2191" s="561">
        <v>1264.2</v>
      </c>
      <c r="F2191" s="561">
        <v>2949.5780000000004</v>
      </c>
      <c r="G2191" s="561">
        <v>270</v>
      </c>
      <c r="H2191" s="561">
        <v>4391.1620000000003</v>
      </c>
      <c r="I2191" s="561">
        <v>0</v>
      </c>
      <c r="J2191" s="561">
        <v>177.38399999999999</v>
      </c>
      <c r="K2191" s="561">
        <v>270</v>
      </c>
      <c r="L2191" s="561">
        <v>4213.7780000000002</v>
      </c>
      <c r="M2191" s="561">
        <v>4213.7780000000002</v>
      </c>
      <c r="N2191" s="561">
        <v>1264.2</v>
      </c>
      <c r="P2191" s="561">
        <v>2949.5780000000004</v>
      </c>
    </row>
    <row r="2192" spans="1:16">
      <c r="C2192" s="561" t="s">
        <v>1200</v>
      </c>
      <c r="L2192" s="561">
        <v>0</v>
      </c>
      <c r="N2192" s="561">
        <v>0</v>
      </c>
    </row>
    <row r="2193" spans="1:16">
      <c r="A2193" s="561">
        <v>45</v>
      </c>
      <c r="B2193" s="561" t="s">
        <v>1466</v>
      </c>
      <c r="C2193" s="561" t="s">
        <v>1206</v>
      </c>
      <c r="D2193" s="561">
        <v>263779</v>
      </c>
      <c r="E2193" s="561">
        <v>77633.7</v>
      </c>
      <c r="F2193" s="561">
        <v>186145.3</v>
      </c>
      <c r="G2193" s="561">
        <v>5240</v>
      </c>
      <c r="H2193" s="561">
        <v>271200.22600000002</v>
      </c>
      <c r="I2193" s="561">
        <v>7</v>
      </c>
      <c r="J2193" s="561">
        <v>7392.0870000000004</v>
      </c>
      <c r="K2193" s="561">
        <v>5233</v>
      </c>
      <c r="L2193" s="561">
        <v>263779</v>
      </c>
      <c r="M2193" s="561">
        <v>263779</v>
      </c>
      <c r="N2193" s="561">
        <v>77633.7</v>
      </c>
      <c r="O2193" s="561">
        <v>0</v>
      </c>
      <c r="P2193" s="561">
        <v>186145.3</v>
      </c>
    </row>
    <row r="2194" spans="1:16">
      <c r="C2194" s="561" t="s">
        <v>1197</v>
      </c>
      <c r="D2194" s="561">
        <v>248888.071</v>
      </c>
      <c r="E2194" s="561">
        <v>75000</v>
      </c>
      <c r="F2194" s="561">
        <v>173888.071</v>
      </c>
      <c r="G2194" s="561">
        <v>4305</v>
      </c>
      <c r="H2194" s="561">
        <v>255909.63500000001</v>
      </c>
      <c r="I2194" s="561">
        <v>4</v>
      </c>
      <c r="J2194" s="561">
        <v>6992.4250000000002</v>
      </c>
      <c r="K2194" s="561">
        <v>4301</v>
      </c>
      <c r="L2194" s="561">
        <v>248888.071</v>
      </c>
      <c r="M2194" s="561">
        <v>248888.071</v>
      </c>
      <c r="N2194" s="561">
        <v>75000</v>
      </c>
    </row>
    <row r="2195" spans="1:16">
      <c r="C2195" s="561" t="s">
        <v>1198</v>
      </c>
      <c r="L2195" s="561">
        <v>0</v>
      </c>
      <c r="N2195" s="561">
        <v>0</v>
      </c>
    </row>
    <row r="2196" spans="1:16">
      <c r="C2196" s="561" t="s">
        <v>1199</v>
      </c>
      <c r="D2196" s="561">
        <v>14890.929</v>
      </c>
      <c r="E2196" s="561">
        <v>2633.7</v>
      </c>
      <c r="F2196" s="561">
        <v>12257.228999999999</v>
      </c>
      <c r="G2196" s="561">
        <v>935</v>
      </c>
      <c r="H2196" s="561">
        <v>15290.591</v>
      </c>
      <c r="I2196" s="561">
        <v>3</v>
      </c>
      <c r="J2196" s="561">
        <v>399.66199999999998</v>
      </c>
      <c r="K2196" s="561">
        <v>932</v>
      </c>
      <c r="L2196" s="561">
        <v>14890.929</v>
      </c>
      <c r="M2196" s="561">
        <v>14890.929</v>
      </c>
      <c r="N2196" s="561">
        <v>2633.7</v>
      </c>
      <c r="P2196" s="561">
        <v>12257.228999999999</v>
      </c>
    </row>
    <row r="2197" spans="1:16">
      <c r="C2197" s="561" t="s">
        <v>1200</v>
      </c>
      <c r="L2197" s="561">
        <v>0</v>
      </c>
      <c r="N2197" s="561">
        <v>0</v>
      </c>
    </row>
    <row r="2198" spans="1:16">
      <c r="A2198" s="561">
        <v>46</v>
      </c>
      <c r="B2198" s="561" t="s">
        <v>1467</v>
      </c>
      <c r="C2198" s="561" t="s">
        <v>1206</v>
      </c>
      <c r="D2198" s="561">
        <v>3277</v>
      </c>
      <c r="E2198" s="561">
        <v>983.1</v>
      </c>
      <c r="F2198" s="561">
        <v>2293.9</v>
      </c>
      <c r="G2198" s="561">
        <v>288</v>
      </c>
      <c r="H2198" s="561">
        <v>3357.4589999999998</v>
      </c>
      <c r="I2198" s="561">
        <v>8</v>
      </c>
      <c r="J2198" s="561">
        <v>70.91</v>
      </c>
      <c r="K2198" s="561">
        <v>280</v>
      </c>
      <c r="L2198" s="561">
        <v>3277</v>
      </c>
      <c r="M2198" s="561">
        <v>3277</v>
      </c>
      <c r="N2198" s="561">
        <v>983.1</v>
      </c>
      <c r="O2198" s="561">
        <v>0</v>
      </c>
      <c r="P2198" s="561">
        <v>2293.9</v>
      </c>
    </row>
    <row r="2199" spans="1:16">
      <c r="C2199" s="561" t="s">
        <v>1197</v>
      </c>
      <c r="L2199" s="561">
        <v>0</v>
      </c>
      <c r="N2199" s="561">
        <v>0</v>
      </c>
    </row>
    <row r="2200" spans="1:16">
      <c r="C2200" s="561" t="s">
        <v>1198</v>
      </c>
      <c r="L2200" s="561">
        <v>0</v>
      </c>
      <c r="N2200" s="561">
        <v>0</v>
      </c>
    </row>
    <row r="2201" spans="1:16">
      <c r="C2201" s="561" t="s">
        <v>1199</v>
      </c>
      <c r="D2201" s="561">
        <v>3277</v>
      </c>
      <c r="E2201" s="561">
        <v>983.1</v>
      </c>
      <c r="F2201" s="561">
        <v>2293.9</v>
      </c>
      <c r="G2201" s="561">
        <v>288</v>
      </c>
      <c r="H2201" s="561">
        <v>3357.4589999999998</v>
      </c>
      <c r="I2201" s="561">
        <v>8</v>
      </c>
      <c r="J2201" s="561">
        <v>70.91</v>
      </c>
      <c r="K2201" s="561">
        <v>280</v>
      </c>
      <c r="L2201" s="561">
        <v>3277</v>
      </c>
      <c r="M2201" s="561">
        <v>3277</v>
      </c>
      <c r="N2201" s="561">
        <v>983.1</v>
      </c>
      <c r="P2201" s="561">
        <v>2293.9</v>
      </c>
    </row>
    <row r="2202" spans="1:16">
      <c r="C2202" s="561" t="s">
        <v>1200</v>
      </c>
      <c r="L2202" s="561">
        <v>0</v>
      </c>
      <c r="N2202" s="561">
        <v>0</v>
      </c>
    </row>
    <row r="2203" spans="1:16">
      <c r="A2203" s="561">
        <v>47</v>
      </c>
      <c r="B2203" s="561" t="s">
        <v>1468</v>
      </c>
      <c r="C2203" s="561" t="s">
        <v>1206</v>
      </c>
      <c r="D2203" s="561">
        <v>139832</v>
      </c>
      <c r="E2203" s="561">
        <v>41949.599999999999</v>
      </c>
      <c r="F2203" s="561">
        <v>97882.4</v>
      </c>
      <c r="G2203" s="561">
        <v>2735</v>
      </c>
      <c r="H2203" s="561">
        <v>142548.837</v>
      </c>
      <c r="I2203" s="561">
        <v>11</v>
      </c>
      <c r="J2203" s="561">
        <v>2431.8559999999998</v>
      </c>
      <c r="K2203" s="561">
        <v>2724</v>
      </c>
      <c r="L2203" s="561">
        <v>139832</v>
      </c>
      <c r="M2203" s="561">
        <v>139832</v>
      </c>
      <c r="N2203" s="561">
        <v>41949.599999999999</v>
      </c>
      <c r="O2203" s="561">
        <v>0</v>
      </c>
      <c r="P2203" s="561">
        <v>97882.4</v>
      </c>
    </row>
    <row r="2204" spans="1:16">
      <c r="C2204" s="561" t="s">
        <v>1197</v>
      </c>
      <c r="D2204" s="561">
        <v>128428.488</v>
      </c>
      <c r="E2204" s="561">
        <v>39000</v>
      </c>
      <c r="F2204" s="561">
        <v>89428.487999999998</v>
      </c>
      <c r="G2204" s="561">
        <v>1881</v>
      </c>
      <c r="H2204" s="561">
        <v>130515.378</v>
      </c>
      <c r="I2204" s="561">
        <v>3</v>
      </c>
      <c r="J2204" s="561">
        <v>2086.89</v>
      </c>
      <c r="K2204" s="561">
        <v>1878</v>
      </c>
      <c r="L2204" s="561">
        <v>128428.488</v>
      </c>
      <c r="M2204" s="561">
        <v>128428.488</v>
      </c>
      <c r="N2204" s="561">
        <v>39000</v>
      </c>
    </row>
    <row r="2205" spans="1:16">
      <c r="C2205" s="561" t="s">
        <v>1198</v>
      </c>
      <c r="L2205" s="561">
        <v>0</v>
      </c>
      <c r="N2205" s="561">
        <v>0</v>
      </c>
    </row>
    <row r="2206" spans="1:16">
      <c r="C2206" s="561" t="s">
        <v>1199</v>
      </c>
      <c r="D2206" s="561">
        <v>11403.512000000001</v>
      </c>
      <c r="E2206" s="561">
        <v>2949.6</v>
      </c>
      <c r="F2206" s="561">
        <v>8453.9120000000003</v>
      </c>
      <c r="G2206" s="561">
        <v>854</v>
      </c>
      <c r="H2206" s="561">
        <v>12033.459000000001</v>
      </c>
      <c r="I2206" s="561">
        <v>8</v>
      </c>
      <c r="J2206" s="561">
        <v>344.96600000000001</v>
      </c>
      <c r="K2206" s="561">
        <v>846</v>
      </c>
      <c r="L2206" s="561">
        <v>11403.512000000001</v>
      </c>
      <c r="M2206" s="561">
        <v>11403.512000000001</v>
      </c>
      <c r="N2206" s="561">
        <v>2949.6</v>
      </c>
      <c r="P2206" s="561">
        <v>8453.9120000000003</v>
      </c>
    </row>
    <row r="2207" spans="1:16">
      <c r="C2207" s="561" t="s">
        <v>1200</v>
      </c>
      <c r="L2207" s="561">
        <v>0</v>
      </c>
      <c r="N2207" s="561">
        <v>0</v>
      </c>
    </row>
    <row r="2208" spans="1:16">
      <c r="A2208" s="561">
        <v>48</v>
      </c>
      <c r="B2208" s="561" t="s">
        <v>1469</v>
      </c>
      <c r="C2208" s="561" t="s">
        <v>1206</v>
      </c>
      <c r="D2208" s="561">
        <v>428000</v>
      </c>
      <c r="E2208" s="561">
        <v>128400</v>
      </c>
      <c r="F2208" s="561">
        <v>299600</v>
      </c>
      <c r="G2208" s="561">
        <v>4971</v>
      </c>
      <c r="H2208" s="561">
        <v>438981.56200000003</v>
      </c>
      <c r="I2208" s="561">
        <v>-1</v>
      </c>
      <c r="J2208" s="561">
        <v>9777.4019999999982</v>
      </c>
      <c r="K2208" s="561">
        <v>4972</v>
      </c>
      <c r="L2208" s="561">
        <v>428000</v>
      </c>
      <c r="M2208" s="561">
        <v>428000</v>
      </c>
      <c r="N2208" s="561">
        <v>128400</v>
      </c>
      <c r="O2208" s="561">
        <v>0</v>
      </c>
      <c r="P2208" s="561">
        <v>299600</v>
      </c>
    </row>
    <row r="2209" spans="1:16">
      <c r="C2209" s="561" t="s">
        <v>1197</v>
      </c>
      <c r="D2209" s="561">
        <v>225842.28099999999</v>
      </c>
      <c r="E2209" s="561">
        <v>66900</v>
      </c>
      <c r="F2209" s="561">
        <v>158942.28099999999</v>
      </c>
      <c r="G2209" s="561">
        <v>4199</v>
      </c>
      <c r="H2209" s="561">
        <v>231768.546</v>
      </c>
      <c r="I2209" s="561">
        <v>-1</v>
      </c>
      <c r="J2209" s="561">
        <v>4722.1049999999996</v>
      </c>
      <c r="K2209" s="561">
        <v>4200</v>
      </c>
      <c r="L2209" s="561">
        <v>225842.28099999999</v>
      </c>
      <c r="M2209" s="561">
        <v>225842.28099999999</v>
      </c>
      <c r="N2209" s="561">
        <v>66900</v>
      </c>
    </row>
    <row r="2210" spans="1:16">
      <c r="C2210" s="561" t="s">
        <v>1198</v>
      </c>
      <c r="L2210" s="561">
        <v>0</v>
      </c>
      <c r="N2210" s="561">
        <v>0</v>
      </c>
    </row>
    <row r="2211" spans="1:16">
      <c r="C2211" s="561" t="s">
        <v>1199</v>
      </c>
      <c r="D2211" s="561">
        <v>202157.71900000001</v>
      </c>
      <c r="E2211" s="561">
        <v>61500</v>
      </c>
      <c r="F2211" s="561">
        <v>140657.71900000001</v>
      </c>
      <c r="G2211" s="561">
        <v>772</v>
      </c>
      <c r="H2211" s="561">
        <v>207213.016</v>
      </c>
      <c r="I2211" s="561">
        <v>0</v>
      </c>
      <c r="J2211" s="561">
        <v>5055.2969999999996</v>
      </c>
      <c r="K2211" s="561">
        <v>772</v>
      </c>
      <c r="L2211" s="561">
        <v>202157.71900000001</v>
      </c>
      <c r="M2211" s="561">
        <v>202157.71900000001</v>
      </c>
      <c r="N2211" s="561">
        <v>61500</v>
      </c>
      <c r="P2211" s="561">
        <v>140657.71900000001</v>
      </c>
    </row>
    <row r="2212" spans="1:16">
      <c r="C2212" s="561" t="s">
        <v>1200</v>
      </c>
      <c r="L2212" s="561">
        <v>0</v>
      </c>
      <c r="N2212" s="561">
        <v>0</v>
      </c>
    </row>
    <row r="2213" spans="1:16">
      <c r="A2213" s="561">
        <v>49</v>
      </c>
      <c r="B2213" s="561" t="s">
        <v>1470</v>
      </c>
      <c r="C2213" s="561" t="s">
        <v>1206</v>
      </c>
      <c r="D2213" s="561">
        <v>69512</v>
      </c>
      <c r="E2213" s="561">
        <v>20853.599999999999</v>
      </c>
      <c r="F2213" s="561">
        <v>48658.400000000001</v>
      </c>
      <c r="G2213" s="561">
        <v>1342</v>
      </c>
      <c r="H2213" s="561">
        <v>71135.668000000005</v>
      </c>
      <c r="I2213" s="561">
        <v>0</v>
      </c>
      <c r="J2213" s="561">
        <v>900.67600000000004</v>
      </c>
      <c r="K2213" s="561">
        <v>1342</v>
      </c>
      <c r="L2213" s="561">
        <v>69512</v>
      </c>
      <c r="M2213" s="561">
        <v>69512</v>
      </c>
      <c r="N2213" s="561">
        <v>20853.599999999999</v>
      </c>
      <c r="O2213" s="561">
        <v>0</v>
      </c>
      <c r="P2213" s="561">
        <v>48658.400000000001</v>
      </c>
    </row>
    <row r="2214" spans="1:16">
      <c r="C2214" s="561" t="s">
        <v>1197</v>
      </c>
      <c r="D2214" s="561">
        <v>66000</v>
      </c>
      <c r="E2214" s="561">
        <v>19800</v>
      </c>
      <c r="F2214" s="561">
        <v>46200</v>
      </c>
      <c r="G2214" s="561">
        <v>1042</v>
      </c>
      <c r="H2214" s="561">
        <v>67305.294999999998</v>
      </c>
      <c r="I2214" s="561">
        <v>0</v>
      </c>
      <c r="J2214" s="561">
        <v>859.46400000000006</v>
      </c>
      <c r="K2214" s="561">
        <v>1042</v>
      </c>
      <c r="L2214" s="561">
        <v>66000</v>
      </c>
      <c r="M2214" s="561">
        <v>66000</v>
      </c>
      <c r="N2214" s="561">
        <v>19800</v>
      </c>
    </row>
    <row r="2215" spans="1:16">
      <c r="C2215" s="561" t="s">
        <v>1198</v>
      </c>
      <c r="L2215" s="561">
        <v>0</v>
      </c>
      <c r="N2215" s="561">
        <v>0</v>
      </c>
    </row>
    <row r="2216" spans="1:16">
      <c r="C2216" s="561" t="s">
        <v>1199</v>
      </c>
      <c r="D2216" s="561">
        <v>3512</v>
      </c>
      <c r="E2216" s="561">
        <v>1053.5999999999999</v>
      </c>
      <c r="F2216" s="561">
        <v>2458.4</v>
      </c>
      <c r="G2216" s="561">
        <v>300</v>
      </c>
      <c r="H2216" s="561">
        <v>3830.373</v>
      </c>
      <c r="I2216" s="561">
        <v>0</v>
      </c>
      <c r="J2216" s="561">
        <v>41.212000000000003</v>
      </c>
      <c r="K2216" s="561">
        <v>300</v>
      </c>
      <c r="L2216" s="561">
        <v>3512</v>
      </c>
      <c r="M2216" s="561">
        <v>3512</v>
      </c>
      <c r="N2216" s="561">
        <v>1053.5999999999999</v>
      </c>
      <c r="P2216" s="561">
        <v>2458.4</v>
      </c>
    </row>
    <row r="2217" spans="1:16">
      <c r="C2217" s="561" t="s">
        <v>1200</v>
      </c>
      <c r="L2217" s="561">
        <v>0</v>
      </c>
      <c r="N2217" s="561">
        <v>0</v>
      </c>
    </row>
    <row r="2218" spans="1:16">
      <c r="A2218" s="561">
        <v>50</v>
      </c>
      <c r="B2218" s="561" t="s">
        <v>1471</v>
      </c>
      <c r="C2218" s="561" t="s">
        <v>1206</v>
      </c>
      <c r="D2218" s="561">
        <v>3512</v>
      </c>
      <c r="E2218" s="561">
        <v>1053.5999999999999</v>
      </c>
      <c r="F2218" s="561">
        <v>2458.4</v>
      </c>
      <c r="G2218" s="561">
        <v>249</v>
      </c>
      <c r="H2218" s="561">
        <v>3583.9630000000002</v>
      </c>
      <c r="I2218" s="561">
        <v>4</v>
      </c>
      <c r="J2218" s="561">
        <v>66.893000000000001</v>
      </c>
      <c r="K2218" s="561">
        <v>245</v>
      </c>
      <c r="L2218" s="561">
        <v>3512</v>
      </c>
      <c r="M2218" s="561">
        <v>3512</v>
      </c>
      <c r="N2218" s="561">
        <v>1053.5999999999999</v>
      </c>
      <c r="O2218" s="561">
        <v>0</v>
      </c>
      <c r="P2218" s="561">
        <v>2458.4</v>
      </c>
    </row>
    <row r="2219" spans="1:16">
      <c r="C2219" s="561" t="s">
        <v>1197</v>
      </c>
      <c r="L2219" s="561">
        <v>0</v>
      </c>
      <c r="N2219" s="561">
        <v>0</v>
      </c>
    </row>
    <row r="2220" spans="1:16">
      <c r="C2220" s="561" t="s">
        <v>1198</v>
      </c>
      <c r="L2220" s="561">
        <v>0</v>
      </c>
      <c r="N2220" s="561">
        <v>0</v>
      </c>
    </row>
    <row r="2221" spans="1:16">
      <c r="C2221" s="561" t="s">
        <v>1199</v>
      </c>
      <c r="D2221" s="561">
        <v>3512</v>
      </c>
      <c r="E2221" s="561">
        <v>1053.5999999999999</v>
      </c>
      <c r="F2221" s="561">
        <v>2458.4</v>
      </c>
      <c r="G2221" s="561">
        <v>249</v>
      </c>
      <c r="H2221" s="561">
        <v>3583.9630000000002</v>
      </c>
      <c r="I2221" s="561">
        <v>4</v>
      </c>
      <c r="J2221" s="561">
        <v>66.893000000000001</v>
      </c>
      <c r="K2221" s="561">
        <v>245</v>
      </c>
      <c r="L2221" s="561">
        <v>3512</v>
      </c>
      <c r="M2221" s="561">
        <v>3512</v>
      </c>
      <c r="N2221" s="561">
        <v>1053.5999999999999</v>
      </c>
      <c r="P2221" s="561">
        <v>2458.4</v>
      </c>
    </row>
    <row r="2222" spans="1:16">
      <c r="C2222" s="561" t="s">
        <v>1200</v>
      </c>
      <c r="L2222" s="561">
        <v>0</v>
      </c>
      <c r="N2222" s="561">
        <v>0</v>
      </c>
    </row>
    <row r="2223" spans="1:16">
      <c r="A2223" s="561">
        <v>51</v>
      </c>
      <c r="B2223" s="561" t="s">
        <v>1472</v>
      </c>
      <c r="C2223" s="561" t="s">
        <v>1206</v>
      </c>
      <c r="D2223" s="561">
        <v>17046</v>
      </c>
      <c r="E2223" s="561">
        <v>4213.8</v>
      </c>
      <c r="F2223" s="561">
        <v>12832.2</v>
      </c>
      <c r="G2223" s="561">
        <v>1035</v>
      </c>
      <c r="H2223" s="561">
        <v>18265.050999999999</v>
      </c>
      <c r="I2223" s="561">
        <v>9</v>
      </c>
      <c r="J2223" s="561">
        <v>714.26800000000003</v>
      </c>
      <c r="K2223" s="561">
        <v>1026</v>
      </c>
      <c r="L2223" s="561">
        <v>17046</v>
      </c>
      <c r="M2223" s="561">
        <v>17046</v>
      </c>
      <c r="N2223" s="561">
        <v>4213.8</v>
      </c>
      <c r="O2223" s="561">
        <v>0</v>
      </c>
      <c r="P2223" s="561">
        <v>12832.2</v>
      </c>
    </row>
    <row r="2224" spans="1:16">
      <c r="C2224" s="561" t="s">
        <v>1197</v>
      </c>
      <c r="L2224" s="561">
        <v>0</v>
      </c>
      <c r="N2224" s="561">
        <v>0</v>
      </c>
    </row>
    <row r="2225" spans="1:16">
      <c r="C2225" s="561" t="s">
        <v>1198</v>
      </c>
      <c r="L2225" s="561">
        <v>0</v>
      </c>
      <c r="N2225" s="561">
        <v>0</v>
      </c>
    </row>
    <row r="2226" spans="1:16">
      <c r="C2226" s="561" t="s">
        <v>1199</v>
      </c>
      <c r="D2226" s="561">
        <v>17046</v>
      </c>
      <c r="E2226" s="561">
        <v>4213.8</v>
      </c>
      <c r="F2226" s="561">
        <v>12832.2</v>
      </c>
      <c r="G2226" s="561">
        <v>1035</v>
      </c>
      <c r="H2226" s="561">
        <v>18265.050999999999</v>
      </c>
      <c r="I2226" s="561">
        <v>9</v>
      </c>
      <c r="J2226" s="561">
        <v>714.26800000000003</v>
      </c>
      <c r="K2226" s="561">
        <v>1026</v>
      </c>
      <c r="L2226" s="561">
        <v>17046</v>
      </c>
      <c r="M2226" s="561">
        <v>17046</v>
      </c>
      <c r="N2226" s="561">
        <v>4213.8</v>
      </c>
      <c r="P2226" s="561">
        <v>12832.2</v>
      </c>
    </row>
    <row r="2227" spans="1:16">
      <c r="C2227" s="561" t="s">
        <v>1200</v>
      </c>
      <c r="L2227" s="561">
        <v>0</v>
      </c>
      <c r="N2227" s="561">
        <v>0</v>
      </c>
    </row>
    <row r="2228" spans="1:16">
      <c r="A2228" s="561">
        <v>52</v>
      </c>
      <c r="B2228" s="561" t="s">
        <v>1473</v>
      </c>
      <c r="C2228" s="561" t="s">
        <v>1206</v>
      </c>
      <c r="D2228" s="561">
        <v>170140</v>
      </c>
      <c r="E2228" s="561">
        <v>47442</v>
      </c>
      <c r="F2228" s="561">
        <v>122698</v>
      </c>
      <c r="G2228" s="561">
        <v>3072</v>
      </c>
      <c r="H2228" s="561">
        <v>171584.726</v>
      </c>
      <c r="I2228" s="561">
        <v>18</v>
      </c>
      <c r="J2228" s="561">
        <v>1411.9079999999999</v>
      </c>
      <c r="K2228" s="561">
        <v>3054</v>
      </c>
      <c r="L2228" s="561">
        <v>170140</v>
      </c>
      <c r="M2228" s="561">
        <v>170140</v>
      </c>
      <c r="N2228" s="561">
        <v>47442</v>
      </c>
      <c r="O2228" s="561">
        <v>0</v>
      </c>
      <c r="P2228" s="561">
        <v>122698</v>
      </c>
    </row>
    <row r="2229" spans="1:16">
      <c r="C2229" s="561" t="s">
        <v>1197</v>
      </c>
      <c r="D2229" s="561">
        <v>160216.035</v>
      </c>
      <c r="E2229" s="561">
        <v>45300</v>
      </c>
      <c r="F2229" s="561">
        <v>114916.035</v>
      </c>
      <c r="G2229" s="561">
        <v>2468</v>
      </c>
      <c r="H2229" s="561">
        <v>161409.519</v>
      </c>
      <c r="I2229" s="561">
        <v>3</v>
      </c>
      <c r="J2229" s="561">
        <v>1160.6659999999999</v>
      </c>
      <c r="K2229" s="561">
        <v>2465</v>
      </c>
      <c r="L2229" s="561">
        <v>160216.035</v>
      </c>
      <c r="M2229" s="561">
        <v>160216.035</v>
      </c>
      <c r="N2229" s="561">
        <v>45300</v>
      </c>
    </row>
    <row r="2230" spans="1:16">
      <c r="C2230" s="561" t="s">
        <v>1198</v>
      </c>
      <c r="L2230" s="561">
        <v>0</v>
      </c>
      <c r="N2230" s="561">
        <v>0</v>
      </c>
    </row>
    <row r="2231" spans="1:16">
      <c r="C2231" s="561" t="s">
        <v>1199</v>
      </c>
      <c r="D2231" s="561">
        <v>9923.9650000000001</v>
      </c>
      <c r="E2231" s="561">
        <v>2142</v>
      </c>
      <c r="F2231" s="561">
        <v>7781.9650000000001</v>
      </c>
      <c r="G2231" s="561">
        <v>604</v>
      </c>
      <c r="H2231" s="561">
        <v>10175.207</v>
      </c>
      <c r="I2231" s="561">
        <v>15</v>
      </c>
      <c r="J2231" s="561">
        <v>251.24199999999999</v>
      </c>
      <c r="K2231" s="561">
        <v>589</v>
      </c>
      <c r="L2231" s="561">
        <v>9923.9650000000001</v>
      </c>
      <c r="M2231" s="561">
        <v>9923.9650000000001</v>
      </c>
      <c r="N2231" s="561">
        <v>2142</v>
      </c>
      <c r="P2231" s="561">
        <v>7781.9650000000001</v>
      </c>
    </row>
    <row r="2232" spans="1:16">
      <c r="C2232" s="561" t="s">
        <v>1200</v>
      </c>
      <c r="L2232" s="561">
        <v>0</v>
      </c>
      <c r="N2232" s="561">
        <v>0</v>
      </c>
    </row>
    <row r="2233" spans="1:16">
      <c r="A2233" s="561">
        <v>53</v>
      </c>
      <c r="B2233" s="561" t="s">
        <v>1474</v>
      </c>
      <c r="C2233" s="561" t="s">
        <v>1206</v>
      </c>
      <c r="D2233" s="561">
        <v>121000</v>
      </c>
      <c r="E2233" s="561">
        <v>34800</v>
      </c>
      <c r="F2233" s="561">
        <v>86200</v>
      </c>
      <c r="G2233" s="561">
        <v>2050</v>
      </c>
      <c r="H2233" s="561">
        <v>124090.148</v>
      </c>
      <c r="I2233" s="561">
        <v>1</v>
      </c>
      <c r="J2233" s="561">
        <v>3006.6170000000002</v>
      </c>
      <c r="K2233" s="561">
        <v>2049</v>
      </c>
      <c r="L2233" s="561">
        <v>121000</v>
      </c>
      <c r="M2233" s="561">
        <v>121000</v>
      </c>
      <c r="N2233" s="561">
        <v>34800</v>
      </c>
      <c r="O2233" s="561">
        <v>0</v>
      </c>
      <c r="P2233" s="561">
        <v>86200</v>
      </c>
    </row>
    <row r="2234" spans="1:16">
      <c r="C2234" s="561" t="s">
        <v>1197</v>
      </c>
      <c r="D2234" s="561">
        <v>121000</v>
      </c>
      <c r="E2234" s="561">
        <v>34800</v>
      </c>
      <c r="F2234" s="561">
        <v>86200</v>
      </c>
      <c r="G2234" s="561">
        <v>2050</v>
      </c>
      <c r="H2234" s="561">
        <v>124090.148</v>
      </c>
      <c r="I2234" s="561">
        <v>1</v>
      </c>
      <c r="J2234" s="561">
        <v>3006.6170000000002</v>
      </c>
      <c r="K2234" s="561">
        <v>2049</v>
      </c>
      <c r="L2234" s="561">
        <v>121000</v>
      </c>
      <c r="M2234" s="561">
        <v>121000</v>
      </c>
      <c r="N2234" s="561">
        <v>34800</v>
      </c>
    </row>
    <row r="2235" spans="1:16">
      <c r="C2235" s="561" t="s">
        <v>1198</v>
      </c>
      <c r="L2235" s="561">
        <v>0</v>
      </c>
      <c r="N2235" s="561">
        <v>0</v>
      </c>
    </row>
    <row r="2236" spans="1:16">
      <c r="C2236" s="561" t="s">
        <v>1199</v>
      </c>
      <c r="L2236" s="561">
        <v>0</v>
      </c>
      <c r="N2236" s="561">
        <v>0</v>
      </c>
    </row>
    <row r="2237" spans="1:16">
      <c r="C2237" s="561" t="s">
        <v>1200</v>
      </c>
      <c r="L2237" s="561">
        <v>0</v>
      </c>
      <c r="N2237" s="561">
        <v>0</v>
      </c>
    </row>
    <row r="2238" spans="1:16">
      <c r="A2238" s="561">
        <v>54</v>
      </c>
      <c r="B2238" s="561" t="s">
        <v>1475</v>
      </c>
      <c r="C2238" s="561" t="s">
        <v>1206</v>
      </c>
      <c r="D2238" s="561">
        <v>48288</v>
      </c>
      <c r="E2238" s="561">
        <v>14486.4</v>
      </c>
      <c r="F2238" s="561">
        <v>33801.599999999999</v>
      </c>
      <c r="G2238" s="561">
        <v>709</v>
      </c>
      <c r="H2238" s="561">
        <v>50418.381999999998</v>
      </c>
      <c r="I2238" s="561">
        <v>22</v>
      </c>
      <c r="J2238" s="561">
        <v>2130.3339999999998</v>
      </c>
      <c r="K2238" s="561">
        <v>687</v>
      </c>
      <c r="L2238" s="561">
        <v>48288</v>
      </c>
      <c r="M2238" s="561">
        <v>48288</v>
      </c>
      <c r="N2238" s="561">
        <v>14486.4</v>
      </c>
      <c r="O2238" s="561">
        <v>0</v>
      </c>
      <c r="P2238" s="561">
        <v>33801.599999999999</v>
      </c>
    </row>
    <row r="2239" spans="1:16">
      <c r="C2239" s="561" t="s">
        <v>1197</v>
      </c>
      <c r="D2239" s="561">
        <v>46764.093999999997</v>
      </c>
      <c r="E2239" s="561">
        <v>14100</v>
      </c>
      <c r="F2239" s="561">
        <v>32664.093999999997</v>
      </c>
      <c r="G2239" s="561">
        <v>600</v>
      </c>
      <c r="H2239" s="561">
        <v>48672.142999999996</v>
      </c>
      <c r="I2239" s="561">
        <v>12</v>
      </c>
      <c r="J2239" s="561">
        <v>1908.001</v>
      </c>
      <c r="K2239" s="561">
        <v>588</v>
      </c>
      <c r="L2239" s="561">
        <v>46764.093999999997</v>
      </c>
      <c r="M2239" s="561">
        <v>46764.093999999997</v>
      </c>
      <c r="N2239" s="561">
        <v>14100</v>
      </c>
    </row>
    <row r="2240" spans="1:16">
      <c r="C2240" s="561" t="s">
        <v>1198</v>
      </c>
      <c r="L2240" s="561">
        <v>0</v>
      </c>
      <c r="N2240" s="561">
        <v>0</v>
      </c>
    </row>
    <row r="2241" spans="1:36">
      <c r="C2241" s="561" t="s">
        <v>1199</v>
      </c>
      <c r="D2241" s="561">
        <v>1523.9059999999999</v>
      </c>
      <c r="E2241" s="561">
        <v>386.4</v>
      </c>
      <c r="F2241" s="561">
        <v>1137.5059999999999</v>
      </c>
      <c r="G2241" s="561">
        <v>109</v>
      </c>
      <c r="H2241" s="561">
        <v>1746.239</v>
      </c>
      <c r="I2241" s="561">
        <v>10</v>
      </c>
      <c r="J2241" s="561">
        <v>222.333</v>
      </c>
      <c r="K2241" s="561">
        <v>99</v>
      </c>
      <c r="L2241" s="561">
        <v>1523.9059999999999</v>
      </c>
      <c r="M2241" s="561">
        <v>1523.9059999999999</v>
      </c>
      <c r="N2241" s="561">
        <v>386.4</v>
      </c>
      <c r="P2241" s="561">
        <v>1137.5059999999999</v>
      </c>
    </row>
    <row r="2242" spans="1:36">
      <c r="C2242" s="561" t="s">
        <v>1200</v>
      </c>
      <c r="L2242" s="561">
        <v>0</v>
      </c>
      <c r="N2242" s="561">
        <v>0</v>
      </c>
    </row>
    <row r="2243" spans="1:36">
      <c r="A2243" s="561">
        <v>55</v>
      </c>
      <c r="B2243" s="561" t="s">
        <v>1476</v>
      </c>
      <c r="C2243" s="561" t="s">
        <v>1206</v>
      </c>
      <c r="D2243" s="561">
        <v>135615</v>
      </c>
      <c r="E2243" s="561">
        <v>40684.5</v>
      </c>
      <c r="F2243" s="561">
        <v>94930.5</v>
      </c>
      <c r="G2243" s="561">
        <v>58019</v>
      </c>
      <c r="H2243" s="561">
        <v>137086.06400000001</v>
      </c>
      <c r="I2243" s="561">
        <v>0</v>
      </c>
      <c r="J2243" s="561">
        <v>1280.4079999999999</v>
      </c>
      <c r="K2243" s="561">
        <v>58019</v>
      </c>
      <c r="L2243" s="561">
        <v>135615</v>
      </c>
      <c r="M2243" s="561">
        <v>135615</v>
      </c>
      <c r="N2243" s="561">
        <v>40684.5</v>
      </c>
      <c r="O2243" s="561">
        <v>0</v>
      </c>
      <c r="P2243" s="561">
        <v>94930.5</v>
      </c>
    </row>
    <row r="2244" spans="1:36">
      <c r="C2244" s="561" t="s">
        <v>1197</v>
      </c>
      <c r="D2244" s="561">
        <v>78500</v>
      </c>
      <c r="E2244" s="561">
        <v>23790</v>
      </c>
      <c r="F2244" s="561">
        <v>54710</v>
      </c>
      <c r="G2244" s="561">
        <v>928</v>
      </c>
      <c r="H2244" s="561">
        <v>79966.175000000003</v>
      </c>
      <c r="I2244" s="561">
        <v>0</v>
      </c>
      <c r="J2244" s="561">
        <v>1280.4079999999999</v>
      </c>
      <c r="K2244" s="561">
        <v>928</v>
      </c>
      <c r="L2244" s="561">
        <v>78500</v>
      </c>
      <c r="M2244" s="561">
        <v>78500</v>
      </c>
      <c r="N2244" s="561">
        <v>23790</v>
      </c>
    </row>
    <row r="2245" spans="1:36">
      <c r="C2245" s="561" t="s">
        <v>1198</v>
      </c>
      <c r="L2245" s="561">
        <v>0</v>
      </c>
      <c r="N2245" s="561">
        <v>0</v>
      </c>
    </row>
    <row r="2246" spans="1:36">
      <c r="C2246" s="561" t="s">
        <v>1199</v>
      </c>
      <c r="D2246" s="561">
        <v>2790</v>
      </c>
      <c r="E2246" s="561">
        <v>597</v>
      </c>
      <c r="F2246" s="561">
        <v>2193</v>
      </c>
      <c r="G2246" s="561">
        <v>173</v>
      </c>
      <c r="H2246" s="561">
        <v>2794.6260000000002</v>
      </c>
      <c r="I2246" s="561">
        <v>0</v>
      </c>
      <c r="J2246" s="561">
        <v>0</v>
      </c>
      <c r="K2246" s="561">
        <v>173</v>
      </c>
      <c r="L2246" s="561">
        <v>2790</v>
      </c>
      <c r="M2246" s="561">
        <v>2790</v>
      </c>
      <c r="N2246" s="561">
        <v>597</v>
      </c>
      <c r="P2246" s="561">
        <v>2193</v>
      </c>
    </row>
    <row r="2247" spans="1:36" s="896" customFormat="1">
      <c r="C2247" s="896" t="s">
        <v>1200</v>
      </c>
      <c r="D2247" s="896">
        <v>54325</v>
      </c>
      <c r="E2247" s="896">
        <v>16297.5</v>
      </c>
      <c r="F2247" s="896">
        <v>38027.5</v>
      </c>
      <c r="G2247" s="896">
        <v>56918</v>
      </c>
      <c r="H2247" s="896">
        <v>54325.262999999999</v>
      </c>
      <c r="I2247" s="896">
        <v>0</v>
      </c>
      <c r="J2247" s="896">
        <v>0</v>
      </c>
      <c r="K2247" s="896">
        <v>56918</v>
      </c>
      <c r="L2247" s="896">
        <v>54325</v>
      </c>
      <c r="M2247" s="896">
        <v>54325</v>
      </c>
      <c r="N2247" s="896">
        <v>16297.5</v>
      </c>
      <c r="P2247" s="896">
        <v>38027.5</v>
      </c>
    </row>
    <row r="2248" spans="1:36">
      <c r="A2248" s="561">
        <v>56</v>
      </c>
      <c r="B2248" s="561" t="s">
        <v>1477</v>
      </c>
      <c r="C2248" s="561" t="s">
        <v>1206</v>
      </c>
      <c r="D2248" s="561">
        <v>71512</v>
      </c>
      <c r="E2248" s="561">
        <v>18753.599999999999</v>
      </c>
      <c r="F2248" s="561">
        <v>52758.400000000001</v>
      </c>
      <c r="G2248" s="561">
        <v>1295</v>
      </c>
      <c r="H2248" s="561">
        <v>73382.942999999999</v>
      </c>
      <c r="I2248" s="561">
        <v>1</v>
      </c>
      <c r="J2248" s="561">
        <v>1823.3520000000001</v>
      </c>
      <c r="K2248" s="561">
        <v>1294</v>
      </c>
      <c r="L2248" s="561">
        <v>71512</v>
      </c>
      <c r="M2248" s="561">
        <v>71512</v>
      </c>
      <c r="N2248" s="561">
        <v>18753.599999999999</v>
      </c>
      <c r="O2248" s="561">
        <v>0</v>
      </c>
      <c r="P2248" s="561">
        <v>52758.400000000001</v>
      </c>
      <c r="AJ2248" s="561" t="str">
        <f>IF(C2245:C2251="КДП",VLOOKUP(C2248,C2245:P2251,2,FALSE),"")</f>
        <v/>
      </c>
    </row>
    <row r="2249" spans="1:36">
      <c r="C2249" s="561" t="s">
        <v>1197</v>
      </c>
      <c r="D2249" s="561">
        <v>67000</v>
      </c>
      <c r="E2249" s="561">
        <v>17700</v>
      </c>
      <c r="F2249" s="561">
        <v>49300</v>
      </c>
      <c r="G2249" s="561">
        <v>993</v>
      </c>
      <c r="H2249" s="561">
        <v>68697.017999999996</v>
      </c>
      <c r="I2249" s="561">
        <v>1</v>
      </c>
      <c r="J2249" s="561">
        <v>1692.8340000000001</v>
      </c>
      <c r="K2249" s="561">
        <v>992</v>
      </c>
      <c r="L2249" s="561">
        <v>67000</v>
      </c>
      <c r="M2249" s="561">
        <v>67000</v>
      </c>
      <c r="N2249" s="561">
        <v>17700</v>
      </c>
    </row>
    <row r="2250" spans="1:36">
      <c r="C2250" s="561" t="s">
        <v>1198</v>
      </c>
      <c r="L2250" s="561">
        <v>0</v>
      </c>
      <c r="N2250" s="561">
        <v>0</v>
      </c>
    </row>
    <row r="2251" spans="1:36">
      <c r="C2251" s="561" t="s">
        <v>1199</v>
      </c>
      <c r="D2251" s="561">
        <v>4512</v>
      </c>
      <c r="E2251" s="561">
        <v>1053.5999999999999</v>
      </c>
      <c r="F2251" s="561">
        <v>3458.4</v>
      </c>
      <c r="G2251" s="561">
        <v>302</v>
      </c>
      <c r="H2251" s="561">
        <v>4685.9250000000002</v>
      </c>
      <c r="I2251" s="561">
        <v>0</v>
      </c>
      <c r="J2251" s="561">
        <v>130.518</v>
      </c>
      <c r="K2251" s="561">
        <v>302</v>
      </c>
      <c r="L2251" s="561">
        <v>4512</v>
      </c>
      <c r="M2251" s="561">
        <v>4512</v>
      </c>
      <c r="N2251" s="561">
        <v>1053.5999999999999</v>
      </c>
      <c r="P2251" s="561">
        <v>3458.4</v>
      </c>
    </row>
    <row r="2252" spans="1:36">
      <c r="C2252" s="561" t="s">
        <v>1200</v>
      </c>
      <c r="L2252" s="561">
        <v>0</v>
      </c>
      <c r="N2252" s="561">
        <v>0</v>
      </c>
    </row>
    <row r="2253" spans="1:36">
      <c r="A2253" s="561">
        <v>57</v>
      </c>
      <c r="B2253" s="561" t="s">
        <v>1478</v>
      </c>
      <c r="C2253" s="561" t="s">
        <v>1206</v>
      </c>
      <c r="D2253" s="561">
        <v>5267</v>
      </c>
      <c r="E2253" s="561">
        <v>1580.1</v>
      </c>
      <c r="F2253" s="561">
        <v>3686.9</v>
      </c>
      <c r="G2253" s="561">
        <v>356</v>
      </c>
      <c r="H2253" s="561">
        <v>5479.95</v>
      </c>
      <c r="I2253" s="561">
        <v>1</v>
      </c>
      <c r="J2253" s="561">
        <v>200.422</v>
      </c>
      <c r="K2253" s="561">
        <v>355</v>
      </c>
      <c r="L2253" s="561">
        <v>5267</v>
      </c>
      <c r="M2253" s="561">
        <v>5267</v>
      </c>
      <c r="N2253" s="561">
        <v>1580.1</v>
      </c>
      <c r="O2253" s="561">
        <v>0</v>
      </c>
      <c r="P2253" s="561">
        <v>3686.9</v>
      </c>
    </row>
    <row r="2254" spans="1:36">
      <c r="C2254" s="561" t="s">
        <v>1197</v>
      </c>
      <c r="L2254" s="561">
        <v>0</v>
      </c>
      <c r="N2254" s="561">
        <v>0</v>
      </c>
    </row>
    <row r="2255" spans="1:36">
      <c r="C2255" s="561" t="s">
        <v>1198</v>
      </c>
      <c r="L2255" s="561">
        <v>0</v>
      </c>
      <c r="N2255" s="561">
        <v>0</v>
      </c>
    </row>
    <row r="2256" spans="1:36">
      <c r="C2256" s="561" t="s">
        <v>1199</v>
      </c>
      <c r="D2256" s="561">
        <v>5267</v>
      </c>
      <c r="E2256" s="561">
        <v>1580.1</v>
      </c>
      <c r="F2256" s="561">
        <v>3686.9</v>
      </c>
      <c r="G2256" s="561">
        <v>356</v>
      </c>
      <c r="H2256" s="561">
        <v>5479.95</v>
      </c>
      <c r="I2256" s="561">
        <v>1</v>
      </c>
      <c r="J2256" s="561">
        <v>200.422</v>
      </c>
      <c r="K2256" s="561">
        <v>355</v>
      </c>
      <c r="L2256" s="561">
        <v>5267</v>
      </c>
      <c r="M2256" s="561">
        <v>5267</v>
      </c>
      <c r="N2256" s="561">
        <v>1580.1</v>
      </c>
      <c r="P2256" s="561">
        <v>3686.9</v>
      </c>
    </row>
    <row r="2257" spans="1:16">
      <c r="C2257" s="561" t="s">
        <v>1200</v>
      </c>
      <c r="L2257" s="561">
        <v>0</v>
      </c>
      <c r="N2257" s="561">
        <v>0</v>
      </c>
    </row>
    <row r="2258" spans="1:16">
      <c r="A2258" s="561">
        <v>58</v>
      </c>
      <c r="B2258" s="561" t="s">
        <v>1479</v>
      </c>
      <c r="C2258" s="561" t="s">
        <v>1206</v>
      </c>
      <c r="D2258" s="561">
        <v>1053</v>
      </c>
      <c r="E2258" s="561">
        <v>315.89999999999998</v>
      </c>
      <c r="F2258" s="561">
        <v>737.1</v>
      </c>
      <c r="G2258" s="561">
        <v>82</v>
      </c>
      <c r="H2258" s="561">
        <v>1273.452</v>
      </c>
      <c r="I2258" s="561">
        <v>1</v>
      </c>
      <c r="J2258" s="561">
        <v>8.7309999999999999</v>
      </c>
      <c r="K2258" s="561">
        <v>81</v>
      </c>
      <c r="L2258" s="561">
        <v>1053</v>
      </c>
      <c r="M2258" s="561">
        <v>1053</v>
      </c>
      <c r="N2258" s="561">
        <v>315.89999999999998</v>
      </c>
      <c r="O2258" s="561">
        <v>0</v>
      </c>
      <c r="P2258" s="561">
        <v>737.1</v>
      </c>
    </row>
    <row r="2259" spans="1:16">
      <c r="C2259" s="561" t="s">
        <v>1197</v>
      </c>
      <c r="L2259" s="561">
        <v>0</v>
      </c>
      <c r="N2259" s="561">
        <v>0</v>
      </c>
    </row>
    <row r="2260" spans="1:16">
      <c r="C2260" s="561" t="s">
        <v>1198</v>
      </c>
      <c r="L2260" s="561">
        <v>0</v>
      </c>
      <c r="N2260" s="561">
        <v>0</v>
      </c>
    </row>
    <row r="2261" spans="1:16">
      <c r="C2261" s="561" t="s">
        <v>1199</v>
      </c>
      <c r="D2261" s="561">
        <v>1053</v>
      </c>
      <c r="E2261" s="561">
        <v>315.89999999999998</v>
      </c>
      <c r="F2261" s="561">
        <v>737.1</v>
      </c>
      <c r="G2261" s="561">
        <v>82</v>
      </c>
      <c r="H2261" s="561">
        <v>1273.452</v>
      </c>
      <c r="I2261" s="561">
        <v>1</v>
      </c>
      <c r="J2261" s="561">
        <v>8.7309999999999999</v>
      </c>
      <c r="K2261" s="561">
        <v>81</v>
      </c>
      <c r="L2261" s="561">
        <v>1053</v>
      </c>
      <c r="M2261" s="561">
        <v>1053</v>
      </c>
      <c r="N2261" s="561">
        <v>315.89999999999998</v>
      </c>
      <c r="P2261" s="561">
        <v>737.1</v>
      </c>
    </row>
    <row r="2262" spans="1:16">
      <c r="C2262" s="561" t="s">
        <v>1200</v>
      </c>
      <c r="L2262" s="561">
        <v>0</v>
      </c>
      <c r="N2262" s="561">
        <v>0</v>
      </c>
    </row>
    <row r="2263" spans="1:16">
      <c r="A2263" s="561">
        <v>59</v>
      </c>
      <c r="B2263" s="561" t="s">
        <v>1480</v>
      </c>
      <c r="C2263" s="561" t="s">
        <v>1206</v>
      </c>
      <c r="D2263" s="561">
        <v>1258.607</v>
      </c>
      <c r="E2263" s="561">
        <v>386.4</v>
      </c>
      <c r="F2263" s="561">
        <v>872.20699999999999</v>
      </c>
      <c r="G2263" s="561">
        <v>110</v>
      </c>
      <c r="H2263" s="561">
        <v>1683.626</v>
      </c>
      <c r="I2263" s="561">
        <v>11</v>
      </c>
      <c r="J2263" s="561">
        <v>425.01900000000001</v>
      </c>
      <c r="K2263" s="561">
        <v>99</v>
      </c>
      <c r="L2263" s="561">
        <v>1258.607</v>
      </c>
      <c r="M2263" s="561">
        <v>1258.607</v>
      </c>
      <c r="N2263" s="561">
        <v>386.4</v>
      </c>
      <c r="O2263" s="561">
        <v>0</v>
      </c>
      <c r="P2263" s="561">
        <v>872.20699999999999</v>
      </c>
    </row>
    <row r="2264" spans="1:16">
      <c r="C2264" s="561" t="s">
        <v>1197</v>
      </c>
      <c r="L2264" s="561">
        <v>0</v>
      </c>
      <c r="N2264" s="561">
        <v>0</v>
      </c>
    </row>
    <row r="2265" spans="1:16">
      <c r="C2265" s="561" t="s">
        <v>1198</v>
      </c>
      <c r="L2265" s="561">
        <v>0</v>
      </c>
      <c r="N2265" s="561">
        <v>0</v>
      </c>
    </row>
    <row r="2266" spans="1:16">
      <c r="C2266" s="561" t="s">
        <v>1199</v>
      </c>
      <c r="D2266" s="561">
        <v>1258.607</v>
      </c>
      <c r="E2266" s="561">
        <v>386.4</v>
      </c>
      <c r="F2266" s="561">
        <v>872.20699999999999</v>
      </c>
      <c r="G2266" s="561">
        <v>110</v>
      </c>
      <c r="H2266" s="561">
        <v>1683.626</v>
      </c>
      <c r="I2266" s="561">
        <v>11</v>
      </c>
      <c r="J2266" s="561">
        <v>425.01900000000001</v>
      </c>
      <c r="K2266" s="561">
        <v>99</v>
      </c>
      <c r="L2266" s="561">
        <v>1258.607</v>
      </c>
      <c r="M2266" s="561">
        <v>1258.607</v>
      </c>
      <c r="N2266" s="561">
        <v>386.4</v>
      </c>
      <c r="P2266" s="561">
        <v>872.20699999999999</v>
      </c>
    </row>
    <row r="2267" spans="1:16">
      <c r="C2267" s="561" t="s">
        <v>1200</v>
      </c>
      <c r="L2267" s="561">
        <v>0</v>
      </c>
      <c r="N2267" s="561">
        <v>0</v>
      </c>
    </row>
    <row r="2268" spans="1:16">
      <c r="A2268" s="561">
        <v>60</v>
      </c>
      <c r="B2268" s="561" t="s">
        <v>1481</v>
      </c>
      <c r="C2268" s="561" t="s">
        <v>1206</v>
      </c>
      <c r="D2268" s="561">
        <v>106733</v>
      </c>
      <c r="E2268" s="561">
        <v>29720.7</v>
      </c>
      <c r="F2268" s="561">
        <v>77012.299999999988</v>
      </c>
      <c r="G2268" s="561">
        <v>2952</v>
      </c>
      <c r="H2268" s="561">
        <v>110613.766</v>
      </c>
      <c r="I2268" s="561">
        <v>40</v>
      </c>
      <c r="J2268" s="561">
        <v>3816.1629999999996</v>
      </c>
      <c r="K2268" s="561">
        <v>2912</v>
      </c>
      <c r="L2268" s="561">
        <v>106733</v>
      </c>
      <c r="M2268" s="561">
        <v>106733</v>
      </c>
      <c r="N2268" s="561">
        <v>29720.7</v>
      </c>
      <c r="O2268" s="561">
        <v>0</v>
      </c>
      <c r="P2268" s="561">
        <v>77012.299999999988</v>
      </c>
    </row>
    <row r="2269" spans="1:16">
      <c r="C2269" s="561" t="s">
        <v>1197</v>
      </c>
      <c r="D2269" s="561">
        <v>77801.289999999994</v>
      </c>
      <c r="E2269" s="561">
        <v>23400</v>
      </c>
      <c r="F2269" s="561">
        <v>54401.289999999994</v>
      </c>
      <c r="G2269" s="561">
        <v>1193</v>
      </c>
      <c r="H2269" s="561">
        <v>80485.001000000004</v>
      </c>
      <c r="I2269" s="561">
        <v>6</v>
      </c>
      <c r="J2269" s="561">
        <v>2683.7109999999998</v>
      </c>
      <c r="K2269" s="561">
        <v>1187</v>
      </c>
      <c r="L2269" s="561">
        <v>77801.289999999994</v>
      </c>
      <c r="M2269" s="561">
        <v>77801.289999999994</v>
      </c>
      <c r="N2269" s="561">
        <v>23400</v>
      </c>
    </row>
    <row r="2270" spans="1:16">
      <c r="C2270" s="561" t="s">
        <v>1198</v>
      </c>
      <c r="L2270" s="561">
        <v>0</v>
      </c>
      <c r="N2270" s="561">
        <v>0</v>
      </c>
    </row>
    <row r="2271" spans="1:16">
      <c r="C2271" s="561" t="s">
        <v>1199</v>
      </c>
      <c r="D2271" s="561">
        <v>28931.71</v>
      </c>
      <c r="E2271" s="561">
        <v>6320.7</v>
      </c>
      <c r="F2271" s="561">
        <v>22611.01</v>
      </c>
      <c r="G2271" s="561">
        <v>1759</v>
      </c>
      <c r="H2271" s="561">
        <v>30128.764999999999</v>
      </c>
      <c r="I2271" s="561">
        <v>34</v>
      </c>
      <c r="J2271" s="561">
        <v>1132.452</v>
      </c>
      <c r="K2271" s="561">
        <v>1725</v>
      </c>
      <c r="L2271" s="561">
        <v>28931.71</v>
      </c>
      <c r="M2271" s="561">
        <v>28931.71</v>
      </c>
      <c r="N2271" s="561">
        <v>6320.7</v>
      </c>
      <c r="P2271" s="561">
        <v>22611.01</v>
      </c>
    </row>
    <row r="2272" spans="1:16">
      <c r="C2272" s="561" t="s">
        <v>1200</v>
      </c>
      <c r="L2272" s="561">
        <v>0</v>
      </c>
      <c r="N2272" s="561">
        <v>0</v>
      </c>
    </row>
    <row r="2273" spans="1:16">
      <c r="A2273" s="561">
        <v>61</v>
      </c>
      <c r="B2273" s="561" t="s">
        <v>1482</v>
      </c>
      <c r="C2273" s="561" t="s">
        <v>1206</v>
      </c>
      <c r="D2273" s="561">
        <v>91102</v>
      </c>
      <c r="E2273" s="561">
        <v>25909.200000000001</v>
      </c>
      <c r="F2273" s="561">
        <v>65192.800000000003</v>
      </c>
      <c r="G2273" s="561">
        <v>1983</v>
      </c>
      <c r="H2273" s="561">
        <v>79068.25</v>
      </c>
      <c r="I2273" s="561">
        <v>12</v>
      </c>
      <c r="J2273" s="561">
        <v>1304.943</v>
      </c>
      <c r="K2273" s="561">
        <v>1971</v>
      </c>
      <c r="L2273" s="561">
        <v>91102</v>
      </c>
      <c r="M2273" s="561">
        <v>91102</v>
      </c>
      <c r="N2273" s="561">
        <v>25909.200000000001</v>
      </c>
      <c r="O2273" s="561">
        <v>0</v>
      </c>
      <c r="P2273" s="561">
        <v>65192.800000000003</v>
      </c>
    </row>
    <row r="2274" spans="1:16">
      <c r="C2274" s="561" t="s">
        <v>1197</v>
      </c>
      <c r="D2274" s="561">
        <v>73525.866999999998</v>
      </c>
      <c r="E2274" s="561">
        <v>23100</v>
      </c>
      <c r="F2274" s="561">
        <v>50425.866999999998</v>
      </c>
      <c r="G2274" s="561">
        <v>894</v>
      </c>
      <c r="H2274" s="561">
        <v>61923.237000000001</v>
      </c>
      <c r="I2274" s="561">
        <v>3</v>
      </c>
      <c r="J2274" s="561">
        <v>865.83299999999997</v>
      </c>
      <c r="K2274" s="561">
        <v>891</v>
      </c>
      <c r="L2274" s="561">
        <v>73525.866999999998</v>
      </c>
      <c r="M2274" s="561">
        <v>73525.866999999998</v>
      </c>
      <c r="N2274" s="561">
        <v>23100</v>
      </c>
    </row>
    <row r="2275" spans="1:16">
      <c r="C2275" s="561" t="s">
        <v>1198</v>
      </c>
      <c r="L2275" s="561">
        <v>0</v>
      </c>
      <c r="N2275" s="561">
        <v>0</v>
      </c>
    </row>
    <row r="2276" spans="1:16">
      <c r="C2276" s="561" t="s">
        <v>1199</v>
      </c>
      <c r="D2276" s="561">
        <v>17576.133000000002</v>
      </c>
      <c r="E2276" s="561">
        <v>2809.2</v>
      </c>
      <c r="F2276" s="561">
        <v>14766.933000000001</v>
      </c>
      <c r="G2276" s="561">
        <v>1089</v>
      </c>
      <c r="H2276" s="561">
        <v>17145.012999999999</v>
      </c>
      <c r="I2276" s="561">
        <v>9</v>
      </c>
      <c r="J2276" s="561">
        <v>439.11</v>
      </c>
      <c r="K2276" s="561">
        <v>1080</v>
      </c>
      <c r="L2276" s="561">
        <v>17576.133000000002</v>
      </c>
      <c r="M2276" s="561">
        <v>17576.133000000002</v>
      </c>
      <c r="N2276" s="561">
        <v>2809.2</v>
      </c>
      <c r="P2276" s="561">
        <v>14766.933000000001</v>
      </c>
    </row>
    <row r="2277" spans="1:16">
      <c r="C2277" s="561" t="s">
        <v>1200</v>
      </c>
      <c r="L2277" s="561">
        <v>0</v>
      </c>
      <c r="N2277" s="561">
        <v>0</v>
      </c>
    </row>
    <row r="2278" spans="1:16">
      <c r="A2278" s="561">
        <v>62</v>
      </c>
      <c r="B2278" s="561" t="s">
        <v>1483</v>
      </c>
      <c r="C2278" s="561" t="s">
        <v>1206</v>
      </c>
      <c r="D2278" s="561">
        <v>405825</v>
      </c>
      <c r="E2278" s="561">
        <v>121594.2</v>
      </c>
      <c r="F2278" s="561">
        <v>284230.80000000005</v>
      </c>
      <c r="G2278" s="561">
        <v>11865</v>
      </c>
      <c r="H2278" s="561">
        <v>420701.31900000002</v>
      </c>
      <c r="I2278" s="561">
        <v>110</v>
      </c>
      <c r="J2278" s="561">
        <v>14288.972</v>
      </c>
      <c r="K2278" s="561">
        <v>11755</v>
      </c>
      <c r="L2278" s="561">
        <v>405825</v>
      </c>
      <c r="M2278" s="561">
        <v>405825</v>
      </c>
      <c r="N2278" s="561">
        <v>121594.2</v>
      </c>
      <c r="O2278" s="561">
        <v>0</v>
      </c>
      <c r="P2278" s="561">
        <v>284230.80000000005</v>
      </c>
    </row>
    <row r="2279" spans="1:16">
      <c r="C2279" s="561" t="s">
        <v>1197</v>
      </c>
      <c r="D2279" s="561">
        <v>327474.34600000002</v>
      </c>
      <c r="E2279" s="561">
        <v>102000</v>
      </c>
      <c r="F2279" s="561">
        <v>225474.34600000002</v>
      </c>
      <c r="G2279" s="561">
        <v>5957</v>
      </c>
      <c r="H2279" s="561">
        <v>341009.24300000002</v>
      </c>
      <c r="I2279" s="561">
        <v>39</v>
      </c>
      <c r="J2279" s="561">
        <v>12947.55</v>
      </c>
      <c r="K2279" s="561">
        <v>5918</v>
      </c>
      <c r="L2279" s="561">
        <v>327474.34600000002</v>
      </c>
      <c r="M2279" s="561">
        <v>327474.34600000002</v>
      </c>
      <c r="N2279" s="561">
        <v>102000</v>
      </c>
    </row>
    <row r="2280" spans="1:16">
      <c r="C2280" s="561" t="s">
        <v>1198</v>
      </c>
      <c r="L2280" s="561">
        <v>0</v>
      </c>
      <c r="N2280" s="561">
        <v>0</v>
      </c>
    </row>
    <row r="2281" spans="1:16">
      <c r="C2281" s="561" t="s">
        <v>1199</v>
      </c>
      <c r="D2281" s="561">
        <v>78350.653999999995</v>
      </c>
      <c r="E2281" s="561">
        <v>19594.2</v>
      </c>
      <c r="F2281" s="561">
        <v>58756.453999999998</v>
      </c>
      <c r="G2281" s="561">
        <v>5908</v>
      </c>
      <c r="H2281" s="561">
        <v>79692.076000000001</v>
      </c>
      <c r="I2281" s="561">
        <v>71</v>
      </c>
      <c r="J2281" s="561">
        <v>1341.422</v>
      </c>
      <c r="K2281" s="561">
        <v>5837</v>
      </c>
      <c r="L2281" s="561">
        <v>78350.653999999995</v>
      </c>
      <c r="M2281" s="561">
        <v>78350.653999999995</v>
      </c>
      <c r="N2281" s="561">
        <v>19594.2</v>
      </c>
      <c r="P2281" s="561">
        <v>58756.453999999998</v>
      </c>
    </row>
    <row r="2282" spans="1:16">
      <c r="C2282" s="561" t="s">
        <v>1200</v>
      </c>
      <c r="L2282" s="561">
        <v>0</v>
      </c>
      <c r="N2282" s="561">
        <v>0</v>
      </c>
    </row>
    <row r="2283" spans="1:16">
      <c r="A2283" s="561">
        <v>63</v>
      </c>
      <c r="B2283" s="561" t="s">
        <v>1484</v>
      </c>
      <c r="C2283" s="561" t="s">
        <v>1206</v>
      </c>
      <c r="D2283" s="561">
        <v>66740.491999999998</v>
      </c>
      <c r="E2283" s="561">
        <v>20305.5</v>
      </c>
      <c r="F2283" s="561">
        <v>46434.991999999998</v>
      </c>
      <c r="G2283" s="561">
        <v>2117</v>
      </c>
      <c r="H2283" s="561">
        <v>68733.042000000001</v>
      </c>
      <c r="I2283" s="561">
        <v>24</v>
      </c>
      <c r="J2283" s="561">
        <v>1992.5500000000002</v>
      </c>
      <c r="K2283" s="561">
        <v>2093</v>
      </c>
      <c r="L2283" s="561">
        <v>66740.491999999998</v>
      </c>
      <c r="M2283" s="561">
        <v>66740.491999999998</v>
      </c>
      <c r="N2283" s="561">
        <v>20305.5</v>
      </c>
      <c r="O2283" s="561">
        <v>0</v>
      </c>
      <c r="P2283" s="561">
        <v>46434.991999999998</v>
      </c>
    </row>
    <row r="2284" spans="1:16">
      <c r="C2284" s="561" t="s">
        <v>1197</v>
      </c>
      <c r="D2284" s="561">
        <v>48542.184999999998</v>
      </c>
      <c r="E2284" s="561">
        <v>15600</v>
      </c>
      <c r="F2284" s="561">
        <v>32942.184999999998</v>
      </c>
      <c r="G2284" s="561">
        <v>747</v>
      </c>
      <c r="H2284" s="561">
        <v>49596.421999999999</v>
      </c>
      <c r="I2284" s="561">
        <v>3</v>
      </c>
      <c r="J2284" s="561">
        <v>1054.2370000000001</v>
      </c>
      <c r="K2284" s="561">
        <v>744</v>
      </c>
      <c r="L2284" s="561">
        <v>48542.184999999998</v>
      </c>
      <c r="M2284" s="561">
        <v>48542.184999999998</v>
      </c>
      <c r="N2284" s="561">
        <v>15600</v>
      </c>
    </row>
    <row r="2285" spans="1:16">
      <c r="C2285" s="561" t="s">
        <v>1198</v>
      </c>
      <c r="L2285" s="561">
        <v>0</v>
      </c>
      <c r="N2285" s="561">
        <v>0</v>
      </c>
    </row>
    <row r="2286" spans="1:16">
      <c r="C2286" s="561" t="s">
        <v>1199</v>
      </c>
      <c r="D2286" s="561">
        <v>18198.307000000001</v>
      </c>
      <c r="E2286" s="561">
        <v>4705.5</v>
      </c>
      <c r="F2286" s="561">
        <v>13492.807000000001</v>
      </c>
      <c r="G2286" s="561">
        <v>1370</v>
      </c>
      <c r="H2286" s="561">
        <v>19136.62</v>
      </c>
      <c r="I2286" s="561">
        <v>21</v>
      </c>
      <c r="J2286" s="561">
        <v>938.31299999999999</v>
      </c>
      <c r="K2286" s="561">
        <v>1349</v>
      </c>
      <c r="L2286" s="561">
        <v>18198.307000000001</v>
      </c>
      <c r="M2286" s="561">
        <v>18198.307000000001</v>
      </c>
      <c r="N2286" s="561">
        <v>4705.5</v>
      </c>
      <c r="P2286" s="561">
        <v>13492.807000000001</v>
      </c>
    </row>
    <row r="2287" spans="1:16">
      <c r="C2287" s="561" t="s">
        <v>1200</v>
      </c>
      <c r="L2287" s="561">
        <v>0</v>
      </c>
      <c r="N2287" s="561">
        <v>0</v>
      </c>
    </row>
    <row r="2288" spans="1:16">
      <c r="A2288" s="561">
        <v>64</v>
      </c>
      <c r="B2288" s="561" t="s">
        <v>1485</v>
      </c>
      <c r="C2288" s="561" t="s">
        <v>1206</v>
      </c>
      <c r="D2288" s="561">
        <v>44675.362000000001</v>
      </c>
      <c r="E2288" s="561">
        <v>13629.6</v>
      </c>
      <c r="F2288" s="561">
        <v>31045.761999999999</v>
      </c>
      <c r="G2288" s="561">
        <v>1424</v>
      </c>
      <c r="H2288" s="561">
        <v>46983.428</v>
      </c>
      <c r="I2288" s="561">
        <v>17</v>
      </c>
      <c r="J2288" s="561">
        <v>2308.0660000000003</v>
      </c>
      <c r="K2288" s="561">
        <v>1407</v>
      </c>
      <c r="L2288" s="561">
        <v>44675.362000000001</v>
      </c>
      <c r="M2288" s="561">
        <v>44675.362000000001</v>
      </c>
      <c r="N2288" s="561">
        <v>13629.6</v>
      </c>
      <c r="O2288" s="561">
        <v>0</v>
      </c>
      <c r="P2288" s="561">
        <v>31045.761999999999</v>
      </c>
    </row>
    <row r="2289" spans="1:16">
      <c r="C2289" s="561" t="s">
        <v>1197</v>
      </c>
      <c r="D2289" s="561">
        <v>33537.510999999999</v>
      </c>
      <c r="E2289" s="561">
        <v>10680</v>
      </c>
      <c r="F2289" s="561">
        <v>22857.510999999999</v>
      </c>
      <c r="G2289" s="561">
        <v>562</v>
      </c>
      <c r="H2289" s="561">
        <v>35419.131999999998</v>
      </c>
      <c r="I2289" s="561">
        <v>4</v>
      </c>
      <c r="J2289" s="561">
        <v>1881.6210000000001</v>
      </c>
      <c r="K2289" s="561">
        <v>558</v>
      </c>
      <c r="L2289" s="561">
        <v>33537.510999999999</v>
      </c>
      <c r="M2289" s="561">
        <v>33537.510999999999</v>
      </c>
      <c r="N2289" s="561">
        <v>10680</v>
      </c>
    </row>
    <row r="2290" spans="1:16">
      <c r="C2290" s="561" t="s">
        <v>1198</v>
      </c>
      <c r="L2290" s="561">
        <v>0</v>
      </c>
      <c r="N2290" s="561">
        <v>0</v>
      </c>
    </row>
    <row r="2291" spans="1:16">
      <c r="C2291" s="561" t="s">
        <v>1199</v>
      </c>
      <c r="D2291" s="561">
        <v>11137.851000000001</v>
      </c>
      <c r="E2291" s="561">
        <v>2949.6</v>
      </c>
      <c r="F2291" s="561">
        <v>8188.2510000000002</v>
      </c>
      <c r="G2291" s="561">
        <v>862</v>
      </c>
      <c r="H2291" s="561">
        <v>11564.296</v>
      </c>
      <c r="I2291" s="561">
        <v>13</v>
      </c>
      <c r="J2291" s="561">
        <v>426.44499999999999</v>
      </c>
      <c r="K2291" s="561">
        <v>849</v>
      </c>
      <c r="L2291" s="561">
        <v>11137.851000000001</v>
      </c>
      <c r="M2291" s="561">
        <v>11137.851000000001</v>
      </c>
      <c r="N2291" s="561">
        <v>2949.6</v>
      </c>
      <c r="P2291" s="561">
        <v>8188.2510000000002</v>
      </c>
    </row>
    <row r="2292" spans="1:16">
      <c r="C2292" s="561" t="s">
        <v>1200</v>
      </c>
      <c r="L2292" s="561">
        <v>0</v>
      </c>
      <c r="N2292" s="561">
        <v>0</v>
      </c>
    </row>
    <row r="2293" spans="1:16">
      <c r="A2293" s="561">
        <v>65</v>
      </c>
      <c r="B2293" s="561" t="s">
        <v>1486</v>
      </c>
      <c r="C2293" s="561" t="s">
        <v>1206</v>
      </c>
      <c r="D2293" s="561">
        <v>107495</v>
      </c>
      <c r="E2293" s="561">
        <v>30913.8</v>
      </c>
      <c r="F2293" s="561">
        <v>76581.2</v>
      </c>
      <c r="G2293" s="561">
        <v>2520</v>
      </c>
      <c r="H2293" s="561">
        <v>107446.974</v>
      </c>
      <c r="I2293" s="561">
        <v>7</v>
      </c>
      <c r="J2293" s="561">
        <v>3014.5549999999998</v>
      </c>
      <c r="K2293" s="561">
        <v>2513</v>
      </c>
      <c r="L2293" s="561">
        <v>107495</v>
      </c>
      <c r="M2293" s="561">
        <v>107495</v>
      </c>
      <c r="N2293" s="561">
        <v>30913.8</v>
      </c>
      <c r="O2293" s="561">
        <v>0</v>
      </c>
      <c r="P2293" s="561">
        <v>76581.2</v>
      </c>
    </row>
    <row r="2294" spans="1:16">
      <c r="C2294" s="561" t="s">
        <v>1197</v>
      </c>
      <c r="D2294" s="561">
        <v>89178.725999999995</v>
      </c>
      <c r="E2294" s="561">
        <v>26700</v>
      </c>
      <c r="F2294" s="561">
        <v>62478.725999999995</v>
      </c>
      <c r="G2294" s="561">
        <v>1304</v>
      </c>
      <c r="H2294" s="561">
        <v>87573.173999999999</v>
      </c>
      <c r="I2294" s="561">
        <v>4</v>
      </c>
      <c r="J2294" s="561">
        <v>2710.5439999999999</v>
      </c>
      <c r="K2294" s="561">
        <v>1300</v>
      </c>
      <c r="L2294" s="561">
        <v>89178.725999999995</v>
      </c>
      <c r="M2294" s="561">
        <v>89178.725999999995</v>
      </c>
      <c r="N2294" s="561">
        <v>26700</v>
      </c>
    </row>
    <row r="2295" spans="1:16">
      <c r="C2295" s="561" t="s">
        <v>1198</v>
      </c>
      <c r="L2295" s="561">
        <v>0</v>
      </c>
      <c r="N2295" s="561">
        <v>0</v>
      </c>
    </row>
    <row r="2296" spans="1:16">
      <c r="C2296" s="561" t="s">
        <v>1199</v>
      </c>
      <c r="D2296" s="561">
        <v>18316.274000000001</v>
      </c>
      <c r="E2296" s="561">
        <v>4213.8</v>
      </c>
      <c r="F2296" s="561">
        <v>14102.474000000002</v>
      </c>
      <c r="G2296" s="561">
        <v>1216</v>
      </c>
      <c r="H2296" s="561">
        <v>19873.8</v>
      </c>
      <c r="I2296" s="561">
        <v>3</v>
      </c>
      <c r="J2296" s="561">
        <v>304.01100000000002</v>
      </c>
      <c r="K2296" s="561">
        <v>1213</v>
      </c>
      <c r="L2296" s="561">
        <v>18316.274000000001</v>
      </c>
      <c r="M2296" s="561">
        <v>18316.274000000001</v>
      </c>
      <c r="N2296" s="561">
        <v>4213.8</v>
      </c>
      <c r="P2296" s="561">
        <v>14102.474000000002</v>
      </c>
    </row>
    <row r="2297" spans="1:16">
      <c r="C2297" s="561" t="s">
        <v>1200</v>
      </c>
      <c r="L2297" s="561">
        <v>0</v>
      </c>
      <c r="N2297" s="561">
        <v>0</v>
      </c>
    </row>
    <row r="2298" spans="1:16">
      <c r="A2298" s="561">
        <v>66</v>
      </c>
      <c r="B2298" s="561" t="s">
        <v>1487</v>
      </c>
      <c r="C2298" s="561" t="s">
        <v>1206</v>
      </c>
      <c r="D2298" s="561">
        <v>235208.80000000002</v>
      </c>
      <c r="E2298" s="561">
        <v>67125.3</v>
      </c>
      <c r="F2298" s="561">
        <v>168083.50000000003</v>
      </c>
      <c r="G2298" s="561">
        <v>4923</v>
      </c>
      <c r="H2298" s="561">
        <v>243769.764</v>
      </c>
      <c r="I2298" s="561">
        <v>24</v>
      </c>
      <c r="J2298" s="561">
        <v>7213.9849999999997</v>
      </c>
      <c r="K2298" s="561">
        <v>4899</v>
      </c>
      <c r="L2298" s="561">
        <v>235208.80000000002</v>
      </c>
      <c r="M2298" s="561">
        <v>235208.80000000002</v>
      </c>
      <c r="N2298" s="561">
        <v>67125.3</v>
      </c>
      <c r="O2298" s="561">
        <v>0</v>
      </c>
      <c r="P2298" s="561">
        <v>168083.50000000003</v>
      </c>
    </row>
    <row r="2299" spans="1:16">
      <c r="C2299" s="561" t="s">
        <v>1197</v>
      </c>
      <c r="D2299" s="561">
        <v>199298.82800000001</v>
      </c>
      <c r="E2299" s="561">
        <v>59400</v>
      </c>
      <c r="F2299" s="561">
        <v>139898.82800000001</v>
      </c>
      <c r="G2299" s="561">
        <v>2958</v>
      </c>
      <c r="H2299" s="561">
        <v>206385.266</v>
      </c>
      <c r="I2299" s="561">
        <v>7</v>
      </c>
      <c r="J2299" s="561">
        <v>6671.107</v>
      </c>
      <c r="K2299" s="561">
        <v>2951</v>
      </c>
      <c r="L2299" s="561">
        <v>199298.82800000001</v>
      </c>
      <c r="M2299" s="561">
        <v>199298.82800000001</v>
      </c>
      <c r="N2299" s="561">
        <v>59400</v>
      </c>
    </row>
    <row r="2300" spans="1:16">
      <c r="C2300" s="561" t="s">
        <v>1198</v>
      </c>
      <c r="L2300" s="561">
        <v>0</v>
      </c>
      <c r="N2300" s="561">
        <v>0</v>
      </c>
    </row>
    <row r="2301" spans="1:16">
      <c r="C2301" s="561" t="s">
        <v>1199</v>
      </c>
      <c r="D2301" s="561">
        <v>33251</v>
      </c>
      <c r="E2301" s="561">
        <v>7725.3</v>
      </c>
      <c r="F2301" s="561">
        <v>25525.7</v>
      </c>
      <c r="G2301" s="561">
        <v>1965</v>
      </c>
      <c r="H2301" s="561">
        <v>34141.85</v>
      </c>
      <c r="I2301" s="561">
        <v>17</v>
      </c>
      <c r="J2301" s="561">
        <v>542.87800000000004</v>
      </c>
      <c r="K2301" s="561">
        <v>1948</v>
      </c>
      <c r="L2301" s="561">
        <v>33251</v>
      </c>
      <c r="M2301" s="561">
        <v>33251</v>
      </c>
      <c r="N2301" s="561">
        <v>7725.3</v>
      </c>
      <c r="P2301" s="561">
        <v>25525.7</v>
      </c>
    </row>
    <row r="2302" spans="1:16">
      <c r="C2302" s="561" t="s">
        <v>1200</v>
      </c>
      <c r="L2302" s="561">
        <v>0</v>
      </c>
      <c r="M2302" s="561">
        <v>0</v>
      </c>
      <c r="N2302" s="561">
        <v>0</v>
      </c>
    </row>
    <row r="2303" spans="1:16">
      <c r="C2303" s="561" t="s">
        <v>1202</v>
      </c>
      <c r="D2303" s="561">
        <v>2658.9720000000002</v>
      </c>
      <c r="F2303" s="561">
        <v>2658.9720000000002</v>
      </c>
      <c r="G2303" s="561">
        <v>0</v>
      </c>
      <c r="H2303" s="561">
        <v>3242.6480000000001</v>
      </c>
      <c r="I2303" s="561">
        <v>0</v>
      </c>
      <c r="J2303" s="561">
        <v>0</v>
      </c>
      <c r="K2303" s="561">
        <v>0</v>
      </c>
      <c r="L2303" s="561">
        <v>2658.9720000000002</v>
      </c>
      <c r="M2303" s="561">
        <v>2658.9720000000002</v>
      </c>
      <c r="P2303" s="561">
        <v>2658.9720000000002</v>
      </c>
    </row>
    <row r="2304" spans="1:16">
      <c r="A2304" s="561">
        <v>67</v>
      </c>
      <c r="B2304" s="561" t="s">
        <v>1488</v>
      </c>
      <c r="C2304" s="561" t="s">
        <v>1206</v>
      </c>
      <c r="D2304" s="561">
        <v>142223</v>
      </c>
      <c r="E2304" s="561">
        <v>42475.199999999997</v>
      </c>
      <c r="F2304" s="561">
        <v>99747.799999999988</v>
      </c>
      <c r="G2304" s="561">
        <v>2653</v>
      </c>
      <c r="H2304" s="561">
        <v>147559.38800000001</v>
      </c>
      <c r="I2304" s="561">
        <v>10</v>
      </c>
      <c r="J2304" s="561">
        <v>5287.5300000000007</v>
      </c>
      <c r="K2304" s="561">
        <v>2643</v>
      </c>
      <c r="L2304" s="561">
        <v>142223</v>
      </c>
      <c r="M2304" s="561">
        <v>142223</v>
      </c>
      <c r="N2304" s="561">
        <v>42475.199999999997</v>
      </c>
      <c r="O2304" s="561">
        <v>0</v>
      </c>
      <c r="P2304" s="561">
        <v>99747.799999999988</v>
      </c>
    </row>
    <row r="2305" spans="1:16">
      <c r="C2305" s="561" t="s">
        <v>1197</v>
      </c>
      <c r="D2305" s="561">
        <v>132677.81299999999</v>
      </c>
      <c r="E2305" s="561">
        <v>40860</v>
      </c>
      <c r="F2305" s="561">
        <v>91817.812999999995</v>
      </c>
      <c r="G2305" s="561">
        <v>2109</v>
      </c>
      <c r="H2305" s="561">
        <v>137837.75700000001</v>
      </c>
      <c r="I2305" s="561">
        <v>6</v>
      </c>
      <c r="J2305" s="561">
        <v>5111.0860000000002</v>
      </c>
      <c r="K2305" s="561">
        <v>2103</v>
      </c>
      <c r="L2305" s="561">
        <v>132677.81299999999</v>
      </c>
      <c r="M2305" s="561">
        <v>132677.81299999999</v>
      </c>
      <c r="N2305" s="561">
        <v>40860</v>
      </c>
    </row>
    <row r="2306" spans="1:16">
      <c r="C2306" s="561" t="s">
        <v>1198</v>
      </c>
      <c r="L2306" s="561">
        <v>0</v>
      </c>
      <c r="N2306" s="561">
        <v>0</v>
      </c>
    </row>
    <row r="2307" spans="1:16">
      <c r="C2307" s="561" t="s">
        <v>1199</v>
      </c>
      <c r="D2307" s="561">
        <v>9545.1869999999999</v>
      </c>
      <c r="E2307" s="561">
        <v>1615.2</v>
      </c>
      <c r="F2307" s="561">
        <v>7929.9870000000001</v>
      </c>
      <c r="G2307" s="561">
        <v>544</v>
      </c>
      <c r="H2307" s="561">
        <v>9721.6309999999994</v>
      </c>
      <c r="I2307" s="561">
        <v>4</v>
      </c>
      <c r="J2307" s="561">
        <v>176.44399999999999</v>
      </c>
      <c r="K2307" s="561">
        <v>540</v>
      </c>
      <c r="L2307" s="561">
        <v>9545.1869999999999</v>
      </c>
      <c r="M2307" s="561">
        <v>9545.1869999999999</v>
      </c>
      <c r="N2307" s="561">
        <v>1615.2</v>
      </c>
      <c r="P2307" s="561">
        <v>7929.9870000000001</v>
      </c>
    </row>
    <row r="2308" spans="1:16">
      <c r="C2308" s="561" t="s">
        <v>1200</v>
      </c>
      <c r="L2308" s="561">
        <v>0</v>
      </c>
      <c r="N2308" s="561">
        <v>0</v>
      </c>
    </row>
    <row r="2309" spans="1:16">
      <c r="A2309" s="561">
        <v>68</v>
      </c>
      <c r="B2309" s="561" t="s">
        <v>1489</v>
      </c>
      <c r="C2309" s="561" t="s">
        <v>1206</v>
      </c>
      <c r="D2309" s="561">
        <v>72584</v>
      </c>
      <c r="E2309" s="561">
        <v>21583.5</v>
      </c>
      <c r="F2309" s="561">
        <v>51000.5</v>
      </c>
      <c r="G2309" s="561">
        <v>1735</v>
      </c>
      <c r="H2309" s="561">
        <v>75199.724999999991</v>
      </c>
      <c r="I2309" s="561">
        <v>8</v>
      </c>
      <c r="J2309" s="561">
        <v>2614.8820000000001</v>
      </c>
      <c r="K2309" s="561">
        <v>1727</v>
      </c>
      <c r="L2309" s="561">
        <v>72584</v>
      </c>
      <c r="M2309" s="561">
        <v>72584</v>
      </c>
      <c r="N2309" s="561">
        <v>21583.5</v>
      </c>
      <c r="O2309" s="561">
        <v>0</v>
      </c>
      <c r="P2309" s="561">
        <v>51000.5</v>
      </c>
    </row>
    <row r="2310" spans="1:16">
      <c r="C2310" s="561" t="s">
        <v>1197</v>
      </c>
      <c r="D2310" s="561">
        <v>62019.249000000003</v>
      </c>
      <c r="E2310" s="561">
        <v>19020</v>
      </c>
      <c r="F2310" s="561">
        <v>42999.249000000003</v>
      </c>
      <c r="G2310" s="561">
        <v>1013</v>
      </c>
      <c r="H2310" s="561">
        <v>64102.52</v>
      </c>
      <c r="I2310" s="561">
        <v>5</v>
      </c>
      <c r="J2310" s="561">
        <v>2098.431</v>
      </c>
      <c r="K2310" s="561">
        <v>1008</v>
      </c>
      <c r="L2310" s="561">
        <v>62019.249000000003</v>
      </c>
      <c r="M2310" s="561">
        <v>62019.249000000003</v>
      </c>
      <c r="N2310" s="561">
        <v>19020</v>
      </c>
    </row>
    <row r="2311" spans="1:16">
      <c r="C2311" s="561" t="s">
        <v>1198</v>
      </c>
      <c r="G2311" s="561">
        <v>1</v>
      </c>
      <c r="H2311" s="561">
        <v>287.41399999999999</v>
      </c>
      <c r="I2311" s="561">
        <v>1</v>
      </c>
      <c r="J2311" s="561">
        <v>287.41399999999999</v>
      </c>
      <c r="K2311" s="561">
        <v>0</v>
      </c>
      <c r="L2311" s="561">
        <v>0</v>
      </c>
      <c r="N2311" s="561">
        <v>0</v>
      </c>
    </row>
    <row r="2312" spans="1:16">
      <c r="C2312" s="561" t="s">
        <v>1199</v>
      </c>
      <c r="D2312" s="561">
        <v>10564.751</v>
      </c>
      <c r="E2312" s="561">
        <v>2563.5</v>
      </c>
      <c r="F2312" s="561">
        <v>8001.2510000000002</v>
      </c>
      <c r="G2312" s="561">
        <v>721</v>
      </c>
      <c r="H2312" s="561">
        <v>10809.790999999999</v>
      </c>
      <c r="I2312" s="561">
        <v>2</v>
      </c>
      <c r="J2312" s="561">
        <v>229.03700000000001</v>
      </c>
      <c r="K2312" s="561">
        <v>719</v>
      </c>
      <c r="L2312" s="561">
        <v>10564.751</v>
      </c>
      <c r="M2312" s="561">
        <v>10564.751</v>
      </c>
      <c r="N2312" s="561">
        <v>2563.5</v>
      </c>
      <c r="P2312" s="561">
        <v>8001.2510000000002</v>
      </c>
    </row>
    <row r="2313" spans="1:16">
      <c r="C2313" s="561" t="s">
        <v>1200</v>
      </c>
      <c r="L2313" s="561">
        <v>0</v>
      </c>
      <c r="N2313" s="561">
        <v>0</v>
      </c>
    </row>
    <row r="2314" spans="1:16">
      <c r="A2314" s="561">
        <v>69</v>
      </c>
      <c r="B2314" s="561" t="s">
        <v>1490</v>
      </c>
      <c r="C2314" s="561" t="s">
        <v>1206</v>
      </c>
      <c r="D2314" s="561">
        <v>2341</v>
      </c>
      <c r="E2314" s="561">
        <v>702.3</v>
      </c>
      <c r="F2314" s="561">
        <v>1638.7</v>
      </c>
      <c r="G2314" s="561">
        <v>156</v>
      </c>
      <c r="H2314" s="561">
        <v>2503.87</v>
      </c>
      <c r="I2314" s="561">
        <v>0</v>
      </c>
      <c r="J2314" s="561">
        <v>41.87</v>
      </c>
      <c r="K2314" s="561">
        <v>156</v>
      </c>
      <c r="L2314" s="561">
        <v>2341</v>
      </c>
      <c r="M2314" s="561">
        <v>2341</v>
      </c>
      <c r="N2314" s="561">
        <v>702.3</v>
      </c>
      <c r="O2314" s="561">
        <v>0</v>
      </c>
      <c r="P2314" s="561">
        <v>1638.7</v>
      </c>
    </row>
    <row r="2315" spans="1:16">
      <c r="C2315" s="561" t="s">
        <v>1197</v>
      </c>
      <c r="L2315" s="561">
        <v>0</v>
      </c>
      <c r="N2315" s="561">
        <v>0</v>
      </c>
    </row>
    <row r="2316" spans="1:16">
      <c r="C2316" s="561" t="s">
        <v>1198</v>
      </c>
      <c r="L2316" s="561">
        <v>0</v>
      </c>
      <c r="N2316" s="561">
        <v>0</v>
      </c>
    </row>
    <row r="2317" spans="1:16">
      <c r="C2317" s="561" t="s">
        <v>1199</v>
      </c>
      <c r="D2317" s="561">
        <v>2341</v>
      </c>
      <c r="E2317" s="561">
        <v>702.3</v>
      </c>
      <c r="F2317" s="561">
        <v>1638.7</v>
      </c>
      <c r="G2317" s="561">
        <v>156</v>
      </c>
      <c r="H2317" s="561">
        <v>2503.87</v>
      </c>
      <c r="I2317" s="561">
        <v>0</v>
      </c>
      <c r="J2317" s="561">
        <v>41.87</v>
      </c>
      <c r="K2317" s="561">
        <v>156</v>
      </c>
      <c r="L2317" s="561">
        <v>2341</v>
      </c>
      <c r="M2317" s="561">
        <v>2341</v>
      </c>
      <c r="N2317" s="561">
        <v>702.3</v>
      </c>
      <c r="P2317" s="561">
        <v>1638.7</v>
      </c>
    </row>
    <row r="2318" spans="1:16">
      <c r="C2318" s="561" t="s">
        <v>1200</v>
      </c>
      <c r="L2318" s="561">
        <v>0</v>
      </c>
      <c r="N2318" s="561">
        <v>0</v>
      </c>
    </row>
    <row r="2319" spans="1:16">
      <c r="A2319" s="561">
        <v>70</v>
      </c>
      <c r="B2319" s="561" t="s">
        <v>1491</v>
      </c>
      <c r="C2319" s="561" t="s">
        <v>1206</v>
      </c>
      <c r="D2319" s="561">
        <v>255507</v>
      </c>
      <c r="E2319" s="561">
        <v>76575.600000000006</v>
      </c>
      <c r="F2319" s="561">
        <v>178931.40000000002</v>
      </c>
      <c r="G2319" s="561">
        <v>6099</v>
      </c>
      <c r="H2319" s="561">
        <v>263424</v>
      </c>
      <c r="I2319" s="561">
        <v>62</v>
      </c>
      <c r="J2319" s="561">
        <v>7701.0830000000005</v>
      </c>
      <c r="K2319" s="561">
        <v>6037</v>
      </c>
      <c r="L2319" s="561">
        <v>255507</v>
      </c>
      <c r="M2319" s="561">
        <v>255507</v>
      </c>
      <c r="N2319" s="561">
        <v>76575.600000000006</v>
      </c>
      <c r="O2319" s="561">
        <v>0</v>
      </c>
      <c r="P2319" s="561">
        <v>178931.40000000002</v>
      </c>
    </row>
    <row r="2320" spans="1:16">
      <c r="C2320" s="561" t="s">
        <v>1197</v>
      </c>
      <c r="D2320" s="561">
        <v>218546.42300000001</v>
      </c>
      <c r="E2320" s="561">
        <v>67200</v>
      </c>
      <c r="F2320" s="561">
        <v>151346.42300000001</v>
      </c>
      <c r="G2320" s="561">
        <v>3530</v>
      </c>
      <c r="H2320" s="561">
        <v>225643.391</v>
      </c>
      <c r="I2320" s="561">
        <v>12</v>
      </c>
      <c r="J2320" s="561">
        <v>6881.0510000000004</v>
      </c>
      <c r="K2320" s="561">
        <v>3518</v>
      </c>
      <c r="L2320" s="561">
        <v>218546.42300000001</v>
      </c>
      <c r="M2320" s="561">
        <v>218546.42300000001</v>
      </c>
      <c r="N2320" s="561">
        <v>67200</v>
      </c>
    </row>
    <row r="2321" spans="1:111">
      <c r="C2321" s="561" t="s">
        <v>1198</v>
      </c>
      <c r="L2321" s="561">
        <v>0</v>
      </c>
      <c r="N2321" s="561">
        <v>0</v>
      </c>
    </row>
    <row r="2322" spans="1:111">
      <c r="C2322" s="561" t="s">
        <v>1199</v>
      </c>
      <c r="D2322" s="561">
        <v>36960.576999999997</v>
      </c>
      <c r="E2322" s="561">
        <v>9375.6</v>
      </c>
      <c r="F2322" s="561">
        <v>27584.976999999999</v>
      </c>
      <c r="G2322" s="561">
        <v>2569</v>
      </c>
      <c r="H2322" s="561">
        <v>37780.608999999997</v>
      </c>
      <c r="I2322" s="561">
        <v>50</v>
      </c>
      <c r="J2322" s="561">
        <v>820.03200000000004</v>
      </c>
      <c r="K2322" s="561">
        <v>2519</v>
      </c>
      <c r="L2322" s="561">
        <v>36960.576999999997</v>
      </c>
      <c r="M2322" s="561">
        <v>36960.576999999997</v>
      </c>
      <c r="N2322" s="561">
        <v>9375.6</v>
      </c>
      <c r="P2322" s="561">
        <v>27584.976999999999</v>
      </c>
    </row>
    <row r="2323" spans="1:111">
      <c r="C2323" s="561" t="s">
        <v>1200</v>
      </c>
      <c r="L2323" s="561">
        <v>0</v>
      </c>
      <c r="N2323" s="561">
        <v>0</v>
      </c>
    </row>
    <row r="2324" spans="1:111">
      <c r="A2324" s="561">
        <v>71</v>
      </c>
      <c r="B2324" s="561" t="s">
        <v>1492</v>
      </c>
      <c r="C2324" s="561" t="s">
        <v>1206</v>
      </c>
      <c r="D2324" s="561">
        <v>186711</v>
      </c>
      <c r="E2324" s="561">
        <v>53236.800000000003</v>
      </c>
      <c r="F2324" s="561">
        <v>133474.20000000001</v>
      </c>
      <c r="G2324" s="561">
        <v>5423</v>
      </c>
      <c r="H2324" s="561">
        <v>193756.48300000001</v>
      </c>
      <c r="I2324" s="561">
        <v>67</v>
      </c>
      <c r="J2324" s="561">
        <v>7047.69</v>
      </c>
      <c r="K2324" s="561">
        <v>5356</v>
      </c>
      <c r="L2324" s="561">
        <v>186711</v>
      </c>
      <c r="M2324" s="561">
        <v>186711</v>
      </c>
      <c r="N2324" s="561">
        <v>53236.800000000003</v>
      </c>
      <c r="O2324" s="561">
        <v>0</v>
      </c>
      <c r="P2324" s="561">
        <v>133474.20000000001</v>
      </c>
    </row>
    <row r="2325" spans="1:111">
      <c r="C2325" s="561" t="s">
        <v>1197</v>
      </c>
      <c r="D2325" s="561">
        <v>138678.092</v>
      </c>
      <c r="E2325" s="561">
        <v>42000</v>
      </c>
      <c r="F2325" s="561">
        <v>96678.092000000004</v>
      </c>
      <c r="G2325" s="561">
        <v>2181</v>
      </c>
      <c r="H2325" s="561">
        <v>144516.337</v>
      </c>
      <c r="I2325" s="561">
        <v>16</v>
      </c>
      <c r="J2325" s="561">
        <v>5843.91</v>
      </c>
      <c r="K2325" s="561">
        <v>2165</v>
      </c>
      <c r="L2325" s="561">
        <v>138678.092</v>
      </c>
      <c r="M2325" s="561">
        <v>138678.092</v>
      </c>
      <c r="N2325" s="561">
        <v>42000</v>
      </c>
    </row>
    <row r="2326" spans="1:111">
      <c r="C2326" s="561" t="s">
        <v>1198</v>
      </c>
      <c r="G2326" s="561">
        <v>1</v>
      </c>
      <c r="H2326" s="561">
        <v>472.18200000000002</v>
      </c>
      <c r="I2326" s="561">
        <v>1</v>
      </c>
      <c r="J2326" s="561">
        <v>472.18200000000002</v>
      </c>
      <c r="K2326" s="561">
        <v>0</v>
      </c>
      <c r="L2326" s="561">
        <v>0</v>
      </c>
      <c r="N2326" s="561">
        <v>0</v>
      </c>
    </row>
    <row r="2327" spans="1:111">
      <c r="C2327" s="561" t="s">
        <v>1199</v>
      </c>
      <c r="D2327" s="561">
        <v>48032.908000000003</v>
      </c>
      <c r="E2327" s="561">
        <v>11236.8</v>
      </c>
      <c r="F2327" s="561">
        <v>36796.108000000007</v>
      </c>
      <c r="G2327" s="561">
        <v>3241</v>
      </c>
      <c r="H2327" s="561">
        <v>48767.964</v>
      </c>
      <c r="I2327" s="561">
        <v>50</v>
      </c>
      <c r="J2327" s="561">
        <v>731.59799999999996</v>
      </c>
      <c r="K2327" s="561">
        <v>3191</v>
      </c>
      <c r="L2327" s="561">
        <v>48032.908000000003</v>
      </c>
      <c r="M2327" s="561">
        <v>48032.908000000003</v>
      </c>
      <c r="N2327" s="561">
        <v>11236.8</v>
      </c>
      <c r="P2327" s="561">
        <v>36796.108000000007</v>
      </c>
    </row>
    <row r="2328" spans="1:111">
      <c r="C2328" s="561" t="s">
        <v>1200</v>
      </c>
      <c r="L2328" s="561">
        <v>0</v>
      </c>
      <c r="N2328" s="561">
        <v>0</v>
      </c>
    </row>
    <row r="2329" spans="1:111">
      <c r="A2329" s="561">
        <v>72</v>
      </c>
      <c r="B2329" s="561" t="s">
        <v>1493</v>
      </c>
      <c r="C2329" s="561" t="s">
        <v>1494</v>
      </c>
      <c r="D2329" s="561">
        <v>34379</v>
      </c>
      <c r="E2329" s="561">
        <v>9563.7000000000007</v>
      </c>
      <c r="F2329" s="561">
        <v>24815.3</v>
      </c>
      <c r="G2329" s="561">
        <v>1168</v>
      </c>
      <c r="H2329" s="561">
        <v>38277.345999999998</v>
      </c>
      <c r="I2329" s="561">
        <v>14</v>
      </c>
      <c r="J2329" s="561">
        <v>531.34500000000003</v>
      </c>
      <c r="K2329" s="561">
        <v>1154</v>
      </c>
      <c r="L2329" s="561">
        <v>34379</v>
      </c>
      <c r="M2329" s="561">
        <v>34379</v>
      </c>
      <c r="N2329" s="561">
        <v>9563.7000000000007</v>
      </c>
      <c r="O2329" s="561">
        <v>0</v>
      </c>
      <c r="P2329" s="561">
        <v>24815.3</v>
      </c>
    </row>
    <row r="2330" spans="1:111">
      <c r="C2330" s="561" t="s">
        <v>1197</v>
      </c>
      <c r="D2330" s="561">
        <v>23100</v>
      </c>
      <c r="E2330" s="561">
        <v>6930</v>
      </c>
      <c r="F2330" s="561">
        <v>16170</v>
      </c>
      <c r="G2330" s="561">
        <v>386</v>
      </c>
      <c r="H2330" s="561">
        <v>26676.208999999999</v>
      </c>
      <c r="I2330" s="561">
        <v>2</v>
      </c>
      <c r="J2330" s="561">
        <v>325.16300000000001</v>
      </c>
      <c r="K2330" s="561">
        <v>384</v>
      </c>
      <c r="L2330" s="561">
        <v>23100</v>
      </c>
      <c r="M2330" s="561">
        <v>23100</v>
      </c>
      <c r="N2330" s="561">
        <v>6930</v>
      </c>
    </row>
    <row r="2331" spans="1:111">
      <c r="C2331" s="561" t="s">
        <v>1198</v>
      </c>
      <c r="L2331" s="561">
        <v>0</v>
      </c>
      <c r="N2331" s="561">
        <v>0</v>
      </c>
    </row>
    <row r="2332" spans="1:111">
      <c r="C2332" s="561" t="s">
        <v>1199</v>
      </c>
      <c r="D2332" s="561">
        <v>11279</v>
      </c>
      <c r="E2332" s="561">
        <v>2633.7</v>
      </c>
      <c r="F2332" s="561">
        <v>8645.2999999999993</v>
      </c>
      <c r="G2332" s="561">
        <v>782</v>
      </c>
      <c r="H2332" s="561">
        <v>11601.137000000001</v>
      </c>
      <c r="I2332" s="561">
        <v>12</v>
      </c>
      <c r="J2332" s="561">
        <v>206.18199999999999</v>
      </c>
      <c r="K2332" s="561">
        <v>770</v>
      </c>
      <c r="L2332" s="561">
        <v>11279</v>
      </c>
      <c r="M2332" s="561">
        <v>11279</v>
      </c>
      <c r="N2332" s="561">
        <v>2633.7</v>
      </c>
      <c r="P2332" s="561">
        <v>8645.2999999999993</v>
      </c>
    </row>
    <row r="2333" spans="1:111">
      <c r="C2333" s="561" t="s">
        <v>1200</v>
      </c>
      <c r="L2333" s="561">
        <v>0</v>
      </c>
      <c r="N2333" s="561">
        <v>0</v>
      </c>
    </row>
    <row r="2334" spans="1:111">
      <c r="A2334" s="1735" t="s">
        <v>1199</v>
      </c>
      <c r="B2334" s="1735"/>
      <c r="C2334" s="1735"/>
      <c r="D2334" s="1735"/>
      <c r="E2334" s="1735"/>
      <c r="F2334" s="1735"/>
      <c r="G2334" s="1735"/>
      <c r="H2334" s="1735"/>
      <c r="I2334" s="1735"/>
      <c r="J2334" s="1735"/>
      <c r="K2334" s="1735"/>
      <c r="L2334" s="1735"/>
      <c r="M2334" s="1735"/>
      <c r="N2334" s="1735"/>
      <c r="O2334" s="1735"/>
      <c r="P2334" s="1735"/>
      <c r="AL2334" s="561">
        <f>SUM(AL2335:AL2703)</f>
        <v>1902225.2229999993</v>
      </c>
      <c r="AM2334" s="561">
        <f t="shared" ref="AM2334:CX2334" si="100">SUM(AM2335:AM2703)</f>
        <v>0</v>
      </c>
      <c r="AN2334" s="561">
        <f t="shared" si="100"/>
        <v>3903.7780000000002</v>
      </c>
      <c r="AO2334" s="561">
        <f t="shared" si="100"/>
        <v>0</v>
      </c>
      <c r="AP2334" s="561">
        <f t="shared" si="100"/>
        <v>0</v>
      </c>
      <c r="AQ2334" s="561">
        <f t="shared" si="100"/>
        <v>0</v>
      </c>
      <c r="AR2334" s="561">
        <f t="shared" si="100"/>
        <v>0</v>
      </c>
      <c r="AS2334" s="561">
        <f t="shared" si="100"/>
        <v>0</v>
      </c>
      <c r="AT2334" s="561">
        <f t="shared" si="100"/>
        <v>7781.9650000000001</v>
      </c>
      <c r="AU2334" s="561">
        <f t="shared" si="100"/>
        <v>0</v>
      </c>
      <c r="AV2334" s="561">
        <f t="shared" si="100"/>
        <v>0</v>
      </c>
      <c r="AW2334" s="561">
        <f t="shared" si="100"/>
        <v>0</v>
      </c>
      <c r="AX2334" s="561">
        <f t="shared" si="100"/>
        <v>0</v>
      </c>
      <c r="AY2334" s="561">
        <f t="shared" si="100"/>
        <v>4055.8</v>
      </c>
      <c r="AZ2334" s="561">
        <f t="shared" si="100"/>
        <v>0</v>
      </c>
      <c r="BA2334" s="561">
        <f t="shared" si="100"/>
        <v>0</v>
      </c>
      <c r="BB2334" s="561">
        <f t="shared" si="100"/>
        <v>0</v>
      </c>
      <c r="BC2334" s="561">
        <f t="shared" si="100"/>
        <v>0</v>
      </c>
      <c r="BD2334" s="561">
        <f t="shared" si="100"/>
        <v>23038.400000000001</v>
      </c>
      <c r="BE2334" s="561">
        <f t="shared" si="100"/>
        <v>0</v>
      </c>
      <c r="BF2334" s="561">
        <f t="shared" si="100"/>
        <v>0</v>
      </c>
      <c r="BG2334" s="561">
        <f t="shared" si="100"/>
        <v>0</v>
      </c>
      <c r="BH2334" s="561">
        <f t="shared" si="100"/>
        <v>0</v>
      </c>
      <c r="BI2334" s="561">
        <f t="shared" si="100"/>
        <v>0</v>
      </c>
      <c r="BJ2334" s="561">
        <f t="shared" si="100"/>
        <v>0</v>
      </c>
      <c r="BK2334" s="561">
        <f t="shared" si="100"/>
        <v>0</v>
      </c>
      <c r="BL2334" s="561">
        <f t="shared" si="100"/>
        <v>0</v>
      </c>
      <c r="BM2334" s="561">
        <f t="shared" si="100"/>
        <v>9721.6070000000018</v>
      </c>
      <c r="BN2334" s="561">
        <f t="shared" si="100"/>
        <v>0</v>
      </c>
      <c r="BO2334" s="561">
        <f t="shared" si="100"/>
        <v>0</v>
      </c>
      <c r="BP2334" s="561">
        <f t="shared" si="100"/>
        <v>0</v>
      </c>
      <c r="BQ2334" s="561">
        <f t="shared" si="100"/>
        <v>0</v>
      </c>
      <c r="BR2334" s="561">
        <f t="shared" si="100"/>
        <v>0</v>
      </c>
      <c r="BS2334" s="561">
        <f t="shared" si="100"/>
        <v>0</v>
      </c>
      <c r="BT2334" s="561">
        <f t="shared" si="100"/>
        <v>0</v>
      </c>
      <c r="BU2334" s="561">
        <f t="shared" si="100"/>
        <v>0</v>
      </c>
      <c r="BV2334" s="561">
        <f t="shared" si="100"/>
        <v>0</v>
      </c>
      <c r="BW2334" s="561">
        <f t="shared" si="100"/>
        <v>0</v>
      </c>
      <c r="BX2334" s="561">
        <f t="shared" si="100"/>
        <v>140657.71900000001</v>
      </c>
      <c r="BY2334" s="561">
        <f t="shared" si="100"/>
        <v>0</v>
      </c>
      <c r="BZ2334" s="561">
        <f t="shared" si="100"/>
        <v>63388.155000000006</v>
      </c>
      <c r="CA2334" s="561">
        <f t="shared" si="100"/>
        <v>0</v>
      </c>
      <c r="CB2334" s="561">
        <f t="shared" si="100"/>
        <v>0</v>
      </c>
      <c r="CC2334" s="561">
        <f t="shared" si="100"/>
        <v>0</v>
      </c>
      <c r="CD2334" s="561">
        <f t="shared" si="100"/>
        <v>0</v>
      </c>
      <c r="CE2334" s="561">
        <f t="shared" si="100"/>
        <v>0</v>
      </c>
      <c r="CF2334" s="561">
        <f t="shared" si="100"/>
        <v>0</v>
      </c>
      <c r="CG2334" s="561">
        <f t="shared" si="100"/>
        <v>0</v>
      </c>
      <c r="CH2334" s="561">
        <f t="shared" si="100"/>
        <v>0</v>
      </c>
      <c r="CI2334" s="561">
        <f t="shared" si="100"/>
        <v>0</v>
      </c>
      <c r="CJ2334" s="561">
        <f t="shared" si="100"/>
        <v>0</v>
      </c>
      <c r="CK2334" s="561">
        <f t="shared" si="100"/>
        <v>0</v>
      </c>
      <c r="CL2334" s="561">
        <f t="shared" si="100"/>
        <v>0</v>
      </c>
      <c r="CM2334" s="561">
        <f t="shared" si="100"/>
        <v>0</v>
      </c>
      <c r="CN2334" s="561">
        <f t="shared" si="100"/>
        <v>0</v>
      </c>
      <c r="CO2334" s="561">
        <f t="shared" si="100"/>
        <v>0</v>
      </c>
      <c r="CP2334" s="561">
        <f t="shared" si="100"/>
        <v>0</v>
      </c>
      <c r="CQ2334" s="561">
        <f t="shared" si="100"/>
        <v>0</v>
      </c>
      <c r="CR2334" s="561">
        <f t="shared" si="100"/>
        <v>0</v>
      </c>
      <c r="CS2334" s="561">
        <f t="shared" si="100"/>
        <v>0</v>
      </c>
      <c r="CT2334" s="561">
        <f t="shared" si="100"/>
        <v>0</v>
      </c>
      <c r="CU2334" s="561">
        <f t="shared" si="100"/>
        <v>0</v>
      </c>
      <c r="CV2334" s="561">
        <f t="shared" si="100"/>
        <v>0</v>
      </c>
      <c r="CW2334" s="561">
        <f t="shared" si="100"/>
        <v>0</v>
      </c>
      <c r="CX2334" s="561">
        <f t="shared" si="100"/>
        <v>0</v>
      </c>
      <c r="CY2334" s="561">
        <f t="shared" ref="CY2334:DG2334" si="101">SUM(CY2335:CY2703)</f>
        <v>0</v>
      </c>
      <c r="CZ2334" s="561">
        <f t="shared" si="101"/>
        <v>0</v>
      </c>
      <c r="DA2334" s="561">
        <f t="shared" si="101"/>
        <v>0</v>
      </c>
      <c r="DB2334" s="561">
        <f t="shared" si="101"/>
        <v>14332.2</v>
      </c>
      <c r="DC2334" s="561">
        <f t="shared" si="101"/>
        <v>0</v>
      </c>
      <c r="DD2334" s="561">
        <f t="shared" si="101"/>
        <v>0</v>
      </c>
      <c r="DE2334" s="561">
        <f t="shared" si="101"/>
        <v>0</v>
      </c>
      <c r="DF2334" s="561">
        <f t="shared" si="101"/>
        <v>0</v>
      </c>
      <c r="DG2334" s="561">
        <f t="shared" si="101"/>
        <v>0</v>
      </c>
    </row>
    <row r="2335" spans="1:111">
      <c r="A2335" s="561">
        <v>1</v>
      </c>
      <c r="B2335" s="561" t="s">
        <v>1421</v>
      </c>
      <c r="C2335" s="561" t="s">
        <v>1206</v>
      </c>
      <c r="D2335" s="561">
        <v>2010025.9999999998</v>
      </c>
      <c r="E2335" s="561">
        <v>421500</v>
      </c>
      <c r="F2335" s="561">
        <v>1588525.9999999998</v>
      </c>
      <c r="G2335" s="561">
        <v>10796</v>
      </c>
      <c r="H2335" s="561">
        <v>2060409.4909999999</v>
      </c>
      <c r="I2335" s="561">
        <v>72</v>
      </c>
      <c r="J2335" s="561">
        <v>49284.84</v>
      </c>
      <c r="K2335" s="561">
        <v>10724</v>
      </c>
      <c r="L2335" s="561">
        <v>2010025.9999999998</v>
      </c>
      <c r="M2335" s="561">
        <v>2010025.9999999998</v>
      </c>
      <c r="N2335" s="561">
        <v>421500</v>
      </c>
      <c r="O2335" s="561">
        <v>0</v>
      </c>
      <c r="P2335" s="561">
        <v>1588525.9999999998</v>
      </c>
    </row>
    <row r="2336" spans="1:111">
      <c r="C2336" s="561" t="s">
        <v>1197</v>
      </c>
      <c r="D2336" s="561">
        <v>1063386</v>
      </c>
      <c r="E2336" s="561">
        <v>345000</v>
      </c>
      <c r="F2336" s="561">
        <v>718386</v>
      </c>
      <c r="G2336" s="561">
        <v>9736</v>
      </c>
      <c r="H2336" s="561">
        <v>1105001.3289999999</v>
      </c>
      <c r="I2336" s="561">
        <v>66</v>
      </c>
      <c r="J2336" s="561">
        <v>41428.019999999997</v>
      </c>
      <c r="K2336" s="561">
        <v>9670</v>
      </c>
      <c r="L2336" s="561">
        <v>1063386</v>
      </c>
      <c r="M2336" s="561">
        <v>1063386</v>
      </c>
      <c r="N2336" s="561">
        <v>345000</v>
      </c>
    </row>
    <row r="2337" spans="1:51">
      <c r="C2337" s="561" t="s">
        <v>1198</v>
      </c>
      <c r="D2337" s="561">
        <v>945182.84299999999</v>
      </c>
      <c r="E2337" s="561">
        <v>76500</v>
      </c>
      <c r="F2337" s="561">
        <v>868682.84299999999</v>
      </c>
      <c r="G2337" s="561">
        <v>986</v>
      </c>
      <c r="H2337" s="561">
        <v>953799.69200000004</v>
      </c>
      <c r="I2337" s="561">
        <v>-2</v>
      </c>
      <c r="J2337" s="561">
        <v>7705.5069999999996</v>
      </c>
      <c r="K2337" s="561">
        <v>988</v>
      </c>
      <c r="L2337" s="561">
        <v>945182.84299999999</v>
      </c>
      <c r="M2337" s="561">
        <v>945182.84299999999</v>
      </c>
      <c r="N2337" s="561">
        <v>76500</v>
      </c>
    </row>
    <row r="2338" spans="1:51">
      <c r="C2338" s="561" t="s">
        <v>1199</v>
      </c>
      <c r="D2338" s="561">
        <v>1457.1569999999999</v>
      </c>
      <c r="F2338" s="561">
        <v>1457.1569999999999</v>
      </c>
      <c r="G2338" s="561">
        <v>74</v>
      </c>
      <c r="H2338" s="561">
        <v>1608.47</v>
      </c>
      <c r="I2338" s="561">
        <v>8</v>
      </c>
      <c r="J2338" s="561">
        <v>151.31299999999999</v>
      </c>
      <c r="K2338" s="561">
        <v>66</v>
      </c>
      <c r="L2338" s="561">
        <v>1457.1569999999999</v>
      </c>
      <c r="M2338" s="561">
        <v>1457.1569999999999</v>
      </c>
      <c r="N2338" s="561">
        <v>0</v>
      </c>
      <c r="AL2338" s="561">
        <v>1457.1569999999999</v>
      </c>
    </row>
    <row r="2339" spans="1:51">
      <c r="C2339" s="561" t="s">
        <v>1200</v>
      </c>
      <c r="L2339" s="561">
        <v>0</v>
      </c>
    </row>
    <row r="2340" spans="1:51">
      <c r="A2340" s="561">
        <v>2</v>
      </c>
      <c r="B2340" s="561" t="s">
        <v>1422</v>
      </c>
      <c r="C2340" s="561" t="s">
        <v>1206</v>
      </c>
      <c r="D2340" s="561">
        <v>1593821.027</v>
      </c>
      <c r="E2340" s="561">
        <v>458823.6</v>
      </c>
      <c r="F2340" s="561">
        <v>1134997.4269999999</v>
      </c>
      <c r="G2340" s="561">
        <v>22719</v>
      </c>
      <c r="H2340" s="561">
        <v>1638945.8619999997</v>
      </c>
      <c r="I2340" s="561">
        <v>104</v>
      </c>
      <c r="J2340" s="561">
        <v>40443.385999999999</v>
      </c>
      <c r="K2340" s="561">
        <v>22615</v>
      </c>
      <c r="L2340" s="561">
        <v>1593821.027</v>
      </c>
      <c r="M2340" s="561">
        <v>1593821.027</v>
      </c>
      <c r="N2340" s="561">
        <v>458823.6</v>
      </c>
      <c r="O2340" s="561">
        <v>0</v>
      </c>
      <c r="P2340" s="561">
        <v>1134997.4269999999</v>
      </c>
    </row>
    <row r="2341" spans="1:51">
      <c r="C2341" s="561" t="s">
        <v>1197</v>
      </c>
      <c r="D2341" s="561">
        <v>1534624.6140000001</v>
      </c>
      <c r="E2341" s="561">
        <v>453600</v>
      </c>
      <c r="F2341" s="561">
        <v>1081024.6140000001</v>
      </c>
      <c r="G2341" s="561">
        <v>20972</v>
      </c>
      <c r="H2341" s="561">
        <v>1574371.1939999999</v>
      </c>
      <c r="I2341" s="561">
        <v>49</v>
      </c>
      <c r="J2341" s="561">
        <v>39769.32</v>
      </c>
      <c r="K2341" s="561">
        <v>20923</v>
      </c>
      <c r="L2341" s="561">
        <v>1534624.6140000001</v>
      </c>
      <c r="M2341" s="561">
        <v>1534624.6140000001</v>
      </c>
      <c r="N2341" s="561">
        <v>453600</v>
      </c>
    </row>
    <row r="2342" spans="1:51">
      <c r="C2342" s="561" t="s">
        <v>1198</v>
      </c>
      <c r="D2342" s="561">
        <v>27431.123</v>
      </c>
      <c r="E2342" s="561">
        <v>1800</v>
      </c>
      <c r="F2342" s="561">
        <v>25631.123</v>
      </c>
      <c r="G2342" s="561">
        <v>73</v>
      </c>
      <c r="H2342" s="561">
        <v>27643.396000000001</v>
      </c>
      <c r="I2342" s="561">
        <v>0</v>
      </c>
      <c r="J2342" s="561">
        <v>79.986000000000004</v>
      </c>
      <c r="K2342" s="561">
        <v>73</v>
      </c>
      <c r="L2342" s="561">
        <v>27431.123</v>
      </c>
      <c r="M2342" s="561">
        <v>27431.123</v>
      </c>
      <c r="N2342" s="561">
        <v>1800</v>
      </c>
    </row>
    <row r="2343" spans="1:51">
      <c r="C2343" s="561" t="s">
        <v>1199</v>
      </c>
      <c r="D2343" s="561">
        <v>24912</v>
      </c>
      <c r="E2343" s="561">
        <v>3423.6</v>
      </c>
      <c r="F2343" s="561">
        <v>21488.400000000001</v>
      </c>
      <c r="G2343" s="561">
        <v>1674</v>
      </c>
      <c r="H2343" s="561">
        <v>25550.906999999999</v>
      </c>
      <c r="I2343" s="561">
        <v>55</v>
      </c>
      <c r="J2343" s="561">
        <v>594.08000000000004</v>
      </c>
      <c r="K2343" s="561">
        <v>1619</v>
      </c>
      <c r="L2343" s="561">
        <v>24912</v>
      </c>
      <c r="M2343" s="561">
        <v>24912</v>
      </c>
      <c r="N2343" s="561">
        <v>3423.6</v>
      </c>
      <c r="AL2343" s="561">
        <v>21488.400000000001</v>
      </c>
    </row>
    <row r="2344" spans="1:51">
      <c r="C2344" s="561" t="s">
        <v>1200</v>
      </c>
      <c r="L2344" s="561">
        <v>0</v>
      </c>
      <c r="M2344" s="561">
        <v>0</v>
      </c>
    </row>
    <row r="2345" spans="1:51">
      <c r="C2345" s="561" t="s">
        <v>1202</v>
      </c>
      <c r="D2345" s="561">
        <v>6853.29</v>
      </c>
      <c r="F2345" s="561">
        <v>6853.29</v>
      </c>
      <c r="G2345" s="561">
        <v>0</v>
      </c>
      <c r="H2345" s="561">
        <v>11380.365</v>
      </c>
      <c r="I2345" s="561">
        <v>0</v>
      </c>
      <c r="J2345" s="561">
        <v>0</v>
      </c>
      <c r="K2345" s="561">
        <v>0</v>
      </c>
      <c r="L2345" s="561">
        <v>6853.29</v>
      </c>
      <c r="M2345" s="561">
        <v>6853.29</v>
      </c>
      <c r="P2345" s="561">
        <v>6853.29</v>
      </c>
    </row>
    <row r="2346" spans="1:51">
      <c r="A2346" s="561">
        <v>3</v>
      </c>
      <c r="B2346" s="561" t="s">
        <v>1423</v>
      </c>
      <c r="C2346" s="561" t="s">
        <v>1206</v>
      </c>
      <c r="D2346" s="561">
        <v>105282</v>
      </c>
      <c r="E2346" s="561">
        <v>31284.6</v>
      </c>
      <c r="F2346" s="561">
        <v>73997.399999999994</v>
      </c>
      <c r="G2346" s="561">
        <v>1787</v>
      </c>
      <c r="H2346" s="561">
        <v>106514.44</v>
      </c>
      <c r="I2346" s="561">
        <v>2</v>
      </c>
      <c r="J2346" s="561">
        <v>554.65200000000004</v>
      </c>
      <c r="K2346" s="561">
        <v>1785</v>
      </c>
      <c r="L2346" s="561">
        <v>105282</v>
      </c>
      <c r="M2346" s="561">
        <v>105282</v>
      </c>
      <c r="N2346" s="561">
        <v>31284.6</v>
      </c>
      <c r="O2346" s="561">
        <v>0</v>
      </c>
      <c r="P2346" s="561">
        <v>73997.399999999994</v>
      </c>
    </row>
    <row r="2347" spans="1:51">
      <c r="C2347" s="561" t="s">
        <v>1197</v>
      </c>
      <c r="D2347" s="561">
        <v>103000</v>
      </c>
      <c r="E2347" s="561">
        <v>30600</v>
      </c>
      <c r="F2347" s="561">
        <v>72400</v>
      </c>
      <c r="G2347" s="561">
        <v>1583</v>
      </c>
      <c r="H2347" s="561">
        <v>104085.198</v>
      </c>
      <c r="I2347" s="561">
        <v>1</v>
      </c>
      <c r="J2347" s="561">
        <v>540.02700000000004</v>
      </c>
      <c r="K2347" s="561">
        <v>1582</v>
      </c>
      <c r="L2347" s="561">
        <v>103000</v>
      </c>
      <c r="M2347" s="561">
        <v>103000</v>
      </c>
      <c r="N2347" s="561">
        <v>30600</v>
      </c>
    </row>
    <row r="2348" spans="1:51">
      <c r="C2348" s="561" t="s">
        <v>1198</v>
      </c>
      <c r="L2348" s="561">
        <v>0</v>
      </c>
      <c r="N2348" s="561">
        <v>0</v>
      </c>
    </row>
    <row r="2349" spans="1:51">
      <c r="C2349" s="561" t="s">
        <v>1199</v>
      </c>
      <c r="D2349" s="561">
        <v>2282</v>
      </c>
      <c r="E2349" s="561">
        <v>684.6</v>
      </c>
      <c r="F2349" s="561">
        <v>1597.4</v>
      </c>
      <c r="G2349" s="561">
        <v>204</v>
      </c>
      <c r="H2349" s="561">
        <v>2429.2420000000002</v>
      </c>
      <c r="I2349" s="561">
        <v>1</v>
      </c>
      <c r="J2349" s="561">
        <v>14.625</v>
      </c>
      <c r="K2349" s="561">
        <v>203</v>
      </c>
      <c r="L2349" s="561">
        <v>2282</v>
      </c>
      <c r="M2349" s="561">
        <v>2282</v>
      </c>
      <c r="N2349" s="561">
        <v>684.6</v>
      </c>
      <c r="AY2349" s="561">
        <v>1597.4</v>
      </c>
    </row>
    <row r="2350" spans="1:51">
      <c r="C2350" s="561" t="s">
        <v>1200</v>
      </c>
      <c r="L2350" s="561">
        <v>0</v>
      </c>
      <c r="N2350" s="561">
        <v>0</v>
      </c>
    </row>
    <row r="2351" spans="1:51">
      <c r="A2351" s="561">
        <v>4</v>
      </c>
      <c r="B2351" s="561" t="s">
        <v>1424</v>
      </c>
      <c r="C2351" s="561" t="s">
        <v>1206</v>
      </c>
      <c r="D2351" s="561">
        <v>1285246</v>
      </c>
      <c r="E2351" s="561">
        <v>378523.8</v>
      </c>
      <c r="F2351" s="561">
        <v>906722.20000000007</v>
      </c>
      <c r="G2351" s="561">
        <v>16577</v>
      </c>
      <c r="H2351" s="561">
        <v>1298154.439</v>
      </c>
      <c r="I2351" s="561">
        <v>16</v>
      </c>
      <c r="J2351" s="561">
        <v>11789.8</v>
      </c>
      <c r="K2351" s="561">
        <v>16561</v>
      </c>
      <c r="L2351" s="561">
        <v>1285246</v>
      </c>
      <c r="M2351" s="561">
        <v>1285246</v>
      </c>
      <c r="N2351" s="561">
        <v>378523.8</v>
      </c>
      <c r="O2351" s="561">
        <v>0</v>
      </c>
      <c r="P2351" s="561">
        <v>906722.20000000007</v>
      </c>
    </row>
    <row r="2352" spans="1:51">
      <c r="C2352" s="561" t="s">
        <v>1197</v>
      </c>
      <c r="D2352" s="561">
        <v>1204952.33</v>
      </c>
      <c r="E2352" s="561">
        <v>366210</v>
      </c>
      <c r="F2352" s="561">
        <v>838742.33000000007</v>
      </c>
      <c r="G2352" s="561">
        <v>15243</v>
      </c>
      <c r="H2352" s="561">
        <v>1216913.2050000001</v>
      </c>
      <c r="I2352" s="561">
        <v>16</v>
      </c>
      <c r="J2352" s="561">
        <v>11998.775</v>
      </c>
      <c r="K2352" s="561">
        <v>15227</v>
      </c>
      <c r="L2352" s="561">
        <v>1204952.33</v>
      </c>
      <c r="M2352" s="561">
        <v>1204952.33</v>
      </c>
      <c r="N2352" s="561">
        <v>366210</v>
      </c>
    </row>
    <row r="2353" spans="1:106">
      <c r="C2353" s="561" t="s">
        <v>1198</v>
      </c>
      <c r="D2353" s="561">
        <v>61747.67</v>
      </c>
      <c r="E2353" s="561">
        <v>8100</v>
      </c>
      <c r="F2353" s="561">
        <v>53647.67</v>
      </c>
      <c r="G2353" s="561">
        <v>94</v>
      </c>
      <c r="H2353" s="561">
        <v>62622.688999999998</v>
      </c>
      <c r="I2353" s="561">
        <v>-1</v>
      </c>
      <c r="J2353" s="561">
        <v>-273.90300000000002</v>
      </c>
      <c r="K2353" s="561">
        <v>95</v>
      </c>
      <c r="L2353" s="561">
        <v>61747.67</v>
      </c>
      <c r="M2353" s="561">
        <v>61747.67</v>
      </c>
      <c r="N2353" s="561">
        <v>8100</v>
      </c>
    </row>
    <row r="2354" spans="1:106">
      <c r="C2354" s="561" t="s">
        <v>1199</v>
      </c>
      <c r="D2354" s="561">
        <v>18546</v>
      </c>
      <c r="E2354" s="561">
        <v>4213.8</v>
      </c>
      <c r="F2354" s="561">
        <v>14332.2</v>
      </c>
      <c r="G2354" s="561">
        <v>1240</v>
      </c>
      <c r="H2354" s="561">
        <v>18618.544999999998</v>
      </c>
      <c r="I2354" s="561">
        <v>1</v>
      </c>
      <c r="J2354" s="561">
        <v>64.927999999999997</v>
      </c>
      <c r="K2354" s="561">
        <v>1239</v>
      </c>
      <c r="L2354" s="561">
        <v>18546</v>
      </c>
      <c r="M2354" s="561">
        <v>18546</v>
      </c>
      <c r="N2354" s="561">
        <v>4213.8</v>
      </c>
      <c r="DB2354" s="561">
        <v>14332.2</v>
      </c>
    </row>
    <row r="2355" spans="1:106">
      <c r="C2355" s="561" t="s">
        <v>1200</v>
      </c>
      <c r="L2355" s="561">
        <v>0</v>
      </c>
      <c r="N2355" s="561">
        <v>0</v>
      </c>
    </row>
    <row r="2356" spans="1:106">
      <c r="A2356" s="561">
        <v>5</v>
      </c>
      <c r="B2356" s="561" t="s">
        <v>1425</v>
      </c>
      <c r="C2356" s="561" t="s">
        <v>1206</v>
      </c>
      <c r="D2356" s="561">
        <v>29244</v>
      </c>
      <c r="E2356" s="561">
        <v>8773.2000000000007</v>
      </c>
      <c r="F2356" s="561">
        <v>20470.8</v>
      </c>
      <c r="G2356" s="561">
        <v>624</v>
      </c>
      <c r="H2356" s="561">
        <v>29338.490999999998</v>
      </c>
      <c r="I2356" s="561">
        <v>0</v>
      </c>
      <c r="J2356" s="561">
        <v>42.682000000000002</v>
      </c>
      <c r="K2356" s="561">
        <v>624</v>
      </c>
      <c r="L2356" s="561">
        <v>29244</v>
      </c>
      <c r="M2356" s="561">
        <v>29244</v>
      </c>
      <c r="N2356" s="561">
        <v>8773.2000000000007</v>
      </c>
      <c r="O2356" s="561">
        <v>0</v>
      </c>
      <c r="P2356" s="561">
        <v>20470.8</v>
      </c>
    </row>
    <row r="2357" spans="1:106">
      <c r="C2357" s="561" t="s">
        <v>1197</v>
      </c>
      <c r="D2357" s="561">
        <v>28605.421999999999</v>
      </c>
      <c r="E2357" s="561">
        <v>8580</v>
      </c>
      <c r="F2357" s="561">
        <v>20025.421999999999</v>
      </c>
      <c r="G2357" s="561">
        <v>568</v>
      </c>
      <c r="H2357" s="561">
        <v>28700.281999999999</v>
      </c>
      <c r="I2357" s="561">
        <v>0</v>
      </c>
      <c r="J2357" s="561">
        <v>43.051000000000002</v>
      </c>
      <c r="K2357" s="561">
        <v>568</v>
      </c>
      <c r="L2357" s="561">
        <v>28605.421999999999</v>
      </c>
      <c r="M2357" s="561">
        <v>28605.421999999999</v>
      </c>
      <c r="N2357" s="561">
        <v>8580</v>
      </c>
    </row>
    <row r="2358" spans="1:106">
      <c r="C2358" s="561" t="s">
        <v>1198</v>
      </c>
      <c r="L2358" s="561">
        <v>0</v>
      </c>
      <c r="N2358" s="561">
        <v>0</v>
      </c>
    </row>
    <row r="2359" spans="1:106">
      <c r="C2359" s="561" t="s">
        <v>1199</v>
      </c>
      <c r="D2359" s="561">
        <v>638.57799999999997</v>
      </c>
      <c r="E2359" s="561">
        <v>193.2</v>
      </c>
      <c r="F2359" s="561">
        <v>445.37799999999999</v>
      </c>
      <c r="G2359" s="561">
        <v>56</v>
      </c>
      <c r="H2359" s="561">
        <v>638.20899999999995</v>
      </c>
      <c r="I2359" s="561">
        <v>0</v>
      </c>
      <c r="J2359" s="561">
        <v>-0.36899999999999999</v>
      </c>
      <c r="K2359" s="561">
        <v>56</v>
      </c>
      <c r="L2359" s="561">
        <v>638.57799999999997</v>
      </c>
      <c r="M2359" s="561">
        <v>638.57799999999997</v>
      </c>
      <c r="N2359" s="561">
        <v>193.2</v>
      </c>
      <c r="AN2359" s="561">
        <v>445.37799999999999</v>
      </c>
    </row>
    <row r="2360" spans="1:106">
      <c r="C2360" s="561" t="s">
        <v>1200</v>
      </c>
      <c r="L2360" s="561">
        <v>0</v>
      </c>
      <c r="N2360" s="561">
        <v>0</v>
      </c>
    </row>
    <row r="2361" spans="1:106">
      <c r="A2361" s="561">
        <v>6</v>
      </c>
      <c r="B2361" s="561" t="s">
        <v>1426</v>
      </c>
      <c r="C2361" s="561" t="s">
        <v>1206</v>
      </c>
      <c r="D2361" s="561">
        <v>21069</v>
      </c>
      <c r="E2361" s="561">
        <v>6320.7</v>
      </c>
      <c r="F2361" s="561">
        <v>14748.3</v>
      </c>
      <c r="G2361" s="561">
        <v>1615</v>
      </c>
      <c r="H2361" s="561">
        <v>21297.184000000001</v>
      </c>
      <c r="I2361" s="561">
        <v>14</v>
      </c>
      <c r="J2361" s="561">
        <v>225.69</v>
      </c>
      <c r="K2361" s="561">
        <v>1601</v>
      </c>
      <c r="L2361" s="561">
        <v>21069</v>
      </c>
      <c r="M2361" s="561">
        <v>21069</v>
      </c>
      <c r="N2361" s="561">
        <v>6320.7</v>
      </c>
      <c r="O2361" s="561">
        <v>0</v>
      </c>
      <c r="P2361" s="561">
        <v>14748.3</v>
      </c>
    </row>
    <row r="2362" spans="1:106">
      <c r="C2362" s="561" t="s">
        <v>1197</v>
      </c>
      <c r="L2362" s="561">
        <v>0</v>
      </c>
      <c r="N2362" s="561">
        <v>0</v>
      </c>
    </row>
    <row r="2363" spans="1:106">
      <c r="C2363" s="561" t="s">
        <v>1198</v>
      </c>
      <c r="L2363" s="561">
        <v>0</v>
      </c>
      <c r="N2363" s="561">
        <v>0</v>
      </c>
    </row>
    <row r="2364" spans="1:106">
      <c r="C2364" s="561" t="s">
        <v>1199</v>
      </c>
      <c r="D2364" s="561">
        <v>21069</v>
      </c>
      <c r="E2364" s="561">
        <v>6320.7</v>
      </c>
      <c r="F2364" s="561">
        <v>14748.3</v>
      </c>
      <c r="G2364" s="561">
        <v>1615</v>
      </c>
      <c r="H2364" s="561">
        <v>21297.184000000001</v>
      </c>
      <c r="I2364" s="561">
        <v>14</v>
      </c>
      <c r="J2364" s="561">
        <v>225.69</v>
      </c>
      <c r="K2364" s="561">
        <v>1601</v>
      </c>
      <c r="L2364" s="561">
        <v>21069</v>
      </c>
      <c r="M2364" s="561">
        <v>21069</v>
      </c>
      <c r="N2364" s="561">
        <v>6320.7</v>
      </c>
      <c r="BD2364" s="561">
        <v>14748.3</v>
      </c>
    </row>
    <row r="2365" spans="1:106">
      <c r="C2365" s="561" t="s">
        <v>1200</v>
      </c>
      <c r="L2365" s="561">
        <v>0</v>
      </c>
      <c r="N2365" s="561">
        <v>0</v>
      </c>
    </row>
    <row r="2366" spans="1:106">
      <c r="A2366" s="561">
        <v>7</v>
      </c>
      <c r="B2366" s="561" t="s">
        <v>1427</v>
      </c>
      <c r="C2366" s="561" t="s">
        <v>1206</v>
      </c>
      <c r="D2366" s="561">
        <v>1571880.2879999997</v>
      </c>
      <c r="E2366" s="561">
        <v>356584.5</v>
      </c>
      <c r="F2366" s="561">
        <v>1215295.7879999997</v>
      </c>
      <c r="G2366" s="561">
        <v>18514</v>
      </c>
      <c r="H2366" s="561">
        <v>1716415.648</v>
      </c>
      <c r="I2366" s="561">
        <v>204</v>
      </c>
      <c r="J2366" s="561">
        <v>143753.24100000001</v>
      </c>
      <c r="K2366" s="561">
        <v>18310</v>
      </c>
      <c r="L2366" s="561">
        <v>1571880.2879999997</v>
      </c>
      <c r="M2366" s="561">
        <v>1571880.2879999997</v>
      </c>
      <c r="N2366" s="561">
        <v>356584.5</v>
      </c>
      <c r="O2366" s="561">
        <v>0</v>
      </c>
      <c r="AL2366" s="561">
        <v>1215295.7879999997</v>
      </c>
    </row>
    <row r="2367" spans="1:106">
      <c r="C2367" s="561" t="s">
        <v>1197</v>
      </c>
      <c r="D2367" s="561">
        <v>1298369.662</v>
      </c>
      <c r="E2367" s="561">
        <v>309000</v>
      </c>
      <c r="F2367" s="561">
        <v>989369.66200000001</v>
      </c>
      <c r="G2367" s="561">
        <v>16981</v>
      </c>
      <c r="H2367" s="561">
        <v>1354524.2150000001</v>
      </c>
      <c r="I2367" s="561">
        <v>-124</v>
      </c>
      <c r="J2367" s="561">
        <v>56192.453000000001</v>
      </c>
      <c r="K2367" s="561">
        <v>17105</v>
      </c>
      <c r="L2367" s="561">
        <v>1298369.662</v>
      </c>
      <c r="M2367" s="561">
        <v>1298369.662</v>
      </c>
      <c r="N2367" s="561">
        <v>309000</v>
      </c>
    </row>
    <row r="2368" spans="1:106">
      <c r="C2368" s="561" t="s">
        <v>1198</v>
      </c>
      <c r="D2368" s="561">
        <v>116467.21799999999</v>
      </c>
      <c r="E2368" s="561">
        <v>14100</v>
      </c>
      <c r="F2368" s="561">
        <v>102367.21799999999</v>
      </c>
      <c r="G2368" s="561">
        <v>691</v>
      </c>
      <c r="H2368" s="561">
        <v>203967.69099999999</v>
      </c>
      <c r="I2368" s="561">
        <v>328</v>
      </c>
      <c r="J2368" s="561">
        <v>87500.472999999998</v>
      </c>
      <c r="K2368" s="561">
        <v>363</v>
      </c>
      <c r="L2368" s="561">
        <v>116467.21799999999</v>
      </c>
      <c r="M2368" s="561">
        <v>116467.21799999999</v>
      </c>
      <c r="N2368" s="561">
        <v>14100</v>
      </c>
    </row>
    <row r="2369" spans="1:78">
      <c r="C2369" s="561" t="s">
        <v>1199</v>
      </c>
      <c r="D2369" s="561">
        <v>150712.48499999999</v>
      </c>
      <c r="E2369" s="561">
        <v>33484.5</v>
      </c>
      <c r="F2369" s="561">
        <v>117227.98499999999</v>
      </c>
      <c r="G2369" s="561">
        <v>842</v>
      </c>
      <c r="H2369" s="561">
        <v>150772.79999999999</v>
      </c>
      <c r="I2369" s="561">
        <v>0</v>
      </c>
      <c r="J2369" s="561">
        <v>60.314999999999998</v>
      </c>
      <c r="K2369" s="561">
        <v>842</v>
      </c>
      <c r="L2369" s="561">
        <v>150712.48499999999</v>
      </c>
      <c r="M2369" s="561">
        <v>150712.48499999999</v>
      </c>
      <c r="N2369" s="561">
        <v>33484.5</v>
      </c>
      <c r="P2369" s="561">
        <v>117227.98499999999</v>
      </c>
    </row>
    <row r="2370" spans="1:78">
      <c r="C2370" s="561" t="s">
        <v>1200</v>
      </c>
      <c r="L2370" s="561">
        <v>0</v>
      </c>
      <c r="M2370" s="561">
        <v>0</v>
      </c>
    </row>
    <row r="2371" spans="1:78">
      <c r="C2371" s="561" t="s">
        <v>1202</v>
      </c>
      <c r="D2371" s="561">
        <v>6330.9229999999998</v>
      </c>
      <c r="F2371" s="561">
        <v>6330.9229999999998</v>
      </c>
      <c r="G2371" s="561">
        <v>0</v>
      </c>
      <c r="H2371" s="561">
        <v>7150.942</v>
      </c>
      <c r="I2371" s="561">
        <v>0</v>
      </c>
      <c r="J2371" s="561">
        <v>0</v>
      </c>
      <c r="K2371" s="561">
        <v>0</v>
      </c>
      <c r="L2371" s="561">
        <v>6330.9229999999998</v>
      </c>
      <c r="M2371" s="561">
        <v>6330.9229999999998</v>
      </c>
      <c r="P2371" s="561">
        <v>6330.9229999999998</v>
      </c>
    </row>
    <row r="2372" spans="1:78">
      <c r="A2372" s="561">
        <v>8</v>
      </c>
      <c r="B2372" s="561" t="s">
        <v>1428</v>
      </c>
      <c r="C2372" s="561" t="s">
        <v>1206</v>
      </c>
      <c r="D2372" s="561">
        <v>32518.657999999999</v>
      </c>
      <c r="E2372" s="561">
        <v>8111.7</v>
      </c>
      <c r="F2372" s="561">
        <v>24406.957999999999</v>
      </c>
      <c r="G2372" s="561">
        <v>2037</v>
      </c>
      <c r="H2372" s="561">
        <v>33116.896999999997</v>
      </c>
      <c r="I2372" s="561">
        <v>5</v>
      </c>
      <c r="J2372" s="561">
        <v>598.23900000000003</v>
      </c>
      <c r="K2372" s="561">
        <v>2032</v>
      </c>
      <c r="L2372" s="561">
        <v>32518.657999999999</v>
      </c>
      <c r="M2372" s="561">
        <v>32518.657999999999</v>
      </c>
      <c r="N2372" s="561">
        <v>8111.7</v>
      </c>
      <c r="O2372" s="561">
        <v>0</v>
      </c>
      <c r="BZ2372" s="561">
        <v>24406.957999999999</v>
      </c>
    </row>
    <row r="2373" spans="1:78">
      <c r="C2373" s="561" t="s">
        <v>1197</v>
      </c>
      <c r="L2373" s="561">
        <v>0</v>
      </c>
      <c r="N2373" s="561">
        <v>0</v>
      </c>
    </row>
    <row r="2374" spans="1:78">
      <c r="C2374" s="561" t="s">
        <v>1198</v>
      </c>
      <c r="L2374" s="561">
        <v>0</v>
      </c>
      <c r="N2374" s="561">
        <v>0</v>
      </c>
    </row>
    <row r="2375" spans="1:78">
      <c r="C2375" s="561" t="s">
        <v>1199</v>
      </c>
      <c r="D2375" s="561">
        <v>32518.657999999999</v>
      </c>
      <c r="E2375" s="561">
        <v>8111.7</v>
      </c>
      <c r="F2375" s="561">
        <v>24406.957999999999</v>
      </c>
      <c r="G2375" s="561">
        <v>2037</v>
      </c>
      <c r="H2375" s="561">
        <v>33116.896999999997</v>
      </c>
      <c r="I2375" s="561">
        <v>5</v>
      </c>
      <c r="J2375" s="561">
        <v>598.23900000000003</v>
      </c>
      <c r="K2375" s="561">
        <v>2032</v>
      </c>
      <c r="L2375" s="561">
        <v>32518.657999999999</v>
      </c>
      <c r="M2375" s="561">
        <v>32518.657999999999</v>
      </c>
      <c r="N2375" s="561">
        <v>8111.7</v>
      </c>
      <c r="P2375" s="561">
        <v>24406.957999999999</v>
      </c>
    </row>
    <row r="2376" spans="1:78">
      <c r="C2376" s="561" t="s">
        <v>1200</v>
      </c>
      <c r="L2376" s="561">
        <v>0</v>
      </c>
      <c r="N2376" s="561">
        <v>0</v>
      </c>
    </row>
    <row r="2377" spans="1:78">
      <c r="A2377" s="561">
        <v>9</v>
      </c>
      <c r="B2377" s="561" t="s">
        <v>1429</v>
      </c>
      <c r="C2377" s="561" t="s">
        <v>1206</v>
      </c>
      <c r="D2377" s="561">
        <v>70979.505000000005</v>
      </c>
      <c r="E2377" s="561">
        <v>23520</v>
      </c>
      <c r="F2377" s="561">
        <v>47459.505000000005</v>
      </c>
      <c r="G2377" s="561">
        <v>1410</v>
      </c>
      <c r="H2377" s="561">
        <v>72850.229000000007</v>
      </c>
      <c r="I2377" s="561">
        <v>1</v>
      </c>
      <c r="J2377" s="561">
        <v>1870.7239999999999</v>
      </c>
      <c r="K2377" s="561">
        <v>1409</v>
      </c>
      <c r="L2377" s="561">
        <v>70979.505000000005</v>
      </c>
      <c r="M2377" s="561">
        <v>70979.505000000005</v>
      </c>
      <c r="N2377" s="561">
        <v>23520</v>
      </c>
      <c r="O2377" s="561">
        <v>0</v>
      </c>
      <c r="P2377" s="561">
        <v>47459.505000000005</v>
      </c>
    </row>
    <row r="2378" spans="1:78">
      <c r="C2378" s="561" t="s">
        <v>1197</v>
      </c>
      <c r="D2378" s="561">
        <v>70979.505000000005</v>
      </c>
      <c r="E2378" s="561">
        <v>23520</v>
      </c>
      <c r="F2378" s="561">
        <v>47459.505000000005</v>
      </c>
      <c r="G2378" s="561">
        <v>1410</v>
      </c>
      <c r="H2378" s="561">
        <v>72850.229000000007</v>
      </c>
      <c r="I2378" s="561">
        <v>1</v>
      </c>
      <c r="J2378" s="561">
        <v>1870.7239999999999</v>
      </c>
      <c r="K2378" s="561">
        <v>1409</v>
      </c>
      <c r="L2378" s="561">
        <v>70979.505000000005</v>
      </c>
      <c r="M2378" s="561">
        <v>70979.505000000005</v>
      </c>
      <c r="N2378" s="561">
        <v>23520</v>
      </c>
    </row>
    <row r="2379" spans="1:78">
      <c r="C2379" s="561" t="s">
        <v>1198</v>
      </c>
      <c r="L2379" s="561">
        <v>0</v>
      </c>
      <c r="N2379" s="561">
        <v>0</v>
      </c>
    </row>
    <row r="2380" spans="1:78">
      <c r="C2380" s="561" t="s">
        <v>1199</v>
      </c>
      <c r="L2380" s="561">
        <v>0</v>
      </c>
      <c r="N2380" s="561">
        <v>0</v>
      </c>
    </row>
    <row r="2381" spans="1:78">
      <c r="C2381" s="561" t="s">
        <v>1200</v>
      </c>
      <c r="L2381" s="561">
        <v>0</v>
      </c>
      <c r="N2381" s="561">
        <v>0</v>
      </c>
    </row>
    <row r="2382" spans="1:78">
      <c r="A2382" s="561">
        <v>10</v>
      </c>
      <c r="B2382" s="561" t="s">
        <v>1430</v>
      </c>
      <c r="C2382" s="561" t="s">
        <v>1206</v>
      </c>
      <c r="D2382" s="561">
        <v>433784</v>
      </c>
      <c r="E2382" s="561">
        <v>125398.2</v>
      </c>
      <c r="F2382" s="561">
        <v>308385.80000000005</v>
      </c>
      <c r="G2382" s="561">
        <v>7937</v>
      </c>
      <c r="H2382" s="561">
        <v>442162.761</v>
      </c>
      <c r="I2382" s="561">
        <v>4</v>
      </c>
      <c r="J2382" s="561">
        <v>7826.9769999999999</v>
      </c>
      <c r="K2382" s="561">
        <v>7933</v>
      </c>
      <c r="L2382" s="561">
        <v>433784</v>
      </c>
      <c r="M2382" s="561">
        <v>433784</v>
      </c>
      <c r="N2382" s="561">
        <v>125398.2</v>
      </c>
      <c r="O2382" s="561">
        <v>0</v>
      </c>
      <c r="P2382" s="561">
        <v>308385.80000000005</v>
      </c>
    </row>
    <row r="2383" spans="1:78">
      <c r="C2383" s="561" t="s">
        <v>1197</v>
      </c>
      <c r="D2383" s="561">
        <v>421967.92700000003</v>
      </c>
      <c r="E2383" s="561">
        <v>122940</v>
      </c>
      <c r="F2383" s="561">
        <v>299027.92700000003</v>
      </c>
      <c r="G2383" s="561">
        <v>7228</v>
      </c>
      <c r="H2383" s="561">
        <v>430113.98</v>
      </c>
      <c r="I2383" s="561">
        <v>4</v>
      </c>
      <c r="J2383" s="561">
        <v>7594.2690000000002</v>
      </c>
      <c r="K2383" s="561">
        <v>7224</v>
      </c>
      <c r="L2383" s="561">
        <v>421967.92700000003</v>
      </c>
      <c r="M2383" s="561">
        <v>421967.92700000003</v>
      </c>
      <c r="N2383" s="561">
        <v>122940</v>
      </c>
    </row>
    <row r="2384" spans="1:78">
      <c r="C2384" s="561" t="s">
        <v>1198</v>
      </c>
      <c r="L2384" s="561">
        <v>0</v>
      </c>
      <c r="N2384" s="561">
        <v>0</v>
      </c>
    </row>
    <row r="2385" spans="1:38">
      <c r="C2385" s="561" t="s">
        <v>1199</v>
      </c>
      <c r="D2385" s="561">
        <v>11816.073</v>
      </c>
      <c r="E2385" s="561">
        <v>2458.1999999999998</v>
      </c>
      <c r="F2385" s="561">
        <v>9357.8729999999996</v>
      </c>
      <c r="G2385" s="561">
        <v>709</v>
      </c>
      <c r="H2385" s="561">
        <v>12048.781000000001</v>
      </c>
      <c r="I2385" s="561">
        <v>0</v>
      </c>
      <c r="J2385" s="561">
        <v>232.708</v>
      </c>
      <c r="K2385" s="561">
        <v>709</v>
      </c>
      <c r="L2385" s="561">
        <v>11816.073</v>
      </c>
      <c r="M2385" s="561">
        <v>11816.073</v>
      </c>
      <c r="N2385" s="561">
        <v>2458.1999999999998</v>
      </c>
      <c r="AL2385" s="561">
        <v>9357.8729999999996</v>
      </c>
    </row>
    <row r="2386" spans="1:38">
      <c r="C2386" s="561" t="s">
        <v>1200</v>
      </c>
      <c r="L2386" s="561">
        <v>0</v>
      </c>
      <c r="N2386" s="561">
        <v>0</v>
      </c>
    </row>
    <row r="2387" spans="1:38">
      <c r="A2387" s="561">
        <v>11</v>
      </c>
      <c r="B2387" s="561" t="s">
        <v>1431</v>
      </c>
      <c r="C2387" s="561" t="s">
        <v>1206</v>
      </c>
      <c r="D2387" s="561">
        <v>103066</v>
      </c>
      <c r="E2387" s="561">
        <v>30919.8</v>
      </c>
      <c r="F2387" s="561">
        <v>72146.2</v>
      </c>
      <c r="G2387" s="561">
        <v>2337</v>
      </c>
      <c r="H2387" s="561">
        <v>104851.39899999999</v>
      </c>
      <c r="I2387" s="561">
        <v>9</v>
      </c>
      <c r="J2387" s="561">
        <v>1361.9649999999999</v>
      </c>
      <c r="K2387" s="561">
        <v>2328</v>
      </c>
      <c r="L2387" s="561">
        <v>103066</v>
      </c>
      <c r="M2387" s="561">
        <v>103066</v>
      </c>
      <c r="N2387" s="561">
        <v>30919.8</v>
      </c>
      <c r="O2387" s="561">
        <v>0</v>
      </c>
      <c r="P2387" s="561">
        <v>72146.2</v>
      </c>
    </row>
    <row r="2388" spans="1:38">
      <c r="C2388" s="561" t="s">
        <v>1197</v>
      </c>
      <c r="D2388" s="561">
        <v>91475</v>
      </c>
      <c r="E2388" s="561">
        <v>27900</v>
      </c>
      <c r="F2388" s="561">
        <v>63575</v>
      </c>
      <c r="G2388" s="561">
        <v>1483</v>
      </c>
      <c r="H2388" s="561">
        <v>93117.638999999996</v>
      </c>
      <c r="I2388" s="561">
        <v>4</v>
      </c>
      <c r="J2388" s="561">
        <v>1247.3499999999999</v>
      </c>
      <c r="K2388" s="561">
        <v>1479</v>
      </c>
      <c r="L2388" s="561">
        <v>91475</v>
      </c>
      <c r="M2388" s="561">
        <v>91475</v>
      </c>
      <c r="N2388" s="561">
        <v>27900</v>
      </c>
    </row>
    <row r="2389" spans="1:38">
      <c r="C2389" s="561" t="s">
        <v>1198</v>
      </c>
      <c r="L2389" s="561">
        <v>0</v>
      </c>
      <c r="N2389" s="561">
        <v>0</v>
      </c>
    </row>
    <row r="2390" spans="1:38">
      <c r="C2390" s="561" t="s">
        <v>1199</v>
      </c>
      <c r="D2390" s="561">
        <v>11591</v>
      </c>
      <c r="E2390" s="561">
        <v>3019.8</v>
      </c>
      <c r="F2390" s="561">
        <v>8571.2000000000007</v>
      </c>
      <c r="G2390" s="561">
        <v>854</v>
      </c>
      <c r="H2390" s="561">
        <v>11733.76</v>
      </c>
      <c r="I2390" s="561">
        <v>5</v>
      </c>
      <c r="J2390" s="561">
        <v>114.61499999999999</v>
      </c>
      <c r="K2390" s="561">
        <v>849</v>
      </c>
      <c r="L2390" s="561">
        <v>11591</v>
      </c>
      <c r="M2390" s="561">
        <v>11591</v>
      </c>
      <c r="N2390" s="561">
        <v>3019.8</v>
      </c>
      <c r="AL2390" s="561">
        <v>8571.2000000000007</v>
      </c>
    </row>
    <row r="2391" spans="1:38">
      <c r="C2391" s="561" t="s">
        <v>1200</v>
      </c>
      <c r="L2391" s="561">
        <v>0</v>
      </c>
      <c r="N2391" s="561">
        <v>0</v>
      </c>
    </row>
    <row r="2392" spans="1:38">
      <c r="A2392" s="561">
        <v>12</v>
      </c>
      <c r="B2392" s="561" t="s">
        <v>1432</v>
      </c>
      <c r="C2392" s="561" t="s">
        <v>1206</v>
      </c>
      <c r="D2392" s="561">
        <v>600761.92299999995</v>
      </c>
      <c r="E2392" s="561">
        <v>165450</v>
      </c>
      <c r="F2392" s="561">
        <v>435311.92300000001</v>
      </c>
      <c r="G2392" s="561">
        <v>7496</v>
      </c>
      <c r="H2392" s="561">
        <v>630906.99</v>
      </c>
      <c r="I2392" s="561">
        <v>234</v>
      </c>
      <c r="J2392" s="561">
        <v>31716.248</v>
      </c>
      <c r="K2392" s="561">
        <v>7262</v>
      </c>
      <c r="L2392" s="561">
        <v>600761.92299999995</v>
      </c>
      <c r="M2392" s="561">
        <v>600761.92299999995</v>
      </c>
      <c r="N2392" s="561">
        <v>165450</v>
      </c>
      <c r="O2392" s="561">
        <v>0</v>
      </c>
      <c r="P2392" s="561">
        <v>435311.92300000001</v>
      </c>
    </row>
    <row r="2393" spans="1:38">
      <c r="C2393" s="561" t="s">
        <v>1197</v>
      </c>
      <c r="D2393" s="561">
        <v>588595.57999999996</v>
      </c>
      <c r="E2393" s="561">
        <v>164250</v>
      </c>
      <c r="F2393" s="561">
        <v>424345.57999999996</v>
      </c>
      <c r="G2393" s="561">
        <v>7435</v>
      </c>
      <c r="H2393" s="561">
        <v>618215.228</v>
      </c>
      <c r="I2393" s="561">
        <v>234</v>
      </c>
      <c r="J2393" s="561">
        <v>31204.16</v>
      </c>
      <c r="K2393" s="561">
        <v>7201</v>
      </c>
      <c r="L2393" s="561">
        <v>588595.57999999996</v>
      </c>
      <c r="M2393" s="561">
        <v>588595.57999999996</v>
      </c>
      <c r="N2393" s="561">
        <v>164250</v>
      </c>
    </row>
    <row r="2394" spans="1:38">
      <c r="C2394" s="561" t="s">
        <v>1198</v>
      </c>
      <c r="D2394" s="561">
        <v>11648.775</v>
      </c>
      <c r="E2394" s="561">
        <v>1200</v>
      </c>
      <c r="F2394" s="561">
        <v>10448.775</v>
      </c>
      <c r="G2394" s="561">
        <v>41</v>
      </c>
      <c r="H2394" s="561">
        <v>12152.87</v>
      </c>
      <c r="I2394" s="561">
        <v>0</v>
      </c>
      <c r="J2394" s="561">
        <v>504.09500000000003</v>
      </c>
      <c r="K2394" s="561">
        <v>41</v>
      </c>
      <c r="L2394" s="561">
        <v>11648.775</v>
      </c>
      <c r="M2394" s="561">
        <v>11648.775</v>
      </c>
      <c r="N2394" s="561">
        <v>1200</v>
      </c>
    </row>
    <row r="2395" spans="1:38">
      <c r="C2395" s="561" t="s">
        <v>1199</v>
      </c>
      <c r="D2395" s="561">
        <v>351.06799999999998</v>
      </c>
      <c r="F2395" s="561">
        <v>351.06799999999998</v>
      </c>
      <c r="G2395" s="561">
        <v>20</v>
      </c>
      <c r="H2395" s="561">
        <v>359.06099999999998</v>
      </c>
      <c r="I2395" s="561">
        <v>0</v>
      </c>
      <c r="J2395" s="561">
        <v>7.9930000000000003</v>
      </c>
      <c r="K2395" s="561">
        <v>20</v>
      </c>
      <c r="L2395" s="561">
        <v>351.06799999999998</v>
      </c>
      <c r="M2395" s="561">
        <v>351.06799999999998</v>
      </c>
      <c r="N2395" s="561">
        <v>0</v>
      </c>
      <c r="AL2395" s="561">
        <v>351.06799999999998</v>
      </c>
    </row>
    <row r="2396" spans="1:38">
      <c r="C2396" s="561" t="s">
        <v>1200</v>
      </c>
      <c r="L2396" s="561">
        <v>0</v>
      </c>
      <c r="M2396" s="561">
        <v>0</v>
      </c>
    </row>
    <row r="2397" spans="1:38">
      <c r="C2397" s="561" t="s">
        <v>1202</v>
      </c>
      <c r="D2397" s="561">
        <v>166.5</v>
      </c>
      <c r="F2397" s="561">
        <v>166.5</v>
      </c>
      <c r="G2397" s="561">
        <v>0</v>
      </c>
      <c r="H2397" s="561">
        <v>179.83099999999999</v>
      </c>
      <c r="I2397" s="561">
        <v>0</v>
      </c>
      <c r="J2397" s="561">
        <v>0</v>
      </c>
      <c r="K2397" s="561">
        <v>0</v>
      </c>
      <c r="L2397" s="561">
        <v>166.5</v>
      </c>
      <c r="M2397" s="561">
        <v>166.5</v>
      </c>
      <c r="P2397" s="561">
        <v>166.5</v>
      </c>
    </row>
    <row r="2398" spans="1:38">
      <c r="A2398" s="561">
        <v>13</v>
      </c>
      <c r="B2398" s="561" t="s">
        <v>1433</v>
      </c>
      <c r="C2398" s="561" t="s">
        <v>1206</v>
      </c>
      <c r="D2398" s="561">
        <v>71628</v>
      </c>
      <c r="E2398" s="561">
        <v>23520</v>
      </c>
      <c r="F2398" s="561">
        <v>48108</v>
      </c>
      <c r="G2398" s="561">
        <v>1381</v>
      </c>
      <c r="H2398" s="561">
        <v>73022.762000000002</v>
      </c>
      <c r="I2398" s="561">
        <v>1</v>
      </c>
      <c r="J2398" s="561">
        <v>1383.5239999999999</v>
      </c>
      <c r="K2398" s="561">
        <v>1380</v>
      </c>
      <c r="L2398" s="561">
        <v>71628</v>
      </c>
      <c r="M2398" s="561">
        <v>71628</v>
      </c>
      <c r="N2398" s="561">
        <v>23520</v>
      </c>
      <c r="O2398" s="561">
        <v>0</v>
      </c>
      <c r="P2398" s="561">
        <v>48108</v>
      </c>
    </row>
    <row r="2399" spans="1:38">
      <c r="C2399" s="561" t="s">
        <v>1197</v>
      </c>
      <c r="D2399" s="561">
        <v>71628</v>
      </c>
      <c r="E2399" s="561">
        <v>23520</v>
      </c>
      <c r="F2399" s="561">
        <v>48108</v>
      </c>
      <c r="G2399" s="561">
        <v>1381</v>
      </c>
      <c r="H2399" s="561">
        <v>73022.762000000002</v>
      </c>
      <c r="I2399" s="561">
        <v>1</v>
      </c>
      <c r="J2399" s="561">
        <v>1383.5239999999999</v>
      </c>
      <c r="K2399" s="561">
        <v>1380</v>
      </c>
      <c r="L2399" s="561">
        <v>71628</v>
      </c>
      <c r="M2399" s="561">
        <v>71628</v>
      </c>
      <c r="N2399" s="561">
        <v>23520</v>
      </c>
    </row>
    <row r="2400" spans="1:38">
      <c r="C2400" s="561" t="s">
        <v>1198</v>
      </c>
      <c r="L2400" s="561">
        <v>0</v>
      </c>
      <c r="N2400" s="561">
        <v>0</v>
      </c>
    </row>
    <row r="2401" spans="1:56">
      <c r="C2401" s="561" t="s">
        <v>1199</v>
      </c>
      <c r="L2401" s="561">
        <v>0</v>
      </c>
      <c r="N2401" s="561">
        <v>0</v>
      </c>
    </row>
    <row r="2402" spans="1:56">
      <c r="C2402" s="561" t="s">
        <v>1200</v>
      </c>
      <c r="L2402" s="561">
        <v>0</v>
      </c>
      <c r="N2402" s="561">
        <v>0</v>
      </c>
    </row>
    <row r="2403" spans="1:56">
      <c r="A2403" s="561">
        <v>14</v>
      </c>
      <c r="B2403" s="561" t="s">
        <v>1434</v>
      </c>
      <c r="C2403" s="561" t="s">
        <v>1206</v>
      </c>
      <c r="D2403" s="561">
        <v>7853</v>
      </c>
      <c r="E2403" s="561">
        <v>1755.9</v>
      </c>
      <c r="F2403" s="561">
        <v>6097.1</v>
      </c>
      <c r="G2403" s="561">
        <v>500</v>
      </c>
      <c r="H2403" s="561">
        <v>8201.7420000000002</v>
      </c>
      <c r="I2403" s="561">
        <v>0</v>
      </c>
      <c r="J2403" s="561">
        <v>148.20599999999999</v>
      </c>
      <c r="K2403" s="561">
        <v>500</v>
      </c>
      <c r="L2403" s="561">
        <v>7853</v>
      </c>
      <c r="M2403" s="561">
        <v>7853</v>
      </c>
      <c r="N2403" s="561">
        <v>1755.9</v>
      </c>
      <c r="O2403" s="561">
        <v>0</v>
      </c>
      <c r="P2403" s="561">
        <v>6097.1</v>
      </c>
    </row>
    <row r="2404" spans="1:56">
      <c r="C2404" s="561" t="s">
        <v>1197</v>
      </c>
      <c r="L2404" s="561">
        <v>0</v>
      </c>
      <c r="N2404" s="561">
        <v>0</v>
      </c>
    </row>
    <row r="2405" spans="1:56">
      <c r="C2405" s="561" t="s">
        <v>1198</v>
      </c>
      <c r="L2405" s="561">
        <v>0</v>
      </c>
      <c r="N2405" s="561">
        <v>0</v>
      </c>
    </row>
    <row r="2406" spans="1:56">
      <c r="C2406" s="561" t="s">
        <v>1199</v>
      </c>
      <c r="D2406" s="561">
        <v>7853</v>
      </c>
      <c r="E2406" s="561">
        <v>1755.9</v>
      </c>
      <c r="F2406" s="561">
        <v>6097.1</v>
      </c>
      <c r="G2406" s="561">
        <v>500</v>
      </c>
      <c r="H2406" s="561">
        <v>8201.7420000000002</v>
      </c>
      <c r="I2406" s="561">
        <v>0</v>
      </c>
      <c r="J2406" s="561">
        <v>148.20599999999999</v>
      </c>
      <c r="K2406" s="561">
        <v>500</v>
      </c>
      <c r="L2406" s="561">
        <v>7853</v>
      </c>
      <c r="M2406" s="561">
        <v>7853</v>
      </c>
      <c r="N2406" s="561">
        <v>1755.9</v>
      </c>
      <c r="BD2406" s="561">
        <v>6097.1</v>
      </c>
    </row>
    <row r="2407" spans="1:56">
      <c r="C2407" s="561" t="s">
        <v>1200</v>
      </c>
      <c r="L2407" s="561">
        <v>0</v>
      </c>
      <c r="N2407" s="561">
        <v>0</v>
      </c>
    </row>
    <row r="2408" spans="1:56">
      <c r="A2408" s="561">
        <v>15</v>
      </c>
      <c r="B2408" s="561" t="s">
        <v>1435</v>
      </c>
      <c r="C2408" s="561" t="s">
        <v>1206</v>
      </c>
      <c r="D2408" s="561">
        <v>12876</v>
      </c>
      <c r="E2408" s="561">
        <v>3862.8</v>
      </c>
      <c r="F2408" s="561">
        <v>9013.2000000000007</v>
      </c>
      <c r="G2408" s="561">
        <v>817</v>
      </c>
      <c r="H2408" s="561">
        <v>13285.996999999999</v>
      </c>
      <c r="I2408" s="561">
        <v>2</v>
      </c>
      <c r="J2408" s="561">
        <v>391.65800000000002</v>
      </c>
      <c r="K2408" s="561">
        <v>815</v>
      </c>
      <c r="L2408" s="561">
        <v>12876</v>
      </c>
      <c r="M2408" s="561">
        <v>12876</v>
      </c>
      <c r="N2408" s="561">
        <v>3862.8</v>
      </c>
      <c r="O2408" s="561">
        <v>0</v>
      </c>
      <c r="P2408" s="561">
        <v>9013.2000000000007</v>
      </c>
    </row>
    <row r="2409" spans="1:56">
      <c r="C2409" s="561" t="s">
        <v>1197</v>
      </c>
      <c r="L2409" s="561">
        <v>0</v>
      </c>
      <c r="N2409" s="561">
        <v>0</v>
      </c>
    </row>
    <row r="2410" spans="1:56">
      <c r="C2410" s="561" t="s">
        <v>1198</v>
      </c>
      <c r="L2410" s="561">
        <v>0</v>
      </c>
      <c r="N2410" s="561">
        <v>0</v>
      </c>
    </row>
    <row r="2411" spans="1:56">
      <c r="C2411" s="561" t="s">
        <v>1199</v>
      </c>
      <c r="D2411" s="561">
        <v>12876</v>
      </c>
      <c r="E2411" s="561">
        <v>3862.8</v>
      </c>
      <c r="F2411" s="561">
        <v>9013.2000000000007</v>
      </c>
      <c r="G2411" s="561">
        <v>817</v>
      </c>
      <c r="H2411" s="561">
        <v>13285.996999999999</v>
      </c>
      <c r="I2411" s="561">
        <v>2</v>
      </c>
      <c r="J2411" s="561">
        <v>391.65800000000002</v>
      </c>
      <c r="K2411" s="561">
        <v>815</v>
      </c>
      <c r="L2411" s="561">
        <v>12876</v>
      </c>
      <c r="M2411" s="561">
        <v>12876</v>
      </c>
      <c r="N2411" s="561">
        <v>3862.8</v>
      </c>
      <c r="AL2411" s="561">
        <v>9013.2000000000007</v>
      </c>
    </row>
    <row r="2412" spans="1:56">
      <c r="C2412" s="561" t="s">
        <v>1200</v>
      </c>
      <c r="L2412" s="561">
        <v>0</v>
      </c>
      <c r="N2412" s="561">
        <v>0</v>
      </c>
    </row>
    <row r="2413" spans="1:56">
      <c r="A2413" s="561">
        <v>16</v>
      </c>
      <c r="B2413" s="561" t="s">
        <v>1436</v>
      </c>
      <c r="C2413" s="561" t="s">
        <v>1206</v>
      </c>
      <c r="D2413" s="561">
        <v>445296</v>
      </c>
      <c r="E2413" s="561">
        <v>117080.1</v>
      </c>
      <c r="F2413" s="561">
        <v>328215.90000000002</v>
      </c>
      <c r="G2413" s="561">
        <v>6216</v>
      </c>
      <c r="H2413" s="561">
        <v>464269.913</v>
      </c>
      <c r="I2413" s="561">
        <v>25</v>
      </c>
      <c r="J2413" s="561">
        <v>17354</v>
      </c>
      <c r="K2413" s="561">
        <v>6191</v>
      </c>
      <c r="L2413" s="561">
        <v>445296</v>
      </c>
      <c r="M2413" s="561">
        <v>445296</v>
      </c>
      <c r="N2413" s="561">
        <v>117080.1</v>
      </c>
      <c r="O2413" s="561">
        <v>0</v>
      </c>
      <c r="P2413" s="561">
        <v>328215.90000000002</v>
      </c>
    </row>
    <row r="2414" spans="1:56">
      <c r="C2414" s="561" t="s">
        <v>1197</v>
      </c>
      <c r="D2414" s="561">
        <v>432029</v>
      </c>
      <c r="E2414" s="561">
        <v>115500</v>
      </c>
      <c r="F2414" s="561">
        <v>316529</v>
      </c>
      <c r="G2414" s="561">
        <v>5721</v>
      </c>
      <c r="H2414" s="561">
        <v>450407.81099999999</v>
      </c>
      <c r="I2414" s="561">
        <v>16</v>
      </c>
      <c r="J2414" s="561">
        <v>16885.143</v>
      </c>
      <c r="K2414" s="561">
        <v>5705</v>
      </c>
      <c r="L2414" s="561">
        <v>432029</v>
      </c>
      <c r="M2414" s="561">
        <v>432029</v>
      </c>
      <c r="N2414" s="561">
        <v>115500</v>
      </c>
    </row>
    <row r="2415" spans="1:56">
      <c r="C2415" s="561" t="s">
        <v>1198</v>
      </c>
      <c r="G2415" s="561">
        <v>1</v>
      </c>
      <c r="H2415" s="561">
        <v>255.416</v>
      </c>
      <c r="I2415" s="561">
        <v>1</v>
      </c>
      <c r="J2415" s="561">
        <v>255.416</v>
      </c>
      <c r="K2415" s="561">
        <v>0</v>
      </c>
      <c r="L2415" s="561">
        <v>0</v>
      </c>
      <c r="N2415" s="561">
        <v>0</v>
      </c>
    </row>
    <row r="2416" spans="1:56">
      <c r="C2416" s="561" t="s">
        <v>1199</v>
      </c>
      <c r="D2416" s="561">
        <v>13267</v>
      </c>
      <c r="E2416" s="561">
        <v>1580.1</v>
      </c>
      <c r="F2416" s="561">
        <v>11686.9</v>
      </c>
      <c r="G2416" s="561">
        <v>494</v>
      </c>
      <c r="H2416" s="561">
        <v>13606.686</v>
      </c>
      <c r="I2416" s="561">
        <v>8</v>
      </c>
      <c r="J2416" s="561">
        <v>213.441</v>
      </c>
      <c r="K2416" s="561">
        <v>486</v>
      </c>
      <c r="L2416" s="561">
        <v>13267</v>
      </c>
      <c r="M2416" s="561">
        <v>13267</v>
      </c>
      <c r="N2416" s="561">
        <v>1580.1</v>
      </c>
      <c r="AL2416" s="561">
        <v>11686.9</v>
      </c>
    </row>
    <row r="2417" spans="1:38">
      <c r="C2417" s="561" t="s">
        <v>1200</v>
      </c>
      <c r="L2417" s="561">
        <v>0</v>
      </c>
      <c r="N2417" s="561">
        <v>0</v>
      </c>
    </row>
    <row r="2418" spans="1:38">
      <c r="A2418" s="561">
        <v>17</v>
      </c>
      <c r="B2418" s="561" t="s">
        <v>1437</v>
      </c>
      <c r="C2418" s="561" t="s">
        <v>1206</v>
      </c>
      <c r="D2418" s="561">
        <v>571589</v>
      </c>
      <c r="E2418" s="561">
        <v>164932.20000000001</v>
      </c>
      <c r="F2418" s="561">
        <v>406656.8</v>
      </c>
      <c r="G2418" s="561">
        <v>11761</v>
      </c>
      <c r="H2418" s="561">
        <v>594728.38199999998</v>
      </c>
      <c r="I2418" s="561">
        <v>83</v>
      </c>
      <c r="J2418" s="561">
        <v>21175.508999999998</v>
      </c>
      <c r="K2418" s="561">
        <v>11678</v>
      </c>
      <c r="L2418" s="561">
        <v>571589</v>
      </c>
      <c r="M2418" s="561">
        <v>571589</v>
      </c>
      <c r="N2418" s="561">
        <v>164932.20000000001</v>
      </c>
      <c r="O2418" s="561">
        <v>0</v>
      </c>
      <c r="P2418" s="561">
        <v>406656.8</v>
      </c>
    </row>
    <row r="2419" spans="1:38">
      <c r="C2419" s="561" t="s">
        <v>1197</v>
      </c>
      <c r="D2419" s="561">
        <v>511114.26799999998</v>
      </c>
      <c r="E2419" s="561">
        <v>155100</v>
      </c>
      <c r="F2419" s="561">
        <v>356014.26799999998</v>
      </c>
      <c r="G2419" s="561">
        <v>7839</v>
      </c>
      <c r="H2419" s="561">
        <v>530535.07700000005</v>
      </c>
      <c r="I2419" s="561">
        <v>38</v>
      </c>
      <c r="J2419" s="561">
        <v>19428.388999999999</v>
      </c>
      <c r="K2419" s="561">
        <v>7801</v>
      </c>
      <c r="L2419" s="561">
        <v>511114.26799999998</v>
      </c>
      <c r="M2419" s="561">
        <v>511114.26799999998</v>
      </c>
      <c r="N2419" s="561">
        <v>155100</v>
      </c>
    </row>
    <row r="2420" spans="1:38">
      <c r="C2420" s="561" t="s">
        <v>1198</v>
      </c>
      <c r="G2420" s="561">
        <v>1</v>
      </c>
      <c r="H2420" s="561">
        <v>288.57</v>
      </c>
      <c r="I2420" s="561">
        <v>1</v>
      </c>
      <c r="J2420" s="561">
        <v>288.57</v>
      </c>
      <c r="K2420" s="561">
        <v>0</v>
      </c>
      <c r="L2420" s="561">
        <v>0</v>
      </c>
      <c r="N2420" s="561">
        <v>0</v>
      </c>
    </row>
    <row r="2421" spans="1:38">
      <c r="C2421" s="561" t="s">
        <v>1199</v>
      </c>
      <c r="D2421" s="561">
        <v>60474.732000000004</v>
      </c>
      <c r="E2421" s="561">
        <v>9832.2000000000007</v>
      </c>
      <c r="F2421" s="561">
        <v>50642.532000000007</v>
      </c>
      <c r="G2421" s="561">
        <v>3921</v>
      </c>
      <c r="H2421" s="561">
        <v>63904.735000000001</v>
      </c>
      <c r="I2421" s="561">
        <v>44</v>
      </c>
      <c r="J2421" s="561">
        <v>1458.55</v>
      </c>
      <c r="K2421" s="561">
        <v>3877</v>
      </c>
      <c r="L2421" s="561">
        <v>60474.732000000004</v>
      </c>
      <c r="M2421" s="561">
        <v>60474.732000000004</v>
      </c>
      <c r="N2421" s="561">
        <v>9832.2000000000007</v>
      </c>
      <c r="AL2421" s="561">
        <v>50642.532000000007</v>
      </c>
    </row>
    <row r="2422" spans="1:38">
      <c r="C2422" s="561" t="s">
        <v>1200</v>
      </c>
      <c r="L2422" s="561">
        <v>0</v>
      </c>
      <c r="N2422" s="561">
        <v>0</v>
      </c>
    </row>
    <row r="2423" spans="1:38">
      <c r="A2423" s="561">
        <v>18</v>
      </c>
      <c r="B2423" s="561" t="s">
        <v>1438</v>
      </c>
      <c r="C2423" s="561" t="s">
        <v>1206</v>
      </c>
      <c r="D2423" s="561">
        <v>108515</v>
      </c>
      <c r="E2423" s="561">
        <v>29231.4</v>
      </c>
      <c r="F2423" s="561">
        <v>79283.600000000006</v>
      </c>
      <c r="G2423" s="561">
        <v>1962</v>
      </c>
      <c r="H2423" s="561">
        <v>112774.549</v>
      </c>
      <c r="I2423" s="561">
        <v>19</v>
      </c>
      <c r="J2423" s="561">
        <v>3598.4839999999999</v>
      </c>
      <c r="K2423" s="561">
        <v>1943</v>
      </c>
      <c r="L2423" s="561">
        <v>108515</v>
      </c>
      <c r="M2423" s="561">
        <v>108515</v>
      </c>
      <c r="N2423" s="561">
        <v>29231.4</v>
      </c>
      <c r="O2423" s="561">
        <v>0</v>
      </c>
      <c r="P2423" s="561">
        <v>79283.600000000006</v>
      </c>
    </row>
    <row r="2424" spans="1:38">
      <c r="C2424" s="561" t="s">
        <v>1197</v>
      </c>
      <c r="D2424" s="561">
        <v>101129.35400000001</v>
      </c>
      <c r="E2424" s="561">
        <v>27300</v>
      </c>
      <c r="F2424" s="561">
        <v>73829.354000000007</v>
      </c>
      <c r="G2424" s="561">
        <v>1477</v>
      </c>
      <c r="H2424" s="561">
        <v>104085.80899999999</v>
      </c>
      <c r="I2424" s="561">
        <v>7</v>
      </c>
      <c r="J2424" s="561">
        <v>2956.4549999999999</v>
      </c>
      <c r="K2424" s="561">
        <v>1470</v>
      </c>
      <c r="L2424" s="561">
        <v>101129.35400000001</v>
      </c>
      <c r="M2424" s="561">
        <v>101129.35400000001</v>
      </c>
      <c r="N2424" s="561">
        <v>27300</v>
      </c>
    </row>
    <row r="2425" spans="1:38">
      <c r="C2425" s="561" t="s">
        <v>1198</v>
      </c>
      <c r="L2425" s="561">
        <v>0</v>
      </c>
      <c r="N2425" s="561">
        <v>0</v>
      </c>
    </row>
    <row r="2426" spans="1:38">
      <c r="C2426" s="561" t="s">
        <v>1199</v>
      </c>
      <c r="D2426" s="561">
        <v>7385.6459999999997</v>
      </c>
      <c r="E2426" s="561">
        <v>1931.4</v>
      </c>
      <c r="F2426" s="561">
        <v>5454.2459999999992</v>
      </c>
      <c r="G2426" s="561">
        <v>485</v>
      </c>
      <c r="H2426" s="561">
        <v>8688.74</v>
      </c>
      <c r="I2426" s="561">
        <v>12</v>
      </c>
      <c r="J2426" s="561">
        <v>642.029</v>
      </c>
      <c r="K2426" s="561">
        <v>473</v>
      </c>
      <c r="L2426" s="561">
        <v>7385.6459999999997</v>
      </c>
      <c r="M2426" s="561">
        <v>7385.6459999999997</v>
      </c>
      <c r="N2426" s="561">
        <v>1931.4</v>
      </c>
      <c r="AL2426" s="561">
        <v>5454.2459999999992</v>
      </c>
    </row>
    <row r="2427" spans="1:38">
      <c r="C2427" s="561" t="s">
        <v>1200</v>
      </c>
      <c r="L2427" s="561">
        <v>0</v>
      </c>
      <c r="N2427" s="561">
        <v>0</v>
      </c>
    </row>
    <row r="2428" spans="1:38">
      <c r="A2428" s="561">
        <v>19</v>
      </c>
      <c r="B2428" s="561" t="s">
        <v>1439</v>
      </c>
      <c r="C2428" s="561" t="s">
        <v>1206</v>
      </c>
      <c r="D2428" s="561">
        <v>275176</v>
      </c>
      <c r="E2428" s="561">
        <v>82169.7</v>
      </c>
      <c r="F2428" s="561">
        <v>193006.3</v>
      </c>
      <c r="G2428" s="561">
        <v>4662</v>
      </c>
      <c r="H2428" s="561">
        <v>287933.63500000001</v>
      </c>
      <c r="I2428" s="561">
        <v>30</v>
      </c>
      <c r="J2428" s="561">
        <v>11148.733</v>
      </c>
      <c r="K2428" s="561">
        <v>4632</v>
      </c>
      <c r="L2428" s="561">
        <v>275176</v>
      </c>
      <c r="M2428" s="561">
        <v>275176</v>
      </c>
      <c r="N2428" s="561">
        <v>82169.7</v>
      </c>
      <c r="O2428" s="561">
        <v>0</v>
      </c>
      <c r="P2428" s="561">
        <v>193006.3</v>
      </c>
    </row>
    <row r="2429" spans="1:38">
      <c r="C2429" s="561" t="s">
        <v>1197</v>
      </c>
      <c r="D2429" s="561">
        <v>255277</v>
      </c>
      <c r="E2429" s="561">
        <v>76200</v>
      </c>
      <c r="F2429" s="561">
        <v>179077</v>
      </c>
      <c r="G2429" s="561">
        <v>3646</v>
      </c>
      <c r="H2429" s="561">
        <v>267295.17300000001</v>
      </c>
      <c r="I2429" s="561">
        <v>22</v>
      </c>
      <c r="J2429" s="561">
        <v>10658.26</v>
      </c>
      <c r="K2429" s="561">
        <v>3624</v>
      </c>
      <c r="L2429" s="561">
        <v>255277</v>
      </c>
      <c r="M2429" s="561">
        <v>255277</v>
      </c>
      <c r="N2429" s="561">
        <v>76200</v>
      </c>
    </row>
    <row r="2430" spans="1:38">
      <c r="C2430" s="561" t="s">
        <v>1198</v>
      </c>
      <c r="G2430" s="561">
        <v>1</v>
      </c>
      <c r="H2430" s="561">
        <v>224.86799999999999</v>
      </c>
      <c r="I2430" s="561">
        <v>1</v>
      </c>
      <c r="J2430" s="561">
        <v>157.40799999999999</v>
      </c>
      <c r="K2430" s="561">
        <v>0</v>
      </c>
      <c r="L2430" s="561">
        <v>0</v>
      </c>
      <c r="N2430" s="561">
        <v>0</v>
      </c>
    </row>
    <row r="2431" spans="1:38">
      <c r="C2431" s="561" t="s">
        <v>1199</v>
      </c>
      <c r="D2431" s="561">
        <v>19899</v>
      </c>
      <c r="E2431" s="561">
        <v>5969.7</v>
      </c>
      <c r="F2431" s="561">
        <v>13929.3</v>
      </c>
      <c r="G2431" s="561">
        <v>1015</v>
      </c>
      <c r="H2431" s="561">
        <v>20413.594000000001</v>
      </c>
      <c r="I2431" s="561">
        <v>7</v>
      </c>
      <c r="J2431" s="561">
        <v>333.065</v>
      </c>
      <c r="K2431" s="561">
        <v>1008</v>
      </c>
      <c r="L2431" s="561">
        <v>19899</v>
      </c>
      <c r="M2431" s="561">
        <v>19899</v>
      </c>
      <c r="N2431" s="561">
        <v>5969.7</v>
      </c>
      <c r="AL2431" s="561">
        <v>13929.3</v>
      </c>
    </row>
    <row r="2432" spans="1:38">
      <c r="C2432" s="561" t="s">
        <v>1200</v>
      </c>
      <c r="L2432" s="561">
        <v>0</v>
      </c>
      <c r="N2432" s="561">
        <v>0</v>
      </c>
    </row>
    <row r="2433" spans="1:38">
      <c r="A2433" s="561">
        <v>20</v>
      </c>
      <c r="B2433" s="561" t="s">
        <v>1440</v>
      </c>
      <c r="C2433" s="561" t="s">
        <v>1206</v>
      </c>
      <c r="D2433" s="561">
        <v>47104.12</v>
      </c>
      <c r="E2433" s="561">
        <v>25759.200000000001</v>
      </c>
      <c r="F2433" s="561">
        <v>21344.920000000002</v>
      </c>
      <c r="G2433" s="561">
        <v>1021</v>
      </c>
      <c r="H2433" s="561">
        <v>51338.548999999999</v>
      </c>
      <c r="I2433" s="561">
        <v>45</v>
      </c>
      <c r="J2433" s="561">
        <v>4234.4290000000001</v>
      </c>
      <c r="K2433" s="561">
        <v>976</v>
      </c>
      <c r="L2433" s="561">
        <v>47104.12</v>
      </c>
      <c r="M2433" s="561">
        <v>47104.12</v>
      </c>
      <c r="N2433" s="561">
        <v>25759.200000000001</v>
      </c>
      <c r="O2433" s="561">
        <v>0</v>
      </c>
      <c r="P2433" s="561">
        <v>21344.920000000002</v>
      </c>
    </row>
    <row r="2434" spans="1:38">
      <c r="C2434" s="561" t="s">
        <v>1197</v>
      </c>
      <c r="D2434" s="561">
        <v>41413.158000000003</v>
      </c>
      <c r="E2434" s="561">
        <v>22950</v>
      </c>
      <c r="F2434" s="561">
        <v>18463.158000000003</v>
      </c>
      <c r="G2434" s="561">
        <v>614</v>
      </c>
      <c r="H2434" s="561">
        <v>44850.775000000001</v>
      </c>
      <c r="I2434" s="561">
        <v>12</v>
      </c>
      <c r="J2434" s="561">
        <v>3437.6170000000002</v>
      </c>
      <c r="K2434" s="561">
        <v>602</v>
      </c>
      <c r="L2434" s="561">
        <v>41413.158000000003</v>
      </c>
      <c r="M2434" s="561">
        <v>41413.158000000003</v>
      </c>
      <c r="N2434" s="561">
        <v>22950</v>
      </c>
    </row>
    <row r="2435" spans="1:38">
      <c r="C2435" s="561" t="s">
        <v>1198</v>
      </c>
      <c r="L2435" s="561">
        <v>0</v>
      </c>
      <c r="N2435" s="561">
        <v>0</v>
      </c>
    </row>
    <row r="2436" spans="1:38">
      <c r="C2436" s="561" t="s">
        <v>1199</v>
      </c>
      <c r="D2436" s="561">
        <v>5690.9619999999995</v>
      </c>
      <c r="E2436" s="561">
        <v>2809.2</v>
      </c>
      <c r="F2436" s="561">
        <v>2881.7619999999997</v>
      </c>
      <c r="G2436" s="561">
        <v>407</v>
      </c>
      <c r="H2436" s="561">
        <v>6487.7740000000003</v>
      </c>
      <c r="I2436" s="561">
        <v>33</v>
      </c>
      <c r="J2436" s="561">
        <v>796.81200000000001</v>
      </c>
      <c r="K2436" s="561">
        <v>374</v>
      </c>
      <c r="L2436" s="561">
        <v>5690.9619999999995</v>
      </c>
      <c r="M2436" s="561">
        <v>5690.9619999999995</v>
      </c>
      <c r="N2436" s="561">
        <v>2809.2</v>
      </c>
      <c r="AL2436" s="561">
        <v>2881.7619999999997</v>
      </c>
    </row>
    <row r="2437" spans="1:38">
      <c r="C2437" s="561" t="s">
        <v>1200</v>
      </c>
      <c r="L2437" s="561">
        <v>0</v>
      </c>
      <c r="N2437" s="561">
        <v>0</v>
      </c>
    </row>
    <row r="2438" spans="1:38">
      <c r="B2438" s="561" t="s">
        <v>1441</v>
      </c>
      <c r="C2438" s="561" t="s">
        <v>1206</v>
      </c>
      <c r="D2438" s="561">
        <v>40499.168000000005</v>
      </c>
      <c r="E2438" s="561">
        <v>11627.964</v>
      </c>
      <c r="F2438" s="561">
        <v>28871.204000000002</v>
      </c>
      <c r="G2438" s="561">
        <v>861</v>
      </c>
      <c r="H2438" s="561">
        <v>44517.676999999996</v>
      </c>
      <c r="I2438" s="561">
        <v>7</v>
      </c>
      <c r="J2438" s="561">
        <v>1238.335</v>
      </c>
      <c r="K2438" s="561">
        <v>854</v>
      </c>
      <c r="L2438" s="561">
        <v>40499.168000000005</v>
      </c>
      <c r="M2438" s="561">
        <v>40499.168000000005</v>
      </c>
      <c r="N2438" s="561">
        <v>11627.964</v>
      </c>
      <c r="O2438" s="561">
        <v>0</v>
      </c>
      <c r="P2438" s="561">
        <v>28871.204000000002</v>
      </c>
    </row>
    <row r="2439" spans="1:38">
      <c r="C2439" s="561" t="s">
        <v>1197</v>
      </c>
      <c r="D2439" s="561">
        <v>35194.542000000001</v>
      </c>
      <c r="E2439" s="561">
        <v>10526.053</v>
      </c>
      <c r="F2439" s="561">
        <v>24668.489000000001</v>
      </c>
      <c r="G2439" s="561">
        <v>467</v>
      </c>
      <c r="H2439" s="561">
        <v>37884.442999999999</v>
      </c>
      <c r="I2439" s="561">
        <v>3</v>
      </c>
      <c r="J2439" s="561">
        <v>1181.1890000000001</v>
      </c>
      <c r="K2439" s="561">
        <v>464</v>
      </c>
      <c r="L2439" s="561">
        <v>35194.542000000001</v>
      </c>
      <c r="M2439" s="561">
        <v>35194.542000000001</v>
      </c>
      <c r="N2439" s="561">
        <v>10526.053</v>
      </c>
    </row>
    <row r="2440" spans="1:38">
      <c r="C2440" s="561" t="s">
        <v>1198</v>
      </c>
      <c r="L2440" s="561">
        <v>0</v>
      </c>
      <c r="N2440" s="561">
        <v>0</v>
      </c>
    </row>
    <row r="2441" spans="1:38">
      <c r="C2441" s="561" t="s">
        <v>1199</v>
      </c>
      <c r="D2441" s="561">
        <v>5304.6260000000002</v>
      </c>
      <c r="E2441" s="561">
        <v>1101.9110000000001</v>
      </c>
      <c r="F2441" s="561">
        <v>4202.7150000000001</v>
      </c>
      <c r="G2441" s="561">
        <v>394</v>
      </c>
      <c r="H2441" s="561">
        <v>6633.2340000000004</v>
      </c>
      <c r="I2441" s="561">
        <v>4</v>
      </c>
      <c r="J2441" s="561">
        <v>57.146000000000001</v>
      </c>
      <c r="K2441" s="561">
        <v>390</v>
      </c>
      <c r="L2441" s="561">
        <v>5304.6260000000002</v>
      </c>
      <c r="M2441" s="561">
        <v>5304.6260000000002</v>
      </c>
      <c r="N2441" s="561">
        <v>1101.9110000000001</v>
      </c>
      <c r="AL2441" s="561">
        <v>4202.7150000000001</v>
      </c>
    </row>
    <row r="2442" spans="1:38">
      <c r="C2442" s="561" t="s">
        <v>1200</v>
      </c>
      <c r="L2442" s="561">
        <v>0</v>
      </c>
      <c r="N2442" s="561">
        <v>0</v>
      </c>
    </row>
    <row r="2443" spans="1:38">
      <c r="A2443" s="561">
        <v>21</v>
      </c>
      <c r="B2443" s="561" t="s">
        <v>1442</v>
      </c>
      <c r="C2443" s="561" t="s">
        <v>1206</v>
      </c>
      <c r="D2443" s="561">
        <v>253184</v>
      </c>
      <c r="E2443" s="561">
        <v>75801.899999999994</v>
      </c>
      <c r="F2443" s="561">
        <v>177382.09999999998</v>
      </c>
      <c r="G2443" s="561">
        <v>8091</v>
      </c>
      <c r="H2443" s="561">
        <v>267995.50199999998</v>
      </c>
      <c r="I2443" s="561">
        <v>198</v>
      </c>
      <c r="J2443" s="561">
        <v>11677.446</v>
      </c>
      <c r="K2443" s="561">
        <v>7893</v>
      </c>
      <c r="L2443" s="561">
        <v>253184</v>
      </c>
      <c r="M2443" s="561">
        <v>253184</v>
      </c>
      <c r="N2443" s="561">
        <v>75801.899999999994</v>
      </c>
      <c r="O2443" s="561">
        <v>0</v>
      </c>
      <c r="P2443" s="561">
        <v>177382.09999999998</v>
      </c>
    </row>
    <row r="2444" spans="1:38">
      <c r="C2444" s="561" t="s">
        <v>1197</v>
      </c>
      <c r="D2444" s="561">
        <v>194582.05499999999</v>
      </c>
      <c r="E2444" s="561">
        <v>60000</v>
      </c>
      <c r="F2444" s="561">
        <v>134582.05499999999</v>
      </c>
      <c r="G2444" s="561">
        <v>3405</v>
      </c>
      <c r="H2444" s="561">
        <v>202297.152</v>
      </c>
      <c r="I2444" s="561">
        <v>20</v>
      </c>
      <c r="J2444" s="561">
        <v>7722.6769999999997</v>
      </c>
      <c r="K2444" s="561">
        <v>3385</v>
      </c>
      <c r="L2444" s="561">
        <v>194582.05499999999</v>
      </c>
      <c r="M2444" s="561">
        <v>194582.05499999999</v>
      </c>
      <c r="N2444" s="561">
        <v>60000</v>
      </c>
    </row>
    <row r="2445" spans="1:38">
      <c r="C2445" s="561" t="s">
        <v>1198</v>
      </c>
      <c r="G2445" s="561">
        <v>1</v>
      </c>
      <c r="H2445" s="561">
        <v>288.57</v>
      </c>
      <c r="I2445" s="561">
        <v>1</v>
      </c>
      <c r="J2445" s="561">
        <v>288.57</v>
      </c>
      <c r="K2445" s="561">
        <v>0</v>
      </c>
      <c r="L2445" s="561">
        <v>0</v>
      </c>
      <c r="N2445" s="561">
        <v>0</v>
      </c>
    </row>
    <row r="2446" spans="1:38">
      <c r="C2446" s="561" t="s">
        <v>1199</v>
      </c>
      <c r="D2446" s="561">
        <v>58601.945</v>
      </c>
      <c r="E2446" s="561">
        <v>15801.9</v>
      </c>
      <c r="F2446" s="561">
        <v>42800.044999999998</v>
      </c>
      <c r="G2446" s="561">
        <v>4685</v>
      </c>
      <c r="H2446" s="561">
        <v>65409.78</v>
      </c>
      <c r="I2446" s="561">
        <v>177</v>
      </c>
      <c r="J2446" s="561">
        <v>3666.1990000000001</v>
      </c>
      <c r="K2446" s="561">
        <v>4508</v>
      </c>
      <c r="L2446" s="561">
        <v>58601.945</v>
      </c>
      <c r="M2446" s="561">
        <v>58601.945</v>
      </c>
      <c r="N2446" s="561">
        <v>15801.9</v>
      </c>
      <c r="AL2446" s="561">
        <v>42800.044999999998</v>
      </c>
    </row>
    <row r="2447" spans="1:38">
      <c r="C2447" s="561" t="s">
        <v>1200</v>
      </c>
      <c r="L2447" s="561">
        <v>0</v>
      </c>
      <c r="N2447" s="561">
        <v>0</v>
      </c>
    </row>
    <row r="2448" spans="1:38">
      <c r="A2448" s="561">
        <v>22</v>
      </c>
      <c r="B2448" s="561" t="s">
        <v>1443</v>
      </c>
      <c r="C2448" s="561" t="s">
        <v>1206</v>
      </c>
      <c r="D2448" s="561">
        <v>130690</v>
      </c>
      <c r="E2448" s="561">
        <v>34907.4</v>
      </c>
      <c r="F2448" s="561">
        <v>95782.6</v>
      </c>
      <c r="G2448" s="561">
        <v>3024</v>
      </c>
      <c r="H2448" s="561">
        <v>136017.84899999999</v>
      </c>
      <c r="I2448" s="561">
        <v>15</v>
      </c>
      <c r="J2448" s="561">
        <v>4010.453</v>
      </c>
      <c r="K2448" s="561">
        <v>3009</v>
      </c>
      <c r="L2448" s="561">
        <v>130690</v>
      </c>
      <c r="M2448" s="561">
        <v>130690</v>
      </c>
      <c r="N2448" s="561">
        <v>34907.4</v>
      </c>
      <c r="O2448" s="561">
        <v>0</v>
      </c>
      <c r="P2448" s="561">
        <v>95782.6</v>
      </c>
    </row>
    <row r="2449" spans="1:38">
      <c r="C2449" s="561" t="s">
        <v>1197</v>
      </c>
      <c r="D2449" s="561">
        <v>106532</v>
      </c>
      <c r="E2449" s="561">
        <v>29640</v>
      </c>
      <c r="F2449" s="561">
        <v>76892</v>
      </c>
      <c r="G2449" s="561">
        <v>1556</v>
      </c>
      <c r="H2449" s="561">
        <v>110594.685</v>
      </c>
      <c r="I2449" s="561">
        <v>12</v>
      </c>
      <c r="J2449" s="561">
        <v>3798.0239999999999</v>
      </c>
      <c r="K2449" s="561">
        <v>1544</v>
      </c>
      <c r="L2449" s="561">
        <v>106532</v>
      </c>
      <c r="M2449" s="561">
        <v>106532</v>
      </c>
      <c r="N2449" s="561">
        <v>29640</v>
      </c>
    </row>
    <row r="2450" spans="1:38">
      <c r="C2450" s="561" t="s">
        <v>1198</v>
      </c>
      <c r="L2450" s="561">
        <v>0</v>
      </c>
      <c r="N2450" s="561">
        <v>0</v>
      </c>
    </row>
    <row r="2451" spans="1:38">
      <c r="C2451" s="561" t="s">
        <v>1199</v>
      </c>
      <c r="D2451" s="561">
        <v>24158</v>
      </c>
      <c r="E2451" s="561">
        <v>5267.4</v>
      </c>
      <c r="F2451" s="561">
        <v>18890.599999999999</v>
      </c>
      <c r="G2451" s="561">
        <v>1468</v>
      </c>
      <c r="H2451" s="561">
        <v>25423.164000000001</v>
      </c>
      <c r="I2451" s="561">
        <v>3</v>
      </c>
      <c r="J2451" s="561">
        <v>212.429</v>
      </c>
      <c r="K2451" s="561">
        <v>1465</v>
      </c>
      <c r="L2451" s="561">
        <v>24158</v>
      </c>
      <c r="M2451" s="561">
        <v>24158</v>
      </c>
      <c r="N2451" s="561">
        <v>5267.4</v>
      </c>
      <c r="AL2451" s="561">
        <v>18890.599999999999</v>
      </c>
    </row>
    <row r="2452" spans="1:38">
      <c r="C2452" s="561" t="s">
        <v>1200</v>
      </c>
      <c r="L2452" s="561">
        <v>0</v>
      </c>
      <c r="N2452" s="561">
        <v>0</v>
      </c>
    </row>
    <row r="2453" spans="1:38">
      <c r="A2453" s="561">
        <v>23</v>
      </c>
      <c r="B2453" s="561" t="s">
        <v>1444</v>
      </c>
      <c r="C2453" s="561" t="s">
        <v>1206</v>
      </c>
      <c r="D2453" s="561">
        <v>134747.84299999999</v>
      </c>
      <c r="E2453" s="561">
        <v>32629.200000000001</v>
      </c>
      <c r="F2453" s="561">
        <v>102118.64300000001</v>
      </c>
      <c r="G2453" s="561">
        <v>2774</v>
      </c>
      <c r="H2453" s="561">
        <v>139752.17799999999</v>
      </c>
      <c r="I2453" s="561">
        <v>56</v>
      </c>
      <c r="J2453" s="561">
        <v>5004.335</v>
      </c>
      <c r="K2453" s="561">
        <v>2718</v>
      </c>
      <c r="L2453" s="561">
        <v>134747.84299999999</v>
      </c>
      <c r="M2453" s="561">
        <v>134747.84299999999</v>
      </c>
      <c r="N2453" s="561">
        <v>32629.200000000001</v>
      </c>
      <c r="O2453" s="561">
        <v>0</v>
      </c>
      <c r="P2453" s="561">
        <v>102118.64300000001</v>
      </c>
    </row>
    <row r="2454" spans="1:38">
      <c r="C2454" s="561" t="s">
        <v>1197</v>
      </c>
      <c r="D2454" s="561">
        <v>122673.22900000001</v>
      </c>
      <c r="E2454" s="561">
        <v>29820</v>
      </c>
      <c r="F2454" s="561">
        <v>92853.229000000007</v>
      </c>
      <c r="G2454" s="561">
        <v>1938</v>
      </c>
      <c r="H2454" s="561">
        <v>127170.423</v>
      </c>
      <c r="I2454" s="561">
        <v>28</v>
      </c>
      <c r="J2454" s="561">
        <v>4497.1940000000004</v>
      </c>
      <c r="K2454" s="561">
        <v>1910</v>
      </c>
      <c r="L2454" s="561">
        <v>122673.22900000001</v>
      </c>
      <c r="M2454" s="561">
        <v>122673.22900000001</v>
      </c>
      <c r="N2454" s="561">
        <v>29820</v>
      </c>
    </row>
    <row r="2455" spans="1:38">
      <c r="C2455" s="561" t="s">
        <v>1198</v>
      </c>
      <c r="L2455" s="561">
        <v>0</v>
      </c>
      <c r="N2455" s="561">
        <v>0</v>
      </c>
    </row>
    <row r="2456" spans="1:38">
      <c r="C2456" s="561" t="s">
        <v>1199</v>
      </c>
      <c r="D2456" s="561">
        <v>12074.614</v>
      </c>
      <c r="E2456" s="561">
        <v>2809.2</v>
      </c>
      <c r="F2456" s="561">
        <v>9265.4140000000007</v>
      </c>
      <c r="G2456" s="561">
        <v>836</v>
      </c>
      <c r="H2456" s="561">
        <v>12581.754999999999</v>
      </c>
      <c r="I2456" s="561">
        <v>28</v>
      </c>
      <c r="J2456" s="561">
        <v>507.14100000000002</v>
      </c>
      <c r="K2456" s="561">
        <v>808</v>
      </c>
      <c r="L2456" s="561">
        <v>12074.614</v>
      </c>
      <c r="M2456" s="561">
        <v>12074.614</v>
      </c>
      <c r="N2456" s="561">
        <v>2809.2</v>
      </c>
      <c r="AL2456" s="561">
        <v>9265.4140000000007</v>
      </c>
    </row>
    <row r="2457" spans="1:38">
      <c r="C2457" s="561" t="s">
        <v>1200</v>
      </c>
      <c r="L2457" s="561">
        <v>0</v>
      </c>
      <c r="N2457" s="561">
        <v>0</v>
      </c>
    </row>
    <row r="2458" spans="1:38">
      <c r="A2458" s="561">
        <v>24</v>
      </c>
      <c r="B2458" s="561" t="s">
        <v>1445</v>
      </c>
      <c r="C2458" s="561" t="s">
        <v>1206</v>
      </c>
      <c r="D2458" s="561">
        <v>149492</v>
      </c>
      <c r="E2458" s="561">
        <v>42390</v>
      </c>
      <c r="F2458" s="561">
        <v>107102</v>
      </c>
      <c r="G2458" s="561">
        <v>5156</v>
      </c>
      <c r="H2458" s="561">
        <v>154188.40000000002</v>
      </c>
      <c r="I2458" s="561">
        <v>36</v>
      </c>
      <c r="J2458" s="561">
        <v>3991.5749999999998</v>
      </c>
      <c r="K2458" s="561">
        <v>5120</v>
      </c>
      <c r="L2458" s="561">
        <v>149492</v>
      </c>
      <c r="M2458" s="561">
        <v>149492</v>
      </c>
      <c r="N2458" s="561">
        <v>42390</v>
      </c>
      <c r="O2458" s="561">
        <v>0</v>
      </c>
      <c r="P2458" s="561">
        <v>107102</v>
      </c>
    </row>
    <row r="2459" spans="1:38">
      <c r="C2459" s="561" t="s">
        <v>1197</v>
      </c>
      <c r="D2459" s="561">
        <v>95692</v>
      </c>
      <c r="E2459" s="561">
        <v>27150</v>
      </c>
      <c r="F2459" s="561">
        <v>68542</v>
      </c>
      <c r="G2459" s="561">
        <v>1491</v>
      </c>
      <c r="H2459" s="561">
        <v>98882.267000000007</v>
      </c>
      <c r="I2459" s="561">
        <v>4</v>
      </c>
      <c r="J2459" s="561">
        <v>2749.1309999999999</v>
      </c>
      <c r="K2459" s="561">
        <v>1487</v>
      </c>
      <c r="L2459" s="561">
        <v>95692</v>
      </c>
      <c r="M2459" s="561">
        <v>95692</v>
      </c>
      <c r="N2459" s="561">
        <v>27150</v>
      </c>
    </row>
    <row r="2460" spans="1:38">
      <c r="C2460" s="561" t="s">
        <v>1198</v>
      </c>
      <c r="L2460" s="561">
        <v>0</v>
      </c>
      <c r="N2460" s="561">
        <v>0</v>
      </c>
    </row>
    <row r="2461" spans="1:38">
      <c r="C2461" s="561" t="s">
        <v>1199</v>
      </c>
      <c r="D2461" s="561">
        <v>53800</v>
      </c>
      <c r="E2461" s="561">
        <v>15240</v>
      </c>
      <c r="F2461" s="561">
        <v>38560</v>
      </c>
      <c r="G2461" s="561">
        <v>3665</v>
      </c>
      <c r="H2461" s="561">
        <v>55306.133000000002</v>
      </c>
      <c r="I2461" s="561">
        <v>32</v>
      </c>
      <c r="J2461" s="561">
        <v>1242.444</v>
      </c>
      <c r="K2461" s="561">
        <v>3633</v>
      </c>
      <c r="L2461" s="561">
        <v>53800</v>
      </c>
      <c r="M2461" s="561">
        <v>53800</v>
      </c>
      <c r="N2461" s="561">
        <v>15240</v>
      </c>
      <c r="AL2461" s="561">
        <v>38560</v>
      </c>
    </row>
    <row r="2462" spans="1:38">
      <c r="C2462" s="561" t="s">
        <v>1200</v>
      </c>
      <c r="L2462" s="561">
        <v>0</v>
      </c>
      <c r="N2462" s="561">
        <v>0</v>
      </c>
    </row>
    <row r="2463" spans="1:38">
      <c r="A2463" s="561">
        <v>25</v>
      </c>
      <c r="B2463" s="561" t="s">
        <v>1446</v>
      </c>
      <c r="C2463" s="561" t="s">
        <v>1206</v>
      </c>
      <c r="D2463" s="561">
        <v>121448</v>
      </c>
      <c r="E2463" s="561">
        <v>32776.800000000003</v>
      </c>
      <c r="F2463" s="561">
        <v>88671.2</v>
      </c>
      <c r="G2463" s="561">
        <v>3900</v>
      </c>
      <c r="H2463" s="561">
        <v>129780.27499999999</v>
      </c>
      <c r="I2463" s="561">
        <v>121</v>
      </c>
      <c r="J2463" s="561">
        <v>6253.9570000000003</v>
      </c>
      <c r="K2463" s="561">
        <v>3779</v>
      </c>
      <c r="L2463" s="561">
        <v>121448</v>
      </c>
      <c r="M2463" s="561">
        <v>121448</v>
      </c>
      <c r="N2463" s="561">
        <v>32776.800000000003</v>
      </c>
      <c r="O2463" s="561">
        <v>0</v>
      </c>
      <c r="P2463" s="561">
        <v>88671.2</v>
      </c>
    </row>
    <row r="2464" spans="1:38">
      <c r="C2464" s="561" t="s">
        <v>1197</v>
      </c>
      <c r="D2464" s="561">
        <v>77992</v>
      </c>
      <c r="E2464" s="561">
        <v>21540</v>
      </c>
      <c r="F2464" s="561">
        <v>56452</v>
      </c>
      <c r="G2464" s="561">
        <v>1080</v>
      </c>
      <c r="H2464" s="561">
        <v>83975.808999999994</v>
      </c>
      <c r="I2464" s="561">
        <v>25</v>
      </c>
      <c r="J2464" s="561">
        <v>4728.9859999999999</v>
      </c>
      <c r="K2464" s="561">
        <v>1055</v>
      </c>
      <c r="L2464" s="561">
        <v>77992</v>
      </c>
      <c r="M2464" s="561">
        <v>77992</v>
      </c>
      <c r="N2464" s="561">
        <v>21540</v>
      </c>
    </row>
    <row r="2465" spans="1:38">
      <c r="C2465" s="561" t="s">
        <v>1198</v>
      </c>
      <c r="L2465" s="561">
        <v>0</v>
      </c>
      <c r="N2465" s="561">
        <v>0</v>
      </c>
    </row>
    <row r="2466" spans="1:38">
      <c r="C2466" s="561" t="s">
        <v>1199</v>
      </c>
      <c r="D2466" s="561">
        <v>43456</v>
      </c>
      <c r="E2466" s="561">
        <v>11236.8</v>
      </c>
      <c r="F2466" s="561">
        <v>32219.200000000001</v>
      </c>
      <c r="G2466" s="561">
        <v>2820</v>
      </c>
      <c r="H2466" s="561">
        <v>45804.466</v>
      </c>
      <c r="I2466" s="561">
        <v>96</v>
      </c>
      <c r="J2466" s="561">
        <v>1524.971</v>
      </c>
      <c r="K2466" s="561">
        <v>2724</v>
      </c>
      <c r="L2466" s="561">
        <v>43456</v>
      </c>
      <c r="M2466" s="561">
        <v>43456</v>
      </c>
      <c r="N2466" s="561">
        <v>11236.8</v>
      </c>
      <c r="AL2466" s="561">
        <v>32219.200000000001</v>
      </c>
    </row>
    <row r="2467" spans="1:38">
      <c r="C2467" s="561" t="s">
        <v>1200</v>
      </c>
      <c r="L2467" s="561">
        <v>0</v>
      </c>
      <c r="N2467" s="561">
        <v>0</v>
      </c>
    </row>
    <row r="2468" spans="1:38">
      <c r="A2468" s="561">
        <v>26</v>
      </c>
      <c r="B2468" s="561" t="s">
        <v>1447</v>
      </c>
      <c r="C2468" s="561" t="s">
        <v>1206</v>
      </c>
      <c r="D2468" s="561">
        <v>107965</v>
      </c>
      <c r="E2468" s="561">
        <v>31693.8</v>
      </c>
      <c r="F2468" s="561">
        <v>76271.199999999997</v>
      </c>
      <c r="G2468" s="561">
        <v>2602</v>
      </c>
      <c r="H2468" s="561">
        <v>117340.56700000001</v>
      </c>
      <c r="I2468" s="561">
        <v>42</v>
      </c>
      <c r="J2468" s="561">
        <v>5286.9790000000003</v>
      </c>
      <c r="K2468" s="561">
        <v>2560</v>
      </c>
      <c r="L2468" s="561">
        <v>107965</v>
      </c>
      <c r="M2468" s="561">
        <v>107965</v>
      </c>
      <c r="N2468" s="561">
        <v>31693.8</v>
      </c>
      <c r="O2468" s="561">
        <v>0</v>
      </c>
      <c r="P2468" s="561">
        <v>76271.199999999997</v>
      </c>
    </row>
    <row r="2469" spans="1:38">
      <c r="C2469" s="561" t="s">
        <v>1197</v>
      </c>
      <c r="D2469" s="561">
        <v>91919</v>
      </c>
      <c r="E2469" s="561">
        <v>27480</v>
      </c>
      <c r="F2469" s="561">
        <v>64439</v>
      </c>
      <c r="G2469" s="561">
        <v>1495</v>
      </c>
      <c r="H2469" s="561">
        <v>100047.376</v>
      </c>
      <c r="I2469" s="561">
        <v>12</v>
      </c>
      <c r="J2469" s="561">
        <v>4301.91</v>
      </c>
      <c r="K2469" s="561">
        <v>1483</v>
      </c>
      <c r="L2469" s="561">
        <v>91919</v>
      </c>
      <c r="M2469" s="561">
        <v>91919</v>
      </c>
      <c r="N2469" s="561">
        <v>27480</v>
      </c>
    </row>
    <row r="2470" spans="1:38">
      <c r="C2470" s="561" t="s">
        <v>1198</v>
      </c>
      <c r="G2470" s="561">
        <v>1</v>
      </c>
      <c r="H2470" s="561">
        <v>189.792</v>
      </c>
      <c r="I2470" s="561">
        <v>1</v>
      </c>
      <c r="J2470" s="561">
        <v>189.792</v>
      </c>
      <c r="K2470" s="561">
        <v>0</v>
      </c>
      <c r="L2470" s="561">
        <v>0</v>
      </c>
      <c r="N2470" s="561">
        <v>0</v>
      </c>
    </row>
    <row r="2471" spans="1:38">
      <c r="C2471" s="561" t="s">
        <v>1199</v>
      </c>
      <c r="D2471" s="561">
        <v>16046</v>
      </c>
      <c r="E2471" s="561">
        <v>4213.8</v>
      </c>
      <c r="F2471" s="561">
        <v>11832.2</v>
      </c>
      <c r="G2471" s="561">
        <v>1106</v>
      </c>
      <c r="H2471" s="561">
        <v>17103.399000000001</v>
      </c>
      <c r="I2471" s="561">
        <v>29</v>
      </c>
      <c r="J2471" s="561">
        <v>795.27700000000004</v>
      </c>
      <c r="K2471" s="561">
        <v>1077</v>
      </c>
      <c r="L2471" s="561">
        <v>16046</v>
      </c>
      <c r="M2471" s="561">
        <v>16046</v>
      </c>
      <c r="N2471" s="561">
        <v>4213.8</v>
      </c>
      <c r="AL2471" s="561">
        <v>11832.2</v>
      </c>
    </row>
    <row r="2472" spans="1:38">
      <c r="C2472" s="561" t="s">
        <v>1200</v>
      </c>
      <c r="L2472" s="561">
        <v>0</v>
      </c>
      <c r="N2472" s="561">
        <v>0</v>
      </c>
    </row>
    <row r="2473" spans="1:38">
      <c r="A2473" s="561">
        <v>27</v>
      </c>
      <c r="B2473" s="561" t="s">
        <v>1448</v>
      </c>
      <c r="C2473" s="561" t="s">
        <v>1206</v>
      </c>
      <c r="D2473" s="561">
        <v>149321</v>
      </c>
      <c r="E2473" s="561">
        <v>33865.800000000003</v>
      </c>
      <c r="F2473" s="561">
        <v>115455.2</v>
      </c>
      <c r="G2473" s="561">
        <v>2931</v>
      </c>
      <c r="H2473" s="561">
        <v>157401.592</v>
      </c>
      <c r="I2473" s="561">
        <v>44</v>
      </c>
      <c r="J2473" s="561">
        <v>6137.768</v>
      </c>
      <c r="K2473" s="561">
        <v>2887</v>
      </c>
      <c r="L2473" s="561">
        <v>149321</v>
      </c>
      <c r="M2473" s="561">
        <v>149321</v>
      </c>
      <c r="N2473" s="561">
        <v>33865.800000000003</v>
      </c>
      <c r="O2473" s="561">
        <v>0</v>
      </c>
      <c r="P2473" s="561">
        <v>115455.2</v>
      </c>
    </row>
    <row r="2474" spans="1:38">
      <c r="C2474" s="561" t="s">
        <v>1197</v>
      </c>
      <c r="D2474" s="561">
        <v>131945</v>
      </c>
      <c r="E2474" s="561">
        <v>30003</v>
      </c>
      <c r="F2474" s="561">
        <v>101942</v>
      </c>
      <c r="G2474" s="561">
        <v>1862</v>
      </c>
      <c r="H2474" s="561">
        <v>139150.43</v>
      </c>
      <c r="I2474" s="561">
        <v>14</v>
      </c>
      <c r="J2474" s="561">
        <v>5700.5389999999998</v>
      </c>
      <c r="K2474" s="561">
        <v>1848</v>
      </c>
      <c r="L2474" s="561">
        <v>131945</v>
      </c>
      <c r="M2474" s="561">
        <v>131945</v>
      </c>
      <c r="N2474" s="561">
        <v>30003</v>
      </c>
    </row>
    <row r="2475" spans="1:38">
      <c r="C2475" s="561" t="s">
        <v>1198</v>
      </c>
      <c r="L2475" s="561">
        <v>0</v>
      </c>
      <c r="N2475" s="561">
        <v>0</v>
      </c>
    </row>
    <row r="2476" spans="1:38">
      <c r="C2476" s="561" t="s">
        <v>1199</v>
      </c>
      <c r="D2476" s="561">
        <v>17376</v>
      </c>
      <c r="E2476" s="561">
        <v>3862.8</v>
      </c>
      <c r="F2476" s="561">
        <v>13513.2</v>
      </c>
      <c r="G2476" s="561">
        <v>1069</v>
      </c>
      <c r="H2476" s="561">
        <v>18251.162</v>
      </c>
      <c r="I2476" s="561">
        <v>30</v>
      </c>
      <c r="J2476" s="561">
        <v>437.22899999999998</v>
      </c>
      <c r="K2476" s="561">
        <v>1039</v>
      </c>
      <c r="L2476" s="561">
        <v>17376</v>
      </c>
      <c r="M2476" s="561">
        <v>17376</v>
      </c>
      <c r="N2476" s="561">
        <v>3862.8</v>
      </c>
      <c r="AL2476" s="561">
        <v>13513.2</v>
      </c>
    </row>
    <row r="2477" spans="1:38">
      <c r="C2477" s="561" t="s">
        <v>1200</v>
      </c>
      <c r="L2477" s="561">
        <v>0</v>
      </c>
      <c r="N2477" s="561">
        <v>0</v>
      </c>
    </row>
    <row r="2478" spans="1:38">
      <c r="A2478" s="561">
        <v>28</v>
      </c>
      <c r="B2478" s="561" t="s">
        <v>1449</v>
      </c>
      <c r="C2478" s="561" t="s">
        <v>1206</v>
      </c>
      <c r="D2478" s="561">
        <v>152538</v>
      </c>
      <c r="E2478" s="561">
        <v>45313.8</v>
      </c>
      <c r="F2478" s="561">
        <v>107224.19999999998</v>
      </c>
      <c r="G2478" s="561">
        <v>3174</v>
      </c>
      <c r="H2478" s="561">
        <v>158989.261</v>
      </c>
      <c r="I2478" s="561">
        <v>34</v>
      </c>
      <c r="J2478" s="561">
        <v>6329.7179999999998</v>
      </c>
      <c r="K2478" s="561">
        <v>3140</v>
      </c>
      <c r="L2478" s="561">
        <v>152538</v>
      </c>
      <c r="M2478" s="561">
        <v>152538</v>
      </c>
      <c r="N2478" s="561">
        <v>45313.8</v>
      </c>
      <c r="O2478" s="561">
        <v>0</v>
      </c>
      <c r="P2478" s="561">
        <v>107224.19999999998</v>
      </c>
    </row>
    <row r="2479" spans="1:38">
      <c r="C2479" s="561" t="s">
        <v>1197</v>
      </c>
      <c r="D2479" s="561">
        <v>134789.04999999999</v>
      </c>
      <c r="E2479" s="561">
        <v>41100</v>
      </c>
      <c r="F2479" s="561">
        <v>93689.049999999988</v>
      </c>
      <c r="G2479" s="561">
        <v>2028</v>
      </c>
      <c r="H2479" s="561">
        <v>140544.24100000001</v>
      </c>
      <c r="I2479" s="561">
        <v>16</v>
      </c>
      <c r="J2479" s="561">
        <v>5633.6480000000001</v>
      </c>
      <c r="K2479" s="561">
        <v>2012</v>
      </c>
      <c r="L2479" s="561">
        <v>134789.04999999999</v>
      </c>
      <c r="M2479" s="561">
        <v>134789.04999999999</v>
      </c>
      <c r="N2479" s="561">
        <v>41100</v>
      </c>
    </row>
    <row r="2480" spans="1:38">
      <c r="C2480" s="561" t="s">
        <v>1198</v>
      </c>
      <c r="L2480" s="561">
        <v>0</v>
      </c>
      <c r="N2480" s="561">
        <v>0</v>
      </c>
    </row>
    <row r="2481" spans="1:38">
      <c r="C2481" s="561" t="s">
        <v>1199</v>
      </c>
      <c r="D2481" s="561">
        <v>17748.95</v>
      </c>
      <c r="E2481" s="561">
        <v>4213.8</v>
      </c>
      <c r="F2481" s="561">
        <v>13535.150000000001</v>
      </c>
      <c r="G2481" s="561">
        <v>1146</v>
      </c>
      <c r="H2481" s="561">
        <v>18445.02</v>
      </c>
      <c r="I2481" s="561">
        <v>18</v>
      </c>
      <c r="J2481" s="561">
        <v>696.07</v>
      </c>
      <c r="K2481" s="561">
        <v>1128</v>
      </c>
      <c r="L2481" s="561">
        <v>17748.95</v>
      </c>
      <c r="M2481" s="561">
        <v>17748.95</v>
      </c>
      <c r="N2481" s="561">
        <v>4213.8</v>
      </c>
      <c r="AL2481" s="561">
        <v>13535.150000000001</v>
      </c>
    </row>
    <row r="2482" spans="1:38">
      <c r="C2482" s="561" t="s">
        <v>1200</v>
      </c>
      <c r="L2482" s="561">
        <v>0</v>
      </c>
      <c r="N2482" s="561">
        <v>0</v>
      </c>
    </row>
    <row r="2483" spans="1:38">
      <c r="A2483" s="561">
        <v>29</v>
      </c>
      <c r="B2483" s="561" t="s">
        <v>1450</v>
      </c>
      <c r="C2483" s="561" t="s">
        <v>1206</v>
      </c>
      <c r="D2483" s="561">
        <v>164373</v>
      </c>
      <c r="E2483" s="561">
        <v>49254.3</v>
      </c>
      <c r="F2483" s="561">
        <v>115118.7</v>
      </c>
      <c r="G2483" s="561">
        <v>4556</v>
      </c>
      <c r="H2483" s="561">
        <v>172441.54300000001</v>
      </c>
      <c r="I2483" s="561">
        <v>240</v>
      </c>
      <c r="J2483" s="561">
        <v>7392.4679999999998</v>
      </c>
      <c r="K2483" s="561">
        <v>4316</v>
      </c>
      <c r="L2483" s="561">
        <v>164373</v>
      </c>
      <c r="M2483" s="561">
        <v>164373</v>
      </c>
      <c r="N2483" s="561">
        <v>49254.3</v>
      </c>
      <c r="O2483" s="561">
        <v>0</v>
      </c>
      <c r="P2483" s="561">
        <v>115118.7</v>
      </c>
    </row>
    <row r="2484" spans="1:38">
      <c r="C2484" s="561" t="s">
        <v>1197</v>
      </c>
      <c r="D2484" s="561">
        <v>135792</v>
      </c>
      <c r="E2484" s="561">
        <v>41880</v>
      </c>
      <c r="F2484" s="561">
        <v>93912</v>
      </c>
      <c r="G2484" s="561">
        <v>2238</v>
      </c>
      <c r="H2484" s="561">
        <v>140671.38500000001</v>
      </c>
      <c r="I2484" s="561">
        <v>23</v>
      </c>
      <c r="J2484" s="561">
        <v>4414.5709999999999</v>
      </c>
      <c r="K2484" s="561">
        <v>2215</v>
      </c>
      <c r="L2484" s="561">
        <v>135792</v>
      </c>
      <c r="M2484" s="561">
        <v>135792</v>
      </c>
      <c r="N2484" s="561">
        <v>41880</v>
      </c>
    </row>
    <row r="2485" spans="1:38">
      <c r="C2485" s="561" t="s">
        <v>1198</v>
      </c>
      <c r="L2485" s="561">
        <v>0</v>
      </c>
      <c r="N2485" s="561">
        <v>0</v>
      </c>
    </row>
    <row r="2486" spans="1:38">
      <c r="C2486" s="561" t="s">
        <v>1199</v>
      </c>
      <c r="D2486" s="561">
        <v>28581</v>
      </c>
      <c r="E2486" s="561">
        <v>7374.3</v>
      </c>
      <c r="F2486" s="561">
        <v>21206.7</v>
      </c>
      <c r="G2486" s="561">
        <v>2318</v>
      </c>
      <c r="H2486" s="561">
        <v>31770.157999999999</v>
      </c>
      <c r="I2486" s="561">
        <v>217</v>
      </c>
      <c r="J2486" s="561">
        <v>2977.8969999999999</v>
      </c>
      <c r="K2486" s="561">
        <v>2101</v>
      </c>
      <c r="L2486" s="561">
        <v>28581</v>
      </c>
      <c r="M2486" s="561">
        <v>28581</v>
      </c>
      <c r="N2486" s="561">
        <v>7374.3</v>
      </c>
      <c r="AL2486" s="561">
        <v>21206.7</v>
      </c>
    </row>
    <row r="2487" spans="1:38">
      <c r="C2487" s="561" t="s">
        <v>1200</v>
      </c>
      <c r="L2487" s="561">
        <v>0</v>
      </c>
      <c r="N2487" s="561">
        <v>0</v>
      </c>
    </row>
    <row r="2488" spans="1:38">
      <c r="A2488" s="561">
        <v>30</v>
      </c>
      <c r="B2488" s="561" t="s">
        <v>1451</v>
      </c>
      <c r="C2488" s="561" t="s">
        <v>1206</v>
      </c>
      <c r="D2488" s="561">
        <v>166580</v>
      </c>
      <c r="E2488" s="561">
        <v>49820.7</v>
      </c>
      <c r="F2488" s="561">
        <v>116759.29999999999</v>
      </c>
      <c r="G2488" s="561">
        <v>3464</v>
      </c>
      <c r="H2488" s="561">
        <v>176509.50400000002</v>
      </c>
      <c r="I2488" s="561">
        <v>106</v>
      </c>
      <c r="J2488" s="561">
        <v>9330.366</v>
      </c>
      <c r="K2488" s="561">
        <v>3358</v>
      </c>
      <c r="L2488" s="561">
        <v>166580</v>
      </c>
      <c r="M2488" s="561">
        <v>166580</v>
      </c>
      <c r="N2488" s="561">
        <v>49820.7</v>
      </c>
      <c r="O2488" s="561">
        <v>0</v>
      </c>
      <c r="P2488" s="561">
        <v>116759.29999999999</v>
      </c>
    </row>
    <row r="2489" spans="1:38">
      <c r="C2489" s="561" t="s">
        <v>1197</v>
      </c>
      <c r="D2489" s="561">
        <v>137891.00899999999</v>
      </c>
      <c r="E2489" s="561">
        <v>43500</v>
      </c>
      <c r="F2489" s="561">
        <v>94391.008999999991</v>
      </c>
      <c r="G2489" s="561">
        <v>1768</v>
      </c>
      <c r="H2489" s="561">
        <v>145768.641</v>
      </c>
      <c r="I2489" s="561">
        <v>18</v>
      </c>
      <c r="J2489" s="561">
        <v>7888.9620000000004</v>
      </c>
      <c r="K2489" s="561">
        <v>1750</v>
      </c>
      <c r="L2489" s="561">
        <v>137891.00899999999</v>
      </c>
      <c r="M2489" s="561">
        <v>137891.00899999999</v>
      </c>
      <c r="N2489" s="561">
        <v>43500</v>
      </c>
    </row>
    <row r="2490" spans="1:38">
      <c r="C2490" s="561" t="s">
        <v>1198</v>
      </c>
      <c r="L2490" s="561">
        <v>0</v>
      </c>
      <c r="N2490" s="561">
        <v>0</v>
      </c>
    </row>
    <row r="2491" spans="1:38">
      <c r="C2491" s="561" t="s">
        <v>1199</v>
      </c>
      <c r="D2491" s="561">
        <v>28688.991000000002</v>
      </c>
      <c r="E2491" s="561">
        <v>6320.7</v>
      </c>
      <c r="F2491" s="561">
        <v>22368.291000000001</v>
      </c>
      <c r="G2491" s="561">
        <v>1696</v>
      </c>
      <c r="H2491" s="561">
        <v>30740.863000000001</v>
      </c>
      <c r="I2491" s="561">
        <v>88</v>
      </c>
      <c r="J2491" s="561">
        <v>1441.404</v>
      </c>
      <c r="K2491" s="561">
        <v>1608</v>
      </c>
      <c r="L2491" s="561">
        <v>28688.991000000002</v>
      </c>
      <c r="M2491" s="561">
        <v>28688.991000000002</v>
      </c>
      <c r="N2491" s="561">
        <v>6320.7</v>
      </c>
      <c r="AL2491" s="561">
        <v>22368.291000000001</v>
      </c>
    </row>
    <row r="2492" spans="1:38">
      <c r="C2492" s="561" t="s">
        <v>1200</v>
      </c>
      <c r="L2492" s="561">
        <v>0</v>
      </c>
      <c r="N2492" s="561">
        <v>0</v>
      </c>
    </row>
    <row r="2493" spans="1:38">
      <c r="A2493" s="561">
        <v>31</v>
      </c>
      <c r="B2493" s="561" t="s">
        <v>1452</v>
      </c>
      <c r="C2493" s="561" t="s">
        <v>1206</v>
      </c>
      <c r="D2493" s="561">
        <v>296699.68800000002</v>
      </c>
      <c r="E2493" s="561">
        <v>89588.1</v>
      </c>
      <c r="F2493" s="561">
        <v>207111.58800000002</v>
      </c>
      <c r="G2493" s="561">
        <v>7346</v>
      </c>
      <c r="H2493" s="561">
        <v>304126.97100000002</v>
      </c>
      <c r="I2493" s="561">
        <v>21</v>
      </c>
      <c r="J2493" s="561">
        <v>7427.2829999999994</v>
      </c>
      <c r="K2493" s="561">
        <v>7325</v>
      </c>
      <c r="L2493" s="561">
        <v>296699.68800000002</v>
      </c>
      <c r="M2493" s="561">
        <v>296699.68800000002</v>
      </c>
      <c r="N2493" s="561">
        <v>89588.1</v>
      </c>
      <c r="O2493" s="561">
        <v>0</v>
      </c>
      <c r="P2493" s="561">
        <v>207111.58800000002</v>
      </c>
    </row>
    <row r="2494" spans="1:38">
      <c r="C2494" s="561" t="s">
        <v>1197</v>
      </c>
      <c r="D2494" s="561">
        <v>252156.98</v>
      </c>
      <c r="E2494" s="561">
        <v>78000</v>
      </c>
      <c r="F2494" s="561">
        <v>174156.98</v>
      </c>
      <c r="G2494" s="561">
        <v>4260</v>
      </c>
      <c r="H2494" s="561">
        <v>259285.40299999999</v>
      </c>
      <c r="I2494" s="561">
        <v>9</v>
      </c>
      <c r="J2494" s="561">
        <v>7128.4229999999998</v>
      </c>
      <c r="K2494" s="561">
        <v>4251</v>
      </c>
      <c r="L2494" s="561">
        <v>252156.98</v>
      </c>
      <c r="M2494" s="561">
        <v>252156.98</v>
      </c>
      <c r="N2494" s="561">
        <v>78000</v>
      </c>
    </row>
    <row r="2495" spans="1:38">
      <c r="C2495" s="561" t="s">
        <v>1198</v>
      </c>
      <c r="L2495" s="561">
        <v>0</v>
      </c>
      <c r="N2495" s="561">
        <v>0</v>
      </c>
    </row>
    <row r="2496" spans="1:38">
      <c r="C2496" s="561" t="s">
        <v>1199</v>
      </c>
      <c r="D2496" s="561">
        <v>44542.707999999999</v>
      </c>
      <c r="E2496" s="561">
        <v>11588.1</v>
      </c>
      <c r="F2496" s="561">
        <v>32954.608</v>
      </c>
      <c r="G2496" s="561">
        <v>3086</v>
      </c>
      <c r="H2496" s="561">
        <v>44841.567999999999</v>
      </c>
      <c r="I2496" s="561">
        <v>12</v>
      </c>
      <c r="J2496" s="561">
        <v>298.86</v>
      </c>
      <c r="K2496" s="561">
        <v>3074</v>
      </c>
      <c r="L2496" s="561">
        <v>44542.707999999999</v>
      </c>
      <c r="M2496" s="561">
        <v>44542.707999999999</v>
      </c>
      <c r="N2496" s="561">
        <v>11588.1</v>
      </c>
      <c r="AL2496" s="561">
        <v>32954.608</v>
      </c>
    </row>
    <row r="2497" spans="1:78">
      <c r="C2497" s="561" t="s">
        <v>1200</v>
      </c>
      <c r="L2497" s="561">
        <v>0</v>
      </c>
      <c r="N2497" s="561">
        <v>0</v>
      </c>
    </row>
    <row r="2498" spans="1:78">
      <c r="A2498" s="561">
        <v>32</v>
      </c>
      <c r="B2498" s="561" t="s">
        <v>1453</v>
      </c>
      <c r="C2498" s="561" t="s">
        <v>1206</v>
      </c>
      <c r="D2498" s="561">
        <v>34429</v>
      </c>
      <c r="E2498" s="561">
        <v>10328.700000000001</v>
      </c>
      <c r="F2498" s="561">
        <v>24100.3</v>
      </c>
      <c r="G2498" s="561">
        <v>656</v>
      </c>
      <c r="H2498" s="561">
        <v>36822.606</v>
      </c>
      <c r="I2498" s="561">
        <v>1</v>
      </c>
      <c r="J2498" s="561">
        <v>2309.5350000000003</v>
      </c>
      <c r="K2498" s="561">
        <v>655</v>
      </c>
      <c r="L2498" s="561">
        <v>34429</v>
      </c>
      <c r="M2498" s="561">
        <v>34429</v>
      </c>
      <c r="N2498" s="561">
        <v>10328.700000000001</v>
      </c>
      <c r="O2498" s="561">
        <v>0</v>
      </c>
      <c r="P2498" s="561">
        <v>24100.3</v>
      </c>
    </row>
    <row r="2499" spans="1:78">
      <c r="C2499" s="561" t="s">
        <v>1197</v>
      </c>
      <c r="D2499" s="561">
        <v>29101.100999999999</v>
      </c>
      <c r="E2499" s="561">
        <v>9240</v>
      </c>
      <c r="F2499" s="561">
        <v>19861.100999999999</v>
      </c>
      <c r="G2499" s="561">
        <v>357</v>
      </c>
      <c r="H2499" s="561">
        <v>31363.626</v>
      </c>
      <c r="I2499" s="561">
        <v>1</v>
      </c>
      <c r="J2499" s="561">
        <v>2178.4540000000002</v>
      </c>
      <c r="K2499" s="561">
        <v>356</v>
      </c>
      <c r="L2499" s="561">
        <v>29101.100999999999</v>
      </c>
      <c r="M2499" s="561">
        <v>29101.100999999999</v>
      </c>
      <c r="N2499" s="561">
        <v>9240</v>
      </c>
    </row>
    <row r="2500" spans="1:78">
      <c r="C2500" s="561" t="s">
        <v>1198</v>
      </c>
      <c r="L2500" s="561">
        <v>0</v>
      </c>
      <c r="N2500" s="561">
        <v>0</v>
      </c>
    </row>
    <row r="2501" spans="1:78">
      <c r="C2501" s="561" t="s">
        <v>1199</v>
      </c>
      <c r="D2501" s="561">
        <v>5327.8990000000003</v>
      </c>
      <c r="E2501" s="561">
        <v>1088.7</v>
      </c>
      <c r="F2501" s="561">
        <v>4239.1990000000005</v>
      </c>
      <c r="G2501" s="561">
        <v>299</v>
      </c>
      <c r="H2501" s="561">
        <v>5458.98</v>
      </c>
      <c r="I2501" s="561">
        <v>0</v>
      </c>
      <c r="J2501" s="561">
        <v>131.08099999999999</v>
      </c>
      <c r="K2501" s="561">
        <v>299</v>
      </c>
      <c r="L2501" s="561">
        <v>5327.8990000000003</v>
      </c>
      <c r="M2501" s="561">
        <v>5327.8990000000003</v>
      </c>
      <c r="N2501" s="561">
        <v>1088.7</v>
      </c>
      <c r="P2501" s="561">
        <v>4239.1990000000005</v>
      </c>
    </row>
    <row r="2502" spans="1:78">
      <c r="C2502" s="561" t="s">
        <v>1200</v>
      </c>
      <c r="L2502" s="561">
        <v>0</v>
      </c>
      <c r="N2502" s="561">
        <v>0</v>
      </c>
    </row>
    <row r="2503" spans="1:78">
      <c r="A2503" s="561">
        <v>33</v>
      </c>
      <c r="B2503" s="561" t="s">
        <v>1454</v>
      </c>
      <c r="C2503" s="561" t="s">
        <v>1206</v>
      </c>
      <c r="D2503" s="561">
        <v>7837.4189999999999</v>
      </c>
      <c r="E2503" s="561">
        <v>2352.6</v>
      </c>
      <c r="F2503" s="561">
        <v>5484.8189999999995</v>
      </c>
      <c r="G2503" s="561">
        <v>485</v>
      </c>
      <c r="H2503" s="561">
        <v>7922.0259999999998</v>
      </c>
      <c r="I2503" s="561">
        <v>0</v>
      </c>
      <c r="J2503" s="561">
        <v>84.606999999999999</v>
      </c>
      <c r="K2503" s="561">
        <v>485</v>
      </c>
      <c r="L2503" s="561">
        <v>7837.4189999999999</v>
      </c>
      <c r="M2503" s="561">
        <v>7837.4189999999999</v>
      </c>
      <c r="N2503" s="561">
        <v>2352.6</v>
      </c>
      <c r="O2503" s="561">
        <v>0</v>
      </c>
      <c r="P2503" s="561">
        <v>5484.8189999999995</v>
      </c>
    </row>
    <row r="2504" spans="1:78">
      <c r="C2504" s="561" t="s">
        <v>1197</v>
      </c>
      <c r="L2504" s="561">
        <v>0</v>
      </c>
      <c r="N2504" s="561">
        <v>0</v>
      </c>
    </row>
    <row r="2505" spans="1:78">
      <c r="C2505" s="561" t="s">
        <v>1198</v>
      </c>
      <c r="L2505" s="561">
        <v>0</v>
      </c>
      <c r="N2505" s="561">
        <v>0</v>
      </c>
    </row>
    <row r="2506" spans="1:78">
      <c r="C2506" s="561" t="s">
        <v>1199</v>
      </c>
      <c r="D2506" s="561">
        <v>7837.4189999999999</v>
      </c>
      <c r="E2506" s="561">
        <v>2352.6</v>
      </c>
      <c r="F2506" s="561">
        <v>5484.8189999999995</v>
      </c>
      <c r="G2506" s="561">
        <v>485</v>
      </c>
      <c r="H2506" s="561">
        <v>7922.0259999999998</v>
      </c>
      <c r="I2506" s="561">
        <v>0</v>
      </c>
      <c r="J2506" s="561">
        <v>84.606999999999999</v>
      </c>
      <c r="K2506" s="561">
        <v>485</v>
      </c>
      <c r="L2506" s="561">
        <v>7837.4189999999999</v>
      </c>
      <c r="M2506" s="561">
        <v>7837.4189999999999</v>
      </c>
      <c r="N2506" s="561">
        <v>2352.6</v>
      </c>
      <c r="BZ2506" s="561">
        <v>5484.8189999999995</v>
      </c>
    </row>
    <row r="2507" spans="1:78">
      <c r="C2507" s="561" t="s">
        <v>1200</v>
      </c>
      <c r="L2507" s="561">
        <v>0</v>
      </c>
      <c r="N2507" s="561">
        <v>0</v>
      </c>
    </row>
    <row r="2508" spans="1:78">
      <c r="A2508" s="561">
        <v>34</v>
      </c>
      <c r="B2508" s="561" t="s">
        <v>1455</v>
      </c>
      <c r="C2508" s="561" t="s">
        <v>1206</v>
      </c>
      <c r="D2508" s="561">
        <v>10364</v>
      </c>
      <c r="E2508" s="561">
        <v>2809.2</v>
      </c>
      <c r="F2508" s="561">
        <v>7554.8</v>
      </c>
      <c r="G2508" s="561">
        <v>748</v>
      </c>
      <c r="H2508" s="561">
        <v>11008.593999999999</v>
      </c>
      <c r="I2508" s="561">
        <v>18</v>
      </c>
      <c r="J2508" s="561">
        <v>466.99099999999999</v>
      </c>
      <c r="K2508" s="561">
        <v>730</v>
      </c>
      <c r="L2508" s="561">
        <v>10364</v>
      </c>
      <c r="M2508" s="561">
        <v>10364</v>
      </c>
      <c r="N2508" s="561">
        <v>2809.2</v>
      </c>
      <c r="O2508" s="561">
        <v>0</v>
      </c>
      <c r="P2508" s="561">
        <v>7554.8</v>
      </c>
    </row>
    <row r="2509" spans="1:78">
      <c r="C2509" s="561" t="s">
        <v>1197</v>
      </c>
      <c r="L2509" s="561">
        <v>0</v>
      </c>
      <c r="N2509" s="561">
        <v>0</v>
      </c>
    </row>
    <row r="2510" spans="1:78">
      <c r="C2510" s="561" t="s">
        <v>1198</v>
      </c>
      <c r="L2510" s="561">
        <v>0</v>
      </c>
      <c r="N2510" s="561">
        <v>0</v>
      </c>
    </row>
    <row r="2511" spans="1:78">
      <c r="C2511" s="561" t="s">
        <v>1199</v>
      </c>
      <c r="D2511" s="561">
        <v>10364</v>
      </c>
      <c r="E2511" s="561">
        <v>2809.2</v>
      </c>
      <c r="F2511" s="561">
        <v>7554.8</v>
      </c>
      <c r="G2511" s="561">
        <v>748</v>
      </c>
      <c r="H2511" s="561">
        <v>11008.593999999999</v>
      </c>
      <c r="I2511" s="561">
        <v>18</v>
      </c>
      <c r="J2511" s="561">
        <v>466.99099999999999</v>
      </c>
      <c r="K2511" s="561">
        <v>730</v>
      </c>
      <c r="L2511" s="561">
        <v>10364</v>
      </c>
      <c r="M2511" s="561">
        <v>10364</v>
      </c>
      <c r="N2511" s="561">
        <v>2809.2</v>
      </c>
      <c r="BZ2511" s="561">
        <v>7554.8</v>
      </c>
    </row>
    <row r="2512" spans="1:78">
      <c r="C2512" s="561" t="s">
        <v>1200</v>
      </c>
      <c r="L2512" s="561">
        <v>0</v>
      </c>
      <c r="N2512" s="561">
        <v>0</v>
      </c>
    </row>
    <row r="2513" spans="1:78">
      <c r="A2513" s="561">
        <v>35</v>
      </c>
      <c r="B2513" s="561" t="s">
        <v>1456</v>
      </c>
      <c r="C2513" s="561" t="s">
        <v>1206</v>
      </c>
      <c r="D2513" s="561">
        <v>9247</v>
      </c>
      <c r="E2513" s="561">
        <v>2774.1</v>
      </c>
      <c r="F2513" s="561">
        <v>6472.9</v>
      </c>
      <c r="G2513" s="561">
        <v>741</v>
      </c>
      <c r="H2513" s="561">
        <v>9317.7569999999996</v>
      </c>
      <c r="I2513" s="561">
        <v>1</v>
      </c>
      <c r="J2513" s="561">
        <v>56.042000000000002</v>
      </c>
      <c r="K2513" s="561">
        <v>740</v>
      </c>
      <c r="L2513" s="561">
        <v>9247</v>
      </c>
      <c r="M2513" s="561">
        <v>9247</v>
      </c>
      <c r="N2513" s="561">
        <v>2774.1</v>
      </c>
      <c r="O2513" s="561">
        <v>0</v>
      </c>
      <c r="P2513" s="561">
        <v>6472.9</v>
      </c>
    </row>
    <row r="2514" spans="1:78">
      <c r="C2514" s="561" t="s">
        <v>1197</v>
      </c>
      <c r="L2514" s="561">
        <v>0</v>
      </c>
      <c r="N2514" s="561">
        <v>0</v>
      </c>
    </row>
    <row r="2515" spans="1:78">
      <c r="C2515" s="561" t="s">
        <v>1198</v>
      </c>
      <c r="L2515" s="561">
        <v>0</v>
      </c>
      <c r="N2515" s="561">
        <v>0</v>
      </c>
    </row>
    <row r="2516" spans="1:78">
      <c r="C2516" s="561" t="s">
        <v>1199</v>
      </c>
      <c r="D2516" s="561">
        <v>9247</v>
      </c>
      <c r="E2516" s="561">
        <v>2774.1</v>
      </c>
      <c r="F2516" s="561">
        <v>6472.9</v>
      </c>
      <c r="G2516" s="561">
        <v>741</v>
      </c>
      <c r="H2516" s="561">
        <v>9317.7569999999996</v>
      </c>
      <c r="I2516" s="561">
        <v>1</v>
      </c>
      <c r="J2516" s="561">
        <v>56.042000000000002</v>
      </c>
      <c r="K2516" s="561">
        <v>740</v>
      </c>
      <c r="L2516" s="561">
        <v>9247</v>
      </c>
      <c r="M2516" s="561">
        <v>9247</v>
      </c>
      <c r="N2516" s="561">
        <v>2774.1</v>
      </c>
      <c r="BZ2516" s="561">
        <v>6472.9</v>
      </c>
    </row>
    <row r="2517" spans="1:78">
      <c r="C2517" s="561" t="s">
        <v>1200</v>
      </c>
      <c r="L2517" s="561">
        <v>0</v>
      </c>
      <c r="N2517" s="561">
        <v>0</v>
      </c>
    </row>
    <row r="2518" spans="1:78">
      <c r="A2518" s="561">
        <v>36</v>
      </c>
      <c r="B2518" s="561" t="s">
        <v>1457</v>
      </c>
      <c r="C2518" s="561" t="s">
        <v>1206</v>
      </c>
      <c r="D2518" s="561">
        <v>1072769.132</v>
      </c>
      <c r="E2518" s="561">
        <v>286565.09999999998</v>
      </c>
      <c r="F2518" s="561">
        <v>786204.03199999989</v>
      </c>
      <c r="G2518" s="561">
        <v>11572</v>
      </c>
      <c r="H2518" s="561">
        <v>1109166.3359999999</v>
      </c>
      <c r="I2518" s="561">
        <v>29</v>
      </c>
      <c r="J2518" s="561">
        <v>35950.066999999995</v>
      </c>
      <c r="K2518" s="561">
        <v>11543</v>
      </c>
      <c r="L2518" s="561">
        <v>1072769.132</v>
      </c>
      <c r="M2518" s="561">
        <v>1072769.132</v>
      </c>
      <c r="N2518" s="561">
        <v>286565.09999999998</v>
      </c>
      <c r="O2518" s="561">
        <v>0</v>
      </c>
      <c r="P2518" s="561">
        <v>786204.03199999989</v>
      </c>
    </row>
    <row r="2519" spans="1:78">
      <c r="C2519" s="561" t="s">
        <v>1197</v>
      </c>
      <c r="D2519" s="561">
        <v>1013864.468</v>
      </c>
      <c r="E2519" s="561">
        <v>270900</v>
      </c>
      <c r="F2519" s="561">
        <v>742964.46799999999</v>
      </c>
      <c r="G2519" s="561">
        <v>10198</v>
      </c>
      <c r="H2519" s="561">
        <v>1049330.6029999999</v>
      </c>
      <c r="I2519" s="561">
        <v>27</v>
      </c>
      <c r="J2519" s="561">
        <v>35018.998</v>
      </c>
      <c r="K2519" s="561">
        <v>10171</v>
      </c>
      <c r="L2519" s="561">
        <v>1013864.468</v>
      </c>
      <c r="M2519" s="561">
        <v>1013864.468</v>
      </c>
      <c r="N2519" s="561">
        <v>270900</v>
      </c>
    </row>
    <row r="2520" spans="1:78">
      <c r="C2520" s="561" t="s">
        <v>1198</v>
      </c>
      <c r="D2520" s="561">
        <v>33889.989000000001</v>
      </c>
      <c r="E2520" s="561">
        <v>11100</v>
      </c>
      <c r="F2520" s="561">
        <v>22789.989000000001</v>
      </c>
      <c r="G2520" s="561">
        <v>80</v>
      </c>
      <c r="H2520" s="561">
        <v>34061.379000000001</v>
      </c>
      <c r="I2520" s="561">
        <v>0</v>
      </c>
      <c r="J2520" s="561">
        <v>171.39</v>
      </c>
      <c r="K2520" s="561">
        <v>80</v>
      </c>
      <c r="L2520" s="561">
        <v>33889.989000000001</v>
      </c>
      <c r="M2520" s="561">
        <v>33889.989000000001</v>
      </c>
      <c r="N2520" s="561">
        <v>11100</v>
      </c>
    </row>
    <row r="2521" spans="1:78">
      <c r="C2521" s="561" t="s">
        <v>1199</v>
      </c>
      <c r="D2521" s="561">
        <v>25014.674999999999</v>
      </c>
      <c r="E2521" s="561">
        <v>4565.1000000000004</v>
      </c>
      <c r="F2521" s="561">
        <v>20449.574999999997</v>
      </c>
      <c r="G2521" s="561">
        <v>1294</v>
      </c>
      <c r="H2521" s="561">
        <v>25774.353999999999</v>
      </c>
      <c r="I2521" s="561">
        <v>2</v>
      </c>
      <c r="J2521" s="561">
        <v>759.67899999999997</v>
      </c>
      <c r="K2521" s="561">
        <v>1292</v>
      </c>
      <c r="L2521" s="561">
        <v>25014.674999999999</v>
      </c>
      <c r="M2521" s="561">
        <v>25014.674999999999</v>
      </c>
      <c r="N2521" s="561">
        <v>4565.1000000000004</v>
      </c>
      <c r="AL2521" s="561">
        <v>20449.574999999997</v>
      </c>
    </row>
    <row r="2522" spans="1:78">
      <c r="C2522" s="561" t="s">
        <v>1200</v>
      </c>
      <c r="L2522" s="561">
        <v>0</v>
      </c>
      <c r="N2522" s="561">
        <v>0</v>
      </c>
    </row>
    <row r="2523" spans="1:78">
      <c r="A2523" s="561">
        <v>37</v>
      </c>
      <c r="B2523" s="561" t="s">
        <v>1458</v>
      </c>
      <c r="C2523" s="561" t="s">
        <v>1206</v>
      </c>
      <c r="D2523" s="561">
        <v>178772.66699999999</v>
      </c>
      <c r="E2523" s="561">
        <v>45600</v>
      </c>
      <c r="F2523" s="561">
        <v>133172.66699999999</v>
      </c>
      <c r="G2523" s="561">
        <v>3484</v>
      </c>
      <c r="H2523" s="561">
        <v>185203.45600000001</v>
      </c>
      <c r="I2523" s="561">
        <v>0</v>
      </c>
      <c r="J2523" s="561">
        <v>6453.5290000000005</v>
      </c>
      <c r="K2523" s="561">
        <v>3484</v>
      </c>
      <c r="L2523" s="561">
        <v>178772.66699999999</v>
      </c>
      <c r="M2523" s="561">
        <v>178772.66699999999</v>
      </c>
      <c r="N2523" s="561">
        <v>45600</v>
      </c>
      <c r="O2523" s="561">
        <v>0</v>
      </c>
      <c r="P2523" s="561">
        <v>133172.66699999999</v>
      </c>
    </row>
    <row r="2524" spans="1:78">
      <c r="C2524" s="561" t="s">
        <v>1197</v>
      </c>
      <c r="D2524" s="561">
        <v>178772.66699999999</v>
      </c>
      <c r="E2524" s="561">
        <v>45600</v>
      </c>
      <c r="F2524" s="561">
        <v>133172.66699999999</v>
      </c>
      <c r="G2524" s="561">
        <v>3484</v>
      </c>
      <c r="H2524" s="561">
        <v>185203.45600000001</v>
      </c>
      <c r="I2524" s="561">
        <v>0</v>
      </c>
      <c r="J2524" s="561">
        <v>6453.5290000000005</v>
      </c>
      <c r="K2524" s="561">
        <v>3484</v>
      </c>
      <c r="L2524" s="561">
        <v>178772.66699999999</v>
      </c>
      <c r="M2524" s="561">
        <v>178772.66699999999</v>
      </c>
      <c r="N2524" s="561">
        <v>45600</v>
      </c>
    </row>
    <row r="2525" spans="1:78">
      <c r="C2525" s="561" t="s">
        <v>1198</v>
      </c>
      <c r="L2525" s="561">
        <v>0</v>
      </c>
      <c r="N2525" s="561">
        <v>0</v>
      </c>
    </row>
    <row r="2526" spans="1:78">
      <c r="C2526" s="561" t="s">
        <v>1199</v>
      </c>
      <c r="L2526" s="561">
        <v>0</v>
      </c>
      <c r="N2526" s="561">
        <v>0</v>
      </c>
    </row>
    <row r="2527" spans="1:78">
      <c r="C2527" s="561" t="s">
        <v>1200</v>
      </c>
      <c r="L2527" s="561">
        <v>0</v>
      </c>
      <c r="N2527" s="561">
        <v>0</v>
      </c>
    </row>
    <row r="2528" spans="1:78">
      <c r="A2528" s="561">
        <v>38</v>
      </c>
      <c r="B2528" s="561" t="s">
        <v>1459</v>
      </c>
      <c r="C2528" s="561" t="s">
        <v>1206</v>
      </c>
      <c r="D2528" s="561">
        <v>298825.549</v>
      </c>
      <c r="E2528" s="561">
        <v>67500</v>
      </c>
      <c r="F2528" s="561">
        <v>231325.549</v>
      </c>
      <c r="G2528" s="561">
        <v>4165</v>
      </c>
      <c r="H2528" s="561">
        <v>313651.21299999999</v>
      </c>
      <c r="I2528" s="561">
        <v>3</v>
      </c>
      <c r="J2528" s="561">
        <v>14833.244000000001</v>
      </c>
      <c r="K2528" s="561">
        <v>4162</v>
      </c>
      <c r="L2528" s="561">
        <v>298825.549</v>
      </c>
      <c r="M2528" s="561">
        <v>298825.549</v>
      </c>
      <c r="N2528" s="561">
        <v>67500</v>
      </c>
      <c r="O2528" s="561">
        <v>0</v>
      </c>
      <c r="P2528" s="561">
        <v>231325.549</v>
      </c>
    </row>
    <row r="2529" spans="1:38">
      <c r="C2529" s="561" t="s">
        <v>1197</v>
      </c>
      <c r="D2529" s="561">
        <v>298825.549</v>
      </c>
      <c r="E2529" s="561">
        <v>67500</v>
      </c>
      <c r="F2529" s="561">
        <v>231325.549</v>
      </c>
      <c r="G2529" s="561">
        <v>4165</v>
      </c>
      <c r="H2529" s="561">
        <v>313651.21299999999</v>
      </c>
      <c r="I2529" s="561">
        <v>3</v>
      </c>
      <c r="J2529" s="561">
        <v>14833.244000000001</v>
      </c>
      <c r="K2529" s="561">
        <v>4162</v>
      </c>
      <c r="L2529" s="561">
        <v>298825.549</v>
      </c>
      <c r="M2529" s="561">
        <v>298825.549</v>
      </c>
      <c r="N2529" s="561">
        <v>67500</v>
      </c>
    </row>
    <row r="2530" spans="1:38">
      <c r="C2530" s="561" t="s">
        <v>1198</v>
      </c>
      <c r="L2530" s="561">
        <v>0</v>
      </c>
      <c r="N2530" s="561">
        <v>0</v>
      </c>
    </row>
    <row r="2531" spans="1:38">
      <c r="C2531" s="561" t="s">
        <v>1199</v>
      </c>
      <c r="L2531" s="561">
        <v>0</v>
      </c>
      <c r="N2531" s="561">
        <v>0</v>
      </c>
    </row>
    <row r="2532" spans="1:38">
      <c r="C2532" s="561" t="s">
        <v>1200</v>
      </c>
      <c r="L2532" s="561">
        <v>0</v>
      </c>
      <c r="N2532" s="561">
        <v>0</v>
      </c>
    </row>
    <row r="2533" spans="1:38">
      <c r="A2533" s="561">
        <v>39</v>
      </c>
      <c r="B2533" s="561" t="s">
        <v>1460</v>
      </c>
      <c r="C2533" s="561" t="s">
        <v>1206</v>
      </c>
      <c r="D2533" s="561">
        <v>147691.174</v>
      </c>
      <c r="E2533" s="561">
        <v>48900</v>
      </c>
      <c r="F2533" s="561">
        <v>98791.173999999999</v>
      </c>
      <c r="G2533" s="561">
        <v>2805</v>
      </c>
      <c r="H2533" s="561">
        <v>151957.524</v>
      </c>
      <c r="I2533" s="561">
        <v>4</v>
      </c>
      <c r="J2533" s="561">
        <v>4180.99</v>
      </c>
      <c r="K2533" s="561">
        <v>2801</v>
      </c>
      <c r="L2533" s="561">
        <v>147691.174</v>
      </c>
      <c r="M2533" s="561">
        <v>147691.174</v>
      </c>
      <c r="N2533" s="561">
        <v>48900</v>
      </c>
      <c r="O2533" s="561">
        <v>0</v>
      </c>
      <c r="P2533" s="561">
        <v>98791.173999999999</v>
      </c>
    </row>
    <row r="2534" spans="1:38">
      <c r="C2534" s="561" t="s">
        <v>1197</v>
      </c>
      <c r="D2534" s="561">
        <v>146900.883</v>
      </c>
      <c r="E2534" s="561">
        <v>48900</v>
      </c>
      <c r="F2534" s="561">
        <v>98000.883000000002</v>
      </c>
      <c r="G2534" s="561">
        <v>2805</v>
      </c>
      <c r="H2534" s="561">
        <v>151081.87299999999</v>
      </c>
      <c r="I2534" s="561">
        <v>4</v>
      </c>
      <c r="J2534" s="561">
        <v>4180.99</v>
      </c>
      <c r="K2534" s="561">
        <v>2801</v>
      </c>
      <c r="L2534" s="561">
        <v>146900.883</v>
      </c>
      <c r="M2534" s="561">
        <v>146900.883</v>
      </c>
      <c r="N2534" s="561">
        <v>48900</v>
      </c>
    </row>
    <row r="2535" spans="1:38">
      <c r="C2535" s="561" t="s">
        <v>1198</v>
      </c>
      <c r="L2535" s="561">
        <v>0</v>
      </c>
      <c r="M2535" s="561">
        <v>0</v>
      </c>
      <c r="N2535" s="561">
        <v>0</v>
      </c>
    </row>
    <row r="2536" spans="1:38">
      <c r="C2536" s="561" t="s">
        <v>1199</v>
      </c>
      <c r="L2536" s="561">
        <v>0</v>
      </c>
      <c r="M2536" s="561">
        <v>0</v>
      </c>
      <c r="N2536" s="561">
        <v>0</v>
      </c>
    </row>
    <row r="2537" spans="1:38">
      <c r="C2537" s="561" t="s">
        <v>1200</v>
      </c>
      <c r="L2537" s="561">
        <v>0</v>
      </c>
      <c r="M2537" s="561">
        <v>0</v>
      </c>
      <c r="N2537" s="561">
        <v>0</v>
      </c>
    </row>
    <row r="2538" spans="1:38">
      <c r="C2538" s="561" t="s">
        <v>1202</v>
      </c>
      <c r="D2538" s="561">
        <v>790.29100000000005</v>
      </c>
      <c r="F2538" s="561">
        <v>790.29100000000005</v>
      </c>
      <c r="G2538" s="561">
        <v>0</v>
      </c>
      <c r="H2538" s="561">
        <v>875.65099999999995</v>
      </c>
      <c r="I2538" s="561">
        <v>0</v>
      </c>
      <c r="J2538" s="561">
        <v>0</v>
      </c>
      <c r="K2538" s="561">
        <v>0</v>
      </c>
      <c r="L2538" s="561">
        <v>790.29100000000005</v>
      </c>
      <c r="M2538" s="561">
        <v>790.29100000000005</v>
      </c>
      <c r="P2538" s="561">
        <v>790.29100000000005</v>
      </c>
    </row>
    <row r="2539" spans="1:38">
      <c r="A2539" s="561">
        <v>40</v>
      </c>
      <c r="B2539" s="561" t="s">
        <v>1461</v>
      </c>
      <c r="C2539" s="561" t="s">
        <v>1206</v>
      </c>
      <c r="D2539" s="561">
        <v>1873</v>
      </c>
      <c r="E2539" s="561">
        <v>561.9</v>
      </c>
      <c r="F2539" s="561">
        <v>1311.1</v>
      </c>
      <c r="G2539" s="561">
        <v>156</v>
      </c>
      <c r="H2539" s="561">
        <v>2377.7820000000002</v>
      </c>
      <c r="I2539" s="561">
        <v>14</v>
      </c>
      <c r="J2539" s="561">
        <v>501.20299999999997</v>
      </c>
      <c r="K2539" s="561">
        <v>142</v>
      </c>
      <c r="L2539" s="561">
        <v>1873</v>
      </c>
      <c r="M2539" s="561">
        <v>1873</v>
      </c>
      <c r="N2539" s="561">
        <v>561.9</v>
      </c>
      <c r="O2539" s="561">
        <v>0</v>
      </c>
      <c r="P2539" s="561">
        <v>1311.1</v>
      </c>
    </row>
    <row r="2540" spans="1:38">
      <c r="C2540" s="561" t="s">
        <v>1197</v>
      </c>
      <c r="L2540" s="561">
        <v>0</v>
      </c>
      <c r="N2540" s="561">
        <v>0</v>
      </c>
    </row>
    <row r="2541" spans="1:38">
      <c r="C2541" s="561" t="s">
        <v>1198</v>
      </c>
      <c r="L2541" s="561">
        <v>0</v>
      </c>
      <c r="N2541" s="561">
        <v>0</v>
      </c>
    </row>
    <row r="2542" spans="1:38">
      <c r="C2542" s="561" t="s">
        <v>1199</v>
      </c>
      <c r="D2542" s="561">
        <v>1873</v>
      </c>
      <c r="E2542" s="561">
        <v>561.9</v>
      </c>
      <c r="F2542" s="561">
        <v>1311.1</v>
      </c>
      <c r="G2542" s="561">
        <v>156</v>
      </c>
      <c r="H2542" s="561">
        <v>2377.7820000000002</v>
      </c>
      <c r="I2542" s="561">
        <v>14</v>
      </c>
      <c r="J2542" s="561">
        <v>501.20299999999997</v>
      </c>
      <c r="K2542" s="561">
        <v>142</v>
      </c>
      <c r="L2542" s="561">
        <v>1873</v>
      </c>
      <c r="M2542" s="561">
        <v>1873</v>
      </c>
      <c r="N2542" s="561">
        <v>561.9</v>
      </c>
      <c r="AL2542" s="561">
        <v>1311.1</v>
      </c>
    </row>
    <row r="2543" spans="1:38">
      <c r="C2543" s="561" t="s">
        <v>1200</v>
      </c>
      <c r="L2543" s="561">
        <v>0</v>
      </c>
      <c r="N2543" s="561">
        <v>0</v>
      </c>
    </row>
    <row r="2544" spans="1:38">
      <c r="A2544" s="561">
        <v>41</v>
      </c>
      <c r="B2544" s="561" t="s">
        <v>1462</v>
      </c>
      <c r="C2544" s="561" t="s">
        <v>1206</v>
      </c>
      <c r="D2544" s="561">
        <v>133512</v>
      </c>
      <c r="E2544" s="561">
        <v>37953.599999999999</v>
      </c>
      <c r="F2544" s="561">
        <v>95558.400000000009</v>
      </c>
      <c r="G2544" s="561">
        <v>2500</v>
      </c>
      <c r="H2544" s="561">
        <v>136077.97500000001</v>
      </c>
      <c r="I2544" s="561">
        <v>14</v>
      </c>
      <c r="J2544" s="561">
        <v>2565.578</v>
      </c>
      <c r="K2544" s="561">
        <v>2486</v>
      </c>
      <c r="L2544" s="561">
        <v>133512</v>
      </c>
      <c r="M2544" s="561">
        <v>133512</v>
      </c>
      <c r="N2544" s="561">
        <v>37953.599999999999</v>
      </c>
      <c r="O2544" s="561">
        <v>0</v>
      </c>
      <c r="P2544" s="561">
        <v>95558.400000000009</v>
      </c>
    </row>
    <row r="2545" spans="1:65">
      <c r="C2545" s="561" t="s">
        <v>1197</v>
      </c>
      <c r="D2545" s="561">
        <v>122858.67600000001</v>
      </c>
      <c r="E2545" s="561">
        <v>36900</v>
      </c>
      <c r="F2545" s="561">
        <v>85958.676000000007</v>
      </c>
      <c r="G2545" s="561">
        <v>1900</v>
      </c>
      <c r="H2545" s="561">
        <v>124752.156</v>
      </c>
      <c r="I2545" s="561">
        <v>1</v>
      </c>
      <c r="J2545" s="561">
        <v>1901.06</v>
      </c>
      <c r="K2545" s="561">
        <v>1899</v>
      </c>
      <c r="L2545" s="561">
        <v>122858.67600000001</v>
      </c>
      <c r="M2545" s="561">
        <v>122858.67600000001</v>
      </c>
      <c r="N2545" s="561">
        <v>36900</v>
      </c>
    </row>
    <row r="2546" spans="1:65">
      <c r="C2546" s="561" t="s">
        <v>1198</v>
      </c>
      <c r="L2546" s="561">
        <v>0</v>
      </c>
      <c r="N2546" s="561">
        <v>0</v>
      </c>
    </row>
    <row r="2547" spans="1:65">
      <c r="C2547" s="561" t="s">
        <v>1199</v>
      </c>
      <c r="D2547" s="561">
        <v>10653.324000000001</v>
      </c>
      <c r="E2547" s="561">
        <v>1053.5999999999999</v>
      </c>
      <c r="F2547" s="561">
        <v>9599.7240000000002</v>
      </c>
      <c r="G2547" s="561">
        <v>600</v>
      </c>
      <c r="H2547" s="561">
        <v>11325.819</v>
      </c>
      <c r="I2547" s="561">
        <v>13</v>
      </c>
      <c r="J2547" s="561">
        <v>664.51800000000003</v>
      </c>
      <c r="K2547" s="561">
        <v>587</v>
      </c>
      <c r="L2547" s="561">
        <v>10653.324000000001</v>
      </c>
      <c r="M2547" s="561">
        <v>10653.324000000001</v>
      </c>
      <c r="N2547" s="561">
        <v>1053.5999999999999</v>
      </c>
      <c r="P2547" s="561">
        <v>9599.7240000000002</v>
      </c>
    </row>
    <row r="2548" spans="1:65">
      <c r="C2548" s="561" t="s">
        <v>1200</v>
      </c>
      <c r="L2548" s="561">
        <v>0</v>
      </c>
      <c r="N2548" s="561">
        <v>0</v>
      </c>
    </row>
    <row r="2549" spans="1:65">
      <c r="A2549" s="561">
        <v>42</v>
      </c>
      <c r="B2549" s="561" t="s">
        <v>1463</v>
      </c>
      <c r="C2549" s="561" t="s">
        <v>1206</v>
      </c>
      <c r="D2549" s="561">
        <v>12769</v>
      </c>
      <c r="E2549" s="561">
        <v>3230.7</v>
      </c>
      <c r="F2549" s="561">
        <v>9538.2999999999993</v>
      </c>
      <c r="G2549" s="561">
        <v>1060</v>
      </c>
      <c r="H2549" s="561">
        <v>13048.712</v>
      </c>
      <c r="I2549" s="561">
        <v>0</v>
      </c>
      <c r="J2549" s="561">
        <v>193.90899999999999</v>
      </c>
      <c r="K2549" s="561">
        <v>1060</v>
      </c>
      <c r="L2549" s="561">
        <v>12769</v>
      </c>
      <c r="M2549" s="561">
        <v>12769</v>
      </c>
      <c r="N2549" s="561">
        <v>3230.7</v>
      </c>
      <c r="O2549" s="561">
        <v>0</v>
      </c>
      <c r="P2549" s="561">
        <v>9538.2999999999993</v>
      </c>
    </row>
    <row r="2550" spans="1:65">
      <c r="C2550" s="561" t="s">
        <v>1197</v>
      </c>
      <c r="L2550" s="561">
        <v>0</v>
      </c>
      <c r="N2550" s="561">
        <v>0</v>
      </c>
    </row>
    <row r="2551" spans="1:65">
      <c r="C2551" s="561" t="s">
        <v>1198</v>
      </c>
      <c r="L2551" s="561">
        <v>0</v>
      </c>
      <c r="N2551" s="561">
        <v>0</v>
      </c>
    </row>
    <row r="2552" spans="1:65">
      <c r="C2552" s="561" t="s">
        <v>1199</v>
      </c>
      <c r="D2552" s="561">
        <v>12769</v>
      </c>
      <c r="E2552" s="561">
        <v>3230.7</v>
      </c>
      <c r="F2552" s="561">
        <v>9538.2999999999993</v>
      </c>
      <c r="G2552" s="561">
        <v>1060</v>
      </c>
      <c r="H2552" s="561">
        <v>13048.712</v>
      </c>
      <c r="I2552" s="561">
        <v>0</v>
      </c>
      <c r="J2552" s="561">
        <v>193.90899999999999</v>
      </c>
      <c r="K2552" s="561">
        <v>1060</v>
      </c>
      <c r="L2552" s="561">
        <v>12769</v>
      </c>
      <c r="M2552" s="561">
        <v>12769</v>
      </c>
      <c r="N2552" s="561">
        <v>3230.7</v>
      </c>
      <c r="P2552" s="561">
        <v>9538.2999999999993</v>
      </c>
    </row>
    <row r="2553" spans="1:65">
      <c r="C2553" s="561" t="s">
        <v>1200</v>
      </c>
      <c r="L2553" s="561">
        <v>0</v>
      </c>
      <c r="N2553" s="561">
        <v>0</v>
      </c>
    </row>
    <row r="2554" spans="1:65">
      <c r="A2554" s="561">
        <v>43</v>
      </c>
      <c r="B2554" s="561" t="s">
        <v>1464</v>
      </c>
      <c r="C2554" s="561" t="s">
        <v>1206</v>
      </c>
      <c r="D2554" s="561">
        <v>3512</v>
      </c>
      <c r="E2554" s="561">
        <v>1053.5999999999999</v>
      </c>
      <c r="F2554" s="561">
        <v>2458.4</v>
      </c>
      <c r="G2554" s="561">
        <v>263</v>
      </c>
      <c r="H2554" s="561">
        <v>3565.45</v>
      </c>
      <c r="I2554" s="561">
        <v>2</v>
      </c>
      <c r="J2554" s="561">
        <v>42.07</v>
      </c>
      <c r="K2554" s="561">
        <v>261</v>
      </c>
      <c r="L2554" s="561">
        <v>3512</v>
      </c>
      <c r="M2554" s="561">
        <v>3512</v>
      </c>
      <c r="N2554" s="561">
        <v>1053.5999999999999</v>
      </c>
      <c r="O2554" s="561">
        <v>0</v>
      </c>
      <c r="P2554" s="561">
        <v>2458.4</v>
      </c>
    </row>
    <row r="2555" spans="1:65">
      <c r="C2555" s="561" t="s">
        <v>1197</v>
      </c>
      <c r="L2555" s="561">
        <v>0</v>
      </c>
      <c r="N2555" s="561">
        <v>0</v>
      </c>
    </row>
    <row r="2556" spans="1:65">
      <c r="C2556" s="561" t="s">
        <v>1198</v>
      </c>
      <c r="L2556" s="561">
        <v>0</v>
      </c>
      <c r="N2556" s="561">
        <v>0</v>
      </c>
    </row>
    <row r="2557" spans="1:65">
      <c r="C2557" s="561" t="s">
        <v>1199</v>
      </c>
      <c r="D2557" s="561">
        <v>3512</v>
      </c>
      <c r="E2557" s="561">
        <v>1053.5999999999999</v>
      </c>
      <c r="F2557" s="561">
        <v>2458.4</v>
      </c>
      <c r="G2557" s="561">
        <v>263</v>
      </c>
      <c r="H2557" s="561">
        <v>3565.45</v>
      </c>
      <c r="I2557" s="561">
        <v>2</v>
      </c>
      <c r="J2557" s="561">
        <v>42.07</v>
      </c>
      <c r="K2557" s="561">
        <v>261</v>
      </c>
      <c r="L2557" s="561">
        <v>3512</v>
      </c>
      <c r="M2557" s="561">
        <v>3512</v>
      </c>
      <c r="N2557" s="561">
        <v>1053.5999999999999</v>
      </c>
    </row>
    <row r="2558" spans="1:65">
      <c r="C2558" s="561" t="s">
        <v>1200</v>
      </c>
      <c r="L2558" s="561">
        <v>0</v>
      </c>
      <c r="N2558" s="561">
        <v>0</v>
      </c>
      <c r="BM2558" s="561">
        <v>2458.4</v>
      </c>
    </row>
    <row r="2559" spans="1:65">
      <c r="A2559" s="561">
        <v>44</v>
      </c>
      <c r="B2559" s="561" t="s">
        <v>1465</v>
      </c>
      <c r="C2559" s="561" t="s">
        <v>1206</v>
      </c>
      <c r="D2559" s="561">
        <v>4213.7780000000002</v>
      </c>
      <c r="E2559" s="561">
        <v>1264.2</v>
      </c>
      <c r="F2559" s="561">
        <v>2949.5780000000004</v>
      </c>
      <c r="G2559" s="561">
        <v>270</v>
      </c>
      <c r="H2559" s="561">
        <v>4391.1620000000003</v>
      </c>
      <c r="I2559" s="561">
        <v>0</v>
      </c>
      <c r="J2559" s="561">
        <v>177.38399999999999</v>
      </c>
      <c r="K2559" s="561">
        <v>270</v>
      </c>
      <c r="L2559" s="561">
        <v>4213.7780000000002</v>
      </c>
      <c r="M2559" s="561">
        <v>4213.7780000000002</v>
      </c>
      <c r="N2559" s="561">
        <v>1264.2</v>
      </c>
      <c r="O2559" s="561">
        <v>0</v>
      </c>
      <c r="P2559" s="561">
        <v>2949.5780000000004</v>
      </c>
    </row>
    <row r="2560" spans="1:65">
      <c r="C2560" s="561" t="s">
        <v>1197</v>
      </c>
      <c r="L2560" s="561">
        <v>0</v>
      </c>
      <c r="N2560" s="561">
        <v>0</v>
      </c>
    </row>
    <row r="2561" spans="1:78">
      <c r="C2561" s="561" t="s">
        <v>1198</v>
      </c>
      <c r="L2561" s="561">
        <v>0</v>
      </c>
      <c r="N2561" s="561">
        <v>0</v>
      </c>
    </row>
    <row r="2562" spans="1:78">
      <c r="C2562" s="561" t="s">
        <v>1199</v>
      </c>
      <c r="D2562" s="561">
        <v>4213.7780000000002</v>
      </c>
      <c r="E2562" s="561">
        <v>1264.2</v>
      </c>
      <c r="F2562" s="561">
        <v>2949.5780000000004</v>
      </c>
      <c r="G2562" s="561">
        <v>270</v>
      </c>
      <c r="H2562" s="561">
        <v>4391.1620000000003</v>
      </c>
      <c r="I2562" s="561">
        <v>0</v>
      </c>
      <c r="J2562" s="561">
        <v>177.38399999999999</v>
      </c>
      <c r="K2562" s="561">
        <v>270</v>
      </c>
      <c r="L2562" s="561">
        <v>4213.7780000000002</v>
      </c>
      <c r="M2562" s="561">
        <v>4213.7780000000002</v>
      </c>
      <c r="N2562" s="561">
        <v>1264.2</v>
      </c>
      <c r="BZ2562" s="561">
        <v>2949.5780000000004</v>
      </c>
    </row>
    <row r="2563" spans="1:78">
      <c r="C2563" s="561" t="s">
        <v>1200</v>
      </c>
      <c r="L2563" s="561">
        <v>0</v>
      </c>
      <c r="N2563" s="561">
        <v>0</v>
      </c>
    </row>
    <row r="2564" spans="1:78">
      <c r="A2564" s="561">
        <v>45</v>
      </c>
      <c r="B2564" s="561" t="s">
        <v>1466</v>
      </c>
      <c r="C2564" s="561" t="s">
        <v>1206</v>
      </c>
      <c r="D2564" s="561">
        <v>263779</v>
      </c>
      <c r="E2564" s="561">
        <v>77633.7</v>
      </c>
      <c r="F2564" s="561">
        <v>186145.3</v>
      </c>
      <c r="G2564" s="561">
        <v>5240</v>
      </c>
      <c r="H2564" s="561">
        <v>271200.22600000002</v>
      </c>
      <c r="I2564" s="561">
        <v>7</v>
      </c>
      <c r="J2564" s="561">
        <v>7392.0870000000004</v>
      </c>
      <c r="K2564" s="561">
        <v>5233</v>
      </c>
      <c r="L2564" s="561">
        <v>263779</v>
      </c>
      <c r="M2564" s="561">
        <v>263779</v>
      </c>
      <c r="N2564" s="561">
        <v>77633.7</v>
      </c>
      <c r="O2564" s="561">
        <v>0</v>
      </c>
      <c r="P2564" s="561">
        <v>186145.3</v>
      </c>
    </row>
    <row r="2565" spans="1:78">
      <c r="C2565" s="561" t="s">
        <v>1197</v>
      </c>
      <c r="D2565" s="561">
        <v>248888.071</v>
      </c>
      <c r="E2565" s="561">
        <v>75000</v>
      </c>
      <c r="F2565" s="561">
        <v>173888.071</v>
      </c>
      <c r="G2565" s="561">
        <v>4305</v>
      </c>
      <c r="H2565" s="561">
        <v>255909.63500000001</v>
      </c>
      <c r="I2565" s="561">
        <v>4</v>
      </c>
      <c r="J2565" s="561">
        <v>6992.4250000000002</v>
      </c>
      <c r="K2565" s="561">
        <v>4301</v>
      </c>
      <c r="L2565" s="561">
        <v>248888.071</v>
      </c>
      <c r="M2565" s="561">
        <v>248888.071</v>
      </c>
      <c r="N2565" s="561">
        <v>75000</v>
      </c>
    </row>
    <row r="2566" spans="1:78">
      <c r="C2566" s="561" t="s">
        <v>1198</v>
      </c>
      <c r="L2566" s="561">
        <v>0</v>
      </c>
      <c r="N2566" s="561">
        <v>0</v>
      </c>
    </row>
    <row r="2567" spans="1:78">
      <c r="C2567" s="561" t="s">
        <v>1199</v>
      </c>
      <c r="D2567" s="561">
        <v>14890.929</v>
      </c>
      <c r="E2567" s="561">
        <v>2633.7</v>
      </c>
      <c r="F2567" s="561">
        <v>12257.228999999999</v>
      </c>
      <c r="G2567" s="561">
        <v>935</v>
      </c>
      <c r="H2567" s="561">
        <v>15290.591</v>
      </c>
      <c r="I2567" s="561">
        <v>3</v>
      </c>
      <c r="J2567" s="561">
        <v>399.66199999999998</v>
      </c>
      <c r="K2567" s="561">
        <v>932</v>
      </c>
      <c r="L2567" s="561">
        <v>14890.929</v>
      </c>
      <c r="M2567" s="561">
        <v>14890.929</v>
      </c>
      <c r="N2567" s="561">
        <v>2633.7</v>
      </c>
      <c r="AL2567" s="561">
        <v>12257.228999999999</v>
      </c>
    </row>
    <row r="2568" spans="1:78">
      <c r="C2568" s="561" t="s">
        <v>1200</v>
      </c>
      <c r="L2568" s="561">
        <v>0</v>
      </c>
      <c r="N2568" s="561">
        <v>0</v>
      </c>
    </row>
    <row r="2569" spans="1:78">
      <c r="A2569" s="561">
        <v>46</v>
      </c>
      <c r="B2569" s="561" t="s">
        <v>1467</v>
      </c>
      <c r="C2569" s="561" t="s">
        <v>1206</v>
      </c>
      <c r="D2569" s="561">
        <v>3277</v>
      </c>
      <c r="E2569" s="561">
        <v>983.1</v>
      </c>
      <c r="F2569" s="561">
        <v>2293.9</v>
      </c>
      <c r="G2569" s="561">
        <v>288</v>
      </c>
      <c r="H2569" s="561">
        <v>3357.4589999999998</v>
      </c>
      <c r="I2569" s="561">
        <v>8</v>
      </c>
      <c r="J2569" s="561">
        <v>70.91</v>
      </c>
      <c r="K2569" s="561">
        <v>280</v>
      </c>
      <c r="L2569" s="561">
        <v>3277</v>
      </c>
      <c r="M2569" s="561">
        <v>3277</v>
      </c>
      <c r="N2569" s="561">
        <v>983.1</v>
      </c>
      <c r="O2569" s="561">
        <v>0</v>
      </c>
      <c r="P2569" s="561">
        <v>2293.9</v>
      </c>
    </row>
    <row r="2570" spans="1:78">
      <c r="C2570" s="561" t="s">
        <v>1197</v>
      </c>
      <c r="L2570" s="561">
        <v>0</v>
      </c>
      <c r="N2570" s="561">
        <v>0</v>
      </c>
    </row>
    <row r="2571" spans="1:78">
      <c r="C2571" s="561" t="s">
        <v>1198</v>
      </c>
      <c r="L2571" s="561">
        <v>0</v>
      </c>
      <c r="N2571" s="561">
        <v>0</v>
      </c>
    </row>
    <row r="2572" spans="1:78">
      <c r="C2572" s="561" t="s">
        <v>1199</v>
      </c>
      <c r="D2572" s="561">
        <v>3277</v>
      </c>
      <c r="E2572" s="561">
        <v>983.1</v>
      </c>
      <c r="F2572" s="561">
        <v>2293.9</v>
      </c>
      <c r="G2572" s="561">
        <v>288</v>
      </c>
      <c r="H2572" s="561">
        <v>3357.4589999999998</v>
      </c>
      <c r="I2572" s="561">
        <v>8</v>
      </c>
      <c r="J2572" s="561">
        <v>70.91</v>
      </c>
      <c r="K2572" s="561">
        <v>280</v>
      </c>
      <c r="L2572" s="561">
        <v>3277</v>
      </c>
      <c r="M2572" s="561">
        <v>3277</v>
      </c>
      <c r="N2572" s="561">
        <v>983.1</v>
      </c>
      <c r="BM2572" s="561">
        <v>2293.9</v>
      </c>
    </row>
    <row r="2573" spans="1:78">
      <c r="C2573" s="561" t="s">
        <v>1200</v>
      </c>
      <c r="L2573" s="561">
        <v>0</v>
      </c>
      <c r="N2573" s="561">
        <v>0</v>
      </c>
    </row>
    <row r="2574" spans="1:78">
      <c r="A2574" s="561">
        <v>47</v>
      </c>
      <c r="B2574" s="561" t="s">
        <v>1468</v>
      </c>
      <c r="C2574" s="561" t="s">
        <v>1206</v>
      </c>
      <c r="D2574" s="561">
        <v>139832</v>
      </c>
      <c r="E2574" s="561">
        <v>41949.599999999999</v>
      </c>
      <c r="F2574" s="561">
        <v>97882.4</v>
      </c>
      <c r="G2574" s="561">
        <v>2735</v>
      </c>
      <c r="H2574" s="561">
        <v>142548.837</v>
      </c>
      <c r="I2574" s="561">
        <v>11</v>
      </c>
      <c r="J2574" s="561">
        <v>2431.8559999999998</v>
      </c>
      <c r="K2574" s="561">
        <v>2724</v>
      </c>
      <c r="L2574" s="561">
        <v>139832</v>
      </c>
      <c r="M2574" s="561">
        <v>139832</v>
      </c>
      <c r="N2574" s="561">
        <v>41949.599999999999</v>
      </c>
      <c r="O2574" s="561">
        <v>0</v>
      </c>
      <c r="P2574" s="561">
        <v>97882.4</v>
      </c>
    </row>
    <row r="2575" spans="1:78">
      <c r="C2575" s="561" t="s">
        <v>1197</v>
      </c>
      <c r="D2575" s="561">
        <v>128428.488</v>
      </c>
      <c r="E2575" s="561">
        <v>39000</v>
      </c>
      <c r="F2575" s="561">
        <v>89428.487999999998</v>
      </c>
      <c r="G2575" s="561">
        <v>1881</v>
      </c>
      <c r="H2575" s="561">
        <v>130515.378</v>
      </c>
      <c r="I2575" s="561">
        <v>3</v>
      </c>
      <c r="J2575" s="561">
        <v>2086.89</v>
      </c>
      <c r="K2575" s="561">
        <v>1878</v>
      </c>
      <c r="L2575" s="561">
        <v>128428.488</v>
      </c>
      <c r="M2575" s="561">
        <v>128428.488</v>
      </c>
      <c r="N2575" s="561">
        <v>39000</v>
      </c>
    </row>
    <row r="2576" spans="1:78">
      <c r="C2576" s="561" t="s">
        <v>1198</v>
      </c>
      <c r="L2576" s="561">
        <v>0</v>
      </c>
      <c r="N2576" s="561">
        <v>0</v>
      </c>
    </row>
    <row r="2577" spans="1:76">
      <c r="C2577" s="561" t="s">
        <v>1199</v>
      </c>
      <c r="D2577" s="561">
        <v>11403.512000000001</v>
      </c>
      <c r="E2577" s="561">
        <v>2949.6</v>
      </c>
      <c r="F2577" s="561">
        <v>8453.9120000000003</v>
      </c>
      <c r="G2577" s="561">
        <v>854</v>
      </c>
      <c r="H2577" s="561">
        <v>12033.459000000001</v>
      </c>
      <c r="I2577" s="561">
        <v>8</v>
      </c>
      <c r="J2577" s="561">
        <v>344.96600000000001</v>
      </c>
      <c r="K2577" s="561">
        <v>846</v>
      </c>
      <c r="L2577" s="561">
        <v>11403.512000000001</v>
      </c>
      <c r="M2577" s="561">
        <v>11403.512000000001</v>
      </c>
      <c r="N2577" s="561">
        <v>2949.6</v>
      </c>
      <c r="AL2577" s="561">
        <v>8453.9120000000003</v>
      </c>
    </row>
    <row r="2578" spans="1:76">
      <c r="C2578" s="561" t="s">
        <v>1200</v>
      </c>
      <c r="L2578" s="561">
        <v>0</v>
      </c>
      <c r="N2578" s="561">
        <v>0</v>
      </c>
    </row>
    <row r="2579" spans="1:76">
      <c r="A2579" s="561">
        <v>48</v>
      </c>
      <c r="B2579" s="561" t="s">
        <v>1469</v>
      </c>
      <c r="C2579" s="561" t="s">
        <v>1206</v>
      </c>
      <c r="D2579" s="561">
        <v>428000</v>
      </c>
      <c r="E2579" s="561">
        <v>128400</v>
      </c>
      <c r="F2579" s="561">
        <v>299600</v>
      </c>
      <c r="G2579" s="561">
        <v>4971</v>
      </c>
      <c r="H2579" s="561">
        <v>438981.56200000003</v>
      </c>
      <c r="I2579" s="561">
        <v>-1</v>
      </c>
      <c r="J2579" s="561">
        <v>9777.4019999999982</v>
      </c>
      <c r="K2579" s="561">
        <v>4972</v>
      </c>
      <c r="L2579" s="561">
        <v>428000</v>
      </c>
      <c r="M2579" s="561">
        <v>428000</v>
      </c>
      <c r="N2579" s="561">
        <v>128400</v>
      </c>
      <c r="O2579" s="561">
        <v>0</v>
      </c>
      <c r="P2579" s="561">
        <v>299600</v>
      </c>
    </row>
    <row r="2580" spans="1:76">
      <c r="C2580" s="561" t="s">
        <v>1197</v>
      </c>
      <c r="D2580" s="561">
        <v>225842.28099999999</v>
      </c>
      <c r="E2580" s="561">
        <v>66900</v>
      </c>
      <c r="F2580" s="561">
        <v>158942.28099999999</v>
      </c>
      <c r="G2580" s="561">
        <v>4199</v>
      </c>
      <c r="H2580" s="561">
        <v>231768.546</v>
      </c>
      <c r="I2580" s="561">
        <v>-1</v>
      </c>
      <c r="J2580" s="561">
        <v>4722.1049999999996</v>
      </c>
      <c r="K2580" s="561">
        <v>4200</v>
      </c>
      <c r="L2580" s="561">
        <v>225842.28099999999</v>
      </c>
      <c r="M2580" s="561">
        <v>225842.28099999999</v>
      </c>
      <c r="N2580" s="561">
        <v>66900</v>
      </c>
    </row>
    <row r="2581" spans="1:76">
      <c r="C2581" s="561" t="s">
        <v>1198</v>
      </c>
      <c r="L2581" s="561">
        <v>0</v>
      </c>
      <c r="N2581" s="561">
        <v>0</v>
      </c>
    </row>
    <row r="2582" spans="1:76">
      <c r="C2582" s="561" t="s">
        <v>1199</v>
      </c>
      <c r="D2582" s="561">
        <v>202157.71900000001</v>
      </c>
      <c r="E2582" s="561">
        <v>61500</v>
      </c>
      <c r="F2582" s="561">
        <v>140657.71900000001</v>
      </c>
      <c r="G2582" s="561">
        <v>772</v>
      </c>
      <c r="H2582" s="561">
        <v>207213.016</v>
      </c>
      <c r="I2582" s="561">
        <v>0</v>
      </c>
      <c r="J2582" s="561">
        <v>5055.2969999999996</v>
      </c>
      <c r="K2582" s="561">
        <v>772</v>
      </c>
      <c r="L2582" s="561">
        <v>202157.71900000001</v>
      </c>
      <c r="M2582" s="561">
        <v>202157.71900000001</v>
      </c>
      <c r="N2582" s="561">
        <v>61500</v>
      </c>
      <c r="BX2582" s="561">
        <v>140657.71900000001</v>
      </c>
    </row>
    <row r="2583" spans="1:76">
      <c r="C2583" s="561" t="s">
        <v>1200</v>
      </c>
      <c r="L2583" s="561">
        <v>0</v>
      </c>
      <c r="N2583" s="561">
        <v>0</v>
      </c>
    </row>
    <row r="2584" spans="1:76">
      <c r="A2584" s="561">
        <v>49</v>
      </c>
      <c r="B2584" s="561" t="s">
        <v>1470</v>
      </c>
      <c r="C2584" s="561" t="s">
        <v>1206</v>
      </c>
      <c r="D2584" s="561">
        <v>69512</v>
      </c>
      <c r="E2584" s="561">
        <v>20853.599999999999</v>
      </c>
      <c r="F2584" s="561">
        <v>48658.400000000001</v>
      </c>
      <c r="G2584" s="561">
        <v>1342</v>
      </c>
      <c r="H2584" s="561">
        <v>71135.668000000005</v>
      </c>
      <c r="I2584" s="561">
        <v>0</v>
      </c>
      <c r="J2584" s="561">
        <v>900.67600000000004</v>
      </c>
      <c r="K2584" s="561">
        <v>1342</v>
      </c>
      <c r="L2584" s="561">
        <v>69512</v>
      </c>
      <c r="M2584" s="561">
        <v>69512</v>
      </c>
      <c r="N2584" s="561">
        <v>20853.599999999999</v>
      </c>
      <c r="O2584" s="561">
        <v>0</v>
      </c>
      <c r="P2584" s="561">
        <v>48658.400000000001</v>
      </c>
    </row>
    <row r="2585" spans="1:76">
      <c r="C2585" s="561" t="s">
        <v>1197</v>
      </c>
      <c r="D2585" s="561">
        <v>66000</v>
      </c>
      <c r="E2585" s="561">
        <v>19800</v>
      </c>
      <c r="F2585" s="561">
        <v>46200</v>
      </c>
      <c r="G2585" s="561">
        <v>1042</v>
      </c>
      <c r="H2585" s="561">
        <v>67305.294999999998</v>
      </c>
      <c r="I2585" s="561">
        <v>0</v>
      </c>
      <c r="J2585" s="561">
        <v>859.46400000000006</v>
      </c>
      <c r="K2585" s="561">
        <v>1042</v>
      </c>
      <c r="L2585" s="561">
        <v>66000</v>
      </c>
      <c r="M2585" s="561">
        <v>66000</v>
      </c>
      <c r="N2585" s="561">
        <v>19800</v>
      </c>
    </row>
    <row r="2586" spans="1:76">
      <c r="C2586" s="561" t="s">
        <v>1198</v>
      </c>
      <c r="L2586" s="561">
        <v>0</v>
      </c>
      <c r="N2586" s="561">
        <v>0</v>
      </c>
    </row>
    <row r="2587" spans="1:76">
      <c r="C2587" s="561" t="s">
        <v>1199</v>
      </c>
      <c r="D2587" s="561">
        <v>3512</v>
      </c>
      <c r="E2587" s="561">
        <v>1053.5999999999999</v>
      </c>
      <c r="F2587" s="561">
        <v>2458.4</v>
      </c>
      <c r="G2587" s="561">
        <v>300</v>
      </c>
      <c r="H2587" s="561">
        <v>3830.373</v>
      </c>
      <c r="I2587" s="561">
        <v>0</v>
      </c>
      <c r="J2587" s="561">
        <v>41.212000000000003</v>
      </c>
      <c r="K2587" s="561">
        <v>300</v>
      </c>
      <c r="L2587" s="561">
        <v>3512</v>
      </c>
      <c r="M2587" s="561">
        <v>3512</v>
      </c>
      <c r="N2587" s="561">
        <v>1053.5999999999999</v>
      </c>
      <c r="AY2587" s="561">
        <v>2458.4</v>
      </c>
    </row>
    <row r="2588" spans="1:76">
      <c r="C2588" s="561" t="s">
        <v>1200</v>
      </c>
      <c r="L2588" s="561">
        <v>0</v>
      </c>
      <c r="N2588" s="561">
        <v>0</v>
      </c>
    </row>
    <row r="2589" spans="1:76">
      <c r="A2589" s="561">
        <v>50</v>
      </c>
      <c r="B2589" s="561" t="s">
        <v>1471</v>
      </c>
      <c r="C2589" s="561" t="s">
        <v>1206</v>
      </c>
      <c r="D2589" s="561">
        <v>3512</v>
      </c>
      <c r="E2589" s="561">
        <v>1053.5999999999999</v>
      </c>
      <c r="F2589" s="561">
        <v>2458.4</v>
      </c>
      <c r="G2589" s="561">
        <v>249</v>
      </c>
      <c r="H2589" s="561">
        <v>3583.9630000000002</v>
      </c>
      <c r="I2589" s="561">
        <v>4</v>
      </c>
      <c r="J2589" s="561">
        <v>66.893000000000001</v>
      </c>
      <c r="K2589" s="561">
        <v>245</v>
      </c>
      <c r="L2589" s="561">
        <v>3512</v>
      </c>
      <c r="M2589" s="561">
        <v>3512</v>
      </c>
      <c r="N2589" s="561">
        <v>1053.5999999999999</v>
      </c>
      <c r="O2589" s="561">
        <v>0</v>
      </c>
      <c r="P2589" s="561">
        <v>2458.4</v>
      </c>
    </row>
    <row r="2590" spans="1:76">
      <c r="C2590" s="561" t="s">
        <v>1197</v>
      </c>
      <c r="L2590" s="561">
        <v>0</v>
      </c>
      <c r="N2590" s="561">
        <v>0</v>
      </c>
    </row>
    <row r="2591" spans="1:76">
      <c r="C2591" s="561" t="s">
        <v>1198</v>
      </c>
      <c r="L2591" s="561">
        <v>0</v>
      </c>
      <c r="N2591" s="561">
        <v>0</v>
      </c>
    </row>
    <row r="2592" spans="1:76">
      <c r="C2592" s="561" t="s">
        <v>1199</v>
      </c>
      <c r="D2592" s="561">
        <v>3512</v>
      </c>
      <c r="E2592" s="561">
        <v>1053.5999999999999</v>
      </c>
      <c r="F2592" s="561">
        <v>2458.4</v>
      </c>
      <c r="G2592" s="561">
        <v>249</v>
      </c>
      <c r="H2592" s="561">
        <v>3583.9630000000002</v>
      </c>
      <c r="I2592" s="561">
        <v>4</v>
      </c>
      <c r="J2592" s="561">
        <v>66.893000000000001</v>
      </c>
      <c r="K2592" s="561">
        <v>245</v>
      </c>
      <c r="L2592" s="561">
        <v>3512</v>
      </c>
      <c r="M2592" s="561">
        <v>3512</v>
      </c>
      <c r="N2592" s="561">
        <v>1053.5999999999999</v>
      </c>
      <c r="BM2592" s="561">
        <v>2458.4</v>
      </c>
    </row>
    <row r="2593" spans="1:78">
      <c r="C2593" s="561" t="s">
        <v>1200</v>
      </c>
      <c r="L2593" s="561">
        <v>0</v>
      </c>
      <c r="N2593" s="561">
        <v>0</v>
      </c>
    </row>
    <row r="2594" spans="1:78">
      <c r="A2594" s="561">
        <v>51</v>
      </c>
      <c r="B2594" s="561" t="s">
        <v>1472</v>
      </c>
      <c r="C2594" s="561" t="s">
        <v>1206</v>
      </c>
      <c r="D2594" s="561">
        <v>17046</v>
      </c>
      <c r="E2594" s="561">
        <v>4213.8</v>
      </c>
      <c r="F2594" s="561">
        <v>12832.2</v>
      </c>
      <c r="G2594" s="561">
        <v>1035</v>
      </c>
      <c r="H2594" s="561">
        <v>18265.050999999999</v>
      </c>
      <c r="I2594" s="561">
        <v>9</v>
      </c>
      <c r="J2594" s="561">
        <v>714.26800000000003</v>
      </c>
      <c r="K2594" s="561">
        <v>1026</v>
      </c>
      <c r="L2594" s="561">
        <v>17046</v>
      </c>
      <c r="M2594" s="561">
        <v>17046</v>
      </c>
      <c r="N2594" s="561">
        <v>4213.8</v>
      </c>
      <c r="O2594" s="561">
        <v>0</v>
      </c>
      <c r="P2594" s="561">
        <v>12832.2</v>
      </c>
    </row>
    <row r="2595" spans="1:78">
      <c r="C2595" s="561" t="s">
        <v>1197</v>
      </c>
      <c r="L2595" s="561">
        <v>0</v>
      </c>
      <c r="N2595" s="561">
        <v>0</v>
      </c>
    </row>
    <row r="2596" spans="1:78">
      <c r="C2596" s="561" t="s">
        <v>1198</v>
      </c>
      <c r="L2596" s="561">
        <v>0</v>
      </c>
      <c r="N2596" s="561">
        <v>0</v>
      </c>
    </row>
    <row r="2597" spans="1:78">
      <c r="C2597" s="561" t="s">
        <v>1199</v>
      </c>
      <c r="D2597" s="561">
        <v>17046</v>
      </c>
      <c r="E2597" s="561">
        <v>4213.8</v>
      </c>
      <c r="F2597" s="561">
        <v>12832.2</v>
      </c>
      <c r="G2597" s="561">
        <v>1035</v>
      </c>
      <c r="H2597" s="561">
        <v>18265.050999999999</v>
      </c>
      <c r="I2597" s="561">
        <v>9</v>
      </c>
      <c r="J2597" s="561">
        <v>714.26800000000003</v>
      </c>
      <c r="K2597" s="561">
        <v>1026</v>
      </c>
      <c r="L2597" s="561">
        <v>17046</v>
      </c>
      <c r="M2597" s="561">
        <v>17046</v>
      </c>
      <c r="N2597" s="561">
        <v>4213.8</v>
      </c>
      <c r="BZ2597" s="561">
        <v>12832.2</v>
      </c>
    </row>
    <row r="2598" spans="1:78">
      <c r="C2598" s="561" t="s">
        <v>1200</v>
      </c>
      <c r="L2598" s="561">
        <v>0</v>
      </c>
      <c r="N2598" s="561">
        <v>0</v>
      </c>
    </row>
    <row r="2599" spans="1:78">
      <c r="A2599" s="561">
        <v>52</v>
      </c>
      <c r="B2599" s="561" t="s">
        <v>1473</v>
      </c>
      <c r="C2599" s="561" t="s">
        <v>1206</v>
      </c>
      <c r="D2599" s="561">
        <v>170140</v>
      </c>
      <c r="E2599" s="561">
        <v>47442</v>
      </c>
      <c r="F2599" s="561">
        <v>122698</v>
      </c>
      <c r="G2599" s="561">
        <v>3072</v>
      </c>
      <c r="H2599" s="561">
        <v>171584.726</v>
      </c>
      <c r="I2599" s="561">
        <v>18</v>
      </c>
      <c r="J2599" s="561">
        <v>1411.9079999999999</v>
      </c>
      <c r="K2599" s="561">
        <v>3054</v>
      </c>
      <c r="L2599" s="561">
        <v>170140</v>
      </c>
      <c r="M2599" s="561">
        <v>170140</v>
      </c>
      <c r="N2599" s="561">
        <v>47442</v>
      </c>
      <c r="O2599" s="561">
        <v>0</v>
      </c>
      <c r="P2599" s="561">
        <v>122698</v>
      </c>
    </row>
    <row r="2600" spans="1:78">
      <c r="C2600" s="561" t="s">
        <v>1197</v>
      </c>
      <c r="D2600" s="561">
        <v>160216.035</v>
      </c>
      <c r="E2600" s="561">
        <v>45300</v>
      </c>
      <c r="F2600" s="561">
        <v>114916.035</v>
      </c>
      <c r="G2600" s="561">
        <v>2468</v>
      </c>
      <c r="H2600" s="561">
        <v>161409.519</v>
      </c>
      <c r="I2600" s="561">
        <v>3</v>
      </c>
      <c r="J2600" s="561">
        <v>1160.6659999999999</v>
      </c>
      <c r="K2600" s="561">
        <v>2465</v>
      </c>
      <c r="L2600" s="561">
        <v>160216.035</v>
      </c>
      <c r="M2600" s="561">
        <v>160216.035</v>
      </c>
      <c r="N2600" s="561">
        <v>45300</v>
      </c>
    </row>
    <row r="2601" spans="1:78">
      <c r="C2601" s="561" t="s">
        <v>1198</v>
      </c>
      <c r="L2601" s="561">
        <v>0</v>
      </c>
      <c r="N2601" s="561">
        <v>0</v>
      </c>
    </row>
    <row r="2602" spans="1:78">
      <c r="C2602" s="561" t="s">
        <v>1199</v>
      </c>
      <c r="D2602" s="561">
        <v>9923.9650000000001</v>
      </c>
      <c r="E2602" s="561">
        <v>2142</v>
      </c>
      <c r="F2602" s="561">
        <v>7781.9650000000001</v>
      </c>
      <c r="G2602" s="561">
        <v>604</v>
      </c>
      <c r="H2602" s="561">
        <v>10175.207</v>
      </c>
      <c r="I2602" s="561">
        <v>15</v>
      </c>
      <c r="J2602" s="561">
        <v>251.24199999999999</v>
      </c>
      <c r="K2602" s="561">
        <v>589</v>
      </c>
      <c r="L2602" s="561">
        <v>9923.9650000000001</v>
      </c>
      <c r="M2602" s="561">
        <v>9923.9650000000001</v>
      </c>
      <c r="N2602" s="561">
        <v>2142</v>
      </c>
      <c r="AT2602" s="561">
        <v>7781.9650000000001</v>
      </c>
    </row>
    <row r="2603" spans="1:78">
      <c r="C2603" s="561" t="s">
        <v>1200</v>
      </c>
      <c r="L2603" s="561">
        <v>0</v>
      </c>
      <c r="N2603" s="561">
        <v>0</v>
      </c>
    </row>
    <row r="2604" spans="1:78">
      <c r="A2604" s="561">
        <v>53</v>
      </c>
      <c r="B2604" s="561" t="s">
        <v>1474</v>
      </c>
      <c r="C2604" s="561" t="s">
        <v>1206</v>
      </c>
      <c r="D2604" s="561">
        <v>121000</v>
      </c>
      <c r="E2604" s="561">
        <v>34800</v>
      </c>
      <c r="F2604" s="561">
        <v>86200</v>
      </c>
      <c r="G2604" s="561">
        <v>2050</v>
      </c>
      <c r="H2604" s="561">
        <v>124090.148</v>
      </c>
      <c r="I2604" s="561">
        <v>1</v>
      </c>
      <c r="J2604" s="561">
        <v>3006.6170000000002</v>
      </c>
      <c r="K2604" s="561">
        <v>2049</v>
      </c>
      <c r="L2604" s="561">
        <v>121000</v>
      </c>
      <c r="M2604" s="561">
        <v>121000</v>
      </c>
      <c r="N2604" s="561">
        <v>34800</v>
      </c>
      <c r="O2604" s="561">
        <v>0</v>
      </c>
      <c r="P2604" s="561">
        <v>86200</v>
      </c>
    </row>
    <row r="2605" spans="1:78">
      <c r="C2605" s="561" t="s">
        <v>1197</v>
      </c>
      <c r="D2605" s="561">
        <v>121000</v>
      </c>
      <c r="E2605" s="561">
        <v>34800</v>
      </c>
      <c r="F2605" s="561">
        <v>86200</v>
      </c>
      <c r="G2605" s="561">
        <v>2050</v>
      </c>
      <c r="H2605" s="561">
        <v>124090.148</v>
      </c>
      <c r="I2605" s="561">
        <v>1</v>
      </c>
      <c r="J2605" s="561">
        <v>3006.6170000000002</v>
      </c>
      <c r="K2605" s="561">
        <v>2049</v>
      </c>
      <c r="L2605" s="561">
        <v>121000</v>
      </c>
      <c r="M2605" s="561">
        <v>121000</v>
      </c>
      <c r="N2605" s="561">
        <v>34800</v>
      </c>
    </row>
    <row r="2606" spans="1:78">
      <c r="C2606" s="561" t="s">
        <v>1198</v>
      </c>
      <c r="L2606" s="561">
        <v>0</v>
      </c>
      <c r="N2606" s="561">
        <v>0</v>
      </c>
    </row>
    <row r="2607" spans="1:78">
      <c r="C2607" s="561" t="s">
        <v>1199</v>
      </c>
      <c r="L2607" s="561">
        <v>0</v>
      </c>
      <c r="N2607" s="561">
        <v>0</v>
      </c>
    </row>
    <row r="2608" spans="1:78">
      <c r="C2608" s="561" t="s">
        <v>1200</v>
      </c>
      <c r="L2608" s="561">
        <v>0</v>
      </c>
      <c r="N2608" s="561">
        <v>0</v>
      </c>
    </row>
    <row r="2609" spans="1:56">
      <c r="A2609" s="561">
        <v>54</v>
      </c>
      <c r="B2609" s="561" t="s">
        <v>1475</v>
      </c>
      <c r="C2609" s="561" t="s">
        <v>1206</v>
      </c>
      <c r="D2609" s="561">
        <v>48288</v>
      </c>
      <c r="E2609" s="561">
        <v>14486.4</v>
      </c>
      <c r="F2609" s="561">
        <v>33801.599999999999</v>
      </c>
      <c r="G2609" s="561">
        <v>709</v>
      </c>
      <c r="H2609" s="561">
        <v>50418.381999999998</v>
      </c>
      <c r="I2609" s="561">
        <v>22</v>
      </c>
      <c r="J2609" s="561">
        <v>2130.3339999999998</v>
      </c>
      <c r="K2609" s="561">
        <v>687</v>
      </c>
      <c r="L2609" s="561">
        <v>48288</v>
      </c>
      <c r="M2609" s="561">
        <v>48288</v>
      </c>
      <c r="N2609" s="561">
        <v>14486.4</v>
      </c>
      <c r="O2609" s="561">
        <v>0</v>
      </c>
      <c r="P2609" s="561">
        <v>33801.599999999999</v>
      </c>
    </row>
    <row r="2610" spans="1:56">
      <c r="C2610" s="561" t="s">
        <v>1197</v>
      </c>
      <c r="D2610" s="561">
        <v>46764.093999999997</v>
      </c>
      <c r="E2610" s="561">
        <v>14100</v>
      </c>
      <c r="F2610" s="561">
        <v>32664.093999999997</v>
      </c>
      <c r="G2610" s="561">
        <v>600</v>
      </c>
      <c r="H2610" s="561">
        <v>48672.142999999996</v>
      </c>
      <c r="I2610" s="561">
        <v>12</v>
      </c>
      <c r="J2610" s="561">
        <v>1908.001</v>
      </c>
      <c r="K2610" s="561">
        <v>588</v>
      </c>
      <c r="L2610" s="561">
        <v>46764.093999999997</v>
      </c>
      <c r="M2610" s="561">
        <v>46764.093999999997</v>
      </c>
      <c r="N2610" s="561">
        <v>14100</v>
      </c>
    </row>
    <row r="2611" spans="1:56">
      <c r="C2611" s="561" t="s">
        <v>1198</v>
      </c>
      <c r="L2611" s="561">
        <v>0</v>
      </c>
      <c r="N2611" s="561">
        <v>0</v>
      </c>
    </row>
    <row r="2612" spans="1:56">
      <c r="C2612" s="561" t="s">
        <v>1199</v>
      </c>
      <c r="D2612" s="561">
        <v>1523.9059999999999</v>
      </c>
      <c r="E2612" s="561">
        <v>386.4</v>
      </c>
      <c r="F2612" s="561">
        <v>1137.5059999999999</v>
      </c>
      <c r="G2612" s="561">
        <v>109</v>
      </c>
      <c r="H2612" s="561">
        <v>1746.239</v>
      </c>
      <c r="I2612" s="561">
        <v>10</v>
      </c>
      <c r="J2612" s="561">
        <v>222.333</v>
      </c>
      <c r="K2612" s="561">
        <v>99</v>
      </c>
      <c r="L2612" s="561">
        <v>1523.9059999999999</v>
      </c>
      <c r="M2612" s="561">
        <v>1523.9059999999999</v>
      </c>
      <c r="N2612" s="561">
        <v>386.4</v>
      </c>
      <c r="AL2612" s="561">
        <v>1137.5059999999999</v>
      </c>
    </row>
    <row r="2613" spans="1:56">
      <c r="C2613" s="561" t="s">
        <v>1200</v>
      </c>
      <c r="L2613" s="561">
        <v>0</v>
      </c>
      <c r="N2613" s="561">
        <v>0</v>
      </c>
    </row>
    <row r="2614" spans="1:56">
      <c r="A2614" s="561">
        <v>55</v>
      </c>
      <c r="B2614" s="561" t="s">
        <v>1476</v>
      </c>
      <c r="C2614" s="561" t="s">
        <v>1206</v>
      </c>
      <c r="D2614" s="561">
        <v>135615</v>
      </c>
      <c r="E2614" s="561">
        <v>40684.5</v>
      </c>
      <c r="F2614" s="561">
        <v>94930.5</v>
      </c>
      <c r="G2614" s="561">
        <v>58019</v>
      </c>
      <c r="H2614" s="561">
        <v>137086.06400000001</v>
      </c>
      <c r="I2614" s="561">
        <v>0</v>
      </c>
      <c r="J2614" s="561">
        <v>1280.4079999999999</v>
      </c>
      <c r="K2614" s="561">
        <v>58019</v>
      </c>
      <c r="L2614" s="561">
        <v>135615</v>
      </c>
      <c r="M2614" s="561">
        <v>135615</v>
      </c>
      <c r="N2614" s="561">
        <v>40684.5</v>
      </c>
      <c r="O2614" s="561">
        <v>0</v>
      </c>
      <c r="P2614" s="561">
        <v>94930.5</v>
      </c>
    </row>
    <row r="2615" spans="1:56">
      <c r="C2615" s="561" t="s">
        <v>1197</v>
      </c>
      <c r="D2615" s="561">
        <v>78500</v>
      </c>
      <c r="E2615" s="561">
        <v>23790</v>
      </c>
      <c r="F2615" s="561">
        <v>54710</v>
      </c>
      <c r="G2615" s="561">
        <v>928</v>
      </c>
      <c r="H2615" s="561">
        <v>79966.175000000003</v>
      </c>
      <c r="I2615" s="561">
        <v>0</v>
      </c>
      <c r="J2615" s="561">
        <v>1280.4079999999999</v>
      </c>
      <c r="K2615" s="561">
        <v>928</v>
      </c>
      <c r="L2615" s="561">
        <v>78500</v>
      </c>
      <c r="M2615" s="561">
        <v>78500</v>
      </c>
      <c r="N2615" s="561">
        <v>23790</v>
      </c>
    </row>
    <row r="2616" spans="1:56">
      <c r="C2616" s="561" t="s">
        <v>1198</v>
      </c>
      <c r="L2616" s="561">
        <v>0</v>
      </c>
      <c r="N2616" s="561">
        <v>0</v>
      </c>
    </row>
    <row r="2617" spans="1:56">
      <c r="C2617" s="561" t="s">
        <v>1199</v>
      </c>
      <c r="D2617" s="561">
        <v>2790</v>
      </c>
      <c r="E2617" s="561">
        <v>597</v>
      </c>
      <c r="F2617" s="561">
        <v>2193</v>
      </c>
      <c r="G2617" s="561">
        <v>173</v>
      </c>
      <c r="H2617" s="561">
        <v>2794.6260000000002</v>
      </c>
      <c r="I2617" s="561">
        <v>0</v>
      </c>
      <c r="J2617" s="561">
        <v>0</v>
      </c>
      <c r="K2617" s="561">
        <v>173</v>
      </c>
      <c r="L2617" s="561">
        <v>2790</v>
      </c>
      <c r="M2617" s="561">
        <v>2790</v>
      </c>
      <c r="N2617" s="561">
        <v>597</v>
      </c>
      <c r="BD2617" s="561">
        <v>2193</v>
      </c>
    </row>
    <row r="2618" spans="1:56">
      <c r="C2618" s="561" t="s">
        <v>1200</v>
      </c>
      <c r="D2618" s="561">
        <v>54325</v>
      </c>
      <c r="E2618" s="561">
        <v>16297.5</v>
      </c>
      <c r="F2618" s="561">
        <v>38027.5</v>
      </c>
      <c r="G2618" s="561">
        <v>56918</v>
      </c>
      <c r="H2618" s="561">
        <v>54325.262999999999</v>
      </c>
      <c r="I2618" s="561">
        <v>0</v>
      </c>
      <c r="J2618" s="561">
        <v>0</v>
      </c>
      <c r="K2618" s="561">
        <v>56918</v>
      </c>
      <c r="L2618" s="561">
        <v>54325</v>
      </c>
      <c r="M2618" s="561">
        <v>54325</v>
      </c>
      <c r="N2618" s="561">
        <v>16297.5</v>
      </c>
      <c r="P2618" s="561">
        <v>38027.5</v>
      </c>
    </row>
    <row r="2619" spans="1:56">
      <c r="A2619" s="561">
        <v>56</v>
      </c>
      <c r="B2619" s="561" t="s">
        <v>1477</v>
      </c>
      <c r="C2619" s="561" t="s">
        <v>1206</v>
      </c>
      <c r="D2619" s="561">
        <v>71512</v>
      </c>
      <c r="E2619" s="561">
        <v>18753.599999999999</v>
      </c>
      <c r="F2619" s="561">
        <v>52758.400000000001</v>
      </c>
      <c r="G2619" s="561">
        <v>1295</v>
      </c>
      <c r="H2619" s="561">
        <v>73382.942999999999</v>
      </c>
      <c r="I2619" s="561">
        <v>1</v>
      </c>
      <c r="J2619" s="561">
        <v>1823.3520000000001</v>
      </c>
      <c r="K2619" s="561">
        <v>1294</v>
      </c>
      <c r="L2619" s="561">
        <v>71512</v>
      </c>
      <c r="M2619" s="561">
        <v>71512</v>
      </c>
      <c r="N2619" s="561">
        <v>18753.599999999999</v>
      </c>
      <c r="O2619" s="561">
        <v>0</v>
      </c>
      <c r="P2619" s="561">
        <v>52758.400000000001</v>
      </c>
    </row>
    <row r="2620" spans="1:56">
      <c r="C2620" s="561" t="s">
        <v>1197</v>
      </c>
      <c r="D2620" s="561">
        <v>67000</v>
      </c>
      <c r="E2620" s="561">
        <v>17700</v>
      </c>
      <c r="F2620" s="561">
        <v>49300</v>
      </c>
      <c r="G2620" s="561">
        <v>993</v>
      </c>
      <c r="H2620" s="561">
        <v>68697.017999999996</v>
      </c>
      <c r="I2620" s="561">
        <v>1</v>
      </c>
      <c r="J2620" s="561">
        <v>1692.8340000000001</v>
      </c>
      <c r="K2620" s="561">
        <v>992</v>
      </c>
      <c r="L2620" s="561">
        <v>67000</v>
      </c>
      <c r="M2620" s="561">
        <v>67000</v>
      </c>
      <c r="N2620" s="561">
        <v>17700</v>
      </c>
    </row>
    <row r="2621" spans="1:56">
      <c r="C2621" s="561" t="s">
        <v>1198</v>
      </c>
      <c r="L2621" s="561">
        <v>0</v>
      </c>
      <c r="N2621" s="561">
        <v>0</v>
      </c>
    </row>
    <row r="2622" spans="1:56">
      <c r="C2622" s="561" t="s">
        <v>1199</v>
      </c>
      <c r="D2622" s="561">
        <v>4512</v>
      </c>
      <c r="E2622" s="561">
        <v>1053.5999999999999</v>
      </c>
      <c r="F2622" s="561">
        <v>3458.4</v>
      </c>
      <c r="G2622" s="561">
        <v>302</v>
      </c>
      <c r="H2622" s="561">
        <v>4685.9250000000002</v>
      </c>
      <c r="I2622" s="561">
        <v>0</v>
      </c>
      <c r="J2622" s="561">
        <v>130.518</v>
      </c>
      <c r="K2622" s="561">
        <v>302</v>
      </c>
      <c r="L2622" s="561">
        <v>4512</v>
      </c>
      <c r="M2622" s="561">
        <v>4512</v>
      </c>
      <c r="N2622" s="561">
        <v>1053.5999999999999</v>
      </c>
      <c r="AN2622" s="561">
        <v>3458.4</v>
      </c>
    </row>
    <row r="2623" spans="1:56">
      <c r="C2623" s="561" t="s">
        <v>1200</v>
      </c>
      <c r="L2623" s="561">
        <v>0</v>
      </c>
      <c r="N2623" s="561">
        <v>0</v>
      </c>
    </row>
    <row r="2624" spans="1:56">
      <c r="A2624" s="561">
        <v>57</v>
      </c>
      <c r="B2624" s="561" t="s">
        <v>1478</v>
      </c>
      <c r="C2624" s="561" t="s">
        <v>1206</v>
      </c>
      <c r="D2624" s="561">
        <v>5267</v>
      </c>
      <c r="E2624" s="561">
        <v>1580.1</v>
      </c>
      <c r="F2624" s="561">
        <v>3686.9</v>
      </c>
      <c r="G2624" s="561">
        <v>356</v>
      </c>
      <c r="H2624" s="561">
        <v>5479.95</v>
      </c>
      <c r="I2624" s="561">
        <v>1</v>
      </c>
      <c r="J2624" s="561">
        <v>200.422</v>
      </c>
      <c r="K2624" s="561">
        <v>355</v>
      </c>
      <c r="L2624" s="561">
        <v>5267</v>
      </c>
      <c r="M2624" s="561">
        <v>5267</v>
      </c>
      <c r="N2624" s="561">
        <v>1580.1</v>
      </c>
      <c r="O2624" s="561">
        <v>0</v>
      </c>
      <c r="P2624" s="561">
        <v>3686.9</v>
      </c>
    </row>
    <row r="2625" spans="1:78">
      <c r="C2625" s="561" t="s">
        <v>1197</v>
      </c>
      <c r="L2625" s="561">
        <v>0</v>
      </c>
      <c r="N2625" s="561">
        <v>0</v>
      </c>
    </row>
    <row r="2626" spans="1:78">
      <c r="C2626" s="561" t="s">
        <v>1198</v>
      </c>
      <c r="L2626" s="561">
        <v>0</v>
      </c>
      <c r="N2626" s="561">
        <v>0</v>
      </c>
    </row>
    <row r="2627" spans="1:78">
      <c r="C2627" s="561" t="s">
        <v>1199</v>
      </c>
      <c r="D2627" s="561">
        <v>5267</v>
      </c>
      <c r="E2627" s="561">
        <v>1580.1</v>
      </c>
      <c r="F2627" s="561">
        <v>3686.9</v>
      </c>
      <c r="G2627" s="561">
        <v>356</v>
      </c>
      <c r="H2627" s="561">
        <v>5479.95</v>
      </c>
      <c r="I2627" s="561">
        <v>1</v>
      </c>
      <c r="J2627" s="561">
        <v>200.422</v>
      </c>
      <c r="K2627" s="561">
        <v>355</v>
      </c>
      <c r="L2627" s="561">
        <v>5267</v>
      </c>
      <c r="M2627" s="561">
        <v>5267</v>
      </c>
      <c r="N2627" s="561">
        <v>1580.1</v>
      </c>
      <c r="BZ2627" s="561">
        <v>3686.9</v>
      </c>
    </row>
    <row r="2628" spans="1:78">
      <c r="C2628" s="561" t="s">
        <v>1200</v>
      </c>
      <c r="L2628" s="561">
        <v>0</v>
      </c>
      <c r="N2628" s="561">
        <v>0</v>
      </c>
    </row>
    <row r="2629" spans="1:78">
      <c r="A2629" s="561">
        <v>58</v>
      </c>
      <c r="B2629" s="561" t="s">
        <v>1479</v>
      </c>
      <c r="C2629" s="561" t="s">
        <v>1206</v>
      </c>
      <c r="D2629" s="561">
        <v>1053</v>
      </c>
      <c r="E2629" s="561">
        <v>315.89999999999998</v>
      </c>
      <c r="F2629" s="561">
        <v>737.1</v>
      </c>
      <c r="G2629" s="561">
        <v>82</v>
      </c>
      <c r="H2629" s="561">
        <v>1273.452</v>
      </c>
      <c r="I2629" s="561">
        <v>1</v>
      </c>
      <c r="J2629" s="561">
        <v>8.7309999999999999</v>
      </c>
      <c r="K2629" s="561">
        <v>81</v>
      </c>
      <c r="L2629" s="561">
        <v>1053</v>
      </c>
      <c r="M2629" s="561">
        <v>1053</v>
      </c>
      <c r="N2629" s="561">
        <v>315.89999999999998</v>
      </c>
      <c r="O2629" s="561">
        <v>0</v>
      </c>
      <c r="P2629" s="561">
        <v>737.1</v>
      </c>
    </row>
    <row r="2630" spans="1:78">
      <c r="C2630" s="561" t="s">
        <v>1197</v>
      </c>
      <c r="L2630" s="561">
        <v>0</v>
      </c>
      <c r="N2630" s="561">
        <v>0</v>
      </c>
    </row>
    <row r="2631" spans="1:78">
      <c r="C2631" s="561" t="s">
        <v>1198</v>
      </c>
      <c r="L2631" s="561">
        <v>0</v>
      </c>
      <c r="N2631" s="561">
        <v>0</v>
      </c>
    </row>
    <row r="2632" spans="1:78">
      <c r="C2632" s="561" t="s">
        <v>1199</v>
      </c>
      <c r="D2632" s="561">
        <v>1053</v>
      </c>
      <c r="E2632" s="561">
        <v>315.89999999999998</v>
      </c>
      <c r="F2632" s="561">
        <v>737.1</v>
      </c>
      <c r="G2632" s="561">
        <v>82</v>
      </c>
      <c r="H2632" s="561">
        <v>1273.452</v>
      </c>
      <c r="I2632" s="561">
        <v>1</v>
      </c>
      <c r="J2632" s="561">
        <v>8.7309999999999999</v>
      </c>
      <c r="K2632" s="561">
        <v>81</v>
      </c>
      <c r="L2632" s="561">
        <v>1053</v>
      </c>
      <c r="M2632" s="561">
        <v>1053</v>
      </c>
      <c r="N2632" s="561">
        <v>315.89999999999998</v>
      </c>
      <c r="AL2632" s="561">
        <v>737.1</v>
      </c>
    </row>
    <row r="2633" spans="1:78">
      <c r="C2633" s="561" t="s">
        <v>1200</v>
      </c>
      <c r="L2633" s="561">
        <v>0</v>
      </c>
      <c r="N2633" s="561">
        <v>0</v>
      </c>
    </row>
    <row r="2634" spans="1:78">
      <c r="A2634" s="561">
        <v>59</v>
      </c>
      <c r="B2634" s="561" t="s">
        <v>1480</v>
      </c>
      <c r="C2634" s="561" t="s">
        <v>1206</v>
      </c>
      <c r="D2634" s="561">
        <v>1258.607</v>
      </c>
      <c r="E2634" s="561">
        <v>386.4</v>
      </c>
      <c r="F2634" s="561">
        <v>872.20699999999999</v>
      </c>
      <c r="G2634" s="561">
        <v>110</v>
      </c>
      <c r="H2634" s="561">
        <v>1683.626</v>
      </c>
      <c r="I2634" s="561">
        <v>11</v>
      </c>
      <c r="J2634" s="561">
        <v>425.01900000000001</v>
      </c>
      <c r="K2634" s="561">
        <v>99</v>
      </c>
      <c r="L2634" s="561">
        <v>1258.607</v>
      </c>
      <c r="M2634" s="561">
        <v>1258.607</v>
      </c>
      <c r="N2634" s="561">
        <v>386.4</v>
      </c>
      <c r="O2634" s="561">
        <v>0</v>
      </c>
      <c r="P2634" s="561">
        <v>872.20699999999999</v>
      </c>
    </row>
    <row r="2635" spans="1:78">
      <c r="C2635" s="561" t="s">
        <v>1197</v>
      </c>
      <c r="L2635" s="561">
        <v>0</v>
      </c>
      <c r="N2635" s="561">
        <v>0</v>
      </c>
    </row>
    <row r="2636" spans="1:78">
      <c r="C2636" s="561" t="s">
        <v>1198</v>
      </c>
      <c r="L2636" s="561">
        <v>0</v>
      </c>
      <c r="N2636" s="561">
        <v>0</v>
      </c>
    </row>
    <row r="2637" spans="1:78">
      <c r="C2637" s="561" t="s">
        <v>1199</v>
      </c>
      <c r="D2637" s="561">
        <v>1258.607</v>
      </c>
      <c r="E2637" s="561">
        <v>386.4</v>
      </c>
      <c r="F2637" s="561">
        <v>872.20699999999999</v>
      </c>
      <c r="G2637" s="561">
        <v>110</v>
      </c>
      <c r="H2637" s="561">
        <v>1683.626</v>
      </c>
      <c r="I2637" s="561">
        <v>11</v>
      </c>
      <c r="J2637" s="561">
        <v>425.01900000000001</v>
      </c>
      <c r="K2637" s="561">
        <v>99</v>
      </c>
      <c r="L2637" s="561">
        <v>1258.607</v>
      </c>
      <c r="M2637" s="561">
        <v>1258.607</v>
      </c>
      <c r="N2637" s="561">
        <v>386.4</v>
      </c>
      <c r="BM2637" s="561">
        <v>872.20699999999999</v>
      </c>
    </row>
    <row r="2638" spans="1:78">
      <c r="C2638" s="561" t="s">
        <v>1200</v>
      </c>
      <c r="L2638" s="561">
        <v>0</v>
      </c>
      <c r="N2638" s="561">
        <v>0</v>
      </c>
    </row>
    <row r="2639" spans="1:78">
      <c r="A2639" s="561">
        <v>60</v>
      </c>
      <c r="B2639" s="561" t="s">
        <v>1481</v>
      </c>
      <c r="C2639" s="561" t="s">
        <v>1206</v>
      </c>
      <c r="D2639" s="561">
        <v>106733</v>
      </c>
      <c r="E2639" s="561">
        <v>29720.7</v>
      </c>
      <c r="F2639" s="561">
        <v>77012.299999999988</v>
      </c>
      <c r="G2639" s="561">
        <v>2952</v>
      </c>
      <c r="H2639" s="561">
        <v>110613.766</v>
      </c>
      <c r="I2639" s="561">
        <v>40</v>
      </c>
      <c r="J2639" s="561">
        <v>3816.1629999999996</v>
      </c>
      <c r="K2639" s="561">
        <v>2912</v>
      </c>
      <c r="L2639" s="561">
        <v>106733</v>
      </c>
      <c r="M2639" s="561">
        <v>106733</v>
      </c>
      <c r="N2639" s="561">
        <v>29720.7</v>
      </c>
      <c r="O2639" s="561">
        <v>0</v>
      </c>
      <c r="P2639" s="561">
        <v>77012.299999999988</v>
      </c>
    </row>
    <row r="2640" spans="1:78">
      <c r="C2640" s="561" t="s">
        <v>1197</v>
      </c>
      <c r="D2640" s="561">
        <v>77801.289999999994</v>
      </c>
      <c r="E2640" s="561">
        <v>23400</v>
      </c>
      <c r="F2640" s="561">
        <v>54401.289999999994</v>
      </c>
      <c r="G2640" s="561">
        <v>1193</v>
      </c>
      <c r="H2640" s="561">
        <v>80485.001000000004</v>
      </c>
      <c r="I2640" s="561">
        <v>6</v>
      </c>
      <c r="J2640" s="561">
        <v>2683.7109999999998</v>
      </c>
      <c r="K2640" s="561">
        <v>1187</v>
      </c>
      <c r="L2640" s="561">
        <v>77801.289999999994</v>
      </c>
      <c r="M2640" s="561">
        <v>77801.289999999994</v>
      </c>
      <c r="N2640" s="561">
        <v>23400</v>
      </c>
    </row>
    <row r="2641" spans="1:38">
      <c r="C2641" s="561" t="s">
        <v>1198</v>
      </c>
      <c r="L2641" s="561">
        <v>0</v>
      </c>
      <c r="N2641" s="561">
        <v>0</v>
      </c>
    </row>
    <row r="2642" spans="1:38">
      <c r="C2642" s="561" t="s">
        <v>1199</v>
      </c>
      <c r="D2642" s="561">
        <v>28931.71</v>
      </c>
      <c r="E2642" s="561">
        <v>6320.7</v>
      </c>
      <c r="F2642" s="561">
        <v>22611.01</v>
      </c>
      <c r="G2642" s="561">
        <v>1759</v>
      </c>
      <c r="H2642" s="561">
        <v>30128.764999999999</v>
      </c>
      <c r="I2642" s="561">
        <v>34</v>
      </c>
      <c r="J2642" s="561">
        <v>1132.452</v>
      </c>
      <c r="K2642" s="561">
        <v>1725</v>
      </c>
      <c r="L2642" s="561">
        <v>28931.71</v>
      </c>
      <c r="M2642" s="561">
        <v>28931.71</v>
      </c>
      <c r="N2642" s="561">
        <v>6320.7</v>
      </c>
      <c r="AL2642" s="561">
        <v>22611.01</v>
      </c>
    </row>
    <row r="2643" spans="1:38">
      <c r="C2643" s="561" t="s">
        <v>1200</v>
      </c>
      <c r="L2643" s="561">
        <v>0</v>
      </c>
      <c r="N2643" s="561">
        <v>0</v>
      </c>
    </row>
    <row r="2644" spans="1:38">
      <c r="A2644" s="561">
        <v>61</v>
      </c>
      <c r="B2644" s="561" t="s">
        <v>1482</v>
      </c>
      <c r="C2644" s="561" t="s">
        <v>1206</v>
      </c>
      <c r="D2644" s="561">
        <v>91102</v>
      </c>
      <c r="E2644" s="561">
        <v>25909.200000000001</v>
      </c>
      <c r="F2644" s="561">
        <v>65192.800000000003</v>
      </c>
      <c r="G2644" s="561">
        <v>1983</v>
      </c>
      <c r="H2644" s="561">
        <v>79068.25</v>
      </c>
      <c r="I2644" s="561">
        <v>12</v>
      </c>
      <c r="J2644" s="561">
        <v>1304.943</v>
      </c>
      <c r="K2644" s="561">
        <v>1971</v>
      </c>
      <c r="L2644" s="561">
        <v>91102</v>
      </c>
      <c r="M2644" s="561">
        <v>91102</v>
      </c>
      <c r="N2644" s="561">
        <v>25909.200000000001</v>
      </c>
      <c r="O2644" s="561">
        <v>0</v>
      </c>
      <c r="P2644" s="561">
        <v>65192.800000000003</v>
      </c>
    </row>
    <row r="2645" spans="1:38">
      <c r="C2645" s="561" t="s">
        <v>1197</v>
      </c>
      <c r="D2645" s="561">
        <v>73525.866999999998</v>
      </c>
      <c r="E2645" s="561">
        <v>23100</v>
      </c>
      <c r="F2645" s="561">
        <v>50425.866999999998</v>
      </c>
      <c r="G2645" s="561">
        <v>894</v>
      </c>
      <c r="H2645" s="561">
        <v>61923.237000000001</v>
      </c>
      <c r="I2645" s="561">
        <v>3</v>
      </c>
      <c r="J2645" s="561">
        <v>865.83299999999997</v>
      </c>
      <c r="K2645" s="561">
        <v>891</v>
      </c>
      <c r="L2645" s="561">
        <v>73525.866999999998</v>
      </c>
      <c r="M2645" s="561">
        <v>73525.866999999998</v>
      </c>
      <c r="N2645" s="561">
        <v>23100</v>
      </c>
    </row>
    <row r="2646" spans="1:38">
      <c r="C2646" s="561" t="s">
        <v>1198</v>
      </c>
      <c r="L2646" s="561">
        <v>0</v>
      </c>
      <c r="N2646" s="561">
        <v>0</v>
      </c>
    </row>
    <row r="2647" spans="1:38">
      <c r="C2647" s="561" t="s">
        <v>1199</v>
      </c>
      <c r="D2647" s="561">
        <v>17576.133000000002</v>
      </c>
      <c r="E2647" s="561">
        <v>2809.2</v>
      </c>
      <c r="F2647" s="561">
        <v>14766.933000000001</v>
      </c>
      <c r="G2647" s="561">
        <v>1089</v>
      </c>
      <c r="H2647" s="561">
        <v>17145.012999999999</v>
      </c>
      <c r="I2647" s="561">
        <v>9</v>
      </c>
      <c r="J2647" s="561">
        <v>439.11</v>
      </c>
      <c r="K2647" s="561">
        <v>1080</v>
      </c>
      <c r="L2647" s="561">
        <v>17576.133000000002</v>
      </c>
      <c r="M2647" s="561">
        <v>17576.133000000002</v>
      </c>
      <c r="N2647" s="561">
        <v>2809.2</v>
      </c>
      <c r="AL2647" s="561">
        <v>14766.933000000001</v>
      </c>
    </row>
    <row r="2648" spans="1:38">
      <c r="C2648" s="561" t="s">
        <v>1200</v>
      </c>
      <c r="L2648" s="561">
        <v>0</v>
      </c>
      <c r="N2648" s="561">
        <v>0</v>
      </c>
    </row>
    <row r="2649" spans="1:38">
      <c r="A2649" s="561">
        <v>62</v>
      </c>
      <c r="B2649" s="561" t="s">
        <v>1483</v>
      </c>
      <c r="C2649" s="561" t="s">
        <v>1206</v>
      </c>
      <c r="D2649" s="561">
        <v>405825</v>
      </c>
      <c r="E2649" s="561">
        <v>121594.2</v>
      </c>
      <c r="F2649" s="561">
        <v>284230.80000000005</v>
      </c>
      <c r="G2649" s="561">
        <v>11865</v>
      </c>
      <c r="H2649" s="561">
        <v>420701.31900000002</v>
      </c>
      <c r="I2649" s="561">
        <v>110</v>
      </c>
      <c r="J2649" s="561">
        <v>14288.972</v>
      </c>
      <c r="K2649" s="561">
        <v>11755</v>
      </c>
      <c r="L2649" s="561">
        <v>405825</v>
      </c>
      <c r="M2649" s="561">
        <v>405825</v>
      </c>
      <c r="N2649" s="561">
        <v>121594.2</v>
      </c>
      <c r="O2649" s="561">
        <v>0</v>
      </c>
      <c r="P2649" s="561">
        <v>284230.80000000005</v>
      </c>
    </row>
    <row r="2650" spans="1:38">
      <c r="C2650" s="561" t="s">
        <v>1197</v>
      </c>
      <c r="D2650" s="561">
        <v>327474.34600000002</v>
      </c>
      <c r="E2650" s="561">
        <v>102000</v>
      </c>
      <c r="F2650" s="561">
        <v>225474.34600000002</v>
      </c>
      <c r="G2650" s="561">
        <v>5957</v>
      </c>
      <c r="H2650" s="561">
        <v>341009.24300000002</v>
      </c>
      <c r="I2650" s="561">
        <v>39</v>
      </c>
      <c r="J2650" s="561">
        <v>12947.55</v>
      </c>
      <c r="K2650" s="561">
        <v>5918</v>
      </c>
      <c r="L2650" s="561">
        <v>327474.34600000002</v>
      </c>
      <c r="M2650" s="561">
        <v>327474.34600000002</v>
      </c>
      <c r="N2650" s="561">
        <v>102000</v>
      </c>
    </row>
    <row r="2651" spans="1:38">
      <c r="C2651" s="561" t="s">
        <v>1198</v>
      </c>
      <c r="L2651" s="561">
        <v>0</v>
      </c>
      <c r="N2651" s="561">
        <v>0</v>
      </c>
    </row>
    <row r="2652" spans="1:38">
      <c r="C2652" s="561" t="s">
        <v>1199</v>
      </c>
      <c r="D2652" s="561">
        <v>78350.653999999995</v>
      </c>
      <c r="E2652" s="561">
        <v>19594.2</v>
      </c>
      <c r="F2652" s="561">
        <v>58756.453999999998</v>
      </c>
      <c r="G2652" s="561">
        <v>5908</v>
      </c>
      <c r="H2652" s="561">
        <v>79692.076000000001</v>
      </c>
      <c r="I2652" s="561">
        <v>71</v>
      </c>
      <c r="J2652" s="561">
        <v>1341.422</v>
      </c>
      <c r="K2652" s="561">
        <v>5837</v>
      </c>
      <c r="L2652" s="561">
        <v>78350.653999999995</v>
      </c>
      <c r="M2652" s="561">
        <v>78350.653999999995</v>
      </c>
      <c r="N2652" s="561">
        <v>19594.2</v>
      </c>
      <c r="AL2652" s="561">
        <v>58756.453999999998</v>
      </c>
    </row>
    <row r="2653" spans="1:38">
      <c r="C2653" s="561" t="s">
        <v>1200</v>
      </c>
      <c r="L2653" s="561">
        <v>0</v>
      </c>
      <c r="N2653" s="561">
        <v>0</v>
      </c>
    </row>
    <row r="2654" spans="1:38">
      <c r="A2654" s="561">
        <v>63</v>
      </c>
      <c r="B2654" s="561" t="s">
        <v>1484</v>
      </c>
      <c r="C2654" s="561" t="s">
        <v>1206</v>
      </c>
      <c r="D2654" s="561">
        <v>66740.491999999998</v>
      </c>
      <c r="E2654" s="561">
        <v>20305.5</v>
      </c>
      <c r="F2654" s="561">
        <v>46434.991999999998</v>
      </c>
      <c r="G2654" s="561">
        <v>2117</v>
      </c>
      <c r="H2654" s="561">
        <v>68733.042000000001</v>
      </c>
      <c r="I2654" s="561">
        <v>24</v>
      </c>
      <c r="J2654" s="561">
        <v>1992.5500000000002</v>
      </c>
      <c r="K2654" s="561">
        <v>2093</v>
      </c>
      <c r="L2654" s="561">
        <v>66740.491999999998</v>
      </c>
      <c r="M2654" s="561">
        <v>66740.491999999998</v>
      </c>
      <c r="N2654" s="561">
        <v>20305.5</v>
      </c>
      <c r="O2654" s="561">
        <v>0</v>
      </c>
      <c r="P2654" s="561">
        <v>46434.991999999998</v>
      </c>
    </row>
    <row r="2655" spans="1:38">
      <c r="C2655" s="561" t="s">
        <v>1197</v>
      </c>
      <c r="D2655" s="561">
        <v>48542.184999999998</v>
      </c>
      <c r="E2655" s="561">
        <v>15600</v>
      </c>
      <c r="F2655" s="561">
        <v>32942.184999999998</v>
      </c>
      <c r="G2655" s="561">
        <v>747</v>
      </c>
      <c r="H2655" s="561">
        <v>49596.421999999999</v>
      </c>
      <c r="I2655" s="561">
        <v>3</v>
      </c>
      <c r="J2655" s="561">
        <v>1054.2370000000001</v>
      </c>
      <c r="K2655" s="561">
        <v>744</v>
      </c>
      <c r="L2655" s="561">
        <v>48542.184999999998</v>
      </c>
      <c r="M2655" s="561">
        <v>48542.184999999998</v>
      </c>
      <c r="N2655" s="561">
        <v>15600</v>
      </c>
    </row>
    <row r="2656" spans="1:38">
      <c r="C2656" s="561" t="s">
        <v>1198</v>
      </c>
      <c r="L2656" s="561">
        <v>0</v>
      </c>
      <c r="N2656" s="561">
        <v>0</v>
      </c>
    </row>
    <row r="2657" spans="1:38">
      <c r="C2657" s="561" t="s">
        <v>1199</v>
      </c>
      <c r="D2657" s="561">
        <v>18198.307000000001</v>
      </c>
      <c r="E2657" s="561">
        <v>4705.5</v>
      </c>
      <c r="F2657" s="561">
        <v>13492.807000000001</v>
      </c>
      <c r="G2657" s="561">
        <v>1370</v>
      </c>
      <c r="H2657" s="561">
        <v>19136.62</v>
      </c>
      <c r="I2657" s="561">
        <v>21</v>
      </c>
      <c r="J2657" s="561">
        <v>938.31299999999999</v>
      </c>
      <c r="K2657" s="561">
        <v>1349</v>
      </c>
      <c r="L2657" s="561">
        <v>18198.307000000001</v>
      </c>
      <c r="M2657" s="561">
        <v>18198.307000000001</v>
      </c>
      <c r="N2657" s="561">
        <v>4705.5</v>
      </c>
      <c r="AL2657" s="561">
        <v>13492.807000000001</v>
      </c>
    </row>
    <row r="2658" spans="1:38">
      <c r="C2658" s="561" t="s">
        <v>1200</v>
      </c>
      <c r="L2658" s="561">
        <v>0</v>
      </c>
      <c r="N2658" s="561">
        <v>0</v>
      </c>
    </row>
    <row r="2659" spans="1:38">
      <c r="A2659" s="561">
        <v>64</v>
      </c>
      <c r="B2659" s="561" t="s">
        <v>1485</v>
      </c>
      <c r="C2659" s="561" t="s">
        <v>1206</v>
      </c>
      <c r="D2659" s="561">
        <v>44675.362000000001</v>
      </c>
      <c r="E2659" s="561">
        <v>13629.6</v>
      </c>
      <c r="F2659" s="561">
        <v>31045.761999999999</v>
      </c>
      <c r="G2659" s="561">
        <v>1424</v>
      </c>
      <c r="H2659" s="561">
        <v>46983.428</v>
      </c>
      <c r="I2659" s="561">
        <v>17</v>
      </c>
      <c r="J2659" s="561">
        <v>2308.0660000000003</v>
      </c>
      <c r="K2659" s="561">
        <v>1407</v>
      </c>
      <c r="L2659" s="561">
        <v>44675.362000000001</v>
      </c>
      <c r="M2659" s="561">
        <v>44675.362000000001</v>
      </c>
      <c r="N2659" s="561">
        <v>13629.6</v>
      </c>
      <c r="O2659" s="561">
        <v>0</v>
      </c>
      <c r="P2659" s="561">
        <v>31045.761999999999</v>
      </c>
    </row>
    <row r="2660" spans="1:38">
      <c r="C2660" s="561" t="s">
        <v>1197</v>
      </c>
      <c r="D2660" s="561">
        <v>33537.510999999999</v>
      </c>
      <c r="E2660" s="561">
        <v>10680</v>
      </c>
      <c r="F2660" s="561">
        <v>22857.510999999999</v>
      </c>
      <c r="G2660" s="561">
        <v>562</v>
      </c>
      <c r="H2660" s="561">
        <v>35419.131999999998</v>
      </c>
      <c r="I2660" s="561">
        <v>4</v>
      </c>
      <c r="J2660" s="561">
        <v>1881.6210000000001</v>
      </c>
      <c r="K2660" s="561">
        <v>558</v>
      </c>
      <c r="L2660" s="561">
        <v>33537.510999999999</v>
      </c>
      <c r="M2660" s="561">
        <v>33537.510999999999</v>
      </c>
      <c r="N2660" s="561">
        <v>10680</v>
      </c>
    </row>
    <row r="2661" spans="1:38">
      <c r="C2661" s="561" t="s">
        <v>1198</v>
      </c>
      <c r="L2661" s="561">
        <v>0</v>
      </c>
      <c r="N2661" s="561">
        <v>0</v>
      </c>
    </row>
    <row r="2662" spans="1:38">
      <c r="C2662" s="561" t="s">
        <v>1199</v>
      </c>
      <c r="D2662" s="561">
        <v>11137.851000000001</v>
      </c>
      <c r="E2662" s="561">
        <v>2949.6</v>
      </c>
      <c r="F2662" s="561">
        <v>8188.2510000000002</v>
      </c>
      <c r="G2662" s="561">
        <v>862</v>
      </c>
      <c r="H2662" s="561">
        <v>11564.296</v>
      </c>
      <c r="I2662" s="561">
        <v>13</v>
      </c>
      <c r="J2662" s="561">
        <v>426.44499999999999</v>
      </c>
      <c r="K2662" s="561">
        <v>849</v>
      </c>
      <c r="L2662" s="561">
        <v>11137.851000000001</v>
      </c>
      <c r="M2662" s="561">
        <v>11137.851000000001</v>
      </c>
      <c r="N2662" s="561">
        <v>2949.6</v>
      </c>
      <c r="AL2662" s="561">
        <v>8188.2510000000002</v>
      </c>
    </row>
    <row r="2663" spans="1:38">
      <c r="C2663" s="561" t="s">
        <v>1200</v>
      </c>
      <c r="L2663" s="561">
        <v>0</v>
      </c>
      <c r="N2663" s="561">
        <v>0</v>
      </c>
    </row>
    <row r="2664" spans="1:38">
      <c r="A2664" s="561">
        <v>65</v>
      </c>
      <c r="B2664" s="561" t="s">
        <v>1486</v>
      </c>
      <c r="C2664" s="561" t="s">
        <v>1206</v>
      </c>
      <c r="D2664" s="561">
        <v>107495</v>
      </c>
      <c r="E2664" s="561">
        <v>30913.8</v>
      </c>
      <c r="F2664" s="561">
        <v>76581.2</v>
      </c>
      <c r="G2664" s="561">
        <v>2520</v>
      </c>
      <c r="H2664" s="561">
        <v>107446.974</v>
      </c>
      <c r="I2664" s="561">
        <v>7</v>
      </c>
      <c r="J2664" s="561">
        <v>3014.5549999999998</v>
      </c>
      <c r="K2664" s="561">
        <v>2513</v>
      </c>
      <c r="L2664" s="561">
        <v>107495</v>
      </c>
      <c r="M2664" s="561">
        <v>107495</v>
      </c>
      <c r="N2664" s="561">
        <v>30913.8</v>
      </c>
      <c r="O2664" s="561">
        <v>0</v>
      </c>
      <c r="P2664" s="561">
        <v>76581.2</v>
      </c>
    </row>
    <row r="2665" spans="1:38">
      <c r="C2665" s="561" t="s">
        <v>1197</v>
      </c>
      <c r="D2665" s="561">
        <v>89178.725999999995</v>
      </c>
      <c r="E2665" s="561">
        <v>26700</v>
      </c>
      <c r="F2665" s="561">
        <v>62478.725999999995</v>
      </c>
      <c r="G2665" s="561">
        <v>1304</v>
      </c>
      <c r="H2665" s="561">
        <v>87573.173999999999</v>
      </c>
      <c r="I2665" s="561">
        <v>4</v>
      </c>
      <c r="J2665" s="561">
        <v>2710.5439999999999</v>
      </c>
      <c r="K2665" s="561">
        <v>1300</v>
      </c>
      <c r="L2665" s="561">
        <v>89178.725999999995</v>
      </c>
      <c r="M2665" s="561">
        <v>89178.725999999995</v>
      </c>
      <c r="N2665" s="561">
        <v>26700</v>
      </c>
    </row>
    <row r="2666" spans="1:38">
      <c r="C2666" s="561" t="s">
        <v>1198</v>
      </c>
      <c r="L2666" s="561">
        <v>0</v>
      </c>
      <c r="N2666" s="561">
        <v>0</v>
      </c>
    </row>
    <row r="2667" spans="1:38">
      <c r="C2667" s="561" t="s">
        <v>1199</v>
      </c>
      <c r="D2667" s="561">
        <v>18316.274000000001</v>
      </c>
      <c r="E2667" s="561">
        <v>4213.8</v>
      </c>
      <c r="F2667" s="561">
        <v>14102.474000000002</v>
      </c>
      <c r="G2667" s="561">
        <v>1216</v>
      </c>
      <c r="H2667" s="561">
        <v>19873.8</v>
      </c>
      <c r="I2667" s="561">
        <v>3</v>
      </c>
      <c r="J2667" s="561">
        <v>304.01100000000002</v>
      </c>
      <c r="K2667" s="561">
        <v>1213</v>
      </c>
      <c r="L2667" s="561">
        <v>18316.274000000001</v>
      </c>
      <c r="M2667" s="561">
        <v>18316.274000000001</v>
      </c>
      <c r="N2667" s="561">
        <v>4213.8</v>
      </c>
      <c r="AL2667" s="561">
        <v>14102.474000000002</v>
      </c>
    </row>
    <row r="2668" spans="1:38">
      <c r="C2668" s="561" t="s">
        <v>1200</v>
      </c>
      <c r="L2668" s="561">
        <v>0</v>
      </c>
      <c r="N2668" s="561">
        <v>0</v>
      </c>
    </row>
    <row r="2669" spans="1:38">
      <c r="A2669" s="561">
        <v>66</v>
      </c>
      <c r="B2669" s="561" t="s">
        <v>1487</v>
      </c>
      <c r="C2669" s="561" t="s">
        <v>1206</v>
      </c>
      <c r="D2669" s="561">
        <v>235208.80000000002</v>
      </c>
      <c r="E2669" s="561">
        <v>67125.3</v>
      </c>
      <c r="F2669" s="561">
        <v>168083.50000000003</v>
      </c>
      <c r="G2669" s="561">
        <v>4923</v>
      </c>
      <c r="H2669" s="561">
        <v>243769.764</v>
      </c>
      <c r="I2669" s="561">
        <v>24</v>
      </c>
      <c r="J2669" s="561">
        <v>7213.9849999999997</v>
      </c>
      <c r="K2669" s="561">
        <v>4899</v>
      </c>
      <c r="L2669" s="561">
        <v>235208.80000000002</v>
      </c>
      <c r="M2669" s="561">
        <v>235208.80000000002</v>
      </c>
      <c r="N2669" s="561">
        <v>67125.3</v>
      </c>
      <c r="O2669" s="561">
        <v>0</v>
      </c>
      <c r="P2669" s="561">
        <v>168083.50000000003</v>
      </c>
    </row>
    <row r="2670" spans="1:38">
      <c r="C2670" s="561" t="s">
        <v>1197</v>
      </c>
      <c r="D2670" s="561">
        <v>199298.82800000001</v>
      </c>
      <c r="E2670" s="561">
        <v>59400</v>
      </c>
      <c r="F2670" s="561">
        <v>139898.82800000001</v>
      </c>
      <c r="G2670" s="561">
        <v>2958</v>
      </c>
      <c r="H2670" s="561">
        <v>206385.266</v>
      </c>
      <c r="I2670" s="561">
        <v>7</v>
      </c>
      <c r="J2670" s="561">
        <v>6671.107</v>
      </c>
      <c r="K2670" s="561">
        <v>2951</v>
      </c>
      <c r="L2670" s="561">
        <v>199298.82800000001</v>
      </c>
      <c r="M2670" s="561">
        <v>199298.82800000001</v>
      </c>
      <c r="N2670" s="561">
        <v>59400</v>
      </c>
    </row>
    <row r="2671" spans="1:38">
      <c r="C2671" s="561" t="s">
        <v>1198</v>
      </c>
      <c r="L2671" s="561">
        <v>0</v>
      </c>
      <c r="N2671" s="561">
        <v>0</v>
      </c>
    </row>
    <row r="2672" spans="1:38">
      <c r="C2672" s="561" t="s">
        <v>1199</v>
      </c>
      <c r="D2672" s="561">
        <v>33251</v>
      </c>
      <c r="E2672" s="561">
        <v>7725.3</v>
      </c>
      <c r="F2672" s="561">
        <v>25525.7</v>
      </c>
      <c r="G2672" s="561">
        <v>1965</v>
      </c>
      <c r="H2672" s="561">
        <v>34141.85</v>
      </c>
      <c r="I2672" s="561">
        <v>17</v>
      </c>
      <c r="J2672" s="561">
        <v>542.87800000000004</v>
      </c>
      <c r="K2672" s="561">
        <v>1948</v>
      </c>
      <c r="L2672" s="561">
        <v>33251</v>
      </c>
      <c r="M2672" s="561">
        <v>33251</v>
      </c>
      <c r="N2672" s="561">
        <v>7725.3</v>
      </c>
      <c r="AL2672" s="561">
        <v>25525.7</v>
      </c>
    </row>
    <row r="2673" spans="1:65">
      <c r="C2673" s="561" t="s">
        <v>1200</v>
      </c>
      <c r="L2673" s="561">
        <v>0</v>
      </c>
      <c r="M2673" s="561">
        <v>0</v>
      </c>
      <c r="N2673" s="561">
        <v>0</v>
      </c>
    </row>
    <row r="2674" spans="1:65">
      <c r="C2674" s="561" t="s">
        <v>1202</v>
      </c>
      <c r="D2674" s="561">
        <v>2658.9720000000002</v>
      </c>
      <c r="F2674" s="561">
        <v>2658.9720000000002</v>
      </c>
      <c r="G2674" s="561">
        <v>0</v>
      </c>
      <c r="H2674" s="561">
        <v>3242.6480000000001</v>
      </c>
      <c r="I2674" s="561">
        <v>0</v>
      </c>
      <c r="J2674" s="561">
        <v>0</v>
      </c>
      <c r="K2674" s="561">
        <v>0</v>
      </c>
      <c r="L2674" s="561">
        <v>2658.9720000000002</v>
      </c>
      <c r="M2674" s="561">
        <v>2658.9720000000002</v>
      </c>
      <c r="P2674" s="561">
        <v>2658.9720000000002</v>
      </c>
    </row>
    <row r="2675" spans="1:65">
      <c r="A2675" s="561">
        <v>67</v>
      </c>
      <c r="B2675" s="561" t="s">
        <v>1488</v>
      </c>
      <c r="C2675" s="561" t="s">
        <v>1206</v>
      </c>
      <c r="D2675" s="561">
        <v>142223</v>
      </c>
      <c r="E2675" s="561">
        <v>42475.199999999997</v>
      </c>
      <c r="F2675" s="561">
        <v>99747.799999999988</v>
      </c>
      <c r="G2675" s="561">
        <v>2653</v>
      </c>
      <c r="H2675" s="561">
        <v>147559.38800000001</v>
      </c>
      <c r="I2675" s="561">
        <v>10</v>
      </c>
      <c r="J2675" s="561">
        <v>5287.5300000000007</v>
      </c>
      <c r="K2675" s="561">
        <v>2643</v>
      </c>
      <c r="L2675" s="561">
        <v>142223</v>
      </c>
      <c r="M2675" s="561">
        <v>142223</v>
      </c>
      <c r="N2675" s="561">
        <v>42475.199999999997</v>
      </c>
      <c r="O2675" s="561">
        <v>0</v>
      </c>
      <c r="P2675" s="561">
        <v>99747.799999999988</v>
      </c>
    </row>
    <row r="2676" spans="1:65">
      <c r="C2676" s="561" t="s">
        <v>1197</v>
      </c>
      <c r="D2676" s="561">
        <v>132677.81299999999</v>
      </c>
      <c r="E2676" s="561">
        <v>40860</v>
      </c>
      <c r="F2676" s="561">
        <v>91817.812999999995</v>
      </c>
      <c r="G2676" s="561">
        <v>2109</v>
      </c>
      <c r="H2676" s="561">
        <v>137837.75700000001</v>
      </c>
      <c r="I2676" s="561">
        <v>6</v>
      </c>
      <c r="J2676" s="561">
        <v>5111.0860000000002</v>
      </c>
      <c r="K2676" s="561">
        <v>2103</v>
      </c>
      <c r="L2676" s="561">
        <v>132677.81299999999</v>
      </c>
      <c r="M2676" s="561">
        <v>132677.81299999999</v>
      </c>
      <c r="N2676" s="561">
        <v>40860</v>
      </c>
    </row>
    <row r="2677" spans="1:65">
      <c r="C2677" s="561" t="s">
        <v>1198</v>
      </c>
      <c r="L2677" s="561">
        <v>0</v>
      </c>
      <c r="N2677" s="561">
        <v>0</v>
      </c>
    </row>
    <row r="2678" spans="1:65">
      <c r="C2678" s="561" t="s">
        <v>1199</v>
      </c>
      <c r="D2678" s="561">
        <v>9545.1869999999999</v>
      </c>
      <c r="E2678" s="561">
        <v>1615.2</v>
      </c>
      <c r="F2678" s="561">
        <v>7929.9870000000001</v>
      </c>
      <c r="G2678" s="561">
        <v>544</v>
      </c>
      <c r="H2678" s="561">
        <v>9721.6309999999994</v>
      </c>
      <c r="I2678" s="561">
        <v>4</v>
      </c>
      <c r="J2678" s="561">
        <v>176.44399999999999</v>
      </c>
      <c r="K2678" s="561">
        <v>540</v>
      </c>
      <c r="L2678" s="561">
        <v>9545.1869999999999</v>
      </c>
      <c r="M2678" s="561">
        <v>9545.1869999999999</v>
      </c>
      <c r="N2678" s="561">
        <v>1615.2</v>
      </c>
      <c r="AL2678" s="561">
        <v>7929.9870000000001</v>
      </c>
    </row>
    <row r="2679" spans="1:65">
      <c r="C2679" s="561" t="s">
        <v>1200</v>
      </c>
      <c r="L2679" s="561">
        <v>0</v>
      </c>
      <c r="N2679" s="561">
        <v>0</v>
      </c>
    </row>
    <row r="2680" spans="1:65">
      <c r="A2680" s="561">
        <v>68</v>
      </c>
      <c r="B2680" s="561" t="s">
        <v>1489</v>
      </c>
      <c r="C2680" s="561" t="s">
        <v>1206</v>
      </c>
      <c r="D2680" s="561">
        <v>72584</v>
      </c>
      <c r="E2680" s="561">
        <v>21583.5</v>
      </c>
      <c r="F2680" s="561">
        <v>51000.5</v>
      </c>
      <c r="G2680" s="561">
        <v>1735</v>
      </c>
      <c r="H2680" s="561">
        <v>75199.724999999991</v>
      </c>
      <c r="I2680" s="561">
        <v>8</v>
      </c>
      <c r="J2680" s="561">
        <v>2614.8820000000001</v>
      </c>
      <c r="K2680" s="561">
        <v>1727</v>
      </c>
      <c r="L2680" s="561">
        <v>72584</v>
      </c>
      <c r="M2680" s="561">
        <v>72584</v>
      </c>
      <c r="N2680" s="561">
        <v>21583.5</v>
      </c>
      <c r="O2680" s="561">
        <v>0</v>
      </c>
      <c r="P2680" s="561">
        <v>51000.5</v>
      </c>
    </row>
    <row r="2681" spans="1:65">
      <c r="C2681" s="561" t="s">
        <v>1197</v>
      </c>
      <c r="D2681" s="561">
        <v>62019.249000000003</v>
      </c>
      <c r="E2681" s="561">
        <v>19020</v>
      </c>
      <c r="F2681" s="561">
        <v>42999.249000000003</v>
      </c>
      <c r="G2681" s="561">
        <v>1013</v>
      </c>
      <c r="H2681" s="561">
        <v>64102.52</v>
      </c>
      <c r="I2681" s="561">
        <v>5</v>
      </c>
      <c r="J2681" s="561">
        <v>2098.431</v>
      </c>
      <c r="K2681" s="561">
        <v>1008</v>
      </c>
      <c r="L2681" s="561">
        <v>62019.249000000003</v>
      </c>
      <c r="M2681" s="561">
        <v>62019.249000000003</v>
      </c>
      <c r="N2681" s="561">
        <v>19020</v>
      </c>
    </row>
    <row r="2682" spans="1:65">
      <c r="C2682" s="561" t="s">
        <v>1198</v>
      </c>
      <c r="G2682" s="561">
        <v>1</v>
      </c>
      <c r="H2682" s="561">
        <v>287.41399999999999</v>
      </c>
      <c r="I2682" s="561">
        <v>1</v>
      </c>
      <c r="J2682" s="561">
        <v>287.41399999999999</v>
      </c>
      <c r="K2682" s="561">
        <v>0</v>
      </c>
      <c r="L2682" s="561">
        <v>0</v>
      </c>
      <c r="N2682" s="561">
        <v>0</v>
      </c>
    </row>
    <row r="2683" spans="1:65">
      <c r="C2683" s="561" t="s">
        <v>1199</v>
      </c>
      <c r="D2683" s="561">
        <v>10564.751</v>
      </c>
      <c r="E2683" s="561">
        <v>2563.5</v>
      </c>
      <c r="F2683" s="561">
        <v>8001.2510000000002</v>
      </c>
      <c r="G2683" s="561">
        <v>721</v>
      </c>
      <c r="H2683" s="561">
        <v>10809.790999999999</v>
      </c>
      <c r="I2683" s="561">
        <v>2</v>
      </c>
      <c r="J2683" s="561">
        <v>229.03700000000001</v>
      </c>
      <c r="K2683" s="561">
        <v>719</v>
      </c>
      <c r="L2683" s="561">
        <v>10564.751</v>
      </c>
      <c r="M2683" s="561">
        <v>10564.751</v>
      </c>
      <c r="N2683" s="561">
        <v>2563.5</v>
      </c>
      <c r="AL2683" s="561">
        <v>8001.2510000000002</v>
      </c>
    </row>
    <row r="2684" spans="1:65">
      <c r="C2684" s="561" t="s">
        <v>1200</v>
      </c>
      <c r="L2684" s="561">
        <v>0</v>
      </c>
      <c r="N2684" s="561">
        <v>0</v>
      </c>
    </row>
    <row r="2685" spans="1:65">
      <c r="A2685" s="561">
        <v>69</v>
      </c>
      <c r="B2685" s="561" t="s">
        <v>1490</v>
      </c>
      <c r="C2685" s="561" t="s">
        <v>1206</v>
      </c>
      <c r="D2685" s="561">
        <v>2341</v>
      </c>
      <c r="E2685" s="561">
        <v>702.3</v>
      </c>
      <c r="F2685" s="561">
        <v>1638.7</v>
      </c>
      <c r="G2685" s="561">
        <v>156</v>
      </c>
      <c r="H2685" s="561">
        <v>2503.87</v>
      </c>
      <c r="I2685" s="561">
        <v>0</v>
      </c>
      <c r="J2685" s="561">
        <v>41.87</v>
      </c>
      <c r="K2685" s="561">
        <v>156</v>
      </c>
      <c r="L2685" s="561">
        <v>2341</v>
      </c>
      <c r="M2685" s="561">
        <v>2341</v>
      </c>
      <c r="N2685" s="561">
        <v>702.3</v>
      </c>
      <c r="O2685" s="561">
        <v>0</v>
      </c>
      <c r="P2685" s="561">
        <v>1638.7</v>
      </c>
    </row>
    <row r="2686" spans="1:65">
      <c r="C2686" s="561" t="s">
        <v>1197</v>
      </c>
      <c r="L2686" s="561">
        <v>0</v>
      </c>
      <c r="N2686" s="561">
        <v>0</v>
      </c>
    </row>
    <row r="2687" spans="1:65">
      <c r="C2687" s="561" t="s">
        <v>1198</v>
      </c>
      <c r="L2687" s="561">
        <v>0</v>
      </c>
      <c r="N2687" s="561">
        <v>0</v>
      </c>
    </row>
    <row r="2688" spans="1:65">
      <c r="C2688" s="561" t="s">
        <v>1199</v>
      </c>
      <c r="D2688" s="561">
        <v>2341</v>
      </c>
      <c r="E2688" s="561">
        <v>702.3</v>
      </c>
      <c r="F2688" s="561">
        <v>1638.7</v>
      </c>
      <c r="G2688" s="561">
        <v>156</v>
      </c>
      <c r="H2688" s="561">
        <v>2503.87</v>
      </c>
      <c r="I2688" s="561">
        <v>0</v>
      </c>
      <c r="J2688" s="561">
        <v>41.87</v>
      </c>
      <c r="K2688" s="561">
        <v>156</v>
      </c>
      <c r="L2688" s="561">
        <v>2341</v>
      </c>
      <c r="M2688" s="561">
        <v>2341</v>
      </c>
      <c r="N2688" s="561">
        <v>702.3</v>
      </c>
      <c r="BM2688" s="561">
        <v>1638.7</v>
      </c>
    </row>
    <row r="2689" spans="1:38">
      <c r="C2689" s="561" t="s">
        <v>1200</v>
      </c>
      <c r="L2689" s="561">
        <v>0</v>
      </c>
      <c r="N2689" s="561">
        <v>0</v>
      </c>
    </row>
    <row r="2690" spans="1:38">
      <c r="A2690" s="561">
        <v>70</v>
      </c>
      <c r="B2690" s="561" t="s">
        <v>1491</v>
      </c>
      <c r="C2690" s="561" t="s">
        <v>1206</v>
      </c>
      <c r="D2690" s="561">
        <v>255507</v>
      </c>
      <c r="E2690" s="561">
        <v>76575.600000000006</v>
      </c>
      <c r="F2690" s="561">
        <v>178931.40000000002</v>
      </c>
      <c r="G2690" s="561">
        <v>6099</v>
      </c>
      <c r="H2690" s="561">
        <v>263424</v>
      </c>
      <c r="I2690" s="561">
        <v>62</v>
      </c>
      <c r="J2690" s="561">
        <v>7701.0830000000005</v>
      </c>
      <c r="K2690" s="561">
        <v>6037</v>
      </c>
      <c r="L2690" s="561">
        <v>255507</v>
      </c>
      <c r="M2690" s="561">
        <v>255507</v>
      </c>
      <c r="N2690" s="561">
        <v>76575.600000000006</v>
      </c>
      <c r="O2690" s="561">
        <v>0</v>
      </c>
      <c r="P2690" s="561">
        <v>178931.40000000002</v>
      </c>
    </row>
    <row r="2691" spans="1:38">
      <c r="C2691" s="561" t="s">
        <v>1197</v>
      </c>
      <c r="D2691" s="561">
        <v>218546.42300000001</v>
      </c>
      <c r="E2691" s="561">
        <v>67200</v>
      </c>
      <c r="F2691" s="561">
        <v>151346.42300000001</v>
      </c>
      <c r="G2691" s="561">
        <v>3530</v>
      </c>
      <c r="H2691" s="561">
        <v>225643.391</v>
      </c>
      <c r="I2691" s="561">
        <v>12</v>
      </c>
      <c r="J2691" s="561">
        <v>6881.0510000000004</v>
      </c>
      <c r="K2691" s="561">
        <v>3518</v>
      </c>
      <c r="L2691" s="561">
        <v>218546.42300000001</v>
      </c>
      <c r="M2691" s="561">
        <v>218546.42300000001</v>
      </c>
      <c r="N2691" s="561">
        <v>67200</v>
      </c>
    </row>
    <row r="2692" spans="1:38">
      <c r="C2692" s="561" t="s">
        <v>1198</v>
      </c>
      <c r="L2692" s="561">
        <v>0</v>
      </c>
      <c r="N2692" s="561">
        <v>0</v>
      </c>
    </row>
    <row r="2693" spans="1:38">
      <c r="C2693" s="561" t="s">
        <v>1199</v>
      </c>
      <c r="D2693" s="561">
        <v>36960.576999999997</v>
      </c>
      <c r="E2693" s="561">
        <v>9375.6</v>
      </c>
      <c r="F2693" s="561">
        <v>27584.976999999999</v>
      </c>
      <c r="G2693" s="561">
        <v>2569</v>
      </c>
      <c r="H2693" s="561">
        <v>37780.608999999997</v>
      </c>
      <c r="I2693" s="561">
        <v>50</v>
      </c>
      <c r="J2693" s="561">
        <v>820.03200000000004</v>
      </c>
      <c r="K2693" s="561">
        <v>2519</v>
      </c>
      <c r="L2693" s="561">
        <v>36960.576999999997</v>
      </c>
      <c r="M2693" s="561">
        <v>36960.576999999997</v>
      </c>
      <c r="N2693" s="561">
        <v>9375.6</v>
      </c>
      <c r="AL2693" s="561">
        <v>27584.976999999999</v>
      </c>
    </row>
    <row r="2694" spans="1:38">
      <c r="C2694" s="561" t="s">
        <v>1200</v>
      </c>
      <c r="L2694" s="561">
        <v>0</v>
      </c>
      <c r="N2694" s="561">
        <v>0</v>
      </c>
    </row>
    <row r="2695" spans="1:38">
      <c r="A2695" s="561">
        <v>71</v>
      </c>
      <c r="B2695" s="561" t="s">
        <v>1492</v>
      </c>
      <c r="C2695" s="561" t="s">
        <v>1206</v>
      </c>
      <c r="D2695" s="561">
        <v>186711</v>
      </c>
      <c r="E2695" s="561">
        <v>53236.800000000003</v>
      </c>
      <c r="F2695" s="561">
        <v>133474.20000000001</v>
      </c>
      <c r="G2695" s="561">
        <v>5423</v>
      </c>
      <c r="H2695" s="561">
        <v>193756.48300000001</v>
      </c>
      <c r="I2695" s="561">
        <v>67</v>
      </c>
      <c r="J2695" s="561">
        <v>7047.69</v>
      </c>
      <c r="K2695" s="561">
        <v>5356</v>
      </c>
      <c r="L2695" s="561">
        <v>186711</v>
      </c>
      <c r="M2695" s="561">
        <v>186711</v>
      </c>
      <c r="N2695" s="561">
        <v>53236.800000000003</v>
      </c>
      <c r="O2695" s="561">
        <v>0</v>
      </c>
      <c r="P2695" s="561">
        <v>133474.20000000001</v>
      </c>
    </row>
    <row r="2696" spans="1:38">
      <c r="C2696" s="561" t="s">
        <v>1197</v>
      </c>
      <c r="D2696" s="561">
        <v>138678.092</v>
      </c>
      <c r="E2696" s="561">
        <v>42000</v>
      </c>
      <c r="F2696" s="561">
        <v>96678.092000000004</v>
      </c>
      <c r="G2696" s="561">
        <v>2181</v>
      </c>
      <c r="H2696" s="561">
        <v>144516.337</v>
      </c>
      <c r="I2696" s="561">
        <v>16</v>
      </c>
      <c r="J2696" s="561">
        <v>5843.91</v>
      </c>
      <c r="K2696" s="561">
        <v>2165</v>
      </c>
      <c r="L2696" s="561">
        <v>138678.092</v>
      </c>
      <c r="M2696" s="561">
        <v>138678.092</v>
      </c>
      <c r="N2696" s="561">
        <v>42000</v>
      </c>
    </row>
    <row r="2697" spans="1:38">
      <c r="C2697" s="561" t="s">
        <v>1198</v>
      </c>
      <c r="G2697" s="561">
        <v>1</v>
      </c>
      <c r="H2697" s="561">
        <v>472.18200000000002</v>
      </c>
      <c r="I2697" s="561">
        <v>1</v>
      </c>
      <c r="J2697" s="561">
        <v>472.18200000000002</v>
      </c>
      <c r="K2697" s="561">
        <v>0</v>
      </c>
      <c r="L2697" s="561">
        <v>0</v>
      </c>
      <c r="N2697" s="561">
        <v>0</v>
      </c>
    </row>
    <row r="2698" spans="1:38">
      <c r="C2698" s="561" t="s">
        <v>1199</v>
      </c>
      <c r="D2698" s="561">
        <v>48032.908000000003</v>
      </c>
      <c r="E2698" s="561">
        <v>11236.8</v>
      </c>
      <c r="F2698" s="561">
        <v>36796.108000000007</v>
      </c>
      <c r="G2698" s="561">
        <v>3241</v>
      </c>
      <c r="H2698" s="561">
        <v>48767.964</v>
      </c>
      <c r="I2698" s="561">
        <v>50</v>
      </c>
      <c r="J2698" s="561">
        <v>731.59799999999996</v>
      </c>
      <c r="K2698" s="561">
        <v>3191</v>
      </c>
      <c r="L2698" s="561">
        <v>48032.908000000003</v>
      </c>
      <c r="M2698" s="561">
        <v>48032.908000000003</v>
      </c>
      <c r="N2698" s="561">
        <v>11236.8</v>
      </c>
      <c r="AL2698" s="561">
        <v>36796.108000000007</v>
      </c>
    </row>
    <row r="2699" spans="1:38">
      <c r="C2699" s="561" t="s">
        <v>1200</v>
      </c>
      <c r="L2699" s="561">
        <v>0</v>
      </c>
      <c r="N2699" s="561">
        <v>0</v>
      </c>
    </row>
    <row r="2700" spans="1:38">
      <c r="A2700" s="561">
        <v>72</v>
      </c>
      <c r="B2700" s="561" t="s">
        <v>1493</v>
      </c>
      <c r="C2700" s="561" t="s">
        <v>1494</v>
      </c>
      <c r="D2700" s="561">
        <v>34379</v>
      </c>
      <c r="E2700" s="561">
        <v>9563.7000000000007</v>
      </c>
      <c r="F2700" s="561">
        <v>24815.3</v>
      </c>
      <c r="G2700" s="561">
        <v>1168</v>
      </c>
      <c r="H2700" s="561">
        <v>38277.345999999998</v>
      </c>
      <c r="I2700" s="561">
        <v>14</v>
      </c>
      <c r="J2700" s="561">
        <v>531.34500000000003</v>
      </c>
      <c r="K2700" s="561">
        <v>1154</v>
      </c>
      <c r="L2700" s="561">
        <v>34379</v>
      </c>
      <c r="M2700" s="561">
        <v>34379</v>
      </c>
      <c r="N2700" s="561">
        <v>9563.7000000000007</v>
      </c>
      <c r="O2700" s="561">
        <v>0</v>
      </c>
      <c r="P2700" s="561">
        <v>24815.3</v>
      </c>
    </row>
    <row r="2701" spans="1:38">
      <c r="C2701" s="561" t="s">
        <v>1197</v>
      </c>
      <c r="D2701" s="561">
        <v>23100</v>
      </c>
      <c r="E2701" s="561">
        <v>6930</v>
      </c>
      <c r="F2701" s="561">
        <v>16170</v>
      </c>
      <c r="G2701" s="561">
        <v>386</v>
      </c>
      <c r="H2701" s="561">
        <v>26676.208999999999</v>
      </c>
      <c r="I2701" s="561">
        <v>2</v>
      </c>
      <c r="J2701" s="561">
        <v>325.16300000000001</v>
      </c>
      <c r="K2701" s="561">
        <v>384</v>
      </c>
      <c r="L2701" s="561">
        <v>23100</v>
      </c>
      <c r="M2701" s="561">
        <v>23100</v>
      </c>
      <c r="N2701" s="561">
        <v>6930</v>
      </c>
    </row>
    <row r="2702" spans="1:38">
      <c r="C2702" s="561" t="s">
        <v>1198</v>
      </c>
      <c r="L2702" s="561">
        <v>0</v>
      </c>
      <c r="N2702" s="561">
        <v>0</v>
      </c>
    </row>
    <row r="2703" spans="1:38">
      <c r="C2703" s="561" t="s">
        <v>1199</v>
      </c>
      <c r="D2703" s="561">
        <v>11279</v>
      </c>
      <c r="E2703" s="561">
        <v>2633.7</v>
      </c>
      <c r="F2703" s="561">
        <v>8645.2999999999993</v>
      </c>
      <c r="G2703" s="561">
        <v>782</v>
      </c>
      <c r="H2703" s="561">
        <v>11601.137000000001</v>
      </c>
      <c r="I2703" s="561">
        <v>12</v>
      </c>
      <c r="J2703" s="561">
        <v>206.18199999999999</v>
      </c>
      <c r="K2703" s="561">
        <v>770</v>
      </c>
      <c r="L2703" s="561">
        <v>11279</v>
      </c>
      <c r="M2703" s="561">
        <v>11279</v>
      </c>
      <c r="N2703" s="561">
        <v>2633.7</v>
      </c>
      <c r="AL2703" s="561">
        <v>8645.2999999999993</v>
      </c>
    </row>
    <row r="2704" spans="1:38">
      <c r="A2704" s="1742" t="s">
        <v>1156</v>
      </c>
      <c r="B2704" s="1742"/>
      <c r="C2704" s="1742"/>
      <c r="D2704" s="1742"/>
      <c r="E2704" s="1742"/>
      <c r="F2704" s="1742"/>
      <c r="G2704" s="1742"/>
      <c r="H2704" s="1742"/>
      <c r="I2704" s="1742"/>
      <c r="J2704" s="1742"/>
      <c r="K2704" s="1742"/>
      <c r="L2704" s="1742"/>
      <c r="M2704" s="1742"/>
      <c r="N2704" s="1742"/>
      <c r="O2704" s="1742"/>
      <c r="P2704" s="1742"/>
    </row>
    <row r="2705" spans="1:111">
      <c r="A2705" s="1735" t="s">
        <v>1197</v>
      </c>
      <c r="B2705" s="1735"/>
      <c r="C2705" s="1735"/>
      <c r="D2705" s="1735"/>
      <c r="E2705" s="1735"/>
      <c r="F2705" s="1735"/>
      <c r="G2705" s="1735"/>
      <c r="H2705" s="1735"/>
      <c r="I2705" s="1735"/>
      <c r="J2705" s="1735"/>
      <c r="K2705" s="1735"/>
      <c r="L2705" s="1735"/>
      <c r="M2705" s="1735"/>
      <c r="N2705" s="1735"/>
      <c r="O2705" s="1735"/>
      <c r="P2705" s="1735"/>
      <c r="Q2705" s="1735"/>
      <c r="R2705" s="1735"/>
      <c r="S2705" s="1735"/>
      <c r="T2705" s="1735"/>
      <c r="U2705" s="1735"/>
      <c r="V2705" s="1735"/>
      <c r="W2705" s="1735"/>
      <c r="X2705" s="1735"/>
      <c r="Y2705" s="1735"/>
      <c r="Z2705" s="1735"/>
      <c r="AA2705" s="1735"/>
      <c r="AB2705" s="1735"/>
      <c r="AC2705" s="1735"/>
      <c r="AD2705" s="1735"/>
      <c r="AE2705" s="1735"/>
      <c r="AF2705" s="1735"/>
      <c r="AG2705" s="1735"/>
      <c r="AH2705" s="1735"/>
      <c r="AI2705" s="1735"/>
      <c r="AL2705" s="561">
        <f t="shared" ref="AL2705:CW2705" si="102">SUM(AL2707:AL2990)</f>
        <v>5839066.8653333336</v>
      </c>
      <c r="AM2705" s="561">
        <f t="shared" si="102"/>
        <v>0</v>
      </c>
      <c r="AN2705" s="561">
        <f t="shared" si="102"/>
        <v>0</v>
      </c>
      <c r="AO2705" s="561">
        <f t="shared" si="102"/>
        <v>0</v>
      </c>
      <c r="AP2705" s="561">
        <f t="shared" si="102"/>
        <v>0</v>
      </c>
      <c r="AQ2705" s="561">
        <f t="shared" si="102"/>
        <v>0</v>
      </c>
      <c r="AR2705" s="561">
        <f t="shared" si="102"/>
        <v>0</v>
      </c>
      <c r="AS2705" s="561">
        <f t="shared" si="102"/>
        <v>0</v>
      </c>
      <c r="AT2705" s="561">
        <f t="shared" si="102"/>
        <v>103762.35699999999</v>
      </c>
      <c r="AU2705" s="561">
        <f t="shared" si="102"/>
        <v>0</v>
      </c>
      <c r="AV2705" s="561">
        <f t="shared" si="102"/>
        <v>0</v>
      </c>
      <c r="AW2705" s="561">
        <f t="shared" si="102"/>
        <v>0</v>
      </c>
      <c r="AX2705" s="561">
        <f t="shared" si="102"/>
        <v>56867.6</v>
      </c>
      <c r="AY2705" s="561">
        <f t="shared" si="102"/>
        <v>71019.409</v>
      </c>
      <c r="AZ2705" s="561">
        <f t="shared" si="102"/>
        <v>0</v>
      </c>
      <c r="BA2705" s="561">
        <f t="shared" si="102"/>
        <v>0</v>
      </c>
      <c r="BB2705" s="561">
        <f t="shared" si="102"/>
        <v>900531.71499999985</v>
      </c>
      <c r="BC2705" s="561">
        <f t="shared" si="102"/>
        <v>0</v>
      </c>
      <c r="BD2705" s="561">
        <f t="shared" si="102"/>
        <v>13514.651999999998</v>
      </c>
      <c r="BE2705" s="561">
        <f t="shared" si="102"/>
        <v>0</v>
      </c>
      <c r="BF2705" s="561">
        <f t="shared" si="102"/>
        <v>0</v>
      </c>
      <c r="BG2705" s="561">
        <f t="shared" si="102"/>
        <v>0</v>
      </c>
      <c r="BH2705" s="561">
        <f t="shared" si="102"/>
        <v>0</v>
      </c>
      <c r="BI2705" s="561">
        <f t="shared" si="102"/>
        <v>0</v>
      </c>
      <c r="BJ2705" s="561">
        <f t="shared" si="102"/>
        <v>0</v>
      </c>
      <c r="BK2705" s="561">
        <f t="shared" si="102"/>
        <v>0</v>
      </c>
      <c r="BL2705" s="561">
        <f t="shared" si="102"/>
        <v>0</v>
      </c>
      <c r="BM2705" s="561">
        <f t="shared" si="102"/>
        <v>0</v>
      </c>
      <c r="BN2705" s="561">
        <f t="shared" si="102"/>
        <v>0</v>
      </c>
      <c r="BO2705" s="561">
        <f t="shared" si="102"/>
        <v>0</v>
      </c>
      <c r="BP2705" s="561">
        <f t="shared" si="102"/>
        <v>0</v>
      </c>
      <c r="BQ2705" s="561">
        <f t="shared" si="102"/>
        <v>0</v>
      </c>
      <c r="BR2705" s="561">
        <f t="shared" si="102"/>
        <v>0</v>
      </c>
      <c r="BS2705" s="561">
        <f t="shared" si="102"/>
        <v>0</v>
      </c>
      <c r="BT2705" s="561">
        <f t="shared" si="102"/>
        <v>0</v>
      </c>
      <c r="BU2705" s="561">
        <f t="shared" si="102"/>
        <v>0</v>
      </c>
      <c r="BV2705" s="561">
        <f t="shared" si="102"/>
        <v>0</v>
      </c>
      <c r="BW2705" s="561">
        <f t="shared" si="102"/>
        <v>0</v>
      </c>
      <c r="BX2705" s="561">
        <f t="shared" si="102"/>
        <v>0</v>
      </c>
      <c r="BY2705" s="561">
        <f t="shared" si="102"/>
        <v>0</v>
      </c>
      <c r="BZ2705" s="561">
        <f t="shared" si="102"/>
        <v>0</v>
      </c>
      <c r="CA2705" s="561">
        <f t="shared" si="102"/>
        <v>0</v>
      </c>
      <c r="CB2705" s="561">
        <f t="shared" si="102"/>
        <v>0</v>
      </c>
      <c r="CC2705" s="561">
        <f t="shared" si="102"/>
        <v>0</v>
      </c>
      <c r="CD2705" s="561">
        <f t="shared" si="102"/>
        <v>0</v>
      </c>
      <c r="CE2705" s="561">
        <f t="shared" si="102"/>
        <v>0</v>
      </c>
      <c r="CF2705" s="561">
        <f t="shared" si="102"/>
        <v>0</v>
      </c>
      <c r="CG2705" s="561">
        <f t="shared" si="102"/>
        <v>0</v>
      </c>
      <c r="CH2705" s="561">
        <f t="shared" si="102"/>
        <v>0</v>
      </c>
      <c r="CI2705" s="561">
        <f t="shared" si="102"/>
        <v>0</v>
      </c>
      <c r="CJ2705" s="561">
        <f t="shared" si="102"/>
        <v>0</v>
      </c>
      <c r="CK2705" s="561">
        <f t="shared" si="102"/>
        <v>0</v>
      </c>
      <c r="CL2705" s="561">
        <f t="shared" si="102"/>
        <v>0</v>
      </c>
      <c r="CM2705" s="561">
        <f t="shared" si="102"/>
        <v>0</v>
      </c>
      <c r="CN2705" s="561">
        <f t="shared" si="102"/>
        <v>0</v>
      </c>
      <c r="CO2705" s="561">
        <f t="shared" si="102"/>
        <v>0</v>
      </c>
      <c r="CP2705" s="561">
        <f t="shared" si="102"/>
        <v>0</v>
      </c>
      <c r="CQ2705" s="561">
        <f t="shared" si="102"/>
        <v>0</v>
      </c>
      <c r="CR2705" s="561">
        <f t="shared" si="102"/>
        <v>0</v>
      </c>
      <c r="CS2705" s="561">
        <f t="shared" si="102"/>
        <v>0</v>
      </c>
      <c r="CT2705" s="561">
        <f t="shared" si="102"/>
        <v>0</v>
      </c>
      <c r="CU2705" s="561">
        <f t="shared" si="102"/>
        <v>0</v>
      </c>
      <c r="CV2705" s="561">
        <f t="shared" si="102"/>
        <v>0</v>
      </c>
      <c r="CW2705" s="561">
        <f t="shared" si="102"/>
        <v>0</v>
      </c>
      <c r="CX2705" s="561">
        <f t="shared" ref="CX2705:DG2705" si="103">SUM(CX2707:CX2990)</f>
        <v>0</v>
      </c>
      <c r="CY2705" s="561">
        <f t="shared" si="103"/>
        <v>0</v>
      </c>
      <c r="CZ2705" s="561">
        <f t="shared" si="103"/>
        <v>0</v>
      </c>
      <c r="DA2705" s="561">
        <f t="shared" si="103"/>
        <v>0</v>
      </c>
      <c r="DB2705" s="561">
        <f t="shared" si="103"/>
        <v>0</v>
      </c>
      <c r="DC2705" s="561">
        <f t="shared" si="103"/>
        <v>0</v>
      </c>
      <c r="DD2705" s="561">
        <f t="shared" si="103"/>
        <v>0</v>
      </c>
      <c r="DE2705" s="561">
        <f t="shared" si="103"/>
        <v>0</v>
      </c>
      <c r="DF2705" s="561">
        <f t="shared" si="103"/>
        <v>0</v>
      </c>
      <c r="DG2705" s="561">
        <f t="shared" si="103"/>
        <v>0</v>
      </c>
    </row>
    <row r="2706" spans="1:111">
      <c r="A2706" s="561">
        <v>1</v>
      </c>
      <c r="B2706" s="561" t="s">
        <v>1495</v>
      </c>
      <c r="C2706" s="561" t="s">
        <v>1206</v>
      </c>
      <c r="D2706" s="561">
        <v>1572035.99</v>
      </c>
      <c r="E2706" s="561">
        <v>396583.2</v>
      </c>
      <c r="F2706" s="561">
        <v>1175452.79</v>
      </c>
      <c r="G2706" s="561">
        <v>12670</v>
      </c>
      <c r="H2706" s="561">
        <v>1632479.71</v>
      </c>
      <c r="I2706" s="561">
        <v>1018</v>
      </c>
      <c r="J2706" s="561">
        <v>58037.641000000011</v>
      </c>
      <c r="K2706" s="561">
        <v>12579</v>
      </c>
      <c r="L2706" s="561">
        <v>1572035.9897777776</v>
      </c>
      <c r="M2706" s="561">
        <v>1572035.9897777776</v>
      </c>
      <c r="N2706" s="561">
        <v>396583.19977777771</v>
      </c>
      <c r="O2706" s="561">
        <v>0</v>
      </c>
      <c r="P2706" s="561">
        <v>1175452.79</v>
      </c>
      <c r="Q2706" s="561">
        <v>1175452.79</v>
      </c>
    </row>
    <row r="2707" spans="1:111">
      <c r="C2707" s="561" t="s">
        <v>1197</v>
      </c>
      <c r="D2707" s="561">
        <v>1094329.0559999999</v>
      </c>
      <c r="E2707" s="561">
        <v>279064.8</v>
      </c>
      <c r="F2707" s="561">
        <v>815264.25599999994</v>
      </c>
      <c r="G2707" s="561">
        <v>11766</v>
      </c>
      <c r="H2707" s="561">
        <v>1168692.023</v>
      </c>
      <c r="I2707" s="561">
        <v>997</v>
      </c>
      <c r="J2707" s="561">
        <v>54599.741000000009</v>
      </c>
      <c r="K2707" s="561">
        <v>11678</v>
      </c>
      <c r="L2707" s="561">
        <v>1111489.078</v>
      </c>
      <c r="M2707" s="561">
        <v>1111489.078</v>
      </c>
      <c r="N2707" s="561">
        <v>296224.82199999999</v>
      </c>
      <c r="O2707" s="561">
        <v>0</v>
      </c>
      <c r="Q2707" s="561">
        <v>815264.25599999994</v>
      </c>
      <c r="AL2707" s="561">
        <v>815264.25599999994</v>
      </c>
    </row>
    <row r="2708" spans="1:111">
      <c r="C2708" s="561" t="s">
        <v>1198</v>
      </c>
      <c r="D2708" s="561">
        <v>469134.64</v>
      </c>
      <c r="E2708" s="561">
        <v>115466.4</v>
      </c>
      <c r="F2708" s="561">
        <v>353668.24</v>
      </c>
      <c r="G2708" s="561">
        <v>352</v>
      </c>
      <c r="H2708" s="561">
        <v>455843.35799999995</v>
      </c>
      <c r="I2708" s="561">
        <v>18</v>
      </c>
      <c r="J2708" s="561">
        <v>0</v>
      </c>
      <c r="K2708" s="561">
        <v>349</v>
      </c>
      <c r="L2708" s="561">
        <v>452640.61777777772</v>
      </c>
      <c r="M2708" s="561">
        <v>452640.61777777772</v>
      </c>
      <c r="N2708" s="561">
        <v>98972.377777777729</v>
      </c>
      <c r="O2708" s="561">
        <v>0</v>
      </c>
      <c r="P2708" s="561">
        <v>353668.24</v>
      </c>
      <c r="Q2708" s="561">
        <v>353668.24</v>
      </c>
    </row>
    <row r="2709" spans="1:111">
      <c r="C2709" s="561" t="s">
        <v>1199</v>
      </c>
      <c r="D2709" s="561">
        <v>8572.2939999999999</v>
      </c>
      <c r="E2709" s="561">
        <v>2052</v>
      </c>
      <c r="F2709" s="561">
        <v>6520.2939999999999</v>
      </c>
      <c r="G2709" s="561">
        <v>552</v>
      </c>
      <c r="H2709" s="561">
        <v>7944.3289999999997</v>
      </c>
      <c r="I2709" s="561">
        <v>3</v>
      </c>
      <c r="J2709" s="561">
        <v>3437.9</v>
      </c>
      <c r="K2709" s="561">
        <v>552</v>
      </c>
      <c r="L2709" s="561">
        <v>7906.2939999999999</v>
      </c>
      <c r="M2709" s="561">
        <v>7906.2939999999999</v>
      </c>
      <c r="N2709" s="561">
        <v>1386</v>
      </c>
      <c r="O2709" s="561">
        <v>0</v>
      </c>
      <c r="P2709" s="561">
        <v>6520.2939999999999</v>
      </c>
      <c r="Q2709" s="561">
        <v>6520.2939999999999</v>
      </c>
    </row>
    <row r="2710" spans="1:111">
      <c r="B2710" s="561" t="s">
        <v>1496</v>
      </c>
      <c r="C2710" s="561" t="s">
        <v>1202</v>
      </c>
      <c r="G2710" s="561">
        <v>0</v>
      </c>
      <c r="H2710" s="561">
        <v>0</v>
      </c>
      <c r="I2710" s="561">
        <v>0</v>
      </c>
      <c r="J2710" s="561">
        <v>0</v>
      </c>
      <c r="K2710" s="561">
        <v>0</v>
      </c>
      <c r="L2710" s="561">
        <v>0</v>
      </c>
      <c r="O2710" s="561">
        <v>0</v>
      </c>
    </row>
    <row r="2713" spans="1:111">
      <c r="A2713" s="561">
        <v>2</v>
      </c>
      <c r="B2713" s="561" t="s">
        <v>1497</v>
      </c>
      <c r="C2713" s="561" t="s">
        <v>1206</v>
      </c>
      <c r="D2713" s="561">
        <v>464999.96899999992</v>
      </c>
      <c r="E2713" s="561">
        <v>131400</v>
      </c>
      <c r="F2713" s="561">
        <v>333599.96899999992</v>
      </c>
      <c r="G2713" s="561">
        <v>6879</v>
      </c>
      <c r="H2713" s="561">
        <v>470861.96799999994</v>
      </c>
      <c r="I2713" s="561">
        <v>173</v>
      </c>
      <c r="J2713" s="561">
        <v>7781.62</v>
      </c>
      <c r="K2713" s="561">
        <v>6868</v>
      </c>
      <c r="L2713" s="561">
        <v>464999.96900000004</v>
      </c>
      <c r="M2713" s="561">
        <v>464999.96899999992</v>
      </c>
      <c r="N2713" s="561">
        <v>131400</v>
      </c>
      <c r="O2713" s="561">
        <v>0</v>
      </c>
      <c r="P2713" s="561">
        <v>333599.96899999992</v>
      </c>
      <c r="Q2713" s="561">
        <v>333599.96900000004</v>
      </c>
    </row>
    <row r="2714" spans="1:111">
      <c r="C2714" s="561" t="s">
        <v>1197</v>
      </c>
      <c r="D2714" s="561">
        <v>464999.96899999992</v>
      </c>
      <c r="E2714" s="561">
        <v>131400</v>
      </c>
      <c r="F2714" s="561">
        <v>333599.96899999992</v>
      </c>
      <c r="G2714" s="561">
        <v>6879</v>
      </c>
      <c r="H2714" s="561">
        <v>470861.96799999994</v>
      </c>
      <c r="I2714" s="561">
        <v>173</v>
      </c>
      <c r="J2714" s="561">
        <v>7781.62</v>
      </c>
      <c r="K2714" s="561">
        <v>6868</v>
      </c>
      <c r="L2714" s="561">
        <v>464999.96900000004</v>
      </c>
      <c r="M2714" s="561">
        <v>464999.96899999992</v>
      </c>
      <c r="N2714" s="561">
        <v>131400</v>
      </c>
      <c r="O2714" s="561">
        <v>0</v>
      </c>
      <c r="Q2714" s="561">
        <v>333599.96900000004</v>
      </c>
      <c r="AL2714" s="561">
        <v>333599.96899999992</v>
      </c>
    </row>
    <row r="2715" spans="1:111">
      <c r="C2715" s="561" t="s">
        <v>1198</v>
      </c>
      <c r="D2715" s="561">
        <v>0</v>
      </c>
      <c r="F2715" s="561">
        <v>0</v>
      </c>
      <c r="G2715" s="561">
        <v>0</v>
      </c>
      <c r="H2715" s="561">
        <v>0</v>
      </c>
      <c r="I2715" s="561">
        <v>0</v>
      </c>
      <c r="J2715" s="561">
        <v>0</v>
      </c>
      <c r="K2715" s="561">
        <v>0</v>
      </c>
      <c r="L2715" s="561">
        <v>0</v>
      </c>
      <c r="M2715" s="561">
        <v>0</v>
      </c>
      <c r="N2715" s="561">
        <v>0</v>
      </c>
      <c r="O2715" s="561">
        <v>0</v>
      </c>
      <c r="P2715" s="561">
        <v>0</v>
      </c>
      <c r="Q2715" s="561">
        <v>0</v>
      </c>
    </row>
    <row r="2716" spans="1:111">
      <c r="C2716" s="561" t="s">
        <v>1199</v>
      </c>
      <c r="D2716" s="561">
        <v>0</v>
      </c>
      <c r="F2716" s="561">
        <v>0</v>
      </c>
      <c r="G2716" s="561">
        <v>0</v>
      </c>
      <c r="H2716" s="561">
        <v>0</v>
      </c>
      <c r="I2716" s="561">
        <v>0</v>
      </c>
      <c r="J2716" s="561">
        <v>0</v>
      </c>
      <c r="K2716" s="561">
        <v>0</v>
      </c>
      <c r="L2716" s="561">
        <v>0</v>
      </c>
      <c r="M2716" s="561">
        <v>0</v>
      </c>
      <c r="N2716" s="561">
        <v>0</v>
      </c>
      <c r="O2716" s="561">
        <v>0</v>
      </c>
      <c r="P2716" s="561">
        <v>0</v>
      </c>
      <c r="Q2716" s="561">
        <v>0</v>
      </c>
    </row>
    <row r="2717" spans="1:111">
      <c r="B2717" s="561" t="s">
        <v>1496</v>
      </c>
      <c r="C2717" s="561" t="s">
        <v>1202</v>
      </c>
      <c r="G2717" s="561">
        <v>0</v>
      </c>
      <c r="H2717" s="561">
        <v>0</v>
      </c>
      <c r="I2717" s="561">
        <v>0</v>
      </c>
      <c r="J2717" s="561">
        <v>0</v>
      </c>
      <c r="K2717" s="561">
        <v>0</v>
      </c>
      <c r="L2717" s="561">
        <v>0</v>
      </c>
      <c r="O2717" s="561">
        <v>0</v>
      </c>
    </row>
    <row r="2720" spans="1:111">
      <c r="A2720" s="561">
        <v>3</v>
      </c>
      <c r="B2720" s="561" t="s">
        <v>1498</v>
      </c>
      <c r="C2720" s="561" t="s">
        <v>1206</v>
      </c>
      <c r="D2720" s="561">
        <v>187181.965</v>
      </c>
      <c r="E2720" s="561">
        <v>54054.6</v>
      </c>
      <c r="F2720" s="561">
        <v>133127.36499999999</v>
      </c>
      <c r="G2720" s="561">
        <v>2847</v>
      </c>
      <c r="H2720" s="561">
        <v>187636.05299999999</v>
      </c>
      <c r="I2720" s="561">
        <v>43</v>
      </c>
      <c r="J2720" s="561">
        <v>445.72400000000005</v>
      </c>
      <c r="K2720" s="561">
        <v>2847</v>
      </c>
      <c r="L2720" s="561">
        <v>187181.965</v>
      </c>
      <c r="M2720" s="561">
        <v>187181.965</v>
      </c>
      <c r="N2720" s="561">
        <v>54054.6</v>
      </c>
      <c r="O2720" s="561">
        <v>0</v>
      </c>
      <c r="P2720" s="561">
        <v>133127.36499999999</v>
      </c>
      <c r="Q2720" s="561">
        <v>133127.36499999999</v>
      </c>
    </row>
    <row r="2721" spans="1:54">
      <c r="C2721" s="561" t="s">
        <v>1197</v>
      </c>
      <c r="D2721" s="561">
        <v>156106.95699999999</v>
      </c>
      <c r="E2721" s="561">
        <v>52344.6</v>
      </c>
      <c r="F2721" s="561">
        <v>103762.35699999999</v>
      </c>
      <c r="G2721" s="561">
        <v>2043</v>
      </c>
      <c r="H2721" s="561">
        <v>153563.86499999999</v>
      </c>
      <c r="I2721" s="561">
        <v>37</v>
      </c>
      <c r="J2721" s="561">
        <v>369.84800000000001</v>
      </c>
      <c r="K2721" s="561">
        <v>2043</v>
      </c>
      <c r="L2721" s="561">
        <v>153185.557</v>
      </c>
      <c r="M2721" s="561">
        <v>153185.557</v>
      </c>
      <c r="N2721" s="561">
        <v>49423.199999999997</v>
      </c>
      <c r="O2721" s="561">
        <v>0</v>
      </c>
      <c r="Q2721" s="561">
        <v>103762.35699999999</v>
      </c>
      <c r="AT2721" s="561">
        <v>103762.35699999999</v>
      </c>
    </row>
    <row r="2722" spans="1:54">
      <c r="C2722" s="561" t="s">
        <v>1198</v>
      </c>
      <c r="D2722" s="561">
        <v>0</v>
      </c>
      <c r="F2722" s="561">
        <v>0</v>
      </c>
      <c r="G2722" s="561">
        <v>0</v>
      </c>
      <c r="H2722" s="561">
        <v>0</v>
      </c>
      <c r="I2722" s="561">
        <v>0</v>
      </c>
      <c r="J2722" s="561">
        <v>0</v>
      </c>
      <c r="K2722" s="561">
        <v>0</v>
      </c>
      <c r="L2722" s="561">
        <v>0</v>
      </c>
      <c r="M2722" s="561">
        <v>0</v>
      </c>
      <c r="N2722" s="561">
        <v>0</v>
      </c>
      <c r="O2722" s="561">
        <v>0</v>
      </c>
      <c r="P2722" s="561">
        <v>0</v>
      </c>
      <c r="Q2722" s="561">
        <v>0</v>
      </c>
    </row>
    <row r="2723" spans="1:54">
      <c r="C2723" s="561" t="s">
        <v>1199</v>
      </c>
      <c r="D2723" s="561">
        <v>31075.008000000002</v>
      </c>
      <c r="E2723" s="561">
        <v>1710</v>
      </c>
      <c r="F2723" s="561">
        <v>29365.008000000002</v>
      </c>
      <c r="G2723" s="561">
        <v>804</v>
      </c>
      <c r="H2723" s="561">
        <v>34072.188000000002</v>
      </c>
      <c r="I2723" s="561">
        <v>6</v>
      </c>
      <c r="J2723" s="561">
        <v>75.876000000000005</v>
      </c>
      <c r="K2723" s="561">
        <v>804</v>
      </c>
      <c r="L2723" s="561">
        <v>33996.408000000003</v>
      </c>
      <c r="M2723" s="561">
        <v>33996.408000000003</v>
      </c>
      <c r="N2723" s="561">
        <v>4631.3999999999996</v>
      </c>
      <c r="O2723" s="561">
        <v>0</v>
      </c>
      <c r="P2723" s="561">
        <v>29365.008000000002</v>
      </c>
      <c r="Q2723" s="561">
        <v>29365.008000000002</v>
      </c>
    </row>
    <row r="2724" spans="1:54">
      <c r="B2724" s="561" t="s">
        <v>1496</v>
      </c>
      <c r="C2724" s="561" t="s">
        <v>1202</v>
      </c>
      <c r="G2724" s="561">
        <v>0</v>
      </c>
      <c r="H2724" s="561">
        <v>0</v>
      </c>
      <c r="I2724" s="561">
        <v>0</v>
      </c>
      <c r="J2724" s="561">
        <v>0</v>
      </c>
      <c r="K2724" s="561">
        <v>0</v>
      </c>
      <c r="L2724" s="561">
        <v>0</v>
      </c>
      <c r="O2724" s="561">
        <v>0</v>
      </c>
    </row>
    <row r="2727" spans="1:54">
      <c r="A2727" s="561">
        <v>4</v>
      </c>
      <c r="B2727" s="561" t="s">
        <v>1499</v>
      </c>
      <c r="C2727" s="561" t="s">
        <v>1206</v>
      </c>
      <c r="D2727" s="561">
        <v>640999.98499999999</v>
      </c>
      <c r="E2727" s="561">
        <v>190200</v>
      </c>
      <c r="F2727" s="561">
        <v>450799.98499999993</v>
      </c>
      <c r="G2727" s="561">
        <v>9675</v>
      </c>
      <c r="H2727" s="561">
        <v>665102.74300000002</v>
      </c>
      <c r="I2727" s="561">
        <v>1054</v>
      </c>
      <c r="J2727" s="561">
        <v>30176.331999999995</v>
      </c>
      <c r="K2727" s="561">
        <v>9607</v>
      </c>
      <c r="L2727" s="561">
        <v>640999.98499999999</v>
      </c>
      <c r="M2727" s="561">
        <v>640999.98499999999</v>
      </c>
      <c r="N2727" s="561">
        <v>190200</v>
      </c>
      <c r="O2727" s="561">
        <v>0</v>
      </c>
      <c r="P2727" s="561">
        <v>450799.98499999993</v>
      </c>
      <c r="Q2727" s="561">
        <v>450799.98499999993</v>
      </c>
    </row>
    <row r="2728" spans="1:54">
      <c r="C2728" s="561" t="s">
        <v>1197</v>
      </c>
      <c r="D2728" s="561">
        <v>640339.71199999994</v>
      </c>
      <c r="E2728" s="561">
        <v>190200</v>
      </c>
      <c r="F2728" s="561">
        <v>450139.71199999994</v>
      </c>
      <c r="G2728" s="561">
        <v>9623</v>
      </c>
      <c r="H2728" s="561">
        <v>664438.58799999999</v>
      </c>
      <c r="I2728" s="561">
        <v>1053</v>
      </c>
      <c r="J2728" s="561">
        <v>26294.331999999995</v>
      </c>
      <c r="K2728" s="561">
        <v>9555</v>
      </c>
      <c r="L2728" s="561">
        <v>640339.71199999994</v>
      </c>
      <c r="M2728" s="561">
        <v>640339.71199999994</v>
      </c>
      <c r="N2728" s="561">
        <v>190200</v>
      </c>
      <c r="O2728" s="561">
        <v>0</v>
      </c>
      <c r="Q2728" s="561">
        <v>450139.71199999994</v>
      </c>
      <c r="BB2728" s="561">
        <v>450139.71199999994</v>
      </c>
    </row>
    <row r="2729" spans="1:54">
      <c r="C2729" s="561" t="s">
        <v>1198</v>
      </c>
      <c r="D2729" s="561">
        <v>0</v>
      </c>
      <c r="F2729" s="561">
        <v>0</v>
      </c>
      <c r="G2729" s="561">
        <v>0</v>
      </c>
      <c r="H2729" s="561">
        <v>0</v>
      </c>
      <c r="I2729" s="561">
        <v>0</v>
      </c>
      <c r="J2729" s="561">
        <v>0</v>
      </c>
      <c r="K2729" s="561">
        <v>0</v>
      </c>
      <c r="L2729" s="561">
        <v>0</v>
      </c>
      <c r="M2729" s="561">
        <v>0</v>
      </c>
      <c r="N2729" s="561">
        <v>0</v>
      </c>
      <c r="O2729" s="561">
        <v>0</v>
      </c>
      <c r="P2729" s="561">
        <v>0</v>
      </c>
      <c r="Q2729" s="561">
        <v>0</v>
      </c>
    </row>
    <row r="2730" spans="1:54">
      <c r="C2730" s="561" t="s">
        <v>1199</v>
      </c>
      <c r="D2730" s="561">
        <v>660.27300000000002</v>
      </c>
      <c r="F2730" s="561">
        <v>660.27300000000002</v>
      </c>
      <c r="G2730" s="561">
        <v>52</v>
      </c>
      <c r="H2730" s="561">
        <v>664.15499999999997</v>
      </c>
      <c r="I2730" s="561">
        <v>1</v>
      </c>
      <c r="J2730" s="561">
        <v>3882</v>
      </c>
      <c r="K2730" s="561">
        <v>52</v>
      </c>
      <c r="L2730" s="561">
        <v>660.27300000000002</v>
      </c>
      <c r="M2730" s="561">
        <v>660.27300000000002</v>
      </c>
      <c r="N2730" s="561">
        <v>0</v>
      </c>
      <c r="O2730" s="561">
        <v>0</v>
      </c>
      <c r="P2730" s="561">
        <v>660.27300000000002</v>
      </c>
      <c r="Q2730" s="561">
        <v>660.27300000000002</v>
      </c>
    </row>
    <row r="2731" spans="1:54">
      <c r="B2731" s="561" t="s">
        <v>1496</v>
      </c>
      <c r="C2731" s="561" t="s">
        <v>1202</v>
      </c>
      <c r="G2731" s="561">
        <v>0</v>
      </c>
      <c r="H2731" s="561">
        <v>0</v>
      </c>
      <c r="I2731" s="561">
        <v>0</v>
      </c>
      <c r="J2731" s="561">
        <v>0</v>
      </c>
      <c r="K2731" s="561">
        <v>0</v>
      </c>
      <c r="L2731" s="561">
        <v>0</v>
      </c>
      <c r="O2731" s="561">
        <v>0</v>
      </c>
    </row>
    <row r="2734" spans="1:54">
      <c r="A2734" s="561">
        <v>5</v>
      </c>
      <c r="B2734" s="561" t="s">
        <v>1500</v>
      </c>
      <c r="C2734" s="561" t="s">
        <v>1206</v>
      </c>
      <c r="D2734" s="561">
        <v>131215.97500000001</v>
      </c>
      <c r="E2734" s="561">
        <v>39364.799999999996</v>
      </c>
      <c r="F2734" s="561">
        <v>91851.175000000003</v>
      </c>
      <c r="G2734" s="561">
        <v>3508</v>
      </c>
      <c r="H2734" s="561">
        <v>132168.09100000001</v>
      </c>
      <c r="I2734" s="561">
        <v>58</v>
      </c>
      <c r="J2734" s="561">
        <v>946.56500000000005</v>
      </c>
      <c r="K2734" s="561">
        <v>3507</v>
      </c>
      <c r="L2734" s="561">
        <v>131215.97500000001</v>
      </c>
      <c r="M2734" s="561">
        <v>131215.97500000001</v>
      </c>
      <c r="N2734" s="561">
        <v>39364.800000000003</v>
      </c>
      <c r="O2734" s="561">
        <v>0</v>
      </c>
      <c r="P2734" s="561">
        <v>91851.175000000003</v>
      </c>
      <c r="Q2734" s="561">
        <v>91851.175000000003</v>
      </c>
    </row>
    <row r="2735" spans="1:54">
      <c r="C2735" s="561" t="s">
        <v>1197</v>
      </c>
      <c r="D2735" s="561">
        <v>104296.609</v>
      </c>
      <c r="E2735" s="561">
        <v>33277.199999999997</v>
      </c>
      <c r="F2735" s="561">
        <v>71019.409</v>
      </c>
      <c r="G2735" s="561">
        <v>1610</v>
      </c>
      <c r="H2735" s="561">
        <v>105926.20600000002</v>
      </c>
      <c r="I2735" s="561">
        <v>58</v>
      </c>
      <c r="J2735" s="561">
        <v>946.56500000000005</v>
      </c>
      <c r="K2735" s="561">
        <v>1609</v>
      </c>
      <c r="L2735" s="561">
        <v>104973.80899999999</v>
      </c>
      <c r="M2735" s="561">
        <v>104973.80899999999</v>
      </c>
      <c r="N2735" s="561">
        <v>33954.400000000001</v>
      </c>
      <c r="O2735" s="561">
        <v>0</v>
      </c>
      <c r="Q2735" s="561">
        <v>71019.409</v>
      </c>
      <c r="AY2735" s="561">
        <v>71019.409</v>
      </c>
    </row>
    <row r="2736" spans="1:54">
      <c r="C2736" s="561" t="s">
        <v>1198</v>
      </c>
      <c r="D2736" s="561">
        <v>0</v>
      </c>
      <c r="F2736" s="561">
        <v>0</v>
      </c>
      <c r="G2736" s="561">
        <v>0</v>
      </c>
      <c r="H2736" s="561">
        <v>0</v>
      </c>
      <c r="I2736" s="561">
        <v>0</v>
      </c>
      <c r="J2736" s="561">
        <v>0</v>
      </c>
      <c r="K2736" s="561">
        <v>0</v>
      </c>
      <c r="L2736" s="561">
        <v>0</v>
      </c>
      <c r="M2736" s="561">
        <v>0</v>
      </c>
      <c r="N2736" s="561">
        <v>0</v>
      </c>
      <c r="O2736" s="561">
        <v>0</v>
      </c>
      <c r="P2736" s="561">
        <v>0</v>
      </c>
      <c r="Q2736" s="561">
        <v>0</v>
      </c>
    </row>
    <row r="2737" spans="1:38">
      <c r="C2737" s="561" t="s">
        <v>1199</v>
      </c>
      <c r="D2737" s="561">
        <v>26919.366000000002</v>
      </c>
      <c r="E2737" s="561">
        <v>6087.6</v>
      </c>
      <c r="F2737" s="561">
        <v>20831.766</v>
      </c>
      <c r="G2737" s="561">
        <v>1898</v>
      </c>
      <c r="H2737" s="561">
        <v>26241.884999999998</v>
      </c>
      <c r="I2737" s="561">
        <v>0</v>
      </c>
      <c r="J2737" s="561">
        <v>0</v>
      </c>
      <c r="K2737" s="561">
        <v>1898</v>
      </c>
      <c r="L2737" s="561">
        <v>26242.166000000001</v>
      </c>
      <c r="M2737" s="561">
        <v>26242.166000000001</v>
      </c>
      <c r="N2737" s="561">
        <v>5410.4</v>
      </c>
      <c r="O2737" s="561">
        <v>0</v>
      </c>
      <c r="P2737" s="561">
        <v>20831.766</v>
      </c>
      <c r="Q2737" s="561">
        <v>20831.766</v>
      </c>
    </row>
    <row r="2738" spans="1:38">
      <c r="B2738" s="561" t="s">
        <v>1496</v>
      </c>
      <c r="C2738" s="561" t="s">
        <v>1202</v>
      </c>
      <c r="G2738" s="561">
        <v>0</v>
      </c>
      <c r="H2738" s="561">
        <v>0</v>
      </c>
      <c r="I2738" s="561">
        <v>0</v>
      </c>
      <c r="J2738" s="561">
        <v>0</v>
      </c>
      <c r="K2738" s="561">
        <v>0</v>
      </c>
      <c r="L2738" s="561">
        <v>0</v>
      </c>
      <c r="O2738" s="561">
        <v>0</v>
      </c>
    </row>
    <row r="2741" spans="1:38">
      <c r="A2741" s="561">
        <v>6</v>
      </c>
      <c r="B2741" s="561" t="s">
        <v>1501</v>
      </c>
      <c r="C2741" s="561" t="s">
        <v>1206</v>
      </c>
      <c r="D2741" s="561">
        <v>1306380.0399999998</v>
      </c>
      <c r="E2741" s="561">
        <v>384864</v>
      </c>
      <c r="F2741" s="561">
        <v>921516.03999999992</v>
      </c>
      <c r="G2741" s="561">
        <v>17776</v>
      </c>
      <c r="H2741" s="561">
        <v>1333117.3429999999</v>
      </c>
      <c r="I2741" s="561">
        <v>1060</v>
      </c>
      <c r="J2741" s="561">
        <v>36510.671999999999</v>
      </c>
      <c r="K2741" s="561">
        <v>17708</v>
      </c>
      <c r="L2741" s="561">
        <v>1306380.04</v>
      </c>
      <c r="M2741" s="561">
        <v>1306380.04</v>
      </c>
      <c r="N2741" s="561">
        <v>384864</v>
      </c>
      <c r="O2741" s="561">
        <v>0</v>
      </c>
      <c r="P2741" s="561">
        <v>921516.04</v>
      </c>
      <c r="Q2741" s="561">
        <v>921516.04</v>
      </c>
    </row>
    <row r="2742" spans="1:38">
      <c r="C2742" s="561" t="s">
        <v>1197</v>
      </c>
      <c r="D2742" s="561">
        <v>1192243.733</v>
      </c>
      <c r="E2742" s="561">
        <v>362400</v>
      </c>
      <c r="F2742" s="561">
        <v>829843.73299999989</v>
      </c>
      <c r="G2742" s="561">
        <v>17450</v>
      </c>
      <c r="H2742" s="561">
        <v>1219966.2349999999</v>
      </c>
      <c r="I2742" s="561">
        <v>1052</v>
      </c>
      <c r="J2742" s="561">
        <v>34598.186999999998</v>
      </c>
      <c r="K2742" s="561">
        <v>17382</v>
      </c>
      <c r="L2742" s="561">
        <v>1194739.733</v>
      </c>
      <c r="M2742" s="561">
        <v>1194739.733</v>
      </c>
      <c r="N2742" s="561">
        <v>364896</v>
      </c>
      <c r="O2742" s="561">
        <v>0</v>
      </c>
      <c r="Q2742" s="561">
        <v>829843.73300000001</v>
      </c>
      <c r="AL2742" s="561">
        <v>829843.73299999989</v>
      </c>
    </row>
    <row r="2743" spans="1:38">
      <c r="C2743" s="561" t="s">
        <v>1198</v>
      </c>
      <c r="D2743" s="561">
        <v>111037.88</v>
      </c>
      <c r="E2743" s="561">
        <v>22464</v>
      </c>
      <c r="F2743" s="561">
        <v>88573.88</v>
      </c>
      <c r="G2743" s="561">
        <v>213</v>
      </c>
      <c r="H2743" s="561">
        <v>110052.681</v>
      </c>
      <c r="I2743" s="561">
        <v>8</v>
      </c>
      <c r="J2743" s="561">
        <v>1912.4849999999999</v>
      </c>
      <c r="K2743" s="561">
        <v>213</v>
      </c>
      <c r="L2743" s="561">
        <v>108541.88</v>
      </c>
      <c r="M2743" s="561">
        <v>108541.88</v>
      </c>
      <c r="N2743" s="561">
        <v>19968</v>
      </c>
      <c r="O2743" s="561">
        <v>0</v>
      </c>
      <c r="P2743" s="561">
        <v>88573.88</v>
      </c>
      <c r="Q2743" s="561">
        <v>88573.88</v>
      </c>
    </row>
    <row r="2744" spans="1:38">
      <c r="C2744" s="561" t="s">
        <v>1199</v>
      </c>
      <c r="D2744" s="561">
        <v>3098.4270000000001</v>
      </c>
      <c r="F2744" s="561">
        <v>3098.4270000000001</v>
      </c>
      <c r="G2744" s="561">
        <v>113</v>
      </c>
      <c r="H2744" s="561">
        <v>3098.4270000000001</v>
      </c>
      <c r="I2744" s="561">
        <v>0</v>
      </c>
      <c r="J2744" s="561">
        <v>0</v>
      </c>
      <c r="K2744" s="561">
        <v>113</v>
      </c>
      <c r="L2744" s="561">
        <v>3098.4270000000001</v>
      </c>
      <c r="M2744" s="561">
        <v>3098.4270000000001</v>
      </c>
      <c r="N2744" s="561">
        <v>0</v>
      </c>
      <c r="O2744" s="561">
        <v>0</v>
      </c>
      <c r="P2744" s="561">
        <v>3098.4270000000001</v>
      </c>
      <c r="Q2744" s="561">
        <v>3098.4270000000001</v>
      </c>
    </row>
    <row r="2745" spans="1:38">
      <c r="B2745" s="561" t="s">
        <v>1496</v>
      </c>
      <c r="C2745" s="561" t="s">
        <v>1202</v>
      </c>
      <c r="G2745" s="561">
        <v>0</v>
      </c>
      <c r="H2745" s="561">
        <v>0</v>
      </c>
      <c r="I2745" s="561">
        <v>0</v>
      </c>
      <c r="J2745" s="561">
        <v>0</v>
      </c>
      <c r="K2745" s="561">
        <v>0</v>
      </c>
      <c r="L2745" s="561">
        <v>0</v>
      </c>
      <c r="O2745" s="561">
        <v>0</v>
      </c>
    </row>
    <row r="2748" spans="1:38">
      <c r="A2748" s="561">
        <v>7</v>
      </c>
      <c r="B2748" s="561" t="s">
        <v>1502</v>
      </c>
      <c r="C2748" s="561" t="s">
        <v>1206</v>
      </c>
      <c r="D2748" s="561">
        <v>774419.728</v>
      </c>
      <c r="E2748" s="561">
        <v>224065.6</v>
      </c>
      <c r="F2748" s="561">
        <v>550354.12800000003</v>
      </c>
      <c r="G2748" s="561">
        <v>10375</v>
      </c>
      <c r="H2748" s="561">
        <v>790463.39199999988</v>
      </c>
      <c r="I2748" s="561">
        <v>700</v>
      </c>
      <c r="J2748" s="561">
        <v>12278.223</v>
      </c>
      <c r="K2748" s="561">
        <v>10354</v>
      </c>
      <c r="L2748" s="561">
        <v>774419.728</v>
      </c>
      <c r="M2748" s="561">
        <v>774419.728</v>
      </c>
      <c r="N2748" s="561">
        <v>224065.6</v>
      </c>
      <c r="O2748" s="561">
        <v>0</v>
      </c>
      <c r="P2748" s="561">
        <v>550354.12800000003</v>
      </c>
      <c r="Q2748" s="561">
        <v>550354.12799999991</v>
      </c>
    </row>
    <row r="2749" spans="1:38">
      <c r="C2749" s="561" t="s">
        <v>1197</v>
      </c>
      <c r="D2749" s="561">
        <v>615148.29800000007</v>
      </c>
      <c r="E2749" s="561">
        <v>180766</v>
      </c>
      <c r="F2749" s="561">
        <v>434382.29800000001</v>
      </c>
      <c r="G2749" s="561">
        <v>9054</v>
      </c>
      <c r="H2749" s="561">
        <v>644428.11899999995</v>
      </c>
      <c r="I2749" s="561">
        <v>693</v>
      </c>
      <c r="J2749" s="561">
        <v>12227.27</v>
      </c>
      <c r="K2749" s="561">
        <v>9033</v>
      </c>
      <c r="L2749" s="561">
        <v>628668.49800000002</v>
      </c>
      <c r="M2749" s="561">
        <v>628668.49800000002</v>
      </c>
      <c r="N2749" s="561">
        <v>194301.9</v>
      </c>
      <c r="O2749" s="561">
        <v>0</v>
      </c>
      <c r="Q2749" s="561">
        <v>434366.59799999994</v>
      </c>
      <c r="AL2749" s="561">
        <v>434366.598</v>
      </c>
    </row>
    <row r="2750" spans="1:38">
      <c r="C2750" s="561" t="s">
        <v>1198</v>
      </c>
      <c r="D2750" s="561">
        <v>0</v>
      </c>
      <c r="F2750" s="561">
        <v>0</v>
      </c>
      <c r="G2750" s="561">
        <v>0</v>
      </c>
      <c r="H2750" s="561">
        <v>0</v>
      </c>
      <c r="I2750" s="561">
        <v>0</v>
      </c>
      <c r="J2750" s="561">
        <v>0</v>
      </c>
      <c r="K2750" s="561">
        <v>0</v>
      </c>
      <c r="L2750" s="561">
        <v>0</v>
      </c>
      <c r="M2750" s="561">
        <v>0</v>
      </c>
      <c r="N2750" s="561">
        <v>0</v>
      </c>
      <c r="O2750" s="561">
        <v>0</v>
      </c>
      <c r="P2750" s="561">
        <v>0</v>
      </c>
      <c r="Q2750" s="561">
        <v>0</v>
      </c>
    </row>
    <row r="2751" spans="1:38">
      <c r="C2751" s="561" t="s">
        <v>1199</v>
      </c>
      <c r="D2751" s="561">
        <v>158737.73000000001</v>
      </c>
      <c r="E2751" s="561">
        <v>43299.6</v>
      </c>
      <c r="F2751" s="561">
        <v>115438.13</v>
      </c>
      <c r="G2751" s="561">
        <v>1321</v>
      </c>
      <c r="H2751" s="561">
        <v>145475.15299999996</v>
      </c>
      <c r="I2751" s="561">
        <v>7</v>
      </c>
      <c r="J2751" s="561">
        <v>50.953000000000003</v>
      </c>
      <c r="K2751" s="561">
        <v>1321</v>
      </c>
      <c r="L2751" s="561">
        <v>145201.82999999999</v>
      </c>
      <c r="M2751" s="561">
        <v>145201.82999999999</v>
      </c>
      <c r="N2751" s="561">
        <v>29763.7</v>
      </c>
      <c r="O2751" s="561">
        <v>0</v>
      </c>
      <c r="P2751" s="561">
        <v>115438.13</v>
      </c>
      <c r="Q2751" s="561">
        <v>115438.13</v>
      </c>
    </row>
    <row r="2752" spans="1:38">
      <c r="B2752" s="561" t="s">
        <v>1496</v>
      </c>
      <c r="C2752" s="561" t="s">
        <v>1202</v>
      </c>
      <c r="D2752" s="561">
        <v>533.70000000000005</v>
      </c>
      <c r="F2752" s="561">
        <v>533.70000000000005</v>
      </c>
      <c r="G2752" s="561">
        <v>0</v>
      </c>
      <c r="H2752" s="561">
        <v>560.12</v>
      </c>
      <c r="I2752" s="561">
        <v>0</v>
      </c>
      <c r="J2752" s="561">
        <v>0</v>
      </c>
      <c r="K2752" s="561">
        <v>0</v>
      </c>
      <c r="L2752" s="561">
        <v>549.4</v>
      </c>
      <c r="M2752" s="561">
        <v>549.4</v>
      </c>
      <c r="O2752" s="561">
        <v>0</v>
      </c>
      <c r="P2752" s="561">
        <v>549.4</v>
      </c>
      <c r="Q2752" s="561">
        <v>549.4</v>
      </c>
    </row>
    <row r="2755" spans="1:54">
      <c r="A2755" s="561">
        <v>8</v>
      </c>
      <c r="B2755" s="561" t="s">
        <v>1503</v>
      </c>
      <c r="C2755" s="561" t="s">
        <v>1206</v>
      </c>
      <c r="D2755" s="561">
        <v>595892.00299999991</v>
      </c>
      <c r="E2755" s="561">
        <v>145500</v>
      </c>
      <c r="F2755" s="561">
        <v>450392.00299999991</v>
      </c>
      <c r="G2755" s="561">
        <v>10561</v>
      </c>
      <c r="H2755" s="561">
        <v>605904.18200000003</v>
      </c>
      <c r="I2755" s="561">
        <v>914</v>
      </c>
      <c r="J2755" s="561">
        <v>11034.401</v>
      </c>
      <c r="K2755" s="561">
        <v>10542</v>
      </c>
      <c r="L2755" s="561">
        <v>595892.00333333318</v>
      </c>
      <c r="M2755" s="561">
        <v>595892.00333333318</v>
      </c>
      <c r="N2755" s="561">
        <v>145500.00033333327</v>
      </c>
      <c r="O2755" s="561">
        <v>0</v>
      </c>
      <c r="P2755" s="561">
        <v>450392.00299999991</v>
      </c>
      <c r="Q2755" s="561">
        <v>450392.00299999997</v>
      </c>
    </row>
    <row r="2756" spans="1:54">
      <c r="C2756" s="561" t="s">
        <v>1197</v>
      </c>
      <c r="D2756" s="561">
        <v>595892.00299999991</v>
      </c>
      <c r="E2756" s="561">
        <v>145500</v>
      </c>
      <c r="F2756" s="561">
        <v>450392.00299999991</v>
      </c>
      <c r="G2756" s="561">
        <v>10561</v>
      </c>
      <c r="H2756" s="561">
        <v>605904.18200000003</v>
      </c>
      <c r="I2756" s="561">
        <v>914</v>
      </c>
      <c r="J2756" s="561">
        <v>11034.401</v>
      </c>
      <c r="K2756" s="561">
        <v>10542</v>
      </c>
      <c r="L2756" s="561">
        <v>595892.00333333318</v>
      </c>
      <c r="M2756" s="561">
        <v>595892.00333333318</v>
      </c>
      <c r="N2756" s="561">
        <v>145500.00033333327</v>
      </c>
      <c r="O2756" s="561">
        <v>0</v>
      </c>
      <c r="Q2756" s="561">
        <v>450392.00299999997</v>
      </c>
      <c r="BB2756" s="561">
        <v>450392.00299999991</v>
      </c>
    </row>
    <row r="2757" spans="1:54">
      <c r="C2757" s="561" t="s">
        <v>1198</v>
      </c>
      <c r="D2757" s="561">
        <v>0</v>
      </c>
      <c r="F2757" s="561">
        <v>0</v>
      </c>
      <c r="G2757" s="561">
        <v>0</v>
      </c>
      <c r="H2757" s="561">
        <v>0</v>
      </c>
      <c r="I2757" s="561">
        <v>0</v>
      </c>
      <c r="J2757" s="561">
        <v>0</v>
      </c>
      <c r="K2757" s="561">
        <v>0</v>
      </c>
      <c r="L2757" s="561">
        <v>0</v>
      </c>
      <c r="M2757" s="561">
        <v>0</v>
      </c>
      <c r="N2757" s="561">
        <v>0</v>
      </c>
      <c r="O2757" s="561">
        <v>0</v>
      </c>
      <c r="P2757" s="561">
        <v>0</v>
      </c>
      <c r="Q2757" s="561">
        <v>0</v>
      </c>
    </row>
    <row r="2758" spans="1:54">
      <c r="C2758" s="561" t="s">
        <v>1199</v>
      </c>
      <c r="D2758" s="561">
        <v>0</v>
      </c>
      <c r="F2758" s="561">
        <v>0</v>
      </c>
      <c r="G2758" s="561">
        <v>0</v>
      </c>
      <c r="H2758" s="561">
        <v>0</v>
      </c>
      <c r="I2758" s="561">
        <v>0</v>
      </c>
      <c r="J2758" s="561">
        <v>0</v>
      </c>
      <c r="K2758" s="561">
        <v>0</v>
      </c>
      <c r="L2758" s="561">
        <v>0</v>
      </c>
      <c r="M2758" s="561">
        <v>0</v>
      </c>
      <c r="N2758" s="561">
        <v>0</v>
      </c>
      <c r="O2758" s="561">
        <v>0</v>
      </c>
      <c r="P2758" s="561">
        <v>0</v>
      </c>
      <c r="Q2758" s="561">
        <v>0</v>
      </c>
    </row>
    <row r="2759" spans="1:54">
      <c r="B2759" s="561" t="s">
        <v>1496</v>
      </c>
      <c r="C2759" s="561" t="s">
        <v>1202</v>
      </c>
      <c r="G2759" s="561">
        <v>0</v>
      </c>
      <c r="H2759" s="561">
        <v>0</v>
      </c>
      <c r="I2759" s="561">
        <v>0</v>
      </c>
      <c r="J2759" s="561">
        <v>0</v>
      </c>
      <c r="K2759" s="561">
        <v>0</v>
      </c>
      <c r="L2759" s="561">
        <v>0</v>
      </c>
      <c r="O2759" s="561">
        <v>0</v>
      </c>
    </row>
    <row r="2762" spans="1:54">
      <c r="A2762" s="561">
        <v>9</v>
      </c>
      <c r="B2762" s="561" t="s">
        <v>1504</v>
      </c>
      <c r="C2762" s="561" t="s">
        <v>1206</v>
      </c>
      <c r="D2762" s="561">
        <v>661336.03300000005</v>
      </c>
      <c r="E2762" s="561">
        <v>198400.8</v>
      </c>
      <c r="F2762" s="561">
        <v>462935.23300000007</v>
      </c>
      <c r="G2762" s="561">
        <v>7793</v>
      </c>
      <c r="H2762" s="561">
        <v>667348.7209999999</v>
      </c>
      <c r="I2762" s="561">
        <v>224</v>
      </c>
      <c r="J2762" s="561">
        <v>7304.3180000000002</v>
      </c>
      <c r="K2762" s="561">
        <v>7793</v>
      </c>
      <c r="L2762" s="561">
        <v>661336.03300000005</v>
      </c>
      <c r="M2762" s="561">
        <v>661336.03300000005</v>
      </c>
      <c r="N2762" s="561">
        <v>198400.8</v>
      </c>
      <c r="O2762" s="561">
        <v>0</v>
      </c>
      <c r="P2762" s="561">
        <v>462935.23300000007</v>
      </c>
      <c r="Q2762" s="561">
        <v>462935.23300000001</v>
      </c>
    </row>
    <row r="2763" spans="1:54">
      <c r="C2763" s="561" t="s">
        <v>1197</v>
      </c>
      <c r="D2763" s="561">
        <v>654868.14300000004</v>
      </c>
      <c r="E2763" s="561">
        <v>196896</v>
      </c>
      <c r="F2763" s="561">
        <v>457972.14300000004</v>
      </c>
      <c r="G2763" s="561">
        <v>7362</v>
      </c>
      <c r="H2763" s="561">
        <v>661162.67299999995</v>
      </c>
      <c r="I2763" s="561">
        <v>221</v>
      </c>
      <c r="J2763" s="561">
        <v>7273.665</v>
      </c>
      <c r="K2763" s="561">
        <v>7362</v>
      </c>
      <c r="L2763" s="561">
        <v>655202.44300000009</v>
      </c>
      <c r="M2763" s="561">
        <v>655202.44300000009</v>
      </c>
      <c r="N2763" s="561">
        <v>197230.3</v>
      </c>
      <c r="O2763" s="561">
        <v>0</v>
      </c>
      <c r="Q2763" s="561">
        <v>457972.14299999998</v>
      </c>
      <c r="AL2763" s="561">
        <v>457972.14300000004</v>
      </c>
    </row>
    <row r="2764" spans="1:54">
      <c r="C2764" s="561" t="s">
        <v>1198</v>
      </c>
      <c r="D2764" s="561">
        <v>0</v>
      </c>
      <c r="F2764" s="561">
        <v>0</v>
      </c>
      <c r="G2764" s="561">
        <v>0</v>
      </c>
      <c r="H2764" s="561">
        <v>0</v>
      </c>
      <c r="I2764" s="561">
        <v>0</v>
      </c>
      <c r="J2764" s="561">
        <v>0</v>
      </c>
      <c r="K2764" s="561">
        <v>0</v>
      </c>
      <c r="L2764" s="561">
        <v>0</v>
      </c>
      <c r="M2764" s="561">
        <v>0</v>
      </c>
      <c r="N2764" s="561">
        <v>0</v>
      </c>
      <c r="O2764" s="561">
        <v>0</v>
      </c>
      <c r="P2764" s="561">
        <v>0</v>
      </c>
      <c r="Q2764" s="561">
        <v>0</v>
      </c>
    </row>
    <row r="2765" spans="1:54">
      <c r="C2765" s="561" t="s">
        <v>1199</v>
      </c>
      <c r="D2765" s="561">
        <v>6467.89</v>
      </c>
      <c r="E2765" s="561">
        <v>1504.8</v>
      </c>
      <c r="F2765" s="561">
        <v>4963.09</v>
      </c>
      <c r="G2765" s="561">
        <v>431</v>
      </c>
      <c r="H2765" s="561">
        <v>6186.0480000000007</v>
      </c>
      <c r="I2765" s="561">
        <v>3</v>
      </c>
      <c r="J2765" s="561">
        <v>30.652999999999999</v>
      </c>
      <c r="K2765" s="561">
        <v>431</v>
      </c>
      <c r="L2765" s="561">
        <v>6133.59</v>
      </c>
      <c r="M2765" s="561">
        <v>6133.59</v>
      </c>
      <c r="N2765" s="561">
        <v>1170.5</v>
      </c>
      <c r="O2765" s="561">
        <v>0</v>
      </c>
      <c r="P2765" s="561">
        <v>4963.09</v>
      </c>
      <c r="Q2765" s="561">
        <v>4963.09</v>
      </c>
    </row>
    <row r="2766" spans="1:54">
      <c r="B2766" s="561" t="s">
        <v>1496</v>
      </c>
      <c r="C2766" s="561" t="s">
        <v>1202</v>
      </c>
      <c r="G2766" s="561">
        <v>0</v>
      </c>
      <c r="H2766" s="561">
        <v>0</v>
      </c>
      <c r="I2766" s="561">
        <v>0</v>
      </c>
      <c r="J2766" s="561">
        <v>0</v>
      </c>
      <c r="K2766" s="561">
        <v>0</v>
      </c>
      <c r="L2766" s="561">
        <v>0</v>
      </c>
      <c r="O2766" s="561">
        <v>0</v>
      </c>
    </row>
    <row r="2769" spans="1:38">
      <c r="A2769" s="561">
        <v>10</v>
      </c>
      <c r="B2769" s="561" t="s">
        <v>1505</v>
      </c>
      <c r="C2769" s="561" t="s">
        <v>1206</v>
      </c>
      <c r="D2769" s="561">
        <v>291752.02500000002</v>
      </c>
      <c r="E2769" s="561">
        <v>81525.600000000006</v>
      </c>
      <c r="F2769" s="561">
        <v>210226.42499999999</v>
      </c>
      <c r="G2769" s="561">
        <v>6000</v>
      </c>
      <c r="H2769" s="561">
        <v>299376.40900000004</v>
      </c>
      <c r="I2769" s="561">
        <v>357</v>
      </c>
      <c r="J2769" s="561">
        <v>7515.5579999999991</v>
      </c>
      <c r="K2769" s="561">
        <v>5985</v>
      </c>
      <c r="L2769" s="561">
        <v>291752.02500000002</v>
      </c>
      <c r="M2769" s="561">
        <v>291752.02500000002</v>
      </c>
      <c r="N2769" s="561">
        <v>81525.600000000006</v>
      </c>
      <c r="O2769" s="561">
        <v>0</v>
      </c>
      <c r="P2769" s="561">
        <v>210226.42499999999</v>
      </c>
      <c r="Q2769" s="561">
        <v>210226.42499999999</v>
      </c>
    </row>
    <row r="2770" spans="1:38">
      <c r="C2770" s="561" t="s">
        <v>1197</v>
      </c>
      <c r="D2770" s="561">
        <v>259392.859</v>
      </c>
      <c r="E2770" s="561">
        <v>71734.5</v>
      </c>
      <c r="F2770" s="561">
        <v>187658.359</v>
      </c>
      <c r="G2770" s="561">
        <v>3879</v>
      </c>
      <c r="H2770" s="561">
        <v>266171.90600000002</v>
      </c>
      <c r="I2770" s="561">
        <v>326</v>
      </c>
      <c r="J2770" s="561">
        <v>7226.0959999999995</v>
      </c>
      <c r="K2770" s="561">
        <v>3866</v>
      </c>
      <c r="L2770" s="561">
        <v>258999.959</v>
      </c>
      <c r="M2770" s="561">
        <v>258999.959</v>
      </c>
      <c r="N2770" s="561">
        <v>71341.600000000006</v>
      </c>
      <c r="O2770" s="561">
        <v>0</v>
      </c>
      <c r="Q2770" s="561">
        <v>187658.359</v>
      </c>
      <c r="AL2770" s="561">
        <v>187658.359</v>
      </c>
    </row>
    <row r="2771" spans="1:38">
      <c r="C2771" s="561" t="s">
        <v>1198</v>
      </c>
      <c r="D2771" s="561">
        <v>0</v>
      </c>
      <c r="F2771" s="561">
        <v>0</v>
      </c>
      <c r="G2771" s="561">
        <v>0</v>
      </c>
      <c r="H2771" s="561">
        <v>0</v>
      </c>
      <c r="I2771" s="561">
        <v>0</v>
      </c>
      <c r="J2771" s="561">
        <v>0</v>
      </c>
      <c r="K2771" s="561">
        <v>0</v>
      </c>
      <c r="L2771" s="561">
        <v>0</v>
      </c>
      <c r="M2771" s="561">
        <v>0</v>
      </c>
      <c r="N2771" s="561">
        <v>0</v>
      </c>
      <c r="O2771" s="561">
        <v>0</v>
      </c>
      <c r="P2771" s="561">
        <v>0</v>
      </c>
      <c r="Q2771" s="561">
        <v>0</v>
      </c>
    </row>
    <row r="2772" spans="1:38">
      <c r="C2772" s="561" t="s">
        <v>1199</v>
      </c>
      <c r="D2772" s="561">
        <v>32359.165999999997</v>
      </c>
      <c r="E2772" s="561">
        <v>9791.1</v>
      </c>
      <c r="F2772" s="561">
        <v>22568.065999999999</v>
      </c>
      <c r="G2772" s="561">
        <v>2121</v>
      </c>
      <c r="H2772" s="561">
        <v>33204.503000000004</v>
      </c>
      <c r="I2772" s="561">
        <v>31</v>
      </c>
      <c r="J2772" s="561">
        <v>289.46199999999999</v>
      </c>
      <c r="K2772" s="561">
        <v>2119</v>
      </c>
      <c r="L2772" s="561">
        <v>32752.065999999999</v>
      </c>
      <c r="M2772" s="561">
        <v>32752.065999999999</v>
      </c>
      <c r="N2772" s="561">
        <v>10184</v>
      </c>
      <c r="O2772" s="561">
        <v>0</v>
      </c>
      <c r="P2772" s="561">
        <v>22568.065999999999</v>
      </c>
      <c r="Q2772" s="561">
        <v>22568.065999999999</v>
      </c>
    </row>
    <row r="2773" spans="1:38">
      <c r="B2773" s="561" t="s">
        <v>1496</v>
      </c>
      <c r="C2773" s="561" t="s">
        <v>1202</v>
      </c>
      <c r="O2773" s="561">
        <v>0</v>
      </c>
    </row>
    <row r="2776" spans="1:38">
      <c r="A2776" s="561">
        <v>11</v>
      </c>
      <c r="B2776" s="561" t="s">
        <v>1506</v>
      </c>
      <c r="C2776" s="561" t="s">
        <v>1206</v>
      </c>
      <c r="D2776" s="561">
        <v>289808.00900000002</v>
      </c>
      <c r="E2776" s="561">
        <v>85142.399999999994</v>
      </c>
      <c r="F2776" s="561">
        <v>204665.609</v>
      </c>
      <c r="G2776" s="561">
        <v>7159</v>
      </c>
      <c r="H2776" s="561">
        <v>277779.34599999996</v>
      </c>
      <c r="I2776" s="561">
        <v>336</v>
      </c>
      <c r="J2776" s="561">
        <v>8604.8089999999993</v>
      </c>
      <c r="K2776" s="561">
        <v>7143</v>
      </c>
      <c r="L2776" s="561">
        <v>289807.99900000001</v>
      </c>
      <c r="M2776" s="561">
        <v>289807.99900000001</v>
      </c>
      <c r="N2776" s="561">
        <v>85142.39</v>
      </c>
      <c r="O2776" s="561">
        <v>0</v>
      </c>
      <c r="P2776" s="561">
        <v>204665.609</v>
      </c>
      <c r="Q2776" s="561">
        <v>204665.609</v>
      </c>
    </row>
    <row r="2777" spans="1:38">
      <c r="C2777" s="561" t="s">
        <v>1197</v>
      </c>
      <c r="D2777" s="561">
        <v>240564.046</v>
      </c>
      <c r="E2777" s="561">
        <v>72600</v>
      </c>
      <c r="F2777" s="561">
        <v>167964.046</v>
      </c>
      <c r="G2777" s="561">
        <v>3840</v>
      </c>
      <c r="H2777" s="561">
        <v>228248.60099999997</v>
      </c>
      <c r="I2777" s="561">
        <v>292</v>
      </c>
      <c r="J2777" s="561">
        <v>8330.9110000000001</v>
      </c>
      <c r="K2777" s="561">
        <v>3824</v>
      </c>
      <c r="L2777" s="561">
        <v>240564.03599999999</v>
      </c>
      <c r="M2777" s="561">
        <v>240564.03599999999</v>
      </c>
      <c r="N2777" s="561">
        <v>72599.990000000005</v>
      </c>
      <c r="O2777" s="561">
        <v>0</v>
      </c>
      <c r="Q2777" s="561">
        <v>167964.046</v>
      </c>
      <c r="AL2777" s="561">
        <v>167964.046</v>
      </c>
    </row>
    <row r="2778" spans="1:38">
      <c r="C2778" s="561" t="s">
        <v>1198</v>
      </c>
      <c r="D2778" s="561">
        <v>0</v>
      </c>
      <c r="F2778" s="561">
        <v>0</v>
      </c>
      <c r="G2778" s="561">
        <v>0</v>
      </c>
      <c r="H2778" s="561">
        <v>0</v>
      </c>
      <c r="I2778" s="561">
        <v>0</v>
      </c>
      <c r="J2778" s="561">
        <v>0</v>
      </c>
      <c r="K2778" s="561">
        <v>0</v>
      </c>
      <c r="L2778" s="561">
        <v>0</v>
      </c>
      <c r="M2778" s="561">
        <v>0</v>
      </c>
      <c r="N2778" s="561">
        <v>0</v>
      </c>
      <c r="O2778" s="561">
        <v>0</v>
      </c>
      <c r="P2778" s="561">
        <v>0</v>
      </c>
      <c r="Q2778" s="561">
        <v>0</v>
      </c>
    </row>
    <row r="2779" spans="1:38">
      <c r="C2779" s="561" t="s">
        <v>1199</v>
      </c>
      <c r="D2779" s="561">
        <v>49243.963000000003</v>
      </c>
      <c r="E2779" s="561">
        <v>12542.4</v>
      </c>
      <c r="F2779" s="561">
        <v>36701.563000000002</v>
      </c>
      <c r="G2779" s="561">
        <v>3319</v>
      </c>
      <c r="H2779" s="561">
        <v>49530.744999999995</v>
      </c>
      <c r="I2779" s="561">
        <v>44</v>
      </c>
      <c r="J2779" s="561">
        <v>273.89800000000002</v>
      </c>
      <c r="K2779" s="561">
        <v>3319</v>
      </c>
      <c r="L2779" s="561">
        <v>49243.963000000003</v>
      </c>
      <c r="M2779" s="561">
        <v>49243.963000000003</v>
      </c>
      <c r="N2779" s="561">
        <v>12542.4</v>
      </c>
      <c r="O2779" s="561">
        <v>0</v>
      </c>
      <c r="P2779" s="561">
        <v>36701.563000000002</v>
      </c>
      <c r="Q2779" s="561">
        <v>36701.563000000002</v>
      </c>
    </row>
    <row r="2780" spans="1:38">
      <c r="B2780" s="561" t="s">
        <v>1496</v>
      </c>
      <c r="C2780" s="561" t="s">
        <v>1202</v>
      </c>
      <c r="O2780" s="561">
        <v>0</v>
      </c>
    </row>
    <row r="2783" spans="1:38">
      <c r="A2783" s="561">
        <v>12</v>
      </c>
      <c r="B2783" s="561" t="s">
        <v>1507</v>
      </c>
      <c r="C2783" s="561" t="s">
        <v>1206</v>
      </c>
      <c r="D2783" s="561">
        <v>317650.35099999997</v>
      </c>
      <c r="E2783" s="561">
        <v>89239</v>
      </c>
      <c r="F2783" s="561">
        <v>228411.351</v>
      </c>
      <c r="G2783" s="561">
        <v>6830</v>
      </c>
      <c r="H2783" s="561">
        <v>319700.30300000001</v>
      </c>
      <c r="I2783" s="561">
        <v>455</v>
      </c>
      <c r="J2783" s="561">
        <v>9130.7240000000002</v>
      </c>
      <c r="K2783" s="561">
        <v>6816</v>
      </c>
      <c r="L2783" s="561">
        <v>317650.35099999997</v>
      </c>
      <c r="M2783" s="561">
        <v>317650.35099999997</v>
      </c>
      <c r="N2783" s="561">
        <v>89239</v>
      </c>
      <c r="O2783" s="561">
        <v>0</v>
      </c>
      <c r="P2783" s="561">
        <v>228411.351</v>
      </c>
      <c r="Q2783" s="561">
        <v>228411.35100000002</v>
      </c>
    </row>
    <row r="2784" spans="1:38">
      <c r="C2784" s="561" t="s">
        <v>1197</v>
      </c>
      <c r="D2784" s="561">
        <v>276948.29399999999</v>
      </c>
      <c r="E2784" s="561">
        <v>79207</v>
      </c>
      <c r="F2784" s="561">
        <v>197741.29399999999</v>
      </c>
      <c r="G2784" s="561">
        <v>4115</v>
      </c>
      <c r="H2784" s="561">
        <v>277633.473</v>
      </c>
      <c r="I2784" s="561">
        <v>376</v>
      </c>
      <c r="J2784" s="561">
        <v>8572.3359999999993</v>
      </c>
      <c r="K2784" s="561">
        <v>4107</v>
      </c>
      <c r="L2784" s="561">
        <v>276207.29399999999</v>
      </c>
      <c r="M2784" s="561">
        <v>276207.29399999999</v>
      </c>
      <c r="N2784" s="561">
        <v>78466</v>
      </c>
      <c r="O2784" s="561">
        <v>0</v>
      </c>
      <c r="Q2784" s="561">
        <v>197741.29400000002</v>
      </c>
      <c r="AL2784" s="561">
        <v>197741.29399999999</v>
      </c>
    </row>
    <row r="2785" spans="1:38">
      <c r="C2785" s="561" t="s">
        <v>1198</v>
      </c>
      <c r="D2785" s="561">
        <v>0</v>
      </c>
      <c r="F2785" s="561">
        <v>0</v>
      </c>
      <c r="G2785" s="561">
        <v>0</v>
      </c>
      <c r="H2785" s="561">
        <v>0</v>
      </c>
      <c r="I2785" s="561">
        <v>0</v>
      </c>
      <c r="J2785" s="561">
        <v>0</v>
      </c>
      <c r="K2785" s="561">
        <v>0</v>
      </c>
      <c r="L2785" s="561">
        <v>0</v>
      </c>
      <c r="M2785" s="561">
        <v>0</v>
      </c>
      <c r="N2785" s="561">
        <v>0</v>
      </c>
      <c r="O2785" s="561">
        <v>0</v>
      </c>
      <c r="P2785" s="561">
        <v>0</v>
      </c>
      <c r="Q2785" s="561">
        <v>0</v>
      </c>
    </row>
    <row r="2786" spans="1:38">
      <c r="C2786" s="561" t="s">
        <v>1199</v>
      </c>
      <c r="D2786" s="561">
        <v>40584.894</v>
      </c>
      <c r="E2786" s="561">
        <v>10032</v>
      </c>
      <c r="F2786" s="561">
        <v>30552.894000000004</v>
      </c>
      <c r="G2786" s="561">
        <v>2715</v>
      </c>
      <c r="H2786" s="561">
        <v>41949.667000000009</v>
      </c>
      <c r="I2786" s="561">
        <v>79</v>
      </c>
      <c r="J2786" s="561">
        <v>558.38800000000003</v>
      </c>
      <c r="K2786" s="561">
        <v>2709</v>
      </c>
      <c r="L2786" s="561">
        <v>41325.894</v>
      </c>
      <c r="M2786" s="561">
        <v>41325.894</v>
      </c>
      <c r="N2786" s="561">
        <v>10773</v>
      </c>
      <c r="O2786" s="561">
        <v>0</v>
      </c>
      <c r="P2786" s="561">
        <v>30552.894000000004</v>
      </c>
      <c r="Q2786" s="561">
        <v>30552.894</v>
      </c>
    </row>
    <row r="2787" spans="1:38">
      <c r="B2787" s="561" t="s">
        <v>1496</v>
      </c>
      <c r="C2787" s="561" t="s">
        <v>1202</v>
      </c>
      <c r="D2787" s="561">
        <v>117.163</v>
      </c>
      <c r="F2787" s="561">
        <v>117.163</v>
      </c>
      <c r="H2787" s="561">
        <v>117.163</v>
      </c>
      <c r="I2787" s="561">
        <v>0</v>
      </c>
      <c r="J2787" s="561">
        <v>0</v>
      </c>
      <c r="L2787" s="561">
        <v>117.163</v>
      </c>
      <c r="M2787" s="561">
        <v>117.163</v>
      </c>
      <c r="O2787" s="561">
        <v>0</v>
      </c>
      <c r="P2787" s="561">
        <v>117.163</v>
      </c>
      <c r="Q2787" s="561">
        <v>117.163</v>
      </c>
    </row>
    <row r="2790" spans="1:38">
      <c r="A2790" s="561">
        <v>13</v>
      </c>
      <c r="B2790" s="561" t="s">
        <v>1508</v>
      </c>
      <c r="C2790" s="561" t="s">
        <v>1206</v>
      </c>
      <c r="D2790" s="561">
        <v>958104.98066666652</v>
      </c>
      <c r="E2790" s="561">
        <v>262231.5</v>
      </c>
      <c r="F2790" s="561">
        <v>695873.48066666652</v>
      </c>
      <c r="G2790" s="561">
        <v>21963</v>
      </c>
      <c r="H2790" s="561">
        <v>998427.27599999984</v>
      </c>
      <c r="I2790" s="561">
        <v>1231</v>
      </c>
      <c r="J2790" s="561">
        <v>39101.017999999996</v>
      </c>
      <c r="K2790" s="561">
        <v>21893</v>
      </c>
      <c r="L2790" s="561">
        <v>958104.98066666652</v>
      </c>
      <c r="M2790" s="561">
        <v>958104.98066666652</v>
      </c>
      <c r="N2790" s="561">
        <v>262231.5</v>
      </c>
      <c r="O2790" s="561">
        <v>0</v>
      </c>
      <c r="P2790" s="561">
        <v>695873.48066666652</v>
      </c>
      <c r="Q2790" s="561">
        <v>695873.48066666664</v>
      </c>
    </row>
    <row r="2791" spans="1:38">
      <c r="C2791" s="561" t="s">
        <v>1197</v>
      </c>
      <c r="D2791" s="561">
        <v>791156.80099999986</v>
      </c>
      <c r="E2791" s="561">
        <v>222000</v>
      </c>
      <c r="F2791" s="561">
        <v>569156.80099999986</v>
      </c>
      <c r="G2791" s="561">
        <v>11633</v>
      </c>
      <c r="H2791" s="561">
        <v>819609.67099999986</v>
      </c>
      <c r="I2791" s="561">
        <v>945</v>
      </c>
      <c r="J2791" s="561">
        <v>37149.298999999999</v>
      </c>
      <c r="K2791" s="561">
        <v>11571</v>
      </c>
      <c r="L2791" s="561">
        <v>781408.94766666659</v>
      </c>
      <c r="M2791" s="561">
        <v>781408.94766666659</v>
      </c>
      <c r="N2791" s="561">
        <v>212252.14666666667</v>
      </c>
      <c r="O2791" s="561">
        <v>0</v>
      </c>
      <c r="Q2791" s="561">
        <v>569156.80099999998</v>
      </c>
      <c r="AL2791" s="561">
        <v>569156.80099999986</v>
      </c>
    </row>
    <row r="2792" spans="1:38">
      <c r="C2792" s="561" t="s">
        <v>1198</v>
      </c>
      <c r="D2792" s="561">
        <v>0</v>
      </c>
      <c r="F2792" s="561">
        <v>0</v>
      </c>
      <c r="G2792" s="561">
        <v>0</v>
      </c>
      <c r="H2792" s="561">
        <v>0</v>
      </c>
      <c r="I2792" s="561">
        <v>0</v>
      </c>
      <c r="J2792" s="561">
        <v>0</v>
      </c>
      <c r="K2792" s="561">
        <v>0</v>
      </c>
      <c r="L2792" s="561">
        <v>0</v>
      </c>
      <c r="M2792" s="561">
        <v>0</v>
      </c>
      <c r="N2792" s="561">
        <v>0</v>
      </c>
      <c r="O2792" s="561">
        <v>0</v>
      </c>
      <c r="P2792" s="561">
        <v>0</v>
      </c>
      <c r="Q2792" s="561">
        <v>0</v>
      </c>
    </row>
    <row r="2793" spans="1:38">
      <c r="C2793" s="561" t="s">
        <v>1199</v>
      </c>
      <c r="D2793" s="561">
        <v>166948.17966666666</v>
      </c>
      <c r="E2793" s="561">
        <v>40231.5</v>
      </c>
      <c r="F2793" s="561">
        <v>126716.67966666666</v>
      </c>
      <c r="G2793" s="561">
        <v>10330</v>
      </c>
      <c r="H2793" s="561">
        <v>178817.60499999998</v>
      </c>
      <c r="I2793" s="561">
        <v>286</v>
      </c>
      <c r="J2793" s="561">
        <v>1951.7190000000001</v>
      </c>
      <c r="K2793" s="561">
        <v>10322</v>
      </c>
      <c r="L2793" s="561">
        <v>176696.033</v>
      </c>
      <c r="M2793" s="561">
        <v>176696.033</v>
      </c>
      <c r="N2793" s="561">
        <v>49979.353333333347</v>
      </c>
      <c r="O2793" s="561">
        <v>0</v>
      </c>
      <c r="P2793" s="561">
        <v>126716.67966666666</v>
      </c>
      <c r="Q2793" s="561">
        <v>126716.67966666668</v>
      </c>
    </row>
    <row r="2794" spans="1:38">
      <c r="B2794" s="561" t="s">
        <v>1496</v>
      </c>
      <c r="C2794" s="561" t="s">
        <v>1202</v>
      </c>
      <c r="O2794" s="561">
        <v>0</v>
      </c>
    </row>
    <row r="2797" spans="1:38">
      <c r="A2797" s="561">
        <v>14</v>
      </c>
      <c r="B2797" s="561" t="s">
        <v>1509</v>
      </c>
      <c r="C2797" s="561" t="s">
        <v>1206</v>
      </c>
      <c r="D2797" s="561">
        <v>437980.049</v>
      </c>
      <c r="E2797" s="561">
        <v>127794</v>
      </c>
      <c r="F2797" s="561">
        <v>310186.049</v>
      </c>
      <c r="G2797" s="561">
        <v>10005</v>
      </c>
      <c r="H2797" s="561">
        <v>457670.88799999992</v>
      </c>
      <c r="I2797" s="561">
        <v>768</v>
      </c>
      <c r="J2797" s="561">
        <v>20294.126</v>
      </c>
      <c r="K2797" s="561">
        <v>9959</v>
      </c>
      <c r="L2797" s="561">
        <v>437980.049</v>
      </c>
      <c r="M2797" s="561">
        <v>437980.049</v>
      </c>
      <c r="N2797" s="561">
        <v>127794</v>
      </c>
      <c r="O2797" s="561">
        <v>0</v>
      </c>
      <c r="P2797" s="561">
        <v>310186.049</v>
      </c>
      <c r="Q2797" s="561">
        <v>310186.049</v>
      </c>
    </row>
    <row r="2798" spans="1:38">
      <c r="C2798" s="561" t="s">
        <v>1197</v>
      </c>
      <c r="D2798" s="561">
        <v>379774.7</v>
      </c>
      <c r="E2798" s="561">
        <v>112800</v>
      </c>
      <c r="F2798" s="561">
        <v>266974.7</v>
      </c>
      <c r="G2798" s="561">
        <v>6048</v>
      </c>
      <c r="H2798" s="561">
        <v>399731.9059999999</v>
      </c>
      <c r="I2798" s="561">
        <v>684</v>
      </c>
      <c r="J2798" s="561">
        <v>19612.246999999999</v>
      </c>
      <c r="K2798" s="561">
        <v>6005</v>
      </c>
      <c r="L2798" s="561">
        <v>381033.2</v>
      </c>
      <c r="M2798" s="561">
        <v>381033.2</v>
      </c>
      <c r="N2798" s="561">
        <v>114058.5</v>
      </c>
      <c r="O2798" s="561">
        <v>0</v>
      </c>
      <c r="Q2798" s="561">
        <v>266974.7</v>
      </c>
      <c r="AL2798" s="561">
        <v>266974.7</v>
      </c>
    </row>
    <row r="2799" spans="1:38">
      <c r="C2799" s="561" t="s">
        <v>1198</v>
      </c>
      <c r="D2799" s="561">
        <v>0</v>
      </c>
      <c r="F2799" s="561">
        <v>0</v>
      </c>
      <c r="G2799" s="561">
        <v>0</v>
      </c>
      <c r="H2799" s="561">
        <v>0</v>
      </c>
      <c r="I2799" s="561">
        <v>0</v>
      </c>
      <c r="J2799" s="561">
        <v>0</v>
      </c>
      <c r="K2799" s="561">
        <v>0</v>
      </c>
      <c r="L2799" s="561">
        <v>0</v>
      </c>
      <c r="M2799" s="561">
        <v>0</v>
      </c>
      <c r="N2799" s="561">
        <v>0</v>
      </c>
      <c r="O2799" s="561">
        <v>0</v>
      </c>
      <c r="P2799" s="561">
        <v>0</v>
      </c>
      <c r="Q2799" s="561">
        <v>0</v>
      </c>
    </row>
    <row r="2800" spans="1:38">
      <c r="C2800" s="561" t="s">
        <v>1199</v>
      </c>
      <c r="D2800" s="561">
        <v>58205.348999999995</v>
      </c>
      <c r="E2800" s="561">
        <v>14994</v>
      </c>
      <c r="F2800" s="561">
        <v>43211.348999999995</v>
      </c>
      <c r="G2800" s="561">
        <v>3957</v>
      </c>
      <c r="H2800" s="561">
        <v>57938.981999999996</v>
      </c>
      <c r="I2800" s="561">
        <v>84</v>
      </c>
      <c r="J2800" s="561">
        <v>681.87900000000002</v>
      </c>
      <c r="K2800" s="561">
        <v>3954</v>
      </c>
      <c r="L2800" s="561">
        <v>56946.848999999995</v>
      </c>
      <c r="M2800" s="561">
        <v>56946.848999999995</v>
      </c>
      <c r="N2800" s="561">
        <v>13735.5</v>
      </c>
      <c r="O2800" s="561">
        <v>0</v>
      </c>
      <c r="P2800" s="561">
        <v>43211.348999999995</v>
      </c>
      <c r="Q2800" s="561">
        <v>43211.348999999995</v>
      </c>
    </row>
    <row r="2801" spans="1:38">
      <c r="B2801" s="561" t="s">
        <v>1496</v>
      </c>
      <c r="C2801" s="561" t="s">
        <v>1202</v>
      </c>
      <c r="O2801" s="561">
        <v>0</v>
      </c>
    </row>
    <row r="2804" spans="1:38">
      <c r="A2804" s="561">
        <v>15</v>
      </c>
      <c r="B2804" s="561" t="s">
        <v>1510</v>
      </c>
      <c r="C2804" s="561" t="s">
        <v>1206</v>
      </c>
      <c r="D2804" s="561">
        <v>379490.033</v>
      </c>
      <c r="E2804" s="561">
        <v>107847</v>
      </c>
      <c r="F2804" s="561">
        <v>271643.033</v>
      </c>
      <c r="G2804" s="561">
        <v>7123</v>
      </c>
      <c r="H2804" s="561">
        <v>391420.27800000005</v>
      </c>
      <c r="I2804" s="561">
        <v>562</v>
      </c>
      <c r="J2804" s="561">
        <v>15054.567000000001</v>
      </c>
      <c r="K2804" s="561">
        <v>7096</v>
      </c>
      <c r="L2804" s="561">
        <v>379490.06700000004</v>
      </c>
      <c r="M2804" s="561">
        <v>379490.06700000004</v>
      </c>
      <c r="N2804" s="561">
        <v>107847.03400000001</v>
      </c>
      <c r="O2804" s="561">
        <v>0</v>
      </c>
      <c r="P2804" s="561">
        <v>271643.033</v>
      </c>
      <c r="Q2804" s="561">
        <v>271643.033</v>
      </c>
    </row>
    <row r="2805" spans="1:38">
      <c r="C2805" s="561" t="s">
        <v>1197</v>
      </c>
      <c r="D2805" s="561">
        <v>343918.05</v>
      </c>
      <c r="E2805" s="561">
        <v>100350</v>
      </c>
      <c r="F2805" s="561">
        <v>243568.05</v>
      </c>
      <c r="G2805" s="561">
        <v>5088</v>
      </c>
      <c r="H2805" s="561">
        <v>355277.80600000004</v>
      </c>
      <c r="I2805" s="561">
        <v>480</v>
      </c>
      <c r="J2805" s="561">
        <v>14578.257000000001</v>
      </c>
      <c r="K2805" s="561">
        <v>5065</v>
      </c>
      <c r="L2805" s="561">
        <v>343891.65</v>
      </c>
      <c r="M2805" s="561">
        <v>343891.65</v>
      </c>
      <c r="N2805" s="561">
        <v>100323.6</v>
      </c>
      <c r="O2805" s="561">
        <v>0</v>
      </c>
      <c r="Q2805" s="561">
        <v>243568.05</v>
      </c>
      <c r="AL2805" s="561">
        <v>243568.05</v>
      </c>
    </row>
    <row r="2806" spans="1:38">
      <c r="C2806" s="561" t="s">
        <v>1198</v>
      </c>
      <c r="D2806" s="561">
        <v>0</v>
      </c>
      <c r="F2806" s="561">
        <v>0</v>
      </c>
      <c r="G2806" s="561">
        <v>0</v>
      </c>
      <c r="H2806" s="561">
        <v>0</v>
      </c>
      <c r="I2806" s="561">
        <v>0</v>
      </c>
      <c r="J2806" s="561">
        <v>0</v>
      </c>
      <c r="K2806" s="561">
        <v>0</v>
      </c>
      <c r="L2806" s="561">
        <v>0</v>
      </c>
      <c r="M2806" s="561">
        <v>0</v>
      </c>
      <c r="N2806" s="561">
        <v>0</v>
      </c>
      <c r="O2806" s="561">
        <v>0</v>
      </c>
      <c r="P2806" s="561">
        <v>0</v>
      </c>
      <c r="Q2806" s="561">
        <v>0</v>
      </c>
    </row>
    <row r="2807" spans="1:38">
      <c r="C2807" s="561" t="s">
        <v>1199</v>
      </c>
      <c r="D2807" s="561">
        <v>35571.983</v>
      </c>
      <c r="E2807" s="561">
        <v>7497</v>
      </c>
      <c r="F2807" s="561">
        <v>28074.983</v>
      </c>
      <c r="G2807" s="561">
        <v>2035</v>
      </c>
      <c r="H2807" s="561">
        <v>36142.471999999994</v>
      </c>
      <c r="I2807" s="561">
        <v>82</v>
      </c>
      <c r="J2807" s="561">
        <v>476.31</v>
      </c>
      <c r="K2807" s="561">
        <v>2031</v>
      </c>
      <c r="L2807" s="561">
        <v>35598.417000000001</v>
      </c>
      <c r="M2807" s="561">
        <v>35598.417000000001</v>
      </c>
      <c r="N2807" s="561">
        <v>7523.4340000000011</v>
      </c>
      <c r="O2807" s="561">
        <v>0</v>
      </c>
      <c r="P2807" s="561">
        <v>28074.983</v>
      </c>
      <c r="Q2807" s="561">
        <v>28074.983</v>
      </c>
    </row>
    <row r="2808" spans="1:38">
      <c r="B2808" s="561" t="s">
        <v>1496</v>
      </c>
      <c r="C2808" s="561" t="s">
        <v>1202</v>
      </c>
      <c r="O2808" s="561">
        <v>0</v>
      </c>
    </row>
    <row r="2811" spans="1:38">
      <c r="A2811" s="561">
        <v>16</v>
      </c>
      <c r="B2811" s="561" t="s">
        <v>1511</v>
      </c>
      <c r="C2811" s="561" t="s">
        <v>1206</v>
      </c>
      <c r="D2811" s="561">
        <v>265939.973</v>
      </c>
      <c r="E2811" s="561">
        <v>78282</v>
      </c>
      <c r="F2811" s="561">
        <v>187657.973</v>
      </c>
      <c r="G2811" s="561">
        <v>5770</v>
      </c>
      <c r="H2811" s="561">
        <v>265641.522</v>
      </c>
      <c r="I2811" s="561">
        <v>240</v>
      </c>
      <c r="J2811" s="561">
        <v>6889.9240000000009</v>
      </c>
      <c r="K2811" s="561">
        <v>5739</v>
      </c>
      <c r="L2811" s="561">
        <v>265939.973</v>
      </c>
      <c r="M2811" s="561">
        <v>265939.973</v>
      </c>
      <c r="N2811" s="561">
        <v>78282</v>
      </c>
      <c r="O2811" s="561">
        <v>0</v>
      </c>
      <c r="P2811" s="561">
        <v>187657.973</v>
      </c>
      <c r="Q2811" s="561">
        <v>187657.97299999997</v>
      </c>
    </row>
    <row r="2812" spans="1:38">
      <c r="C2812" s="561" t="s">
        <v>1197</v>
      </c>
      <c r="D2812" s="561">
        <v>233839.37933333335</v>
      </c>
      <c r="E2812" s="561">
        <v>69000</v>
      </c>
      <c r="F2812" s="561">
        <v>164839.37933333335</v>
      </c>
      <c r="G2812" s="561">
        <v>3452</v>
      </c>
      <c r="H2812" s="561">
        <v>232584.11</v>
      </c>
      <c r="I2812" s="561">
        <v>205</v>
      </c>
      <c r="J2812" s="561">
        <v>6659.8170000000009</v>
      </c>
      <c r="K2812" s="561">
        <v>3424</v>
      </c>
      <c r="L2812" s="561">
        <v>233136.6</v>
      </c>
      <c r="M2812" s="561">
        <v>233136.6</v>
      </c>
      <c r="N2812" s="561">
        <v>68297.220666666675</v>
      </c>
      <c r="O2812" s="561">
        <v>0</v>
      </c>
      <c r="Q2812" s="561">
        <v>164839.37933333332</v>
      </c>
      <c r="AL2812" s="561">
        <v>164839.37933333335</v>
      </c>
    </row>
    <row r="2813" spans="1:38">
      <c r="C2813" s="561" t="s">
        <v>1198</v>
      </c>
      <c r="D2813" s="561">
        <v>0</v>
      </c>
      <c r="F2813" s="561">
        <v>0</v>
      </c>
      <c r="G2813" s="561">
        <v>0</v>
      </c>
      <c r="H2813" s="561">
        <v>0</v>
      </c>
      <c r="I2813" s="561">
        <v>0</v>
      </c>
      <c r="J2813" s="561">
        <v>0</v>
      </c>
      <c r="K2813" s="561">
        <v>0</v>
      </c>
      <c r="L2813" s="561">
        <v>0</v>
      </c>
      <c r="M2813" s="561">
        <v>0</v>
      </c>
      <c r="N2813" s="561">
        <v>0</v>
      </c>
      <c r="O2813" s="561">
        <v>0</v>
      </c>
      <c r="P2813" s="561">
        <v>0</v>
      </c>
      <c r="Q2813" s="561">
        <v>0</v>
      </c>
    </row>
    <row r="2814" spans="1:38">
      <c r="C2814" s="561" t="s">
        <v>1199</v>
      </c>
      <c r="D2814" s="561">
        <v>32100.59366666666</v>
      </c>
      <c r="E2814" s="561">
        <v>9282</v>
      </c>
      <c r="F2814" s="561">
        <v>22818.59366666666</v>
      </c>
      <c r="G2814" s="561">
        <v>2318</v>
      </c>
      <c r="H2814" s="561">
        <v>33057.411999999997</v>
      </c>
      <c r="I2814" s="561">
        <v>35</v>
      </c>
      <c r="J2814" s="561">
        <v>230.107</v>
      </c>
      <c r="K2814" s="561">
        <v>2315</v>
      </c>
      <c r="L2814" s="561">
        <v>32803.373000000007</v>
      </c>
      <c r="M2814" s="561">
        <v>32803.373</v>
      </c>
      <c r="N2814" s="561">
        <v>9984.7793333333393</v>
      </c>
      <c r="O2814" s="561">
        <v>0</v>
      </c>
      <c r="P2814" s="561">
        <v>22818.59366666666</v>
      </c>
      <c r="Q2814" s="561">
        <v>22818.593666666664</v>
      </c>
    </row>
    <row r="2815" spans="1:38">
      <c r="B2815" s="561" t="s">
        <v>1496</v>
      </c>
      <c r="C2815" s="561" t="s">
        <v>1202</v>
      </c>
      <c r="O2815" s="561">
        <v>0</v>
      </c>
    </row>
    <row r="2818" spans="1:38">
      <c r="A2818" s="561">
        <v>17</v>
      </c>
      <c r="B2818" s="561" t="s">
        <v>1512</v>
      </c>
      <c r="C2818" s="561" t="s">
        <v>1206</v>
      </c>
      <c r="D2818" s="561">
        <v>376789.95699999994</v>
      </c>
      <c r="E2818" s="561">
        <v>104937</v>
      </c>
      <c r="F2818" s="561">
        <v>271852.95699999999</v>
      </c>
      <c r="G2818" s="561">
        <v>8205</v>
      </c>
      <c r="H2818" s="561">
        <v>397460.50099999993</v>
      </c>
      <c r="I2818" s="561">
        <v>723</v>
      </c>
      <c r="J2818" s="561">
        <v>21318.381000000001</v>
      </c>
      <c r="K2818" s="561">
        <v>8154</v>
      </c>
      <c r="L2818" s="561">
        <v>376789.92699999997</v>
      </c>
      <c r="M2818" s="561">
        <v>376789.92699999997</v>
      </c>
      <c r="N2818" s="561">
        <v>104936.97</v>
      </c>
      <c r="O2818" s="561">
        <v>0</v>
      </c>
      <c r="P2818" s="561">
        <v>271852.95699999999</v>
      </c>
      <c r="Q2818" s="561">
        <v>271852.95699999999</v>
      </c>
    </row>
    <row r="2819" spans="1:38">
      <c r="C2819" s="561" t="s">
        <v>1197</v>
      </c>
      <c r="D2819" s="561">
        <v>335741.81799999997</v>
      </c>
      <c r="E2819" s="561">
        <v>94227</v>
      </c>
      <c r="F2819" s="561">
        <v>241514.818</v>
      </c>
      <c r="G2819" s="561">
        <v>5429</v>
      </c>
      <c r="H2819" s="561">
        <v>356549.64699999994</v>
      </c>
      <c r="I2819" s="561">
        <v>648</v>
      </c>
      <c r="J2819" s="561">
        <v>20842.32</v>
      </c>
      <c r="K2819" s="561">
        <v>5383</v>
      </c>
      <c r="L2819" s="561">
        <v>336382.71799999999</v>
      </c>
      <c r="M2819" s="561">
        <v>336382.71799999999</v>
      </c>
      <c r="N2819" s="561">
        <v>94867.9</v>
      </c>
      <c r="O2819" s="561">
        <v>0</v>
      </c>
      <c r="Q2819" s="561">
        <v>241514.818</v>
      </c>
      <c r="AL2819" s="561">
        <v>241514.818</v>
      </c>
    </row>
    <row r="2820" spans="1:38">
      <c r="C2820" s="561" t="s">
        <v>1198</v>
      </c>
      <c r="D2820" s="561">
        <v>0</v>
      </c>
      <c r="F2820" s="561">
        <v>0</v>
      </c>
      <c r="G2820" s="561">
        <v>0</v>
      </c>
      <c r="H2820" s="561">
        <v>0</v>
      </c>
      <c r="I2820" s="561">
        <v>0</v>
      </c>
      <c r="J2820" s="561">
        <v>0</v>
      </c>
      <c r="K2820" s="561">
        <v>0</v>
      </c>
      <c r="L2820" s="561">
        <v>0</v>
      </c>
      <c r="M2820" s="561">
        <v>0</v>
      </c>
      <c r="N2820" s="561">
        <v>0</v>
      </c>
      <c r="O2820" s="561">
        <v>0</v>
      </c>
      <c r="P2820" s="561">
        <v>0</v>
      </c>
      <c r="Q2820" s="561">
        <v>0</v>
      </c>
    </row>
    <row r="2821" spans="1:38">
      <c r="C2821" s="561" t="s">
        <v>1199</v>
      </c>
      <c r="D2821" s="561">
        <v>41048.138999999996</v>
      </c>
      <c r="E2821" s="561">
        <v>10710</v>
      </c>
      <c r="F2821" s="561">
        <v>30338.138999999996</v>
      </c>
      <c r="G2821" s="561">
        <v>2776</v>
      </c>
      <c r="H2821" s="561">
        <v>40910.853999999999</v>
      </c>
      <c r="I2821" s="561">
        <v>75</v>
      </c>
      <c r="J2821" s="561">
        <v>476.06100000000009</v>
      </c>
      <c r="K2821" s="561">
        <v>2771</v>
      </c>
      <c r="L2821" s="561">
        <v>40407.208999999995</v>
      </c>
      <c r="M2821" s="561">
        <v>40407.208999999995</v>
      </c>
      <c r="N2821" s="561">
        <v>10069.07</v>
      </c>
      <c r="O2821" s="561">
        <v>0</v>
      </c>
      <c r="P2821" s="561">
        <v>30338.138999999996</v>
      </c>
      <c r="Q2821" s="561">
        <v>30338.138999999999</v>
      </c>
    </row>
    <row r="2822" spans="1:38">
      <c r="B2822" s="561" t="s">
        <v>1496</v>
      </c>
      <c r="C2822" s="561" t="s">
        <v>1202</v>
      </c>
      <c r="O2822" s="561">
        <v>0</v>
      </c>
    </row>
    <row r="2825" spans="1:38">
      <c r="A2825" s="561">
        <v>18</v>
      </c>
      <c r="B2825" s="561" t="s">
        <v>1513</v>
      </c>
      <c r="C2825" s="561" t="s">
        <v>1206</v>
      </c>
      <c r="D2825" s="561">
        <v>343038.97099999996</v>
      </c>
      <c r="E2825" s="561">
        <v>94811.7</v>
      </c>
      <c r="F2825" s="561">
        <v>248227.27100000001</v>
      </c>
      <c r="G2825" s="561">
        <v>7233</v>
      </c>
      <c r="H2825" s="561">
        <v>359369.00299999997</v>
      </c>
      <c r="I2825" s="561">
        <v>586</v>
      </c>
      <c r="J2825" s="561">
        <v>18638.620999999999</v>
      </c>
      <c r="K2825" s="561">
        <v>7178</v>
      </c>
      <c r="L2825" s="561">
        <v>343038.97100000002</v>
      </c>
      <c r="M2825" s="561">
        <v>343038.97100000002</v>
      </c>
      <c r="N2825" s="561">
        <v>94811.7</v>
      </c>
      <c r="O2825" s="561">
        <v>0</v>
      </c>
      <c r="P2825" s="561">
        <v>248227.27100000001</v>
      </c>
      <c r="Q2825" s="561">
        <v>248227.27099999998</v>
      </c>
    </row>
    <row r="2826" spans="1:38">
      <c r="C2826" s="561" t="s">
        <v>1197</v>
      </c>
      <c r="D2826" s="561">
        <v>304826.07799999998</v>
      </c>
      <c r="E2826" s="561">
        <v>84315.9</v>
      </c>
      <c r="F2826" s="561">
        <v>220510.17800000001</v>
      </c>
      <c r="G2826" s="561">
        <v>4725</v>
      </c>
      <c r="H2826" s="561">
        <v>320588.50199999998</v>
      </c>
      <c r="I2826" s="561">
        <v>519</v>
      </c>
      <c r="J2826" s="561">
        <v>18110.990999999998</v>
      </c>
      <c r="K2826" s="561">
        <v>4675</v>
      </c>
      <c r="L2826" s="561">
        <v>304819.07800000004</v>
      </c>
      <c r="M2826" s="561">
        <v>304819.07800000004</v>
      </c>
      <c r="N2826" s="561">
        <v>84308.9</v>
      </c>
      <c r="O2826" s="561">
        <v>0</v>
      </c>
      <c r="Q2826" s="561">
        <v>220510.17799999999</v>
      </c>
      <c r="AL2826" s="561">
        <v>220510.17800000001</v>
      </c>
    </row>
    <row r="2827" spans="1:38">
      <c r="C2827" s="561" t="s">
        <v>1198</v>
      </c>
      <c r="D2827" s="561">
        <v>0</v>
      </c>
      <c r="F2827" s="561">
        <v>0</v>
      </c>
      <c r="G2827" s="561">
        <v>0</v>
      </c>
      <c r="H2827" s="561">
        <v>0</v>
      </c>
      <c r="I2827" s="561">
        <v>0</v>
      </c>
      <c r="J2827" s="561">
        <v>0</v>
      </c>
      <c r="K2827" s="561">
        <v>0</v>
      </c>
      <c r="L2827" s="561">
        <v>0</v>
      </c>
      <c r="M2827" s="561">
        <v>0</v>
      </c>
      <c r="N2827" s="561">
        <v>0</v>
      </c>
      <c r="O2827" s="561">
        <v>0</v>
      </c>
      <c r="P2827" s="561">
        <v>0</v>
      </c>
      <c r="Q2827" s="561">
        <v>0</v>
      </c>
    </row>
    <row r="2828" spans="1:38">
      <c r="C2828" s="561" t="s">
        <v>1199</v>
      </c>
      <c r="D2828" s="561">
        <v>38212.892999999996</v>
      </c>
      <c r="E2828" s="561">
        <v>10495.8</v>
      </c>
      <c r="F2828" s="561">
        <v>27717.093000000001</v>
      </c>
      <c r="G2828" s="561">
        <v>2508</v>
      </c>
      <c r="H2828" s="561">
        <v>38780.500999999997</v>
      </c>
      <c r="I2828" s="561">
        <v>67</v>
      </c>
      <c r="J2828" s="561">
        <v>527.63</v>
      </c>
      <c r="K2828" s="561">
        <v>2503</v>
      </c>
      <c r="L2828" s="561">
        <v>38219.892999999996</v>
      </c>
      <c r="M2828" s="561">
        <v>38219.892999999996</v>
      </c>
      <c r="N2828" s="561">
        <v>10502.8</v>
      </c>
      <c r="O2828" s="561">
        <v>0</v>
      </c>
      <c r="P2828" s="561">
        <v>27717.093000000001</v>
      </c>
      <c r="Q2828" s="561">
        <v>27717.093000000001</v>
      </c>
    </row>
    <row r="2829" spans="1:38">
      <c r="B2829" s="561" t="s">
        <v>1496</v>
      </c>
      <c r="C2829" s="561" t="s">
        <v>1202</v>
      </c>
      <c r="O2829" s="561">
        <v>0</v>
      </c>
    </row>
    <row r="2832" spans="1:38">
      <c r="A2832" s="561">
        <v>19</v>
      </c>
      <c r="B2832" s="561" t="s">
        <v>1514</v>
      </c>
      <c r="C2832" s="561" t="s">
        <v>1206</v>
      </c>
      <c r="D2832" s="561">
        <v>305245.99066666665</v>
      </c>
      <c r="E2832" s="561">
        <v>78673.8</v>
      </c>
      <c r="F2832" s="561">
        <v>226572.19066666669</v>
      </c>
      <c r="G2832" s="561">
        <v>7171</v>
      </c>
      <c r="H2832" s="561">
        <v>321716.75299999991</v>
      </c>
      <c r="I2832" s="561">
        <v>577</v>
      </c>
      <c r="J2832" s="561">
        <v>16986.183000000001</v>
      </c>
      <c r="K2832" s="561">
        <v>7132</v>
      </c>
      <c r="L2832" s="561">
        <v>305245.99066666671</v>
      </c>
      <c r="M2832" s="561">
        <v>305245.99066666671</v>
      </c>
      <c r="N2832" s="561">
        <v>78673.8</v>
      </c>
      <c r="O2832" s="561">
        <v>0</v>
      </c>
      <c r="P2832" s="561">
        <v>226572.19066666669</v>
      </c>
      <c r="Q2832" s="561">
        <v>226572.19066666669</v>
      </c>
    </row>
    <row r="2833" spans="1:38">
      <c r="C2833" s="561" t="s">
        <v>1197</v>
      </c>
      <c r="D2833" s="561">
        <v>267789.59700000001</v>
      </c>
      <c r="E2833" s="561">
        <v>71533.8</v>
      </c>
      <c r="F2833" s="561">
        <v>196255.79700000002</v>
      </c>
      <c r="G2833" s="561">
        <v>4307</v>
      </c>
      <c r="H2833" s="561">
        <v>283440.49199999991</v>
      </c>
      <c r="I2833" s="561">
        <v>516</v>
      </c>
      <c r="J2833" s="561">
        <v>16601.859</v>
      </c>
      <c r="K2833" s="561">
        <v>4271</v>
      </c>
      <c r="L2833" s="561">
        <v>267387.69700000004</v>
      </c>
      <c r="M2833" s="561">
        <v>267387.69700000004</v>
      </c>
      <c r="N2833" s="561">
        <v>71131.899999999994</v>
      </c>
      <c r="O2833" s="561">
        <v>0</v>
      </c>
      <c r="Q2833" s="561">
        <v>196255.79700000002</v>
      </c>
      <c r="AL2833" s="561">
        <v>196255.79700000002</v>
      </c>
    </row>
    <row r="2834" spans="1:38">
      <c r="C2834" s="561" t="s">
        <v>1198</v>
      </c>
      <c r="D2834" s="561">
        <v>0</v>
      </c>
      <c r="F2834" s="561">
        <v>0</v>
      </c>
      <c r="G2834" s="561">
        <v>0</v>
      </c>
      <c r="H2834" s="561">
        <v>0</v>
      </c>
      <c r="I2834" s="561">
        <v>0</v>
      </c>
      <c r="J2834" s="561">
        <v>0</v>
      </c>
      <c r="K2834" s="561">
        <v>0</v>
      </c>
      <c r="L2834" s="561">
        <v>0</v>
      </c>
      <c r="M2834" s="561">
        <v>0</v>
      </c>
      <c r="N2834" s="561">
        <v>0</v>
      </c>
      <c r="O2834" s="561">
        <v>0</v>
      </c>
      <c r="P2834" s="561">
        <v>0</v>
      </c>
      <c r="Q2834" s="561">
        <v>0</v>
      </c>
    </row>
    <row r="2835" spans="1:38">
      <c r="C2835" s="561" t="s">
        <v>1199</v>
      </c>
      <c r="D2835" s="561">
        <v>37456.393666666663</v>
      </c>
      <c r="E2835" s="561">
        <v>7140</v>
      </c>
      <c r="F2835" s="561">
        <v>30316.393666666663</v>
      </c>
      <c r="G2835" s="561">
        <v>2864</v>
      </c>
      <c r="H2835" s="561">
        <v>38276.260999999999</v>
      </c>
      <c r="I2835" s="561">
        <v>61</v>
      </c>
      <c r="J2835" s="561">
        <v>384.32400000000001</v>
      </c>
      <c r="K2835" s="561">
        <v>2861</v>
      </c>
      <c r="L2835" s="561">
        <v>37858.293666666665</v>
      </c>
      <c r="M2835" s="561">
        <v>37858.293666666665</v>
      </c>
      <c r="N2835" s="561">
        <v>7541.9</v>
      </c>
      <c r="O2835" s="561">
        <v>0</v>
      </c>
      <c r="P2835" s="561">
        <v>30316.393666666663</v>
      </c>
      <c r="Q2835" s="561">
        <v>30316.393666666663</v>
      </c>
    </row>
    <row r="2836" spans="1:38">
      <c r="B2836" s="561" t="s">
        <v>1496</v>
      </c>
      <c r="C2836" s="561" t="s">
        <v>1202</v>
      </c>
      <c r="O2836" s="561">
        <v>0</v>
      </c>
    </row>
    <row r="2839" spans="1:38" ht="63.75">
      <c r="A2839" s="561">
        <v>20</v>
      </c>
      <c r="B2839" s="620" t="s">
        <v>1515</v>
      </c>
      <c r="C2839" s="561" t="s">
        <v>1206</v>
      </c>
      <c r="D2839" s="561">
        <v>443550.02899999998</v>
      </c>
      <c r="E2839" s="561">
        <v>127665</v>
      </c>
      <c r="F2839" s="561">
        <v>315885.02899999998</v>
      </c>
      <c r="G2839" s="561">
        <v>8329</v>
      </c>
      <c r="H2839" s="561">
        <v>457400.11199999996</v>
      </c>
      <c r="I2839" s="561">
        <v>566</v>
      </c>
      <c r="J2839" s="561">
        <v>15095.260999999999</v>
      </c>
      <c r="K2839" s="561">
        <v>8261</v>
      </c>
      <c r="L2839" s="561">
        <v>443550.03</v>
      </c>
      <c r="M2839" s="561">
        <v>443550.03</v>
      </c>
      <c r="N2839" s="561">
        <v>127665.00099999996</v>
      </c>
      <c r="O2839" s="561">
        <v>0</v>
      </c>
      <c r="P2839" s="561">
        <v>315885.02899999998</v>
      </c>
      <c r="Q2839" s="561">
        <v>315885.02899999998</v>
      </c>
    </row>
    <row r="2840" spans="1:38">
      <c r="C2840" s="561" t="s">
        <v>1197</v>
      </c>
      <c r="D2840" s="561">
        <v>412272.52399999998</v>
      </c>
      <c r="E2840" s="561">
        <v>121950</v>
      </c>
      <c r="F2840" s="561">
        <v>290322.52399999998</v>
      </c>
      <c r="G2840" s="561">
        <v>6554</v>
      </c>
      <c r="H2840" s="561">
        <v>425053.94799999997</v>
      </c>
      <c r="I2840" s="561">
        <v>518</v>
      </c>
      <c r="J2840" s="561">
        <v>14837.87</v>
      </c>
      <c r="K2840" s="561">
        <v>6502</v>
      </c>
      <c r="L2840" s="561">
        <v>411551.56499999994</v>
      </c>
      <c r="M2840" s="561">
        <v>411551.56499999994</v>
      </c>
      <c r="N2840" s="561">
        <v>121229.04099999997</v>
      </c>
      <c r="O2840" s="561">
        <v>0</v>
      </c>
      <c r="Q2840" s="561">
        <v>290322.52399999998</v>
      </c>
      <c r="AL2840" s="561">
        <v>290322.52399999998</v>
      </c>
    </row>
    <row r="2841" spans="1:38">
      <c r="C2841" s="561" t="s">
        <v>1198</v>
      </c>
      <c r="D2841" s="561">
        <v>8602.2369999999992</v>
      </c>
      <c r="E2841" s="561">
        <v>705</v>
      </c>
      <c r="F2841" s="561">
        <v>7897.2369999999992</v>
      </c>
      <c r="G2841" s="561">
        <v>15</v>
      </c>
      <c r="H2841" s="561">
        <v>8699.9369999999999</v>
      </c>
      <c r="I2841" s="561">
        <v>0</v>
      </c>
      <c r="J2841" s="561">
        <v>0</v>
      </c>
      <c r="K2841" s="561">
        <v>15</v>
      </c>
      <c r="L2841" s="561">
        <v>8699.9369999999981</v>
      </c>
      <c r="M2841" s="561">
        <v>8699.9369999999981</v>
      </c>
      <c r="N2841" s="561">
        <v>802.69999999999891</v>
      </c>
      <c r="O2841" s="561">
        <v>0</v>
      </c>
      <c r="P2841" s="561">
        <v>7897.2369999999992</v>
      </c>
      <c r="Q2841" s="561">
        <v>7897.2370000000001</v>
      </c>
    </row>
    <row r="2842" spans="1:38">
      <c r="C2842" s="561" t="s">
        <v>1199</v>
      </c>
      <c r="D2842" s="561">
        <v>22675.268000000004</v>
      </c>
      <c r="E2842" s="561">
        <v>5010</v>
      </c>
      <c r="F2842" s="561">
        <v>17665.268000000004</v>
      </c>
      <c r="G2842" s="561">
        <v>1760</v>
      </c>
      <c r="H2842" s="561">
        <v>23646.226999999999</v>
      </c>
      <c r="I2842" s="561">
        <v>48</v>
      </c>
      <c r="J2842" s="561">
        <v>257.39100000000002</v>
      </c>
      <c r="K2842" s="561">
        <v>1744</v>
      </c>
      <c r="L2842" s="561">
        <v>23298.528000000002</v>
      </c>
      <c r="M2842" s="561">
        <v>23298.528000000002</v>
      </c>
      <c r="N2842" s="561">
        <v>5633.26</v>
      </c>
      <c r="O2842" s="561">
        <v>0</v>
      </c>
      <c r="P2842" s="561">
        <v>17665.268000000004</v>
      </c>
      <c r="Q2842" s="561">
        <v>17665.268</v>
      </c>
    </row>
    <row r="2843" spans="1:38">
      <c r="B2843" s="561" t="s">
        <v>1496</v>
      </c>
      <c r="C2843" s="561" t="s">
        <v>1202</v>
      </c>
      <c r="G2843" s="561">
        <v>0</v>
      </c>
      <c r="H2843" s="561">
        <v>0</v>
      </c>
      <c r="I2843" s="561">
        <v>0</v>
      </c>
      <c r="J2843" s="561">
        <v>0</v>
      </c>
      <c r="K2843" s="561">
        <v>0</v>
      </c>
      <c r="L2843" s="561">
        <v>0</v>
      </c>
      <c r="O2843" s="561">
        <v>0</v>
      </c>
    </row>
    <row r="2846" spans="1:38">
      <c r="A2846" s="561">
        <v>21</v>
      </c>
      <c r="B2846" s="561" t="s">
        <v>1516</v>
      </c>
      <c r="C2846" s="561" t="s">
        <v>1206</v>
      </c>
      <c r="D2846" s="561">
        <v>58309.967999999993</v>
      </c>
      <c r="E2846" s="561">
        <v>17493</v>
      </c>
      <c r="F2846" s="561">
        <v>40816.967999999993</v>
      </c>
      <c r="G2846" s="561">
        <v>1775</v>
      </c>
      <c r="H2846" s="561">
        <v>58559.766999999993</v>
      </c>
      <c r="I2846" s="561">
        <v>20</v>
      </c>
      <c r="J2846" s="561">
        <v>236.857</v>
      </c>
      <c r="K2846" s="561">
        <v>1774</v>
      </c>
      <c r="L2846" s="561">
        <v>58309.967999999993</v>
      </c>
      <c r="M2846" s="561">
        <v>58309.967999999993</v>
      </c>
      <c r="N2846" s="561">
        <v>17493</v>
      </c>
      <c r="O2846" s="561">
        <v>0</v>
      </c>
      <c r="P2846" s="561">
        <v>40816.967999999993</v>
      </c>
      <c r="Q2846" s="561">
        <v>40816.967999999993</v>
      </c>
    </row>
    <row r="2847" spans="1:38">
      <c r="C2847" s="561" t="s">
        <v>1197</v>
      </c>
      <c r="D2847" s="561">
        <v>41116.256999999998</v>
      </c>
      <c r="E2847" s="561">
        <v>12534</v>
      </c>
      <c r="F2847" s="561">
        <v>28582.256999999998</v>
      </c>
      <c r="G2847" s="561">
        <v>652</v>
      </c>
      <c r="H2847" s="561">
        <v>41845.695999999996</v>
      </c>
      <c r="I2847" s="561">
        <v>13</v>
      </c>
      <c r="J2847" s="561">
        <v>187.46</v>
      </c>
      <c r="K2847" s="561">
        <v>652</v>
      </c>
      <c r="L2847" s="561">
        <v>41667.256999999998</v>
      </c>
      <c r="M2847" s="561">
        <v>41667.256999999998</v>
      </c>
      <c r="N2847" s="561">
        <v>13085</v>
      </c>
      <c r="O2847" s="561">
        <v>0</v>
      </c>
      <c r="Q2847" s="561">
        <v>28582.256999999998</v>
      </c>
      <c r="AL2847" s="561">
        <v>28582.256999999998</v>
      </c>
    </row>
    <row r="2848" spans="1:38">
      <c r="C2848" s="561" t="s">
        <v>1198</v>
      </c>
      <c r="D2848" s="561">
        <v>0</v>
      </c>
      <c r="F2848" s="561">
        <v>0</v>
      </c>
      <c r="G2848" s="561">
        <v>0</v>
      </c>
      <c r="H2848" s="561">
        <v>0</v>
      </c>
      <c r="I2848" s="561">
        <v>0</v>
      </c>
      <c r="J2848" s="561">
        <v>0</v>
      </c>
      <c r="K2848" s="561">
        <v>0</v>
      </c>
      <c r="L2848" s="561">
        <v>0</v>
      </c>
      <c r="M2848" s="561">
        <v>0</v>
      </c>
      <c r="N2848" s="561">
        <v>0</v>
      </c>
      <c r="O2848" s="561">
        <v>0</v>
      </c>
      <c r="P2848" s="561">
        <v>0</v>
      </c>
      <c r="Q2848" s="561">
        <v>0</v>
      </c>
    </row>
    <row r="2849" spans="1:38">
      <c r="C2849" s="561" t="s">
        <v>1199</v>
      </c>
      <c r="D2849" s="561">
        <v>17193.710999999999</v>
      </c>
      <c r="E2849" s="561">
        <v>4959</v>
      </c>
      <c r="F2849" s="561">
        <v>12234.710999999999</v>
      </c>
      <c r="G2849" s="561">
        <v>1123</v>
      </c>
      <c r="H2849" s="561">
        <v>16714.071</v>
      </c>
      <c r="I2849" s="561">
        <v>7</v>
      </c>
      <c r="J2849" s="561">
        <v>49.396999999999998</v>
      </c>
      <c r="K2849" s="561">
        <v>1122</v>
      </c>
      <c r="L2849" s="561">
        <v>16642.710999999999</v>
      </c>
      <c r="M2849" s="561">
        <v>16642.710999999999</v>
      </c>
      <c r="N2849" s="561">
        <v>4408</v>
      </c>
      <c r="O2849" s="561">
        <v>0</v>
      </c>
      <c r="P2849" s="561">
        <v>12234.710999999999</v>
      </c>
      <c r="Q2849" s="561">
        <v>12234.710999999999</v>
      </c>
    </row>
    <row r="2850" spans="1:38">
      <c r="B2850" s="561" t="s">
        <v>1496</v>
      </c>
      <c r="C2850" s="561" t="s">
        <v>1202</v>
      </c>
      <c r="O2850" s="561">
        <v>0</v>
      </c>
    </row>
    <row r="2853" spans="1:38">
      <c r="A2853" s="561">
        <v>22</v>
      </c>
      <c r="B2853" s="561" t="s">
        <v>1517</v>
      </c>
      <c r="C2853" s="561" t="s">
        <v>1206</v>
      </c>
      <c r="D2853" s="561">
        <v>14917.965</v>
      </c>
      <c r="E2853" s="561">
        <v>4475.3999999999996</v>
      </c>
      <c r="F2853" s="561">
        <v>10442.565000000001</v>
      </c>
      <c r="G2853" s="561">
        <v>397</v>
      </c>
      <c r="H2853" s="561">
        <v>15025.072999999999</v>
      </c>
      <c r="I2853" s="561">
        <v>5</v>
      </c>
      <c r="J2853" s="561">
        <v>84.74799999999999</v>
      </c>
      <c r="K2853" s="561">
        <v>396</v>
      </c>
      <c r="L2853" s="561">
        <v>14917.965</v>
      </c>
      <c r="M2853" s="561">
        <v>14917.965</v>
      </c>
      <c r="N2853" s="561">
        <v>4475.3999999999996</v>
      </c>
      <c r="O2853" s="561">
        <v>0</v>
      </c>
      <c r="P2853" s="561">
        <v>10442.565000000001</v>
      </c>
      <c r="Q2853" s="561">
        <v>10442.565000000001</v>
      </c>
    </row>
    <row r="2854" spans="1:38">
      <c r="C2854" s="561" t="s">
        <v>1197</v>
      </c>
      <c r="D2854" s="561">
        <v>13486.817000000001</v>
      </c>
      <c r="E2854" s="561">
        <v>4065</v>
      </c>
      <c r="F2854" s="561">
        <v>9421.8170000000009</v>
      </c>
      <c r="G2854" s="561">
        <v>278</v>
      </c>
      <c r="H2854" s="561">
        <v>13650.253999999999</v>
      </c>
      <c r="I2854" s="561">
        <v>4</v>
      </c>
      <c r="J2854" s="561">
        <v>78.277999999999992</v>
      </c>
      <c r="K2854" s="561">
        <v>277</v>
      </c>
      <c r="L2854" s="561">
        <v>13549.317000000001</v>
      </c>
      <c r="M2854" s="561">
        <v>13549.317000000001</v>
      </c>
      <c r="N2854" s="561">
        <v>4127.5</v>
      </c>
      <c r="O2854" s="561">
        <v>0</v>
      </c>
      <c r="Q2854" s="561">
        <v>9421.8170000000009</v>
      </c>
      <c r="AL2854" s="561">
        <v>9421.8170000000009</v>
      </c>
    </row>
    <row r="2855" spans="1:38">
      <c r="C2855" s="561" t="s">
        <v>1198</v>
      </c>
      <c r="D2855" s="561">
        <v>0</v>
      </c>
      <c r="F2855" s="561">
        <v>0</v>
      </c>
      <c r="G2855" s="561">
        <v>0</v>
      </c>
      <c r="H2855" s="561">
        <v>0</v>
      </c>
      <c r="I2855" s="561">
        <v>0</v>
      </c>
      <c r="J2855" s="561">
        <v>0</v>
      </c>
      <c r="K2855" s="561">
        <v>0</v>
      </c>
      <c r="L2855" s="561">
        <v>0</v>
      </c>
      <c r="M2855" s="561">
        <v>0</v>
      </c>
      <c r="N2855" s="561">
        <v>0</v>
      </c>
      <c r="O2855" s="561">
        <v>0</v>
      </c>
      <c r="P2855" s="561">
        <v>0</v>
      </c>
      <c r="Q2855" s="561">
        <v>0</v>
      </c>
    </row>
    <row r="2856" spans="1:38">
      <c r="C2856" s="561" t="s">
        <v>1199</v>
      </c>
      <c r="D2856" s="561">
        <v>1431.1479999999999</v>
      </c>
      <c r="E2856" s="561">
        <v>410.4</v>
      </c>
      <c r="F2856" s="561">
        <v>1020.7479999999999</v>
      </c>
      <c r="G2856" s="561">
        <v>119</v>
      </c>
      <c r="H2856" s="561">
        <v>1374.8189999999997</v>
      </c>
      <c r="I2856" s="561">
        <v>1</v>
      </c>
      <c r="J2856" s="561">
        <v>6.47</v>
      </c>
      <c r="K2856" s="561">
        <v>119</v>
      </c>
      <c r="L2856" s="561">
        <v>1368.6479999999999</v>
      </c>
      <c r="M2856" s="561">
        <v>1368.6479999999999</v>
      </c>
      <c r="N2856" s="561">
        <v>347.9</v>
      </c>
      <c r="O2856" s="561">
        <v>0</v>
      </c>
      <c r="P2856" s="561">
        <v>1020.7479999999999</v>
      </c>
      <c r="Q2856" s="561">
        <v>1020.7479999999999</v>
      </c>
    </row>
    <row r="2857" spans="1:38">
      <c r="B2857" s="561" t="s">
        <v>1496</v>
      </c>
      <c r="C2857" s="561" t="s">
        <v>1202</v>
      </c>
      <c r="G2857" s="561">
        <v>0</v>
      </c>
      <c r="H2857" s="561">
        <v>0</v>
      </c>
      <c r="I2857" s="561">
        <v>0</v>
      </c>
      <c r="J2857" s="561">
        <v>0</v>
      </c>
      <c r="K2857" s="561">
        <v>0</v>
      </c>
      <c r="L2857" s="561">
        <v>0</v>
      </c>
      <c r="O2857" s="561">
        <v>0</v>
      </c>
    </row>
    <row r="2860" spans="1:38">
      <c r="A2860" s="561">
        <v>23</v>
      </c>
      <c r="B2860" s="561" t="s">
        <v>1518</v>
      </c>
      <c r="C2860" s="561" t="s">
        <v>1206</v>
      </c>
      <c r="D2860" s="561">
        <v>111649.999</v>
      </c>
      <c r="E2860" s="561">
        <v>31095</v>
      </c>
      <c r="F2860" s="561">
        <v>80554.998999999996</v>
      </c>
      <c r="G2860" s="561">
        <v>1919</v>
      </c>
      <c r="H2860" s="561">
        <v>112116.64</v>
      </c>
      <c r="I2860" s="561">
        <v>34</v>
      </c>
      <c r="J2860" s="561">
        <v>466.26600000000008</v>
      </c>
      <c r="K2860" s="561">
        <v>1917</v>
      </c>
      <c r="L2860" s="561">
        <v>111649.999</v>
      </c>
      <c r="M2860" s="561">
        <v>111649.999</v>
      </c>
      <c r="N2860" s="561">
        <v>31095</v>
      </c>
      <c r="O2860" s="561">
        <v>0</v>
      </c>
      <c r="P2860" s="561">
        <v>80554.998999999996</v>
      </c>
      <c r="Q2860" s="561">
        <v>80554.999000000011</v>
      </c>
    </row>
    <row r="2861" spans="1:38">
      <c r="C2861" s="561" t="s">
        <v>1197</v>
      </c>
      <c r="D2861" s="561">
        <v>105641.00199999999</v>
      </c>
      <c r="E2861" s="561">
        <v>29320</v>
      </c>
      <c r="F2861" s="561">
        <v>76321.001999999993</v>
      </c>
      <c r="G2861" s="561">
        <v>1418</v>
      </c>
      <c r="H2861" s="561">
        <v>106297.478</v>
      </c>
      <c r="I2861" s="561">
        <v>32</v>
      </c>
      <c r="J2861" s="561">
        <v>458.50200000000007</v>
      </c>
      <c r="K2861" s="561">
        <v>1416</v>
      </c>
      <c r="L2861" s="561">
        <v>105838.602</v>
      </c>
      <c r="M2861" s="561">
        <v>105838.602</v>
      </c>
      <c r="N2861" s="561">
        <v>29517.599999999999</v>
      </c>
      <c r="O2861" s="561">
        <v>0</v>
      </c>
      <c r="Q2861" s="561">
        <v>76321.002000000008</v>
      </c>
      <c r="AL2861" s="561">
        <v>76321.001999999993</v>
      </c>
    </row>
    <row r="2862" spans="1:38">
      <c r="C2862" s="561" t="s">
        <v>1198</v>
      </c>
      <c r="D2862" s="561">
        <v>0</v>
      </c>
      <c r="F2862" s="561">
        <v>0</v>
      </c>
      <c r="G2862" s="561">
        <v>0</v>
      </c>
      <c r="H2862" s="561">
        <v>0</v>
      </c>
      <c r="I2862" s="561">
        <v>0</v>
      </c>
      <c r="J2862" s="561">
        <v>0</v>
      </c>
      <c r="K2862" s="561">
        <v>0</v>
      </c>
      <c r="L2862" s="561">
        <v>0</v>
      </c>
      <c r="M2862" s="561">
        <v>0</v>
      </c>
      <c r="N2862" s="561">
        <v>0</v>
      </c>
      <c r="O2862" s="561">
        <v>0</v>
      </c>
      <c r="P2862" s="561">
        <v>0</v>
      </c>
      <c r="Q2862" s="561">
        <v>0</v>
      </c>
    </row>
    <row r="2863" spans="1:38">
      <c r="C2863" s="561" t="s">
        <v>1199</v>
      </c>
      <c r="D2863" s="561">
        <v>6008.9970000000003</v>
      </c>
      <c r="E2863" s="561">
        <v>1775</v>
      </c>
      <c r="F2863" s="561">
        <v>4233.9970000000003</v>
      </c>
      <c r="G2863" s="561">
        <v>501</v>
      </c>
      <c r="H2863" s="561">
        <v>5819.1620000000003</v>
      </c>
      <c r="I2863" s="561">
        <v>2</v>
      </c>
      <c r="J2863" s="561">
        <v>7.7640000000000002</v>
      </c>
      <c r="K2863" s="561">
        <v>501</v>
      </c>
      <c r="L2863" s="561">
        <v>5811.3969999999999</v>
      </c>
      <c r="M2863" s="561">
        <v>5811.3969999999999</v>
      </c>
      <c r="N2863" s="561">
        <v>1577.4</v>
      </c>
      <c r="O2863" s="561">
        <v>0</v>
      </c>
      <c r="P2863" s="561">
        <v>4233.9970000000003</v>
      </c>
      <c r="Q2863" s="561">
        <v>4233.9970000000003</v>
      </c>
    </row>
    <row r="2864" spans="1:38">
      <c r="B2864" s="561" t="s">
        <v>1496</v>
      </c>
      <c r="C2864" s="561" t="s">
        <v>1202</v>
      </c>
      <c r="G2864" s="561">
        <v>0</v>
      </c>
      <c r="H2864" s="561">
        <v>0</v>
      </c>
      <c r="I2864" s="561">
        <v>0</v>
      </c>
      <c r="J2864" s="561">
        <v>0</v>
      </c>
      <c r="K2864" s="561">
        <v>0</v>
      </c>
      <c r="L2864" s="561">
        <v>0</v>
      </c>
      <c r="O2864" s="561">
        <v>0</v>
      </c>
    </row>
    <row r="2867" spans="1:38">
      <c r="A2867" s="561">
        <v>24</v>
      </c>
      <c r="B2867" s="561" t="s">
        <v>1519</v>
      </c>
      <c r="C2867" s="561" t="s">
        <v>1206</v>
      </c>
      <c r="D2867" s="561">
        <v>44853.000999999997</v>
      </c>
      <c r="E2867" s="561">
        <v>13455.9</v>
      </c>
      <c r="F2867" s="561">
        <v>31397.101000000002</v>
      </c>
      <c r="G2867" s="561">
        <v>844</v>
      </c>
      <c r="H2867" s="561">
        <v>44917.303</v>
      </c>
      <c r="I2867" s="561">
        <v>3</v>
      </c>
      <c r="J2867" s="561">
        <v>60.338999999999999</v>
      </c>
      <c r="K2867" s="561">
        <v>844</v>
      </c>
      <c r="L2867" s="561">
        <v>44853.000999999997</v>
      </c>
      <c r="M2867" s="561">
        <v>44853.001000000004</v>
      </c>
      <c r="N2867" s="561">
        <v>13455.9</v>
      </c>
      <c r="O2867" s="561">
        <v>0</v>
      </c>
      <c r="P2867" s="561">
        <v>31397.101000000002</v>
      </c>
      <c r="Q2867" s="561">
        <v>31397.100999999999</v>
      </c>
    </row>
    <row r="2868" spans="1:38">
      <c r="C2868" s="561" t="s">
        <v>1197</v>
      </c>
      <c r="D2868" s="561">
        <v>44025.159</v>
      </c>
      <c r="E2868" s="561">
        <v>13111.5</v>
      </c>
      <c r="F2868" s="561">
        <v>30913.659000000003</v>
      </c>
      <c r="G2868" s="561">
        <v>841</v>
      </c>
      <c r="H2868" s="561">
        <v>44166.260999999999</v>
      </c>
      <c r="I2868" s="561">
        <v>3</v>
      </c>
      <c r="J2868" s="561">
        <v>60.338999999999999</v>
      </c>
      <c r="K2868" s="561">
        <v>841</v>
      </c>
      <c r="L2868" s="561">
        <v>44101.958999999995</v>
      </c>
      <c r="M2868" s="561">
        <v>44101.959000000003</v>
      </c>
      <c r="N2868" s="561">
        <v>13188.3</v>
      </c>
      <c r="O2868" s="561">
        <v>0</v>
      </c>
      <c r="Q2868" s="561">
        <v>30913.659</v>
      </c>
      <c r="AL2868" s="561">
        <v>30913.659000000003</v>
      </c>
    </row>
    <row r="2869" spans="1:38">
      <c r="C2869" s="561" t="s">
        <v>1198</v>
      </c>
      <c r="D2869" s="561">
        <v>827.84199999999987</v>
      </c>
      <c r="E2869" s="561">
        <v>344.4</v>
      </c>
      <c r="F2869" s="561">
        <v>483.44199999999989</v>
      </c>
      <c r="G2869" s="561">
        <v>3</v>
      </c>
      <c r="H2869" s="561">
        <v>751.04199999999992</v>
      </c>
      <c r="I2869" s="561">
        <v>0</v>
      </c>
      <c r="J2869" s="561">
        <v>0</v>
      </c>
      <c r="K2869" s="561">
        <v>3</v>
      </c>
      <c r="L2869" s="561">
        <v>751.04200000000003</v>
      </c>
      <c r="M2869" s="561">
        <v>751.04199999999992</v>
      </c>
      <c r="N2869" s="561">
        <v>267.60000000000002</v>
      </c>
      <c r="O2869" s="561">
        <v>0</v>
      </c>
      <c r="P2869" s="561">
        <v>483.44199999999989</v>
      </c>
      <c r="Q2869" s="561">
        <v>483.44200000000001</v>
      </c>
    </row>
    <row r="2870" spans="1:38">
      <c r="C2870" s="561" t="s">
        <v>1199</v>
      </c>
      <c r="D2870" s="561">
        <v>0</v>
      </c>
      <c r="F2870" s="561">
        <v>0</v>
      </c>
      <c r="G2870" s="561">
        <v>0</v>
      </c>
      <c r="H2870" s="561">
        <v>0</v>
      </c>
      <c r="I2870" s="561">
        <v>0</v>
      </c>
      <c r="J2870" s="561">
        <v>0</v>
      </c>
      <c r="K2870" s="561">
        <v>0</v>
      </c>
      <c r="L2870" s="561">
        <v>0</v>
      </c>
      <c r="M2870" s="561">
        <v>0</v>
      </c>
      <c r="N2870" s="561">
        <v>0</v>
      </c>
      <c r="O2870" s="561">
        <v>0</v>
      </c>
      <c r="P2870" s="561">
        <v>0</v>
      </c>
      <c r="Q2870" s="561">
        <v>0</v>
      </c>
    </row>
    <row r="2871" spans="1:38">
      <c r="B2871" s="561" t="s">
        <v>1496</v>
      </c>
      <c r="C2871" s="561" t="s">
        <v>1202</v>
      </c>
      <c r="G2871" s="561">
        <v>0</v>
      </c>
      <c r="H2871" s="561">
        <v>0</v>
      </c>
      <c r="I2871" s="561">
        <v>0</v>
      </c>
      <c r="J2871" s="561">
        <v>0</v>
      </c>
      <c r="K2871" s="561">
        <v>0</v>
      </c>
      <c r="L2871" s="561">
        <v>0</v>
      </c>
      <c r="O2871" s="561">
        <v>0</v>
      </c>
    </row>
    <row r="2874" spans="1:38">
      <c r="A2874" s="561">
        <v>25</v>
      </c>
      <c r="B2874" s="561" t="s">
        <v>1520</v>
      </c>
      <c r="C2874" s="561" t="s">
        <v>1206</v>
      </c>
      <c r="D2874" s="561">
        <v>26118.031333333332</v>
      </c>
      <c r="E2874" s="561">
        <v>4914</v>
      </c>
      <c r="F2874" s="561">
        <v>21204.031333333332</v>
      </c>
      <c r="G2874" s="561">
        <v>175</v>
      </c>
      <c r="H2874" s="561">
        <v>26283.762999999999</v>
      </c>
      <c r="I2874" s="561">
        <v>13</v>
      </c>
      <c r="J2874" s="561">
        <v>152.24299999999999</v>
      </c>
      <c r="K2874" s="561">
        <v>174</v>
      </c>
      <c r="L2874" s="561">
        <v>26118.031333333329</v>
      </c>
      <c r="M2874" s="561">
        <v>26118.031333333329</v>
      </c>
      <c r="N2874" s="561">
        <v>4914</v>
      </c>
      <c r="O2874" s="561">
        <v>0</v>
      </c>
      <c r="P2874" s="561">
        <v>21204.031333333332</v>
      </c>
      <c r="Q2874" s="561">
        <v>21204.031333333332</v>
      </c>
    </row>
    <row r="2875" spans="1:38">
      <c r="C2875" s="561" t="s">
        <v>1197</v>
      </c>
      <c r="D2875" s="561">
        <v>8900.56</v>
      </c>
      <c r="E2875" s="561">
        <v>2688</v>
      </c>
      <c r="F2875" s="561">
        <v>6212.56</v>
      </c>
      <c r="G2875" s="561">
        <v>116</v>
      </c>
      <c r="H2875" s="561">
        <v>8855.1010000000006</v>
      </c>
      <c r="I2875" s="561">
        <v>13</v>
      </c>
      <c r="J2875" s="561">
        <v>152.24299999999999</v>
      </c>
      <c r="K2875" s="561">
        <v>115</v>
      </c>
      <c r="L2875" s="561">
        <v>8702.8933333333334</v>
      </c>
      <c r="M2875" s="561">
        <v>8702.8933333333334</v>
      </c>
      <c r="N2875" s="561">
        <v>2490.3333333333339</v>
      </c>
      <c r="O2875" s="561">
        <v>0</v>
      </c>
      <c r="Q2875" s="561">
        <v>6212.56</v>
      </c>
      <c r="AL2875" s="561">
        <v>6212.56</v>
      </c>
    </row>
    <row r="2876" spans="1:38">
      <c r="C2876" s="561" t="s">
        <v>1198</v>
      </c>
      <c r="D2876" s="561">
        <v>17217.471333333331</v>
      </c>
      <c r="E2876" s="561">
        <v>2226</v>
      </c>
      <c r="F2876" s="561">
        <v>14991.471333333331</v>
      </c>
      <c r="G2876" s="561">
        <v>59</v>
      </c>
      <c r="H2876" s="561">
        <v>17428.661999999997</v>
      </c>
      <c r="I2876" s="561">
        <v>0</v>
      </c>
      <c r="J2876" s="561">
        <v>0</v>
      </c>
      <c r="K2876" s="561">
        <v>59</v>
      </c>
      <c r="L2876" s="561">
        <v>17415.137999999995</v>
      </c>
      <c r="M2876" s="561">
        <v>17415.137999999995</v>
      </c>
      <c r="N2876" s="561">
        <v>2423.6666666666661</v>
      </c>
      <c r="O2876" s="561">
        <v>0</v>
      </c>
      <c r="P2876" s="561">
        <v>14991.471333333331</v>
      </c>
      <c r="Q2876" s="561">
        <v>14991.471333333333</v>
      </c>
    </row>
    <row r="2877" spans="1:38">
      <c r="C2877" s="561" t="s">
        <v>1199</v>
      </c>
      <c r="D2877" s="561">
        <v>0</v>
      </c>
      <c r="F2877" s="561">
        <v>0</v>
      </c>
      <c r="G2877" s="561">
        <v>0</v>
      </c>
      <c r="H2877" s="561">
        <v>0</v>
      </c>
      <c r="I2877" s="561">
        <v>0</v>
      </c>
      <c r="J2877" s="561">
        <v>0</v>
      </c>
      <c r="K2877" s="561">
        <v>0</v>
      </c>
      <c r="L2877" s="561">
        <v>0</v>
      </c>
      <c r="M2877" s="561">
        <v>0</v>
      </c>
      <c r="N2877" s="561">
        <v>0</v>
      </c>
      <c r="O2877" s="561">
        <v>0</v>
      </c>
      <c r="P2877" s="561">
        <v>0</v>
      </c>
      <c r="Q2877" s="561">
        <v>0</v>
      </c>
    </row>
    <row r="2878" spans="1:38">
      <c r="B2878" s="561" t="s">
        <v>1496</v>
      </c>
      <c r="C2878" s="561" t="s">
        <v>1202</v>
      </c>
      <c r="G2878" s="561">
        <v>0</v>
      </c>
      <c r="H2878" s="561">
        <v>0</v>
      </c>
      <c r="I2878" s="561">
        <v>0</v>
      </c>
      <c r="J2878" s="561">
        <v>0</v>
      </c>
      <c r="K2878" s="561">
        <v>0</v>
      </c>
      <c r="L2878" s="561">
        <v>0</v>
      </c>
      <c r="O2878" s="561">
        <v>0</v>
      </c>
    </row>
    <row r="2881" spans="1:56">
      <c r="A2881" s="561">
        <v>26</v>
      </c>
      <c r="B2881" s="561" t="s">
        <v>1521</v>
      </c>
      <c r="C2881" s="561" t="s">
        <v>1206</v>
      </c>
      <c r="D2881" s="561">
        <v>34485.028999999995</v>
      </c>
      <c r="E2881" s="561">
        <v>9295.5</v>
      </c>
      <c r="F2881" s="561">
        <v>25189.528999999999</v>
      </c>
      <c r="G2881" s="561">
        <v>435</v>
      </c>
      <c r="H2881" s="561">
        <v>34936.978999999999</v>
      </c>
      <c r="I2881" s="561">
        <v>24</v>
      </c>
      <c r="J2881" s="561">
        <v>472.82399999999996</v>
      </c>
      <c r="K2881" s="561">
        <v>435</v>
      </c>
      <c r="L2881" s="561">
        <v>34485.029000000002</v>
      </c>
      <c r="M2881" s="561">
        <v>34485.029000000002</v>
      </c>
      <c r="N2881" s="561">
        <v>9295.5</v>
      </c>
      <c r="O2881" s="561">
        <v>0</v>
      </c>
      <c r="P2881" s="561">
        <v>25189.528999999999</v>
      </c>
      <c r="Q2881" s="561">
        <v>25189.528999999999</v>
      </c>
    </row>
    <row r="2882" spans="1:56">
      <c r="C2882" s="561" t="s">
        <v>1197</v>
      </c>
      <c r="D2882" s="561">
        <v>34485.028999999995</v>
      </c>
      <c r="E2882" s="561">
        <v>9295.5</v>
      </c>
      <c r="F2882" s="561">
        <v>25189.528999999999</v>
      </c>
      <c r="G2882" s="561">
        <v>435</v>
      </c>
      <c r="H2882" s="561">
        <v>34936.978999999999</v>
      </c>
      <c r="I2882" s="561">
        <v>24</v>
      </c>
      <c r="J2882" s="561">
        <v>472.82399999999996</v>
      </c>
      <c r="K2882" s="561">
        <v>435</v>
      </c>
      <c r="L2882" s="561">
        <v>34485.029000000002</v>
      </c>
      <c r="M2882" s="561">
        <v>34485.029000000002</v>
      </c>
      <c r="N2882" s="561">
        <v>9295.5</v>
      </c>
      <c r="O2882" s="561">
        <v>0</v>
      </c>
      <c r="Q2882" s="561">
        <v>25189.528999999999</v>
      </c>
      <c r="AL2882" s="561">
        <v>25189.528999999999</v>
      </c>
    </row>
    <row r="2883" spans="1:56">
      <c r="C2883" s="561" t="s">
        <v>1198</v>
      </c>
      <c r="D2883" s="561">
        <v>0</v>
      </c>
      <c r="F2883" s="561">
        <v>0</v>
      </c>
      <c r="G2883" s="561">
        <v>0</v>
      </c>
      <c r="H2883" s="561">
        <v>0</v>
      </c>
      <c r="I2883" s="561">
        <v>0</v>
      </c>
      <c r="J2883" s="561">
        <v>0</v>
      </c>
      <c r="K2883" s="561">
        <v>0</v>
      </c>
      <c r="L2883" s="561">
        <v>0</v>
      </c>
      <c r="M2883" s="561">
        <v>0</v>
      </c>
      <c r="N2883" s="561">
        <v>0</v>
      </c>
      <c r="O2883" s="561">
        <v>0</v>
      </c>
      <c r="P2883" s="561">
        <v>0</v>
      </c>
      <c r="Q2883" s="561">
        <v>0</v>
      </c>
    </row>
    <row r="2884" spans="1:56">
      <c r="C2884" s="561" t="s">
        <v>1199</v>
      </c>
      <c r="D2884" s="561">
        <v>0</v>
      </c>
      <c r="F2884" s="561">
        <v>0</v>
      </c>
      <c r="G2884" s="561">
        <v>0</v>
      </c>
      <c r="H2884" s="561">
        <v>0</v>
      </c>
      <c r="I2884" s="561">
        <v>0</v>
      </c>
      <c r="J2884" s="561">
        <v>0</v>
      </c>
      <c r="K2884" s="561">
        <v>0</v>
      </c>
      <c r="L2884" s="561">
        <v>0</v>
      </c>
      <c r="M2884" s="561">
        <v>0</v>
      </c>
      <c r="N2884" s="561">
        <v>0</v>
      </c>
      <c r="O2884" s="561">
        <v>0</v>
      </c>
      <c r="P2884" s="561">
        <v>0</v>
      </c>
      <c r="Q2884" s="561">
        <v>0</v>
      </c>
    </row>
    <row r="2885" spans="1:56">
      <c r="B2885" s="561" t="s">
        <v>1496</v>
      </c>
      <c r="C2885" s="561" t="s">
        <v>1202</v>
      </c>
      <c r="G2885" s="561">
        <v>0</v>
      </c>
      <c r="H2885" s="561">
        <v>0</v>
      </c>
      <c r="I2885" s="561">
        <v>0</v>
      </c>
      <c r="J2885" s="561">
        <v>0</v>
      </c>
      <c r="K2885" s="561">
        <v>0</v>
      </c>
      <c r="L2885" s="561">
        <v>0</v>
      </c>
      <c r="O2885" s="561">
        <v>0</v>
      </c>
    </row>
    <row r="2888" spans="1:56">
      <c r="A2888" s="561">
        <v>27</v>
      </c>
      <c r="B2888" s="561" t="s">
        <v>1522</v>
      </c>
      <c r="C2888" s="561" t="s">
        <v>1206</v>
      </c>
      <c r="D2888" s="561">
        <v>18020.951999999997</v>
      </c>
      <c r="E2888" s="561">
        <v>4506.3</v>
      </c>
      <c r="F2888" s="561">
        <v>13514.651999999998</v>
      </c>
      <c r="G2888" s="561">
        <v>208</v>
      </c>
      <c r="H2888" s="561">
        <v>19082.668999999998</v>
      </c>
      <c r="I2888" s="561">
        <v>18</v>
      </c>
      <c r="J2888" s="561">
        <v>969.69100000000003</v>
      </c>
      <c r="K2888" s="561">
        <v>202</v>
      </c>
      <c r="L2888" s="561">
        <v>18020.951999999997</v>
      </c>
      <c r="M2888" s="561">
        <v>18020.951999999997</v>
      </c>
      <c r="N2888" s="561">
        <v>4506.3</v>
      </c>
      <c r="O2888" s="561">
        <v>0</v>
      </c>
      <c r="P2888" s="561">
        <v>13514.651999999998</v>
      </c>
      <c r="Q2888" s="561">
        <v>13514.651999999998</v>
      </c>
    </row>
    <row r="2889" spans="1:56">
      <c r="C2889" s="561" t="s">
        <v>1197</v>
      </c>
      <c r="D2889" s="561">
        <v>18020.951999999997</v>
      </c>
      <c r="E2889" s="561">
        <v>4506.3</v>
      </c>
      <c r="F2889" s="561">
        <v>13514.651999999998</v>
      </c>
      <c r="G2889" s="561">
        <v>208</v>
      </c>
      <c r="H2889" s="561">
        <v>19082.668999999998</v>
      </c>
      <c r="I2889" s="561">
        <v>18</v>
      </c>
      <c r="J2889" s="561">
        <v>969.69100000000003</v>
      </c>
      <c r="K2889" s="561">
        <v>202</v>
      </c>
      <c r="L2889" s="561">
        <v>18020.951999999997</v>
      </c>
      <c r="M2889" s="561">
        <v>18020.951999999997</v>
      </c>
      <c r="N2889" s="561">
        <v>4506.3</v>
      </c>
      <c r="O2889" s="561">
        <v>0</v>
      </c>
      <c r="Q2889" s="561">
        <v>13514.651999999998</v>
      </c>
      <c r="BD2889" s="561">
        <v>13514.651999999998</v>
      </c>
    </row>
    <row r="2890" spans="1:56">
      <c r="C2890" s="561" t="s">
        <v>1198</v>
      </c>
      <c r="D2890" s="561">
        <v>0</v>
      </c>
      <c r="F2890" s="561">
        <v>0</v>
      </c>
      <c r="G2890" s="561">
        <v>0</v>
      </c>
      <c r="H2890" s="561">
        <v>0</v>
      </c>
      <c r="I2890" s="561">
        <v>0</v>
      </c>
      <c r="J2890" s="561">
        <v>0</v>
      </c>
      <c r="K2890" s="561">
        <v>0</v>
      </c>
      <c r="L2890" s="561">
        <v>0</v>
      </c>
      <c r="M2890" s="561">
        <v>0</v>
      </c>
      <c r="N2890" s="561">
        <v>0</v>
      </c>
      <c r="O2890" s="561">
        <v>0</v>
      </c>
      <c r="P2890" s="561">
        <v>0</v>
      </c>
      <c r="Q2890" s="561">
        <v>0</v>
      </c>
    </row>
    <row r="2891" spans="1:56">
      <c r="C2891" s="561" t="s">
        <v>1199</v>
      </c>
      <c r="D2891" s="561">
        <v>0</v>
      </c>
      <c r="F2891" s="561">
        <v>0</v>
      </c>
      <c r="G2891" s="561">
        <v>0</v>
      </c>
      <c r="H2891" s="561">
        <v>0</v>
      </c>
      <c r="I2891" s="561">
        <v>0</v>
      </c>
      <c r="J2891" s="561">
        <v>0</v>
      </c>
      <c r="K2891" s="561">
        <v>0</v>
      </c>
      <c r="L2891" s="561">
        <v>0</v>
      </c>
      <c r="M2891" s="561">
        <v>0</v>
      </c>
      <c r="N2891" s="561">
        <v>0</v>
      </c>
      <c r="O2891" s="561">
        <v>0</v>
      </c>
      <c r="P2891" s="561">
        <v>0</v>
      </c>
      <c r="Q2891" s="561">
        <v>0</v>
      </c>
    </row>
    <row r="2892" spans="1:56">
      <c r="B2892" s="561" t="s">
        <v>1496</v>
      </c>
      <c r="C2892" s="561" t="s">
        <v>1202</v>
      </c>
      <c r="G2892" s="561">
        <v>0</v>
      </c>
      <c r="H2892" s="561">
        <v>0</v>
      </c>
      <c r="I2892" s="561">
        <v>0</v>
      </c>
      <c r="J2892" s="561">
        <v>0</v>
      </c>
      <c r="K2892" s="561">
        <v>0</v>
      </c>
      <c r="L2892" s="561">
        <v>0</v>
      </c>
      <c r="O2892" s="561">
        <v>0</v>
      </c>
    </row>
    <row r="2895" spans="1:56">
      <c r="A2895" s="561">
        <v>28</v>
      </c>
      <c r="B2895" s="561" t="s">
        <v>1523</v>
      </c>
      <c r="C2895" s="561" t="s">
        <v>1206</v>
      </c>
      <c r="D2895" s="561">
        <v>66420.001000000004</v>
      </c>
      <c r="E2895" s="561">
        <v>19026</v>
      </c>
      <c r="F2895" s="561">
        <v>47394.001000000011</v>
      </c>
      <c r="G2895" s="561">
        <v>895</v>
      </c>
      <c r="H2895" s="561">
        <v>67059.017000000007</v>
      </c>
      <c r="I2895" s="561">
        <v>15</v>
      </c>
      <c r="J2895" s="561">
        <v>663.44400000000007</v>
      </c>
      <c r="K2895" s="561">
        <v>891</v>
      </c>
      <c r="L2895" s="561">
        <v>66420</v>
      </c>
      <c r="M2895" s="561">
        <v>66420</v>
      </c>
      <c r="N2895" s="561">
        <v>19025.999000000003</v>
      </c>
      <c r="O2895" s="561">
        <v>0</v>
      </c>
      <c r="P2895" s="561">
        <v>47394.001000000011</v>
      </c>
      <c r="Q2895" s="561">
        <v>47394.001000000004</v>
      </c>
    </row>
    <row r="2896" spans="1:56">
      <c r="C2896" s="561" t="s">
        <v>1197</v>
      </c>
      <c r="D2896" s="561">
        <v>62873.396000000008</v>
      </c>
      <c r="E2896" s="561">
        <v>18000</v>
      </c>
      <c r="F2896" s="561">
        <v>44873.396000000008</v>
      </c>
      <c r="G2896" s="561">
        <v>751</v>
      </c>
      <c r="H2896" s="561">
        <v>64042.364000000001</v>
      </c>
      <c r="I2896" s="561">
        <v>12</v>
      </c>
      <c r="J2896" s="561">
        <v>640.62900000000002</v>
      </c>
      <c r="K2896" s="561">
        <v>747</v>
      </c>
      <c r="L2896" s="561">
        <v>63426.161000000007</v>
      </c>
      <c r="M2896" s="561">
        <v>63426.161000000007</v>
      </c>
      <c r="N2896" s="561">
        <v>18552.765000000003</v>
      </c>
      <c r="O2896" s="561">
        <v>0</v>
      </c>
      <c r="Q2896" s="561">
        <v>44873.396000000001</v>
      </c>
      <c r="AL2896" s="561">
        <v>44873.396000000008</v>
      </c>
    </row>
    <row r="2897" spans="1:17">
      <c r="C2897" s="561" t="s">
        <v>1198</v>
      </c>
      <c r="D2897" s="561">
        <v>0</v>
      </c>
      <c r="F2897" s="561">
        <v>0</v>
      </c>
      <c r="G2897" s="561">
        <v>0</v>
      </c>
      <c r="H2897" s="561">
        <v>0</v>
      </c>
      <c r="I2897" s="561">
        <v>0</v>
      </c>
      <c r="J2897" s="561">
        <v>0</v>
      </c>
      <c r="K2897" s="561">
        <v>0</v>
      </c>
      <c r="L2897" s="561">
        <v>0</v>
      </c>
      <c r="M2897" s="561">
        <v>0</v>
      </c>
      <c r="N2897" s="561">
        <v>0</v>
      </c>
      <c r="O2897" s="561">
        <v>0</v>
      </c>
      <c r="P2897" s="561">
        <v>0</v>
      </c>
      <c r="Q2897" s="561">
        <v>0</v>
      </c>
    </row>
    <row r="2898" spans="1:17">
      <c r="C2898" s="561" t="s">
        <v>1199</v>
      </c>
      <c r="D2898" s="561">
        <v>3546.605</v>
      </c>
      <c r="E2898" s="561">
        <v>1026</v>
      </c>
      <c r="F2898" s="561">
        <v>2520.605</v>
      </c>
      <c r="G2898" s="561">
        <v>144</v>
      </c>
      <c r="H2898" s="561">
        <v>3016.6529999999998</v>
      </c>
      <c r="I2898" s="561">
        <v>3</v>
      </c>
      <c r="J2898" s="561">
        <v>22.815000000000001</v>
      </c>
      <c r="K2898" s="561">
        <v>144</v>
      </c>
      <c r="L2898" s="561">
        <v>2993.8389999999999</v>
      </c>
      <c r="M2898" s="561">
        <v>2993.8390000000004</v>
      </c>
      <c r="N2898" s="561">
        <v>473.23399999999992</v>
      </c>
      <c r="O2898" s="561">
        <v>0</v>
      </c>
      <c r="P2898" s="561">
        <v>2520.605</v>
      </c>
      <c r="Q2898" s="561">
        <v>2520.605</v>
      </c>
    </row>
    <row r="2899" spans="1:17">
      <c r="B2899" s="561" t="s">
        <v>1496</v>
      </c>
      <c r="C2899" s="561" t="s">
        <v>1202</v>
      </c>
      <c r="G2899" s="561">
        <v>0</v>
      </c>
      <c r="H2899" s="561">
        <v>0</v>
      </c>
      <c r="I2899" s="561">
        <v>0</v>
      </c>
      <c r="J2899" s="561">
        <v>0</v>
      </c>
      <c r="K2899" s="561">
        <v>0</v>
      </c>
      <c r="L2899" s="561">
        <v>0</v>
      </c>
      <c r="O2899" s="561">
        <v>0</v>
      </c>
    </row>
    <row r="2902" spans="1:17">
      <c r="A2902" s="561">
        <v>29</v>
      </c>
      <c r="B2902" s="561" t="s">
        <v>1524</v>
      </c>
      <c r="C2902" s="561" t="s">
        <v>1206</v>
      </c>
      <c r="D2902" s="561">
        <v>20200.001000000004</v>
      </c>
      <c r="E2902" s="561">
        <v>5760</v>
      </c>
      <c r="F2902" s="561">
        <v>14440.001000000002</v>
      </c>
      <c r="G2902" s="561">
        <v>1313</v>
      </c>
      <c r="H2902" s="561">
        <v>20429.600999999999</v>
      </c>
      <c r="I2902" s="561">
        <v>37</v>
      </c>
      <c r="J2902" s="561">
        <v>226.24199999999999</v>
      </c>
      <c r="K2902" s="561">
        <v>1313</v>
      </c>
      <c r="L2902" s="561">
        <v>20200.001000000004</v>
      </c>
      <c r="M2902" s="561">
        <v>20200.001000000004</v>
      </c>
      <c r="N2902" s="561">
        <v>5760</v>
      </c>
      <c r="O2902" s="561">
        <v>0</v>
      </c>
      <c r="P2902" s="561">
        <v>14440.001000000002</v>
      </c>
      <c r="Q2902" s="561">
        <v>14440.001</v>
      </c>
    </row>
    <row r="2903" spans="1:17">
      <c r="C2903" s="561" t="s">
        <v>1197</v>
      </c>
      <c r="D2903" s="561">
        <v>0</v>
      </c>
      <c r="F2903" s="561">
        <v>0</v>
      </c>
      <c r="G2903" s="561">
        <v>0</v>
      </c>
      <c r="H2903" s="561">
        <v>0</v>
      </c>
      <c r="I2903" s="561">
        <v>0</v>
      </c>
      <c r="J2903" s="561">
        <v>0</v>
      </c>
      <c r="K2903" s="561">
        <v>0</v>
      </c>
      <c r="L2903" s="561">
        <v>0</v>
      </c>
      <c r="M2903" s="561">
        <v>0</v>
      </c>
      <c r="N2903" s="561">
        <v>0</v>
      </c>
      <c r="O2903" s="561">
        <v>0</v>
      </c>
      <c r="P2903" s="561">
        <v>0</v>
      </c>
      <c r="Q2903" s="561">
        <v>0</v>
      </c>
    </row>
    <row r="2904" spans="1:17">
      <c r="C2904" s="561" t="s">
        <v>1198</v>
      </c>
      <c r="D2904" s="561">
        <v>0</v>
      </c>
      <c r="F2904" s="561">
        <v>0</v>
      </c>
      <c r="G2904" s="561">
        <v>0</v>
      </c>
      <c r="H2904" s="561">
        <v>0</v>
      </c>
      <c r="I2904" s="561">
        <v>0</v>
      </c>
      <c r="J2904" s="561">
        <v>0</v>
      </c>
      <c r="K2904" s="561">
        <v>0</v>
      </c>
      <c r="L2904" s="561">
        <v>0</v>
      </c>
      <c r="M2904" s="561">
        <v>0</v>
      </c>
      <c r="N2904" s="561">
        <v>0</v>
      </c>
      <c r="O2904" s="561">
        <v>0</v>
      </c>
      <c r="P2904" s="561">
        <v>0</v>
      </c>
      <c r="Q2904" s="561">
        <v>0</v>
      </c>
    </row>
    <row r="2905" spans="1:17">
      <c r="C2905" s="561" t="s">
        <v>1199</v>
      </c>
      <c r="D2905" s="561">
        <v>20200.001000000004</v>
      </c>
      <c r="E2905" s="561">
        <v>5760</v>
      </c>
      <c r="F2905" s="561">
        <v>14440.001000000002</v>
      </c>
      <c r="G2905" s="561">
        <v>1313</v>
      </c>
      <c r="H2905" s="561">
        <v>20429.600999999999</v>
      </c>
      <c r="I2905" s="561">
        <v>37</v>
      </c>
      <c r="J2905" s="561">
        <v>226.24199999999999</v>
      </c>
      <c r="K2905" s="561">
        <v>1313</v>
      </c>
      <c r="L2905" s="561">
        <v>20200.001000000004</v>
      </c>
      <c r="M2905" s="561">
        <v>20200.001000000004</v>
      </c>
      <c r="N2905" s="561">
        <v>5760</v>
      </c>
      <c r="O2905" s="561">
        <v>0</v>
      </c>
      <c r="P2905" s="561">
        <v>14440.001000000002</v>
      </c>
      <c r="Q2905" s="561">
        <v>14440.001</v>
      </c>
    </row>
    <row r="2906" spans="1:17">
      <c r="B2906" s="561" t="s">
        <v>1496</v>
      </c>
      <c r="C2906" s="561" t="s">
        <v>1202</v>
      </c>
      <c r="O2906" s="561">
        <v>0</v>
      </c>
    </row>
    <row r="2909" spans="1:17">
      <c r="A2909" s="561">
        <v>30</v>
      </c>
      <c r="B2909" s="561" t="s">
        <v>1525</v>
      </c>
      <c r="C2909" s="561" t="s">
        <v>1206</v>
      </c>
      <c r="D2909" s="561">
        <v>16900.001</v>
      </c>
      <c r="E2909" s="561">
        <v>4860</v>
      </c>
      <c r="F2909" s="561">
        <v>12040.001</v>
      </c>
      <c r="G2909" s="561">
        <v>1158</v>
      </c>
      <c r="H2909" s="561">
        <v>17092.499</v>
      </c>
      <c r="I2909" s="561">
        <v>26</v>
      </c>
      <c r="J2909" s="561">
        <v>191.887</v>
      </c>
      <c r="K2909" s="561">
        <v>1156</v>
      </c>
      <c r="L2909" s="561">
        <v>16900.001</v>
      </c>
      <c r="M2909" s="561">
        <v>16900.001</v>
      </c>
      <c r="N2909" s="561">
        <v>4860</v>
      </c>
      <c r="O2909" s="561">
        <v>0</v>
      </c>
      <c r="P2909" s="561">
        <v>12040.001</v>
      </c>
      <c r="Q2909" s="561">
        <v>12040.001</v>
      </c>
    </row>
    <row r="2910" spans="1:17">
      <c r="C2910" s="561" t="s">
        <v>1197</v>
      </c>
      <c r="D2910" s="561">
        <v>0</v>
      </c>
      <c r="F2910" s="561">
        <v>0</v>
      </c>
      <c r="G2910" s="561">
        <v>0</v>
      </c>
      <c r="H2910" s="561">
        <v>0</v>
      </c>
      <c r="I2910" s="561">
        <v>0</v>
      </c>
      <c r="J2910" s="561">
        <v>0</v>
      </c>
      <c r="K2910" s="561">
        <v>0</v>
      </c>
      <c r="L2910" s="561">
        <v>0</v>
      </c>
      <c r="M2910" s="561">
        <v>0</v>
      </c>
      <c r="N2910" s="561">
        <v>0</v>
      </c>
      <c r="O2910" s="561">
        <v>0</v>
      </c>
      <c r="P2910" s="561">
        <v>0</v>
      </c>
      <c r="Q2910" s="561">
        <v>0</v>
      </c>
    </row>
    <row r="2911" spans="1:17">
      <c r="C2911" s="561" t="s">
        <v>1198</v>
      </c>
      <c r="D2911" s="561">
        <v>0</v>
      </c>
      <c r="F2911" s="561">
        <v>0</v>
      </c>
      <c r="G2911" s="561">
        <v>0</v>
      </c>
      <c r="H2911" s="561">
        <v>0</v>
      </c>
      <c r="I2911" s="561">
        <v>0</v>
      </c>
      <c r="J2911" s="561">
        <v>0</v>
      </c>
      <c r="K2911" s="561">
        <v>0</v>
      </c>
      <c r="L2911" s="561">
        <v>0</v>
      </c>
      <c r="M2911" s="561">
        <v>0</v>
      </c>
      <c r="N2911" s="561">
        <v>0</v>
      </c>
      <c r="O2911" s="561">
        <v>0</v>
      </c>
      <c r="P2911" s="561">
        <v>0</v>
      </c>
      <c r="Q2911" s="561">
        <v>0</v>
      </c>
    </row>
    <row r="2912" spans="1:17">
      <c r="C2912" s="561" t="s">
        <v>1199</v>
      </c>
      <c r="D2912" s="561">
        <v>16900.001</v>
      </c>
      <c r="E2912" s="561">
        <v>4860</v>
      </c>
      <c r="F2912" s="561">
        <v>12040.001</v>
      </c>
      <c r="G2912" s="561">
        <v>1158</v>
      </c>
      <c r="H2912" s="561">
        <v>17092.499</v>
      </c>
      <c r="I2912" s="561">
        <v>26</v>
      </c>
      <c r="J2912" s="561">
        <v>191.887</v>
      </c>
      <c r="K2912" s="561">
        <v>1156</v>
      </c>
      <c r="L2912" s="561">
        <v>16900.001</v>
      </c>
      <c r="M2912" s="561">
        <v>16900.001</v>
      </c>
      <c r="N2912" s="561">
        <v>4860</v>
      </c>
      <c r="O2912" s="561">
        <v>0</v>
      </c>
      <c r="P2912" s="561">
        <v>12040.001</v>
      </c>
      <c r="Q2912" s="561">
        <v>12040.001</v>
      </c>
    </row>
    <row r="2913" spans="1:17">
      <c r="B2913" s="561" t="s">
        <v>1496</v>
      </c>
      <c r="C2913" s="561" t="s">
        <v>1202</v>
      </c>
      <c r="O2913" s="561">
        <v>0</v>
      </c>
    </row>
    <row r="2916" spans="1:17">
      <c r="A2916" s="561">
        <v>31</v>
      </c>
      <c r="B2916" s="561" t="s">
        <v>1526</v>
      </c>
      <c r="C2916" s="561" t="s">
        <v>1206</v>
      </c>
      <c r="D2916" s="561">
        <v>11610.001000000002</v>
      </c>
      <c r="E2916" s="561">
        <v>3348</v>
      </c>
      <c r="F2916" s="561">
        <v>8262.001000000002</v>
      </c>
      <c r="G2916" s="561">
        <v>886</v>
      </c>
      <c r="H2916" s="561">
        <v>11639.952000000001</v>
      </c>
      <c r="I2916" s="561">
        <v>8</v>
      </c>
      <c r="J2916" s="561">
        <v>29.741</v>
      </c>
      <c r="K2916" s="561">
        <v>886</v>
      </c>
      <c r="L2916" s="561">
        <v>11610.001000000002</v>
      </c>
      <c r="M2916" s="561">
        <v>11610.001000000002</v>
      </c>
      <c r="N2916" s="561">
        <v>3348</v>
      </c>
      <c r="O2916" s="561">
        <v>0</v>
      </c>
      <c r="P2916" s="561">
        <v>8262.001000000002</v>
      </c>
      <c r="Q2916" s="561">
        <v>8262.0010000000002</v>
      </c>
    </row>
    <row r="2917" spans="1:17">
      <c r="C2917" s="561" t="s">
        <v>1197</v>
      </c>
      <c r="D2917" s="561">
        <v>0</v>
      </c>
      <c r="F2917" s="561">
        <v>0</v>
      </c>
      <c r="G2917" s="561">
        <v>0</v>
      </c>
      <c r="H2917" s="561">
        <v>0</v>
      </c>
      <c r="I2917" s="561">
        <v>0</v>
      </c>
      <c r="J2917" s="561">
        <v>0</v>
      </c>
      <c r="K2917" s="561">
        <v>0</v>
      </c>
      <c r="L2917" s="561">
        <v>0</v>
      </c>
      <c r="M2917" s="561">
        <v>0</v>
      </c>
      <c r="N2917" s="561">
        <v>0</v>
      </c>
      <c r="O2917" s="561">
        <v>0</v>
      </c>
      <c r="P2917" s="561">
        <v>0</v>
      </c>
      <c r="Q2917" s="561">
        <v>0</v>
      </c>
    </row>
    <row r="2918" spans="1:17">
      <c r="C2918" s="561" t="s">
        <v>1198</v>
      </c>
      <c r="D2918" s="561">
        <v>0</v>
      </c>
      <c r="F2918" s="561">
        <v>0</v>
      </c>
      <c r="G2918" s="561">
        <v>0</v>
      </c>
      <c r="H2918" s="561">
        <v>0</v>
      </c>
      <c r="I2918" s="561">
        <v>0</v>
      </c>
      <c r="J2918" s="561">
        <v>0</v>
      </c>
      <c r="K2918" s="561">
        <v>0</v>
      </c>
      <c r="L2918" s="561">
        <v>0</v>
      </c>
      <c r="M2918" s="561">
        <v>0</v>
      </c>
      <c r="N2918" s="561">
        <v>0</v>
      </c>
      <c r="O2918" s="561">
        <v>0</v>
      </c>
      <c r="P2918" s="561">
        <v>0</v>
      </c>
      <c r="Q2918" s="561">
        <v>0</v>
      </c>
    </row>
    <row r="2919" spans="1:17">
      <c r="C2919" s="561" t="s">
        <v>1199</v>
      </c>
      <c r="D2919" s="561">
        <v>11610.001000000002</v>
      </c>
      <c r="E2919" s="561">
        <v>3348</v>
      </c>
      <c r="F2919" s="561">
        <v>8262.001000000002</v>
      </c>
      <c r="G2919" s="561">
        <v>886</v>
      </c>
      <c r="H2919" s="561">
        <v>11639.952000000001</v>
      </c>
      <c r="I2919" s="561">
        <v>8</v>
      </c>
      <c r="J2919" s="561">
        <v>29.741</v>
      </c>
      <c r="K2919" s="561">
        <v>886</v>
      </c>
      <c r="L2919" s="561">
        <v>11610.001000000002</v>
      </c>
      <c r="M2919" s="561">
        <v>11610.001000000002</v>
      </c>
      <c r="N2919" s="561">
        <v>3348</v>
      </c>
      <c r="O2919" s="561">
        <v>0</v>
      </c>
      <c r="P2919" s="561">
        <v>8262.001000000002</v>
      </c>
      <c r="Q2919" s="561">
        <v>8262.0010000000002</v>
      </c>
    </row>
    <row r="2920" spans="1:17">
      <c r="B2920" s="561" t="s">
        <v>1496</v>
      </c>
      <c r="C2920" s="561" t="s">
        <v>1202</v>
      </c>
      <c r="O2920" s="561">
        <v>0</v>
      </c>
    </row>
    <row r="2923" spans="1:17">
      <c r="A2923" s="561">
        <v>32</v>
      </c>
      <c r="B2923" s="561" t="s">
        <v>1527</v>
      </c>
      <c r="C2923" s="561" t="s">
        <v>1206</v>
      </c>
      <c r="D2923" s="561">
        <v>25819.963</v>
      </c>
      <c r="E2923" s="561">
        <v>7596</v>
      </c>
      <c r="F2923" s="561">
        <v>18223.963</v>
      </c>
      <c r="G2923" s="561">
        <v>1982</v>
      </c>
      <c r="H2923" s="561">
        <v>26135.696999999996</v>
      </c>
      <c r="I2923" s="561">
        <v>39</v>
      </c>
      <c r="J2923" s="561">
        <v>279.04000000000002</v>
      </c>
      <c r="K2923" s="561">
        <v>1979</v>
      </c>
      <c r="L2923" s="561">
        <v>25819.963</v>
      </c>
      <c r="M2923" s="561">
        <v>25819.963</v>
      </c>
      <c r="N2923" s="561">
        <v>7596</v>
      </c>
      <c r="O2923" s="561">
        <v>0</v>
      </c>
      <c r="P2923" s="561">
        <v>18223.963</v>
      </c>
      <c r="Q2923" s="561">
        <v>18223.963</v>
      </c>
    </row>
    <row r="2924" spans="1:17">
      <c r="C2924" s="561" t="s">
        <v>1197</v>
      </c>
      <c r="D2924" s="561">
        <v>0</v>
      </c>
      <c r="F2924" s="561">
        <v>0</v>
      </c>
      <c r="G2924" s="561">
        <v>0</v>
      </c>
      <c r="H2924" s="561">
        <v>0</v>
      </c>
      <c r="I2924" s="561">
        <v>0</v>
      </c>
      <c r="J2924" s="561">
        <v>0</v>
      </c>
      <c r="K2924" s="561">
        <v>0</v>
      </c>
      <c r="L2924" s="561">
        <v>0</v>
      </c>
      <c r="M2924" s="561">
        <v>0</v>
      </c>
      <c r="N2924" s="561">
        <v>0</v>
      </c>
      <c r="O2924" s="561">
        <v>0</v>
      </c>
      <c r="P2924" s="561">
        <v>0</v>
      </c>
      <c r="Q2924" s="561">
        <v>0</v>
      </c>
    </row>
    <row r="2925" spans="1:17">
      <c r="C2925" s="561" t="s">
        <v>1198</v>
      </c>
      <c r="D2925" s="561">
        <v>0</v>
      </c>
      <c r="F2925" s="561">
        <v>0</v>
      </c>
      <c r="G2925" s="561">
        <v>0</v>
      </c>
      <c r="H2925" s="561">
        <v>0</v>
      </c>
      <c r="I2925" s="561">
        <v>0</v>
      </c>
      <c r="J2925" s="561">
        <v>0</v>
      </c>
      <c r="K2925" s="561">
        <v>0</v>
      </c>
      <c r="L2925" s="561">
        <v>0</v>
      </c>
      <c r="M2925" s="561">
        <v>0</v>
      </c>
      <c r="N2925" s="561">
        <v>0</v>
      </c>
      <c r="O2925" s="561">
        <v>0</v>
      </c>
      <c r="P2925" s="561">
        <v>0</v>
      </c>
      <c r="Q2925" s="561">
        <v>0</v>
      </c>
    </row>
    <row r="2926" spans="1:17">
      <c r="C2926" s="561" t="s">
        <v>1199</v>
      </c>
      <c r="D2926" s="561">
        <v>25819.963</v>
      </c>
      <c r="E2926" s="561">
        <v>7596</v>
      </c>
      <c r="F2926" s="561">
        <v>18223.963</v>
      </c>
      <c r="G2926" s="561">
        <v>1982</v>
      </c>
      <c r="H2926" s="561">
        <v>26135.696999999996</v>
      </c>
      <c r="I2926" s="561">
        <v>39</v>
      </c>
      <c r="J2926" s="561">
        <v>279.04000000000002</v>
      </c>
      <c r="K2926" s="561">
        <v>1979</v>
      </c>
      <c r="L2926" s="561">
        <v>25819.963</v>
      </c>
      <c r="M2926" s="561">
        <v>25819.963</v>
      </c>
      <c r="N2926" s="561">
        <v>7596</v>
      </c>
      <c r="O2926" s="561">
        <v>0</v>
      </c>
      <c r="P2926" s="561">
        <v>18223.963</v>
      </c>
      <c r="Q2926" s="561">
        <v>18223.963</v>
      </c>
    </row>
    <row r="2927" spans="1:17">
      <c r="B2927" s="561" t="s">
        <v>1496</v>
      </c>
      <c r="C2927" s="561" t="s">
        <v>1202</v>
      </c>
      <c r="O2927" s="561">
        <v>0</v>
      </c>
    </row>
    <row r="2930" spans="1:17">
      <c r="A2930" s="561">
        <v>33</v>
      </c>
      <c r="B2930" s="561" t="s">
        <v>1528</v>
      </c>
      <c r="C2930" s="561" t="s">
        <v>1206</v>
      </c>
      <c r="D2930" s="561">
        <v>26334.034</v>
      </c>
      <c r="E2930" s="561">
        <v>7578</v>
      </c>
      <c r="F2930" s="561">
        <v>18756.034</v>
      </c>
      <c r="G2930" s="561">
        <v>1733</v>
      </c>
      <c r="H2930" s="561">
        <v>26877.344000000001</v>
      </c>
      <c r="I2930" s="561">
        <v>65</v>
      </c>
      <c r="J2930" s="561">
        <v>498.62200000000001</v>
      </c>
      <c r="K2930" s="561">
        <v>1732</v>
      </c>
      <c r="L2930" s="561">
        <v>26334.034000000003</v>
      </c>
      <c r="M2930" s="561">
        <v>26334.034</v>
      </c>
      <c r="N2930" s="561">
        <v>7578</v>
      </c>
      <c r="O2930" s="561">
        <v>0</v>
      </c>
      <c r="P2930" s="561">
        <v>18756.034</v>
      </c>
      <c r="Q2930" s="561">
        <v>18756.034000000003</v>
      </c>
    </row>
    <row r="2931" spans="1:17">
      <c r="C2931" s="561" t="s">
        <v>1197</v>
      </c>
      <c r="D2931" s="561">
        <v>0</v>
      </c>
      <c r="F2931" s="561">
        <v>0</v>
      </c>
      <c r="G2931" s="561">
        <v>0</v>
      </c>
      <c r="H2931" s="561">
        <v>0</v>
      </c>
      <c r="I2931" s="561">
        <v>0</v>
      </c>
      <c r="J2931" s="561">
        <v>0</v>
      </c>
      <c r="K2931" s="561">
        <v>0</v>
      </c>
      <c r="L2931" s="561">
        <v>0</v>
      </c>
      <c r="M2931" s="561">
        <v>0</v>
      </c>
      <c r="N2931" s="561">
        <v>0</v>
      </c>
      <c r="O2931" s="561">
        <v>0</v>
      </c>
      <c r="P2931" s="561">
        <v>0</v>
      </c>
      <c r="Q2931" s="561">
        <v>0</v>
      </c>
    </row>
    <row r="2932" spans="1:17">
      <c r="C2932" s="561" t="s">
        <v>1198</v>
      </c>
      <c r="D2932" s="561">
        <v>0</v>
      </c>
      <c r="F2932" s="561">
        <v>0</v>
      </c>
      <c r="G2932" s="561">
        <v>0</v>
      </c>
      <c r="H2932" s="561">
        <v>0</v>
      </c>
      <c r="I2932" s="561">
        <v>0</v>
      </c>
      <c r="J2932" s="561">
        <v>0</v>
      </c>
      <c r="K2932" s="561">
        <v>0</v>
      </c>
      <c r="L2932" s="561">
        <v>0</v>
      </c>
      <c r="M2932" s="561">
        <v>0</v>
      </c>
      <c r="N2932" s="561">
        <v>0</v>
      </c>
      <c r="O2932" s="561">
        <v>0</v>
      </c>
      <c r="P2932" s="561">
        <v>0</v>
      </c>
      <c r="Q2932" s="561">
        <v>0</v>
      </c>
    </row>
    <row r="2933" spans="1:17">
      <c r="C2933" s="561" t="s">
        <v>1199</v>
      </c>
      <c r="D2933" s="561">
        <v>26334.034</v>
      </c>
      <c r="E2933" s="561">
        <v>7578</v>
      </c>
      <c r="F2933" s="561">
        <v>18756.034</v>
      </c>
      <c r="G2933" s="561">
        <v>1733</v>
      </c>
      <c r="H2933" s="561">
        <v>26877.344000000001</v>
      </c>
      <c r="I2933" s="561">
        <v>65</v>
      </c>
      <c r="J2933" s="561">
        <v>498.62200000000001</v>
      </c>
      <c r="K2933" s="561">
        <v>1732</v>
      </c>
      <c r="L2933" s="561">
        <v>26334.034000000003</v>
      </c>
      <c r="M2933" s="561">
        <v>26334.034</v>
      </c>
      <c r="N2933" s="561">
        <v>7578</v>
      </c>
      <c r="O2933" s="561">
        <v>0</v>
      </c>
      <c r="P2933" s="561">
        <v>18756.034</v>
      </c>
      <c r="Q2933" s="561">
        <v>18756.034000000003</v>
      </c>
    </row>
    <row r="2934" spans="1:17">
      <c r="B2934" s="561" t="s">
        <v>1496</v>
      </c>
      <c r="C2934" s="561" t="s">
        <v>1202</v>
      </c>
      <c r="O2934" s="561">
        <v>0</v>
      </c>
    </row>
    <row r="2937" spans="1:17">
      <c r="A2937" s="561">
        <v>34</v>
      </c>
      <c r="B2937" s="561" t="s">
        <v>1529</v>
      </c>
      <c r="C2937" s="561" t="s">
        <v>1206</v>
      </c>
      <c r="D2937" s="561">
        <v>20920.001000000004</v>
      </c>
      <c r="E2937" s="561">
        <v>5976</v>
      </c>
      <c r="F2937" s="561">
        <v>14944.001000000004</v>
      </c>
      <c r="G2937" s="561">
        <v>1361</v>
      </c>
      <c r="H2937" s="561">
        <v>21186.612999999998</v>
      </c>
      <c r="I2937" s="561">
        <v>29</v>
      </c>
      <c r="J2937" s="561">
        <v>236.61</v>
      </c>
      <c r="K2937" s="561">
        <v>1361</v>
      </c>
      <c r="L2937" s="561">
        <v>20920.001</v>
      </c>
      <c r="M2937" s="561">
        <v>20920.001000000004</v>
      </c>
      <c r="N2937" s="561">
        <v>5976</v>
      </c>
      <c r="O2937" s="561">
        <v>0</v>
      </c>
      <c r="P2937" s="561">
        <v>14944.001000000004</v>
      </c>
      <c r="Q2937" s="561">
        <v>14944.001</v>
      </c>
    </row>
    <row r="2938" spans="1:17">
      <c r="C2938" s="561" t="s">
        <v>1197</v>
      </c>
      <c r="D2938" s="561">
        <v>0</v>
      </c>
      <c r="F2938" s="561">
        <v>0</v>
      </c>
      <c r="G2938" s="561">
        <v>0</v>
      </c>
      <c r="H2938" s="561">
        <v>0</v>
      </c>
      <c r="I2938" s="561">
        <v>0</v>
      </c>
      <c r="J2938" s="561">
        <v>0</v>
      </c>
      <c r="K2938" s="561">
        <v>0</v>
      </c>
      <c r="L2938" s="561">
        <v>0</v>
      </c>
      <c r="M2938" s="561">
        <v>0</v>
      </c>
      <c r="N2938" s="561">
        <v>0</v>
      </c>
      <c r="O2938" s="561">
        <v>0</v>
      </c>
      <c r="P2938" s="561">
        <v>0</v>
      </c>
      <c r="Q2938" s="561">
        <v>0</v>
      </c>
    </row>
    <row r="2939" spans="1:17">
      <c r="C2939" s="561" t="s">
        <v>1198</v>
      </c>
      <c r="D2939" s="561">
        <v>0</v>
      </c>
      <c r="F2939" s="561">
        <v>0</v>
      </c>
      <c r="G2939" s="561">
        <v>0</v>
      </c>
      <c r="H2939" s="561">
        <v>0</v>
      </c>
      <c r="I2939" s="561">
        <v>0</v>
      </c>
      <c r="J2939" s="561">
        <v>0</v>
      </c>
      <c r="K2939" s="561">
        <v>0</v>
      </c>
      <c r="L2939" s="561">
        <v>0</v>
      </c>
      <c r="M2939" s="561">
        <v>0</v>
      </c>
      <c r="N2939" s="561">
        <v>0</v>
      </c>
      <c r="O2939" s="561">
        <v>0</v>
      </c>
      <c r="P2939" s="561">
        <v>0</v>
      </c>
      <c r="Q2939" s="561">
        <v>0</v>
      </c>
    </row>
    <row r="2940" spans="1:17">
      <c r="C2940" s="561" t="s">
        <v>1199</v>
      </c>
      <c r="D2940" s="561">
        <v>20920.001000000004</v>
      </c>
      <c r="E2940" s="561">
        <v>5976</v>
      </c>
      <c r="F2940" s="561">
        <v>14944.001000000004</v>
      </c>
      <c r="G2940" s="561">
        <v>1361</v>
      </c>
      <c r="H2940" s="561">
        <v>21186.612999999998</v>
      </c>
      <c r="I2940" s="561">
        <v>29</v>
      </c>
      <c r="J2940" s="561">
        <v>236.61</v>
      </c>
      <c r="K2940" s="561">
        <v>1361</v>
      </c>
      <c r="L2940" s="561">
        <v>20920.001</v>
      </c>
      <c r="M2940" s="561">
        <v>20920.001000000004</v>
      </c>
      <c r="N2940" s="561">
        <v>5976</v>
      </c>
      <c r="O2940" s="561">
        <v>0</v>
      </c>
      <c r="P2940" s="561">
        <v>14944.001000000004</v>
      </c>
      <c r="Q2940" s="561">
        <v>14944.001</v>
      </c>
    </row>
    <row r="2941" spans="1:17">
      <c r="B2941" s="561" t="s">
        <v>1496</v>
      </c>
      <c r="C2941" s="561" t="s">
        <v>1202</v>
      </c>
      <c r="O2941" s="561">
        <v>0</v>
      </c>
    </row>
    <row r="2944" spans="1:17">
      <c r="A2944" s="561">
        <v>35</v>
      </c>
      <c r="B2944" s="561" t="s">
        <v>1530</v>
      </c>
      <c r="C2944" s="561" t="s">
        <v>1206</v>
      </c>
      <c r="D2944" s="561">
        <v>23200.001</v>
      </c>
      <c r="E2944" s="561">
        <v>6660</v>
      </c>
      <c r="F2944" s="561">
        <v>16540.001</v>
      </c>
      <c r="G2944" s="561">
        <v>1552</v>
      </c>
      <c r="H2944" s="561">
        <v>23549.846000000001</v>
      </c>
      <c r="I2944" s="561">
        <v>53</v>
      </c>
      <c r="J2944" s="561">
        <v>347.68599999999998</v>
      </c>
      <c r="K2944" s="561">
        <v>1549</v>
      </c>
      <c r="L2944" s="561">
        <v>23200</v>
      </c>
      <c r="M2944" s="561">
        <v>23200</v>
      </c>
      <c r="N2944" s="561">
        <v>6659.9989999999998</v>
      </c>
      <c r="O2944" s="561">
        <v>0</v>
      </c>
      <c r="P2944" s="561">
        <v>16540.001</v>
      </c>
      <c r="Q2944" s="561">
        <v>16540.001</v>
      </c>
    </row>
    <row r="2945" spans="1:17">
      <c r="C2945" s="561" t="s">
        <v>1197</v>
      </c>
      <c r="D2945" s="561">
        <v>0</v>
      </c>
      <c r="F2945" s="561">
        <v>0</v>
      </c>
      <c r="G2945" s="561">
        <v>0</v>
      </c>
      <c r="H2945" s="561">
        <v>0</v>
      </c>
      <c r="I2945" s="561">
        <v>0</v>
      </c>
      <c r="J2945" s="561">
        <v>0</v>
      </c>
      <c r="K2945" s="561">
        <v>0</v>
      </c>
      <c r="L2945" s="561">
        <v>0</v>
      </c>
      <c r="M2945" s="561">
        <v>0</v>
      </c>
      <c r="N2945" s="561">
        <v>0</v>
      </c>
      <c r="O2945" s="561">
        <v>0</v>
      </c>
      <c r="P2945" s="561">
        <v>0</v>
      </c>
      <c r="Q2945" s="561">
        <v>0</v>
      </c>
    </row>
    <row r="2946" spans="1:17">
      <c r="C2946" s="561" t="s">
        <v>1198</v>
      </c>
      <c r="D2946" s="561">
        <v>0</v>
      </c>
      <c r="F2946" s="561">
        <v>0</v>
      </c>
      <c r="G2946" s="561">
        <v>0</v>
      </c>
      <c r="H2946" s="561">
        <v>0</v>
      </c>
      <c r="I2946" s="561">
        <v>0</v>
      </c>
      <c r="J2946" s="561">
        <v>0</v>
      </c>
      <c r="K2946" s="561">
        <v>0</v>
      </c>
      <c r="L2946" s="561">
        <v>0</v>
      </c>
      <c r="M2946" s="561">
        <v>0</v>
      </c>
      <c r="N2946" s="561">
        <v>0</v>
      </c>
      <c r="O2946" s="561">
        <v>0</v>
      </c>
      <c r="P2946" s="561">
        <v>0</v>
      </c>
      <c r="Q2946" s="561">
        <v>0</v>
      </c>
    </row>
    <row r="2947" spans="1:17">
      <c r="C2947" s="561" t="s">
        <v>1199</v>
      </c>
      <c r="D2947" s="561">
        <v>23200.001</v>
      </c>
      <c r="E2947" s="561">
        <v>6660</v>
      </c>
      <c r="F2947" s="561">
        <v>16540.001</v>
      </c>
      <c r="G2947" s="561">
        <v>1552</v>
      </c>
      <c r="H2947" s="561">
        <v>23549.846000000001</v>
      </c>
      <c r="I2947" s="561">
        <v>53</v>
      </c>
      <c r="J2947" s="561">
        <v>347.68599999999998</v>
      </c>
      <c r="K2947" s="561">
        <v>1549</v>
      </c>
      <c r="L2947" s="561">
        <v>23200</v>
      </c>
      <c r="M2947" s="561">
        <v>23200</v>
      </c>
      <c r="N2947" s="561">
        <v>6659.9989999999998</v>
      </c>
      <c r="O2947" s="561">
        <v>0</v>
      </c>
      <c r="P2947" s="561">
        <v>16540.001</v>
      </c>
      <c r="Q2947" s="561">
        <v>16540.001</v>
      </c>
    </row>
    <row r="2948" spans="1:17">
      <c r="B2948" s="561" t="s">
        <v>1496</v>
      </c>
      <c r="C2948" s="561" t="s">
        <v>1202</v>
      </c>
      <c r="O2948" s="561">
        <v>0</v>
      </c>
    </row>
    <row r="2951" spans="1:17">
      <c r="A2951" s="561">
        <v>36</v>
      </c>
      <c r="B2951" s="561" t="s">
        <v>1531</v>
      </c>
      <c r="C2951" s="561" t="s">
        <v>1206</v>
      </c>
      <c r="D2951" s="561">
        <v>12500.029</v>
      </c>
      <c r="E2951" s="561">
        <v>3600</v>
      </c>
      <c r="F2951" s="561">
        <v>8900.0290000000005</v>
      </c>
      <c r="G2951" s="561">
        <v>914</v>
      </c>
      <c r="H2951" s="561">
        <v>12977.279500000001</v>
      </c>
      <c r="I2951" s="561">
        <v>83</v>
      </c>
      <c r="J2951" s="561">
        <v>473.73399999999998</v>
      </c>
      <c r="K2951" s="561">
        <v>909</v>
      </c>
      <c r="L2951" s="561">
        <v>12500.028</v>
      </c>
      <c r="M2951" s="561">
        <v>12500.028</v>
      </c>
      <c r="N2951" s="561">
        <v>3599.9989999999998</v>
      </c>
      <c r="O2951" s="561">
        <v>0</v>
      </c>
      <c r="P2951" s="561">
        <v>8900.0290000000005</v>
      </c>
      <c r="Q2951" s="561">
        <v>8900.0290000000005</v>
      </c>
    </row>
    <row r="2952" spans="1:17">
      <c r="C2952" s="561" t="s">
        <v>1197</v>
      </c>
      <c r="D2952" s="561">
        <v>0</v>
      </c>
      <c r="F2952" s="561">
        <v>0</v>
      </c>
      <c r="G2952" s="561">
        <v>0</v>
      </c>
      <c r="H2952" s="561">
        <v>0</v>
      </c>
      <c r="I2952" s="561">
        <v>0</v>
      </c>
      <c r="J2952" s="561">
        <v>0</v>
      </c>
      <c r="K2952" s="561">
        <v>0</v>
      </c>
      <c r="L2952" s="561">
        <v>0</v>
      </c>
      <c r="M2952" s="561">
        <v>0</v>
      </c>
      <c r="N2952" s="561">
        <v>0</v>
      </c>
      <c r="O2952" s="561">
        <v>0</v>
      </c>
      <c r="P2952" s="561">
        <v>0</v>
      </c>
      <c r="Q2952" s="561">
        <v>0</v>
      </c>
    </row>
    <row r="2953" spans="1:17">
      <c r="C2953" s="561" t="s">
        <v>1198</v>
      </c>
      <c r="D2953" s="561">
        <v>0</v>
      </c>
      <c r="F2953" s="561">
        <v>0</v>
      </c>
      <c r="G2953" s="561">
        <v>0</v>
      </c>
      <c r="H2953" s="561">
        <v>0</v>
      </c>
      <c r="I2953" s="561">
        <v>0</v>
      </c>
      <c r="J2953" s="561">
        <v>0</v>
      </c>
      <c r="K2953" s="561">
        <v>0</v>
      </c>
      <c r="L2953" s="561">
        <v>0</v>
      </c>
      <c r="M2953" s="561">
        <v>0</v>
      </c>
      <c r="N2953" s="561">
        <v>0</v>
      </c>
      <c r="O2953" s="561">
        <v>0</v>
      </c>
      <c r="P2953" s="561">
        <v>0</v>
      </c>
      <c r="Q2953" s="561">
        <v>0</v>
      </c>
    </row>
    <row r="2954" spans="1:17">
      <c r="C2954" s="561" t="s">
        <v>1199</v>
      </c>
      <c r="D2954" s="561">
        <v>12500.029</v>
      </c>
      <c r="E2954" s="561">
        <v>3600</v>
      </c>
      <c r="F2954" s="561">
        <v>8900.0290000000005</v>
      </c>
      <c r="G2954" s="561">
        <v>914</v>
      </c>
      <c r="H2954" s="561">
        <v>12977.279500000001</v>
      </c>
      <c r="I2954" s="561">
        <v>83</v>
      </c>
      <c r="J2954" s="561">
        <v>473.73399999999998</v>
      </c>
      <c r="K2954" s="561">
        <v>909</v>
      </c>
      <c r="L2954" s="561">
        <v>12500.028</v>
      </c>
      <c r="M2954" s="561">
        <v>12500.028</v>
      </c>
      <c r="N2954" s="561">
        <v>3599.9989999999998</v>
      </c>
      <c r="O2954" s="561">
        <v>0</v>
      </c>
      <c r="P2954" s="561">
        <v>8900.0290000000005</v>
      </c>
      <c r="Q2954" s="561">
        <v>8900.0290000000005</v>
      </c>
    </row>
    <row r="2955" spans="1:17">
      <c r="B2955" s="561" t="s">
        <v>1496</v>
      </c>
      <c r="C2955" s="561" t="s">
        <v>1202</v>
      </c>
      <c r="O2955" s="561">
        <v>0</v>
      </c>
    </row>
    <row r="2958" spans="1:17">
      <c r="A2958" s="561">
        <v>37</v>
      </c>
      <c r="B2958" s="561" t="s">
        <v>1532</v>
      </c>
      <c r="C2958" s="561" t="s">
        <v>1206</v>
      </c>
      <c r="D2958" s="561">
        <v>8240.0059999999994</v>
      </c>
      <c r="E2958" s="561">
        <v>2142</v>
      </c>
      <c r="F2958" s="561">
        <v>6098.0059999999994</v>
      </c>
      <c r="G2958" s="561">
        <v>559</v>
      </c>
      <c r="H2958" s="561">
        <v>8571.66</v>
      </c>
      <c r="I2958" s="561">
        <v>19</v>
      </c>
      <c r="J2958" s="561">
        <v>94.683999999999997</v>
      </c>
      <c r="K2958" s="561">
        <v>559</v>
      </c>
      <c r="L2958" s="561">
        <v>8240.0059999999994</v>
      </c>
      <c r="M2958" s="561">
        <v>8240.0059999999994</v>
      </c>
      <c r="N2958" s="561">
        <v>2142</v>
      </c>
      <c r="O2958" s="561">
        <v>0</v>
      </c>
      <c r="P2958" s="561">
        <v>6098.0059999999994</v>
      </c>
      <c r="Q2958" s="561">
        <v>6098.0060000000003</v>
      </c>
    </row>
    <row r="2959" spans="1:17">
      <c r="C2959" s="561" t="s">
        <v>1197</v>
      </c>
      <c r="D2959" s="561">
        <v>0</v>
      </c>
      <c r="F2959" s="561">
        <v>0</v>
      </c>
      <c r="G2959" s="561">
        <v>0</v>
      </c>
      <c r="H2959" s="561">
        <v>0</v>
      </c>
      <c r="I2959" s="561">
        <v>0</v>
      </c>
      <c r="J2959" s="561">
        <v>0</v>
      </c>
      <c r="K2959" s="561">
        <v>0</v>
      </c>
      <c r="L2959" s="561">
        <v>0</v>
      </c>
      <c r="M2959" s="561">
        <v>0</v>
      </c>
      <c r="N2959" s="561">
        <v>0</v>
      </c>
      <c r="O2959" s="561">
        <v>0</v>
      </c>
      <c r="P2959" s="561">
        <v>0</v>
      </c>
      <c r="Q2959" s="561">
        <v>0</v>
      </c>
    </row>
    <row r="2960" spans="1:17">
      <c r="C2960" s="561" t="s">
        <v>1198</v>
      </c>
      <c r="D2960" s="561">
        <v>0</v>
      </c>
      <c r="F2960" s="561">
        <v>0</v>
      </c>
      <c r="G2960" s="561">
        <v>0</v>
      </c>
      <c r="H2960" s="561">
        <v>0</v>
      </c>
      <c r="I2960" s="561">
        <v>0</v>
      </c>
      <c r="J2960" s="561">
        <v>0</v>
      </c>
      <c r="K2960" s="561">
        <v>0</v>
      </c>
      <c r="L2960" s="561">
        <v>0</v>
      </c>
      <c r="M2960" s="561">
        <v>0</v>
      </c>
      <c r="N2960" s="561">
        <v>0</v>
      </c>
      <c r="O2960" s="561">
        <v>0</v>
      </c>
      <c r="P2960" s="561">
        <v>0</v>
      </c>
      <c r="Q2960" s="561">
        <v>0</v>
      </c>
    </row>
    <row r="2961" spans="1:50">
      <c r="C2961" s="561" t="s">
        <v>1199</v>
      </c>
      <c r="D2961" s="561">
        <v>8240.0059999999994</v>
      </c>
      <c r="E2961" s="561">
        <v>2142</v>
      </c>
      <c r="F2961" s="561">
        <v>6098.0059999999994</v>
      </c>
      <c r="G2961" s="561">
        <v>559</v>
      </c>
      <c r="H2961" s="561">
        <v>8571.66</v>
      </c>
      <c r="I2961" s="561">
        <v>19</v>
      </c>
      <c r="J2961" s="561">
        <v>94.683999999999997</v>
      </c>
      <c r="K2961" s="561">
        <v>559</v>
      </c>
      <c r="L2961" s="561">
        <v>8240.0059999999994</v>
      </c>
      <c r="M2961" s="561">
        <v>8240.0059999999994</v>
      </c>
      <c r="N2961" s="561">
        <v>2142</v>
      </c>
      <c r="O2961" s="561">
        <v>0</v>
      </c>
      <c r="P2961" s="561">
        <v>6098.0059999999994</v>
      </c>
      <c r="Q2961" s="561">
        <v>6098.0060000000003</v>
      </c>
    </row>
    <row r="2962" spans="1:50">
      <c r="B2962" s="561" t="s">
        <v>1496</v>
      </c>
      <c r="C2962" s="561" t="s">
        <v>1202</v>
      </c>
      <c r="O2962" s="561">
        <v>0</v>
      </c>
    </row>
    <row r="2965" spans="1:50">
      <c r="A2965" s="561">
        <v>38</v>
      </c>
      <c r="B2965" s="561" t="s">
        <v>1533</v>
      </c>
      <c r="C2965" s="561" t="s">
        <v>1206</v>
      </c>
      <c r="D2965" s="561">
        <v>3881.5369999999998</v>
      </c>
      <c r="E2965" s="561">
        <v>1121.0999999999999</v>
      </c>
      <c r="F2965" s="561">
        <v>2760.4369999999999</v>
      </c>
      <c r="G2965" s="561">
        <v>315</v>
      </c>
      <c r="H2965" s="561">
        <v>3923.1710000000003</v>
      </c>
      <c r="I2965" s="561">
        <v>8</v>
      </c>
      <c r="J2965" s="561">
        <v>37.662999999999997</v>
      </c>
      <c r="K2965" s="561">
        <v>313</v>
      </c>
      <c r="L2965" s="561">
        <v>3881.5320000000002</v>
      </c>
      <c r="M2965" s="561">
        <v>3881.5369999999998</v>
      </c>
      <c r="N2965" s="561">
        <v>1121.0999999999999</v>
      </c>
      <c r="O2965" s="561">
        <v>0</v>
      </c>
      <c r="P2965" s="561">
        <v>2760.4369999999999</v>
      </c>
      <c r="Q2965" s="561">
        <v>2760.4320000000002</v>
      </c>
    </row>
    <row r="2966" spans="1:50">
      <c r="C2966" s="561" t="s">
        <v>1197</v>
      </c>
      <c r="D2966" s="561">
        <v>0</v>
      </c>
      <c r="F2966" s="561">
        <v>0</v>
      </c>
      <c r="G2966" s="561">
        <v>0</v>
      </c>
      <c r="H2966" s="561">
        <v>0</v>
      </c>
      <c r="I2966" s="561">
        <v>0</v>
      </c>
      <c r="J2966" s="561">
        <v>0</v>
      </c>
      <c r="K2966" s="561">
        <v>0</v>
      </c>
      <c r="L2966" s="561">
        <v>0</v>
      </c>
      <c r="M2966" s="561">
        <v>0</v>
      </c>
      <c r="N2966" s="561">
        <v>0</v>
      </c>
      <c r="O2966" s="561">
        <v>0</v>
      </c>
      <c r="P2966" s="561">
        <v>0</v>
      </c>
      <c r="Q2966" s="561">
        <v>0</v>
      </c>
    </row>
    <row r="2967" spans="1:50">
      <c r="C2967" s="561" t="s">
        <v>1198</v>
      </c>
      <c r="D2967" s="561">
        <v>0</v>
      </c>
      <c r="F2967" s="561">
        <v>0</v>
      </c>
      <c r="G2967" s="561">
        <v>0</v>
      </c>
      <c r="H2967" s="561">
        <v>0</v>
      </c>
      <c r="I2967" s="561">
        <v>0</v>
      </c>
      <c r="J2967" s="561">
        <v>0</v>
      </c>
      <c r="K2967" s="561">
        <v>0</v>
      </c>
      <c r="L2967" s="561">
        <v>0</v>
      </c>
      <c r="M2967" s="561">
        <v>0</v>
      </c>
      <c r="N2967" s="561">
        <v>0</v>
      </c>
      <c r="O2967" s="561">
        <v>0</v>
      </c>
      <c r="P2967" s="561">
        <v>0</v>
      </c>
      <c r="Q2967" s="561">
        <v>0</v>
      </c>
    </row>
    <row r="2968" spans="1:50">
      <c r="C2968" s="561" t="s">
        <v>1199</v>
      </c>
      <c r="D2968" s="561">
        <v>3881.5369999999998</v>
      </c>
      <c r="E2968" s="561">
        <v>1121.0999999999999</v>
      </c>
      <c r="F2968" s="561">
        <v>2760.4369999999999</v>
      </c>
      <c r="G2968" s="561">
        <v>315</v>
      </c>
      <c r="H2968" s="561">
        <v>3923.1710000000003</v>
      </c>
      <c r="I2968" s="561">
        <v>8</v>
      </c>
      <c r="J2968" s="561">
        <v>37.662999999999997</v>
      </c>
      <c r="K2968" s="561">
        <v>313</v>
      </c>
      <c r="L2968" s="561">
        <v>3881.5320000000002</v>
      </c>
      <c r="M2968" s="561">
        <v>3881.5369999999998</v>
      </c>
      <c r="N2968" s="561">
        <v>1121.0999999999999</v>
      </c>
      <c r="O2968" s="561">
        <v>0</v>
      </c>
      <c r="P2968" s="561">
        <v>2760.4369999999999</v>
      </c>
      <c r="Q2968" s="561">
        <v>2760.4320000000002</v>
      </c>
    </row>
    <row r="2969" spans="1:50">
      <c r="B2969" s="561" t="s">
        <v>1496</v>
      </c>
      <c r="C2969" s="561" t="s">
        <v>1202</v>
      </c>
      <c r="L2969" s="561">
        <v>0</v>
      </c>
      <c r="O2969" s="561">
        <v>0</v>
      </c>
    </row>
    <row r="2972" spans="1:50">
      <c r="A2972" s="561">
        <v>39</v>
      </c>
      <c r="B2972" s="561" t="s">
        <v>1534</v>
      </c>
      <c r="C2972" s="561" t="s">
        <v>1206</v>
      </c>
      <c r="D2972" s="561">
        <v>285000</v>
      </c>
      <c r="E2972" s="561">
        <v>76500</v>
      </c>
      <c r="F2972" s="561">
        <v>208500</v>
      </c>
      <c r="G2972" s="561">
        <v>222</v>
      </c>
      <c r="H2972" s="561">
        <v>288348.64199999999</v>
      </c>
      <c r="I2972" s="561">
        <v>21</v>
      </c>
      <c r="J2972" s="561">
        <v>16739.987999999998</v>
      </c>
      <c r="K2972" s="561">
        <v>212</v>
      </c>
      <c r="L2972" s="561">
        <v>285000</v>
      </c>
      <c r="M2972" s="561">
        <v>285000</v>
      </c>
      <c r="N2972" s="561">
        <v>76500</v>
      </c>
      <c r="O2972" s="561">
        <v>0</v>
      </c>
      <c r="P2972" s="561">
        <v>208500</v>
      </c>
      <c r="Q2972" s="561">
        <v>208500</v>
      </c>
    </row>
    <row r="2973" spans="1:50">
      <c r="C2973" s="561" t="s">
        <v>1197</v>
      </c>
      <c r="D2973" s="561">
        <v>56867.6</v>
      </c>
      <c r="F2973" s="561">
        <v>56867.6</v>
      </c>
      <c r="G2973" s="561">
        <v>54</v>
      </c>
      <c r="H2973" s="561">
        <v>57597.862999999998</v>
      </c>
      <c r="I2973" s="561">
        <v>10</v>
      </c>
      <c r="J2973" s="561">
        <v>2140.35</v>
      </c>
      <c r="K2973" s="561">
        <v>47</v>
      </c>
      <c r="L2973" s="561">
        <v>56867.6</v>
      </c>
      <c r="M2973" s="561">
        <v>56867.6</v>
      </c>
      <c r="O2973" s="561">
        <v>0</v>
      </c>
      <c r="Q2973" s="561">
        <v>56867.6</v>
      </c>
      <c r="AX2973" s="561">
        <v>56867.6</v>
      </c>
    </row>
    <row r="2974" spans="1:50">
      <c r="C2974" s="561" t="s">
        <v>1198</v>
      </c>
      <c r="D2974" s="561">
        <v>228132.4</v>
      </c>
      <c r="E2974" s="561">
        <v>76500</v>
      </c>
      <c r="F2974" s="561">
        <v>151632.4</v>
      </c>
      <c r="G2974" s="561">
        <v>168</v>
      </c>
      <c r="H2974" s="561">
        <v>230750.77899999998</v>
      </c>
      <c r="I2974" s="561">
        <v>11</v>
      </c>
      <c r="J2974" s="561">
        <v>14599.637999999999</v>
      </c>
      <c r="K2974" s="561">
        <v>165</v>
      </c>
      <c r="L2974" s="561">
        <v>228132.4</v>
      </c>
      <c r="M2974" s="561">
        <v>228132.4</v>
      </c>
      <c r="N2974" s="561">
        <v>76500</v>
      </c>
      <c r="O2974" s="561">
        <v>0</v>
      </c>
      <c r="P2974" s="561">
        <v>151632.4</v>
      </c>
      <c r="Q2974" s="561">
        <v>151632.4</v>
      </c>
    </row>
    <row r="2975" spans="1:50">
      <c r="C2975" s="561" t="s">
        <v>1199</v>
      </c>
      <c r="D2975" s="561">
        <v>0</v>
      </c>
      <c r="F2975" s="561">
        <v>0</v>
      </c>
      <c r="G2975" s="561">
        <v>0</v>
      </c>
      <c r="H2975" s="561">
        <v>0</v>
      </c>
      <c r="I2975" s="561">
        <v>0</v>
      </c>
      <c r="J2975" s="561">
        <v>0</v>
      </c>
      <c r="K2975" s="561">
        <v>0</v>
      </c>
      <c r="L2975" s="561">
        <v>0</v>
      </c>
      <c r="M2975" s="561">
        <v>0</v>
      </c>
      <c r="N2975" s="561">
        <v>0</v>
      </c>
      <c r="O2975" s="561">
        <v>0</v>
      </c>
      <c r="P2975" s="561">
        <v>0</v>
      </c>
      <c r="Q2975" s="561">
        <v>0</v>
      </c>
    </row>
    <row r="2976" spans="1:50">
      <c r="B2976" s="561" t="s">
        <v>1496</v>
      </c>
      <c r="C2976" s="561" t="s">
        <v>1202</v>
      </c>
      <c r="G2976" s="561">
        <v>0</v>
      </c>
      <c r="H2976" s="561">
        <v>0</v>
      </c>
      <c r="I2976" s="561">
        <v>0</v>
      </c>
      <c r="J2976" s="561">
        <v>0</v>
      </c>
      <c r="K2976" s="561">
        <v>0</v>
      </c>
      <c r="L2976" s="561">
        <v>0</v>
      </c>
      <c r="O2976" s="561">
        <v>0</v>
      </c>
    </row>
    <row r="2979" spans="1:111">
      <c r="A2979" s="561">
        <v>40</v>
      </c>
      <c r="B2979" s="561" t="s">
        <v>1535</v>
      </c>
      <c r="C2979" s="561" t="s">
        <v>1206</v>
      </c>
      <c r="D2979" s="561">
        <v>58046.008333333324</v>
      </c>
      <c r="E2979" s="561">
        <v>13813.800000000001</v>
      </c>
      <c r="F2979" s="561">
        <v>44232.208333333328</v>
      </c>
      <c r="G2979" s="561">
        <v>141</v>
      </c>
      <c r="H2979" s="561">
        <v>58232.406000000003</v>
      </c>
      <c r="I2979" s="561">
        <v>0</v>
      </c>
      <c r="J2979" s="561">
        <v>0</v>
      </c>
      <c r="K2979" s="561">
        <v>141</v>
      </c>
      <c r="L2979" s="561">
        <v>58046.008333333331</v>
      </c>
      <c r="M2979" s="561">
        <v>58046.008333333331</v>
      </c>
      <c r="N2979" s="561">
        <v>13813.8</v>
      </c>
      <c r="O2979" s="561">
        <v>0</v>
      </c>
      <c r="P2979" s="561">
        <v>44232.208333333328</v>
      </c>
      <c r="Q2979" s="561">
        <v>44232.208333333328</v>
      </c>
    </row>
    <row r="2980" spans="1:111">
      <c r="B2980" s="561" t="s">
        <v>1197</v>
      </c>
      <c r="C2980" s="561" t="s">
        <v>1197</v>
      </c>
      <c r="D2980" s="561">
        <v>0</v>
      </c>
      <c r="F2980" s="561">
        <v>0</v>
      </c>
      <c r="G2980" s="561">
        <v>0</v>
      </c>
      <c r="H2980" s="561">
        <v>0</v>
      </c>
      <c r="I2980" s="561">
        <v>0</v>
      </c>
      <c r="J2980" s="561">
        <v>0</v>
      </c>
      <c r="K2980" s="561">
        <v>0</v>
      </c>
      <c r="L2980" s="561">
        <v>0</v>
      </c>
      <c r="M2980" s="561">
        <v>0</v>
      </c>
      <c r="N2980" s="561">
        <v>0</v>
      </c>
      <c r="O2980" s="561">
        <v>0</v>
      </c>
      <c r="P2980" s="561">
        <v>0</v>
      </c>
      <c r="Q2980" s="561">
        <v>0</v>
      </c>
    </row>
    <row r="2981" spans="1:111">
      <c r="C2981" s="561" t="s">
        <v>1198</v>
      </c>
      <c r="D2981" s="561">
        <v>57167.893333333326</v>
      </c>
      <c r="E2981" s="561">
        <v>13564.2</v>
      </c>
      <c r="F2981" s="561">
        <v>43603.693333333329</v>
      </c>
      <c r="G2981" s="561">
        <v>72</v>
      </c>
      <c r="H2981" s="561">
        <v>57400.091</v>
      </c>
      <c r="I2981" s="561">
        <v>0</v>
      </c>
      <c r="J2981" s="561">
        <v>0</v>
      </c>
      <c r="K2981" s="561">
        <v>72</v>
      </c>
      <c r="L2981" s="561">
        <v>57213.693333333329</v>
      </c>
      <c r="M2981" s="561">
        <v>57213.693333333329</v>
      </c>
      <c r="N2981" s="561">
        <v>13610</v>
      </c>
      <c r="O2981" s="561">
        <v>0</v>
      </c>
      <c r="P2981" s="561">
        <v>43603.693333333329</v>
      </c>
      <c r="Q2981" s="561">
        <v>43603.693333333329</v>
      </c>
    </row>
    <row r="2982" spans="1:111">
      <c r="C2982" s="561" t="s">
        <v>1199</v>
      </c>
      <c r="D2982" s="561">
        <v>878.11500000000001</v>
      </c>
      <c r="E2982" s="561">
        <v>249.6</v>
      </c>
      <c r="F2982" s="561">
        <v>628.51499999999999</v>
      </c>
      <c r="G2982" s="561">
        <v>69</v>
      </c>
      <c r="H2982" s="561">
        <v>832.31500000000005</v>
      </c>
      <c r="I2982" s="561">
        <v>0</v>
      </c>
      <c r="J2982" s="561">
        <v>0</v>
      </c>
      <c r="K2982" s="561">
        <v>69</v>
      </c>
      <c r="L2982" s="561">
        <v>832.31500000000005</v>
      </c>
      <c r="M2982" s="561">
        <v>832.31500000000005</v>
      </c>
      <c r="N2982" s="561">
        <v>203.8</v>
      </c>
      <c r="O2982" s="561">
        <v>0</v>
      </c>
      <c r="P2982" s="561">
        <v>628.51499999999999</v>
      </c>
      <c r="Q2982" s="561">
        <v>628.51499999999999</v>
      </c>
    </row>
    <row r="2983" spans="1:111">
      <c r="B2983" s="561" t="s">
        <v>1496</v>
      </c>
      <c r="C2983" s="561" t="s">
        <v>1202</v>
      </c>
      <c r="G2983" s="561">
        <v>0</v>
      </c>
      <c r="H2983" s="561">
        <v>0</v>
      </c>
      <c r="I2983" s="561">
        <v>0</v>
      </c>
      <c r="J2983" s="561">
        <v>0</v>
      </c>
      <c r="K2983" s="561">
        <v>0</v>
      </c>
      <c r="L2983" s="561">
        <v>0</v>
      </c>
      <c r="O2983" s="561">
        <v>0</v>
      </c>
    </row>
    <row r="2986" spans="1:111">
      <c r="A2986" s="561">
        <v>41</v>
      </c>
      <c r="B2986" s="561" t="s">
        <v>1536</v>
      </c>
      <c r="C2986" s="561" t="s">
        <v>1206</v>
      </c>
      <c r="D2986" s="561">
        <v>11400.001000000002</v>
      </c>
      <c r="E2986" s="561">
        <v>3420</v>
      </c>
      <c r="F2986" s="561">
        <v>7980.001000000002</v>
      </c>
      <c r="G2986" s="561">
        <v>547</v>
      </c>
      <c r="H2986" s="561">
        <v>11520.773999999999</v>
      </c>
      <c r="I2986" s="561">
        <v>20</v>
      </c>
      <c r="J2986" s="561">
        <v>116.467</v>
      </c>
      <c r="K2986" s="561">
        <v>547</v>
      </c>
      <c r="L2986" s="561">
        <v>11400.001000000002</v>
      </c>
      <c r="M2986" s="561">
        <v>11400.001000000002</v>
      </c>
      <c r="N2986" s="561">
        <v>3420</v>
      </c>
      <c r="O2986" s="561">
        <v>0</v>
      </c>
      <c r="P2986" s="561">
        <v>7980.001000000002</v>
      </c>
      <c r="Q2986" s="561">
        <v>7980.0010000000011</v>
      </c>
    </row>
    <row r="2987" spans="1:111">
      <c r="C2987" s="561" t="s">
        <v>1197</v>
      </c>
      <c r="D2987" s="561">
        <v>0</v>
      </c>
      <c r="F2987" s="561">
        <v>0</v>
      </c>
      <c r="G2987" s="561">
        <v>0</v>
      </c>
      <c r="H2987" s="561">
        <v>0</v>
      </c>
      <c r="I2987" s="561">
        <v>0</v>
      </c>
      <c r="J2987" s="561">
        <v>0</v>
      </c>
      <c r="K2987" s="561">
        <v>0</v>
      </c>
      <c r="L2987" s="561">
        <v>0</v>
      </c>
      <c r="M2987" s="561">
        <v>0</v>
      </c>
      <c r="N2987" s="561">
        <v>0</v>
      </c>
      <c r="O2987" s="561">
        <v>0</v>
      </c>
      <c r="P2987" s="561">
        <v>0</v>
      </c>
      <c r="Q2987" s="561">
        <v>0</v>
      </c>
    </row>
    <row r="2988" spans="1:111">
      <c r="C2988" s="561" t="s">
        <v>1198</v>
      </c>
      <c r="D2988" s="561">
        <v>0</v>
      </c>
      <c r="F2988" s="561">
        <v>0</v>
      </c>
      <c r="G2988" s="561">
        <v>0</v>
      </c>
      <c r="H2988" s="561">
        <v>0</v>
      </c>
      <c r="I2988" s="561">
        <v>0</v>
      </c>
      <c r="J2988" s="561">
        <v>0</v>
      </c>
      <c r="K2988" s="561">
        <v>0</v>
      </c>
      <c r="L2988" s="561">
        <v>0</v>
      </c>
      <c r="M2988" s="561">
        <v>0</v>
      </c>
      <c r="N2988" s="561">
        <v>0</v>
      </c>
      <c r="O2988" s="561">
        <v>0</v>
      </c>
      <c r="P2988" s="561">
        <v>0</v>
      </c>
      <c r="Q2988" s="561">
        <v>0</v>
      </c>
    </row>
    <row r="2989" spans="1:111">
      <c r="C2989" s="561" t="s">
        <v>1199</v>
      </c>
      <c r="D2989" s="561">
        <v>11400.001000000002</v>
      </c>
      <c r="E2989" s="561">
        <v>3420</v>
      </c>
      <c r="F2989" s="561">
        <v>7980.001000000002</v>
      </c>
      <c r="G2989" s="561">
        <v>547</v>
      </c>
      <c r="H2989" s="561">
        <v>11520.773999999999</v>
      </c>
      <c r="I2989" s="561">
        <v>20</v>
      </c>
      <c r="J2989" s="561">
        <v>116.467</v>
      </c>
      <c r="K2989" s="561">
        <v>547</v>
      </c>
      <c r="L2989" s="561">
        <v>11400.001000000002</v>
      </c>
      <c r="M2989" s="561">
        <v>11400.001000000002</v>
      </c>
      <c r="N2989" s="561">
        <v>3420</v>
      </c>
      <c r="O2989" s="561">
        <v>0</v>
      </c>
      <c r="P2989" s="561">
        <v>7980.001000000002</v>
      </c>
      <c r="Q2989" s="561">
        <v>7980.0010000000011</v>
      </c>
    </row>
    <row r="2990" spans="1:111">
      <c r="B2990" s="561" t="s">
        <v>1496</v>
      </c>
      <c r="C2990" s="561" t="s">
        <v>1202</v>
      </c>
      <c r="O2990" s="561">
        <v>0</v>
      </c>
    </row>
    <row r="2991" spans="1:111">
      <c r="A2991" s="1735" t="s">
        <v>1198</v>
      </c>
      <c r="B2991" s="1735"/>
      <c r="C2991" s="1735"/>
      <c r="D2991" s="1735"/>
      <c r="E2991" s="1735"/>
      <c r="F2991" s="1735"/>
      <c r="G2991" s="1735"/>
      <c r="H2991" s="1735"/>
      <c r="I2991" s="1735"/>
      <c r="J2991" s="1735"/>
      <c r="K2991" s="1735"/>
      <c r="L2991" s="1735"/>
      <c r="M2991" s="1735"/>
      <c r="N2991" s="1735"/>
      <c r="O2991" s="1735"/>
      <c r="P2991" s="1735"/>
      <c r="AL2991" s="561">
        <f>SUM(AL2992:AL3275)</f>
        <v>509217.96366666665</v>
      </c>
      <c r="AM2991" s="561">
        <f t="shared" ref="AM2991:CX2991" si="104">SUM(AM2992:AM3275)</f>
        <v>0</v>
      </c>
      <c r="AN2991" s="561">
        <f t="shared" si="104"/>
        <v>0</v>
      </c>
      <c r="AO2991" s="561">
        <f t="shared" si="104"/>
        <v>0</v>
      </c>
      <c r="AP2991" s="561">
        <f t="shared" si="104"/>
        <v>0</v>
      </c>
      <c r="AQ2991" s="561">
        <f t="shared" si="104"/>
        <v>0</v>
      </c>
      <c r="AR2991" s="561">
        <f t="shared" si="104"/>
        <v>0</v>
      </c>
      <c r="AS2991" s="561">
        <f t="shared" si="104"/>
        <v>0</v>
      </c>
      <c r="AT2991" s="561">
        <f t="shared" si="104"/>
        <v>0</v>
      </c>
      <c r="AU2991" s="561">
        <f t="shared" si="104"/>
        <v>0</v>
      </c>
      <c r="AV2991" s="561">
        <f t="shared" si="104"/>
        <v>0</v>
      </c>
      <c r="AW2991" s="561">
        <f t="shared" si="104"/>
        <v>0</v>
      </c>
      <c r="AX2991" s="561">
        <f t="shared" si="104"/>
        <v>151632.4</v>
      </c>
      <c r="AY2991" s="561">
        <f t="shared" si="104"/>
        <v>0</v>
      </c>
      <c r="AZ2991" s="561">
        <f t="shared" si="104"/>
        <v>0</v>
      </c>
      <c r="BA2991" s="561">
        <f t="shared" si="104"/>
        <v>0</v>
      </c>
      <c r="BB2991" s="561">
        <f t="shared" si="104"/>
        <v>0</v>
      </c>
      <c r="BC2991" s="561">
        <f t="shared" si="104"/>
        <v>0</v>
      </c>
      <c r="BD2991" s="561">
        <f t="shared" si="104"/>
        <v>0</v>
      </c>
      <c r="BE2991" s="561">
        <f t="shared" si="104"/>
        <v>0</v>
      </c>
      <c r="BF2991" s="561">
        <f t="shared" si="104"/>
        <v>0</v>
      </c>
      <c r="BG2991" s="561">
        <f t="shared" si="104"/>
        <v>0</v>
      </c>
      <c r="BH2991" s="561">
        <f t="shared" si="104"/>
        <v>0</v>
      </c>
      <c r="BI2991" s="561">
        <f t="shared" si="104"/>
        <v>0</v>
      </c>
      <c r="BJ2991" s="561">
        <f t="shared" si="104"/>
        <v>0</v>
      </c>
      <c r="BK2991" s="561">
        <f t="shared" si="104"/>
        <v>0</v>
      </c>
      <c r="BL2991" s="561">
        <f t="shared" si="104"/>
        <v>0</v>
      </c>
      <c r="BM2991" s="561">
        <f t="shared" si="104"/>
        <v>0</v>
      </c>
      <c r="BN2991" s="561">
        <f t="shared" si="104"/>
        <v>0</v>
      </c>
      <c r="BO2991" s="561">
        <f t="shared" si="104"/>
        <v>0</v>
      </c>
      <c r="BP2991" s="561">
        <f t="shared" si="104"/>
        <v>0</v>
      </c>
      <c r="BQ2991" s="561">
        <f t="shared" si="104"/>
        <v>0</v>
      </c>
      <c r="BR2991" s="561">
        <f t="shared" si="104"/>
        <v>0</v>
      </c>
      <c r="BS2991" s="561">
        <f t="shared" si="104"/>
        <v>0</v>
      </c>
      <c r="BT2991" s="561">
        <f t="shared" si="104"/>
        <v>0</v>
      </c>
      <c r="BU2991" s="561">
        <f t="shared" si="104"/>
        <v>0</v>
      </c>
      <c r="BV2991" s="561">
        <f t="shared" si="104"/>
        <v>0</v>
      </c>
      <c r="BW2991" s="561">
        <f t="shared" si="104"/>
        <v>0</v>
      </c>
      <c r="BX2991" s="561">
        <f t="shared" si="104"/>
        <v>0</v>
      </c>
      <c r="BY2991" s="561">
        <f t="shared" si="104"/>
        <v>0</v>
      </c>
      <c r="BZ2991" s="561">
        <f t="shared" si="104"/>
        <v>0</v>
      </c>
      <c r="CA2991" s="561">
        <f t="shared" si="104"/>
        <v>0</v>
      </c>
      <c r="CB2991" s="561">
        <f t="shared" si="104"/>
        <v>0</v>
      </c>
      <c r="CC2991" s="561">
        <f t="shared" si="104"/>
        <v>0</v>
      </c>
      <c r="CD2991" s="561">
        <f t="shared" si="104"/>
        <v>0</v>
      </c>
      <c r="CE2991" s="561">
        <f t="shared" si="104"/>
        <v>0</v>
      </c>
      <c r="CF2991" s="561">
        <f t="shared" si="104"/>
        <v>0</v>
      </c>
      <c r="CG2991" s="561">
        <f t="shared" si="104"/>
        <v>0</v>
      </c>
      <c r="CH2991" s="561">
        <f t="shared" si="104"/>
        <v>0</v>
      </c>
      <c r="CI2991" s="561">
        <f t="shared" si="104"/>
        <v>0</v>
      </c>
      <c r="CJ2991" s="561">
        <f t="shared" si="104"/>
        <v>0</v>
      </c>
      <c r="CK2991" s="561">
        <f t="shared" si="104"/>
        <v>0</v>
      </c>
      <c r="CL2991" s="561">
        <f t="shared" si="104"/>
        <v>0</v>
      </c>
      <c r="CM2991" s="561">
        <f t="shared" si="104"/>
        <v>0</v>
      </c>
      <c r="CN2991" s="561">
        <f t="shared" si="104"/>
        <v>0</v>
      </c>
      <c r="CO2991" s="561">
        <f t="shared" si="104"/>
        <v>0</v>
      </c>
      <c r="CP2991" s="561">
        <f t="shared" si="104"/>
        <v>0</v>
      </c>
      <c r="CQ2991" s="561">
        <f t="shared" si="104"/>
        <v>0</v>
      </c>
      <c r="CR2991" s="561">
        <f t="shared" si="104"/>
        <v>0</v>
      </c>
      <c r="CS2991" s="561">
        <f t="shared" si="104"/>
        <v>0</v>
      </c>
      <c r="CT2991" s="561">
        <f t="shared" si="104"/>
        <v>0</v>
      </c>
      <c r="CU2991" s="561">
        <f t="shared" si="104"/>
        <v>0</v>
      </c>
      <c r="CV2991" s="561">
        <f t="shared" si="104"/>
        <v>0</v>
      </c>
      <c r="CW2991" s="561">
        <f t="shared" si="104"/>
        <v>0</v>
      </c>
      <c r="CX2991" s="561">
        <f t="shared" si="104"/>
        <v>0</v>
      </c>
      <c r="CY2991" s="561">
        <f t="shared" ref="CY2991:DG2991" si="105">SUM(CY2992:CY3275)</f>
        <v>0</v>
      </c>
      <c r="CZ2991" s="561">
        <f t="shared" si="105"/>
        <v>0</v>
      </c>
      <c r="DA2991" s="561">
        <f t="shared" si="105"/>
        <v>0</v>
      </c>
      <c r="DB2991" s="561">
        <f t="shared" si="105"/>
        <v>0</v>
      </c>
      <c r="DC2991" s="561">
        <f t="shared" si="105"/>
        <v>0</v>
      </c>
      <c r="DD2991" s="561">
        <f t="shared" si="105"/>
        <v>0</v>
      </c>
      <c r="DE2991" s="561">
        <f t="shared" si="105"/>
        <v>0</v>
      </c>
      <c r="DF2991" s="561">
        <f t="shared" si="105"/>
        <v>0</v>
      </c>
      <c r="DG2991" s="561">
        <f t="shared" si="105"/>
        <v>0</v>
      </c>
    </row>
    <row r="2992" spans="1:111">
      <c r="A2992" s="561">
        <v>1</v>
      </c>
      <c r="B2992" s="561" t="s">
        <v>1495</v>
      </c>
      <c r="C2992" s="561" t="s">
        <v>1206</v>
      </c>
      <c r="D2992" s="561">
        <v>1572035.99</v>
      </c>
      <c r="E2992" s="561">
        <v>396583.2</v>
      </c>
      <c r="F2992" s="561">
        <v>1175452.79</v>
      </c>
      <c r="G2992" s="561">
        <v>12670</v>
      </c>
      <c r="H2992" s="561">
        <v>1632479.71</v>
      </c>
      <c r="I2992" s="561">
        <v>1018</v>
      </c>
      <c r="J2992" s="561">
        <v>58037.641000000011</v>
      </c>
      <c r="K2992" s="561">
        <v>12579</v>
      </c>
      <c r="L2992" s="561">
        <v>1572035.9897777776</v>
      </c>
      <c r="M2992" s="561">
        <v>1572035.9897777776</v>
      </c>
      <c r="N2992" s="561">
        <v>396583.19977777771</v>
      </c>
      <c r="O2992" s="561">
        <v>0</v>
      </c>
      <c r="P2992" s="561">
        <v>1175452.79</v>
      </c>
    </row>
    <row r="2993" spans="1:38">
      <c r="C2993" s="561" t="s">
        <v>1197</v>
      </c>
      <c r="D2993" s="561">
        <v>1094329.0559999999</v>
      </c>
      <c r="E2993" s="561">
        <v>279064.8</v>
      </c>
      <c r="F2993" s="561">
        <v>815264.25599999994</v>
      </c>
      <c r="G2993" s="561">
        <v>11766</v>
      </c>
      <c r="H2993" s="561">
        <v>1168692.023</v>
      </c>
      <c r="I2993" s="561">
        <v>997</v>
      </c>
      <c r="J2993" s="561">
        <v>54599.741000000009</v>
      </c>
      <c r="K2993" s="561">
        <v>11678</v>
      </c>
      <c r="L2993" s="561">
        <v>1111489.078</v>
      </c>
      <c r="M2993" s="561">
        <v>1111489.078</v>
      </c>
      <c r="N2993" s="561">
        <v>296224.82199999999</v>
      </c>
      <c r="O2993" s="561">
        <v>0</v>
      </c>
    </row>
    <row r="2994" spans="1:38">
      <c r="C2994" s="561" t="s">
        <v>1198</v>
      </c>
      <c r="D2994" s="561">
        <v>469134.64</v>
      </c>
      <c r="E2994" s="561">
        <v>115466.4</v>
      </c>
      <c r="F2994" s="561">
        <v>353668.24</v>
      </c>
      <c r="G2994" s="561">
        <v>352</v>
      </c>
      <c r="H2994" s="561">
        <v>455843.35799999995</v>
      </c>
      <c r="I2994" s="561">
        <v>18</v>
      </c>
      <c r="J2994" s="561">
        <v>0</v>
      </c>
      <c r="K2994" s="561">
        <v>349</v>
      </c>
      <c r="L2994" s="561">
        <v>452640.61777777772</v>
      </c>
      <c r="M2994" s="561">
        <v>452640.61777777772</v>
      </c>
      <c r="N2994" s="561">
        <v>98972.377777777729</v>
      </c>
      <c r="O2994" s="561">
        <v>0</v>
      </c>
      <c r="AL2994" s="561">
        <v>353668.24</v>
      </c>
    </row>
    <row r="2995" spans="1:38">
      <c r="C2995" s="561" t="s">
        <v>1199</v>
      </c>
      <c r="D2995" s="561">
        <v>8572.2939999999999</v>
      </c>
      <c r="E2995" s="561">
        <v>2052</v>
      </c>
      <c r="F2995" s="561">
        <v>6520.2939999999999</v>
      </c>
      <c r="G2995" s="561">
        <v>552</v>
      </c>
      <c r="H2995" s="561">
        <v>7944.3289999999997</v>
      </c>
      <c r="I2995" s="561">
        <v>3</v>
      </c>
      <c r="J2995" s="561">
        <v>3437.9</v>
      </c>
      <c r="K2995" s="561">
        <v>552</v>
      </c>
      <c r="L2995" s="561">
        <v>7906.2939999999999</v>
      </c>
      <c r="M2995" s="561">
        <v>7906.2939999999999</v>
      </c>
      <c r="N2995" s="561">
        <v>1386</v>
      </c>
      <c r="O2995" s="561">
        <v>0</v>
      </c>
      <c r="P2995" s="561">
        <v>6520.2939999999999</v>
      </c>
    </row>
    <row r="2996" spans="1:38">
      <c r="B2996" s="561" t="s">
        <v>1496</v>
      </c>
      <c r="C2996" s="561" t="s">
        <v>1202</v>
      </c>
      <c r="G2996" s="561">
        <v>0</v>
      </c>
      <c r="H2996" s="561">
        <v>0</v>
      </c>
      <c r="I2996" s="561">
        <v>0</v>
      </c>
      <c r="J2996" s="561">
        <v>0</v>
      </c>
      <c r="K2996" s="561">
        <v>0</v>
      </c>
      <c r="L2996" s="561">
        <v>0</v>
      </c>
      <c r="O2996" s="561">
        <v>0</v>
      </c>
    </row>
    <row r="2999" spans="1:38">
      <c r="A2999" s="561">
        <v>2</v>
      </c>
      <c r="B2999" s="561" t="s">
        <v>1497</v>
      </c>
      <c r="C2999" s="561" t="s">
        <v>1206</v>
      </c>
      <c r="D2999" s="561">
        <v>464999.96899999992</v>
      </c>
      <c r="E2999" s="561">
        <v>131400</v>
      </c>
      <c r="F2999" s="561">
        <v>333599.96899999992</v>
      </c>
      <c r="G2999" s="561">
        <v>6879</v>
      </c>
      <c r="H2999" s="561">
        <v>470861.96799999994</v>
      </c>
      <c r="I2999" s="561">
        <v>173</v>
      </c>
      <c r="J2999" s="561">
        <v>7781.62</v>
      </c>
      <c r="K2999" s="561">
        <v>6868</v>
      </c>
      <c r="L2999" s="561">
        <v>464999.96900000004</v>
      </c>
      <c r="M2999" s="561">
        <v>464999.96899999992</v>
      </c>
      <c r="N2999" s="561">
        <v>131400</v>
      </c>
      <c r="O2999" s="561">
        <v>0</v>
      </c>
      <c r="P2999" s="561">
        <v>333599.96899999992</v>
      </c>
    </row>
    <row r="3000" spans="1:38">
      <c r="C3000" s="561" t="s">
        <v>1197</v>
      </c>
      <c r="D3000" s="561">
        <v>464999.96899999992</v>
      </c>
      <c r="E3000" s="561">
        <v>131400</v>
      </c>
      <c r="F3000" s="561">
        <v>333599.96899999992</v>
      </c>
      <c r="G3000" s="561">
        <v>6879</v>
      </c>
      <c r="H3000" s="561">
        <v>470861.96799999994</v>
      </c>
      <c r="I3000" s="561">
        <v>173</v>
      </c>
      <c r="J3000" s="561">
        <v>7781.62</v>
      </c>
      <c r="K3000" s="561">
        <v>6868</v>
      </c>
      <c r="L3000" s="561">
        <v>464999.96900000004</v>
      </c>
      <c r="M3000" s="561">
        <v>464999.96899999992</v>
      </c>
      <c r="N3000" s="561">
        <v>131400</v>
      </c>
      <c r="O3000" s="561">
        <v>0</v>
      </c>
    </row>
    <row r="3001" spans="1:38">
      <c r="C3001" s="561" t="s">
        <v>1198</v>
      </c>
      <c r="D3001" s="561">
        <v>0</v>
      </c>
      <c r="F3001" s="561">
        <v>0</v>
      </c>
      <c r="G3001" s="561">
        <v>0</v>
      </c>
      <c r="H3001" s="561">
        <v>0</v>
      </c>
      <c r="I3001" s="561">
        <v>0</v>
      </c>
      <c r="J3001" s="561">
        <v>0</v>
      </c>
      <c r="K3001" s="561">
        <v>0</v>
      </c>
      <c r="L3001" s="561">
        <v>0</v>
      </c>
      <c r="M3001" s="561">
        <v>0</v>
      </c>
      <c r="N3001" s="561">
        <v>0</v>
      </c>
      <c r="O3001" s="561">
        <v>0</v>
      </c>
      <c r="P3001" s="561">
        <v>0</v>
      </c>
    </row>
    <row r="3002" spans="1:38">
      <c r="C3002" s="561" t="s">
        <v>1199</v>
      </c>
      <c r="D3002" s="561">
        <v>0</v>
      </c>
      <c r="F3002" s="561">
        <v>0</v>
      </c>
      <c r="G3002" s="561">
        <v>0</v>
      </c>
      <c r="H3002" s="561">
        <v>0</v>
      </c>
      <c r="I3002" s="561">
        <v>0</v>
      </c>
      <c r="J3002" s="561">
        <v>0</v>
      </c>
      <c r="K3002" s="561">
        <v>0</v>
      </c>
      <c r="L3002" s="561">
        <v>0</v>
      </c>
      <c r="M3002" s="561">
        <v>0</v>
      </c>
      <c r="N3002" s="561">
        <v>0</v>
      </c>
      <c r="O3002" s="561">
        <v>0</v>
      </c>
      <c r="P3002" s="561">
        <v>0</v>
      </c>
    </row>
    <row r="3003" spans="1:38">
      <c r="B3003" s="561" t="s">
        <v>1496</v>
      </c>
      <c r="C3003" s="561" t="s">
        <v>1202</v>
      </c>
      <c r="G3003" s="561">
        <v>0</v>
      </c>
      <c r="H3003" s="561">
        <v>0</v>
      </c>
      <c r="I3003" s="561">
        <v>0</v>
      </c>
      <c r="J3003" s="561">
        <v>0</v>
      </c>
      <c r="K3003" s="561">
        <v>0</v>
      </c>
      <c r="L3003" s="561">
        <v>0</v>
      </c>
      <c r="O3003" s="561">
        <v>0</v>
      </c>
    </row>
    <row r="3006" spans="1:38">
      <c r="A3006" s="561">
        <v>3</v>
      </c>
      <c r="B3006" s="561" t="s">
        <v>1498</v>
      </c>
      <c r="C3006" s="561" t="s">
        <v>1206</v>
      </c>
      <c r="D3006" s="561">
        <v>187181.965</v>
      </c>
      <c r="E3006" s="561">
        <v>54054.6</v>
      </c>
      <c r="F3006" s="561">
        <v>133127.36499999999</v>
      </c>
      <c r="G3006" s="561">
        <v>2847</v>
      </c>
      <c r="H3006" s="561">
        <v>187636.05299999999</v>
      </c>
      <c r="I3006" s="561">
        <v>43</v>
      </c>
      <c r="J3006" s="561">
        <v>445.72400000000005</v>
      </c>
      <c r="K3006" s="561">
        <v>2847</v>
      </c>
      <c r="L3006" s="561">
        <v>187181.965</v>
      </c>
      <c r="M3006" s="561">
        <v>187181.965</v>
      </c>
      <c r="N3006" s="561">
        <v>54054.6</v>
      </c>
      <c r="O3006" s="561">
        <v>0</v>
      </c>
      <c r="P3006" s="561">
        <v>133127.36499999999</v>
      </c>
    </row>
    <row r="3007" spans="1:38">
      <c r="C3007" s="561" t="s">
        <v>1197</v>
      </c>
      <c r="D3007" s="561">
        <v>156106.95699999999</v>
      </c>
      <c r="E3007" s="561">
        <v>52344.6</v>
      </c>
      <c r="F3007" s="561">
        <v>103762.35699999999</v>
      </c>
      <c r="G3007" s="561">
        <v>2043</v>
      </c>
      <c r="H3007" s="561">
        <v>153563.86499999999</v>
      </c>
      <c r="I3007" s="561">
        <v>37</v>
      </c>
      <c r="J3007" s="561">
        <v>369.84800000000001</v>
      </c>
      <c r="K3007" s="561">
        <v>2043</v>
      </c>
      <c r="L3007" s="561">
        <v>153185.557</v>
      </c>
      <c r="M3007" s="561">
        <v>153185.557</v>
      </c>
      <c r="N3007" s="561">
        <v>49423.199999999997</v>
      </c>
      <c r="O3007" s="561">
        <v>0</v>
      </c>
    </row>
    <row r="3008" spans="1:38">
      <c r="C3008" s="561" t="s">
        <v>1198</v>
      </c>
      <c r="D3008" s="561">
        <v>0</v>
      </c>
      <c r="F3008" s="561">
        <v>0</v>
      </c>
      <c r="G3008" s="561">
        <v>0</v>
      </c>
      <c r="H3008" s="561">
        <v>0</v>
      </c>
      <c r="I3008" s="561">
        <v>0</v>
      </c>
      <c r="J3008" s="561">
        <v>0</v>
      </c>
      <c r="K3008" s="561">
        <v>0</v>
      </c>
      <c r="L3008" s="561">
        <v>0</v>
      </c>
      <c r="M3008" s="561">
        <v>0</v>
      </c>
      <c r="N3008" s="561">
        <v>0</v>
      </c>
      <c r="O3008" s="561">
        <v>0</v>
      </c>
      <c r="P3008" s="561">
        <v>0</v>
      </c>
    </row>
    <row r="3009" spans="1:16">
      <c r="C3009" s="561" t="s">
        <v>1199</v>
      </c>
      <c r="D3009" s="561">
        <v>31075.008000000002</v>
      </c>
      <c r="E3009" s="561">
        <v>1710</v>
      </c>
      <c r="F3009" s="561">
        <v>29365.008000000002</v>
      </c>
      <c r="G3009" s="561">
        <v>804</v>
      </c>
      <c r="H3009" s="561">
        <v>34072.188000000002</v>
      </c>
      <c r="I3009" s="561">
        <v>6</v>
      </c>
      <c r="J3009" s="561">
        <v>75.876000000000005</v>
      </c>
      <c r="K3009" s="561">
        <v>804</v>
      </c>
      <c r="L3009" s="561">
        <v>33996.408000000003</v>
      </c>
      <c r="M3009" s="561">
        <v>33996.408000000003</v>
      </c>
      <c r="N3009" s="561">
        <v>4631.3999999999996</v>
      </c>
      <c r="O3009" s="561">
        <v>0</v>
      </c>
      <c r="P3009" s="561">
        <v>29365.008000000002</v>
      </c>
    </row>
    <row r="3010" spans="1:16">
      <c r="B3010" s="561" t="s">
        <v>1496</v>
      </c>
      <c r="C3010" s="561" t="s">
        <v>1202</v>
      </c>
      <c r="G3010" s="561">
        <v>0</v>
      </c>
      <c r="H3010" s="561">
        <v>0</v>
      </c>
      <c r="I3010" s="561">
        <v>0</v>
      </c>
      <c r="J3010" s="561">
        <v>0</v>
      </c>
      <c r="K3010" s="561">
        <v>0</v>
      </c>
      <c r="L3010" s="561">
        <v>0</v>
      </c>
      <c r="O3010" s="561">
        <v>0</v>
      </c>
    </row>
    <row r="3013" spans="1:16">
      <c r="A3013" s="561">
        <v>4</v>
      </c>
      <c r="B3013" s="561" t="s">
        <v>1499</v>
      </c>
      <c r="C3013" s="561" t="s">
        <v>1206</v>
      </c>
      <c r="D3013" s="561">
        <v>640999.98499999999</v>
      </c>
      <c r="E3013" s="561">
        <v>190200</v>
      </c>
      <c r="F3013" s="561">
        <v>450799.98499999993</v>
      </c>
      <c r="G3013" s="561">
        <v>9675</v>
      </c>
      <c r="H3013" s="561">
        <v>665102.74300000002</v>
      </c>
      <c r="I3013" s="561">
        <v>1054</v>
      </c>
      <c r="J3013" s="561">
        <v>30176.331999999995</v>
      </c>
      <c r="K3013" s="561">
        <v>9607</v>
      </c>
      <c r="L3013" s="561">
        <v>640999.98499999999</v>
      </c>
      <c r="M3013" s="561">
        <v>640999.98499999999</v>
      </c>
      <c r="N3013" s="561">
        <v>190200</v>
      </c>
      <c r="O3013" s="561">
        <v>0</v>
      </c>
      <c r="P3013" s="561">
        <v>450799.98499999993</v>
      </c>
    </row>
    <row r="3014" spans="1:16">
      <c r="C3014" s="561" t="s">
        <v>1197</v>
      </c>
      <c r="D3014" s="561">
        <v>640339.71199999994</v>
      </c>
      <c r="E3014" s="561">
        <v>190200</v>
      </c>
      <c r="F3014" s="561">
        <v>450139.71199999994</v>
      </c>
      <c r="G3014" s="561">
        <v>9623</v>
      </c>
      <c r="H3014" s="561">
        <v>664438.58799999999</v>
      </c>
      <c r="I3014" s="561">
        <v>1053</v>
      </c>
      <c r="J3014" s="561">
        <v>26294.331999999995</v>
      </c>
      <c r="K3014" s="561">
        <v>9555</v>
      </c>
      <c r="L3014" s="561">
        <v>640339.71199999994</v>
      </c>
      <c r="M3014" s="561">
        <v>640339.71199999994</v>
      </c>
      <c r="N3014" s="561">
        <v>190200</v>
      </c>
      <c r="O3014" s="561">
        <v>0</v>
      </c>
    </row>
    <row r="3015" spans="1:16">
      <c r="C3015" s="561" t="s">
        <v>1198</v>
      </c>
      <c r="D3015" s="561">
        <v>0</v>
      </c>
      <c r="F3015" s="561">
        <v>0</v>
      </c>
      <c r="G3015" s="561">
        <v>0</v>
      </c>
      <c r="H3015" s="561">
        <v>0</v>
      </c>
      <c r="I3015" s="561">
        <v>0</v>
      </c>
      <c r="J3015" s="561">
        <v>0</v>
      </c>
      <c r="K3015" s="561">
        <v>0</v>
      </c>
      <c r="L3015" s="561">
        <v>0</v>
      </c>
      <c r="M3015" s="561">
        <v>0</v>
      </c>
      <c r="N3015" s="561">
        <v>0</v>
      </c>
      <c r="O3015" s="561">
        <v>0</v>
      </c>
      <c r="P3015" s="561">
        <v>0</v>
      </c>
    </row>
    <row r="3016" spans="1:16">
      <c r="C3016" s="561" t="s">
        <v>1199</v>
      </c>
      <c r="D3016" s="561">
        <v>660.27300000000002</v>
      </c>
      <c r="F3016" s="561">
        <v>660.27300000000002</v>
      </c>
      <c r="G3016" s="561">
        <v>52</v>
      </c>
      <c r="H3016" s="561">
        <v>664.15499999999997</v>
      </c>
      <c r="I3016" s="561">
        <v>1</v>
      </c>
      <c r="J3016" s="561">
        <v>3882</v>
      </c>
      <c r="K3016" s="561">
        <v>52</v>
      </c>
      <c r="L3016" s="561">
        <v>660.27300000000002</v>
      </c>
      <c r="M3016" s="561">
        <v>660.27300000000002</v>
      </c>
      <c r="N3016" s="561">
        <v>0</v>
      </c>
      <c r="O3016" s="561">
        <v>0</v>
      </c>
      <c r="P3016" s="561">
        <v>660.27300000000002</v>
      </c>
    </row>
    <row r="3017" spans="1:16">
      <c r="B3017" s="561" t="s">
        <v>1496</v>
      </c>
      <c r="C3017" s="561" t="s">
        <v>1202</v>
      </c>
      <c r="G3017" s="561">
        <v>0</v>
      </c>
      <c r="H3017" s="561">
        <v>0</v>
      </c>
      <c r="I3017" s="561">
        <v>0</v>
      </c>
      <c r="J3017" s="561">
        <v>0</v>
      </c>
      <c r="K3017" s="561">
        <v>0</v>
      </c>
      <c r="L3017" s="561">
        <v>0</v>
      </c>
      <c r="O3017" s="561">
        <v>0</v>
      </c>
    </row>
    <row r="3020" spans="1:16">
      <c r="A3020" s="561">
        <v>5</v>
      </c>
      <c r="B3020" s="561" t="s">
        <v>1500</v>
      </c>
      <c r="C3020" s="561" t="s">
        <v>1206</v>
      </c>
      <c r="D3020" s="561">
        <v>131215.97500000001</v>
      </c>
      <c r="E3020" s="561">
        <v>39364.799999999996</v>
      </c>
      <c r="F3020" s="561">
        <v>91851.175000000003</v>
      </c>
      <c r="G3020" s="561">
        <v>3508</v>
      </c>
      <c r="H3020" s="561">
        <v>132168.09100000001</v>
      </c>
      <c r="I3020" s="561">
        <v>58</v>
      </c>
      <c r="J3020" s="561">
        <v>946.56500000000005</v>
      </c>
      <c r="K3020" s="561">
        <v>3507</v>
      </c>
      <c r="L3020" s="561">
        <v>131215.97500000001</v>
      </c>
      <c r="M3020" s="561">
        <v>131215.97500000001</v>
      </c>
      <c r="N3020" s="561">
        <v>39364.800000000003</v>
      </c>
      <c r="O3020" s="561">
        <v>0</v>
      </c>
      <c r="P3020" s="561">
        <v>91851.175000000003</v>
      </c>
    </row>
    <row r="3021" spans="1:16">
      <c r="C3021" s="561" t="s">
        <v>1197</v>
      </c>
      <c r="D3021" s="561">
        <v>104296.609</v>
      </c>
      <c r="E3021" s="561">
        <v>33277.199999999997</v>
      </c>
      <c r="F3021" s="561">
        <v>71019.409</v>
      </c>
      <c r="G3021" s="561">
        <v>1610</v>
      </c>
      <c r="H3021" s="561">
        <v>105926.20600000002</v>
      </c>
      <c r="I3021" s="561">
        <v>58</v>
      </c>
      <c r="J3021" s="561">
        <v>946.56500000000005</v>
      </c>
      <c r="K3021" s="561">
        <v>1609</v>
      </c>
      <c r="L3021" s="561">
        <v>104973.80899999999</v>
      </c>
      <c r="M3021" s="561">
        <v>104973.80899999999</v>
      </c>
      <c r="N3021" s="561">
        <v>33954.400000000001</v>
      </c>
      <c r="O3021" s="561">
        <v>0</v>
      </c>
    </row>
    <row r="3022" spans="1:16">
      <c r="C3022" s="561" t="s">
        <v>1198</v>
      </c>
      <c r="D3022" s="561">
        <v>0</v>
      </c>
      <c r="F3022" s="561">
        <v>0</v>
      </c>
      <c r="G3022" s="561">
        <v>0</v>
      </c>
      <c r="H3022" s="561">
        <v>0</v>
      </c>
      <c r="I3022" s="561">
        <v>0</v>
      </c>
      <c r="J3022" s="561">
        <v>0</v>
      </c>
      <c r="K3022" s="561">
        <v>0</v>
      </c>
      <c r="L3022" s="561">
        <v>0</v>
      </c>
      <c r="M3022" s="561">
        <v>0</v>
      </c>
      <c r="N3022" s="561">
        <v>0</v>
      </c>
      <c r="O3022" s="561">
        <v>0</v>
      </c>
      <c r="P3022" s="561">
        <v>0</v>
      </c>
    </row>
    <row r="3023" spans="1:16">
      <c r="C3023" s="561" t="s">
        <v>1199</v>
      </c>
      <c r="D3023" s="561">
        <v>26919.366000000002</v>
      </c>
      <c r="E3023" s="561">
        <v>6087.6</v>
      </c>
      <c r="F3023" s="561">
        <v>20831.766</v>
      </c>
      <c r="G3023" s="561">
        <v>1898</v>
      </c>
      <c r="H3023" s="561">
        <v>26241.884999999998</v>
      </c>
      <c r="I3023" s="561">
        <v>0</v>
      </c>
      <c r="J3023" s="561">
        <v>0</v>
      </c>
      <c r="K3023" s="561">
        <v>1898</v>
      </c>
      <c r="L3023" s="561">
        <v>26242.166000000001</v>
      </c>
      <c r="M3023" s="561">
        <v>26242.166000000001</v>
      </c>
      <c r="N3023" s="561">
        <v>5410.4</v>
      </c>
      <c r="O3023" s="561">
        <v>0</v>
      </c>
      <c r="P3023" s="561">
        <v>20831.766</v>
      </c>
    </row>
    <row r="3024" spans="1:16">
      <c r="B3024" s="561" t="s">
        <v>1496</v>
      </c>
      <c r="C3024" s="561" t="s">
        <v>1202</v>
      </c>
      <c r="G3024" s="561">
        <v>0</v>
      </c>
      <c r="H3024" s="561">
        <v>0</v>
      </c>
      <c r="I3024" s="561">
        <v>0</v>
      </c>
      <c r="J3024" s="561">
        <v>0</v>
      </c>
      <c r="K3024" s="561">
        <v>0</v>
      </c>
      <c r="L3024" s="561">
        <v>0</v>
      </c>
      <c r="O3024" s="561">
        <v>0</v>
      </c>
    </row>
    <row r="3027" spans="1:38">
      <c r="A3027" s="561">
        <v>6</v>
      </c>
      <c r="B3027" s="561" t="s">
        <v>1501</v>
      </c>
      <c r="C3027" s="561" t="s">
        <v>1206</v>
      </c>
      <c r="D3027" s="561">
        <v>1306380.0399999998</v>
      </c>
      <c r="E3027" s="561">
        <v>384864</v>
      </c>
      <c r="F3027" s="561">
        <v>921516.03999999992</v>
      </c>
      <c r="G3027" s="561">
        <v>17776</v>
      </c>
      <c r="H3027" s="561">
        <v>1333117.3429999999</v>
      </c>
      <c r="I3027" s="561">
        <v>1060</v>
      </c>
      <c r="J3027" s="561">
        <v>36510.671999999999</v>
      </c>
      <c r="K3027" s="561">
        <v>17708</v>
      </c>
      <c r="L3027" s="561">
        <v>1306380.04</v>
      </c>
      <c r="M3027" s="561">
        <v>1306380.04</v>
      </c>
      <c r="N3027" s="561">
        <v>384864</v>
      </c>
      <c r="O3027" s="561">
        <v>0</v>
      </c>
      <c r="P3027" s="561">
        <v>921516.04</v>
      </c>
    </row>
    <row r="3028" spans="1:38">
      <c r="C3028" s="561" t="s">
        <v>1197</v>
      </c>
      <c r="D3028" s="561">
        <v>1192243.733</v>
      </c>
      <c r="E3028" s="561">
        <v>362400</v>
      </c>
      <c r="F3028" s="561">
        <v>829843.73299999989</v>
      </c>
      <c r="G3028" s="561">
        <v>17450</v>
      </c>
      <c r="H3028" s="561">
        <v>1219966.2349999999</v>
      </c>
      <c r="I3028" s="561">
        <v>1052</v>
      </c>
      <c r="J3028" s="561">
        <v>34598.186999999998</v>
      </c>
      <c r="K3028" s="561">
        <v>17382</v>
      </c>
      <c r="L3028" s="561">
        <v>1194739.733</v>
      </c>
      <c r="M3028" s="561">
        <v>1194739.733</v>
      </c>
      <c r="N3028" s="561">
        <v>364896</v>
      </c>
      <c r="O3028" s="561">
        <v>0</v>
      </c>
    </row>
    <row r="3029" spans="1:38">
      <c r="C3029" s="561" t="s">
        <v>1198</v>
      </c>
      <c r="D3029" s="561">
        <v>111037.88</v>
      </c>
      <c r="E3029" s="561">
        <v>22464</v>
      </c>
      <c r="F3029" s="561">
        <v>88573.88</v>
      </c>
      <c r="G3029" s="561">
        <v>213</v>
      </c>
      <c r="H3029" s="561">
        <v>110052.681</v>
      </c>
      <c r="I3029" s="561">
        <v>8</v>
      </c>
      <c r="J3029" s="561">
        <v>1912.4849999999999</v>
      </c>
      <c r="K3029" s="561">
        <v>213</v>
      </c>
      <c r="L3029" s="561">
        <v>108541.88</v>
      </c>
      <c r="M3029" s="561">
        <v>108541.88</v>
      </c>
      <c r="N3029" s="561">
        <v>19968</v>
      </c>
      <c r="O3029" s="561">
        <v>0</v>
      </c>
      <c r="AL3029" s="561">
        <v>88573.88</v>
      </c>
    </row>
    <row r="3030" spans="1:38">
      <c r="C3030" s="561" t="s">
        <v>1199</v>
      </c>
      <c r="D3030" s="561">
        <v>3098.4270000000001</v>
      </c>
      <c r="F3030" s="561">
        <v>3098.4270000000001</v>
      </c>
      <c r="G3030" s="561">
        <v>113</v>
      </c>
      <c r="H3030" s="561">
        <v>3098.4270000000001</v>
      </c>
      <c r="I3030" s="561">
        <v>0</v>
      </c>
      <c r="J3030" s="561">
        <v>0</v>
      </c>
      <c r="K3030" s="561">
        <v>113</v>
      </c>
      <c r="L3030" s="561">
        <v>3098.4270000000001</v>
      </c>
      <c r="M3030" s="561">
        <v>3098.4270000000001</v>
      </c>
      <c r="N3030" s="561">
        <v>0</v>
      </c>
      <c r="O3030" s="561">
        <v>0</v>
      </c>
      <c r="P3030" s="561">
        <v>3098.4270000000001</v>
      </c>
    </row>
    <row r="3031" spans="1:38">
      <c r="B3031" s="561" t="s">
        <v>1496</v>
      </c>
      <c r="C3031" s="561" t="s">
        <v>1202</v>
      </c>
      <c r="G3031" s="561">
        <v>0</v>
      </c>
      <c r="H3031" s="561">
        <v>0</v>
      </c>
      <c r="I3031" s="561">
        <v>0</v>
      </c>
      <c r="J3031" s="561">
        <v>0</v>
      </c>
      <c r="K3031" s="561">
        <v>0</v>
      </c>
      <c r="L3031" s="561">
        <v>0</v>
      </c>
      <c r="O3031" s="561">
        <v>0</v>
      </c>
    </row>
    <row r="3034" spans="1:38">
      <c r="A3034" s="561">
        <v>7</v>
      </c>
      <c r="B3034" s="561" t="s">
        <v>1502</v>
      </c>
      <c r="C3034" s="561" t="s">
        <v>1206</v>
      </c>
      <c r="D3034" s="561">
        <v>774419.728</v>
      </c>
      <c r="E3034" s="561">
        <v>224065.6</v>
      </c>
      <c r="F3034" s="561">
        <v>550354.12800000003</v>
      </c>
      <c r="G3034" s="561">
        <v>10375</v>
      </c>
      <c r="H3034" s="561">
        <v>790463.39199999988</v>
      </c>
      <c r="I3034" s="561">
        <v>700</v>
      </c>
      <c r="J3034" s="561">
        <v>12278.223</v>
      </c>
      <c r="K3034" s="561">
        <v>10354</v>
      </c>
      <c r="L3034" s="561">
        <v>774419.728</v>
      </c>
      <c r="M3034" s="561">
        <v>774419.728</v>
      </c>
      <c r="N3034" s="561">
        <v>224065.6</v>
      </c>
      <c r="O3034" s="561">
        <v>0</v>
      </c>
      <c r="P3034" s="561">
        <v>550354.12800000003</v>
      </c>
    </row>
    <row r="3035" spans="1:38">
      <c r="C3035" s="561" t="s">
        <v>1197</v>
      </c>
      <c r="D3035" s="561">
        <v>615148.29800000007</v>
      </c>
      <c r="E3035" s="561">
        <v>180766</v>
      </c>
      <c r="F3035" s="561">
        <v>434382.29800000001</v>
      </c>
      <c r="G3035" s="561">
        <v>9054</v>
      </c>
      <c r="H3035" s="561">
        <v>644428.11899999995</v>
      </c>
      <c r="I3035" s="561">
        <v>693</v>
      </c>
      <c r="J3035" s="561">
        <v>12227.27</v>
      </c>
      <c r="K3035" s="561">
        <v>9033</v>
      </c>
      <c r="L3035" s="561">
        <v>628668.49800000002</v>
      </c>
      <c r="M3035" s="561">
        <v>628668.49800000002</v>
      </c>
      <c r="N3035" s="561">
        <v>194301.9</v>
      </c>
      <c r="O3035" s="561">
        <v>0</v>
      </c>
    </row>
    <row r="3036" spans="1:38">
      <c r="C3036" s="561" t="s">
        <v>1198</v>
      </c>
      <c r="D3036" s="561">
        <v>0</v>
      </c>
      <c r="F3036" s="561">
        <v>0</v>
      </c>
      <c r="G3036" s="561">
        <v>0</v>
      </c>
      <c r="H3036" s="561">
        <v>0</v>
      </c>
      <c r="I3036" s="561">
        <v>0</v>
      </c>
      <c r="J3036" s="561">
        <v>0</v>
      </c>
      <c r="K3036" s="561">
        <v>0</v>
      </c>
      <c r="L3036" s="561">
        <v>0</v>
      </c>
      <c r="M3036" s="561">
        <v>0</v>
      </c>
      <c r="N3036" s="561">
        <v>0</v>
      </c>
      <c r="O3036" s="561">
        <v>0</v>
      </c>
      <c r="P3036" s="561">
        <v>0</v>
      </c>
    </row>
    <row r="3037" spans="1:38">
      <c r="C3037" s="561" t="s">
        <v>1199</v>
      </c>
      <c r="D3037" s="561">
        <v>158737.73000000001</v>
      </c>
      <c r="E3037" s="561">
        <v>43299.6</v>
      </c>
      <c r="F3037" s="561">
        <v>115438.13</v>
      </c>
      <c r="G3037" s="561">
        <v>1321</v>
      </c>
      <c r="H3037" s="561">
        <v>145475.15299999996</v>
      </c>
      <c r="I3037" s="561">
        <v>7</v>
      </c>
      <c r="J3037" s="561">
        <v>50.953000000000003</v>
      </c>
      <c r="K3037" s="561">
        <v>1321</v>
      </c>
      <c r="L3037" s="561">
        <v>145201.82999999999</v>
      </c>
      <c r="M3037" s="561">
        <v>145201.82999999999</v>
      </c>
      <c r="N3037" s="561">
        <v>29763.7</v>
      </c>
      <c r="O3037" s="561">
        <v>0</v>
      </c>
      <c r="P3037" s="561">
        <v>115438.13</v>
      </c>
    </row>
    <row r="3038" spans="1:38">
      <c r="B3038" s="561" t="s">
        <v>1496</v>
      </c>
      <c r="C3038" s="561" t="s">
        <v>1202</v>
      </c>
      <c r="D3038" s="561">
        <v>533.70000000000005</v>
      </c>
      <c r="F3038" s="561">
        <v>533.70000000000005</v>
      </c>
      <c r="G3038" s="561">
        <v>0</v>
      </c>
      <c r="H3038" s="561">
        <v>560.12</v>
      </c>
      <c r="I3038" s="561">
        <v>0</v>
      </c>
      <c r="J3038" s="561">
        <v>0</v>
      </c>
      <c r="K3038" s="561">
        <v>0</v>
      </c>
      <c r="L3038" s="561">
        <v>549.4</v>
      </c>
      <c r="M3038" s="561">
        <v>549.4</v>
      </c>
      <c r="O3038" s="561">
        <v>0</v>
      </c>
      <c r="P3038" s="561">
        <v>549.4</v>
      </c>
    </row>
    <row r="3041" spans="1:16">
      <c r="A3041" s="561">
        <v>8</v>
      </c>
      <c r="B3041" s="561" t="s">
        <v>1503</v>
      </c>
      <c r="C3041" s="561" t="s">
        <v>1206</v>
      </c>
      <c r="D3041" s="561">
        <v>595892.00299999991</v>
      </c>
      <c r="E3041" s="561">
        <v>145500</v>
      </c>
      <c r="F3041" s="561">
        <v>450392.00299999991</v>
      </c>
      <c r="G3041" s="561">
        <v>10561</v>
      </c>
      <c r="H3041" s="561">
        <v>605904.18200000003</v>
      </c>
      <c r="I3041" s="561">
        <v>914</v>
      </c>
      <c r="J3041" s="561">
        <v>11034.401</v>
      </c>
      <c r="K3041" s="561">
        <v>10542</v>
      </c>
      <c r="L3041" s="561">
        <v>595892.00333333318</v>
      </c>
      <c r="M3041" s="561">
        <v>595892.00333333318</v>
      </c>
      <c r="N3041" s="561">
        <v>145500.00033333327</v>
      </c>
      <c r="O3041" s="561">
        <v>0</v>
      </c>
      <c r="P3041" s="561">
        <v>450392.00299999991</v>
      </c>
    </row>
    <row r="3042" spans="1:16">
      <c r="C3042" s="561" t="s">
        <v>1197</v>
      </c>
      <c r="D3042" s="561">
        <v>595892.00299999991</v>
      </c>
      <c r="E3042" s="561">
        <v>145500</v>
      </c>
      <c r="F3042" s="561">
        <v>450392.00299999991</v>
      </c>
      <c r="G3042" s="561">
        <v>10561</v>
      </c>
      <c r="H3042" s="561">
        <v>605904.18200000003</v>
      </c>
      <c r="I3042" s="561">
        <v>914</v>
      </c>
      <c r="J3042" s="561">
        <v>11034.401</v>
      </c>
      <c r="K3042" s="561">
        <v>10542</v>
      </c>
      <c r="L3042" s="561">
        <v>595892.00333333318</v>
      </c>
      <c r="M3042" s="561">
        <v>595892.00333333318</v>
      </c>
      <c r="N3042" s="561">
        <v>145500.00033333327</v>
      </c>
      <c r="O3042" s="561">
        <v>0</v>
      </c>
    </row>
    <row r="3043" spans="1:16">
      <c r="C3043" s="561" t="s">
        <v>1198</v>
      </c>
      <c r="D3043" s="561">
        <v>0</v>
      </c>
      <c r="F3043" s="561">
        <v>0</v>
      </c>
      <c r="G3043" s="561">
        <v>0</v>
      </c>
      <c r="H3043" s="561">
        <v>0</v>
      </c>
      <c r="I3043" s="561">
        <v>0</v>
      </c>
      <c r="J3043" s="561">
        <v>0</v>
      </c>
      <c r="K3043" s="561">
        <v>0</v>
      </c>
      <c r="L3043" s="561">
        <v>0</v>
      </c>
      <c r="M3043" s="561">
        <v>0</v>
      </c>
      <c r="N3043" s="561">
        <v>0</v>
      </c>
      <c r="O3043" s="561">
        <v>0</v>
      </c>
      <c r="P3043" s="561">
        <v>0</v>
      </c>
    </row>
    <row r="3044" spans="1:16">
      <c r="C3044" s="561" t="s">
        <v>1199</v>
      </c>
      <c r="D3044" s="561">
        <v>0</v>
      </c>
      <c r="F3044" s="561">
        <v>0</v>
      </c>
      <c r="G3044" s="561">
        <v>0</v>
      </c>
      <c r="H3044" s="561">
        <v>0</v>
      </c>
      <c r="I3044" s="561">
        <v>0</v>
      </c>
      <c r="J3044" s="561">
        <v>0</v>
      </c>
      <c r="K3044" s="561">
        <v>0</v>
      </c>
      <c r="L3044" s="561">
        <v>0</v>
      </c>
      <c r="M3044" s="561">
        <v>0</v>
      </c>
      <c r="N3044" s="561">
        <v>0</v>
      </c>
      <c r="O3044" s="561">
        <v>0</v>
      </c>
      <c r="P3044" s="561">
        <v>0</v>
      </c>
    </row>
    <row r="3045" spans="1:16">
      <c r="B3045" s="561" t="s">
        <v>1496</v>
      </c>
      <c r="C3045" s="561" t="s">
        <v>1202</v>
      </c>
      <c r="G3045" s="561">
        <v>0</v>
      </c>
      <c r="H3045" s="561">
        <v>0</v>
      </c>
      <c r="I3045" s="561">
        <v>0</v>
      </c>
      <c r="J3045" s="561">
        <v>0</v>
      </c>
      <c r="K3045" s="561">
        <v>0</v>
      </c>
      <c r="L3045" s="561">
        <v>0</v>
      </c>
      <c r="O3045" s="561">
        <v>0</v>
      </c>
    </row>
    <row r="3048" spans="1:16">
      <c r="A3048" s="561">
        <v>9</v>
      </c>
      <c r="B3048" s="561" t="s">
        <v>1504</v>
      </c>
      <c r="C3048" s="561" t="s">
        <v>1206</v>
      </c>
      <c r="D3048" s="561">
        <v>661336.03300000005</v>
      </c>
      <c r="E3048" s="561">
        <v>198400.8</v>
      </c>
      <c r="F3048" s="561">
        <v>462935.23300000007</v>
      </c>
      <c r="G3048" s="561">
        <v>7793</v>
      </c>
      <c r="H3048" s="561">
        <v>667348.7209999999</v>
      </c>
      <c r="I3048" s="561">
        <v>224</v>
      </c>
      <c r="J3048" s="561">
        <v>7304.3180000000002</v>
      </c>
      <c r="K3048" s="561">
        <v>7793</v>
      </c>
      <c r="L3048" s="561">
        <v>661336.03300000005</v>
      </c>
      <c r="M3048" s="561">
        <v>661336.03300000005</v>
      </c>
      <c r="N3048" s="561">
        <v>198400.8</v>
      </c>
      <c r="O3048" s="561">
        <v>0</v>
      </c>
      <c r="P3048" s="561">
        <v>462935.23300000007</v>
      </c>
    </row>
    <row r="3049" spans="1:16">
      <c r="C3049" s="561" t="s">
        <v>1197</v>
      </c>
      <c r="D3049" s="561">
        <v>654868.14300000004</v>
      </c>
      <c r="E3049" s="561">
        <v>196896</v>
      </c>
      <c r="F3049" s="561">
        <v>457972.14300000004</v>
      </c>
      <c r="G3049" s="561">
        <v>7362</v>
      </c>
      <c r="H3049" s="561">
        <v>661162.67299999995</v>
      </c>
      <c r="I3049" s="561">
        <v>221</v>
      </c>
      <c r="J3049" s="561">
        <v>7273.665</v>
      </c>
      <c r="K3049" s="561">
        <v>7362</v>
      </c>
      <c r="L3049" s="561">
        <v>655202.44300000009</v>
      </c>
      <c r="M3049" s="561">
        <v>655202.44300000009</v>
      </c>
      <c r="N3049" s="561">
        <v>197230.3</v>
      </c>
      <c r="O3049" s="561">
        <v>0</v>
      </c>
    </row>
    <row r="3050" spans="1:16">
      <c r="C3050" s="561" t="s">
        <v>1198</v>
      </c>
      <c r="D3050" s="561">
        <v>0</v>
      </c>
      <c r="F3050" s="561">
        <v>0</v>
      </c>
      <c r="G3050" s="561">
        <v>0</v>
      </c>
      <c r="H3050" s="561">
        <v>0</v>
      </c>
      <c r="I3050" s="561">
        <v>0</v>
      </c>
      <c r="J3050" s="561">
        <v>0</v>
      </c>
      <c r="K3050" s="561">
        <v>0</v>
      </c>
      <c r="L3050" s="561">
        <v>0</v>
      </c>
      <c r="M3050" s="561">
        <v>0</v>
      </c>
      <c r="N3050" s="561">
        <v>0</v>
      </c>
      <c r="O3050" s="561">
        <v>0</v>
      </c>
      <c r="P3050" s="561">
        <v>0</v>
      </c>
    </row>
    <row r="3051" spans="1:16">
      <c r="C3051" s="561" t="s">
        <v>1199</v>
      </c>
      <c r="D3051" s="561">
        <v>6467.89</v>
      </c>
      <c r="E3051" s="561">
        <v>1504.8</v>
      </c>
      <c r="F3051" s="561">
        <v>4963.09</v>
      </c>
      <c r="G3051" s="561">
        <v>431</v>
      </c>
      <c r="H3051" s="561">
        <v>6186.0480000000007</v>
      </c>
      <c r="I3051" s="561">
        <v>3</v>
      </c>
      <c r="J3051" s="561">
        <v>30.652999999999999</v>
      </c>
      <c r="K3051" s="561">
        <v>431</v>
      </c>
      <c r="L3051" s="561">
        <v>6133.59</v>
      </c>
      <c r="M3051" s="561">
        <v>6133.59</v>
      </c>
      <c r="N3051" s="561">
        <v>1170.5</v>
      </c>
      <c r="O3051" s="561">
        <v>0</v>
      </c>
      <c r="P3051" s="561">
        <v>4963.09</v>
      </c>
    </row>
    <row r="3052" spans="1:16">
      <c r="B3052" s="561" t="s">
        <v>1496</v>
      </c>
      <c r="C3052" s="561" t="s">
        <v>1202</v>
      </c>
      <c r="G3052" s="561">
        <v>0</v>
      </c>
      <c r="H3052" s="561">
        <v>0</v>
      </c>
      <c r="I3052" s="561">
        <v>0</v>
      </c>
      <c r="J3052" s="561">
        <v>0</v>
      </c>
      <c r="K3052" s="561">
        <v>0</v>
      </c>
      <c r="L3052" s="561">
        <v>0</v>
      </c>
      <c r="O3052" s="561">
        <v>0</v>
      </c>
    </row>
    <row r="3055" spans="1:16">
      <c r="A3055" s="561">
        <v>10</v>
      </c>
      <c r="B3055" s="561" t="s">
        <v>1505</v>
      </c>
      <c r="C3055" s="561" t="s">
        <v>1206</v>
      </c>
      <c r="D3055" s="561">
        <v>291752.02500000002</v>
      </c>
      <c r="E3055" s="561">
        <v>81525.600000000006</v>
      </c>
      <c r="F3055" s="561">
        <v>210226.42499999999</v>
      </c>
      <c r="G3055" s="561">
        <v>6000</v>
      </c>
      <c r="H3055" s="561">
        <v>299376.40900000004</v>
      </c>
      <c r="I3055" s="561">
        <v>357</v>
      </c>
      <c r="J3055" s="561">
        <v>7515.5579999999991</v>
      </c>
      <c r="K3055" s="561">
        <v>5985</v>
      </c>
      <c r="L3055" s="561">
        <v>291752.02500000002</v>
      </c>
      <c r="M3055" s="561">
        <v>291752.02500000002</v>
      </c>
      <c r="N3055" s="561">
        <v>81525.600000000006</v>
      </c>
      <c r="O3055" s="561">
        <v>0</v>
      </c>
      <c r="P3055" s="561">
        <v>210226.42499999999</v>
      </c>
    </row>
    <row r="3056" spans="1:16">
      <c r="C3056" s="561" t="s">
        <v>1197</v>
      </c>
      <c r="D3056" s="561">
        <v>259392.859</v>
      </c>
      <c r="E3056" s="561">
        <v>71734.5</v>
      </c>
      <c r="F3056" s="561">
        <v>187658.359</v>
      </c>
      <c r="G3056" s="561">
        <v>3879</v>
      </c>
      <c r="H3056" s="561">
        <v>266171.90600000002</v>
      </c>
      <c r="I3056" s="561">
        <v>326</v>
      </c>
      <c r="J3056" s="561">
        <v>7226.0959999999995</v>
      </c>
      <c r="K3056" s="561">
        <v>3866</v>
      </c>
      <c r="L3056" s="561">
        <v>258999.959</v>
      </c>
      <c r="M3056" s="561">
        <v>258999.959</v>
      </c>
      <c r="N3056" s="561">
        <v>71341.600000000006</v>
      </c>
      <c r="O3056" s="561">
        <v>0</v>
      </c>
    </row>
    <row r="3057" spans="1:16">
      <c r="C3057" s="561" t="s">
        <v>1198</v>
      </c>
      <c r="D3057" s="561">
        <v>0</v>
      </c>
      <c r="F3057" s="561">
        <v>0</v>
      </c>
      <c r="G3057" s="561">
        <v>0</v>
      </c>
      <c r="H3057" s="561">
        <v>0</v>
      </c>
      <c r="I3057" s="561">
        <v>0</v>
      </c>
      <c r="J3057" s="561">
        <v>0</v>
      </c>
      <c r="K3057" s="561">
        <v>0</v>
      </c>
      <c r="L3057" s="561">
        <v>0</v>
      </c>
      <c r="M3057" s="561">
        <v>0</v>
      </c>
      <c r="N3057" s="561">
        <v>0</v>
      </c>
      <c r="O3057" s="561">
        <v>0</v>
      </c>
      <c r="P3057" s="561">
        <v>0</v>
      </c>
    </row>
    <row r="3058" spans="1:16">
      <c r="C3058" s="561" t="s">
        <v>1199</v>
      </c>
      <c r="D3058" s="561">
        <v>32359.165999999997</v>
      </c>
      <c r="E3058" s="561">
        <v>9791.1</v>
      </c>
      <c r="F3058" s="561">
        <v>22568.065999999999</v>
      </c>
      <c r="G3058" s="561">
        <v>2121</v>
      </c>
      <c r="H3058" s="561">
        <v>33204.503000000004</v>
      </c>
      <c r="I3058" s="561">
        <v>31</v>
      </c>
      <c r="J3058" s="561">
        <v>289.46199999999999</v>
      </c>
      <c r="K3058" s="561">
        <v>2119</v>
      </c>
      <c r="L3058" s="561">
        <v>32752.065999999999</v>
      </c>
      <c r="M3058" s="561">
        <v>32752.065999999999</v>
      </c>
      <c r="N3058" s="561">
        <v>10184</v>
      </c>
      <c r="O3058" s="561">
        <v>0</v>
      </c>
      <c r="P3058" s="561">
        <v>22568.065999999999</v>
      </c>
    </row>
    <row r="3059" spans="1:16">
      <c r="B3059" s="561" t="s">
        <v>1496</v>
      </c>
      <c r="C3059" s="561" t="s">
        <v>1202</v>
      </c>
      <c r="O3059" s="561">
        <v>0</v>
      </c>
    </row>
    <row r="3062" spans="1:16">
      <c r="A3062" s="561">
        <v>11</v>
      </c>
      <c r="B3062" s="561" t="s">
        <v>1506</v>
      </c>
      <c r="C3062" s="561" t="s">
        <v>1206</v>
      </c>
      <c r="D3062" s="561">
        <v>289808.00900000002</v>
      </c>
      <c r="E3062" s="561">
        <v>85142.399999999994</v>
      </c>
      <c r="F3062" s="561">
        <v>204665.609</v>
      </c>
      <c r="G3062" s="561">
        <v>7159</v>
      </c>
      <c r="H3062" s="561">
        <v>277779.34599999996</v>
      </c>
      <c r="I3062" s="561">
        <v>336</v>
      </c>
      <c r="J3062" s="561">
        <v>8604.8089999999993</v>
      </c>
      <c r="K3062" s="561">
        <v>7143</v>
      </c>
      <c r="L3062" s="561">
        <v>289807.99900000001</v>
      </c>
      <c r="M3062" s="561">
        <v>289807.99900000001</v>
      </c>
      <c r="N3062" s="561">
        <v>85142.39</v>
      </c>
      <c r="O3062" s="561">
        <v>0</v>
      </c>
      <c r="P3062" s="561">
        <v>204665.609</v>
      </c>
    </row>
    <row r="3063" spans="1:16">
      <c r="C3063" s="561" t="s">
        <v>1197</v>
      </c>
      <c r="D3063" s="561">
        <v>240564.046</v>
      </c>
      <c r="E3063" s="561">
        <v>72600</v>
      </c>
      <c r="F3063" s="561">
        <v>167964.046</v>
      </c>
      <c r="G3063" s="561">
        <v>3840</v>
      </c>
      <c r="H3063" s="561">
        <v>228248.60099999997</v>
      </c>
      <c r="I3063" s="561">
        <v>292</v>
      </c>
      <c r="J3063" s="561">
        <v>8330.9110000000001</v>
      </c>
      <c r="K3063" s="561">
        <v>3824</v>
      </c>
      <c r="L3063" s="561">
        <v>240564.03599999999</v>
      </c>
      <c r="M3063" s="561">
        <v>240564.03599999999</v>
      </c>
      <c r="N3063" s="561">
        <v>72599.990000000005</v>
      </c>
      <c r="O3063" s="561">
        <v>0</v>
      </c>
    </row>
    <row r="3064" spans="1:16">
      <c r="C3064" s="561" t="s">
        <v>1198</v>
      </c>
      <c r="D3064" s="561">
        <v>0</v>
      </c>
      <c r="F3064" s="561">
        <v>0</v>
      </c>
      <c r="G3064" s="561">
        <v>0</v>
      </c>
      <c r="H3064" s="561">
        <v>0</v>
      </c>
      <c r="I3064" s="561">
        <v>0</v>
      </c>
      <c r="J3064" s="561">
        <v>0</v>
      </c>
      <c r="K3064" s="561">
        <v>0</v>
      </c>
      <c r="L3064" s="561">
        <v>0</v>
      </c>
      <c r="M3064" s="561">
        <v>0</v>
      </c>
      <c r="N3064" s="561">
        <v>0</v>
      </c>
      <c r="O3064" s="561">
        <v>0</v>
      </c>
      <c r="P3064" s="561">
        <v>0</v>
      </c>
    </row>
    <row r="3065" spans="1:16">
      <c r="C3065" s="561" t="s">
        <v>1199</v>
      </c>
      <c r="D3065" s="561">
        <v>49243.963000000003</v>
      </c>
      <c r="E3065" s="561">
        <v>12542.4</v>
      </c>
      <c r="F3065" s="561">
        <v>36701.563000000002</v>
      </c>
      <c r="G3065" s="561">
        <v>3319</v>
      </c>
      <c r="H3065" s="561">
        <v>49530.744999999995</v>
      </c>
      <c r="I3065" s="561">
        <v>44</v>
      </c>
      <c r="J3065" s="561">
        <v>273.89800000000002</v>
      </c>
      <c r="K3065" s="561">
        <v>3319</v>
      </c>
      <c r="L3065" s="561">
        <v>49243.963000000003</v>
      </c>
      <c r="M3065" s="561">
        <v>49243.963000000003</v>
      </c>
      <c r="N3065" s="561">
        <v>12542.4</v>
      </c>
      <c r="O3065" s="561">
        <v>0</v>
      </c>
      <c r="P3065" s="561">
        <v>36701.563000000002</v>
      </c>
    </row>
    <row r="3066" spans="1:16">
      <c r="B3066" s="561" t="s">
        <v>1496</v>
      </c>
      <c r="C3066" s="561" t="s">
        <v>1202</v>
      </c>
      <c r="O3066" s="561">
        <v>0</v>
      </c>
    </row>
    <row r="3069" spans="1:16">
      <c r="A3069" s="561">
        <v>12</v>
      </c>
      <c r="B3069" s="561" t="s">
        <v>1507</v>
      </c>
      <c r="C3069" s="561" t="s">
        <v>1206</v>
      </c>
      <c r="D3069" s="561">
        <v>317650.35099999997</v>
      </c>
      <c r="E3069" s="561">
        <v>89239</v>
      </c>
      <c r="F3069" s="561">
        <v>228411.351</v>
      </c>
      <c r="G3069" s="561">
        <v>6830</v>
      </c>
      <c r="H3069" s="561">
        <v>319700.30300000001</v>
      </c>
      <c r="I3069" s="561">
        <v>455</v>
      </c>
      <c r="J3069" s="561">
        <v>9130.7240000000002</v>
      </c>
      <c r="K3069" s="561">
        <v>6816</v>
      </c>
      <c r="L3069" s="561">
        <v>317650.35099999997</v>
      </c>
      <c r="M3069" s="561">
        <v>317650.35099999997</v>
      </c>
      <c r="N3069" s="561">
        <v>89239</v>
      </c>
      <c r="O3069" s="561">
        <v>0</v>
      </c>
      <c r="P3069" s="561">
        <v>228411.351</v>
      </c>
    </row>
    <row r="3070" spans="1:16">
      <c r="C3070" s="561" t="s">
        <v>1197</v>
      </c>
      <c r="D3070" s="561">
        <v>276948.29399999999</v>
      </c>
      <c r="E3070" s="561">
        <v>79207</v>
      </c>
      <c r="F3070" s="561">
        <v>197741.29399999999</v>
      </c>
      <c r="G3070" s="561">
        <v>4115</v>
      </c>
      <c r="H3070" s="561">
        <v>277633.473</v>
      </c>
      <c r="I3070" s="561">
        <v>376</v>
      </c>
      <c r="J3070" s="561">
        <v>8572.3359999999993</v>
      </c>
      <c r="K3070" s="561">
        <v>4107</v>
      </c>
      <c r="L3070" s="561">
        <v>276207.29399999999</v>
      </c>
      <c r="M3070" s="561">
        <v>276207.29399999999</v>
      </c>
      <c r="N3070" s="561">
        <v>78466</v>
      </c>
      <c r="O3070" s="561">
        <v>0</v>
      </c>
    </row>
    <row r="3071" spans="1:16">
      <c r="C3071" s="561" t="s">
        <v>1198</v>
      </c>
      <c r="D3071" s="561">
        <v>0</v>
      </c>
      <c r="F3071" s="561">
        <v>0</v>
      </c>
      <c r="G3071" s="561">
        <v>0</v>
      </c>
      <c r="H3071" s="561">
        <v>0</v>
      </c>
      <c r="I3071" s="561">
        <v>0</v>
      </c>
      <c r="J3071" s="561">
        <v>0</v>
      </c>
      <c r="K3071" s="561">
        <v>0</v>
      </c>
      <c r="L3071" s="561">
        <v>0</v>
      </c>
      <c r="M3071" s="561">
        <v>0</v>
      </c>
      <c r="N3071" s="561">
        <v>0</v>
      </c>
      <c r="O3071" s="561">
        <v>0</v>
      </c>
      <c r="P3071" s="561">
        <v>0</v>
      </c>
    </row>
    <row r="3072" spans="1:16">
      <c r="C3072" s="561" t="s">
        <v>1199</v>
      </c>
      <c r="D3072" s="561">
        <v>40584.894</v>
      </c>
      <c r="E3072" s="561">
        <v>10032</v>
      </c>
      <c r="F3072" s="561">
        <v>30552.894000000004</v>
      </c>
      <c r="G3072" s="561">
        <v>2715</v>
      </c>
      <c r="H3072" s="561">
        <v>41949.667000000009</v>
      </c>
      <c r="I3072" s="561">
        <v>79</v>
      </c>
      <c r="J3072" s="561">
        <v>558.38800000000003</v>
      </c>
      <c r="K3072" s="561">
        <v>2709</v>
      </c>
      <c r="L3072" s="561">
        <v>41325.894</v>
      </c>
      <c r="M3072" s="561">
        <v>41325.894</v>
      </c>
      <c r="N3072" s="561">
        <v>10773</v>
      </c>
      <c r="O3072" s="561">
        <v>0</v>
      </c>
      <c r="P3072" s="561">
        <v>30552.894000000004</v>
      </c>
    </row>
    <row r="3073" spans="1:16">
      <c r="B3073" s="561" t="s">
        <v>1496</v>
      </c>
      <c r="C3073" s="561" t="s">
        <v>1202</v>
      </c>
      <c r="D3073" s="561">
        <v>117.163</v>
      </c>
      <c r="F3073" s="561">
        <v>117.163</v>
      </c>
      <c r="H3073" s="561">
        <v>117.163</v>
      </c>
      <c r="I3073" s="561">
        <v>0</v>
      </c>
      <c r="J3073" s="561">
        <v>0</v>
      </c>
      <c r="L3073" s="561">
        <v>117.163</v>
      </c>
      <c r="M3073" s="561">
        <v>117.163</v>
      </c>
      <c r="O3073" s="561">
        <v>0</v>
      </c>
      <c r="P3073" s="561">
        <v>117.163</v>
      </c>
    </row>
    <row r="3076" spans="1:16">
      <c r="A3076" s="561">
        <v>13</v>
      </c>
      <c r="B3076" s="561" t="s">
        <v>1508</v>
      </c>
      <c r="C3076" s="561" t="s">
        <v>1206</v>
      </c>
      <c r="D3076" s="561">
        <v>958104.98066666652</v>
      </c>
      <c r="E3076" s="561">
        <v>262231.5</v>
      </c>
      <c r="F3076" s="561">
        <v>695873.48066666652</v>
      </c>
      <c r="G3076" s="561">
        <v>21963</v>
      </c>
      <c r="H3076" s="561">
        <v>998427.27599999984</v>
      </c>
      <c r="I3076" s="561">
        <v>1231</v>
      </c>
      <c r="J3076" s="561">
        <v>39101.017999999996</v>
      </c>
      <c r="K3076" s="561">
        <v>21893</v>
      </c>
      <c r="L3076" s="561">
        <v>958104.98066666652</v>
      </c>
      <c r="M3076" s="561">
        <v>958104.98066666652</v>
      </c>
      <c r="N3076" s="561">
        <v>262231.5</v>
      </c>
      <c r="O3076" s="561">
        <v>0</v>
      </c>
      <c r="P3076" s="561">
        <v>695873.48066666652</v>
      </c>
    </row>
    <row r="3077" spans="1:16">
      <c r="C3077" s="561" t="s">
        <v>1197</v>
      </c>
      <c r="D3077" s="561">
        <v>791156.80099999986</v>
      </c>
      <c r="E3077" s="561">
        <v>222000</v>
      </c>
      <c r="F3077" s="561">
        <v>569156.80099999986</v>
      </c>
      <c r="G3077" s="561">
        <v>11633</v>
      </c>
      <c r="H3077" s="561">
        <v>819609.67099999986</v>
      </c>
      <c r="I3077" s="561">
        <v>945</v>
      </c>
      <c r="J3077" s="561">
        <v>37149.298999999999</v>
      </c>
      <c r="K3077" s="561">
        <v>11571</v>
      </c>
      <c r="L3077" s="561">
        <v>781408.94766666659</v>
      </c>
      <c r="M3077" s="561">
        <v>781408.94766666659</v>
      </c>
      <c r="N3077" s="561">
        <v>212252.14666666667</v>
      </c>
      <c r="O3077" s="561">
        <v>0</v>
      </c>
    </row>
    <row r="3078" spans="1:16">
      <c r="C3078" s="561" t="s">
        <v>1198</v>
      </c>
      <c r="D3078" s="561">
        <v>0</v>
      </c>
      <c r="F3078" s="561">
        <v>0</v>
      </c>
      <c r="G3078" s="561">
        <v>0</v>
      </c>
      <c r="H3078" s="561">
        <v>0</v>
      </c>
      <c r="I3078" s="561">
        <v>0</v>
      </c>
      <c r="J3078" s="561">
        <v>0</v>
      </c>
      <c r="K3078" s="561">
        <v>0</v>
      </c>
      <c r="L3078" s="561">
        <v>0</v>
      </c>
      <c r="M3078" s="561">
        <v>0</v>
      </c>
      <c r="N3078" s="561">
        <v>0</v>
      </c>
      <c r="O3078" s="561">
        <v>0</v>
      </c>
      <c r="P3078" s="561">
        <v>0</v>
      </c>
    </row>
    <row r="3079" spans="1:16">
      <c r="C3079" s="561" t="s">
        <v>1199</v>
      </c>
      <c r="D3079" s="561">
        <v>166948.17966666666</v>
      </c>
      <c r="E3079" s="561">
        <v>40231.5</v>
      </c>
      <c r="F3079" s="561">
        <v>126716.67966666666</v>
      </c>
      <c r="G3079" s="561">
        <v>10330</v>
      </c>
      <c r="H3079" s="561">
        <v>178817.60499999998</v>
      </c>
      <c r="I3079" s="561">
        <v>286</v>
      </c>
      <c r="J3079" s="561">
        <v>1951.7190000000001</v>
      </c>
      <c r="K3079" s="561">
        <v>10322</v>
      </c>
      <c r="L3079" s="561">
        <v>176696.033</v>
      </c>
      <c r="M3079" s="561">
        <v>176696.033</v>
      </c>
      <c r="N3079" s="561">
        <v>49979.353333333347</v>
      </c>
      <c r="O3079" s="561">
        <v>0</v>
      </c>
      <c r="P3079" s="561">
        <v>126716.67966666666</v>
      </c>
    </row>
    <row r="3080" spans="1:16">
      <c r="B3080" s="561" t="s">
        <v>1496</v>
      </c>
      <c r="C3080" s="561" t="s">
        <v>1202</v>
      </c>
      <c r="O3080" s="561">
        <v>0</v>
      </c>
    </row>
    <row r="3083" spans="1:16">
      <c r="A3083" s="561">
        <v>14</v>
      </c>
      <c r="B3083" s="561" t="s">
        <v>1509</v>
      </c>
      <c r="C3083" s="561" t="s">
        <v>1206</v>
      </c>
      <c r="D3083" s="561">
        <v>437980.049</v>
      </c>
      <c r="E3083" s="561">
        <v>127794</v>
      </c>
      <c r="F3083" s="561">
        <v>310186.049</v>
      </c>
      <c r="G3083" s="561">
        <v>10005</v>
      </c>
      <c r="H3083" s="561">
        <v>457670.88799999992</v>
      </c>
      <c r="I3083" s="561">
        <v>768</v>
      </c>
      <c r="J3083" s="561">
        <v>20294.126</v>
      </c>
      <c r="K3083" s="561">
        <v>9959</v>
      </c>
      <c r="L3083" s="561">
        <v>437980.049</v>
      </c>
      <c r="M3083" s="561">
        <v>437980.049</v>
      </c>
      <c r="N3083" s="561">
        <v>127794</v>
      </c>
      <c r="O3083" s="561">
        <v>0</v>
      </c>
      <c r="P3083" s="561">
        <v>310186.049</v>
      </c>
    </row>
    <row r="3084" spans="1:16">
      <c r="C3084" s="561" t="s">
        <v>1197</v>
      </c>
      <c r="D3084" s="561">
        <v>379774.7</v>
      </c>
      <c r="E3084" s="561">
        <v>112800</v>
      </c>
      <c r="F3084" s="561">
        <v>266974.7</v>
      </c>
      <c r="G3084" s="561">
        <v>6048</v>
      </c>
      <c r="H3084" s="561">
        <v>399731.9059999999</v>
      </c>
      <c r="I3084" s="561">
        <v>684</v>
      </c>
      <c r="J3084" s="561">
        <v>19612.246999999999</v>
      </c>
      <c r="K3084" s="561">
        <v>6005</v>
      </c>
      <c r="L3084" s="561">
        <v>381033.2</v>
      </c>
      <c r="M3084" s="561">
        <v>381033.2</v>
      </c>
      <c r="N3084" s="561">
        <v>114058.5</v>
      </c>
      <c r="O3084" s="561">
        <v>0</v>
      </c>
    </row>
    <row r="3085" spans="1:16">
      <c r="C3085" s="561" t="s">
        <v>1198</v>
      </c>
      <c r="D3085" s="561">
        <v>0</v>
      </c>
      <c r="F3085" s="561">
        <v>0</v>
      </c>
      <c r="G3085" s="561">
        <v>0</v>
      </c>
      <c r="H3085" s="561">
        <v>0</v>
      </c>
      <c r="I3085" s="561">
        <v>0</v>
      </c>
      <c r="J3085" s="561">
        <v>0</v>
      </c>
      <c r="K3085" s="561">
        <v>0</v>
      </c>
      <c r="L3085" s="561">
        <v>0</v>
      </c>
      <c r="M3085" s="561">
        <v>0</v>
      </c>
      <c r="N3085" s="561">
        <v>0</v>
      </c>
      <c r="O3085" s="561">
        <v>0</v>
      </c>
      <c r="P3085" s="561">
        <v>0</v>
      </c>
    </row>
    <row r="3086" spans="1:16">
      <c r="C3086" s="561" t="s">
        <v>1199</v>
      </c>
      <c r="D3086" s="561">
        <v>58205.348999999995</v>
      </c>
      <c r="E3086" s="561">
        <v>14994</v>
      </c>
      <c r="F3086" s="561">
        <v>43211.348999999995</v>
      </c>
      <c r="G3086" s="561">
        <v>3957</v>
      </c>
      <c r="H3086" s="561">
        <v>57938.981999999996</v>
      </c>
      <c r="I3086" s="561">
        <v>84</v>
      </c>
      <c r="J3086" s="561">
        <v>681.87900000000002</v>
      </c>
      <c r="K3086" s="561">
        <v>3954</v>
      </c>
      <c r="L3086" s="561">
        <v>56946.848999999995</v>
      </c>
      <c r="M3086" s="561">
        <v>56946.848999999995</v>
      </c>
      <c r="N3086" s="561">
        <v>13735.5</v>
      </c>
      <c r="O3086" s="561">
        <v>0</v>
      </c>
      <c r="P3086" s="561">
        <v>43211.348999999995</v>
      </c>
    </row>
    <row r="3087" spans="1:16">
      <c r="B3087" s="561" t="s">
        <v>1496</v>
      </c>
      <c r="C3087" s="561" t="s">
        <v>1202</v>
      </c>
      <c r="O3087" s="561">
        <v>0</v>
      </c>
    </row>
    <row r="3090" spans="1:16">
      <c r="A3090" s="561">
        <v>15</v>
      </c>
      <c r="B3090" s="561" t="s">
        <v>1510</v>
      </c>
      <c r="C3090" s="561" t="s">
        <v>1206</v>
      </c>
      <c r="D3090" s="561">
        <v>379490.033</v>
      </c>
      <c r="E3090" s="561">
        <v>107847</v>
      </c>
      <c r="F3090" s="561">
        <v>271643.033</v>
      </c>
      <c r="G3090" s="561">
        <v>7123</v>
      </c>
      <c r="H3090" s="561">
        <v>391420.27800000005</v>
      </c>
      <c r="I3090" s="561">
        <v>562</v>
      </c>
      <c r="J3090" s="561">
        <v>15054.567000000001</v>
      </c>
      <c r="K3090" s="561">
        <v>7096</v>
      </c>
      <c r="L3090" s="561">
        <v>379490.06700000004</v>
      </c>
      <c r="M3090" s="561">
        <v>379490.06700000004</v>
      </c>
      <c r="N3090" s="561">
        <v>107847.03400000001</v>
      </c>
      <c r="O3090" s="561">
        <v>0</v>
      </c>
      <c r="P3090" s="561">
        <v>271643.033</v>
      </c>
    </row>
    <row r="3091" spans="1:16">
      <c r="C3091" s="561" t="s">
        <v>1197</v>
      </c>
      <c r="D3091" s="561">
        <v>343918.05</v>
      </c>
      <c r="E3091" s="561">
        <v>100350</v>
      </c>
      <c r="F3091" s="561">
        <v>243568.05</v>
      </c>
      <c r="G3091" s="561">
        <v>5088</v>
      </c>
      <c r="H3091" s="561">
        <v>355277.80600000004</v>
      </c>
      <c r="I3091" s="561">
        <v>480</v>
      </c>
      <c r="J3091" s="561">
        <v>14578.257000000001</v>
      </c>
      <c r="K3091" s="561">
        <v>5065</v>
      </c>
      <c r="L3091" s="561">
        <v>343891.65</v>
      </c>
      <c r="M3091" s="561">
        <v>343891.65</v>
      </c>
      <c r="N3091" s="561">
        <v>100323.6</v>
      </c>
      <c r="O3091" s="561">
        <v>0</v>
      </c>
    </row>
    <row r="3092" spans="1:16">
      <c r="C3092" s="561" t="s">
        <v>1198</v>
      </c>
      <c r="D3092" s="561">
        <v>0</v>
      </c>
      <c r="F3092" s="561">
        <v>0</v>
      </c>
      <c r="G3092" s="561">
        <v>0</v>
      </c>
      <c r="H3092" s="561">
        <v>0</v>
      </c>
      <c r="I3092" s="561">
        <v>0</v>
      </c>
      <c r="J3092" s="561">
        <v>0</v>
      </c>
      <c r="K3092" s="561">
        <v>0</v>
      </c>
      <c r="L3092" s="561">
        <v>0</v>
      </c>
      <c r="M3092" s="561">
        <v>0</v>
      </c>
      <c r="N3092" s="561">
        <v>0</v>
      </c>
      <c r="O3092" s="561">
        <v>0</v>
      </c>
      <c r="P3092" s="561">
        <v>0</v>
      </c>
    </row>
    <row r="3093" spans="1:16">
      <c r="C3093" s="561" t="s">
        <v>1199</v>
      </c>
      <c r="D3093" s="561">
        <v>35571.983</v>
      </c>
      <c r="E3093" s="561">
        <v>7497</v>
      </c>
      <c r="F3093" s="561">
        <v>28074.983</v>
      </c>
      <c r="G3093" s="561">
        <v>2035</v>
      </c>
      <c r="H3093" s="561">
        <v>36142.471999999994</v>
      </c>
      <c r="I3093" s="561">
        <v>82</v>
      </c>
      <c r="J3093" s="561">
        <v>476.31</v>
      </c>
      <c r="K3093" s="561">
        <v>2031</v>
      </c>
      <c r="L3093" s="561">
        <v>35598.417000000001</v>
      </c>
      <c r="M3093" s="561">
        <v>35598.417000000001</v>
      </c>
      <c r="N3093" s="561">
        <v>7523.4340000000011</v>
      </c>
      <c r="O3093" s="561">
        <v>0</v>
      </c>
      <c r="P3093" s="561">
        <v>28074.983</v>
      </c>
    </row>
    <row r="3094" spans="1:16">
      <c r="B3094" s="561" t="s">
        <v>1496</v>
      </c>
      <c r="C3094" s="561" t="s">
        <v>1202</v>
      </c>
      <c r="O3094" s="561">
        <v>0</v>
      </c>
    </row>
    <row r="3097" spans="1:16">
      <c r="A3097" s="561">
        <v>16</v>
      </c>
      <c r="B3097" s="561" t="s">
        <v>1511</v>
      </c>
      <c r="C3097" s="561" t="s">
        <v>1206</v>
      </c>
      <c r="D3097" s="561">
        <v>265939.973</v>
      </c>
      <c r="E3097" s="561">
        <v>78282</v>
      </c>
      <c r="F3097" s="561">
        <v>187657.973</v>
      </c>
      <c r="G3097" s="561">
        <v>5770</v>
      </c>
      <c r="H3097" s="561">
        <v>265641.522</v>
      </c>
      <c r="I3097" s="561">
        <v>240</v>
      </c>
      <c r="J3097" s="561">
        <v>6889.9240000000009</v>
      </c>
      <c r="K3097" s="561">
        <v>5739</v>
      </c>
      <c r="L3097" s="561">
        <v>265939.973</v>
      </c>
      <c r="M3097" s="561">
        <v>265939.973</v>
      </c>
      <c r="N3097" s="561">
        <v>78282</v>
      </c>
      <c r="O3097" s="561">
        <v>0</v>
      </c>
      <c r="P3097" s="561">
        <v>187657.973</v>
      </c>
    </row>
    <row r="3098" spans="1:16">
      <c r="C3098" s="561" t="s">
        <v>1197</v>
      </c>
      <c r="D3098" s="561">
        <v>233839.37933333335</v>
      </c>
      <c r="E3098" s="561">
        <v>69000</v>
      </c>
      <c r="F3098" s="561">
        <v>164839.37933333335</v>
      </c>
      <c r="G3098" s="561">
        <v>3452</v>
      </c>
      <c r="H3098" s="561">
        <v>232584.11</v>
      </c>
      <c r="I3098" s="561">
        <v>205</v>
      </c>
      <c r="J3098" s="561">
        <v>6659.8170000000009</v>
      </c>
      <c r="K3098" s="561">
        <v>3424</v>
      </c>
      <c r="L3098" s="561">
        <v>233136.6</v>
      </c>
      <c r="M3098" s="561">
        <v>233136.6</v>
      </c>
      <c r="N3098" s="561">
        <v>68297.220666666675</v>
      </c>
      <c r="O3098" s="561">
        <v>0</v>
      </c>
    </row>
    <row r="3099" spans="1:16">
      <c r="C3099" s="561" t="s">
        <v>1198</v>
      </c>
      <c r="D3099" s="561">
        <v>0</v>
      </c>
      <c r="F3099" s="561">
        <v>0</v>
      </c>
      <c r="G3099" s="561">
        <v>0</v>
      </c>
      <c r="H3099" s="561">
        <v>0</v>
      </c>
      <c r="I3099" s="561">
        <v>0</v>
      </c>
      <c r="J3099" s="561">
        <v>0</v>
      </c>
      <c r="K3099" s="561">
        <v>0</v>
      </c>
      <c r="L3099" s="561">
        <v>0</v>
      </c>
      <c r="M3099" s="561">
        <v>0</v>
      </c>
      <c r="N3099" s="561">
        <v>0</v>
      </c>
      <c r="O3099" s="561">
        <v>0</v>
      </c>
      <c r="P3099" s="561">
        <v>0</v>
      </c>
    </row>
    <row r="3100" spans="1:16">
      <c r="C3100" s="561" t="s">
        <v>1199</v>
      </c>
      <c r="D3100" s="561">
        <v>32100.59366666666</v>
      </c>
      <c r="E3100" s="561">
        <v>9282</v>
      </c>
      <c r="F3100" s="561">
        <v>22818.59366666666</v>
      </c>
      <c r="G3100" s="561">
        <v>2318</v>
      </c>
      <c r="H3100" s="561">
        <v>33057.411999999997</v>
      </c>
      <c r="I3100" s="561">
        <v>35</v>
      </c>
      <c r="J3100" s="561">
        <v>230.107</v>
      </c>
      <c r="K3100" s="561">
        <v>2315</v>
      </c>
      <c r="L3100" s="561">
        <v>32803.373000000007</v>
      </c>
      <c r="M3100" s="561">
        <v>32803.373</v>
      </c>
      <c r="N3100" s="561">
        <v>9984.7793333333393</v>
      </c>
      <c r="O3100" s="561">
        <v>0</v>
      </c>
      <c r="P3100" s="561">
        <v>22818.59366666666</v>
      </c>
    </row>
    <row r="3101" spans="1:16">
      <c r="B3101" s="561" t="s">
        <v>1496</v>
      </c>
      <c r="C3101" s="561" t="s">
        <v>1202</v>
      </c>
      <c r="O3101" s="561">
        <v>0</v>
      </c>
    </row>
    <row r="3104" spans="1:16">
      <c r="A3104" s="561">
        <v>17</v>
      </c>
      <c r="B3104" s="561" t="s">
        <v>1512</v>
      </c>
      <c r="C3104" s="561" t="s">
        <v>1206</v>
      </c>
      <c r="D3104" s="561">
        <v>376789.95699999994</v>
      </c>
      <c r="E3104" s="561">
        <v>104937</v>
      </c>
      <c r="F3104" s="561">
        <v>271852.95699999999</v>
      </c>
      <c r="G3104" s="561">
        <v>8205</v>
      </c>
      <c r="H3104" s="561">
        <v>397460.50099999993</v>
      </c>
      <c r="I3104" s="561">
        <v>723</v>
      </c>
      <c r="J3104" s="561">
        <v>21318.381000000001</v>
      </c>
      <c r="K3104" s="561">
        <v>8154</v>
      </c>
      <c r="L3104" s="561">
        <v>376789.92699999997</v>
      </c>
      <c r="M3104" s="561">
        <v>376789.92699999997</v>
      </c>
      <c r="N3104" s="561">
        <v>104936.97</v>
      </c>
      <c r="O3104" s="561">
        <v>0</v>
      </c>
      <c r="P3104" s="561">
        <v>271852.95699999999</v>
      </c>
    </row>
    <row r="3105" spans="1:16">
      <c r="C3105" s="561" t="s">
        <v>1197</v>
      </c>
      <c r="D3105" s="561">
        <v>335741.81799999997</v>
      </c>
      <c r="E3105" s="561">
        <v>94227</v>
      </c>
      <c r="F3105" s="561">
        <v>241514.818</v>
      </c>
      <c r="G3105" s="561">
        <v>5429</v>
      </c>
      <c r="H3105" s="561">
        <v>356549.64699999994</v>
      </c>
      <c r="I3105" s="561">
        <v>648</v>
      </c>
      <c r="J3105" s="561">
        <v>20842.32</v>
      </c>
      <c r="K3105" s="561">
        <v>5383</v>
      </c>
      <c r="L3105" s="561">
        <v>336382.71799999999</v>
      </c>
      <c r="M3105" s="561">
        <v>336382.71799999999</v>
      </c>
      <c r="N3105" s="561">
        <v>94867.9</v>
      </c>
      <c r="O3105" s="561">
        <v>0</v>
      </c>
    </row>
    <row r="3106" spans="1:16">
      <c r="C3106" s="561" t="s">
        <v>1198</v>
      </c>
      <c r="D3106" s="561">
        <v>0</v>
      </c>
      <c r="F3106" s="561">
        <v>0</v>
      </c>
      <c r="G3106" s="561">
        <v>0</v>
      </c>
      <c r="H3106" s="561">
        <v>0</v>
      </c>
      <c r="I3106" s="561">
        <v>0</v>
      </c>
      <c r="J3106" s="561">
        <v>0</v>
      </c>
      <c r="K3106" s="561">
        <v>0</v>
      </c>
      <c r="L3106" s="561">
        <v>0</v>
      </c>
      <c r="M3106" s="561">
        <v>0</v>
      </c>
      <c r="N3106" s="561">
        <v>0</v>
      </c>
      <c r="O3106" s="561">
        <v>0</v>
      </c>
      <c r="P3106" s="561">
        <v>0</v>
      </c>
    </row>
    <row r="3107" spans="1:16">
      <c r="C3107" s="561" t="s">
        <v>1199</v>
      </c>
      <c r="D3107" s="561">
        <v>41048.138999999996</v>
      </c>
      <c r="E3107" s="561">
        <v>10710</v>
      </c>
      <c r="F3107" s="561">
        <v>30338.138999999996</v>
      </c>
      <c r="G3107" s="561">
        <v>2776</v>
      </c>
      <c r="H3107" s="561">
        <v>40910.853999999999</v>
      </c>
      <c r="I3107" s="561">
        <v>75</v>
      </c>
      <c r="J3107" s="561">
        <v>476.06100000000009</v>
      </c>
      <c r="K3107" s="561">
        <v>2771</v>
      </c>
      <c r="L3107" s="561">
        <v>40407.208999999995</v>
      </c>
      <c r="M3107" s="561">
        <v>40407.208999999995</v>
      </c>
      <c r="N3107" s="561">
        <v>10069.07</v>
      </c>
      <c r="O3107" s="561">
        <v>0</v>
      </c>
      <c r="P3107" s="561">
        <v>30338.138999999996</v>
      </c>
    </row>
    <row r="3108" spans="1:16">
      <c r="B3108" s="561" t="s">
        <v>1496</v>
      </c>
      <c r="C3108" s="561" t="s">
        <v>1202</v>
      </c>
      <c r="O3108" s="561">
        <v>0</v>
      </c>
    </row>
    <row r="3111" spans="1:16">
      <c r="A3111" s="561">
        <v>18</v>
      </c>
      <c r="B3111" s="561" t="s">
        <v>1513</v>
      </c>
      <c r="C3111" s="561" t="s">
        <v>1206</v>
      </c>
      <c r="D3111" s="561">
        <v>343038.97099999996</v>
      </c>
      <c r="E3111" s="561">
        <v>94811.7</v>
      </c>
      <c r="F3111" s="561">
        <v>248227.27100000001</v>
      </c>
      <c r="G3111" s="561">
        <v>7233</v>
      </c>
      <c r="H3111" s="561">
        <v>359369.00299999997</v>
      </c>
      <c r="I3111" s="561">
        <v>586</v>
      </c>
      <c r="J3111" s="561">
        <v>18638.620999999999</v>
      </c>
      <c r="K3111" s="561">
        <v>7178</v>
      </c>
      <c r="L3111" s="561">
        <v>343038.97100000002</v>
      </c>
      <c r="M3111" s="561">
        <v>343038.97100000002</v>
      </c>
      <c r="N3111" s="561">
        <v>94811.7</v>
      </c>
      <c r="O3111" s="561">
        <v>0</v>
      </c>
      <c r="P3111" s="561">
        <v>248227.27100000001</v>
      </c>
    </row>
    <row r="3112" spans="1:16">
      <c r="C3112" s="561" t="s">
        <v>1197</v>
      </c>
      <c r="D3112" s="561">
        <v>304826.07799999998</v>
      </c>
      <c r="E3112" s="561">
        <v>84315.9</v>
      </c>
      <c r="F3112" s="561">
        <v>220510.17800000001</v>
      </c>
      <c r="G3112" s="561">
        <v>4725</v>
      </c>
      <c r="H3112" s="561">
        <v>320588.50199999998</v>
      </c>
      <c r="I3112" s="561">
        <v>519</v>
      </c>
      <c r="J3112" s="561">
        <v>18110.990999999998</v>
      </c>
      <c r="K3112" s="561">
        <v>4675</v>
      </c>
      <c r="L3112" s="561">
        <v>304819.07800000004</v>
      </c>
      <c r="M3112" s="561">
        <v>304819.07800000004</v>
      </c>
      <c r="N3112" s="561">
        <v>84308.9</v>
      </c>
      <c r="O3112" s="561">
        <v>0</v>
      </c>
    </row>
    <row r="3113" spans="1:16">
      <c r="C3113" s="561" t="s">
        <v>1198</v>
      </c>
      <c r="D3113" s="561">
        <v>0</v>
      </c>
      <c r="F3113" s="561">
        <v>0</v>
      </c>
      <c r="G3113" s="561">
        <v>0</v>
      </c>
      <c r="H3113" s="561">
        <v>0</v>
      </c>
      <c r="I3113" s="561">
        <v>0</v>
      </c>
      <c r="J3113" s="561">
        <v>0</v>
      </c>
      <c r="K3113" s="561">
        <v>0</v>
      </c>
      <c r="L3113" s="561">
        <v>0</v>
      </c>
      <c r="M3113" s="561">
        <v>0</v>
      </c>
      <c r="N3113" s="561">
        <v>0</v>
      </c>
      <c r="O3113" s="561">
        <v>0</v>
      </c>
      <c r="P3113" s="561">
        <v>0</v>
      </c>
    </row>
    <row r="3114" spans="1:16">
      <c r="C3114" s="561" t="s">
        <v>1199</v>
      </c>
      <c r="D3114" s="561">
        <v>38212.892999999996</v>
      </c>
      <c r="E3114" s="561">
        <v>10495.8</v>
      </c>
      <c r="F3114" s="561">
        <v>27717.093000000001</v>
      </c>
      <c r="G3114" s="561">
        <v>2508</v>
      </c>
      <c r="H3114" s="561">
        <v>38780.500999999997</v>
      </c>
      <c r="I3114" s="561">
        <v>67</v>
      </c>
      <c r="J3114" s="561">
        <v>527.63</v>
      </c>
      <c r="K3114" s="561">
        <v>2503</v>
      </c>
      <c r="L3114" s="561">
        <v>38219.892999999996</v>
      </c>
      <c r="M3114" s="561">
        <v>38219.892999999996</v>
      </c>
      <c r="N3114" s="561">
        <v>10502.8</v>
      </c>
      <c r="O3114" s="561">
        <v>0</v>
      </c>
      <c r="P3114" s="561">
        <v>27717.093000000001</v>
      </c>
    </row>
    <row r="3115" spans="1:16">
      <c r="B3115" s="561" t="s">
        <v>1496</v>
      </c>
      <c r="C3115" s="561" t="s">
        <v>1202</v>
      </c>
      <c r="O3115" s="561">
        <v>0</v>
      </c>
    </row>
    <row r="3118" spans="1:16">
      <c r="A3118" s="561">
        <v>19</v>
      </c>
      <c r="B3118" s="561" t="s">
        <v>1514</v>
      </c>
      <c r="C3118" s="561" t="s">
        <v>1206</v>
      </c>
      <c r="D3118" s="561">
        <v>305245.99066666665</v>
      </c>
      <c r="E3118" s="561">
        <v>78673.8</v>
      </c>
      <c r="F3118" s="561">
        <v>226572.19066666669</v>
      </c>
      <c r="G3118" s="561">
        <v>7171</v>
      </c>
      <c r="H3118" s="561">
        <v>321716.75299999991</v>
      </c>
      <c r="I3118" s="561">
        <v>577</v>
      </c>
      <c r="J3118" s="561">
        <v>16986.183000000001</v>
      </c>
      <c r="K3118" s="561">
        <v>7132</v>
      </c>
      <c r="L3118" s="561">
        <v>305245.99066666671</v>
      </c>
      <c r="M3118" s="561">
        <v>305245.99066666671</v>
      </c>
      <c r="N3118" s="561">
        <v>78673.8</v>
      </c>
      <c r="O3118" s="561">
        <v>0</v>
      </c>
      <c r="P3118" s="561">
        <v>226572.19066666669</v>
      </c>
    </row>
    <row r="3119" spans="1:16">
      <c r="C3119" s="561" t="s">
        <v>1197</v>
      </c>
      <c r="D3119" s="561">
        <v>267789.59700000001</v>
      </c>
      <c r="E3119" s="561">
        <v>71533.8</v>
      </c>
      <c r="F3119" s="561">
        <v>196255.79700000002</v>
      </c>
      <c r="G3119" s="561">
        <v>4307</v>
      </c>
      <c r="H3119" s="561">
        <v>283440.49199999991</v>
      </c>
      <c r="I3119" s="561">
        <v>516</v>
      </c>
      <c r="J3119" s="561">
        <v>16601.859</v>
      </c>
      <c r="K3119" s="561">
        <v>4271</v>
      </c>
      <c r="L3119" s="561">
        <v>267387.69700000004</v>
      </c>
      <c r="M3119" s="561">
        <v>267387.69700000004</v>
      </c>
      <c r="N3119" s="561">
        <v>71131.899999999994</v>
      </c>
      <c r="O3119" s="561">
        <v>0</v>
      </c>
    </row>
    <row r="3120" spans="1:16">
      <c r="C3120" s="561" t="s">
        <v>1198</v>
      </c>
      <c r="D3120" s="561">
        <v>0</v>
      </c>
      <c r="F3120" s="561">
        <v>0</v>
      </c>
      <c r="G3120" s="561">
        <v>0</v>
      </c>
      <c r="H3120" s="561">
        <v>0</v>
      </c>
      <c r="I3120" s="561">
        <v>0</v>
      </c>
      <c r="J3120" s="561">
        <v>0</v>
      </c>
      <c r="K3120" s="561">
        <v>0</v>
      </c>
      <c r="L3120" s="561">
        <v>0</v>
      </c>
      <c r="M3120" s="561">
        <v>0</v>
      </c>
      <c r="N3120" s="561">
        <v>0</v>
      </c>
      <c r="O3120" s="561">
        <v>0</v>
      </c>
      <c r="P3120" s="561">
        <v>0</v>
      </c>
    </row>
    <row r="3121" spans="1:38">
      <c r="C3121" s="561" t="s">
        <v>1199</v>
      </c>
      <c r="D3121" s="561">
        <v>37456.393666666663</v>
      </c>
      <c r="E3121" s="561">
        <v>7140</v>
      </c>
      <c r="F3121" s="561">
        <v>30316.393666666663</v>
      </c>
      <c r="G3121" s="561">
        <v>2864</v>
      </c>
      <c r="H3121" s="561">
        <v>38276.260999999999</v>
      </c>
      <c r="I3121" s="561">
        <v>61</v>
      </c>
      <c r="J3121" s="561">
        <v>384.32400000000001</v>
      </c>
      <c r="K3121" s="561">
        <v>2861</v>
      </c>
      <c r="L3121" s="561">
        <v>37858.293666666665</v>
      </c>
      <c r="M3121" s="561">
        <v>37858.293666666665</v>
      </c>
      <c r="N3121" s="561">
        <v>7541.9</v>
      </c>
      <c r="O3121" s="561">
        <v>0</v>
      </c>
      <c r="P3121" s="561">
        <v>30316.393666666663</v>
      </c>
    </row>
    <row r="3122" spans="1:38">
      <c r="B3122" s="561" t="s">
        <v>1496</v>
      </c>
      <c r="C3122" s="561" t="s">
        <v>1202</v>
      </c>
      <c r="O3122" s="561">
        <v>0</v>
      </c>
    </row>
    <row r="3125" spans="1:38" ht="63.75">
      <c r="A3125" s="561">
        <v>20</v>
      </c>
      <c r="B3125" s="620" t="s">
        <v>1515</v>
      </c>
      <c r="C3125" s="561" t="s">
        <v>1206</v>
      </c>
      <c r="D3125" s="561">
        <v>443550.02899999998</v>
      </c>
      <c r="E3125" s="561">
        <v>127665</v>
      </c>
      <c r="F3125" s="561">
        <v>315885.02899999998</v>
      </c>
      <c r="G3125" s="561">
        <v>8329</v>
      </c>
      <c r="H3125" s="561">
        <v>457400.11199999996</v>
      </c>
      <c r="I3125" s="561">
        <v>566</v>
      </c>
      <c r="J3125" s="561">
        <v>15095.260999999999</v>
      </c>
      <c r="K3125" s="561">
        <v>8261</v>
      </c>
      <c r="L3125" s="561">
        <v>443550.03</v>
      </c>
      <c r="M3125" s="561">
        <v>443550.03</v>
      </c>
      <c r="N3125" s="561">
        <v>127665.00099999996</v>
      </c>
      <c r="O3125" s="561">
        <v>0</v>
      </c>
      <c r="P3125" s="561">
        <v>315885.02899999998</v>
      </c>
    </row>
    <row r="3126" spans="1:38">
      <c r="C3126" s="561" t="s">
        <v>1197</v>
      </c>
      <c r="D3126" s="561">
        <v>412272.52399999998</v>
      </c>
      <c r="E3126" s="561">
        <v>121950</v>
      </c>
      <c r="F3126" s="561">
        <v>290322.52399999998</v>
      </c>
      <c r="G3126" s="561">
        <v>6554</v>
      </c>
      <c r="H3126" s="561">
        <v>425053.94799999997</v>
      </c>
      <c r="I3126" s="561">
        <v>518</v>
      </c>
      <c r="J3126" s="561">
        <v>14837.87</v>
      </c>
      <c r="K3126" s="561">
        <v>6502</v>
      </c>
      <c r="L3126" s="561">
        <v>411551.56499999994</v>
      </c>
      <c r="M3126" s="561">
        <v>411551.56499999994</v>
      </c>
      <c r="N3126" s="561">
        <v>121229.04099999997</v>
      </c>
      <c r="O3126" s="561">
        <v>0</v>
      </c>
    </row>
    <row r="3127" spans="1:38">
      <c r="C3127" s="561" t="s">
        <v>1198</v>
      </c>
      <c r="D3127" s="561">
        <v>8602.2369999999992</v>
      </c>
      <c r="E3127" s="561">
        <v>705</v>
      </c>
      <c r="F3127" s="561">
        <v>7897.2369999999992</v>
      </c>
      <c r="G3127" s="561">
        <v>15</v>
      </c>
      <c r="H3127" s="561">
        <v>8699.9369999999999</v>
      </c>
      <c r="I3127" s="561">
        <v>0</v>
      </c>
      <c r="J3127" s="561">
        <v>0</v>
      </c>
      <c r="K3127" s="561">
        <v>15</v>
      </c>
      <c r="L3127" s="561">
        <v>8699.9369999999981</v>
      </c>
      <c r="M3127" s="561">
        <v>8699.9369999999981</v>
      </c>
      <c r="N3127" s="561">
        <v>802.69999999999891</v>
      </c>
      <c r="O3127" s="561">
        <v>0</v>
      </c>
      <c r="AL3127" s="561">
        <v>7897.2369999999992</v>
      </c>
    </row>
    <row r="3128" spans="1:38">
      <c r="C3128" s="561" t="s">
        <v>1199</v>
      </c>
      <c r="D3128" s="561">
        <v>22675.268000000004</v>
      </c>
      <c r="E3128" s="561">
        <v>5010</v>
      </c>
      <c r="F3128" s="561">
        <v>17665.268000000004</v>
      </c>
      <c r="G3128" s="561">
        <v>1760</v>
      </c>
      <c r="H3128" s="561">
        <v>23646.226999999999</v>
      </c>
      <c r="I3128" s="561">
        <v>48</v>
      </c>
      <c r="J3128" s="561">
        <v>257.39100000000002</v>
      </c>
      <c r="K3128" s="561">
        <v>1744</v>
      </c>
      <c r="L3128" s="561">
        <v>23298.528000000002</v>
      </c>
      <c r="M3128" s="561">
        <v>23298.528000000002</v>
      </c>
      <c r="N3128" s="561">
        <v>5633.26</v>
      </c>
      <c r="O3128" s="561">
        <v>0</v>
      </c>
      <c r="P3128" s="561">
        <v>17665.268000000004</v>
      </c>
    </row>
    <row r="3129" spans="1:38">
      <c r="B3129" s="561" t="s">
        <v>1496</v>
      </c>
      <c r="C3129" s="561" t="s">
        <v>1202</v>
      </c>
      <c r="G3129" s="561">
        <v>0</v>
      </c>
      <c r="H3129" s="561">
        <v>0</v>
      </c>
      <c r="I3129" s="561">
        <v>0</v>
      </c>
      <c r="J3129" s="561">
        <v>0</v>
      </c>
      <c r="K3129" s="561">
        <v>0</v>
      </c>
      <c r="L3129" s="561">
        <v>0</v>
      </c>
      <c r="O3129" s="561">
        <v>0</v>
      </c>
    </row>
    <row r="3132" spans="1:38">
      <c r="A3132" s="561">
        <v>21</v>
      </c>
      <c r="B3132" s="561" t="s">
        <v>1516</v>
      </c>
      <c r="C3132" s="561" t="s">
        <v>1206</v>
      </c>
      <c r="D3132" s="561">
        <v>58309.967999999993</v>
      </c>
      <c r="E3132" s="561">
        <v>17493</v>
      </c>
      <c r="F3132" s="561">
        <v>40816.967999999993</v>
      </c>
      <c r="G3132" s="561">
        <v>1775</v>
      </c>
      <c r="H3132" s="561">
        <v>58559.766999999993</v>
      </c>
      <c r="I3132" s="561">
        <v>20</v>
      </c>
      <c r="J3132" s="561">
        <v>236.857</v>
      </c>
      <c r="K3132" s="561">
        <v>1774</v>
      </c>
      <c r="L3132" s="561">
        <v>58309.967999999993</v>
      </c>
      <c r="M3132" s="561">
        <v>58309.967999999993</v>
      </c>
      <c r="N3132" s="561">
        <v>17493</v>
      </c>
      <c r="O3132" s="561">
        <v>0</v>
      </c>
      <c r="P3132" s="561">
        <v>40816.967999999993</v>
      </c>
    </row>
    <row r="3133" spans="1:38">
      <c r="C3133" s="561" t="s">
        <v>1197</v>
      </c>
      <c r="D3133" s="561">
        <v>41116.256999999998</v>
      </c>
      <c r="E3133" s="561">
        <v>12534</v>
      </c>
      <c r="F3133" s="561">
        <v>28582.256999999998</v>
      </c>
      <c r="G3133" s="561">
        <v>652</v>
      </c>
      <c r="H3133" s="561">
        <v>41845.695999999996</v>
      </c>
      <c r="I3133" s="561">
        <v>13</v>
      </c>
      <c r="J3133" s="561">
        <v>187.46</v>
      </c>
      <c r="K3133" s="561">
        <v>652</v>
      </c>
      <c r="L3133" s="561">
        <v>41667.256999999998</v>
      </c>
      <c r="M3133" s="561">
        <v>41667.256999999998</v>
      </c>
      <c r="N3133" s="561">
        <v>13085</v>
      </c>
      <c r="O3133" s="561">
        <v>0</v>
      </c>
    </row>
    <row r="3134" spans="1:38">
      <c r="C3134" s="561" t="s">
        <v>1198</v>
      </c>
      <c r="D3134" s="561">
        <v>0</v>
      </c>
      <c r="F3134" s="561">
        <v>0</v>
      </c>
      <c r="G3134" s="561">
        <v>0</v>
      </c>
      <c r="H3134" s="561">
        <v>0</v>
      </c>
      <c r="I3134" s="561">
        <v>0</v>
      </c>
      <c r="J3134" s="561">
        <v>0</v>
      </c>
      <c r="K3134" s="561">
        <v>0</v>
      </c>
      <c r="L3134" s="561">
        <v>0</v>
      </c>
      <c r="M3134" s="561">
        <v>0</v>
      </c>
      <c r="N3134" s="561">
        <v>0</v>
      </c>
      <c r="O3134" s="561">
        <v>0</v>
      </c>
      <c r="P3134" s="561">
        <v>0</v>
      </c>
    </row>
    <row r="3135" spans="1:38">
      <c r="C3135" s="561" t="s">
        <v>1199</v>
      </c>
      <c r="D3135" s="561">
        <v>17193.710999999999</v>
      </c>
      <c r="E3135" s="561">
        <v>4959</v>
      </c>
      <c r="F3135" s="561">
        <v>12234.710999999999</v>
      </c>
      <c r="G3135" s="561">
        <v>1123</v>
      </c>
      <c r="H3135" s="561">
        <v>16714.071</v>
      </c>
      <c r="I3135" s="561">
        <v>7</v>
      </c>
      <c r="J3135" s="561">
        <v>49.396999999999998</v>
      </c>
      <c r="K3135" s="561">
        <v>1122</v>
      </c>
      <c r="L3135" s="561">
        <v>16642.710999999999</v>
      </c>
      <c r="M3135" s="561">
        <v>16642.710999999999</v>
      </c>
      <c r="N3135" s="561">
        <v>4408</v>
      </c>
      <c r="O3135" s="561">
        <v>0</v>
      </c>
      <c r="P3135" s="561">
        <v>12234.710999999999</v>
      </c>
    </row>
    <row r="3136" spans="1:38">
      <c r="B3136" s="561" t="s">
        <v>1496</v>
      </c>
      <c r="C3136" s="561" t="s">
        <v>1202</v>
      </c>
      <c r="O3136" s="561">
        <v>0</v>
      </c>
    </row>
    <row r="3139" spans="1:16">
      <c r="A3139" s="561">
        <v>22</v>
      </c>
      <c r="B3139" s="561" t="s">
        <v>1517</v>
      </c>
      <c r="C3139" s="561" t="s">
        <v>1206</v>
      </c>
      <c r="D3139" s="561">
        <v>14917.965</v>
      </c>
      <c r="E3139" s="561">
        <v>4475.3999999999996</v>
      </c>
      <c r="F3139" s="561">
        <v>10442.565000000001</v>
      </c>
      <c r="G3139" s="561">
        <v>397</v>
      </c>
      <c r="H3139" s="561">
        <v>15025.072999999999</v>
      </c>
      <c r="I3139" s="561">
        <v>5</v>
      </c>
      <c r="J3139" s="561">
        <v>84.74799999999999</v>
      </c>
      <c r="K3139" s="561">
        <v>396</v>
      </c>
      <c r="L3139" s="561">
        <v>14917.965</v>
      </c>
      <c r="M3139" s="561">
        <v>14917.965</v>
      </c>
      <c r="N3139" s="561">
        <v>4475.3999999999996</v>
      </c>
      <c r="O3139" s="561">
        <v>0</v>
      </c>
      <c r="P3139" s="561">
        <v>10442.565000000001</v>
      </c>
    </row>
    <row r="3140" spans="1:16">
      <c r="C3140" s="561" t="s">
        <v>1197</v>
      </c>
      <c r="D3140" s="561">
        <v>13486.817000000001</v>
      </c>
      <c r="E3140" s="561">
        <v>4065</v>
      </c>
      <c r="F3140" s="561">
        <v>9421.8170000000009</v>
      </c>
      <c r="G3140" s="561">
        <v>278</v>
      </c>
      <c r="H3140" s="561">
        <v>13650.253999999999</v>
      </c>
      <c r="I3140" s="561">
        <v>4</v>
      </c>
      <c r="J3140" s="561">
        <v>78.277999999999992</v>
      </c>
      <c r="K3140" s="561">
        <v>277</v>
      </c>
      <c r="L3140" s="561">
        <v>13549.317000000001</v>
      </c>
      <c r="M3140" s="561">
        <v>13549.317000000001</v>
      </c>
      <c r="N3140" s="561">
        <v>4127.5</v>
      </c>
      <c r="O3140" s="561">
        <v>0</v>
      </c>
    </row>
    <row r="3141" spans="1:16">
      <c r="C3141" s="561" t="s">
        <v>1198</v>
      </c>
      <c r="D3141" s="561">
        <v>0</v>
      </c>
      <c r="F3141" s="561">
        <v>0</v>
      </c>
      <c r="G3141" s="561">
        <v>0</v>
      </c>
      <c r="H3141" s="561">
        <v>0</v>
      </c>
      <c r="I3141" s="561">
        <v>0</v>
      </c>
      <c r="J3141" s="561">
        <v>0</v>
      </c>
      <c r="K3141" s="561">
        <v>0</v>
      </c>
      <c r="L3141" s="561">
        <v>0</v>
      </c>
      <c r="M3141" s="561">
        <v>0</v>
      </c>
      <c r="N3141" s="561">
        <v>0</v>
      </c>
      <c r="O3141" s="561">
        <v>0</v>
      </c>
      <c r="P3141" s="561">
        <v>0</v>
      </c>
    </row>
    <row r="3142" spans="1:16">
      <c r="C3142" s="561" t="s">
        <v>1199</v>
      </c>
      <c r="D3142" s="561">
        <v>1431.1479999999999</v>
      </c>
      <c r="E3142" s="561">
        <v>410.4</v>
      </c>
      <c r="F3142" s="561">
        <v>1020.7479999999999</v>
      </c>
      <c r="G3142" s="561">
        <v>119</v>
      </c>
      <c r="H3142" s="561">
        <v>1374.8189999999997</v>
      </c>
      <c r="I3142" s="561">
        <v>1</v>
      </c>
      <c r="J3142" s="561">
        <v>6.47</v>
      </c>
      <c r="K3142" s="561">
        <v>119</v>
      </c>
      <c r="L3142" s="561">
        <v>1368.6479999999999</v>
      </c>
      <c r="M3142" s="561">
        <v>1368.6479999999999</v>
      </c>
      <c r="N3142" s="561">
        <v>347.9</v>
      </c>
      <c r="O3142" s="561">
        <v>0</v>
      </c>
      <c r="P3142" s="561">
        <v>1020.7479999999999</v>
      </c>
    </row>
    <row r="3143" spans="1:16">
      <c r="B3143" s="561" t="s">
        <v>1496</v>
      </c>
      <c r="C3143" s="561" t="s">
        <v>1202</v>
      </c>
      <c r="G3143" s="561">
        <v>0</v>
      </c>
      <c r="H3143" s="561">
        <v>0</v>
      </c>
      <c r="I3143" s="561">
        <v>0</v>
      </c>
      <c r="J3143" s="561">
        <v>0</v>
      </c>
      <c r="K3143" s="561">
        <v>0</v>
      </c>
      <c r="L3143" s="561">
        <v>0</v>
      </c>
      <c r="O3143" s="561">
        <v>0</v>
      </c>
    </row>
    <row r="3146" spans="1:16">
      <c r="A3146" s="561">
        <v>23</v>
      </c>
      <c r="B3146" s="561" t="s">
        <v>1518</v>
      </c>
      <c r="C3146" s="561" t="s">
        <v>1206</v>
      </c>
      <c r="D3146" s="561">
        <v>111649.999</v>
      </c>
      <c r="E3146" s="561">
        <v>31095</v>
      </c>
      <c r="F3146" s="561">
        <v>80554.998999999996</v>
      </c>
      <c r="G3146" s="561">
        <v>1919</v>
      </c>
      <c r="H3146" s="561">
        <v>112116.64</v>
      </c>
      <c r="I3146" s="561">
        <v>34</v>
      </c>
      <c r="J3146" s="561">
        <v>466.26600000000008</v>
      </c>
      <c r="K3146" s="561">
        <v>1917</v>
      </c>
      <c r="L3146" s="561">
        <v>111649.999</v>
      </c>
      <c r="M3146" s="561">
        <v>111649.999</v>
      </c>
      <c r="N3146" s="561">
        <v>31095</v>
      </c>
      <c r="O3146" s="561">
        <v>0</v>
      </c>
      <c r="P3146" s="561">
        <v>80554.998999999996</v>
      </c>
    </row>
    <row r="3147" spans="1:16">
      <c r="C3147" s="561" t="s">
        <v>1197</v>
      </c>
      <c r="D3147" s="561">
        <v>105641.00199999999</v>
      </c>
      <c r="E3147" s="561">
        <v>29320</v>
      </c>
      <c r="F3147" s="561">
        <v>76321.001999999993</v>
      </c>
      <c r="G3147" s="561">
        <v>1418</v>
      </c>
      <c r="H3147" s="561">
        <v>106297.478</v>
      </c>
      <c r="I3147" s="561">
        <v>32</v>
      </c>
      <c r="J3147" s="561">
        <v>458.50200000000007</v>
      </c>
      <c r="K3147" s="561">
        <v>1416</v>
      </c>
      <c r="L3147" s="561">
        <v>105838.602</v>
      </c>
      <c r="M3147" s="561">
        <v>105838.602</v>
      </c>
      <c r="N3147" s="561">
        <v>29517.599999999999</v>
      </c>
      <c r="O3147" s="561">
        <v>0</v>
      </c>
    </row>
    <row r="3148" spans="1:16">
      <c r="C3148" s="561" t="s">
        <v>1198</v>
      </c>
      <c r="D3148" s="561">
        <v>0</v>
      </c>
      <c r="F3148" s="561">
        <v>0</v>
      </c>
      <c r="G3148" s="561">
        <v>0</v>
      </c>
      <c r="H3148" s="561">
        <v>0</v>
      </c>
      <c r="I3148" s="561">
        <v>0</v>
      </c>
      <c r="J3148" s="561">
        <v>0</v>
      </c>
      <c r="K3148" s="561">
        <v>0</v>
      </c>
      <c r="L3148" s="561">
        <v>0</v>
      </c>
      <c r="M3148" s="561">
        <v>0</v>
      </c>
      <c r="N3148" s="561">
        <v>0</v>
      </c>
      <c r="O3148" s="561">
        <v>0</v>
      </c>
      <c r="P3148" s="561">
        <v>0</v>
      </c>
    </row>
    <row r="3149" spans="1:16">
      <c r="C3149" s="561" t="s">
        <v>1199</v>
      </c>
      <c r="D3149" s="561">
        <v>6008.9970000000003</v>
      </c>
      <c r="E3149" s="561">
        <v>1775</v>
      </c>
      <c r="F3149" s="561">
        <v>4233.9970000000003</v>
      </c>
      <c r="G3149" s="561">
        <v>501</v>
      </c>
      <c r="H3149" s="561">
        <v>5819.1620000000003</v>
      </c>
      <c r="I3149" s="561">
        <v>2</v>
      </c>
      <c r="J3149" s="561">
        <v>7.7640000000000002</v>
      </c>
      <c r="K3149" s="561">
        <v>501</v>
      </c>
      <c r="L3149" s="561">
        <v>5811.3969999999999</v>
      </c>
      <c r="M3149" s="561">
        <v>5811.3969999999999</v>
      </c>
      <c r="N3149" s="561">
        <v>1577.4</v>
      </c>
      <c r="O3149" s="561">
        <v>0</v>
      </c>
      <c r="P3149" s="561">
        <v>4233.9970000000003</v>
      </c>
    </row>
    <row r="3150" spans="1:16">
      <c r="B3150" s="561" t="s">
        <v>1496</v>
      </c>
      <c r="C3150" s="561" t="s">
        <v>1202</v>
      </c>
      <c r="G3150" s="561">
        <v>0</v>
      </c>
      <c r="H3150" s="561">
        <v>0</v>
      </c>
      <c r="I3150" s="561">
        <v>0</v>
      </c>
      <c r="J3150" s="561">
        <v>0</v>
      </c>
      <c r="K3150" s="561">
        <v>0</v>
      </c>
      <c r="L3150" s="561">
        <v>0</v>
      </c>
      <c r="O3150" s="561">
        <v>0</v>
      </c>
    </row>
    <row r="3153" spans="1:38">
      <c r="A3153" s="561">
        <v>24</v>
      </c>
      <c r="B3153" s="561" t="s">
        <v>1519</v>
      </c>
      <c r="C3153" s="561" t="s">
        <v>1206</v>
      </c>
      <c r="D3153" s="561">
        <v>44853.000999999997</v>
      </c>
      <c r="E3153" s="561">
        <v>13455.9</v>
      </c>
      <c r="F3153" s="561">
        <v>31397.101000000002</v>
      </c>
      <c r="G3153" s="561">
        <v>844</v>
      </c>
      <c r="H3153" s="561">
        <v>44917.303</v>
      </c>
      <c r="I3153" s="561">
        <v>3</v>
      </c>
      <c r="J3153" s="561">
        <v>60.338999999999999</v>
      </c>
      <c r="K3153" s="561">
        <v>844</v>
      </c>
      <c r="L3153" s="561">
        <v>44853.000999999997</v>
      </c>
      <c r="M3153" s="561">
        <v>44853.001000000004</v>
      </c>
      <c r="N3153" s="561">
        <v>13455.9</v>
      </c>
      <c r="O3153" s="561">
        <v>0</v>
      </c>
      <c r="P3153" s="561">
        <v>31397.101000000002</v>
      </c>
    </row>
    <row r="3154" spans="1:38">
      <c r="C3154" s="561" t="s">
        <v>1197</v>
      </c>
      <c r="D3154" s="561">
        <v>44025.159</v>
      </c>
      <c r="E3154" s="561">
        <v>13111.5</v>
      </c>
      <c r="F3154" s="561">
        <v>30913.659000000003</v>
      </c>
      <c r="G3154" s="561">
        <v>841</v>
      </c>
      <c r="H3154" s="561">
        <v>44166.260999999999</v>
      </c>
      <c r="I3154" s="561">
        <v>3</v>
      </c>
      <c r="J3154" s="561">
        <v>60.338999999999999</v>
      </c>
      <c r="K3154" s="561">
        <v>841</v>
      </c>
      <c r="L3154" s="561">
        <v>44101.958999999995</v>
      </c>
      <c r="M3154" s="561">
        <v>44101.959000000003</v>
      </c>
      <c r="N3154" s="561">
        <v>13188.3</v>
      </c>
      <c r="O3154" s="561">
        <v>0</v>
      </c>
    </row>
    <row r="3155" spans="1:38">
      <c r="C3155" s="561" t="s">
        <v>1198</v>
      </c>
      <c r="D3155" s="561">
        <v>827.84199999999987</v>
      </c>
      <c r="E3155" s="561">
        <v>344.4</v>
      </c>
      <c r="F3155" s="561">
        <v>483.44199999999989</v>
      </c>
      <c r="G3155" s="561">
        <v>3</v>
      </c>
      <c r="H3155" s="561">
        <v>751.04199999999992</v>
      </c>
      <c r="I3155" s="561">
        <v>0</v>
      </c>
      <c r="J3155" s="561">
        <v>0</v>
      </c>
      <c r="K3155" s="561">
        <v>3</v>
      </c>
      <c r="L3155" s="561">
        <v>751.04200000000003</v>
      </c>
      <c r="M3155" s="561">
        <v>751.04199999999992</v>
      </c>
      <c r="N3155" s="561">
        <v>267.60000000000002</v>
      </c>
      <c r="O3155" s="561">
        <v>0</v>
      </c>
      <c r="AL3155" s="561">
        <v>483.44199999999989</v>
      </c>
    </row>
    <row r="3156" spans="1:38">
      <c r="C3156" s="561" t="s">
        <v>1199</v>
      </c>
      <c r="D3156" s="561">
        <v>0</v>
      </c>
      <c r="F3156" s="561">
        <v>0</v>
      </c>
      <c r="G3156" s="561">
        <v>0</v>
      </c>
      <c r="H3156" s="561">
        <v>0</v>
      </c>
      <c r="I3156" s="561">
        <v>0</v>
      </c>
      <c r="J3156" s="561">
        <v>0</v>
      </c>
      <c r="K3156" s="561">
        <v>0</v>
      </c>
      <c r="L3156" s="561">
        <v>0</v>
      </c>
      <c r="M3156" s="561">
        <v>0</v>
      </c>
      <c r="N3156" s="561">
        <v>0</v>
      </c>
      <c r="O3156" s="561">
        <v>0</v>
      </c>
      <c r="P3156" s="561">
        <v>0</v>
      </c>
    </row>
    <row r="3157" spans="1:38">
      <c r="B3157" s="561" t="s">
        <v>1496</v>
      </c>
      <c r="C3157" s="561" t="s">
        <v>1202</v>
      </c>
      <c r="G3157" s="561">
        <v>0</v>
      </c>
      <c r="H3157" s="561">
        <v>0</v>
      </c>
      <c r="I3157" s="561">
        <v>0</v>
      </c>
      <c r="J3157" s="561">
        <v>0</v>
      </c>
      <c r="K3157" s="561">
        <v>0</v>
      </c>
      <c r="L3157" s="561">
        <v>0</v>
      </c>
      <c r="O3157" s="561">
        <v>0</v>
      </c>
    </row>
    <row r="3160" spans="1:38">
      <c r="A3160" s="561">
        <v>25</v>
      </c>
      <c r="B3160" s="561" t="s">
        <v>1520</v>
      </c>
      <c r="C3160" s="561" t="s">
        <v>1206</v>
      </c>
      <c r="D3160" s="561">
        <v>26118.031333333332</v>
      </c>
      <c r="E3160" s="561">
        <v>4914</v>
      </c>
      <c r="F3160" s="561">
        <v>21204.031333333332</v>
      </c>
      <c r="G3160" s="561">
        <v>175</v>
      </c>
      <c r="H3160" s="561">
        <v>26283.762999999999</v>
      </c>
      <c r="I3160" s="561">
        <v>13</v>
      </c>
      <c r="J3160" s="561">
        <v>152.24299999999999</v>
      </c>
      <c r="K3160" s="561">
        <v>174</v>
      </c>
      <c r="L3160" s="561">
        <v>26118.031333333329</v>
      </c>
      <c r="M3160" s="561">
        <v>26118.031333333329</v>
      </c>
      <c r="N3160" s="561">
        <v>4914</v>
      </c>
      <c r="O3160" s="561">
        <v>0</v>
      </c>
      <c r="P3160" s="561">
        <v>21204.031333333332</v>
      </c>
    </row>
    <row r="3161" spans="1:38">
      <c r="C3161" s="561" t="s">
        <v>1197</v>
      </c>
      <c r="D3161" s="561">
        <v>8900.56</v>
      </c>
      <c r="E3161" s="561">
        <v>2688</v>
      </c>
      <c r="F3161" s="561">
        <v>6212.56</v>
      </c>
      <c r="G3161" s="561">
        <v>116</v>
      </c>
      <c r="H3161" s="561">
        <v>8855.1010000000006</v>
      </c>
      <c r="I3161" s="561">
        <v>13</v>
      </c>
      <c r="J3161" s="561">
        <v>152.24299999999999</v>
      </c>
      <c r="K3161" s="561">
        <v>115</v>
      </c>
      <c r="L3161" s="561">
        <v>8702.8933333333334</v>
      </c>
      <c r="M3161" s="561">
        <v>8702.8933333333334</v>
      </c>
      <c r="N3161" s="561">
        <v>2490.3333333333339</v>
      </c>
      <c r="O3161" s="561">
        <v>0</v>
      </c>
    </row>
    <row r="3162" spans="1:38">
      <c r="C3162" s="561" t="s">
        <v>1198</v>
      </c>
      <c r="D3162" s="561">
        <v>17217.471333333331</v>
      </c>
      <c r="E3162" s="561">
        <v>2226</v>
      </c>
      <c r="F3162" s="561">
        <v>14991.471333333331</v>
      </c>
      <c r="G3162" s="561">
        <v>59</v>
      </c>
      <c r="H3162" s="561">
        <v>17428.661999999997</v>
      </c>
      <c r="I3162" s="561">
        <v>0</v>
      </c>
      <c r="J3162" s="561">
        <v>0</v>
      </c>
      <c r="K3162" s="561">
        <v>59</v>
      </c>
      <c r="L3162" s="561">
        <v>17415.137999999995</v>
      </c>
      <c r="M3162" s="561">
        <v>17415.137999999995</v>
      </c>
      <c r="N3162" s="561">
        <v>2423.6666666666661</v>
      </c>
      <c r="O3162" s="561">
        <v>0</v>
      </c>
      <c r="AL3162" s="561">
        <v>14991.471333333331</v>
      </c>
    </row>
    <row r="3163" spans="1:38">
      <c r="C3163" s="561" t="s">
        <v>1199</v>
      </c>
      <c r="D3163" s="561">
        <v>0</v>
      </c>
      <c r="F3163" s="561">
        <v>0</v>
      </c>
      <c r="G3163" s="561">
        <v>0</v>
      </c>
      <c r="H3163" s="561">
        <v>0</v>
      </c>
      <c r="I3163" s="561">
        <v>0</v>
      </c>
      <c r="J3163" s="561">
        <v>0</v>
      </c>
      <c r="K3163" s="561">
        <v>0</v>
      </c>
      <c r="L3163" s="561">
        <v>0</v>
      </c>
      <c r="M3163" s="561">
        <v>0</v>
      </c>
      <c r="N3163" s="561">
        <v>0</v>
      </c>
      <c r="O3163" s="561">
        <v>0</v>
      </c>
      <c r="P3163" s="561">
        <v>0</v>
      </c>
    </row>
    <row r="3164" spans="1:38">
      <c r="B3164" s="561" t="s">
        <v>1496</v>
      </c>
      <c r="C3164" s="561" t="s">
        <v>1202</v>
      </c>
      <c r="G3164" s="561">
        <v>0</v>
      </c>
      <c r="H3164" s="561">
        <v>0</v>
      </c>
      <c r="I3164" s="561">
        <v>0</v>
      </c>
      <c r="J3164" s="561">
        <v>0</v>
      </c>
      <c r="K3164" s="561">
        <v>0</v>
      </c>
      <c r="L3164" s="561">
        <v>0</v>
      </c>
      <c r="O3164" s="561">
        <v>0</v>
      </c>
    </row>
    <row r="3167" spans="1:38">
      <c r="A3167" s="561">
        <v>26</v>
      </c>
      <c r="B3167" s="561" t="s">
        <v>1521</v>
      </c>
      <c r="C3167" s="561" t="s">
        <v>1206</v>
      </c>
      <c r="D3167" s="561">
        <v>34485.028999999995</v>
      </c>
      <c r="E3167" s="561">
        <v>9295.5</v>
      </c>
      <c r="F3167" s="561">
        <v>25189.528999999999</v>
      </c>
      <c r="G3167" s="561">
        <v>435</v>
      </c>
      <c r="H3167" s="561">
        <v>34936.978999999999</v>
      </c>
      <c r="I3167" s="561">
        <v>24</v>
      </c>
      <c r="J3167" s="561">
        <v>472.82399999999996</v>
      </c>
      <c r="K3167" s="561">
        <v>435</v>
      </c>
      <c r="L3167" s="561">
        <v>34485.029000000002</v>
      </c>
      <c r="M3167" s="561">
        <v>34485.029000000002</v>
      </c>
      <c r="N3167" s="561">
        <v>9295.5</v>
      </c>
      <c r="O3167" s="561">
        <v>0</v>
      </c>
      <c r="P3167" s="561">
        <v>25189.528999999999</v>
      </c>
    </row>
    <row r="3168" spans="1:38">
      <c r="C3168" s="561" t="s">
        <v>1197</v>
      </c>
      <c r="D3168" s="561">
        <v>34485.028999999995</v>
      </c>
      <c r="E3168" s="561">
        <v>9295.5</v>
      </c>
      <c r="F3168" s="561">
        <v>25189.528999999999</v>
      </c>
      <c r="G3168" s="561">
        <v>435</v>
      </c>
      <c r="H3168" s="561">
        <v>34936.978999999999</v>
      </c>
      <c r="I3168" s="561">
        <v>24</v>
      </c>
      <c r="J3168" s="561">
        <v>472.82399999999996</v>
      </c>
      <c r="K3168" s="561">
        <v>435</v>
      </c>
      <c r="L3168" s="561">
        <v>34485.029000000002</v>
      </c>
      <c r="M3168" s="561">
        <v>34485.029000000002</v>
      </c>
      <c r="N3168" s="561">
        <v>9295.5</v>
      </c>
      <c r="O3168" s="561">
        <v>0</v>
      </c>
    </row>
    <row r="3169" spans="1:16">
      <c r="C3169" s="561" t="s">
        <v>1198</v>
      </c>
      <c r="D3169" s="561">
        <v>0</v>
      </c>
      <c r="F3169" s="561">
        <v>0</v>
      </c>
      <c r="G3169" s="561">
        <v>0</v>
      </c>
      <c r="H3169" s="561">
        <v>0</v>
      </c>
      <c r="I3169" s="561">
        <v>0</v>
      </c>
      <c r="J3169" s="561">
        <v>0</v>
      </c>
      <c r="K3169" s="561">
        <v>0</v>
      </c>
      <c r="L3169" s="561">
        <v>0</v>
      </c>
      <c r="M3169" s="561">
        <v>0</v>
      </c>
      <c r="N3169" s="561">
        <v>0</v>
      </c>
      <c r="O3169" s="561">
        <v>0</v>
      </c>
      <c r="P3169" s="561">
        <v>0</v>
      </c>
    </row>
    <row r="3170" spans="1:16">
      <c r="C3170" s="561" t="s">
        <v>1199</v>
      </c>
      <c r="D3170" s="561">
        <v>0</v>
      </c>
      <c r="F3170" s="561">
        <v>0</v>
      </c>
      <c r="G3170" s="561">
        <v>0</v>
      </c>
      <c r="H3170" s="561">
        <v>0</v>
      </c>
      <c r="I3170" s="561">
        <v>0</v>
      </c>
      <c r="J3170" s="561">
        <v>0</v>
      </c>
      <c r="K3170" s="561">
        <v>0</v>
      </c>
      <c r="L3170" s="561">
        <v>0</v>
      </c>
      <c r="M3170" s="561">
        <v>0</v>
      </c>
      <c r="N3170" s="561">
        <v>0</v>
      </c>
      <c r="O3170" s="561">
        <v>0</v>
      </c>
      <c r="P3170" s="561">
        <v>0</v>
      </c>
    </row>
    <row r="3171" spans="1:16">
      <c r="B3171" s="561" t="s">
        <v>1496</v>
      </c>
      <c r="C3171" s="561" t="s">
        <v>1202</v>
      </c>
      <c r="G3171" s="561">
        <v>0</v>
      </c>
      <c r="H3171" s="561">
        <v>0</v>
      </c>
      <c r="I3171" s="561">
        <v>0</v>
      </c>
      <c r="J3171" s="561">
        <v>0</v>
      </c>
      <c r="K3171" s="561">
        <v>0</v>
      </c>
      <c r="L3171" s="561">
        <v>0</v>
      </c>
      <c r="O3171" s="561">
        <v>0</v>
      </c>
    </row>
    <row r="3174" spans="1:16">
      <c r="A3174" s="561">
        <v>27</v>
      </c>
      <c r="B3174" s="561" t="s">
        <v>1522</v>
      </c>
      <c r="C3174" s="561" t="s">
        <v>1206</v>
      </c>
      <c r="D3174" s="561">
        <v>18020.951999999997</v>
      </c>
      <c r="E3174" s="561">
        <v>4506.3</v>
      </c>
      <c r="F3174" s="561">
        <v>13514.651999999998</v>
      </c>
      <c r="G3174" s="561">
        <v>208</v>
      </c>
      <c r="H3174" s="561">
        <v>19082.668999999998</v>
      </c>
      <c r="I3174" s="561">
        <v>18</v>
      </c>
      <c r="J3174" s="561">
        <v>969.69100000000003</v>
      </c>
      <c r="K3174" s="561">
        <v>202</v>
      </c>
      <c r="L3174" s="561">
        <v>18020.951999999997</v>
      </c>
      <c r="M3174" s="561">
        <v>18020.951999999997</v>
      </c>
      <c r="N3174" s="561">
        <v>4506.3</v>
      </c>
      <c r="O3174" s="561">
        <v>0</v>
      </c>
      <c r="P3174" s="561">
        <v>13514.651999999998</v>
      </c>
    </row>
    <row r="3175" spans="1:16">
      <c r="C3175" s="561" t="s">
        <v>1197</v>
      </c>
      <c r="D3175" s="561">
        <v>18020.951999999997</v>
      </c>
      <c r="E3175" s="561">
        <v>4506.3</v>
      </c>
      <c r="F3175" s="561">
        <v>13514.651999999998</v>
      </c>
      <c r="G3175" s="561">
        <v>208</v>
      </c>
      <c r="H3175" s="561">
        <v>19082.668999999998</v>
      </c>
      <c r="I3175" s="561">
        <v>18</v>
      </c>
      <c r="J3175" s="561">
        <v>969.69100000000003</v>
      </c>
      <c r="K3175" s="561">
        <v>202</v>
      </c>
      <c r="L3175" s="561">
        <v>18020.951999999997</v>
      </c>
      <c r="M3175" s="561">
        <v>18020.951999999997</v>
      </c>
      <c r="N3175" s="561">
        <v>4506.3</v>
      </c>
      <c r="O3175" s="561">
        <v>0</v>
      </c>
    </row>
    <row r="3176" spans="1:16">
      <c r="C3176" s="561" t="s">
        <v>1198</v>
      </c>
      <c r="D3176" s="561">
        <v>0</v>
      </c>
      <c r="F3176" s="561">
        <v>0</v>
      </c>
      <c r="G3176" s="561">
        <v>0</v>
      </c>
      <c r="H3176" s="561">
        <v>0</v>
      </c>
      <c r="I3176" s="561">
        <v>0</v>
      </c>
      <c r="J3176" s="561">
        <v>0</v>
      </c>
      <c r="K3176" s="561">
        <v>0</v>
      </c>
      <c r="L3176" s="561">
        <v>0</v>
      </c>
      <c r="M3176" s="561">
        <v>0</v>
      </c>
      <c r="N3176" s="561">
        <v>0</v>
      </c>
      <c r="O3176" s="561">
        <v>0</v>
      </c>
      <c r="P3176" s="561">
        <v>0</v>
      </c>
    </row>
    <row r="3177" spans="1:16">
      <c r="C3177" s="561" t="s">
        <v>1199</v>
      </c>
      <c r="D3177" s="561">
        <v>0</v>
      </c>
      <c r="F3177" s="561">
        <v>0</v>
      </c>
      <c r="G3177" s="561">
        <v>0</v>
      </c>
      <c r="H3177" s="561">
        <v>0</v>
      </c>
      <c r="I3177" s="561">
        <v>0</v>
      </c>
      <c r="J3177" s="561">
        <v>0</v>
      </c>
      <c r="K3177" s="561">
        <v>0</v>
      </c>
      <c r="L3177" s="561">
        <v>0</v>
      </c>
      <c r="M3177" s="561">
        <v>0</v>
      </c>
      <c r="N3177" s="561">
        <v>0</v>
      </c>
      <c r="O3177" s="561">
        <v>0</v>
      </c>
      <c r="P3177" s="561">
        <v>0</v>
      </c>
    </row>
    <row r="3178" spans="1:16">
      <c r="B3178" s="561" t="s">
        <v>1496</v>
      </c>
      <c r="C3178" s="561" t="s">
        <v>1202</v>
      </c>
      <c r="G3178" s="561">
        <v>0</v>
      </c>
      <c r="H3178" s="561">
        <v>0</v>
      </c>
      <c r="I3178" s="561">
        <v>0</v>
      </c>
      <c r="J3178" s="561">
        <v>0</v>
      </c>
      <c r="K3178" s="561">
        <v>0</v>
      </c>
      <c r="L3178" s="561">
        <v>0</v>
      </c>
      <c r="O3178" s="561">
        <v>0</v>
      </c>
    </row>
    <row r="3181" spans="1:16">
      <c r="A3181" s="561">
        <v>28</v>
      </c>
      <c r="B3181" s="561" t="s">
        <v>1523</v>
      </c>
      <c r="C3181" s="561" t="s">
        <v>1206</v>
      </c>
      <c r="D3181" s="561">
        <v>66420.001000000004</v>
      </c>
      <c r="E3181" s="561">
        <v>19026</v>
      </c>
      <c r="F3181" s="561">
        <v>47394.001000000011</v>
      </c>
      <c r="G3181" s="561">
        <v>895</v>
      </c>
      <c r="H3181" s="561">
        <v>67059.017000000007</v>
      </c>
      <c r="I3181" s="561">
        <v>15</v>
      </c>
      <c r="J3181" s="561">
        <v>663.44400000000007</v>
      </c>
      <c r="K3181" s="561">
        <v>891</v>
      </c>
      <c r="L3181" s="561">
        <v>66420</v>
      </c>
      <c r="M3181" s="561">
        <v>66420</v>
      </c>
      <c r="N3181" s="561">
        <v>19025.999000000003</v>
      </c>
      <c r="O3181" s="561">
        <v>0</v>
      </c>
      <c r="P3181" s="561">
        <v>47394.001000000011</v>
      </c>
    </row>
    <row r="3182" spans="1:16">
      <c r="C3182" s="561" t="s">
        <v>1197</v>
      </c>
      <c r="D3182" s="561">
        <v>62873.396000000008</v>
      </c>
      <c r="E3182" s="561">
        <v>18000</v>
      </c>
      <c r="F3182" s="561">
        <v>44873.396000000008</v>
      </c>
      <c r="G3182" s="561">
        <v>751</v>
      </c>
      <c r="H3182" s="561">
        <v>64042.364000000001</v>
      </c>
      <c r="I3182" s="561">
        <v>12</v>
      </c>
      <c r="J3182" s="561">
        <v>640.62900000000002</v>
      </c>
      <c r="K3182" s="561">
        <v>747</v>
      </c>
      <c r="L3182" s="561">
        <v>63426.161000000007</v>
      </c>
      <c r="M3182" s="561">
        <v>63426.161000000007</v>
      </c>
      <c r="N3182" s="561">
        <v>18552.765000000003</v>
      </c>
      <c r="O3182" s="561">
        <v>0</v>
      </c>
    </row>
    <row r="3183" spans="1:16">
      <c r="C3183" s="561" t="s">
        <v>1198</v>
      </c>
      <c r="D3183" s="561">
        <v>0</v>
      </c>
      <c r="F3183" s="561">
        <v>0</v>
      </c>
      <c r="G3183" s="561">
        <v>0</v>
      </c>
      <c r="H3183" s="561">
        <v>0</v>
      </c>
      <c r="I3183" s="561">
        <v>0</v>
      </c>
      <c r="J3183" s="561">
        <v>0</v>
      </c>
      <c r="K3183" s="561">
        <v>0</v>
      </c>
      <c r="L3183" s="561">
        <v>0</v>
      </c>
      <c r="M3183" s="561">
        <v>0</v>
      </c>
      <c r="N3183" s="561">
        <v>0</v>
      </c>
      <c r="O3183" s="561">
        <v>0</v>
      </c>
      <c r="P3183" s="561">
        <v>0</v>
      </c>
    </row>
    <row r="3184" spans="1:16">
      <c r="C3184" s="561" t="s">
        <v>1199</v>
      </c>
      <c r="D3184" s="561">
        <v>3546.605</v>
      </c>
      <c r="E3184" s="561">
        <v>1026</v>
      </c>
      <c r="F3184" s="561">
        <v>2520.605</v>
      </c>
      <c r="G3184" s="561">
        <v>144</v>
      </c>
      <c r="H3184" s="561">
        <v>3016.6529999999998</v>
      </c>
      <c r="I3184" s="561">
        <v>3</v>
      </c>
      <c r="J3184" s="561">
        <v>22.815000000000001</v>
      </c>
      <c r="K3184" s="561">
        <v>144</v>
      </c>
      <c r="L3184" s="561">
        <v>2993.8389999999999</v>
      </c>
      <c r="M3184" s="561">
        <v>2993.8390000000004</v>
      </c>
      <c r="N3184" s="561">
        <v>473.23399999999992</v>
      </c>
      <c r="O3184" s="561">
        <v>0</v>
      </c>
      <c r="P3184" s="561">
        <v>2520.605</v>
      </c>
    </row>
    <row r="3185" spans="1:16">
      <c r="B3185" s="561" t="s">
        <v>1496</v>
      </c>
      <c r="C3185" s="561" t="s">
        <v>1202</v>
      </c>
      <c r="G3185" s="561">
        <v>0</v>
      </c>
      <c r="H3185" s="561">
        <v>0</v>
      </c>
      <c r="I3185" s="561">
        <v>0</v>
      </c>
      <c r="J3185" s="561">
        <v>0</v>
      </c>
      <c r="K3185" s="561">
        <v>0</v>
      </c>
      <c r="L3185" s="561">
        <v>0</v>
      </c>
      <c r="O3185" s="561">
        <v>0</v>
      </c>
    </row>
    <row r="3188" spans="1:16">
      <c r="A3188" s="561">
        <v>29</v>
      </c>
      <c r="B3188" s="561" t="s">
        <v>1524</v>
      </c>
      <c r="C3188" s="561" t="s">
        <v>1206</v>
      </c>
      <c r="D3188" s="561">
        <v>20200.001000000004</v>
      </c>
      <c r="E3188" s="561">
        <v>5760</v>
      </c>
      <c r="F3188" s="561">
        <v>14440.001000000002</v>
      </c>
      <c r="G3188" s="561">
        <v>1313</v>
      </c>
      <c r="H3188" s="561">
        <v>20429.600999999999</v>
      </c>
      <c r="I3188" s="561">
        <v>37</v>
      </c>
      <c r="J3188" s="561">
        <v>226.24199999999999</v>
      </c>
      <c r="K3188" s="561">
        <v>1313</v>
      </c>
      <c r="L3188" s="561">
        <v>20200.001000000004</v>
      </c>
      <c r="M3188" s="561">
        <v>20200.001000000004</v>
      </c>
      <c r="N3188" s="561">
        <v>5760</v>
      </c>
      <c r="O3188" s="561">
        <v>0</v>
      </c>
      <c r="P3188" s="561">
        <v>14440.001000000002</v>
      </c>
    </row>
    <row r="3189" spans="1:16">
      <c r="C3189" s="561" t="s">
        <v>1197</v>
      </c>
      <c r="D3189" s="561">
        <v>0</v>
      </c>
      <c r="F3189" s="561">
        <v>0</v>
      </c>
      <c r="G3189" s="561">
        <v>0</v>
      </c>
      <c r="H3189" s="561">
        <v>0</v>
      </c>
      <c r="I3189" s="561">
        <v>0</v>
      </c>
      <c r="J3189" s="561">
        <v>0</v>
      </c>
      <c r="K3189" s="561">
        <v>0</v>
      </c>
      <c r="L3189" s="561">
        <v>0</v>
      </c>
      <c r="M3189" s="561">
        <v>0</v>
      </c>
      <c r="N3189" s="561">
        <v>0</v>
      </c>
      <c r="O3189" s="561">
        <v>0</v>
      </c>
      <c r="P3189" s="561">
        <v>0</v>
      </c>
    </row>
    <row r="3190" spans="1:16">
      <c r="C3190" s="561" t="s">
        <v>1198</v>
      </c>
      <c r="D3190" s="561">
        <v>0</v>
      </c>
      <c r="F3190" s="561">
        <v>0</v>
      </c>
      <c r="G3190" s="561">
        <v>0</v>
      </c>
      <c r="H3190" s="561">
        <v>0</v>
      </c>
      <c r="I3190" s="561">
        <v>0</v>
      </c>
      <c r="J3190" s="561">
        <v>0</v>
      </c>
      <c r="K3190" s="561">
        <v>0</v>
      </c>
      <c r="L3190" s="561">
        <v>0</v>
      </c>
      <c r="M3190" s="561">
        <v>0</v>
      </c>
      <c r="N3190" s="561">
        <v>0</v>
      </c>
      <c r="O3190" s="561">
        <v>0</v>
      </c>
      <c r="P3190" s="561">
        <v>0</v>
      </c>
    </row>
    <row r="3191" spans="1:16">
      <c r="C3191" s="561" t="s">
        <v>1199</v>
      </c>
      <c r="D3191" s="561">
        <v>20200.001000000004</v>
      </c>
      <c r="E3191" s="561">
        <v>5760</v>
      </c>
      <c r="F3191" s="561">
        <v>14440.001000000002</v>
      </c>
      <c r="G3191" s="561">
        <v>1313</v>
      </c>
      <c r="H3191" s="561">
        <v>20429.600999999999</v>
      </c>
      <c r="I3191" s="561">
        <v>37</v>
      </c>
      <c r="J3191" s="561">
        <v>226.24199999999999</v>
      </c>
      <c r="K3191" s="561">
        <v>1313</v>
      </c>
      <c r="L3191" s="561">
        <v>20200.001000000004</v>
      </c>
      <c r="M3191" s="561">
        <v>20200.001000000004</v>
      </c>
      <c r="N3191" s="561">
        <v>5760</v>
      </c>
      <c r="O3191" s="561">
        <v>0</v>
      </c>
      <c r="P3191" s="561">
        <v>14440.001000000002</v>
      </c>
    </row>
    <row r="3192" spans="1:16">
      <c r="B3192" s="561" t="s">
        <v>1496</v>
      </c>
      <c r="C3192" s="561" t="s">
        <v>1202</v>
      </c>
      <c r="O3192" s="561">
        <v>0</v>
      </c>
    </row>
    <row r="3195" spans="1:16">
      <c r="A3195" s="561">
        <v>30</v>
      </c>
      <c r="B3195" s="561" t="s">
        <v>1525</v>
      </c>
      <c r="C3195" s="561" t="s">
        <v>1206</v>
      </c>
      <c r="D3195" s="561">
        <v>16900.001</v>
      </c>
      <c r="E3195" s="561">
        <v>4860</v>
      </c>
      <c r="F3195" s="561">
        <v>12040.001</v>
      </c>
      <c r="G3195" s="561">
        <v>1158</v>
      </c>
      <c r="H3195" s="561">
        <v>17092.499</v>
      </c>
      <c r="I3195" s="561">
        <v>26</v>
      </c>
      <c r="J3195" s="561">
        <v>191.887</v>
      </c>
      <c r="K3195" s="561">
        <v>1156</v>
      </c>
      <c r="L3195" s="561">
        <v>16900.001</v>
      </c>
      <c r="M3195" s="561">
        <v>16900.001</v>
      </c>
      <c r="N3195" s="561">
        <v>4860</v>
      </c>
      <c r="O3195" s="561">
        <v>0</v>
      </c>
      <c r="P3195" s="561">
        <v>12040.001</v>
      </c>
    </row>
    <row r="3196" spans="1:16">
      <c r="C3196" s="561" t="s">
        <v>1197</v>
      </c>
      <c r="D3196" s="561">
        <v>0</v>
      </c>
      <c r="F3196" s="561">
        <v>0</v>
      </c>
      <c r="G3196" s="561">
        <v>0</v>
      </c>
      <c r="H3196" s="561">
        <v>0</v>
      </c>
      <c r="I3196" s="561">
        <v>0</v>
      </c>
      <c r="J3196" s="561">
        <v>0</v>
      </c>
      <c r="K3196" s="561">
        <v>0</v>
      </c>
      <c r="L3196" s="561">
        <v>0</v>
      </c>
      <c r="M3196" s="561">
        <v>0</v>
      </c>
      <c r="N3196" s="561">
        <v>0</v>
      </c>
      <c r="O3196" s="561">
        <v>0</v>
      </c>
      <c r="P3196" s="561">
        <v>0</v>
      </c>
    </row>
    <row r="3197" spans="1:16">
      <c r="C3197" s="561" t="s">
        <v>1198</v>
      </c>
      <c r="D3197" s="561">
        <v>0</v>
      </c>
      <c r="F3197" s="561">
        <v>0</v>
      </c>
      <c r="G3197" s="561">
        <v>0</v>
      </c>
      <c r="H3197" s="561">
        <v>0</v>
      </c>
      <c r="I3197" s="561">
        <v>0</v>
      </c>
      <c r="J3197" s="561">
        <v>0</v>
      </c>
      <c r="K3197" s="561">
        <v>0</v>
      </c>
      <c r="L3197" s="561">
        <v>0</v>
      </c>
      <c r="M3197" s="561">
        <v>0</v>
      </c>
      <c r="N3197" s="561">
        <v>0</v>
      </c>
      <c r="O3197" s="561">
        <v>0</v>
      </c>
      <c r="P3197" s="561">
        <v>0</v>
      </c>
    </row>
    <row r="3198" spans="1:16">
      <c r="C3198" s="561" t="s">
        <v>1199</v>
      </c>
      <c r="D3198" s="561">
        <v>16900.001</v>
      </c>
      <c r="E3198" s="561">
        <v>4860</v>
      </c>
      <c r="F3198" s="561">
        <v>12040.001</v>
      </c>
      <c r="G3198" s="561">
        <v>1158</v>
      </c>
      <c r="H3198" s="561">
        <v>17092.499</v>
      </c>
      <c r="I3198" s="561">
        <v>26</v>
      </c>
      <c r="J3198" s="561">
        <v>191.887</v>
      </c>
      <c r="K3198" s="561">
        <v>1156</v>
      </c>
      <c r="L3198" s="561">
        <v>16900.001</v>
      </c>
      <c r="M3198" s="561">
        <v>16900.001</v>
      </c>
      <c r="N3198" s="561">
        <v>4860</v>
      </c>
      <c r="O3198" s="561">
        <v>0</v>
      </c>
      <c r="P3198" s="561">
        <v>12040.001</v>
      </c>
    </row>
    <row r="3199" spans="1:16">
      <c r="B3199" s="561" t="s">
        <v>1496</v>
      </c>
      <c r="C3199" s="561" t="s">
        <v>1202</v>
      </c>
      <c r="O3199" s="561">
        <v>0</v>
      </c>
    </row>
    <row r="3202" spans="1:16">
      <c r="A3202" s="561">
        <v>31</v>
      </c>
      <c r="B3202" s="561" t="s">
        <v>1526</v>
      </c>
      <c r="C3202" s="561" t="s">
        <v>1206</v>
      </c>
      <c r="D3202" s="561">
        <v>11610.001000000002</v>
      </c>
      <c r="E3202" s="561">
        <v>3348</v>
      </c>
      <c r="F3202" s="561">
        <v>8262.001000000002</v>
      </c>
      <c r="G3202" s="561">
        <v>886</v>
      </c>
      <c r="H3202" s="561">
        <v>11639.952000000001</v>
      </c>
      <c r="I3202" s="561">
        <v>8</v>
      </c>
      <c r="J3202" s="561">
        <v>29.741</v>
      </c>
      <c r="K3202" s="561">
        <v>886</v>
      </c>
      <c r="L3202" s="561">
        <v>11610.001000000002</v>
      </c>
      <c r="M3202" s="561">
        <v>11610.001000000002</v>
      </c>
      <c r="N3202" s="561">
        <v>3348</v>
      </c>
      <c r="O3202" s="561">
        <v>0</v>
      </c>
      <c r="P3202" s="561">
        <v>8262.001000000002</v>
      </c>
    </row>
    <row r="3203" spans="1:16">
      <c r="C3203" s="561" t="s">
        <v>1197</v>
      </c>
      <c r="D3203" s="561">
        <v>0</v>
      </c>
      <c r="F3203" s="561">
        <v>0</v>
      </c>
      <c r="G3203" s="561">
        <v>0</v>
      </c>
      <c r="H3203" s="561">
        <v>0</v>
      </c>
      <c r="I3203" s="561">
        <v>0</v>
      </c>
      <c r="J3203" s="561">
        <v>0</v>
      </c>
      <c r="K3203" s="561">
        <v>0</v>
      </c>
      <c r="L3203" s="561">
        <v>0</v>
      </c>
      <c r="M3203" s="561">
        <v>0</v>
      </c>
      <c r="N3203" s="561">
        <v>0</v>
      </c>
      <c r="O3203" s="561">
        <v>0</v>
      </c>
      <c r="P3203" s="561">
        <v>0</v>
      </c>
    </row>
    <row r="3204" spans="1:16">
      <c r="C3204" s="561" t="s">
        <v>1198</v>
      </c>
      <c r="D3204" s="561">
        <v>0</v>
      </c>
      <c r="F3204" s="561">
        <v>0</v>
      </c>
      <c r="G3204" s="561">
        <v>0</v>
      </c>
      <c r="H3204" s="561">
        <v>0</v>
      </c>
      <c r="I3204" s="561">
        <v>0</v>
      </c>
      <c r="J3204" s="561">
        <v>0</v>
      </c>
      <c r="K3204" s="561">
        <v>0</v>
      </c>
      <c r="L3204" s="561">
        <v>0</v>
      </c>
      <c r="M3204" s="561">
        <v>0</v>
      </c>
      <c r="N3204" s="561">
        <v>0</v>
      </c>
      <c r="O3204" s="561">
        <v>0</v>
      </c>
      <c r="P3204" s="561">
        <v>0</v>
      </c>
    </row>
    <row r="3205" spans="1:16">
      <c r="C3205" s="561" t="s">
        <v>1199</v>
      </c>
      <c r="D3205" s="561">
        <v>11610.001000000002</v>
      </c>
      <c r="E3205" s="561">
        <v>3348</v>
      </c>
      <c r="F3205" s="561">
        <v>8262.001000000002</v>
      </c>
      <c r="G3205" s="561">
        <v>886</v>
      </c>
      <c r="H3205" s="561">
        <v>11639.952000000001</v>
      </c>
      <c r="I3205" s="561">
        <v>8</v>
      </c>
      <c r="J3205" s="561">
        <v>29.741</v>
      </c>
      <c r="K3205" s="561">
        <v>886</v>
      </c>
      <c r="L3205" s="561">
        <v>11610.001000000002</v>
      </c>
      <c r="M3205" s="561">
        <v>11610.001000000002</v>
      </c>
      <c r="N3205" s="561">
        <v>3348</v>
      </c>
      <c r="O3205" s="561">
        <v>0</v>
      </c>
      <c r="P3205" s="561">
        <v>8262.001000000002</v>
      </c>
    </row>
    <row r="3206" spans="1:16">
      <c r="B3206" s="561" t="s">
        <v>1496</v>
      </c>
      <c r="C3206" s="561" t="s">
        <v>1202</v>
      </c>
      <c r="O3206" s="561">
        <v>0</v>
      </c>
    </row>
    <row r="3209" spans="1:16">
      <c r="A3209" s="561">
        <v>32</v>
      </c>
      <c r="B3209" s="561" t="s">
        <v>1527</v>
      </c>
      <c r="C3209" s="561" t="s">
        <v>1206</v>
      </c>
      <c r="D3209" s="561">
        <v>25819.963</v>
      </c>
      <c r="E3209" s="561">
        <v>7596</v>
      </c>
      <c r="F3209" s="561">
        <v>18223.963</v>
      </c>
      <c r="G3209" s="561">
        <v>1982</v>
      </c>
      <c r="H3209" s="561">
        <v>26135.696999999996</v>
      </c>
      <c r="I3209" s="561">
        <v>39</v>
      </c>
      <c r="J3209" s="561">
        <v>279.04000000000002</v>
      </c>
      <c r="K3209" s="561">
        <v>1979</v>
      </c>
      <c r="L3209" s="561">
        <v>25819.963</v>
      </c>
      <c r="M3209" s="561">
        <v>25819.963</v>
      </c>
      <c r="N3209" s="561">
        <v>7596</v>
      </c>
      <c r="O3209" s="561">
        <v>0</v>
      </c>
      <c r="P3209" s="561">
        <v>18223.963</v>
      </c>
    </row>
    <row r="3210" spans="1:16">
      <c r="C3210" s="561" t="s">
        <v>1197</v>
      </c>
      <c r="D3210" s="561">
        <v>0</v>
      </c>
      <c r="F3210" s="561">
        <v>0</v>
      </c>
      <c r="G3210" s="561">
        <v>0</v>
      </c>
      <c r="H3210" s="561">
        <v>0</v>
      </c>
      <c r="I3210" s="561">
        <v>0</v>
      </c>
      <c r="J3210" s="561">
        <v>0</v>
      </c>
      <c r="K3210" s="561">
        <v>0</v>
      </c>
      <c r="L3210" s="561">
        <v>0</v>
      </c>
      <c r="M3210" s="561">
        <v>0</v>
      </c>
      <c r="N3210" s="561">
        <v>0</v>
      </c>
      <c r="O3210" s="561">
        <v>0</v>
      </c>
      <c r="P3210" s="561">
        <v>0</v>
      </c>
    </row>
    <row r="3211" spans="1:16">
      <c r="C3211" s="561" t="s">
        <v>1198</v>
      </c>
      <c r="D3211" s="561">
        <v>0</v>
      </c>
      <c r="F3211" s="561">
        <v>0</v>
      </c>
      <c r="G3211" s="561">
        <v>0</v>
      </c>
      <c r="H3211" s="561">
        <v>0</v>
      </c>
      <c r="I3211" s="561">
        <v>0</v>
      </c>
      <c r="J3211" s="561">
        <v>0</v>
      </c>
      <c r="K3211" s="561">
        <v>0</v>
      </c>
      <c r="L3211" s="561">
        <v>0</v>
      </c>
      <c r="M3211" s="561">
        <v>0</v>
      </c>
      <c r="N3211" s="561">
        <v>0</v>
      </c>
      <c r="O3211" s="561">
        <v>0</v>
      </c>
      <c r="P3211" s="561">
        <v>0</v>
      </c>
    </row>
    <row r="3212" spans="1:16">
      <c r="C3212" s="561" t="s">
        <v>1199</v>
      </c>
      <c r="D3212" s="561">
        <v>25819.963</v>
      </c>
      <c r="E3212" s="561">
        <v>7596</v>
      </c>
      <c r="F3212" s="561">
        <v>18223.963</v>
      </c>
      <c r="G3212" s="561">
        <v>1982</v>
      </c>
      <c r="H3212" s="561">
        <v>26135.696999999996</v>
      </c>
      <c r="I3212" s="561">
        <v>39</v>
      </c>
      <c r="J3212" s="561">
        <v>279.04000000000002</v>
      </c>
      <c r="K3212" s="561">
        <v>1979</v>
      </c>
      <c r="L3212" s="561">
        <v>25819.963</v>
      </c>
      <c r="M3212" s="561">
        <v>25819.963</v>
      </c>
      <c r="N3212" s="561">
        <v>7596</v>
      </c>
      <c r="O3212" s="561">
        <v>0</v>
      </c>
      <c r="P3212" s="561">
        <v>18223.963</v>
      </c>
    </row>
    <row r="3213" spans="1:16">
      <c r="B3213" s="561" t="s">
        <v>1496</v>
      </c>
      <c r="C3213" s="561" t="s">
        <v>1202</v>
      </c>
      <c r="O3213" s="561">
        <v>0</v>
      </c>
    </row>
    <row r="3216" spans="1:16">
      <c r="A3216" s="561">
        <v>33</v>
      </c>
      <c r="B3216" s="561" t="s">
        <v>1528</v>
      </c>
      <c r="C3216" s="561" t="s">
        <v>1206</v>
      </c>
      <c r="D3216" s="561">
        <v>26334.034</v>
      </c>
      <c r="E3216" s="561">
        <v>7578</v>
      </c>
      <c r="F3216" s="561">
        <v>18756.034</v>
      </c>
      <c r="G3216" s="561">
        <v>1733</v>
      </c>
      <c r="H3216" s="561">
        <v>26877.344000000001</v>
      </c>
      <c r="I3216" s="561">
        <v>65</v>
      </c>
      <c r="J3216" s="561">
        <v>498.62200000000001</v>
      </c>
      <c r="K3216" s="561">
        <v>1732</v>
      </c>
      <c r="L3216" s="561">
        <v>26334.034000000003</v>
      </c>
      <c r="M3216" s="561">
        <v>26334.034</v>
      </c>
      <c r="N3216" s="561">
        <v>7578</v>
      </c>
      <c r="O3216" s="561">
        <v>0</v>
      </c>
      <c r="P3216" s="561">
        <v>18756.034</v>
      </c>
    </row>
    <row r="3217" spans="1:16">
      <c r="C3217" s="561" t="s">
        <v>1197</v>
      </c>
      <c r="D3217" s="561">
        <v>0</v>
      </c>
      <c r="F3217" s="561">
        <v>0</v>
      </c>
      <c r="G3217" s="561">
        <v>0</v>
      </c>
      <c r="H3217" s="561">
        <v>0</v>
      </c>
      <c r="I3217" s="561">
        <v>0</v>
      </c>
      <c r="J3217" s="561">
        <v>0</v>
      </c>
      <c r="K3217" s="561">
        <v>0</v>
      </c>
      <c r="L3217" s="561">
        <v>0</v>
      </c>
      <c r="M3217" s="561">
        <v>0</v>
      </c>
      <c r="N3217" s="561">
        <v>0</v>
      </c>
      <c r="O3217" s="561">
        <v>0</v>
      </c>
      <c r="P3217" s="561">
        <v>0</v>
      </c>
    </row>
    <row r="3218" spans="1:16">
      <c r="C3218" s="561" t="s">
        <v>1198</v>
      </c>
      <c r="D3218" s="561">
        <v>0</v>
      </c>
      <c r="F3218" s="561">
        <v>0</v>
      </c>
      <c r="G3218" s="561">
        <v>0</v>
      </c>
      <c r="H3218" s="561">
        <v>0</v>
      </c>
      <c r="I3218" s="561">
        <v>0</v>
      </c>
      <c r="J3218" s="561">
        <v>0</v>
      </c>
      <c r="K3218" s="561">
        <v>0</v>
      </c>
      <c r="L3218" s="561">
        <v>0</v>
      </c>
      <c r="M3218" s="561">
        <v>0</v>
      </c>
      <c r="N3218" s="561">
        <v>0</v>
      </c>
      <c r="O3218" s="561">
        <v>0</v>
      </c>
      <c r="P3218" s="561">
        <v>0</v>
      </c>
    </row>
    <row r="3219" spans="1:16">
      <c r="C3219" s="561" t="s">
        <v>1199</v>
      </c>
      <c r="D3219" s="561">
        <v>26334.034</v>
      </c>
      <c r="E3219" s="561">
        <v>7578</v>
      </c>
      <c r="F3219" s="561">
        <v>18756.034</v>
      </c>
      <c r="G3219" s="561">
        <v>1733</v>
      </c>
      <c r="H3219" s="561">
        <v>26877.344000000001</v>
      </c>
      <c r="I3219" s="561">
        <v>65</v>
      </c>
      <c r="J3219" s="561">
        <v>498.62200000000001</v>
      </c>
      <c r="K3219" s="561">
        <v>1732</v>
      </c>
      <c r="L3219" s="561">
        <v>26334.034000000003</v>
      </c>
      <c r="M3219" s="561">
        <v>26334.034</v>
      </c>
      <c r="N3219" s="561">
        <v>7578</v>
      </c>
      <c r="O3219" s="561">
        <v>0</v>
      </c>
      <c r="P3219" s="561">
        <v>18756.034</v>
      </c>
    </row>
    <row r="3220" spans="1:16">
      <c r="B3220" s="561" t="s">
        <v>1496</v>
      </c>
      <c r="C3220" s="561" t="s">
        <v>1202</v>
      </c>
      <c r="O3220" s="561">
        <v>0</v>
      </c>
    </row>
    <row r="3223" spans="1:16">
      <c r="A3223" s="561">
        <v>34</v>
      </c>
      <c r="B3223" s="561" t="s">
        <v>1529</v>
      </c>
      <c r="C3223" s="561" t="s">
        <v>1206</v>
      </c>
      <c r="D3223" s="561">
        <v>20920.001000000004</v>
      </c>
      <c r="E3223" s="561">
        <v>5976</v>
      </c>
      <c r="F3223" s="561">
        <v>14944.001000000004</v>
      </c>
      <c r="G3223" s="561">
        <v>1361</v>
      </c>
      <c r="H3223" s="561">
        <v>21186.612999999998</v>
      </c>
      <c r="I3223" s="561">
        <v>29</v>
      </c>
      <c r="J3223" s="561">
        <v>236.61</v>
      </c>
      <c r="K3223" s="561">
        <v>1361</v>
      </c>
      <c r="L3223" s="561">
        <v>20920.001</v>
      </c>
      <c r="M3223" s="561">
        <v>20920.001000000004</v>
      </c>
      <c r="N3223" s="561">
        <v>5976</v>
      </c>
      <c r="O3223" s="561">
        <v>0</v>
      </c>
      <c r="P3223" s="561">
        <v>14944.001000000004</v>
      </c>
    </row>
    <row r="3224" spans="1:16">
      <c r="C3224" s="561" t="s">
        <v>1197</v>
      </c>
      <c r="D3224" s="561">
        <v>0</v>
      </c>
      <c r="F3224" s="561">
        <v>0</v>
      </c>
      <c r="G3224" s="561">
        <v>0</v>
      </c>
      <c r="H3224" s="561">
        <v>0</v>
      </c>
      <c r="I3224" s="561">
        <v>0</v>
      </c>
      <c r="J3224" s="561">
        <v>0</v>
      </c>
      <c r="K3224" s="561">
        <v>0</v>
      </c>
      <c r="L3224" s="561">
        <v>0</v>
      </c>
      <c r="M3224" s="561">
        <v>0</v>
      </c>
      <c r="N3224" s="561">
        <v>0</v>
      </c>
      <c r="O3224" s="561">
        <v>0</v>
      </c>
      <c r="P3224" s="561">
        <v>0</v>
      </c>
    </row>
    <row r="3225" spans="1:16">
      <c r="C3225" s="561" t="s">
        <v>1198</v>
      </c>
      <c r="D3225" s="561">
        <v>0</v>
      </c>
      <c r="F3225" s="561">
        <v>0</v>
      </c>
      <c r="G3225" s="561">
        <v>0</v>
      </c>
      <c r="H3225" s="561">
        <v>0</v>
      </c>
      <c r="I3225" s="561">
        <v>0</v>
      </c>
      <c r="J3225" s="561">
        <v>0</v>
      </c>
      <c r="K3225" s="561">
        <v>0</v>
      </c>
      <c r="L3225" s="561">
        <v>0</v>
      </c>
      <c r="M3225" s="561">
        <v>0</v>
      </c>
      <c r="N3225" s="561">
        <v>0</v>
      </c>
      <c r="O3225" s="561">
        <v>0</v>
      </c>
      <c r="P3225" s="561">
        <v>0</v>
      </c>
    </row>
    <row r="3226" spans="1:16">
      <c r="C3226" s="561" t="s">
        <v>1199</v>
      </c>
      <c r="D3226" s="561">
        <v>20920.001000000004</v>
      </c>
      <c r="E3226" s="561">
        <v>5976</v>
      </c>
      <c r="F3226" s="561">
        <v>14944.001000000004</v>
      </c>
      <c r="G3226" s="561">
        <v>1361</v>
      </c>
      <c r="H3226" s="561">
        <v>21186.612999999998</v>
      </c>
      <c r="I3226" s="561">
        <v>29</v>
      </c>
      <c r="J3226" s="561">
        <v>236.61</v>
      </c>
      <c r="K3226" s="561">
        <v>1361</v>
      </c>
      <c r="L3226" s="561">
        <v>20920.001</v>
      </c>
      <c r="M3226" s="561">
        <v>20920.001000000004</v>
      </c>
      <c r="N3226" s="561">
        <v>5976</v>
      </c>
      <c r="O3226" s="561">
        <v>0</v>
      </c>
      <c r="P3226" s="561">
        <v>14944.001000000004</v>
      </c>
    </row>
    <row r="3227" spans="1:16">
      <c r="B3227" s="561" t="s">
        <v>1496</v>
      </c>
      <c r="C3227" s="561" t="s">
        <v>1202</v>
      </c>
      <c r="O3227" s="561">
        <v>0</v>
      </c>
    </row>
    <row r="3230" spans="1:16">
      <c r="A3230" s="561">
        <v>35</v>
      </c>
      <c r="B3230" s="561" t="s">
        <v>1530</v>
      </c>
      <c r="C3230" s="561" t="s">
        <v>1206</v>
      </c>
      <c r="D3230" s="561">
        <v>23200.001</v>
      </c>
      <c r="E3230" s="561">
        <v>6660</v>
      </c>
      <c r="F3230" s="561">
        <v>16540.001</v>
      </c>
      <c r="G3230" s="561">
        <v>1552</v>
      </c>
      <c r="H3230" s="561">
        <v>23549.846000000001</v>
      </c>
      <c r="I3230" s="561">
        <v>53</v>
      </c>
      <c r="J3230" s="561">
        <v>347.68599999999998</v>
      </c>
      <c r="K3230" s="561">
        <v>1549</v>
      </c>
      <c r="L3230" s="561">
        <v>23200</v>
      </c>
      <c r="M3230" s="561">
        <v>23200</v>
      </c>
      <c r="N3230" s="561">
        <v>6659.9989999999998</v>
      </c>
      <c r="O3230" s="561">
        <v>0</v>
      </c>
      <c r="P3230" s="561">
        <v>16540.001</v>
      </c>
    </row>
    <row r="3231" spans="1:16">
      <c r="C3231" s="561" t="s">
        <v>1197</v>
      </c>
      <c r="D3231" s="561">
        <v>0</v>
      </c>
      <c r="F3231" s="561">
        <v>0</v>
      </c>
      <c r="G3231" s="561">
        <v>0</v>
      </c>
      <c r="H3231" s="561">
        <v>0</v>
      </c>
      <c r="I3231" s="561">
        <v>0</v>
      </c>
      <c r="J3231" s="561">
        <v>0</v>
      </c>
      <c r="K3231" s="561">
        <v>0</v>
      </c>
      <c r="L3231" s="561">
        <v>0</v>
      </c>
      <c r="M3231" s="561">
        <v>0</v>
      </c>
      <c r="N3231" s="561">
        <v>0</v>
      </c>
      <c r="O3231" s="561">
        <v>0</v>
      </c>
      <c r="P3231" s="561">
        <v>0</v>
      </c>
    </row>
    <row r="3232" spans="1:16">
      <c r="C3232" s="561" t="s">
        <v>1198</v>
      </c>
      <c r="D3232" s="561">
        <v>0</v>
      </c>
      <c r="F3232" s="561">
        <v>0</v>
      </c>
      <c r="G3232" s="561">
        <v>0</v>
      </c>
      <c r="H3232" s="561">
        <v>0</v>
      </c>
      <c r="I3232" s="561">
        <v>0</v>
      </c>
      <c r="J3232" s="561">
        <v>0</v>
      </c>
      <c r="K3232" s="561">
        <v>0</v>
      </c>
      <c r="L3232" s="561">
        <v>0</v>
      </c>
      <c r="M3232" s="561">
        <v>0</v>
      </c>
      <c r="N3232" s="561">
        <v>0</v>
      </c>
      <c r="O3232" s="561">
        <v>0</v>
      </c>
      <c r="P3232" s="561">
        <v>0</v>
      </c>
    </row>
    <row r="3233" spans="1:16">
      <c r="C3233" s="561" t="s">
        <v>1199</v>
      </c>
      <c r="D3233" s="561">
        <v>23200.001</v>
      </c>
      <c r="E3233" s="561">
        <v>6660</v>
      </c>
      <c r="F3233" s="561">
        <v>16540.001</v>
      </c>
      <c r="G3233" s="561">
        <v>1552</v>
      </c>
      <c r="H3233" s="561">
        <v>23549.846000000001</v>
      </c>
      <c r="I3233" s="561">
        <v>53</v>
      </c>
      <c r="J3233" s="561">
        <v>347.68599999999998</v>
      </c>
      <c r="K3233" s="561">
        <v>1549</v>
      </c>
      <c r="L3233" s="561">
        <v>23200</v>
      </c>
      <c r="M3233" s="561">
        <v>23200</v>
      </c>
      <c r="N3233" s="561">
        <v>6659.9989999999998</v>
      </c>
      <c r="O3233" s="561">
        <v>0</v>
      </c>
      <c r="P3233" s="561">
        <v>16540.001</v>
      </c>
    </row>
    <row r="3234" spans="1:16">
      <c r="B3234" s="561" t="s">
        <v>1496</v>
      </c>
      <c r="C3234" s="561" t="s">
        <v>1202</v>
      </c>
      <c r="O3234" s="561">
        <v>0</v>
      </c>
    </row>
    <row r="3237" spans="1:16">
      <c r="A3237" s="561">
        <v>36</v>
      </c>
      <c r="B3237" s="561" t="s">
        <v>1531</v>
      </c>
      <c r="C3237" s="561" t="s">
        <v>1206</v>
      </c>
      <c r="D3237" s="561">
        <v>12500.029</v>
      </c>
      <c r="E3237" s="561">
        <v>3600</v>
      </c>
      <c r="F3237" s="561">
        <v>8900.0290000000005</v>
      </c>
      <c r="G3237" s="561">
        <v>914</v>
      </c>
      <c r="H3237" s="561">
        <v>12977.279500000001</v>
      </c>
      <c r="I3237" s="561">
        <v>83</v>
      </c>
      <c r="J3237" s="561">
        <v>473.73399999999998</v>
      </c>
      <c r="K3237" s="561">
        <v>909</v>
      </c>
      <c r="L3237" s="561">
        <v>12500.028</v>
      </c>
      <c r="M3237" s="561">
        <v>12500.028</v>
      </c>
      <c r="N3237" s="561">
        <v>3599.9989999999998</v>
      </c>
      <c r="O3237" s="561">
        <v>0</v>
      </c>
      <c r="P3237" s="561">
        <v>8900.0290000000005</v>
      </c>
    </row>
    <row r="3238" spans="1:16">
      <c r="C3238" s="561" t="s">
        <v>1197</v>
      </c>
      <c r="D3238" s="561">
        <v>0</v>
      </c>
      <c r="F3238" s="561">
        <v>0</v>
      </c>
      <c r="G3238" s="561">
        <v>0</v>
      </c>
      <c r="H3238" s="561">
        <v>0</v>
      </c>
      <c r="I3238" s="561">
        <v>0</v>
      </c>
      <c r="J3238" s="561">
        <v>0</v>
      </c>
      <c r="K3238" s="561">
        <v>0</v>
      </c>
      <c r="L3238" s="561">
        <v>0</v>
      </c>
      <c r="M3238" s="561">
        <v>0</v>
      </c>
      <c r="N3238" s="561">
        <v>0</v>
      </c>
      <c r="O3238" s="561">
        <v>0</v>
      </c>
      <c r="P3238" s="561">
        <v>0</v>
      </c>
    </row>
    <row r="3239" spans="1:16">
      <c r="C3239" s="561" t="s">
        <v>1198</v>
      </c>
      <c r="D3239" s="561">
        <v>0</v>
      </c>
      <c r="F3239" s="561">
        <v>0</v>
      </c>
      <c r="G3239" s="561">
        <v>0</v>
      </c>
      <c r="H3239" s="561">
        <v>0</v>
      </c>
      <c r="I3239" s="561">
        <v>0</v>
      </c>
      <c r="J3239" s="561">
        <v>0</v>
      </c>
      <c r="K3239" s="561">
        <v>0</v>
      </c>
      <c r="L3239" s="561">
        <v>0</v>
      </c>
      <c r="M3239" s="561">
        <v>0</v>
      </c>
      <c r="N3239" s="561">
        <v>0</v>
      </c>
      <c r="O3239" s="561">
        <v>0</v>
      </c>
      <c r="P3239" s="561">
        <v>0</v>
      </c>
    </row>
    <row r="3240" spans="1:16">
      <c r="C3240" s="561" t="s">
        <v>1199</v>
      </c>
      <c r="D3240" s="561">
        <v>12500.029</v>
      </c>
      <c r="E3240" s="561">
        <v>3600</v>
      </c>
      <c r="F3240" s="561">
        <v>8900.0290000000005</v>
      </c>
      <c r="G3240" s="561">
        <v>914</v>
      </c>
      <c r="H3240" s="561">
        <v>12977.279500000001</v>
      </c>
      <c r="I3240" s="561">
        <v>83</v>
      </c>
      <c r="J3240" s="561">
        <v>473.73399999999998</v>
      </c>
      <c r="K3240" s="561">
        <v>909</v>
      </c>
      <c r="L3240" s="561">
        <v>12500.028</v>
      </c>
      <c r="M3240" s="561">
        <v>12500.028</v>
      </c>
      <c r="N3240" s="561">
        <v>3599.9989999999998</v>
      </c>
      <c r="O3240" s="561">
        <v>0</v>
      </c>
      <c r="P3240" s="561">
        <v>8900.0290000000005</v>
      </c>
    </row>
    <row r="3241" spans="1:16">
      <c r="B3241" s="561" t="s">
        <v>1496</v>
      </c>
      <c r="C3241" s="561" t="s">
        <v>1202</v>
      </c>
      <c r="O3241" s="561">
        <v>0</v>
      </c>
    </row>
    <row r="3244" spans="1:16">
      <c r="A3244" s="561">
        <v>37</v>
      </c>
      <c r="B3244" s="561" t="s">
        <v>1532</v>
      </c>
      <c r="C3244" s="561" t="s">
        <v>1206</v>
      </c>
      <c r="D3244" s="561">
        <v>8240.0059999999994</v>
      </c>
      <c r="E3244" s="561">
        <v>2142</v>
      </c>
      <c r="F3244" s="561">
        <v>6098.0059999999994</v>
      </c>
      <c r="G3244" s="561">
        <v>559</v>
      </c>
      <c r="H3244" s="561">
        <v>8571.66</v>
      </c>
      <c r="I3244" s="561">
        <v>19</v>
      </c>
      <c r="J3244" s="561">
        <v>94.683999999999997</v>
      </c>
      <c r="K3244" s="561">
        <v>559</v>
      </c>
      <c r="L3244" s="561">
        <v>8240.0059999999994</v>
      </c>
      <c r="M3244" s="561">
        <v>8240.0059999999994</v>
      </c>
      <c r="N3244" s="561">
        <v>2142</v>
      </c>
      <c r="O3244" s="561">
        <v>0</v>
      </c>
      <c r="P3244" s="561">
        <v>6098.0059999999994</v>
      </c>
    </row>
    <row r="3245" spans="1:16">
      <c r="C3245" s="561" t="s">
        <v>1197</v>
      </c>
      <c r="D3245" s="561">
        <v>0</v>
      </c>
      <c r="F3245" s="561">
        <v>0</v>
      </c>
      <c r="G3245" s="561">
        <v>0</v>
      </c>
      <c r="H3245" s="561">
        <v>0</v>
      </c>
      <c r="I3245" s="561">
        <v>0</v>
      </c>
      <c r="J3245" s="561">
        <v>0</v>
      </c>
      <c r="K3245" s="561">
        <v>0</v>
      </c>
      <c r="L3245" s="561">
        <v>0</v>
      </c>
      <c r="M3245" s="561">
        <v>0</v>
      </c>
      <c r="N3245" s="561">
        <v>0</v>
      </c>
      <c r="O3245" s="561">
        <v>0</v>
      </c>
      <c r="P3245" s="561">
        <v>0</v>
      </c>
    </row>
    <row r="3246" spans="1:16">
      <c r="C3246" s="561" t="s">
        <v>1198</v>
      </c>
      <c r="D3246" s="561">
        <v>0</v>
      </c>
      <c r="F3246" s="561">
        <v>0</v>
      </c>
      <c r="G3246" s="561">
        <v>0</v>
      </c>
      <c r="H3246" s="561">
        <v>0</v>
      </c>
      <c r="I3246" s="561">
        <v>0</v>
      </c>
      <c r="J3246" s="561">
        <v>0</v>
      </c>
      <c r="K3246" s="561">
        <v>0</v>
      </c>
      <c r="L3246" s="561">
        <v>0</v>
      </c>
      <c r="M3246" s="561">
        <v>0</v>
      </c>
      <c r="N3246" s="561">
        <v>0</v>
      </c>
      <c r="O3246" s="561">
        <v>0</v>
      </c>
      <c r="P3246" s="561">
        <v>0</v>
      </c>
    </row>
    <row r="3247" spans="1:16">
      <c r="C3247" s="561" t="s">
        <v>1199</v>
      </c>
      <c r="D3247" s="561">
        <v>8240.0059999999994</v>
      </c>
      <c r="E3247" s="561">
        <v>2142</v>
      </c>
      <c r="F3247" s="561">
        <v>6098.0059999999994</v>
      </c>
      <c r="G3247" s="561">
        <v>559</v>
      </c>
      <c r="H3247" s="561">
        <v>8571.66</v>
      </c>
      <c r="I3247" s="561">
        <v>19</v>
      </c>
      <c r="J3247" s="561">
        <v>94.683999999999997</v>
      </c>
      <c r="K3247" s="561">
        <v>559</v>
      </c>
      <c r="L3247" s="561">
        <v>8240.0059999999994</v>
      </c>
      <c r="M3247" s="561">
        <v>8240.0059999999994</v>
      </c>
      <c r="N3247" s="561">
        <v>2142</v>
      </c>
      <c r="O3247" s="561">
        <v>0</v>
      </c>
      <c r="P3247" s="561">
        <v>6098.0059999999994</v>
      </c>
    </row>
    <row r="3248" spans="1:16">
      <c r="B3248" s="561" t="s">
        <v>1496</v>
      </c>
      <c r="C3248" s="561" t="s">
        <v>1202</v>
      </c>
      <c r="O3248" s="561">
        <v>0</v>
      </c>
    </row>
    <row r="3251" spans="1:50">
      <c r="A3251" s="561">
        <v>38</v>
      </c>
      <c r="B3251" s="561" t="s">
        <v>1533</v>
      </c>
      <c r="C3251" s="561" t="s">
        <v>1206</v>
      </c>
      <c r="D3251" s="561">
        <v>3881.5369999999998</v>
      </c>
      <c r="E3251" s="561">
        <v>1121.0999999999999</v>
      </c>
      <c r="F3251" s="561">
        <v>2760.4369999999999</v>
      </c>
      <c r="G3251" s="561">
        <v>315</v>
      </c>
      <c r="H3251" s="561">
        <v>3923.1710000000003</v>
      </c>
      <c r="I3251" s="561">
        <v>8</v>
      </c>
      <c r="J3251" s="561">
        <v>37.662999999999997</v>
      </c>
      <c r="K3251" s="561">
        <v>313</v>
      </c>
      <c r="L3251" s="561">
        <v>3881.5320000000002</v>
      </c>
      <c r="M3251" s="561">
        <v>3881.5369999999998</v>
      </c>
      <c r="N3251" s="561">
        <v>1121.0999999999999</v>
      </c>
      <c r="O3251" s="561">
        <v>0</v>
      </c>
      <c r="P3251" s="561">
        <v>2760.4369999999999</v>
      </c>
    </row>
    <row r="3252" spans="1:50">
      <c r="C3252" s="561" t="s">
        <v>1197</v>
      </c>
      <c r="D3252" s="561">
        <v>0</v>
      </c>
      <c r="F3252" s="561">
        <v>0</v>
      </c>
      <c r="G3252" s="561">
        <v>0</v>
      </c>
      <c r="H3252" s="561">
        <v>0</v>
      </c>
      <c r="I3252" s="561">
        <v>0</v>
      </c>
      <c r="J3252" s="561">
        <v>0</v>
      </c>
      <c r="K3252" s="561">
        <v>0</v>
      </c>
      <c r="L3252" s="561">
        <v>0</v>
      </c>
      <c r="M3252" s="561">
        <v>0</v>
      </c>
      <c r="N3252" s="561">
        <v>0</v>
      </c>
      <c r="O3252" s="561">
        <v>0</v>
      </c>
      <c r="P3252" s="561">
        <v>0</v>
      </c>
    </row>
    <row r="3253" spans="1:50">
      <c r="C3253" s="561" t="s">
        <v>1198</v>
      </c>
      <c r="D3253" s="561">
        <v>0</v>
      </c>
      <c r="F3253" s="561">
        <v>0</v>
      </c>
      <c r="G3253" s="561">
        <v>0</v>
      </c>
      <c r="H3253" s="561">
        <v>0</v>
      </c>
      <c r="I3253" s="561">
        <v>0</v>
      </c>
      <c r="J3253" s="561">
        <v>0</v>
      </c>
      <c r="K3253" s="561">
        <v>0</v>
      </c>
      <c r="L3253" s="561">
        <v>0</v>
      </c>
      <c r="M3253" s="561">
        <v>0</v>
      </c>
      <c r="N3253" s="561">
        <v>0</v>
      </c>
      <c r="O3253" s="561">
        <v>0</v>
      </c>
      <c r="P3253" s="561">
        <v>0</v>
      </c>
    </row>
    <row r="3254" spans="1:50">
      <c r="C3254" s="561" t="s">
        <v>1199</v>
      </c>
      <c r="D3254" s="561">
        <v>3881.5369999999998</v>
      </c>
      <c r="E3254" s="561">
        <v>1121.0999999999999</v>
      </c>
      <c r="F3254" s="561">
        <v>2760.4369999999999</v>
      </c>
      <c r="G3254" s="561">
        <v>315</v>
      </c>
      <c r="H3254" s="561">
        <v>3923.1710000000003</v>
      </c>
      <c r="I3254" s="561">
        <v>8</v>
      </c>
      <c r="J3254" s="561">
        <v>37.662999999999997</v>
      </c>
      <c r="K3254" s="561">
        <v>313</v>
      </c>
      <c r="L3254" s="561">
        <v>3881.5320000000002</v>
      </c>
      <c r="M3254" s="561">
        <v>3881.5369999999998</v>
      </c>
      <c r="N3254" s="561">
        <v>1121.0999999999999</v>
      </c>
      <c r="O3254" s="561">
        <v>0</v>
      </c>
      <c r="P3254" s="561">
        <v>2760.4369999999999</v>
      </c>
    </row>
    <row r="3255" spans="1:50">
      <c r="B3255" s="561" t="s">
        <v>1496</v>
      </c>
      <c r="C3255" s="561" t="s">
        <v>1202</v>
      </c>
      <c r="L3255" s="561">
        <v>0</v>
      </c>
      <c r="O3255" s="561">
        <v>0</v>
      </c>
    </row>
    <row r="3258" spans="1:50">
      <c r="A3258" s="561">
        <v>39</v>
      </c>
      <c r="B3258" s="561" t="s">
        <v>1534</v>
      </c>
      <c r="C3258" s="561" t="s">
        <v>1206</v>
      </c>
      <c r="D3258" s="561">
        <v>285000</v>
      </c>
      <c r="E3258" s="561">
        <v>76500</v>
      </c>
      <c r="F3258" s="561">
        <v>208500</v>
      </c>
      <c r="G3258" s="561">
        <v>222</v>
      </c>
      <c r="H3258" s="561">
        <v>288348.64199999999</v>
      </c>
      <c r="I3258" s="561">
        <v>21</v>
      </c>
      <c r="J3258" s="561">
        <v>16739.987999999998</v>
      </c>
      <c r="K3258" s="561">
        <v>212</v>
      </c>
      <c r="L3258" s="561">
        <v>285000</v>
      </c>
      <c r="M3258" s="561">
        <v>285000</v>
      </c>
      <c r="N3258" s="561">
        <v>76500</v>
      </c>
      <c r="O3258" s="561">
        <v>0</v>
      </c>
      <c r="P3258" s="561">
        <v>208500</v>
      </c>
    </row>
    <row r="3259" spans="1:50">
      <c r="C3259" s="561" t="s">
        <v>1197</v>
      </c>
      <c r="D3259" s="561">
        <v>56867.6</v>
      </c>
      <c r="F3259" s="561">
        <v>56867.6</v>
      </c>
      <c r="G3259" s="561">
        <v>54</v>
      </c>
      <c r="H3259" s="561">
        <v>57597.862999999998</v>
      </c>
      <c r="I3259" s="561">
        <v>10</v>
      </c>
      <c r="J3259" s="561">
        <v>2140.35</v>
      </c>
      <c r="K3259" s="561">
        <v>47</v>
      </c>
      <c r="L3259" s="561">
        <v>56867.6</v>
      </c>
      <c r="M3259" s="561">
        <v>56867.6</v>
      </c>
      <c r="O3259" s="561">
        <v>0</v>
      </c>
    </row>
    <row r="3260" spans="1:50">
      <c r="C3260" s="561" t="s">
        <v>1198</v>
      </c>
      <c r="D3260" s="561">
        <v>228132.4</v>
      </c>
      <c r="E3260" s="561">
        <v>76500</v>
      </c>
      <c r="F3260" s="561">
        <v>151632.4</v>
      </c>
      <c r="G3260" s="561">
        <v>168</v>
      </c>
      <c r="H3260" s="561">
        <v>230750.77899999998</v>
      </c>
      <c r="I3260" s="561">
        <v>11</v>
      </c>
      <c r="J3260" s="561">
        <v>14599.637999999999</v>
      </c>
      <c r="K3260" s="561">
        <v>165</v>
      </c>
      <c r="L3260" s="561">
        <v>228132.4</v>
      </c>
      <c r="M3260" s="561">
        <v>228132.4</v>
      </c>
      <c r="N3260" s="561">
        <v>76500</v>
      </c>
      <c r="O3260" s="561">
        <v>0</v>
      </c>
      <c r="AX3260" s="561">
        <v>151632.4</v>
      </c>
    </row>
    <row r="3261" spans="1:50">
      <c r="C3261" s="561" t="s">
        <v>1199</v>
      </c>
      <c r="D3261" s="561">
        <v>0</v>
      </c>
      <c r="F3261" s="561">
        <v>0</v>
      </c>
      <c r="G3261" s="561">
        <v>0</v>
      </c>
      <c r="H3261" s="561">
        <v>0</v>
      </c>
      <c r="I3261" s="561">
        <v>0</v>
      </c>
      <c r="J3261" s="561">
        <v>0</v>
      </c>
      <c r="K3261" s="561">
        <v>0</v>
      </c>
      <c r="L3261" s="561">
        <v>0</v>
      </c>
      <c r="M3261" s="561">
        <v>0</v>
      </c>
      <c r="N3261" s="561">
        <v>0</v>
      </c>
      <c r="O3261" s="561">
        <v>0</v>
      </c>
      <c r="P3261" s="561">
        <v>0</v>
      </c>
    </row>
    <row r="3262" spans="1:50">
      <c r="B3262" s="561" t="s">
        <v>1496</v>
      </c>
      <c r="C3262" s="561" t="s">
        <v>1202</v>
      </c>
      <c r="G3262" s="561">
        <v>0</v>
      </c>
      <c r="H3262" s="561">
        <v>0</v>
      </c>
      <c r="I3262" s="561">
        <v>0</v>
      </c>
      <c r="J3262" s="561">
        <v>0</v>
      </c>
      <c r="K3262" s="561">
        <v>0</v>
      </c>
      <c r="L3262" s="561">
        <v>0</v>
      </c>
      <c r="O3262" s="561">
        <v>0</v>
      </c>
    </row>
    <row r="3265" spans="1:111">
      <c r="A3265" s="561">
        <v>40</v>
      </c>
      <c r="B3265" s="561" t="s">
        <v>1535</v>
      </c>
      <c r="C3265" s="561" t="s">
        <v>1206</v>
      </c>
      <c r="D3265" s="561">
        <v>58046.008333333324</v>
      </c>
      <c r="E3265" s="561">
        <v>13813.800000000001</v>
      </c>
      <c r="F3265" s="561">
        <v>44232.208333333328</v>
      </c>
      <c r="G3265" s="561">
        <v>141</v>
      </c>
      <c r="H3265" s="561">
        <v>58232.406000000003</v>
      </c>
      <c r="I3265" s="561">
        <v>0</v>
      </c>
      <c r="J3265" s="561">
        <v>0</v>
      </c>
      <c r="K3265" s="561">
        <v>141</v>
      </c>
      <c r="L3265" s="561">
        <v>58046.008333333331</v>
      </c>
      <c r="M3265" s="561">
        <v>58046.008333333331</v>
      </c>
      <c r="N3265" s="561">
        <v>13813.8</v>
      </c>
      <c r="O3265" s="561">
        <v>0</v>
      </c>
      <c r="P3265" s="561">
        <v>44232.208333333328</v>
      </c>
    </row>
    <row r="3266" spans="1:111">
      <c r="B3266" s="561" t="s">
        <v>1197</v>
      </c>
      <c r="C3266" s="561" t="s">
        <v>1197</v>
      </c>
      <c r="D3266" s="561">
        <v>0</v>
      </c>
      <c r="F3266" s="561">
        <v>0</v>
      </c>
      <c r="G3266" s="561">
        <v>0</v>
      </c>
      <c r="H3266" s="561">
        <v>0</v>
      </c>
      <c r="I3266" s="561">
        <v>0</v>
      </c>
      <c r="J3266" s="561">
        <v>0</v>
      </c>
      <c r="K3266" s="561">
        <v>0</v>
      </c>
      <c r="L3266" s="561">
        <v>0</v>
      </c>
      <c r="M3266" s="561">
        <v>0</v>
      </c>
      <c r="N3266" s="561">
        <v>0</v>
      </c>
      <c r="O3266" s="561">
        <v>0</v>
      </c>
      <c r="P3266" s="561">
        <v>0</v>
      </c>
    </row>
    <row r="3267" spans="1:111">
      <c r="C3267" s="561" t="s">
        <v>1198</v>
      </c>
      <c r="D3267" s="561">
        <v>57167.893333333326</v>
      </c>
      <c r="E3267" s="561">
        <v>13564.2</v>
      </c>
      <c r="F3267" s="561">
        <v>43603.693333333329</v>
      </c>
      <c r="G3267" s="561">
        <v>72</v>
      </c>
      <c r="H3267" s="561">
        <v>57400.091</v>
      </c>
      <c r="I3267" s="561">
        <v>0</v>
      </c>
      <c r="J3267" s="561">
        <v>0</v>
      </c>
      <c r="K3267" s="561">
        <v>72</v>
      </c>
      <c r="L3267" s="561">
        <v>57213.693333333329</v>
      </c>
      <c r="M3267" s="561">
        <v>57213.693333333329</v>
      </c>
      <c r="N3267" s="561">
        <v>13610</v>
      </c>
      <c r="O3267" s="561">
        <v>0</v>
      </c>
      <c r="AL3267" s="561">
        <v>43603.693333333329</v>
      </c>
    </row>
    <row r="3268" spans="1:111">
      <c r="C3268" s="561" t="s">
        <v>1199</v>
      </c>
      <c r="D3268" s="561">
        <v>878.11500000000001</v>
      </c>
      <c r="E3268" s="561">
        <v>249.6</v>
      </c>
      <c r="F3268" s="561">
        <v>628.51499999999999</v>
      </c>
      <c r="G3268" s="561">
        <v>69</v>
      </c>
      <c r="H3268" s="561">
        <v>832.31500000000005</v>
      </c>
      <c r="I3268" s="561">
        <v>0</v>
      </c>
      <c r="J3268" s="561">
        <v>0</v>
      </c>
      <c r="K3268" s="561">
        <v>69</v>
      </c>
      <c r="L3268" s="561">
        <v>832.31500000000005</v>
      </c>
      <c r="M3268" s="561">
        <v>832.31500000000005</v>
      </c>
      <c r="N3268" s="561">
        <v>203.8</v>
      </c>
      <c r="O3268" s="561">
        <v>0</v>
      </c>
      <c r="P3268" s="561">
        <v>628.51499999999999</v>
      </c>
    </row>
    <row r="3269" spans="1:111">
      <c r="B3269" s="561" t="s">
        <v>1496</v>
      </c>
      <c r="C3269" s="561" t="s">
        <v>1202</v>
      </c>
      <c r="G3269" s="561">
        <v>0</v>
      </c>
      <c r="H3269" s="561">
        <v>0</v>
      </c>
      <c r="I3269" s="561">
        <v>0</v>
      </c>
      <c r="J3269" s="561">
        <v>0</v>
      </c>
      <c r="K3269" s="561">
        <v>0</v>
      </c>
      <c r="L3269" s="561">
        <v>0</v>
      </c>
      <c r="O3269" s="561">
        <v>0</v>
      </c>
    </row>
    <row r="3272" spans="1:111">
      <c r="A3272" s="561">
        <v>41</v>
      </c>
      <c r="B3272" s="561" t="s">
        <v>1536</v>
      </c>
      <c r="C3272" s="561" t="s">
        <v>1206</v>
      </c>
      <c r="D3272" s="561">
        <v>11400.001000000002</v>
      </c>
      <c r="E3272" s="561">
        <v>3420</v>
      </c>
      <c r="F3272" s="561">
        <v>7980.001000000002</v>
      </c>
      <c r="G3272" s="561">
        <v>547</v>
      </c>
      <c r="H3272" s="561">
        <v>11520.773999999999</v>
      </c>
      <c r="I3272" s="561">
        <v>20</v>
      </c>
      <c r="J3272" s="561">
        <v>116.467</v>
      </c>
      <c r="K3272" s="561">
        <v>547</v>
      </c>
      <c r="L3272" s="561">
        <v>11400.001000000002</v>
      </c>
      <c r="M3272" s="561">
        <v>11400.001000000002</v>
      </c>
      <c r="N3272" s="561">
        <v>3420</v>
      </c>
      <c r="O3272" s="561">
        <v>0</v>
      </c>
      <c r="P3272" s="561">
        <v>7980.001000000002</v>
      </c>
    </row>
    <row r="3273" spans="1:111">
      <c r="C3273" s="561" t="s">
        <v>1197</v>
      </c>
      <c r="D3273" s="561">
        <v>0</v>
      </c>
      <c r="F3273" s="561">
        <v>0</v>
      </c>
      <c r="G3273" s="561">
        <v>0</v>
      </c>
      <c r="H3273" s="561">
        <v>0</v>
      </c>
      <c r="I3273" s="561">
        <v>0</v>
      </c>
      <c r="J3273" s="561">
        <v>0</v>
      </c>
      <c r="K3273" s="561">
        <v>0</v>
      </c>
      <c r="L3273" s="561">
        <v>0</v>
      </c>
      <c r="M3273" s="561">
        <v>0</v>
      </c>
      <c r="N3273" s="561">
        <v>0</v>
      </c>
      <c r="O3273" s="561">
        <v>0</v>
      </c>
      <c r="P3273" s="561">
        <v>0</v>
      </c>
    </row>
    <row r="3274" spans="1:111">
      <c r="C3274" s="561" t="s">
        <v>1198</v>
      </c>
      <c r="D3274" s="561">
        <v>0</v>
      </c>
      <c r="F3274" s="561">
        <v>0</v>
      </c>
      <c r="G3274" s="561">
        <v>0</v>
      </c>
      <c r="H3274" s="561">
        <v>0</v>
      </c>
      <c r="I3274" s="561">
        <v>0</v>
      </c>
      <c r="J3274" s="561">
        <v>0</v>
      </c>
      <c r="K3274" s="561">
        <v>0</v>
      </c>
      <c r="L3274" s="561">
        <v>0</v>
      </c>
      <c r="M3274" s="561">
        <v>0</v>
      </c>
      <c r="N3274" s="561">
        <v>0</v>
      </c>
      <c r="O3274" s="561">
        <v>0</v>
      </c>
      <c r="P3274" s="561">
        <v>0</v>
      </c>
    </row>
    <row r="3275" spans="1:111">
      <c r="C3275" s="561" t="s">
        <v>1199</v>
      </c>
      <c r="D3275" s="561">
        <v>11400.001000000002</v>
      </c>
      <c r="E3275" s="561">
        <v>3420</v>
      </c>
      <c r="F3275" s="561">
        <v>7980.001000000002</v>
      </c>
      <c r="G3275" s="561">
        <v>547</v>
      </c>
      <c r="H3275" s="561">
        <v>11520.773999999999</v>
      </c>
      <c r="I3275" s="561">
        <v>20</v>
      </c>
      <c r="J3275" s="561">
        <v>116.467</v>
      </c>
      <c r="K3275" s="561">
        <v>547</v>
      </c>
      <c r="L3275" s="561">
        <v>11400.001000000002</v>
      </c>
      <c r="M3275" s="561">
        <v>11400.001000000002</v>
      </c>
      <c r="N3275" s="561">
        <v>3420</v>
      </c>
      <c r="O3275" s="561">
        <v>0</v>
      </c>
      <c r="P3275" s="561">
        <v>7980.001000000002</v>
      </c>
    </row>
    <row r="3276" spans="1:111">
      <c r="A3276" s="1735" t="s">
        <v>1199</v>
      </c>
      <c r="B3276" s="1735"/>
      <c r="C3276" s="1735"/>
      <c r="D3276" s="1735"/>
      <c r="E3276" s="1735"/>
      <c r="F3276" s="1735"/>
      <c r="G3276" s="1735"/>
      <c r="H3276" s="1735"/>
      <c r="I3276" s="1735"/>
      <c r="J3276" s="1735"/>
      <c r="K3276" s="1735"/>
      <c r="L3276" s="1735"/>
      <c r="M3276" s="1735"/>
      <c r="N3276" s="1735"/>
      <c r="O3276" s="1735"/>
      <c r="P3276" s="1735"/>
      <c r="AL3276" s="561">
        <f>SUM(AL3277:AL3560)</f>
        <v>617536.31300000008</v>
      </c>
      <c r="AM3276" s="561">
        <f t="shared" ref="AM3276:CX3276" si="106">SUM(AM3277:AM3560)</f>
        <v>0</v>
      </c>
      <c r="AN3276" s="561">
        <f t="shared" si="106"/>
        <v>0</v>
      </c>
      <c r="AO3276" s="561">
        <f t="shared" si="106"/>
        <v>0</v>
      </c>
      <c r="AP3276" s="561">
        <f t="shared" si="106"/>
        <v>0</v>
      </c>
      <c r="AQ3276" s="561">
        <f t="shared" si="106"/>
        <v>0</v>
      </c>
      <c r="AR3276" s="561">
        <f t="shared" si="106"/>
        <v>0</v>
      </c>
      <c r="AS3276" s="561">
        <f t="shared" si="106"/>
        <v>0</v>
      </c>
      <c r="AT3276" s="561">
        <f t="shared" si="106"/>
        <v>0</v>
      </c>
      <c r="AU3276" s="561">
        <f t="shared" si="106"/>
        <v>0</v>
      </c>
      <c r="AV3276" s="561">
        <f t="shared" si="106"/>
        <v>0</v>
      </c>
      <c r="AW3276" s="561">
        <f t="shared" si="106"/>
        <v>0</v>
      </c>
      <c r="AX3276" s="561">
        <f t="shared" si="106"/>
        <v>7980.001000000002</v>
      </c>
      <c r="AY3276" s="561">
        <f t="shared" si="106"/>
        <v>0</v>
      </c>
      <c r="AZ3276" s="561">
        <f t="shared" si="106"/>
        <v>0</v>
      </c>
      <c r="BA3276" s="561">
        <f t="shared" si="106"/>
        <v>0</v>
      </c>
      <c r="BB3276" s="561">
        <f t="shared" si="106"/>
        <v>660.27300000000002</v>
      </c>
      <c r="BC3276" s="561">
        <f t="shared" si="106"/>
        <v>0</v>
      </c>
      <c r="BD3276" s="561">
        <f t="shared" si="106"/>
        <v>0</v>
      </c>
      <c r="BE3276" s="561">
        <f t="shared" si="106"/>
        <v>0</v>
      </c>
      <c r="BF3276" s="561">
        <f t="shared" si="106"/>
        <v>0</v>
      </c>
      <c r="BG3276" s="561">
        <f t="shared" si="106"/>
        <v>0</v>
      </c>
      <c r="BH3276" s="561">
        <f t="shared" si="106"/>
        <v>0</v>
      </c>
      <c r="BI3276" s="561">
        <f t="shared" si="106"/>
        <v>0</v>
      </c>
      <c r="BJ3276" s="561">
        <f t="shared" si="106"/>
        <v>0</v>
      </c>
      <c r="BK3276" s="561">
        <f t="shared" si="106"/>
        <v>0</v>
      </c>
      <c r="BL3276" s="561">
        <f t="shared" si="106"/>
        <v>0</v>
      </c>
      <c r="BM3276" s="561">
        <f t="shared" si="106"/>
        <v>0</v>
      </c>
      <c r="BN3276" s="561">
        <f t="shared" si="106"/>
        <v>0</v>
      </c>
      <c r="BO3276" s="561">
        <f t="shared" si="106"/>
        <v>0</v>
      </c>
      <c r="BP3276" s="561">
        <f t="shared" si="106"/>
        <v>0</v>
      </c>
      <c r="BQ3276" s="561">
        <f t="shared" si="106"/>
        <v>0</v>
      </c>
      <c r="BR3276" s="561">
        <f t="shared" si="106"/>
        <v>0</v>
      </c>
      <c r="BS3276" s="561">
        <f t="shared" si="106"/>
        <v>0</v>
      </c>
      <c r="BT3276" s="561">
        <f t="shared" si="106"/>
        <v>0</v>
      </c>
      <c r="BU3276" s="561">
        <f t="shared" si="106"/>
        <v>0</v>
      </c>
      <c r="BV3276" s="561">
        <f t="shared" si="106"/>
        <v>0</v>
      </c>
      <c r="BW3276" s="561">
        <f t="shared" si="106"/>
        <v>0</v>
      </c>
      <c r="BX3276" s="561">
        <f t="shared" si="106"/>
        <v>0</v>
      </c>
      <c r="BY3276" s="561">
        <f t="shared" si="106"/>
        <v>0</v>
      </c>
      <c r="BZ3276" s="561">
        <f t="shared" si="106"/>
        <v>120964.474</v>
      </c>
      <c r="CA3276" s="561">
        <f t="shared" si="106"/>
        <v>0</v>
      </c>
      <c r="CB3276" s="561">
        <f t="shared" si="106"/>
        <v>0</v>
      </c>
      <c r="CC3276" s="561">
        <f t="shared" si="106"/>
        <v>0</v>
      </c>
      <c r="CD3276" s="561">
        <f t="shared" si="106"/>
        <v>0</v>
      </c>
      <c r="CE3276" s="561">
        <f t="shared" si="106"/>
        <v>0</v>
      </c>
      <c r="CF3276" s="561">
        <f t="shared" si="106"/>
        <v>0</v>
      </c>
      <c r="CG3276" s="561">
        <f t="shared" si="106"/>
        <v>0</v>
      </c>
      <c r="CH3276" s="561">
        <f t="shared" si="106"/>
        <v>0</v>
      </c>
      <c r="CI3276" s="561">
        <f t="shared" si="106"/>
        <v>0</v>
      </c>
      <c r="CJ3276" s="561">
        <f t="shared" si="106"/>
        <v>0</v>
      </c>
      <c r="CK3276" s="561">
        <f t="shared" si="106"/>
        <v>0</v>
      </c>
      <c r="CL3276" s="561">
        <f t="shared" si="106"/>
        <v>0</v>
      </c>
      <c r="CM3276" s="561">
        <f t="shared" si="106"/>
        <v>0</v>
      </c>
      <c r="CN3276" s="561">
        <f t="shared" si="106"/>
        <v>0</v>
      </c>
      <c r="CO3276" s="561">
        <f t="shared" si="106"/>
        <v>0</v>
      </c>
      <c r="CP3276" s="561">
        <f t="shared" si="106"/>
        <v>0</v>
      </c>
      <c r="CQ3276" s="561">
        <f t="shared" si="106"/>
        <v>0</v>
      </c>
      <c r="CR3276" s="561">
        <f t="shared" si="106"/>
        <v>0</v>
      </c>
      <c r="CS3276" s="561">
        <f t="shared" si="106"/>
        <v>0</v>
      </c>
      <c r="CT3276" s="561">
        <f t="shared" si="106"/>
        <v>0</v>
      </c>
      <c r="CU3276" s="561">
        <f t="shared" si="106"/>
        <v>0</v>
      </c>
      <c r="CV3276" s="561">
        <f t="shared" si="106"/>
        <v>0</v>
      </c>
      <c r="CW3276" s="561">
        <f t="shared" si="106"/>
        <v>0</v>
      </c>
      <c r="CX3276" s="561">
        <f t="shared" si="106"/>
        <v>0</v>
      </c>
      <c r="CY3276" s="561">
        <f t="shared" ref="CY3276:DG3276" si="107">SUM(CY3277:CY3560)</f>
        <v>0</v>
      </c>
      <c r="CZ3276" s="561">
        <f t="shared" si="107"/>
        <v>0</v>
      </c>
      <c r="DA3276" s="561">
        <f t="shared" si="107"/>
        <v>0</v>
      </c>
      <c r="DB3276" s="561">
        <f t="shared" si="107"/>
        <v>0</v>
      </c>
      <c r="DC3276" s="561">
        <f t="shared" si="107"/>
        <v>0</v>
      </c>
      <c r="DD3276" s="561">
        <f t="shared" si="107"/>
        <v>0</v>
      </c>
      <c r="DE3276" s="561">
        <f t="shared" si="107"/>
        <v>0</v>
      </c>
      <c r="DF3276" s="561">
        <f t="shared" si="107"/>
        <v>0</v>
      </c>
      <c r="DG3276" s="561">
        <f t="shared" si="107"/>
        <v>0</v>
      </c>
    </row>
    <row r="3277" spans="1:111">
      <c r="A3277" s="561">
        <v>1</v>
      </c>
      <c r="B3277" s="561" t="s">
        <v>1495</v>
      </c>
      <c r="C3277" s="561" t="s">
        <v>1206</v>
      </c>
      <c r="D3277" s="561">
        <v>1572035.99</v>
      </c>
      <c r="E3277" s="561">
        <v>396583.2</v>
      </c>
      <c r="F3277" s="561">
        <v>1175452.79</v>
      </c>
      <c r="G3277" s="561">
        <v>12670</v>
      </c>
      <c r="H3277" s="561">
        <v>1632479.71</v>
      </c>
      <c r="I3277" s="561">
        <v>1018</v>
      </c>
      <c r="J3277" s="561">
        <v>58037.641000000011</v>
      </c>
      <c r="K3277" s="561">
        <v>12579</v>
      </c>
      <c r="L3277" s="561">
        <v>1572035.9897777776</v>
      </c>
      <c r="M3277" s="561">
        <v>1572035.9897777776</v>
      </c>
      <c r="N3277" s="561">
        <v>396583.19977777771</v>
      </c>
      <c r="O3277" s="561">
        <v>0</v>
      </c>
      <c r="P3277" s="561">
        <v>1175452.79</v>
      </c>
    </row>
    <row r="3278" spans="1:111">
      <c r="C3278" s="561" t="s">
        <v>1197</v>
      </c>
      <c r="D3278" s="561">
        <v>1094329.0559999999</v>
      </c>
      <c r="E3278" s="561">
        <v>279064.8</v>
      </c>
      <c r="F3278" s="561">
        <v>815264.25599999994</v>
      </c>
      <c r="G3278" s="561">
        <v>11766</v>
      </c>
      <c r="H3278" s="561">
        <v>1168692.023</v>
      </c>
      <c r="I3278" s="561">
        <v>997</v>
      </c>
      <c r="J3278" s="561">
        <v>54599.741000000009</v>
      </c>
      <c r="K3278" s="561">
        <v>11678</v>
      </c>
      <c r="L3278" s="561">
        <v>1111489.078</v>
      </c>
      <c r="M3278" s="561">
        <v>1111489.078</v>
      </c>
      <c r="N3278" s="561">
        <v>296224.82199999999</v>
      </c>
      <c r="O3278" s="561">
        <v>0</v>
      </c>
    </row>
    <row r="3279" spans="1:111">
      <c r="C3279" s="561" t="s">
        <v>1198</v>
      </c>
      <c r="D3279" s="561">
        <v>469134.64</v>
      </c>
      <c r="E3279" s="561">
        <v>115466.4</v>
      </c>
      <c r="F3279" s="561">
        <v>353668.24</v>
      </c>
      <c r="G3279" s="561">
        <v>352</v>
      </c>
      <c r="H3279" s="561">
        <v>455843.35799999995</v>
      </c>
      <c r="I3279" s="561">
        <v>18</v>
      </c>
      <c r="J3279" s="561">
        <v>0</v>
      </c>
      <c r="K3279" s="561">
        <v>349</v>
      </c>
      <c r="L3279" s="561">
        <v>452640.61777777772</v>
      </c>
      <c r="M3279" s="561">
        <v>452640.61777777772</v>
      </c>
      <c r="N3279" s="561">
        <v>98972.377777777729</v>
      </c>
      <c r="O3279" s="561">
        <v>0</v>
      </c>
    </row>
    <row r="3280" spans="1:111">
      <c r="C3280" s="561" t="s">
        <v>1199</v>
      </c>
      <c r="D3280" s="561">
        <v>8572.2939999999999</v>
      </c>
      <c r="E3280" s="561">
        <v>2052</v>
      </c>
      <c r="F3280" s="561">
        <v>6520.2939999999999</v>
      </c>
      <c r="G3280" s="561">
        <v>552</v>
      </c>
      <c r="H3280" s="561">
        <v>7944.3289999999997</v>
      </c>
      <c r="I3280" s="561">
        <v>3</v>
      </c>
      <c r="J3280" s="561">
        <v>3437.9</v>
      </c>
      <c r="K3280" s="561">
        <v>552</v>
      </c>
      <c r="L3280" s="561">
        <v>7906.2939999999999</v>
      </c>
      <c r="M3280" s="561">
        <v>7906.2939999999999</v>
      </c>
      <c r="N3280" s="561">
        <v>1386</v>
      </c>
      <c r="O3280" s="561">
        <v>0</v>
      </c>
      <c r="AL3280" s="561">
        <v>6520.2939999999999</v>
      </c>
    </row>
    <row r="3281" spans="1:38">
      <c r="B3281" s="561" t="s">
        <v>1496</v>
      </c>
      <c r="C3281" s="561" t="s">
        <v>1202</v>
      </c>
      <c r="G3281" s="561">
        <v>0</v>
      </c>
      <c r="H3281" s="561">
        <v>0</v>
      </c>
      <c r="I3281" s="561">
        <v>0</v>
      </c>
      <c r="J3281" s="561">
        <v>0</v>
      </c>
      <c r="K3281" s="561">
        <v>0</v>
      </c>
      <c r="L3281" s="561">
        <v>0</v>
      </c>
      <c r="O3281" s="561">
        <v>0</v>
      </c>
    </row>
    <row r="3284" spans="1:38">
      <c r="A3284" s="561">
        <v>2</v>
      </c>
      <c r="B3284" s="561" t="s">
        <v>1497</v>
      </c>
      <c r="C3284" s="561" t="s">
        <v>1206</v>
      </c>
      <c r="D3284" s="561">
        <v>464999.96899999992</v>
      </c>
      <c r="E3284" s="561">
        <v>131400</v>
      </c>
      <c r="F3284" s="561">
        <v>333599.96899999992</v>
      </c>
      <c r="G3284" s="561">
        <v>6879</v>
      </c>
      <c r="H3284" s="561">
        <v>470861.96799999994</v>
      </c>
      <c r="I3284" s="561">
        <v>173</v>
      </c>
      <c r="J3284" s="561">
        <v>7781.62</v>
      </c>
      <c r="K3284" s="561">
        <v>6868</v>
      </c>
      <c r="L3284" s="561">
        <v>464999.96900000004</v>
      </c>
      <c r="M3284" s="561">
        <v>464999.96899999992</v>
      </c>
      <c r="N3284" s="561">
        <v>131400</v>
      </c>
      <c r="O3284" s="561">
        <v>0</v>
      </c>
      <c r="P3284" s="561">
        <v>333599.96899999992</v>
      </c>
    </row>
    <row r="3285" spans="1:38">
      <c r="C3285" s="561" t="s">
        <v>1197</v>
      </c>
      <c r="D3285" s="561">
        <v>464999.96899999992</v>
      </c>
      <c r="E3285" s="561">
        <v>131400</v>
      </c>
      <c r="F3285" s="561">
        <v>333599.96899999992</v>
      </c>
      <c r="G3285" s="561">
        <v>6879</v>
      </c>
      <c r="H3285" s="561">
        <v>470861.96799999994</v>
      </c>
      <c r="I3285" s="561">
        <v>173</v>
      </c>
      <c r="J3285" s="561">
        <v>7781.62</v>
      </c>
      <c r="K3285" s="561">
        <v>6868</v>
      </c>
      <c r="L3285" s="561">
        <v>464999.96900000004</v>
      </c>
      <c r="M3285" s="561">
        <v>464999.96899999992</v>
      </c>
      <c r="N3285" s="561">
        <v>131400</v>
      </c>
      <c r="O3285" s="561">
        <v>0</v>
      </c>
    </row>
    <row r="3286" spans="1:38">
      <c r="C3286" s="561" t="s">
        <v>1198</v>
      </c>
      <c r="D3286" s="561">
        <v>0</v>
      </c>
      <c r="F3286" s="561">
        <v>0</v>
      </c>
      <c r="G3286" s="561">
        <v>0</v>
      </c>
      <c r="H3286" s="561">
        <v>0</v>
      </c>
      <c r="I3286" s="561">
        <v>0</v>
      </c>
      <c r="J3286" s="561">
        <v>0</v>
      </c>
      <c r="K3286" s="561">
        <v>0</v>
      </c>
      <c r="L3286" s="561">
        <v>0</v>
      </c>
      <c r="M3286" s="561">
        <v>0</v>
      </c>
      <c r="N3286" s="561">
        <v>0</v>
      </c>
      <c r="O3286" s="561">
        <v>0</v>
      </c>
      <c r="P3286" s="561">
        <v>0</v>
      </c>
    </row>
    <row r="3287" spans="1:38">
      <c r="C3287" s="561" t="s">
        <v>1199</v>
      </c>
      <c r="D3287" s="561">
        <v>0</v>
      </c>
      <c r="F3287" s="561">
        <v>0</v>
      </c>
      <c r="G3287" s="561">
        <v>0</v>
      </c>
      <c r="H3287" s="561">
        <v>0</v>
      </c>
      <c r="I3287" s="561">
        <v>0</v>
      </c>
      <c r="J3287" s="561">
        <v>0</v>
      </c>
      <c r="K3287" s="561">
        <v>0</v>
      </c>
      <c r="L3287" s="561">
        <v>0</v>
      </c>
      <c r="M3287" s="561">
        <v>0</v>
      </c>
      <c r="N3287" s="561">
        <v>0</v>
      </c>
      <c r="O3287" s="561">
        <v>0</v>
      </c>
      <c r="P3287" s="561">
        <v>0</v>
      </c>
    </row>
    <row r="3288" spans="1:38">
      <c r="B3288" s="561" t="s">
        <v>1496</v>
      </c>
      <c r="C3288" s="561" t="s">
        <v>1202</v>
      </c>
      <c r="G3288" s="561">
        <v>0</v>
      </c>
      <c r="H3288" s="561">
        <v>0</v>
      </c>
      <c r="I3288" s="561">
        <v>0</v>
      </c>
      <c r="J3288" s="561">
        <v>0</v>
      </c>
      <c r="K3288" s="561">
        <v>0</v>
      </c>
      <c r="L3288" s="561">
        <v>0</v>
      </c>
      <c r="O3288" s="561">
        <v>0</v>
      </c>
    </row>
    <row r="3291" spans="1:38">
      <c r="A3291" s="561">
        <v>3</v>
      </c>
      <c r="B3291" s="561" t="s">
        <v>1498</v>
      </c>
      <c r="C3291" s="561" t="s">
        <v>1206</v>
      </c>
      <c r="D3291" s="561">
        <v>187181.965</v>
      </c>
      <c r="E3291" s="561">
        <v>54054.6</v>
      </c>
      <c r="F3291" s="561">
        <v>133127.36499999999</v>
      </c>
      <c r="G3291" s="561">
        <v>2847</v>
      </c>
      <c r="H3291" s="561">
        <v>187636.05299999999</v>
      </c>
      <c r="I3291" s="561">
        <v>43</v>
      </c>
      <c r="J3291" s="561">
        <v>445.72400000000005</v>
      </c>
      <c r="K3291" s="561">
        <v>2847</v>
      </c>
      <c r="L3291" s="561">
        <v>187181.965</v>
      </c>
      <c r="M3291" s="561">
        <v>187181.965</v>
      </c>
      <c r="N3291" s="561">
        <v>54054.6</v>
      </c>
      <c r="O3291" s="561">
        <v>0</v>
      </c>
      <c r="P3291" s="561">
        <v>133127.36499999999</v>
      </c>
    </row>
    <row r="3292" spans="1:38">
      <c r="C3292" s="561" t="s">
        <v>1197</v>
      </c>
      <c r="D3292" s="561">
        <v>156106.95699999999</v>
      </c>
      <c r="E3292" s="561">
        <v>52344.6</v>
      </c>
      <c r="F3292" s="561">
        <v>103762.35699999999</v>
      </c>
      <c r="G3292" s="561">
        <v>2043</v>
      </c>
      <c r="H3292" s="561">
        <v>153563.86499999999</v>
      </c>
      <c r="I3292" s="561">
        <v>37</v>
      </c>
      <c r="J3292" s="561">
        <v>369.84800000000001</v>
      </c>
      <c r="K3292" s="561">
        <v>2043</v>
      </c>
      <c r="L3292" s="561">
        <v>153185.557</v>
      </c>
      <c r="M3292" s="561">
        <v>153185.557</v>
      </c>
      <c r="N3292" s="561">
        <v>49423.199999999997</v>
      </c>
      <c r="O3292" s="561">
        <v>0</v>
      </c>
    </row>
    <row r="3293" spans="1:38">
      <c r="C3293" s="561" t="s">
        <v>1198</v>
      </c>
      <c r="D3293" s="561">
        <v>0</v>
      </c>
      <c r="F3293" s="561">
        <v>0</v>
      </c>
      <c r="G3293" s="561">
        <v>0</v>
      </c>
      <c r="H3293" s="561">
        <v>0</v>
      </c>
      <c r="I3293" s="561">
        <v>0</v>
      </c>
      <c r="J3293" s="561">
        <v>0</v>
      </c>
      <c r="K3293" s="561">
        <v>0</v>
      </c>
      <c r="L3293" s="561">
        <v>0</v>
      </c>
      <c r="M3293" s="561">
        <v>0</v>
      </c>
      <c r="N3293" s="561">
        <v>0</v>
      </c>
      <c r="O3293" s="561">
        <v>0</v>
      </c>
      <c r="P3293" s="561">
        <v>0</v>
      </c>
    </row>
    <row r="3294" spans="1:38">
      <c r="C3294" s="561" t="s">
        <v>1199</v>
      </c>
      <c r="D3294" s="561">
        <v>31075.008000000002</v>
      </c>
      <c r="E3294" s="561">
        <v>1710</v>
      </c>
      <c r="F3294" s="561">
        <v>29365.008000000002</v>
      </c>
      <c r="G3294" s="561">
        <v>804</v>
      </c>
      <c r="H3294" s="561">
        <v>34072.188000000002</v>
      </c>
      <c r="I3294" s="561">
        <v>6</v>
      </c>
      <c r="J3294" s="561">
        <v>75.876000000000005</v>
      </c>
      <c r="K3294" s="561">
        <v>804</v>
      </c>
      <c r="L3294" s="561">
        <v>33996.408000000003</v>
      </c>
      <c r="M3294" s="561">
        <v>33996.408000000003</v>
      </c>
      <c r="N3294" s="561">
        <v>4631.3999999999996</v>
      </c>
      <c r="O3294" s="561">
        <v>0</v>
      </c>
      <c r="AL3294" s="561">
        <v>29365.008000000002</v>
      </c>
    </row>
    <row r="3295" spans="1:38">
      <c r="B3295" s="561" t="s">
        <v>1496</v>
      </c>
      <c r="C3295" s="561" t="s">
        <v>1202</v>
      </c>
      <c r="G3295" s="561">
        <v>0</v>
      </c>
      <c r="H3295" s="561">
        <v>0</v>
      </c>
      <c r="I3295" s="561">
        <v>0</v>
      </c>
      <c r="J3295" s="561">
        <v>0</v>
      </c>
      <c r="K3295" s="561">
        <v>0</v>
      </c>
      <c r="L3295" s="561">
        <v>0</v>
      </c>
      <c r="O3295" s="561">
        <v>0</v>
      </c>
    </row>
    <row r="3298" spans="1:54">
      <c r="A3298" s="561">
        <v>4</v>
      </c>
      <c r="B3298" s="561" t="s">
        <v>1499</v>
      </c>
      <c r="C3298" s="561" t="s">
        <v>1206</v>
      </c>
      <c r="D3298" s="561">
        <v>640999.98499999999</v>
      </c>
      <c r="E3298" s="561">
        <v>190200</v>
      </c>
      <c r="F3298" s="561">
        <v>450799.98499999993</v>
      </c>
      <c r="G3298" s="561">
        <v>9675</v>
      </c>
      <c r="H3298" s="561">
        <v>665102.74300000002</v>
      </c>
      <c r="I3298" s="561">
        <v>1054</v>
      </c>
      <c r="J3298" s="561">
        <v>30176.331999999995</v>
      </c>
      <c r="K3298" s="561">
        <v>9607</v>
      </c>
      <c r="L3298" s="561">
        <v>640999.98499999999</v>
      </c>
      <c r="M3298" s="561">
        <v>640999.98499999999</v>
      </c>
      <c r="N3298" s="561">
        <v>190200</v>
      </c>
      <c r="O3298" s="561">
        <v>0</v>
      </c>
      <c r="P3298" s="561">
        <v>450799.98499999993</v>
      </c>
    </row>
    <row r="3299" spans="1:54">
      <c r="C3299" s="561" t="s">
        <v>1197</v>
      </c>
      <c r="D3299" s="561">
        <v>640339.71199999994</v>
      </c>
      <c r="E3299" s="561">
        <v>190200</v>
      </c>
      <c r="F3299" s="561">
        <v>450139.71199999994</v>
      </c>
      <c r="G3299" s="561">
        <v>9623</v>
      </c>
      <c r="H3299" s="561">
        <v>664438.58799999999</v>
      </c>
      <c r="I3299" s="561">
        <v>1053</v>
      </c>
      <c r="J3299" s="561">
        <v>26294.331999999995</v>
      </c>
      <c r="K3299" s="561">
        <v>9555</v>
      </c>
      <c r="L3299" s="561">
        <v>640339.71199999994</v>
      </c>
      <c r="M3299" s="561">
        <v>640339.71199999994</v>
      </c>
      <c r="N3299" s="561">
        <v>190200</v>
      </c>
      <c r="O3299" s="561">
        <v>0</v>
      </c>
    </row>
    <row r="3300" spans="1:54">
      <c r="C3300" s="561" t="s">
        <v>1198</v>
      </c>
      <c r="D3300" s="561">
        <v>0</v>
      </c>
      <c r="F3300" s="561">
        <v>0</v>
      </c>
      <c r="G3300" s="561">
        <v>0</v>
      </c>
      <c r="H3300" s="561">
        <v>0</v>
      </c>
      <c r="I3300" s="561">
        <v>0</v>
      </c>
      <c r="J3300" s="561">
        <v>0</v>
      </c>
      <c r="K3300" s="561">
        <v>0</v>
      </c>
      <c r="L3300" s="561">
        <v>0</v>
      </c>
      <c r="M3300" s="561">
        <v>0</v>
      </c>
      <c r="N3300" s="561">
        <v>0</v>
      </c>
      <c r="O3300" s="561">
        <v>0</v>
      </c>
      <c r="P3300" s="561">
        <v>0</v>
      </c>
    </row>
    <row r="3301" spans="1:54">
      <c r="C3301" s="561" t="s">
        <v>1199</v>
      </c>
      <c r="D3301" s="561">
        <v>660.27300000000002</v>
      </c>
      <c r="F3301" s="561">
        <v>660.27300000000002</v>
      </c>
      <c r="G3301" s="561">
        <v>52</v>
      </c>
      <c r="H3301" s="561">
        <v>664.15499999999997</v>
      </c>
      <c r="I3301" s="561">
        <v>1</v>
      </c>
      <c r="J3301" s="561">
        <v>3882</v>
      </c>
      <c r="K3301" s="561">
        <v>52</v>
      </c>
      <c r="L3301" s="561">
        <v>660.27300000000002</v>
      </c>
      <c r="M3301" s="561">
        <v>660.27300000000002</v>
      </c>
      <c r="N3301" s="561">
        <v>0</v>
      </c>
      <c r="O3301" s="561">
        <v>0</v>
      </c>
      <c r="BB3301" s="561">
        <v>660.27300000000002</v>
      </c>
    </row>
    <row r="3302" spans="1:54">
      <c r="B3302" s="561" t="s">
        <v>1496</v>
      </c>
      <c r="C3302" s="561" t="s">
        <v>1202</v>
      </c>
      <c r="G3302" s="561">
        <v>0</v>
      </c>
      <c r="H3302" s="561">
        <v>0</v>
      </c>
      <c r="I3302" s="561">
        <v>0</v>
      </c>
      <c r="J3302" s="561">
        <v>0</v>
      </c>
      <c r="K3302" s="561">
        <v>0</v>
      </c>
      <c r="L3302" s="561">
        <v>0</v>
      </c>
      <c r="O3302" s="561">
        <v>0</v>
      </c>
    </row>
    <row r="3305" spans="1:54">
      <c r="A3305" s="561">
        <v>5</v>
      </c>
      <c r="B3305" s="561" t="s">
        <v>1500</v>
      </c>
      <c r="C3305" s="561" t="s">
        <v>1206</v>
      </c>
      <c r="D3305" s="561">
        <v>131215.97500000001</v>
      </c>
      <c r="E3305" s="561">
        <v>39364.799999999996</v>
      </c>
      <c r="F3305" s="561">
        <v>91851.175000000003</v>
      </c>
      <c r="G3305" s="561">
        <v>3508</v>
      </c>
      <c r="H3305" s="561">
        <v>132168.09100000001</v>
      </c>
      <c r="I3305" s="561">
        <v>58</v>
      </c>
      <c r="J3305" s="561">
        <v>946.56500000000005</v>
      </c>
      <c r="K3305" s="561">
        <v>3507</v>
      </c>
      <c r="L3305" s="561">
        <v>131215.97500000001</v>
      </c>
      <c r="M3305" s="561">
        <v>131215.97500000001</v>
      </c>
      <c r="N3305" s="561">
        <v>39364.800000000003</v>
      </c>
      <c r="O3305" s="561">
        <v>0</v>
      </c>
      <c r="P3305" s="561">
        <v>91851.175000000003</v>
      </c>
    </row>
    <row r="3306" spans="1:54">
      <c r="C3306" s="561" t="s">
        <v>1197</v>
      </c>
      <c r="D3306" s="561">
        <v>104296.609</v>
      </c>
      <c r="E3306" s="561">
        <v>33277.199999999997</v>
      </c>
      <c r="F3306" s="561">
        <v>71019.409</v>
      </c>
      <c r="G3306" s="561">
        <v>1610</v>
      </c>
      <c r="H3306" s="561">
        <v>105926.20600000002</v>
      </c>
      <c r="I3306" s="561">
        <v>58</v>
      </c>
      <c r="J3306" s="561">
        <v>946.56500000000005</v>
      </c>
      <c r="K3306" s="561">
        <v>1609</v>
      </c>
      <c r="L3306" s="561">
        <v>104973.80899999999</v>
      </c>
      <c r="M3306" s="561">
        <v>104973.80899999999</v>
      </c>
      <c r="N3306" s="561">
        <v>33954.400000000001</v>
      </c>
      <c r="O3306" s="561">
        <v>0</v>
      </c>
    </row>
    <row r="3307" spans="1:54">
      <c r="C3307" s="561" t="s">
        <v>1198</v>
      </c>
      <c r="D3307" s="561">
        <v>0</v>
      </c>
      <c r="F3307" s="561">
        <v>0</v>
      </c>
      <c r="G3307" s="561">
        <v>0</v>
      </c>
      <c r="H3307" s="561">
        <v>0</v>
      </c>
      <c r="I3307" s="561">
        <v>0</v>
      </c>
      <c r="J3307" s="561">
        <v>0</v>
      </c>
      <c r="K3307" s="561">
        <v>0</v>
      </c>
      <c r="L3307" s="561">
        <v>0</v>
      </c>
      <c r="M3307" s="561">
        <v>0</v>
      </c>
      <c r="N3307" s="561">
        <v>0</v>
      </c>
      <c r="O3307" s="561">
        <v>0</v>
      </c>
      <c r="P3307" s="561">
        <v>0</v>
      </c>
    </row>
    <row r="3308" spans="1:54">
      <c r="C3308" s="561" t="s">
        <v>1199</v>
      </c>
      <c r="D3308" s="561">
        <v>26919.366000000002</v>
      </c>
      <c r="E3308" s="561">
        <v>6087.6</v>
      </c>
      <c r="F3308" s="561">
        <v>20831.766</v>
      </c>
      <c r="G3308" s="561">
        <v>1898</v>
      </c>
      <c r="H3308" s="561">
        <v>26241.884999999998</v>
      </c>
      <c r="I3308" s="561">
        <v>0</v>
      </c>
      <c r="J3308" s="561">
        <v>0</v>
      </c>
      <c r="K3308" s="561">
        <v>1898</v>
      </c>
      <c r="L3308" s="561">
        <v>26242.166000000001</v>
      </c>
      <c r="M3308" s="561">
        <v>26242.166000000001</v>
      </c>
      <c r="N3308" s="561">
        <v>5410.4</v>
      </c>
      <c r="O3308" s="561">
        <v>0</v>
      </c>
      <c r="AL3308" s="561">
        <v>20831.766</v>
      </c>
    </row>
    <row r="3309" spans="1:54">
      <c r="B3309" s="561" t="s">
        <v>1496</v>
      </c>
      <c r="C3309" s="561" t="s">
        <v>1202</v>
      </c>
      <c r="G3309" s="561">
        <v>0</v>
      </c>
      <c r="H3309" s="561">
        <v>0</v>
      </c>
      <c r="I3309" s="561">
        <v>0</v>
      </c>
      <c r="J3309" s="561">
        <v>0</v>
      </c>
      <c r="K3309" s="561">
        <v>0</v>
      </c>
      <c r="L3309" s="561">
        <v>0</v>
      </c>
      <c r="O3309" s="561">
        <v>0</v>
      </c>
    </row>
    <row r="3312" spans="1:54">
      <c r="A3312" s="561">
        <v>6</v>
      </c>
      <c r="B3312" s="561" t="s">
        <v>1501</v>
      </c>
      <c r="C3312" s="561" t="s">
        <v>1206</v>
      </c>
      <c r="D3312" s="561">
        <v>1306380.0399999998</v>
      </c>
      <c r="E3312" s="561">
        <v>384864</v>
      </c>
      <c r="F3312" s="561">
        <v>921516.03999999992</v>
      </c>
      <c r="G3312" s="561">
        <v>17776</v>
      </c>
      <c r="H3312" s="561">
        <v>1333117.3429999999</v>
      </c>
      <c r="I3312" s="561">
        <v>1060</v>
      </c>
      <c r="J3312" s="561">
        <v>36510.671999999999</v>
      </c>
      <c r="K3312" s="561">
        <v>17708</v>
      </c>
      <c r="L3312" s="561">
        <v>1306380.04</v>
      </c>
      <c r="M3312" s="561">
        <v>1306380.04</v>
      </c>
      <c r="N3312" s="561">
        <v>384864</v>
      </c>
      <c r="O3312" s="561">
        <v>0</v>
      </c>
      <c r="P3312" s="561">
        <v>921516.04</v>
      </c>
    </row>
    <row r="3313" spans="1:38">
      <c r="C3313" s="561" t="s">
        <v>1197</v>
      </c>
      <c r="D3313" s="561">
        <v>1192243.733</v>
      </c>
      <c r="E3313" s="561">
        <v>362400</v>
      </c>
      <c r="F3313" s="561">
        <v>829843.73299999989</v>
      </c>
      <c r="G3313" s="561">
        <v>17450</v>
      </c>
      <c r="H3313" s="561">
        <v>1219966.2349999999</v>
      </c>
      <c r="I3313" s="561">
        <v>1052</v>
      </c>
      <c r="J3313" s="561">
        <v>34598.186999999998</v>
      </c>
      <c r="K3313" s="561">
        <v>17382</v>
      </c>
      <c r="L3313" s="561">
        <v>1194739.733</v>
      </c>
      <c r="M3313" s="561">
        <v>1194739.733</v>
      </c>
      <c r="N3313" s="561">
        <v>364896</v>
      </c>
      <c r="O3313" s="561">
        <v>0</v>
      </c>
    </row>
    <row r="3314" spans="1:38">
      <c r="C3314" s="561" t="s">
        <v>1198</v>
      </c>
      <c r="D3314" s="561">
        <v>111037.88</v>
      </c>
      <c r="E3314" s="561">
        <v>22464</v>
      </c>
      <c r="F3314" s="561">
        <v>88573.88</v>
      </c>
      <c r="G3314" s="561">
        <v>213</v>
      </c>
      <c r="H3314" s="561">
        <v>110052.681</v>
      </c>
      <c r="I3314" s="561">
        <v>8</v>
      </c>
      <c r="J3314" s="561">
        <v>1912.4849999999999</v>
      </c>
      <c r="K3314" s="561">
        <v>213</v>
      </c>
      <c r="L3314" s="561">
        <v>108541.88</v>
      </c>
      <c r="M3314" s="561">
        <v>108541.88</v>
      </c>
      <c r="N3314" s="561">
        <v>19968</v>
      </c>
      <c r="O3314" s="561">
        <v>0</v>
      </c>
    </row>
    <row r="3315" spans="1:38">
      <c r="C3315" s="561" t="s">
        <v>1199</v>
      </c>
      <c r="D3315" s="561">
        <v>3098.4270000000001</v>
      </c>
      <c r="F3315" s="561">
        <v>3098.4270000000001</v>
      </c>
      <c r="G3315" s="561">
        <v>113</v>
      </c>
      <c r="H3315" s="561">
        <v>3098.4270000000001</v>
      </c>
      <c r="I3315" s="561">
        <v>0</v>
      </c>
      <c r="J3315" s="561">
        <v>0</v>
      </c>
      <c r="K3315" s="561">
        <v>113</v>
      </c>
      <c r="L3315" s="561">
        <v>3098.4270000000001</v>
      </c>
      <c r="M3315" s="561">
        <v>3098.4270000000001</v>
      </c>
      <c r="N3315" s="561">
        <v>0</v>
      </c>
      <c r="O3315" s="561">
        <v>0</v>
      </c>
      <c r="AL3315" s="561">
        <v>3098.4270000000001</v>
      </c>
    </row>
    <row r="3316" spans="1:38">
      <c r="B3316" s="561" t="s">
        <v>1496</v>
      </c>
      <c r="C3316" s="561" t="s">
        <v>1202</v>
      </c>
      <c r="G3316" s="561">
        <v>0</v>
      </c>
      <c r="H3316" s="561">
        <v>0</v>
      </c>
      <c r="I3316" s="561">
        <v>0</v>
      </c>
      <c r="J3316" s="561">
        <v>0</v>
      </c>
      <c r="K3316" s="561">
        <v>0</v>
      </c>
      <c r="L3316" s="561">
        <v>0</v>
      </c>
      <c r="O3316" s="561">
        <v>0</v>
      </c>
    </row>
    <row r="3319" spans="1:38">
      <c r="A3319" s="561">
        <v>7</v>
      </c>
      <c r="B3319" s="561" t="s">
        <v>1502</v>
      </c>
      <c r="C3319" s="561" t="s">
        <v>1206</v>
      </c>
      <c r="D3319" s="561">
        <v>774419.728</v>
      </c>
      <c r="E3319" s="561">
        <v>224065.6</v>
      </c>
      <c r="F3319" s="561">
        <v>550354.12800000003</v>
      </c>
      <c r="G3319" s="561">
        <v>10375</v>
      </c>
      <c r="H3319" s="561">
        <v>790463.39199999988</v>
      </c>
      <c r="I3319" s="561">
        <v>700</v>
      </c>
      <c r="J3319" s="561">
        <v>12278.223</v>
      </c>
      <c r="K3319" s="561">
        <v>10354</v>
      </c>
      <c r="L3319" s="561">
        <v>774419.728</v>
      </c>
      <c r="M3319" s="561">
        <v>774419.728</v>
      </c>
      <c r="N3319" s="561">
        <v>224065.6</v>
      </c>
      <c r="O3319" s="561">
        <v>0</v>
      </c>
      <c r="P3319" s="561">
        <v>550354.12800000003</v>
      </c>
    </row>
    <row r="3320" spans="1:38">
      <c r="C3320" s="561" t="s">
        <v>1197</v>
      </c>
      <c r="D3320" s="561">
        <v>615148.29800000007</v>
      </c>
      <c r="E3320" s="561">
        <v>180766</v>
      </c>
      <c r="F3320" s="561">
        <v>434382.29800000001</v>
      </c>
      <c r="G3320" s="561">
        <v>9054</v>
      </c>
      <c r="H3320" s="561">
        <v>644428.11899999995</v>
      </c>
      <c r="I3320" s="561">
        <v>693</v>
      </c>
      <c r="J3320" s="561">
        <v>12227.27</v>
      </c>
      <c r="K3320" s="561">
        <v>9033</v>
      </c>
      <c r="L3320" s="561">
        <v>628668.49800000002</v>
      </c>
      <c r="M3320" s="561">
        <v>628668.49800000002</v>
      </c>
      <c r="N3320" s="561">
        <v>194301.9</v>
      </c>
      <c r="O3320" s="561">
        <v>0</v>
      </c>
    </row>
    <row r="3321" spans="1:38">
      <c r="C3321" s="561" t="s">
        <v>1198</v>
      </c>
      <c r="D3321" s="561">
        <v>0</v>
      </c>
      <c r="F3321" s="561">
        <v>0</v>
      </c>
      <c r="G3321" s="561">
        <v>0</v>
      </c>
      <c r="H3321" s="561">
        <v>0</v>
      </c>
      <c r="I3321" s="561">
        <v>0</v>
      </c>
      <c r="J3321" s="561">
        <v>0</v>
      </c>
      <c r="K3321" s="561">
        <v>0</v>
      </c>
      <c r="L3321" s="561">
        <v>0</v>
      </c>
      <c r="M3321" s="561">
        <v>0</v>
      </c>
      <c r="N3321" s="561">
        <v>0</v>
      </c>
      <c r="O3321" s="561">
        <v>0</v>
      </c>
      <c r="P3321" s="561">
        <v>0</v>
      </c>
    </row>
    <row r="3322" spans="1:38">
      <c r="C3322" s="561" t="s">
        <v>1199</v>
      </c>
      <c r="D3322" s="561">
        <v>158737.73000000001</v>
      </c>
      <c r="E3322" s="561">
        <v>43299.6</v>
      </c>
      <c r="F3322" s="561">
        <v>115438.13</v>
      </c>
      <c r="G3322" s="561">
        <v>1321</v>
      </c>
      <c r="H3322" s="561">
        <v>145475.15299999996</v>
      </c>
      <c r="I3322" s="561">
        <v>7</v>
      </c>
      <c r="J3322" s="561">
        <v>50.953000000000003</v>
      </c>
      <c r="K3322" s="561">
        <v>1321</v>
      </c>
      <c r="L3322" s="561">
        <v>145201.82999999999</v>
      </c>
      <c r="M3322" s="561">
        <v>145201.82999999999</v>
      </c>
      <c r="N3322" s="561">
        <v>29763.7</v>
      </c>
      <c r="O3322" s="561">
        <v>0</v>
      </c>
      <c r="AL3322" s="561">
        <v>115438.13</v>
      </c>
    </row>
    <row r="3323" spans="1:38">
      <c r="B3323" s="561" t="s">
        <v>1496</v>
      </c>
      <c r="C3323" s="561" t="s">
        <v>1202</v>
      </c>
      <c r="D3323" s="561">
        <v>533.70000000000005</v>
      </c>
      <c r="F3323" s="561">
        <v>533.70000000000005</v>
      </c>
      <c r="G3323" s="561">
        <v>0</v>
      </c>
      <c r="H3323" s="561">
        <v>560.12</v>
      </c>
      <c r="I3323" s="561">
        <v>0</v>
      </c>
      <c r="J3323" s="561">
        <v>0</v>
      </c>
      <c r="K3323" s="561">
        <v>0</v>
      </c>
      <c r="L3323" s="561">
        <v>549.4</v>
      </c>
      <c r="M3323" s="561">
        <v>549.4</v>
      </c>
      <c r="O3323" s="561">
        <v>0</v>
      </c>
      <c r="P3323" s="561">
        <v>549.4</v>
      </c>
    </row>
    <row r="3326" spans="1:38">
      <c r="A3326" s="561">
        <v>8</v>
      </c>
      <c r="B3326" s="561" t="s">
        <v>1503</v>
      </c>
      <c r="C3326" s="561" t="s">
        <v>1206</v>
      </c>
      <c r="D3326" s="561">
        <v>595892.00299999991</v>
      </c>
      <c r="E3326" s="561">
        <v>145500</v>
      </c>
      <c r="F3326" s="561">
        <v>450392.00299999991</v>
      </c>
      <c r="G3326" s="561">
        <v>10561</v>
      </c>
      <c r="H3326" s="561">
        <v>605904.18200000003</v>
      </c>
      <c r="I3326" s="561">
        <v>914</v>
      </c>
      <c r="J3326" s="561">
        <v>11034.401</v>
      </c>
      <c r="K3326" s="561">
        <v>10542</v>
      </c>
      <c r="L3326" s="561">
        <v>595892.00333333318</v>
      </c>
      <c r="M3326" s="561">
        <v>595892.00333333318</v>
      </c>
      <c r="N3326" s="561">
        <v>145500.00033333327</v>
      </c>
      <c r="O3326" s="561">
        <v>0</v>
      </c>
      <c r="P3326" s="561">
        <v>450392.00299999991</v>
      </c>
    </row>
    <row r="3327" spans="1:38">
      <c r="C3327" s="561" t="s">
        <v>1197</v>
      </c>
      <c r="D3327" s="561">
        <v>595892.00299999991</v>
      </c>
      <c r="E3327" s="561">
        <v>145500</v>
      </c>
      <c r="F3327" s="561">
        <v>450392.00299999991</v>
      </c>
      <c r="G3327" s="561">
        <v>10561</v>
      </c>
      <c r="H3327" s="561">
        <v>605904.18200000003</v>
      </c>
      <c r="I3327" s="561">
        <v>914</v>
      </c>
      <c r="J3327" s="561">
        <v>11034.401</v>
      </c>
      <c r="K3327" s="561">
        <v>10542</v>
      </c>
      <c r="L3327" s="561">
        <v>595892.00333333318</v>
      </c>
      <c r="M3327" s="561">
        <v>595892.00333333318</v>
      </c>
      <c r="N3327" s="561">
        <v>145500.00033333327</v>
      </c>
      <c r="O3327" s="561">
        <v>0</v>
      </c>
    </row>
    <row r="3328" spans="1:38">
      <c r="C3328" s="561" t="s">
        <v>1198</v>
      </c>
      <c r="D3328" s="561">
        <v>0</v>
      </c>
      <c r="F3328" s="561">
        <v>0</v>
      </c>
      <c r="G3328" s="561">
        <v>0</v>
      </c>
      <c r="H3328" s="561">
        <v>0</v>
      </c>
      <c r="I3328" s="561">
        <v>0</v>
      </c>
      <c r="J3328" s="561">
        <v>0</v>
      </c>
      <c r="K3328" s="561">
        <v>0</v>
      </c>
      <c r="L3328" s="561">
        <v>0</v>
      </c>
      <c r="M3328" s="561">
        <v>0</v>
      </c>
      <c r="N3328" s="561">
        <v>0</v>
      </c>
      <c r="O3328" s="561">
        <v>0</v>
      </c>
      <c r="P3328" s="561">
        <v>0</v>
      </c>
    </row>
    <row r="3329" spans="1:38">
      <c r="C3329" s="561" t="s">
        <v>1199</v>
      </c>
      <c r="D3329" s="561">
        <v>0</v>
      </c>
      <c r="F3329" s="561">
        <v>0</v>
      </c>
      <c r="G3329" s="561">
        <v>0</v>
      </c>
      <c r="H3329" s="561">
        <v>0</v>
      </c>
      <c r="I3329" s="561">
        <v>0</v>
      </c>
      <c r="J3329" s="561">
        <v>0</v>
      </c>
      <c r="K3329" s="561">
        <v>0</v>
      </c>
      <c r="L3329" s="561">
        <v>0</v>
      </c>
      <c r="M3329" s="561">
        <v>0</v>
      </c>
      <c r="N3329" s="561">
        <v>0</v>
      </c>
      <c r="O3329" s="561">
        <v>0</v>
      </c>
      <c r="P3329" s="561">
        <v>0</v>
      </c>
    </row>
    <row r="3330" spans="1:38">
      <c r="B3330" s="561" t="s">
        <v>1496</v>
      </c>
      <c r="C3330" s="561" t="s">
        <v>1202</v>
      </c>
      <c r="G3330" s="561">
        <v>0</v>
      </c>
      <c r="H3330" s="561">
        <v>0</v>
      </c>
      <c r="I3330" s="561">
        <v>0</v>
      </c>
      <c r="J3330" s="561">
        <v>0</v>
      </c>
      <c r="K3330" s="561">
        <v>0</v>
      </c>
      <c r="L3330" s="561">
        <v>0</v>
      </c>
      <c r="O3330" s="561">
        <v>0</v>
      </c>
    </row>
    <row r="3333" spans="1:38">
      <c r="A3333" s="561">
        <v>9</v>
      </c>
      <c r="B3333" s="561" t="s">
        <v>1504</v>
      </c>
      <c r="C3333" s="561" t="s">
        <v>1206</v>
      </c>
      <c r="D3333" s="561">
        <v>661336.03300000005</v>
      </c>
      <c r="E3333" s="561">
        <v>198400.8</v>
      </c>
      <c r="F3333" s="561">
        <v>462935.23300000007</v>
      </c>
      <c r="G3333" s="561">
        <v>7793</v>
      </c>
      <c r="H3333" s="561">
        <v>667348.7209999999</v>
      </c>
      <c r="I3333" s="561">
        <v>224</v>
      </c>
      <c r="J3333" s="561">
        <v>7304.3180000000002</v>
      </c>
      <c r="K3333" s="561">
        <v>7793</v>
      </c>
      <c r="L3333" s="561">
        <v>661336.03300000005</v>
      </c>
      <c r="M3333" s="561">
        <v>661336.03300000005</v>
      </c>
      <c r="N3333" s="561">
        <v>198400.8</v>
      </c>
      <c r="O3333" s="561">
        <v>0</v>
      </c>
      <c r="P3333" s="561">
        <v>462935.23300000007</v>
      </c>
    </row>
    <row r="3334" spans="1:38">
      <c r="C3334" s="561" t="s">
        <v>1197</v>
      </c>
      <c r="D3334" s="561">
        <v>654868.14300000004</v>
      </c>
      <c r="E3334" s="561">
        <v>196896</v>
      </c>
      <c r="F3334" s="561">
        <v>457972.14300000004</v>
      </c>
      <c r="G3334" s="561">
        <v>7362</v>
      </c>
      <c r="H3334" s="561">
        <v>661162.67299999995</v>
      </c>
      <c r="I3334" s="561">
        <v>221</v>
      </c>
      <c r="J3334" s="561">
        <v>7273.665</v>
      </c>
      <c r="K3334" s="561">
        <v>7362</v>
      </c>
      <c r="L3334" s="561">
        <v>655202.44300000009</v>
      </c>
      <c r="M3334" s="561">
        <v>655202.44300000009</v>
      </c>
      <c r="N3334" s="561">
        <v>197230.3</v>
      </c>
      <c r="O3334" s="561">
        <v>0</v>
      </c>
    </row>
    <row r="3335" spans="1:38">
      <c r="C3335" s="561" t="s">
        <v>1198</v>
      </c>
      <c r="D3335" s="561">
        <v>0</v>
      </c>
      <c r="F3335" s="561">
        <v>0</v>
      </c>
      <c r="G3335" s="561">
        <v>0</v>
      </c>
      <c r="H3335" s="561">
        <v>0</v>
      </c>
      <c r="I3335" s="561">
        <v>0</v>
      </c>
      <c r="J3335" s="561">
        <v>0</v>
      </c>
      <c r="K3335" s="561">
        <v>0</v>
      </c>
      <c r="L3335" s="561">
        <v>0</v>
      </c>
      <c r="M3335" s="561">
        <v>0</v>
      </c>
      <c r="N3335" s="561">
        <v>0</v>
      </c>
      <c r="O3335" s="561">
        <v>0</v>
      </c>
      <c r="P3335" s="561">
        <v>0</v>
      </c>
    </row>
    <row r="3336" spans="1:38">
      <c r="C3336" s="561" t="s">
        <v>1199</v>
      </c>
      <c r="D3336" s="561">
        <v>6467.89</v>
      </c>
      <c r="E3336" s="561">
        <v>1504.8</v>
      </c>
      <c r="F3336" s="561">
        <v>4963.09</v>
      </c>
      <c r="G3336" s="561">
        <v>431</v>
      </c>
      <c r="H3336" s="561">
        <v>6186.0480000000007</v>
      </c>
      <c r="I3336" s="561">
        <v>3</v>
      </c>
      <c r="J3336" s="561">
        <v>30.652999999999999</v>
      </c>
      <c r="K3336" s="561">
        <v>431</v>
      </c>
      <c r="L3336" s="561">
        <v>6133.59</v>
      </c>
      <c r="M3336" s="561">
        <v>6133.59</v>
      </c>
      <c r="N3336" s="561">
        <v>1170.5</v>
      </c>
      <c r="O3336" s="561">
        <v>0</v>
      </c>
      <c r="AL3336" s="561">
        <v>4963.09</v>
      </c>
    </row>
    <row r="3337" spans="1:38">
      <c r="B3337" s="561" t="s">
        <v>1496</v>
      </c>
      <c r="C3337" s="561" t="s">
        <v>1202</v>
      </c>
      <c r="G3337" s="561">
        <v>0</v>
      </c>
      <c r="H3337" s="561">
        <v>0</v>
      </c>
      <c r="I3337" s="561">
        <v>0</v>
      </c>
      <c r="J3337" s="561">
        <v>0</v>
      </c>
      <c r="K3337" s="561">
        <v>0</v>
      </c>
      <c r="L3337" s="561">
        <v>0</v>
      </c>
      <c r="O3337" s="561">
        <v>0</v>
      </c>
    </row>
    <row r="3340" spans="1:38">
      <c r="A3340" s="561">
        <v>10</v>
      </c>
      <c r="B3340" s="561" t="s">
        <v>1505</v>
      </c>
      <c r="C3340" s="561" t="s">
        <v>1206</v>
      </c>
      <c r="D3340" s="561">
        <v>291752.02500000002</v>
      </c>
      <c r="E3340" s="561">
        <v>81525.600000000006</v>
      </c>
      <c r="F3340" s="561">
        <v>210226.42499999999</v>
      </c>
      <c r="G3340" s="561">
        <v>6000</v>
      </c>
      <c r="H3340" s="561">
        <v>299376.40900000004</v>
      </c>
      <c r="I3340" s="561">
        <v>357</v>
      </c>
      <c r="J3340" s="561">
        <v>7515.5579999999991</v>
      </c>
      <c r="K3340" s="561">
        <v>5985</v>
      </c>
      <c r="L3340" s="561">
        <v>291752.02500000002</v>
      </c>
      <c r="M3340" s="561">
        <v>291752.02500000002</v>
      </c>
      <c r="N3340" s="561">
        <v>81525.600000000006</v>
      </c>
      <c r="O3340" s="561">
        <v>0</v>
      </c>
      <c r="P3340" s="561">
        <v>210226.42499999999</v>
      </c>
    </row>
    <row r="3341" spans="1:38">
      <c r="C3341" s="561" t="s">
        <v>1197</v>
      </c>
      <c r="D3341" s="561">
        <v>259392.859</v>
      </c>
      <c r="E3341" s="561">
        <v>71734.5</v>
      </c>
      <c r="F3341" s="561">
        <v>187658.359</v>
      </c>
      <c r="G3341" s="561">
        <v>3879</v>
      </c>
      <c r="H3341" s="561">
        <v>266171.90600000002</v>
      </c>
      <c r="I3341" s="561">
        <v>326</v>
      </c>
      <c r="J3341" s="561">
        <v>7226.0959999999995</v>
      </c>
      <c r="K3341" s="561">
        <v>3866</v>
      </c>
      <c r="L3341" s="561">
        <v>258999.959</v>
      </c>
      <c r="M3341" s="561">
        <v>258999.959</v>
      </c>
      <c r="N3341" s="561">
        <v>71341.600000000006</v>
      </c>
      <c r="O3341" s="561">
        <v>0</v>
      </c>
    </row>
    <row r="3342" spans="1:38">
      <c r="C3342" s="561" t="s">
        <v>1198</v>
      </c>
      <c r="D3342" s="561">
        <v>0</v>
      </c>
      <c r="F3342" s="561">
        <v>0</v>
      </c>
      <c r="G3342" s="561">
        <v>0</v>
      </c>
      <c r="H3342" s="561">
        <v>0</v>
      </c>
      <c r="I3342" s="561">
        <v>0</v>
      </c>
      <c r="J3342" s="561">
        <v>0</v>
      </c>
      <c r="K3342" s="561">
        <v>0</v>
      </c>
      <c r="L3342" s="561">
        <v>0</v>
      </c>
      <c r="M3342" s="561">
        <v>0</v>
      </c>
      <c r="N3342" s="561">
        <v>0</v>
      </c>
      <c r="O3342" s="561">
        <v>0</v>
      </c>
      <c r="P3342" s="561">
        <v>0</v>
      </c>
    </row>
    <row r="3343" spans="1:38">
      <c r="C3343" s="561" t="s">
        <v>1199</v>
      </c>
      <c r="D3343" s="561">
        <v>32359.165999999997</v>
      </c>
      <c r="E3343" s="561">
        <v>9791.1</v>
      </c>
      <c r="F3343" s="561">
        <v>22568.065999999999</v>
      </c>
      <c r="G3343" s="561">
        <v>2121</v>
      </c>
      <c r="H3343" s="561">
        <v>33204.503000000004</v>
      </c>
      <c r="I3343" s="561">
        <v>31</v>
      </c>
      <c r="J3343" s="561">
        <v>289.46199999999999</v>
      </c>
      <c r="K3343" s="561">
        <v>2119</v>
      </c>
      <c r="L3343" s="561">
        <v>32752.065999999999</v>
      </c>
      <c r="M3343" s="561">
        <v>32752.065999999999</v>
      </c>
      <c r="N3343" s="561">
        <v>10184</v>
      </c>
      <c r="O3343" s="561">
        <v>0</v>
      </c>
      <c r="AL3343" s="561">
        <v>22568.065999999999</v>
      </c>
    </row>
    <row r="3344" spans="1:38">
      <c r="B3344" s="561" t="s">
        <v>1496</v>
      </c>
      <c r="C3344" s="561" t="s">
        <v>1202</v>
      </c>
      <c r="O3344" s="561">
        <v>0</v>
      </c>
    </row>
    <row r="3347" spans="1:38">
      <c r="A3347" s="561">
        <v>11</v>
      </c>
      <c r="B3347" s="561" t="s">
        <v>1506</v>
      </c>
      <c r="C3347" s="561" t="s">
        <v>1206</v>
      </c>
      <c r="D3347" s="561">
        <v>289808.00900000002</v>
      </c>
      <c r="E3347" s="561">
        <v>85142.399999999994</v>
      </c>
      <c r="F3347" s="561">
        <v>204665.609</v>
      </c>
      <c r="G3347" s="561">
        <v>7159</v>
      </c>
      <c r="H3347" s="561">
        <v>277779.34599999996</v>
      </c>
      <c r="I3347" s="561">
        <v>336</v>
      </c>
      <c r="J3347" s="561">
        <v>8604.8089999999993</v>
      </c>
      <c r="K3347" s="561">
        <v>7143</v>
      </c>
      <c r="L3347" s="561">
        <v>289807.99900000001</v>
      </c>
      <c r="M3347" s="561">
        <v>289807.99900000001</v>
      </c>
      <c r="N3347" s="561">
        <v>85142.39</v>
      </c>
      <c r="O3347" s="561">
        <v>0</v>
      </c>
      <c r="P3347" s="561">
        <v>204665.609</v>
      </c>
    </row>
    <row r="3348" spans="1:38">
      <c r="C3348" s="561" t="s">
        <v>1197</v>
      </c>
      <c r="D3348" s="561">
        <v>240564.046</v>
      </c>
      <c r="E3348" s="561">
        <v>72600</v>
      </c>
      <c r="F3348" s="561">
        <v>167964.046</v>
      </c>
      <c r="G3348" s="561">
        <v>3840</v>
      </c>
      <c r="H3348" s="561">
        <v>228248.60099999997</v>
      </c>
      <c r="I3348" s="561">
        <v>292</v>
      </c>
      <c r="J3348" s="561">
        <v>8330.9110000000001</v>
      </c>
      <c r="K3348" s="561">
        <v>3824</v>
      </c>
      <c r="L3348" s="561">
        <v>240564.03599999999</v>
      </c>
      <c r="M3348" s="561">
        <v>240564.03599999999</v>
      </c>
      <c r="N3348" s="561">
        <v>72599.990000000005</v>
      </c>
      <c r="O3348" s="561">
        <v>0</v>
      </c>
    </row>
    <row r="3349" spans="1:38">
      <c r="C3349" s="561" t="s">
        <v>1198</v>
      </c>
      <c r="D3349" s="561">
        <v>0</v>
      </c>
      <c r="F3349" s="561">
        <v>0</v>
      </c>
      <c r="G3349" s="561">
        <v>0</v>
      </c>
      <c r="H3349" s="561">
        <v>0</v>
      </c>
      <c r="I3349" s="561">
        <v>0</v>
      </c>
      <c r="J3349" s="561">
        <v>0</v>
      </c>
      <c r="K3349" s="561">
        <v>0</v>
      </c>
      <c r="L3349" s="561">
        <v>0</v>
      </c>
      <c r="M3349" s="561">
        <v>0</v>
      </c>
      <c r="N3349" s="561">
        <v>0</v>
      </c>
      <c r="O3349" s="561">
        <v>0</v>
      </c>
      <c r="P3349" s="561">
        <v>0</v>
      </c>
    </row>
    <row r="3350" spans="1:38">
      <c r="C3350" s="561" t="s">
        <v>1199</v>
      </c>
      <c r="D3350" s="561">
        <v>49243.963000000003</v>
      </c>
      <c r="E3350" s="561">
        <v>12542.4</v>
      </c>
      <c r="F3350" s="561">
        <v>36701.563000000002</v>
      </c>
      <c r="G3350" s="561">
        <v>3319</v>
      </c>
      <c r="H3350" s="561">
        <v>49530.744999999995</v>
      </c>
      <c r="I3350" s="561">
        <v>44</v>
      </c>
      <c r="J3350" s="561">
        <v>273.89800000000002</v>
      </c>
      <c r="K3350" s="561">
        <v>3319</v>
      </c>
      <c r="L3350" s="561">
        <v>49243.963000000003</v>
      </c>
      <c r="M3350" s="561">
        <v>49243.963000000003</v>
      </c>
      <c r="N3350" s="561">
        <v>12542.4</v>
      </c>
      <c r="O3350" s="561">
        <v>0</v>
      </c>
      <c r="AL3350" s="561">
        <v>36701.563000000002</v>
      </c>
    </row>
    <row r="3351" spans="1:38">
      <c r="B3351" s="561" t="s">
        <v>1496</v>
      </c>
      <c r="C3351" s="561" t="s">
        <v>1202</v>
      </c>
      <c r="O3351" s="561">
        <v>0</v>
      </c>
    </row>
    <row r="3354" spans="1:38">
      <c r="A3354" s="561">
        <v>12</v>
      </c>
      <c r="B3354" s="561" t="s">
        <v>1507</v>
      </c>
      <c r="C3354" s="561" t="s">
        <v>1206</v>
      </c>
      <c r="D3354" s="561">
        <v>317650.35099999997</v>
      </c>
      <c r="E3354" s="561">
        <v>89239</v>
      </c>
      <c r="F3354" s="561">
        <v>228411.351</v>
      </c>
      <c r="G3354" s="561">
        <v>6830</v>
      </c>
      <c r="H3354" s="561">
        <v>319700.30300000001</v>
      </c>
      <c r="I3354" s="561">
        <v>455</v>
      </c>
      <c r="J3354" s="561">
        <v>9130.7240000000002</v>
      </c>
      <c r="K3354" s="561">
        <v>6816</v>
      </c>
      <c r="L3354" s="561">
        <v>317650.35099999997</v>
      </c>
      <c r="M3354" s="561">
        <v>317650.35099999997</v>
      </c>
      <c r="N3354" s="561">
        <v>89239</v>
      </c>
      <c r="O3354" s="561">
        <v>0</v>
      </c>
      <c r="P3354" s="561">
        <v>228411.351</v>
      </c>
    </row>
    <row r="3355" spans="1:38">
      <c r="C3355" s="561" t="s">
        <v>1197</v>
      </c>
      <c r="D3355" s="561">
        <v>276948.29399999999</v>
      </c>
      <c r="E3355" s="561">
        <v>79207</v>
      </c>
      <c r="F3355" s="561">
        <v>197741.29399999999</v>
      </c>
      <c r="G3355" s="561">
        <v>4115</v>
      </c>
      <c r="H3355" s="561">
        <v>277633.473</v>
      </c>
      <c r="I3355" s="561">
        <v>376</v>
      </c>
      <c r="J3355" s="561">
        <v>8572.3359999999993</v>
      </c>
      <c r="K3355" s="561">
        <v>4107</v>
      </c>
      <c r="L3355" s="561">
        <v>276207.29399999999</v>
      </c>
      <c r="M3355" s="561">
        <v>276207.29399999999</v>
      </c>
      <c r="N3355" s="561">
        <v>78466</v>
      </c>
      <c r="O3355" s="561">
        <v>0</v>
      </c>
    </row>
    <row r="3356" spans="1:38">
      <c r="C3356" s="561" t="s">
        <v>1198</v>
      </c>
      <c r="D3356" s="561">
        <v>0</v>
      </c>
      <c r="F3356" s="561">
        <v>0</v>
      </c>
      <c r="G3356" s="561">
        <v>0</v>
      </c>
      <c r="H3356" s="561">
        <v>0</v>
      </c>
      <c r="I3356" s="561">
        <v>0</v>
      </c>
      <c r="J3356" s="561">
        <v>0</v>
      </c>
      <c r="K3356" s="561">
        <v>0</v>
      </c>
      <c r="L3356" s="561">
        <v>0</v>
      </c>
      <c r="M3356" s="561">
        <v>0</v>
      </c>
      <c r="N3356" s="561">
        <v>0</v>
      </c>
      <c r="O3356" s="561">
        <v>0</v>
      </c>
      <c r="P3356" s="561">
        <v>0</v>
      </c>
    </row>
    <row r="3357" spans="1:38">
      <c r="C3357" s="561" t="s">
        <v>1199</v>
      </c>
      <c r="D3357" s="561">
        <v>40584.894</v>
      </c>
      <c r="E3357" s="561">
        <v>10032</v>
      </c>
      <c r="F3357" s="561">
        <v>30552.894000000004</v>
      </c>
      <c r="G3357" s="561">
        <v>2715</v>
      </c>
      <c r="H3357" s="561">
        <v>41949.667000000009</v>
      </c>
      <c r="I3357" s="561">
        <v>79</v>
      </c>
      <c r="J3357" s="561">
        <v>558.38800000000003</v>
      </c>
      <c r="K3357" s="561">
        <v>2709</v>
      </c>
      <c r="L3357" s="561">
        <v>41325.894</v>
      </c>
      <c r="M3357" s="561">
        <v>41325.894</v>
      </c>
      <c r="N3357" s="561">
        <v>10773</v>
      </c>
      <c r="O3357" s="561">
        <v>0</v>
      </c>
      <c r="AL3357" s="561">
        <v>30552.894000000004</v>
      </c>
    </row>
    <row r="3358" spans="1:38">
      <c r="B3358" s="561" t="s">
        <v>1496</v>
      </c>
      <c r="C3358" s="561" t="s">
        <v>1202</v>
      </c>
      <c r="D3358" s="561">
        <v>117.163</v>
      </c>
      <c r="F3358" s="561">
        <v>117.163</v>
      </c>
      <c r="H3358" s="561">
        <v>117.163</v>
      </c>
      <c r="I3358" s="561">
        <v>0</v>
      </c>
      <c r="J3358" s="561">
        <v>0</v>
      </c>
      <c r="L3358" s="561">
        <v>117.163</v>
      </c>
      <c r="M3358" s="561">
        <v>117.163</v>
      </c>
      <c r="O3358" s="561">
        <v>0</v>
      </c>
      <c r="P3358" s="561">
        <v>117.163</v>
      </c>
    </row>
    <row r="3361" spans="1:38">
      <c r="A3361" s="561">
        <v>13</v>
      </c>
      <c r="B3361" s="561" t="s">
        <v>1508</v>
      </c>
      <c r="C3361" s="561" t="s">
        <v>1206</v>
      </c>
      <c r="D3361" s="561">
        <v>958104.98066666652</v>
      </c>
      <c r="E3361" s="561">
        <v>262231.5</v>
      </c>
      <c r="F3361" s="561">
        <v>695873.48066666652</v>
      </c>
      <c r="G3361" s="561">
        <v>21963</v>
      </c>
      <c r="H3361" s="561">
        <v>998427.27599999984</v>
      </c>
      <c r="I3361" s="561">
        <v>1231</v>
      </c>
      <c r="J3361" s="561">
        <v>39101.017999999996</v>
      </c>
      <c r="K3361" s="561">
        <v>21893</v>
      </c>
      <c r="L3361" s="561">
        <v>958104.98066666652</v>
      </c>
      <c r="M3361" s="561">
        <v>958104.98066666652</v>
      </c>
      <c r="N3361" s="561">
        <v>262231.5</v>
      </c>
      <c r="O3361" s="561">
        <v>0</v>
      </c>
      <c r="P3361" s="561">
        <v>695873.48066666652</v>
      </c>
    </row>
    <row r="3362" spans="1:38">
      <c r="C3362" s="561" t="s">
        <v>1197</v>
      </c>
      <c r="D3362" s="561">
        <v>791156.80099999986</v>
      </c>
      <c r="E3362" s="561">
        <v>222000</v>
      </c>
      <c r="F3362" s="561">
        <v>569156.80099999986</v>
      </c>
      <c r="G3362" s="561">
        <v>11633</v>
      </c>
      <c r="H3362" s="561">
        <v>819609.67099999986</v>
      </c>
      <c r="I3362" s="561">
        <v>945</v>
      </c>
      <c r="J3362" s="561">
        <v>37149.298999999999</v>
      </c>
      <c r="K3362" s="561">
        <v>11571</v>
      </c>
      <c r="L3362" s="561">
        <v>781408.94766666659</v>
      </c>
      <c r="M3362" s="561">
        <v>781408.94766666659</v>
      </c>
      <c r="N3362" s="561">
        <v>212252.14666666667</v>
      </c>
      <c r="O3362" s="561">
        <v>0</v>
      </c>
    </row>
    <row r="3363" spans="1:38">
      <c r="C3363" s="561" t="s">
        <v>1198</v>
      </c>
      <c r="D3363" s="561">
        <v>0</v>
      </c>
      <c r="F3363" s="561">
        <v>0</v>
      </c>
      <c r="G3363" s="561">
        <v>0</v>
      </c>
      <c r="H3363" s="561">
        <v>0</v>
      </c>
      <c r="I3363" s="561">
        <v>0</v>
      </c>
      <c r="J3363" s="561">
        <v>0</v>
      </c>
      <c r="K3363" s="561">
        <v>0</v>
      </c>
      <c r="L3363" s="561">
        <v>0</v>
      </c>
      <c r="M3363" s="561">
        <v>0</v>
      </c>
      <c r="N3363" s="561">
        <v>0</v>
      </c>
      <c r="O3363" s="561">
        <v>0</v>
      </c>
      <c r="P3363" s="561">
        <v>0</v>
      </c>
    </row>
    <row r="3364" spans="1:38">
      <c r="C3364" s="561" t="s">
        <v>1199</v>
      </c>
      <c r="D3364" s="561">
        <v>166948.17966666666</v>
      </c>
      <c r="E3364" s="561">
        <v>40231.5</v>
      </c>
      <c r="F3364" s="561">
        <v>126716.67966666666</v>
      </c>
      <c r="G3364" s="561">
        <v>10330</v>
      </c>
      <c r="H3364" s="561">
        <v>178817.60499999998</v>
      </c>
      <c r="I3364" s="561">
        <v>286</v>
      </c>
      <c r="J3364" s="561">
        <v>1951.7190000000001</v>
      </c>
      <c r="K3364" s="561">
        <v>10322</v>
      </c>
      <c r="L3364" s="561">
        <v>176696.033</v>
      </c>
      <c r="M3364" s="561">
        <v>176696.033</v>
      </c>
      <c r="N3364" s="561">
        <v>49979.353333333347</v>
      </c>
      <c r="O3364" s="561">
        <v>0</v>
      </c>
      <c r="AL3364" s="561">
        <v>126716.67966666666</v>
      </c>
    </row>
    <row r="3365" spans="1:38">
      <c r="B3365" s="561" t="s">
        <v>1496</v>
      </c>
      <c r="C3365" s="561" t="s">
        <v>1202</v>
      </c>
      <c r="O3365" s="561">
        <v>0</v>
      </c>
    </row>
    <row r="3368" spans="1:38">
      <c r="A3368" s="561">
        <v>14</v>
      </c>
      <c r="B3368" s="561" t="s">
        <v>1509</v>
      </c>
      <c r="C3368" s="561" t="s">
        <v>1206</v>
      </c>
      <c r="D3368" s="561">
        <v>437980.049</v>
      </c>
      <c r="E3368" s="561">
        <v>127794</v>
      </c>
      <c r="F3368" s="561">
        <v>310186.049</v>
      </c>
      <c r="G3368" s="561">
        <v>10005</v>
      </c>
      <c r="H3368" s="561">
        <v>457670.88799999992</v>
      </c>
      <c r="I3368" s="561">
        <v>768</v>
      </c>
      <c r="J3368" s="561">
        <v>20294.126</v>
      </c>
      <c r="K3368" s="561">
        <v>9959</v>
      </c>
      <c r="L3368" s="561">
        <v>437980.049</v>
      </c>
      <c r="M3368" s="561">
        <v>437980.049</v>
      </c>
      <c r="N3368" s="561">
        <v>127794</v>
      </c>
      <c r="O3368" s="561">
        <v>0</v>
      </c>
      <c r="P3368" s="561">
        <v>310186.049</v>
      </c>
    </row>
    <row r="3369" spans="1:38">
      <c r="C3369" s="561" t="s">
        <v>1197</v>
      </c>
      <c r="D3369" s="561">
        <v>379774.7</v>
      </c>
      <c r="E3369" s="561">
        <v>112800</v>
      </c>
      <c r="F3369" s="561">
        <v>266974.7</v>
      </c>
      <c r="G3369" s="561">
        <v>6048</v>
      </c>
      <c r="H3369" s="561">
        <v>399731.9059999999</v>
      </c>
      <c r="I3369" s="561">
        <v>684</v>
      </c>
      <c r="J3369" s="561">
        <v>19612.246999999999</v>
      </c>
      <c r="K3369" s="561">
        <v>6005</v>
      </c>
      <c r="L3369" s="561">
        <v>381033.2</v>
      </c>
      <c r="M3369" s="561">
        <v>381033.2</v>
      </c>
      <c r="N3369" s="561">
        <v>114058.5</v>
      </c>
      <c r="O3369" s="561">
        <v>0</v>
      </c>
    </row>
    <row r="3370" spans="1:38">
      <c r="C3370" s="561" t="s">
        <v>1198</v>
      </c>
      <c r="D3370" s="561">
        <v>0</v>
      </c>
      <c r="F3370" s="561">
        <v>0</v>
      </c>
      <c r="G3370" s="561">
        <v>0</v>
      </c>
      <c r="H3370" s="561">
        <v>0</v>
      </c>
      <c r="I3370" s="561">
        <v>0</v>
      </c>
      <c r="J3370" s="561">
        <v>0</v>
      </c>
      <c r="K3370" s="561">
        <v>0</v>
      </c>
      <c r="L3370" s="561">
        <v>0</v>
      </c>
      <c r="M3370" s="561">
        <v>0</v>
      </c>
      <c r="N3370" s="561">
        <v>0</v>
      </c>
      <c r="O3370" s="561">
        <v>0</v>
      </c>
      <c r="P3370" s="561">
        <v>0</v>
      </c>
    </row>
    <row r="3371" spans="1:38">
      <c r="C3371" s="561" t="s">
        <v>1199</v>
      </c>
      <c r="D3371" s="561">
        <v>58205.348999999995</v>
      </c>
      <c r="E3371" s="561">
        <v>14994</v>
      </c>
      <c r="F3371" s="561">
        <v>43211.348999999995</v>
      </c>
      <c r="G3371" s="561">
        <v>3957</v>
      </c>
      <c r="H3371" s="561">
        <v>57938.981999999996</v>
      </c>
      <c r="I3371" s="561">
        <v>84</v>
      </c>
      <c r="J3371" s="561">
        <v>681.87900000000002</v>
      </c>
      <c r="K3371" s="561">
        <v>3954</v>
      </c>
      <c r="L3371" s="561">
        <v>56946.848999999995</v>
      </c>
      <c r="M3371" s="561">
        <v>56946.848999999995</v>
      </c>
      <c r="N3371" s="561">
        <v>13735.5</v>
      </c>
      <c r="O3371" s="561">
        <v>0</v>
      </c>
      <c r="AL3371" s="561">
        <v>43211.348999999995</v>
      </c>
    </row>
    <row r="3372" spans="1:38">
      <c r="B3372" s="561" t="s">
        <v>1496</v>
      </c>
      <c r="C3372" s="561" t="s">
        <v>1202</v>
      </c>
      <c r="O3372" s="561">
        <v>0</v>
      </c>
    </row>
    <row r="3375" spans="1:38">
      <c r="A3375" s="561">
        <v>15</v>
      </c>
      <c r="B3375" s="561" t="s">
        <v>1510</v>
      </c>
      <c r="C3375" s="561" t="s">
        <v>1206</v>
      </c>
      <c r="D3375" s="561">
        <v>379490.033</v>
      </c>
      <c r="E3375" s="561">
        <v>107847</v>
      </c>
      <c r="F3375" s="561">
        <v>271643.033</v>
      </c>
      <c r="G3375" s="561">
        <v>7123</v>
      </c>
      <c r="H3375" s="561">
        <v>391420.27800000005</v>
      </c>
      <c r="I3375" s="561">
        <v>562</v>
      </c>
      <c r="J3375" s="561">
        <v>15054.567000000001</v>
      </c>
      <c r="K3375" s="561">
        <v>7096</v>
      </c>
      <c r="L3375" s="561">
        <v>379490.06700000004</v>
      </c>
      <c r="M3375" s="561">
        <v>379490.06700000004</v>
      </c>
      <c r="N3375" s="561">
        <v>107847.03400000001</v>
      </c>
      <c r="O3375" s="561">
        <v>0</v>
      </c>
      <c r="P3375" s="561">
        <v>271643.033</v>
      </c>
    </row>
    <row r="3376" spans="1:38">
      <c r="C3376" s="561" t="s">
        <v>1197</v>
      </c>
      <c r="D3376" s="561">
        <v>343918.05</v>
      </c>
      <c r="E3376" s="561">
        <v>100350</v>
      </c>
      <c r="F3376" s="561">
        <v>243568.05</v>
      </c>
      <c r="G3376" s="561">
        <v>5088</v>
      </c>
      <c r="H3376" s="561">
        <v>355277.80600000004</v>
      </c>
      <c r="I3376" s="561">
        <v>480</v>
      </c>
      <c r="J3376" s="561">
        <v>14578.257000000001</v>
      </c>
      <c r="K3376" s="561">
        <v>5065</v>
      </c>
      <c r="L3376" s="561">
        <v>343891.65</v>
      </c>
      <c r="M3376" s="561">
        <v>343891.65</v>
      </c>
      <c r="N3376" s="561">
        <v>100323.6</v>
      </c>
      <c r="O3376" s="561">
        <v>0</v>
      </c>
    </row>
    <row r="3377" spans="1:38">
      <c r="C3377" s="561" t="s">
        <v>1198</v>
      </c>
      <c r="D3377" s="561">
        <v>0</v>
      </c>
      <c r="F3377" s="561">
        <v>0</v>
      </c>
      <c r="G3377" s="561">
        <v>0</v>
      </c>
      <c r="H3377" s="561">
        <v>0</v>
      </c>
      <c r="I3377" s="561">
        <v>0</v>
      </c>
      <c r="J3377" s="561">
        <v>0</v>
      </c>
      <c r="K3377" s="561">
        <v>0</v>
      </c>
      <c r="L3377" s="561">
        <v>0</v>
      </c>
      <c r="M3377" s="561">
        <v>0</v>
      </c>
      <c r="N3377" s="561">
        <v>0</v>
      </c>
      <c r="O3377" s="561">
        <v>0</v>
      </c>
      <c r="P3377" s="561">
        <v>0</v>
      </c>
    </row>
    <row r="3378" spans="1:38">
      <c r="C3378" s="561" t="s">
        <v>1199</v>
      </c>
      <c r="D3378" s="561">
        <v>35571.983</v>
      </c>
      <c r="E3378" s="561">
        <v>7497</v>
      </c>
      <c r="F3378" s="561">
        <v>28074.983</v>
      </c>
      <c r="G3378" s="561">
        <v>2035</v>
      </c>
      <c r="H3378" s="561">
        <v>36142.471999999994</v>
      </c>
      <c r="I3378" s="561">
        <v>82</v>
      </c>
      <c r="J3378" s="561">
        <v>476.31</v>
      </c>
      <c r="K3378" s="561">
        <v>2031</v>
      </c>
      <c r="L3378" s="561">
        <v>35598.417000000001</v>
      </c>
      <c r="M3378" s="561">
        <v>35598.417000000001</v>
      </c>
      <c r="N3378" s="561">
        <v>7523.4340000000011</v>
      </c>
      <c r="O3378" s="561">
        <v>0</v>
      </c>
      <c r="AL3378" s="561">
        <v>28074.983</v>
      </c>
    </row>
    <row r="3379" spans="1:38">
      <c r="B3379" s="561" t="s">
        <v>1496</v>
      </c>
      <c r="C3379" s="561" t="s">
        <v>1202</v>
      </c>
      <c r="O3379" s="561">
        <v>0</v>
      </c>
    </row>
    <row r="3382" spans="1:38">
      <c r="A3382" s="561">
        <v>16</v>
      </c>
      <c r="B3382" s="561" t="s">
        <v>1511</v>
      </c>
      <c r="C3382" s="561" t="s">
        <v>1206</v>
      </c>
      <c r="D3382" s="561">
        <v>265939.973</v>
      </c>
      <c r="E3382" s="561">
        <v>78282</v>
      </c>
      <c r="F3382" s="561">
        <v>187657.973</v>
      </c>
      <c r="G3382" s="561">
        <v>5770</v>
      </c>
      <c r="H3382" s="561">
        <v>265641.522</v>
      </c>
      <c r="I3382" s="561">
        <v>240</v>
      </c>
      <c r="J3382" s="561">
        <v>6889.9240000000009</v>
      </c>
      <c r="K3382" s="561">
        <v>5739</v>
      </c>
      <c r="L3382" s="561">
        <v>265939.973</v>
      </c>
      <c r="M3382" s="561">
        <v>265939.973</v>
      </c>
      <c r="N3382" s="561">
        <v>78282</v>
      </c>
      <c r="O3382" s="561">
        <v>0</v>
      </c>
      <c r="P3382" s="561">
        <v>187657.973</v>
      </c>
    </row>
    <row r="3383" spans="1:38">
      <c r="C3383" s="561" t="s">
        <v>1197</v>
      </c>
      <c r="D3383" s="561">
        <v>233839.37933333335</v>
      </c>
      <c r="E3383" s="561">
        <v>69000</v>
      </c>
      <c r="F3383" s="561">
        <v>164839.37933333335</v>
      </c>
      <c r="G3383" s="561">
        <v>3452</v>
      </c>
      <c r="H3383" s="561">
        <v>232584.11</v>
      </c>
      <c r="I3383" s="561">
        <v>205</v>
      </c>
      <c r="J3383" s="561">
        <v>6659.8170000000009</v>
      </c>
      <c r="K3383" s="561">
        <v>3424</v>
      </c>
      <c r="L3383" s="561">
        <v>233136.6</v>
      </c>
      <c r="M3383" s="561">
        <v>233136.6</v>
      </c>
      <c r="N3383" s="561">
        <v>68297.220666666675</v>
      </c>
      <c r="O3383" s="561">
        <v>0</v>
      </c>
    </row>
    <row r="3384" spans="1:38">
      <c r="C3384" s="561" t="s">
        <v>1198</v>
      </c>
      <c r="D3384" s="561">
        <v>0</v>
      </c>
      <c r="F3384" s="561">
        <v>0</v>
      </c>
      <c r="G3384" s="561">
        <v>0</v>
      </c>
      <c r="H3384" s="561">
        <v>0</v>
      </c>
      <c r="I3384" s="561">
        <v>0</v>
      </c>
      <c r="J3384" s="561">
        <v>0</v>
      </c>
      <c r="K3384" s="561">
        <v>0</v>
      </c>
      <c r="L3384" s="561">
        <v>0</v>
      </c>
      <c r="M3384" s="561">
        <v>0</v>
      </c>
      <c r="N3384" s="561">
        <v>0</v>
      </c>
      <c r="O3384" s="561">
        <v>0</v>
      </c>
      <c r="P3384" s="561">
        <v>0</v>
      </c>
    </row>
    <row r="3385" spans="1:38">
      <c r="C3385" s="561" t="s">
        <v>1199</v>
      </c>
      <c r="D3385" s="561">
        <v>32100.59366666666</v>
      </c>
      <c r="E3385" s="561">
        <v>9282</v>
      </c>
      <c r="F3385" s="561">
        <v>22818.59366666666</v>
      </c>
      <c r="G3385" s="561">
        <v>2318</v>
      </c>
      <c r="H3385" s="561">
        <v>33057.411999999997</v>
      </c>
      <c r="I3385" s="561">
        <v>35</v>
      </c>
      <c r="J3385" s="561">
        <v>230.107</v>
      </c>
      <c r="K3385" s="561">
        <v>2315</v>
      </c>
      <c r="L3385" s="561">
        <v>32803.373000000007</v>
      </c>
      <c r="M3385" s="561">
        <v>32803.373</v>
      </c>
      <c r="N3385" s="561">
        <v>9984.7793333333393</v>
      </c>
      <c r="O3385" s="561">
        <v>0</v>
      </c>
      <c r="AL3385" s="561">
        <v>22818.59366666666</v>
      </c>
    </row>
    <row r="3386" spans="1:38">
      <c r="B3386" s="561" t="s">
        <v>1496</v>
      </c>
      <c r="C3386" s="561" t="s">
        <v>1202</v>
      </c>
      <c r="O3386" s="561">
        <v>0</v>
      </c>
    </row>
    <row r="3389" spans="1:38">
      <c r="A3389" s="561">
        <v>17</v>
      </c>
      <c r="B3389" s="561" t="s">
        <v>1512</v>
      </c>
      <c r="C3389" s="561" t="s">
        <v>1206</v>
      </c>
      <c r="D3389" s="561">
        <v>376789.95699999994</v>
      </c>
      <c r="E3389" s="561">
        <v>104937</v>
      </c>
      <c r="F3389" s="561">
        <v>271852.95699999999</v>
      </c>
      <c r="G3389" s="561">
        <v>8205</v>
      </c>
      <c r="H3389" s="561">
        <v>397460.50099999993</v>
      </c>
      <c r="I3389" s="561">
        <v>723</v>
      </c>
      <c r="J3389" s="561">
        <v>21318.381000000001</v>
      </c>
      <c r="K3389" s="561">
        <v>8154</v>
      </c>
      <c r="L3389" s="561">
        <v>376789.92699999997</v>
      </c>
      <c r="M3389" s="561">
        <v>376789.92699999997</v>
      </c>
      <c r="N3389" s="561">
        <v>104936.97</v>
      </c>
      <c r="O3389" s="561">
        <v>0</v>
      </c>
      <c r="P3389" s="561">
        <v>271852.95699999999</v>
      </c>
    </row>
    <row r="3390" spans="1:38">
      <c r="C3390" s="561" t="s">
        <v>1197</v>
      </c>
      <c r="D3390" s="561">
        <v>335741.81799999997</v>
      </c>
      <c r="E3390" s="561">
        <v>94227</v>
      </c>
      <c r="F3390" s="561">
        <v>241514.818</v>
      </c>
      <c r="G3390" s="561">
        <v>5429</v>
      </c>
      <c r="H3390" s="561">
        <v>356549.64699999994</v>
      </c>
      <c r="I3390" s="561">
        <v>648</v>
      </c>
      <c r="J3390" s="561">
        <v>20842.32</v>
      </c>
      <c r="K3390" s="561">
        <v>5383</v>
      </c>
      <c r="L3390" s="561">
        <v>336382.71799999999</v>
      </c>
      <c r="M3390" s="561">
        <v>336382.71799999999</v>
      </c>
      <c r="N3390" s="561">
        <v>94867.9</v>
      </c>
      <c r="O3390" s="561">
        <v>0</v>
      </c>
    </row>
    <row r="3391" spans="1:38">
      <c r="C3391" s="561" t="s">
        <v>1198</v>
      </c>
      <c r="D3391" s="561">
        <v>0</v>
      </c>
      <c r="F3391" s="561">
        <v>0</v>
      </c>
      <c r="G3391" s="561">
        <v>0</v>
      </c>
      <c r="H3391" s="561">
        <v>0</v>
      </c>
      <c r="I3391" s="561">
        <v>0</v>
      </c>
      <c r="J3391" s="561">
        <v>0</v>
      </c>
      <c r="K3391" s="561">
        <v>0</v>
      </c>
      <c r="L3391" s="561">
        <v>0</v>
      </c>
      <c r="M3391" s="561">
        <v>0</v>
      </c>
      <c r="N3391" s="561">
        <v>0</v>
      </c>
      <c r="O3391" s="561">
        <v>0</v>
      </c>
      <c r="P3391" s="561">
        <v>0</v>
      </c>
    </row>
    <row r="3392" spans="1:38">
      <c r="C3392" s="561" t="s">
        <v>1199</v>
      </c>
      <c r="D3392" s="561">
        <v>41048.138999999996</v>
      </c>
      <c r="E3392" s="561">
        <v>10710</v>
      </c>
      <c r="F3392" s="561">
        <v>30338.138999999996</v>
      </c>
      <c r="G3392" s="561">
        <v>2776</v>
      </c>
      <c r="H3392" s="561">
        <v>40910.853999999999</v>
      </c>
      <c r="I3392" s="561">
        <v>75</v>
      </c>
      <c r="J3392" s="561">
        <v>476.06100000000009</v>
      </c>
      <c r="K3392" s="561">
        <v>2771</v>
      </c>
      <c r="L3392" s="561">
        <v>40407.208999999995</v>
      </c>
      <c r="M3392" s="561">
        <v>40407.208999999995</v>
      </c>
      <c r="N3392" s="561">
        <v>10069.07</v>
      </c>
      <c r="O3392" s="561">
        <v>0</v>
      </c>
      <c r="AL3392" s="561">
        <v>30338.138999999996</v>
      </c>
    </row>
    <row r="3393" spans="1:38">
      <c r="B3393" s="561" t="s">
        <v>1496</v>
      </c>
      <c r="C3393" s="561" t="s">
        <v>1202</v>
      </c>
      <c r="O3393" s="561">
        <v>0</v>
      </c>
    </row>
    <row r="3396" spans="1:38">
      <c r="A3396" s="561">
        <v>18</v>
      </c>
      <c r="B3396" s="561" t="s">
        <v>1513</v>
      </c>
      <c r="C3396" s="561" t="s">
        <v>1206</v>
      </c>
      <c r="D3396" s="561">
        <v>343038.97099999996</v>
      </c>
      <c r="E3396" s="561">
        <v>94811.7</v>
      </c>
      <c r="F3396" s="561">
        <v>248227.27100000001</v>
      </c>
      <c r="G3396" s="561">
        <v>7233</v>
      </c>
      <c r="H3396" s="561">
        <v>359369.00299999997</v>
      </c>
      <c r="I3396" s="561">
        <v>586</v>
      </c>
      <c r="J3396" s="561">
        <v>18638.620999999999</v>
      </c>
      <c r="K3396" s="561">
        <v>7178</v>
      </c>
      <c r="L3396" s="561">
        <v>343038.97100000002</v>
      </c>
      <c r="M3396" s="561">
        <v>343038.97100000002</v>
      </c>
      <c r="N3396" s="561">
        <v>94811.7</v>
      </c>
      <c r="O3396" s="561">
        <v>0</v>
      </c>
      <c r="P3396" s="561">
        <v>248227.27100000001</v>
      </c>
    </row>
    <row r="3397" spans="1:38">
      <c r="C3397" s="561" t="s">
        <v>1197</v>
      </c>
      <c r="D3397" s="561">
        <v>304826.07799999998</v>
      </c>
      <c r="E3397" s="561">
        <v>84315.9</v>
      </c>
      <c r="F3397" s="561">
        <v>220510.17800000001</v>
      </c>
      <c r="G3397" s="561">
        <v>4725</v>
      </c>
      <c r="H3397" s="561">
        <v>320588.50199999998</v>
      </c>
      <c r="I3397" s="561">
        <v>519</v>
      </c>
      <c r="J3397" s="561">
        <v>18110.990999999998</v>
      </c>
      <c r="K3397" s="561">
        <v>4675</v>
      </c>
      <c r="L3397" s="561">
        <v>304819.07800000004</v>
      </c>
      <c r="M3397" s="561">
        <v>304819.07800000004</v>
      </c>
      <c r="N3397" s="561">
        <v>84308.9</v>
      </c>
      <c r="O3397" s="561">
        <v>0</v>
      </c>
    </row>
    <row r="3398" spans="1:38">
      <c r="C3398" s="561" t="s">
        <v>1198</v>
      </c>
      <c r="D3398" s="561">
        <v>0</v>
      </c>
      <c r="F3398" s="561">
        <v>0</v>
      </c>
      <c r="G3398" s="561">
        <v>0</v>
      </c>
      <c r="H3398" s="561">
        <v>0</v>
      </c>
      <c r="I3398" s="561">
        <v>0</v>
      </c>
      <c r="J3398" s="561">
        <v>0</v>
      </c>
      <c r="K3398" s="561">
        <v>0</v>
      </c>
      <c r="L3398" s="561">
        <v>0</v>
      </c>
      <c r="M3398" s="561">
        <v>0</v>
      </c>
      <c r="N3398" s="561">
        <v>0</v>
      </c>
      <c r="O3398" s="561">
        <v>0</v>
      </c>
      <c r="P3398" s="561">
        <v>0</v>
      </c>
    </row>
    <row r="3399" spans="1:38">
      <c r="C3399" s="561" t="s">
        <v>1199</v>
      </c>
      <c r="D3399" s="561">
        <v>38212.892999999996</v>
      </c>
      <c r="E3399" s="561">
        <v>10495.8</v>
      </c>
      <c r="F3399" s="561">
        <v>27717.093000000001</v>
      </c>
      <c r="G3399" s="561">
        <v>2508</v>
      </c>
      <c r="H3399" s="561">
        <v>38780.500999999997</v>
      </c>
      <c r="I3399" s="561">
        <v>67</v>
      </c>
      <c r="J3399" s="561">
        <v>527.63</v>
      </c>
      <c r="K3399" s="561">
        <v>2503</v>
      </c>
      <c r="L3399" s="561">
        <v>38219.892999999996</v>
      </c>
      <c r="M3399" s="561">
        <v>38219.892999999996</v>
      </c>
      <c r="N3399" s="561">
        <v>10502.8</v>
      </c>
      <c r="O3399" s="561">
        <v>0</v>
      </c>
      <c r="AL3399" s="561">
        <v>27717.093000000001</v>
      </c>
    </row>
    <row r="3400" spans="1:38">
      <c r="B3400" s="561" t="s">
        <v>1496</v>
      </c>
      <c r="C3400" s="561" t="s">
        <v>1202</v>
      </c>
      <c r="O3400" s="561">
        <v>0</v>
      </c>
    </row>
    <row r="3403" spans="1:38">
      <c r="A3403" s="561">
        <v>19</v>
      </c>
      <c r="B3403" s="561" t="s">
        <v>1514</v>
      </c>
      <c r="C3403" s="561" t="s">
        <v>1206</v>
      </c>
      <c r="D3403" s="561">
        <v>305245.99066666665</v>
      </c>
      <c r="E3403" s="561">
        <v>78673.8</v>
      </c>
      <c r="F3403" s="561">
        <v>226572.19066666669</v>
      </c>
      <c r="G3403" s="561">
        <v>7171</v>
      </c>
      <c r="H3403" s="561">
        <v>321716.75299999991</v>
      </c>
      <c r="I3403" s="561">
        <v>577</v>
      </c>
      <c r="J3403" s="561">
        <v>16986.183000000001</v>
      </c>
      <c r="K3403" s="561">
        <v>7132</v>
      </c>
      <c r="L3403" s="561">
        <v>305245.99066666671</v>
      </c>
      <c r="M3403" s="561">
        <v>305245.99066666671</v>
      </c>
      <c r="N3403" s="561">
        <v>78673.8</v>
      </c>
      <c r="O3403" s="561">
        <v>0</v>
      </c>
      <c r="P3403" s="561">
        <v>226572.19066666669</v>
      </c>
    </row>
    <row r="3404" spans="1:38">
      <c r="C3404" s="561" t="s">
        <v>1197</v>
      </c>
      <c r="D3404" s="561">
        <v>267789.59700000001</v>
      </c>
      <c r="E3404" s="561">
        <v>71533.8</v>
      </c>
      <c r="F3404" s="561">
        <v>196255.79700000002</v>
      </c>
      <c r="G3404" s="561">
        <v>4307</v>
      </c>
      <c r="H3404" s="561">
        <v>283440.49199999991</v>
      </c>
      <c r="I3404" s="561">
        <v>516</v>
      </c>
      <c r="J3404" s="561">
        <v>16601.859</v>
      </c>
      <c r="K3404" s="561">
        <v>4271</v>
      </c>
      <c r="L3404" s="561">
        <v>267387.69700000004</v>
      </c>
      <c r="M3404" s="561">
        <v>267387.69700000004</v>
      </c>
      <c r="N3404" s="561">
        <v>71131.899999999994</v>
      </c>
      <c r="O3404" s="561">
        <v>0</v>
      </c>
    </row>
    <row r="3405" spans="1:38">
      <c r="C3405" s="561" t="s">
        <v>1198</v>
      </c>
      <c r="D3405" s="561">
        <v>0</v>
      </c>
      <c r="F3405" s="561">
        <v>0</v>
      </c>
      <c r="G3405" s="561">
        <v>0</v>
      </c>
      <c r="H3405" s="561">
        <v>0</v>
      </c>
      <c r="I3405" s="561">
        <v>0</v>
      </c>
      <c r="J3405" s="561">
        <v>0</v>
      </c>
      <c r="K3405" s="561">
        <v>0</v>
      </c>
      <c r="L3405" s="561">
        <v>0</v>
      </c>
      <c r="M3405" s="561">
        <v>0</v>
      </c>
      <c r="N3405" s="561">
        <v>0</v>
      </c>
      <c r="O3405" s="561">
        <v>0</v>
      </c>
      <c r="P3405" s="561">
        <v>0</v>
      </c>
    </row>
    <row r="3406" spans="1:38">
      <c r="C3406" s="561" t="s">
        <v>1199</v>
      </c>
      <c r="D3406" s="561">
        <v>37456.393666666663</v>
      </c>
      <c r="E3406" s="561">
        <v>7140</v>
      </c>
      <c r="F3406" s="561">
        <v>30316.393666666663</v>
      </c>
      <c r="G3406" s="561">
        <v>2864</v>
      </c>
      <c r="H3406" s="561">
        <v>38276.260999999999</v>
      </c>
      <c r="I3406" s="561">
        <v>61</v>
      </c>
      <c r="J3406" s="561">
        <v>384.32400000000001</v>
      </c>
      <c r="K3406" s="561">
        <v>2861</v>
      </c>
      <c r="L3406" s="561">
        <v>37858.293666666665</v>
      </c>
      <c r="M3406" s="561">
        <v>37858.293666666665</v>
      </c>
      <c r="N3406" s="561">
        <v>7541.9</v>
      </c>
      <c r="O3406" s="561">
        <v>0</v>
      </c>
      <c r="AL3406" s="561">
        <v>30316.393666666663</v>
      </c>
    </row>
    <row r="3407" spans="1:38">
      <c r="B3407" s="561" t="s">
        <v>1496</v>
      </c>
      <c r="C3407" s="561" t="s">
        <v>1202</v>
      </c>
      <c r="O3407" s="561">
        <v>0</v>
      </c>
    </row>
    <row r="3410" spans="1:38" ht="63.75">
      <c r="A3410" s="561">
        <v>20</v>
      </c>
      <c r="B3410" s="620" t="s">
        <v>1515</v>
      </c>
      <c r="C3410" s="561" t="s">
        <v>1206</v>
      </c>
      <c r="D3410" s="561">
        <v>443550.02899999998</v>
      </c>
      <c r="E3410" s="561">
        <v>127665</v>
      </c>
      <c r="F3410" s="561">
        <v>315885.02899999998</v>
      </c>
      <c r="G3410" s="561">
        <v>8329</v>
      </c>
      <c r="H3410" s="561">
        <v>457400.11199999996</v>
      </c>
      <c r="I3410" s="561">
        <v>566</v>
      </c>
      <c r="J3410" s="561">
        <v>15095.260999999999</v>
      </c>
      <c r="K3410" s="561">
        <v>8261</v>
      </c>
      <c r="L3410" s="561">
        <v>443550.03</v>
      </c>
      <c r="M3410" s="561">
        <v>443550.03</v>
      </c>
      <c r="N3410" s="561">
        <v>127665.00099999996</v>
      </c>
      <c r="O3410" s="561">
        <v>0</v>
      </c>
      <c r="P3410" s="561">
        <v>315885.02899999998</v>
      </c>
    </row>
    <row r="3411" spans="1:38">
      <c r="C3411" s="561" t="s">
        <v>1197</v>
      </c>
      <c r="D3411" s="561">
        <v>412272.52399999998</v>
      </c>
      <c r="E3411" s="561">
        <v>121950</v>
      </c>
      <c r="F3411" s="561">
        <v>290322.52399999998</v>
      </c>
      <c r="G3411" s="561">
        <v>6554</v>
      </c>
      <c r="H3411" s="561">
        <v>425053.94799999997</v>
      </c>
      <c r="I3411" s="561">
        <v>518</v>
      </c>
      <c r="J3411" s="561">
        <v>14837.87</v>
      </c>
      <c r="K3411" s="561">
        <v>6502</v>
      </c>
      <c r="L3411" s="561">
        <v>411551.56499999994</v>
      </c>
      <c r="M3411" s="561">
        <v>411551.56499999994</v>
      </c>
      <c r="N3411" s="561">
        <v>121229.04099999997</v>
      </c>
      <c r="O3411" s="561">
        <v>0</v>
      </c>
    </row>
    <row r="3412" spans="1:38">
      <c r="C3412" s="561" t="s">
        <v>1198</v>
      </c>
      <c r="D3412" s="561">
        <v>8602.2369999999992</v>
      </c>
      <c r="E3412" s="561">
        <v>705</v>
      </c>
      <c r="F3412" s="561">
        <v>7897.2369999999992</v>
      </c>
      <c r="G3412" s="561">
        <v>15</v>
      </c>
      <c r="H3412" s="561">
        <v>8699.9369999999999</v>
      </c>
      <c r="I3412" s="561">
        <v>0</v>
      </c>
      <c r="J3412" s="561">
        <v>0</v>
      </c>
      <c r="K3412" s="561">
        <v>15</v>
      </c>
      <c r="L3412" s="561">
        <v>8699.9369999999981</v>
      </c>
      <c r="M3412" s="561">
        <v>8699.9369999999981</v>
      </c>
      <c r="N3412" s="561">
        <v>802.69999999999891</v>
      </c>
      <c r="O3412" s="561">
        <v>0</v>
      </c>
    </row>
    <row r="3413" spans="1:38">
      <c r="C3413" s="561" t="s">
        <v>1199</v>
      </c>
      <c r="D3413" s="561">
        <v>22675.268000000004</v>
      </c>
      <c r="E3413" s="561">
        <v>5010</v>
      </c>
      <c r="F3413" s="561">
        <v>17665.268000000004</v>
      </c>
      <c r="G3413" s="561">
        <v>1760</v>
      </c>
      <c r="H3413" s="561">
        <v>23646.226999999999</v>
      </c>
      <c r="I3413" s="561">
        <v>48</v>
      </c>
      <c r="J3413" s="561">
        <v>257.39100000000002</v>
      </c>
      <c r="K3413" s="561">
        <v>1744</v>
      </c>
      <c r="L3413" s="561">
        <v>23298.528000000002</v>
      </c>
      <c r="M3413" s="561">
        <v>23298.528000000002</v>
      </c>
      <c r="N3413" s="561">
        <v>5633.26</v>
      </c>
      <c r="O3413" s="561">
        <v>0</v>
      </c>
      <c r="AL3413" s="561">
        <v>17665.268000000004</v>
      </c>
    </row>
    <row r="3414" spans="1:38">
      <c r="B3414" s="561" t="s">
        <v>1496</v>
      </c>
      <c r="C3414" s="561" t="s">
        <v>1202</v>
      </c>
      <c r="G3414" s="561">
        <v>0</v>
      </c>
      <c r="H3414" s="561">
        <v>0</v>
      </c>
      <c r="I3414" s="561">
        <v>0</v>
      </c>
      <c r="J3414" s="561">
        <v>0</v>
      </c>
      <c r="K3414" s="561">
        <v>0</v>
      </c>
      <c r="L3414" s="561">
        <v>0</v>
      </c>
      <c r="O3414" s="561">
        <v>0</v>
      </c>
    </row>
    <row r="3417" spans="1:38">
      <c r="A3417" s="561">
        <v>21</v>
      </c>
      <c r="B3417" s="561" t="s">
        <v>1516</v>
      </c>
      <c r="C3417" s="561" t="s">
        <v>1206</v>
      </c>
      <c r="D3417" s="561">
        <v>58309.967999999993</v>
      </c>
      <c r="E3417" s="561">
        <v>17493</v>
      </c>
      <c r="F3417" s="561">
        <v>40816.967999999993</v>
      </c>
      <c r="G3417" s="561">
        <v>1775</v>
      </c>
      <c r="H3417" s="561">
        <v>58559.766999999993</v>
      </c>
      <c r="I3417" s="561">
        <v>20</v>
      </c>
      <c r="J3417" s="561">
        <v>236.857</v>
      </c>
      <c r="K3417" s="561">
        <v>1774</v>
      </c>
      <c r="L3417" s="561">
        <v>58309.967999999993</v>
      </c>
      <c r="M3417" s="561">
        <v>58309.967999999993</v>
      </c>
      <c r="N3417" s="561">
        <v>17493</v>
      </c>
      <c r="O3417" s="561">
        <v>0</v>
      </c>
      <c r="P3417" s="561">
        <v>40816.967999999993</v>
      </c>
    </row>
    <row r="3418" spans="1:38">
      <c r="C3418" s="561" t="s">
        <v>1197</v>
      </c>
      <c r="D3418" s="561">
        <v>41116.256999999998</v>
      </c>
      <c r="E3418" s="561">
        <v>12534</v>
      </c>
      <c r="F3418" s="561">
        <v>28582.256999999998</v>
      </c>
      <c r="G3418" s="561">
        <v>652</v>
      </c>
      <c r="H3418" s="561">
        <v>41845.695999999996</v>
      </c>
      <c r="I3418" s="561">
        <v>13</v>
      </c>
      <c r="J3418" s="561">
        <v>187.46</v>
      </c>
      <c r="K3418" s="561">
        <v>652</v>
      </c>
      <c r="L3418" s="561">
        <v>41667.256999999998</v>
      </c>
      <c r="M3418" s="561">
        <v>41667.256999999998</v>
      </c>
      <c r="N3418" s="561">
        <v>13085</v>
      </c>
      <c r="O3418" s="561">
        <v>0</v>
      </c>
    </row>
    <row r="3419" spans="1:38">
      <c r="C3419" s="561" t="s">
        <v>1198</v>
      </c>
      <c r="D3419" s="561">
        <v>0</v>
      </c>
      <c r="F3419" s="561">
        <v>0</v>
      </c>
      <c r="G3419" s="561">
        <v>0</v>
      </c>
      <c r="H3419" s="561">
        <v>0</v>
      </c>
      <c r="I3419" s="561">
        <v>0</v>
      </c>
      <c r="J3419" s="561">
        <v>0</v>
      </c>
      <c r="K3419" s="561">
        <v>0</v>
      </c>
      <c r="L3419" s="561">
        <v>0</v>
      </c>
      <c r="M3419" s="561">
        <v>0</v>
      </c>
      <c r="N3419" s="561">
        <v>0</v>
      </c>
      <c r="O3419" s="561">
        <v>0</v>
      </c>
      <c r="P3419" s="561">
        <v>0</v>
      </c>
    </row>
    <row r="3420" spans="1:38">
      <c r="C3420" s="561" t="s">
        <v>1199</v>
      </c>
      <c r="D3420" s="561">
        <v>17193.710999999999</v>
      </c>
      <c r="E3420" s="561">
        <v>4959</v>
      </c>
      <c r="F3420" s="561">
        <v>12234.710999999999</v>
      </c>
      <c r="G3420" s="561">
        <v>1123</v>
      </c>
      <c r="H3420" s="561">
        <v>16714.071</v>
      </c>
      <c r="I3420" s="561">
        <v>7</v>
      </c>
      <c r="J3420" s="561">
        <v>49.396999999999998</v>
      </c>
      <c r="K3420" s="561">
        <v>1122</v>
      </c>
      <c r="L3420" s="561">
        <v>16642.710999999999</v>
      </c>
      <c r="M3420" s="561">
        <v>16642.710999999999</v>
      </c>
      <c r="N3420" s="561">
        <v>4408</v>
      </c>
      <c r="O3420" s="561">
        <v>0</v>
      </c>
      <c r="AL3420" s="561">
        <v>12234.710999999999</v>
      </c>
    </row>
    <row r="3421" spans="1:38">
      <c r="B3421" s="561" t="s">
        <v>1496</v>
      </c>
      <c r="C3421" s="561" t="s">
        <v>1202</v>
      </c>
      <c r="O3421" s="561">
        <v>0</v>
      </c>
    </row>
    <row r="3424" spans="1:38">
      <c r="A3424" s="561">
        <v>22</v>
      </c>
      <c r="B3424" s="561" t="s">
        <v>1517</v>
      </c>
      <c r="C3424" s="561" t="s">
        <v>1206</v>
      </c>
      <c r="D3424" s="561">
        <v>14917.965</v>
      </c>
      <c r="E3424" s="561">
        <v>4475.3999999999996</v>
      </c>
      <c r="F3424" s="561">
        <v>10442.565000000001</v>
      </c>
      <c r="G3424" s="561">
        <v>397</v>
      </c>
      <c r="H3424" s="561">
        <v>15025.072999999999</v>
      </c>
      <c r="I3424" s="561">
        <v>5</v>
      </c>
      <c r="J3424" s="561">
        <v>84.74799999999999</v>
      </c>
      <c r="K3424" s="561">
        <v>396</v>
      </c>
      <c r="L3424" s="561">
        <v>14917.965</v>
      </c>
      <c r="M3424" s="561">
        <v>14917.965</v>
      </c>
      <c r="N3424" s="561">
        <v>4475.3999999999996</v>
      </c>
      <c r="O3424" s="561">
        <v>0</v>
      </c>
      <c r="P3424" s="561">
        <v>10442.565000000001</v>
      </c>
    </row>
    <row r="3425" spans="1:38">
      <c r="C3425" s="561" t="s">
        <v>1197</v>
      </c>
      <c r="D3425" s="561">
        <v>13486.817000000001</v>
      </c>
      <c r="E3425" s="561">
        <v>4065</v>
      </c>
      <c r="F3425" s="561">
        <v>9421.8170000000009</v>
      </c>
      <c r="G3425" s="561">
        <v>278</v>
      </c>
      <c r="H3425" s="561">
        <v>13650.253999999999</v>
      </c>
      <c r="I3425" s="561">
        <v>4</v>
      </c>
      <c r="J3425" s="561">
        <v>78.277999999999992</v>
      </c>
      <c r="K3425" s="561">
        <v>277</v>
      </c>
      <c r="L3425" s="561">
        <v>13549.317000000001</v>
      </c>
      <c r="M3425" s="561">
        <v>13549.317000000001</v>
      </c>
      <c r="N3425" s="561">
        <v>4127.5</v>
      </c>
      <c r="O3425" s="561">
        <v>0</v>
      </c>
    </row>
    <row r="3426" spans="1:38">
      <c r="C3426" s="561" t="s">
        <v>1198</v>
      </c>
      <c r="D3426" s="561">
        <v>0</v>
      </c>
      <c r="F3426" s="561">
        <v>0</v>
      </c>
      <c r="G3426" s="561">
        <v>0</v>
      </c>
      <c r="H3426" s="561">
        <v>0</v>
      </c>
      <c r="I3426" s="561">
        <v>0</v>
      </c>
      <c r="J3426" s="561">
        <v>0</v>
      </c>
      <c r="K3426" s="561">
        <v>0</v>
      </c>
      <c r="L3426" s="561">
        <v>0</v>
      </c>
      <c r="M3426" s="561">
        <v>0</v>
      </c>
      <c r="N3426" s="561">
        <v>0</v>
      </c>
      <c r="O3426" s="561">
        <v>0</v>
      </c>
      <c r="P3426" s="561">
        <v>0</v>
      </c>
    </row>
    <row r="3427" spans="1:38">
      <c r="C3427" s="561" t="s">
        <v>1199</v>
      </c>
      <c r="D3427" s="561">
        <v>1431.1479999999999</v>
      </c>
      <c r="E3427" s="561">
        <v>410.4</v>
      </c>
      <c r="F3427" s="561">
        <v>1020.7479999999999</v>
      </c>
      <c r="G3427" s="561">
        <v>119</v>
      </c>
      <c r="H3427" s="561">
        <v>1374.8189999999997</v>
      </c>
      <c r="I3427" s="561">
        <v>1</v>
      </c>
      <c r="J3427" s="561">
        <v>6.47</v>
      </c>
      <c r="K3427" s="561">
        <v>119</v>
      </c>
      <c r="L3427" s="561">
        <v>1368.6479999999999</v>
      </c>
      <c r="M3427" s="561">
        <v>1368.6479999999999</v>
      </c>
      <c r="N3427" s="561">
        <v>347.9</v>
      </c>
      <c r="O3427" s="561">
        <v>0</v>
      </c>
      <c r="AL3427" s="561">
        <v>1020.7479999999999</v>
      </c>
    </row>
    <row r="3428" spans="1:38">
      <c r="B3428" s="561" t="s">
        <v>1496</v>
      </c>
      <c r="C3428" s="561" t="s">
        <v>1202</v>
      </c>
      <c r="G3428" s="561">
        <v>0</v>
      </c>
      <c r="H3428" s="561">
        <v>0</v>
      </c>
      <c r="I3428" s="561">
        <v>0</v>
      </c>
      <c r="J3428" s="561">
        <v>0</v>
      </c>
      <c r="K3428" s="561">
        <v>0</v>
      </c>
      <c r="L3428" s="561">
        <v>0</v>
      </c>
      <c r="O3428" s="561">
        <v>0</v>
      </c>
    </row>
    <row r="3431" spans="1:38">
      <c r="A3431" s="561">
        <v>23</v>
      </c>
      <c r="B3431" s="561" t="s">
        <v>1518</v>
      </c>
      <c r="C3431" s="561" t="s">
        <v>1206</v>
      </c>
      <c r="D3431" s="561">
        <v>111649.999</v>
      </c>
      <c r="E3431" s="561">
        <v>31095</v>
      </c>
      <c r="F3431" s="561">
        <v>80554.998999999996</v>
      </c>
      <c r="G3431" s="561">
        <v>1919</v>
      </c>
      <c r="H3431" s="561">
        <v>112116.64</v>
      </c>
      <c r="I3431" s="561">
        <v>34</v>
      </c>
      <c r="J3431" s="561">
        <v>466.26600000000008</v>
      </c>
      <c r="K3431" s="561">
        <v>1917</v>
      </c>
      <c r="L3431" s="561">
        <v>111649.999</v>
      </c>
      <c r="M3431" s="561">
        <v>111649.999</v>
      </c>
      <c r="N3431" s="561">
        <v>31095</v>
      </c>
      <c r="O3431" s="561">
        <v>0</v>
      </c>
      <c r="P3431" s="561">
        <v>80554.998999999996</v>
      </c>
    </row>
    <row r="3432" spans="1:38">
      <c r="C3432" s="561" t="s">
        <v>1197</v>
      </c>
      <c r="D3432" s="561">
        <v>105641.00199999999</v>
      </c>
      <c r="E3432" s="561">
        <v>29320</v>
      </c>
      <c r="F3432" s="561">
        <v>76321.001999999993</v>
      </c>
      <c r="G3432" s="561">
        <v>1418</v>
      </c>
      <c r="H3432" s="561">
        <v>106297.478</v>
      </c>
      <c r="I3432" s="561">
        <v>32</v>
      </c>
      <c r="J3432" s="561">
        <v>458.50200000000007</v>
      </c>
      <c r="K3432" s="561">
        <v>1416</v>
      </c>
      <c r="L3432" s="561">
        <v>105838.602</v>
      </c>
      <c r="M3432" s="561">
        <v>105838.602</v>
      </c>
      <c r="N3432" s="561">
        <v>29517.599999999999</v>
      </c>
      <c r="O3432" s="561">
        <v>0</v>
      </c>
    </row>
    <row r="3433" spans="1:38">
      <c r="C3433" s="561" t="s">
        <v>1198</v>
      </c>
      <c r="D3433" s="561">
        <v>0</v>
      </c>
      <c r="F3433" s="561">
        <v>0</v>
      </c>
      <c r="G3433" s="561">
        <v>0</v>
      </c>
      <c r="H3433" s="561">
        <v>0</v>
      </c>
      <c r="I3433" s="561">
        <v>0</v>
      </c>
      <c r="J3433" s="561">
        <v>0</v>
      </c>
      <c r="K3433" s="561">
        <v>0</v>
      </c>
      <c r="L3433" s="561">
        <v>0</v>
      </c>
      <c r="M3433" s="561">
        <v>0</v>
      </c>
      <c r="N3433" s="561">
        <v>0</v>
      </c>
      <c r="O3433" s="561">
        <v>0</v>
      </c>
      <c r="P3433" s="561">
        <v>0</v>
      </c>
    </row>
    <row r="3434" spans="1:38">
      <c r="C3434" s="561" t="s">
        <v>1199</v>
      </c>
      <c r="D3434" s="561">
        <v>6008.9970000000003</v>
      </c>
      <c r="E3434" s="561">
        <v>1775</v>
      </c>
      <c r="F3434" s="561">
        <v>4233.9970000000003</v>
      </c>
      <c r="G3434" s="561">
        <v>501</v>
      </c>
      <c r="H3434" s="561">
        <v>5819.1620000000003</v>
      </c>
      <c r="I3434" s="561">
        <v>2</v>
      </c>
      <c r="J3434" s="561">
        <v>7.7640000000000002</v>
      </c>
      <c r="K3434" s="561">
        <v>501</v>
      </c>
      <c r="L3434" s="561">
        <v>5811.3969999999999</v>
      </c>
      <c r="M3434" s="561">
        <v>5811.3969999999999</v>
      </c>
      <c r="N3434" s="561">
        <v>1577.4</v>
      </c>
      <c r="O3434" s="561">
        <v>0</v>
      </c>
      <c r="AL3434" s="561">
        <v>4233.9970000000003</v>
      </c>
    </row>
    <row r="3435" spans="1:38">
      <c r="B3435" s="561" t="s">
        <v>1496</v>
      </c>
      <c r="C3435" s="561" t="s">
        <v>1202</v>
      </c>
      <c r="G3435" s="561">
        <v>0</v>
      </c>
      <c r="H3435" s="561">
        <v>0</v>
      </c>
      <c r="I3435" s="561">
        <v>0</v>
      </c>
      <c r="J3435" s="561">
        <v>0</v>
      </c>
      <c r="K3435" s="561">
        <v>0</v>
      </c>
      <c r="L3435" s="561">
        <v>0</v>
      </c>
      <c r="O3435" s="561">
        <v>0</v>
      </c>
    </row>
    <row r="3438" spans="1:38">
      <c r="A3438" s="561">
        <v>24</v>
      </c>
      <c r="B3438" s="561" t="s">
        <v>1519</v>
      </c>
      <c r="C3438" s="561" t="s">
        <v>1206</v>
      </c>
      <c r="D3438" s="561">
        <v>44853.000999999997</v>
      </c>
      <c r="E3438" s="561">
        <v>13455.9</v>
      </c>
      <c r="F3438" s="561">
        <v>31397.101000000002</v>
      </c>
      <c r="G3438" s="561">
        <v>844</v>
      </c>
      <c r="H3438" s="561">
        <v>44917.303</v>
      </c>
      <c r="I3438" s="561">
        <v>3</v>
      </c>
      <c r="J3438" s="561">
        <v>60.338999999999999</v>
      </c>
      <c r="K3438" s="561">
        <v>844</v>
      </c>
      <c r="L3438" s="561">
        <v>44853.000999999997</v>
      </c>
      <c r="M3438" s="561">
        <v>44853.001000000004</v>
      </c>
      <c r="N3438" s="561">
        <v>13455.9</v>
      </c>
      <c r="O3438" s="561">
        <v>0</v>
      </c>
      <c r="P3438" s="561">
        <v>31397.101000000002</v>
      </c>
    </row>
    <row r="3439" spans="1:38">
      <c r="C3439" s="561" t="s">
        <v>1197</v>
      </c>
      <c r="D3439" s="561">
        <v>44025.159</v>
      </c>
      <c r="E3439" s="561">
        <v>13111.5</v>
      </c>
      <c r="F3439" s="561">
        <v>30913.659000000003</v>
      </c>
      <c r="G3439" s="561">
        <v>841</v>
      </c>
      <c r="H3439" s="561">
        <v>44166.260999999999</v>
      </c>
      <c r="I3439" s="561">
        <v>3</v>
      </c>
      <c r="J3439" s="561">
        <v>60.338999999999999</v>
      </c>
      <c r="K3439" s="561">
        <v>841</v>
      </c>
      <c r="L3439" s="561">
        <v>44101.958999999995</v>
      </c>
      <c r="M3439" s="561">
        <v>44101.959000000003</v>
      </c>
      <c r="N3439" s="561">
        <v>13188.3</v>
      </c>
      <c r="O3439" s="561">
        <v>0</v>
      </c>
    </row>
    <row r="3440" spans="1:38">
      <c r="C3440" s="561" t="s">
        <v>1198</v>
      </c>
      <c r="D3440" s="561">
        <v>827.84199999999987</v>
      </c>
      <c r="E3440" s="561">
        <v>344.4</v>
      </c>
      <c r="F3440" s="561">
        <v>483.44199999999989</v>
      </c>
      <c r="G3440" s="561">
        <v>3</v>
      </c>
      <c r="H3440" s="561">
        <v>751.04199999999992</v>
      </c>
      <c r="I3440" s="561">
        <v>0</v>
      </c>
      <c r="J3440" s="561">
        <v>0</v>
      </c>
      <c r="K3440" s="561">
        <v>3</v>
      </c>
      <c r="L3440" s="561">
        <v>751.04200000000003</v>
      </c>
      <c r="M3440" s="561">
        <v>751.04199999999992</v>
      </c>
      <c r="N3440" s="561">
        <v>267.60000000000002</v>
      </c>
      <c r="O3440" s="561">
        <v>0</v>
      </c>
    </row>
    <row r="3441" spans="1:16">
      <c r="C3441" s="561" t="s">
        <v>1199</v>
      </c>
      <c r="D3441" s="561">
        <v>0</v>
      </c>
      <c r="F3441" s="561">
        <v>0</v>
      </c>
      <c r="G3441" s="561">
        <v>0</v>
      </c>
      <c r="H3441" s="561">
        <v>0</v>
      </c>
      <c r="I3441" s="561">
        <v>0</v>
      </c>
      <c r="J3441" s="561">
        <v>0</v>
      </c>
      <c r="K3441" s="561">
        <v>0</v>
      </c>
      <c r="L3441" s="561">
        <v>0</v>
      </c>
      <c r="M3441" s="561">
        <v>0</v>
      </c>
      <c r="N3441" s="561">
        <v>0</v>
      </c>
      <c r="O3441" s="561">
        <v>0</v>
      </c>
      <c r="P3441" s="561">
        <v>0</v>
      </c>
    </row>
    <row r="3442" spans="1:16">
      <c r="B3442" s="561" t="s">
        <v>1496</v>
      </c>
      <c r="C3442" s="561" t="s">
        <v>1202</v>
      </c>
      <c r="G3442" s="561">
        <v>0</v>
      </c>
      <c r="H3442" s="561">
        <v>0</v>
      </c>
      <c r="I3442" s="561">
        <v>0</v>
      </c>
      <c r="J3442" s="561">
        <v>0</v>
      </c>
      <c r="K3442" s="561">
        <v>0</v>
      </c>
      <c r="L3442" s="561">
        <v>0</v>
      </c>
      <c r="O3442" s="561">
        <v>0</v>
      </c>
    </row>
    <row r="3445" spans="1:16">
      <c r="A3445" s="561">
        <v>25</v>
      </c>
      <c r="B3445" s="561" t="s">
        <v>1520</v>
      </c>
      <c r="C3445" s="561" t="s">
        <v>1206</v>
      </c>
      <c r="D3445" s="561">
        <v>26118.031333333332</v>
      </c>
      <c r="E3445" s="561">
        <v>4914</v>
      </c>
      <c r="F3445" s="561">
        <v>21204.031333333332</v>
      </c>
      <c r="G3445" s="561">
        <v>175</v>
      </c>
      <c r="H3445" s="561">
        <v>26283.762999999999</v>
      </c>
      <c r="I3445" s="561">
        <v>13</v>
      </c>
      <c r="J3445" s="561">
        <v>152.24299999999999</v>
      </c>
      <c r="K3445" s="561">
        <v>174</v>
      </c>
      <c r="L3445" s="561">
        <v>26118.031333333329</v>
      </c>
      <c r="M3445" s="561">
        <v>26118.031333333329</v>
      </c>
      <c r="N3445" s="561">
        <v>4914</v>
      </c>
      <c r="O3445" s="561">
        <v>0</v>
      </c>
      <c r="P3445" s="561">
        <v>21204.031333333332</v>
      </c>
    </row>
    <row r="3446" spans="1:16">
      <c r="C3446" s="561" t="s">
        <v>1197</v>
      </c>
      <c r="D3446" s="561">
        <v>8900.56</v>
      </c>
      <c r="E3446" s="561">
        <v>2688</v>
      </c>
      <c r="F3446" s="561">
        <v>6212.56</v>
      </c>
      <c r="G3446" s="561">
        <v>116</v>
      </c>
      <c r="H3446" s="561">
        <v>8855.1010000000006</v>
      </c>
      <c r="I3446" s="561">
        <v>13</v>
      </c>
      <c r="J3446" s="561">
        <v>152.24299999999999</v>
      </c>
      <c r="K3446" s="561">
        <v>115</v>
      </c>
      <c r="L3446" s="561">
        <v>8702.8933333333334</v>
      </c>
      <c r="M3446" s="561">
        <v>8702.8933333333334</v>
      </c>
      <c r="N3446" s="561">
        <v>2490.3333333333339</v>
      </c>
      <c r="O3446" s="561">
        <v>0</v>
      </c>
    </row>
    <row r="3447" spans="1:16">
      <c r="C3447" s="561" t="s">
        <v>1198</v>
      </c>
      <c r="D3447" s="561">
        <v>17217.471333333331</v>
      </c>
      <c r="E3447" s="561">
        <v>2226</v>
      </c>
      <c r="F3447" s="561">
        <v>14991.471333333331</v>
      </c>
      <c r="G3447" s="561">
        <v>59</v>
      </c>
      <c r="H3447" s="561">
        <v>17428.661999999997</v>
      </c>
      <c r="I3447" s="561">
        <v>0</v>
      </c>
      <c r="J3447" s="561">
        <v>0</v>
      </c>
      <c r="K3447" s="561">
        <v>59</v>
      </c>
      <c r="L3447" s="561">
        <v>17415.137999999995</v>
      </c>
      <c r="M3447" s="561">
        <v>17415.137999999995</v>
      </c>
      <c r="N3447" s="561">
        <v>2423.6666666666661</v>
      </c>
      <c r="O3447" s="561">
        <v>0</v>
      </c>
    </row>
    <row r="3448" spans="1:16">
      <c r="C3448" s="561" t="s">
        <v>1199</v>
      </c>
      <c r="D3448" s="561">
        <v>0</v>
      </c>
      <c r="F3448" s="561">
        <v>0</v>
      </c>
      <c r="G3448" s="561">
        <v>0</v>
      </c>
      <c r="H3448" s="561">
        <v>0</v>
      </c>
      <c r="I3448" s="561">
        <v>0</v>
      </c>
      <c r="J3448" s="561">
        <v>0</v>
      </c>
      <c r="K3448" s="561">
        <v>0</v>
      </c>
      <c r="L3448" s="561">
        <v>0</v>
      </c>
      <c r="M3448" s="561">
        <v>0</v>
      </c>
      <c r="N3448" s="561">
        <v>0</v>
      </c>
      <c r="O3448" s="561">
        <v>0</v>
      </c>
      <c r="P3448" s="561">
        <v>0</v>
      </c>
    </row>
    <row r="3449" spans="1:16">
      <c r="B3449" s="561" t="s">
        <v>1496</v>
      </c>
      <c r="C3449" s="561" t="s">
        <v>1202</v>
      </c>
      <c r="G3449" s="561">
        <v>0</v>
      </c>
      <c r="H3449" s="561">
        <v>0</v>
      </c>
      <c r="I3449" s="561">
        <v>0</v>
      </c>
      <c r="J3449" s="561">
        <v>0</v>
      </c>
      <c r="K3449" s="561">
        <v>0</v>
      </c>
      <c r="L3449" s="561">
        <v>0</v>
      </c>
      <c r="O3449" s="561">
        <v>0</v>
      </c>
    </row>
    <row r="3452" spans="1:16">
      <c r="A3452" s="561">
        <v>26</v>
      </c>
      <c r="B3452" s="561" t="s">
        <v>1521</v>
      </c>
      <c r="C3452" s="561" t="s">
        <v>1206</v>
      </c>
      <c r="D3452" s="561">
        <v>34485.028999999995</v>
      </c>
      <c r="E3452" s="561">
        <v>9295.5</v>
      </c>
      <c r="F3452" s="561">
        <v>25189.528999999999</v>
      </c>
      <c r="G3452" s="561">
        <v>435</v>
      </c>
      <c r="H3452" s="561">
        <v>34936.978999999999</v>
      </c>
      <c r="I3452" s="561">
        <v>24</v>
      </c>
      <c r="J3452" s="561">
        <v>472.82399999999996</v>
      </c>
      <c r="K3452" s="561">
        <v>435</v>
      </c>
      <c r="L3452" s="561">
        <v>34485.029000000002</v>
      </c>
      <c r="M3452" s="561">
        <v>34485.029000000002</v>
      </c>
      <c r="N3452" s="561">
        <v>9295.5</v>
      </c>
      <c r="O3452" s="561">
        <v>0</v>
      </c>
      <c r="P3452" s="561">
        <v>25189.528999999999</v>
      </c>
    </row>
    <row r="3453" spans="1:16">
      <c r="C3453" s="561" t="s">
        <v>1197</v>
      </c>
      <c r="D3453" s="561">
        <v>34485.028999999995</v>
      </c>
      <c r="E3453" s="561">
        <v>9295.5</v>
      </c>
      <c r="F3453" s="561">
        <v>25189.528999999999</v>
      </c>
      <c r="G3453" s="561">
        <v>435</v>
      </c>
      <c r="H3453" s="561">
        <v>34936.978999999999</v>
      </c>
      <c r="I3453" s="561">
        <v>24</v>
      </c>
      <c r="J3453" s="561">
        <v>472.82399999999996</v>
      </c>
      <c r="K3453" s="561">
        <v>435</v>
      </c>
      <c r="L3453" s="561">
        <v>34485.029000000002</v>
      </c>
      <c r="M3453" s="561">
        <v>34485.029000000002</v>
      </c>
      <c r="N3453" s="561">
        <v>9295.5</v>
      </c>
      <c r="O3453" s="561">
        <v>0</v>
      </c>
    </row>
    <row r="3454" spans="1:16">
      <c r="C3454" s="561" t="s">
        <v>1198</v>
      </c>
      <c r="D3454" s="561">
        <v>0</v>
      </c>
      <c r="F3454" s="561">
        <v>0</v>
      </c>
      <c r="G3454" s="561">
        <v>0</v>
      </c>
      <c r="H3454" s="561">
        <v>0</v>
      </c>
      <c r="I3454" s="561">
        <v>0</v>
      </c>
      <c r="J3454" s="561">
        <v>0</v>
      </c>
      <c r="K3454" s="561">
        <v>0</v>
      </c>
      <c r="L3454" s="561">
        <v>0</v>
      </c>
      <c r="M3454" s="561">
        <v>0</v>
      </c>
      <c r="N3454" s="561">
        <v>0</v>
      </c>
      <c r="O3454" s="561">
        <v>0</v>
      </c>
      <c r="P3454" s="561">
        <v>0</v>
      </c>
    </row>
    <row r="3455" spans="1:16">
      <c r="C3455" s="561" t="s">
        <v>1199</v>
      </c>
      <c r="D3455" s="561">
        <v>0</v>
      </c>
      <c r="F3455" s="561">
        <v>0</v>
      </c>
      <c r="G3455" s="561">
        <v>0</v>
      </c>
      <c r="H3455" s="561">
        <v>0</v>
      </c>
      <c r="I3455" s="561">
        <v>0</v>
      </c>
      <c r="J3455" s="561">
        <v>0</v>
      </c>
      <c r="K3455" s="561">
        <v>0</v>
      </c>
      <c r="L3455" s="561">
        <v>0</v>
      </c>
      <c r="M3455" s="561">
        <v>0</v>
      </c>
      <c r="N3455" s="561">
        <v>0</v>
      </c>
      <c r="O3455" s="561">
        <v>0</v>
      </c>
      <c r="P3455" s="561">
        <v>0</v>
      </c>
    </row>
    <row r="3456" spans="1:16">
      <c r="B3456" s="561" t="s">
        <v>1496</v>
      </c>
      <c r="C3456" s="561" t="s">
        <v>1202</v>
      </c>
      <c r="G3456" s="561">
        <v>0</v>
      </c>
      <c r="H3456" s="561">
        <v>0</v>
      </c>
      <c r="I3456" s="561">
        <v>0</v>
      </c>
      <c r="J3456" s="561">
        <v>0</v>
      </c>
      <c r="K3456" s="561">
        <v>0</v>
      </c>
      <c r="L3456" s="561">
        <v>0</v>
      </c>
      <c r="O3456" s="561">
        <v>0</v>
      </c>
    </row>
    <row r="3459" spans="1:38">
      <c r="A3459" s="561">
        <v>27</v>
      </c>
      <c r="B3459" s="561" t="s">
        <v>1522</v>
      </c>
      <c r="C3459" s="561" t="s">
        <v>1206</v>
      </c>
      <c r="D3459" s="561">
        <v>18020.951999999997</v>
      </c>
      <c r="E3459" s="561">
        <v>4506.3</v>
      </c>
      <c r="F3459" s="561">
        <v>13514.651999999998</v>
      </c>
      <c r="G3459" s="561">
        <v>208</v>
      </c>
      <c r="H3459" s="561">
        <v>19082.668999999998</v>
      </c>
      <c r="I3459" s="561">
        <v>18</v>
      </c>
      <c r="J3459" s="561">
        <v>969.69100000000003</v>
      </c>
      <c r="K3459" s="561">
        <v>202</v>
      </c>
      <c r="L3459" s="561">
        <v>18020.951999999997</v>
      </c>
      <c r="M3459" s="561">
        <v>18020.951999999997</v>
      </c>
      <c r="N3459" s="561">
        <v>4506.3</v>
      </c>
      <c r="O3459" s="561">
        <v>0</v>
      </c>
      <c r="P3459" s="561">
        <v>13514.651999999998</v>
      </c>
    </row>
    <row r="3460" spans="1:38">
      <c r="C3460" s="561" t="s">
        <v>1197</v>
      </c>
      <c r="D3460" s="561">
        <v>18020.951999999997</v>
      </c>
      <c r="E3460" s="561">
        <v>4506.3</v>
      </c>
      <c r="F3460" s="561">
        <v>13514.651999999998</v>
      </c>
      <c r="G3460" s="561">
        <v>208</v>
      </c>
      <c r="H3460" s="561">
        <v>19082.668999999998</v>
      </c>
      <c r="I3460" s="561">
        <v>18</v>
      </c>
      <c r="J3460" s="561">
        <v>969.69100000000003</v>
      </c>
      <c r="K3460" s="561">
        <v>202</v>
      </c>
      <c r="L3460" s="561">
        <v>18020.951999999997</v>
      </c>
      <c r="M3460" s="561">
        <v>18020.951999999997</v>
      </c>
      <c r="N3460" s="561">
        <v>4506.3</v>
      </c>
      <c r="O3460" s="561">
        <v>0</v>
      </c>
    </row>
    <row r="3461" spans="1:38">
      <c r="C3461" s="561" t="s">
        <v>1198</v>
      </c>
      <c r="D3461" s="561">
        <v>0</v>
      </c>
      <c r="F3461" s="561">
        <v>0</v>
      </c>
      <c r="G3461" s="561">
        <v>0</v>
      </c>
      <c r="H3461" s="561">
        <v>0</v>
      </c>
      <c r="I3461" s="561">
        <v>0</v>
      </c>
      <c r="J3461" s="561">
        <v>0</v>
      </c>
      <c r="K3461" s="561">
        <v>0</v>
      </c>
      <c r="L3461" s="561">
        <v>0</v>
      </c>
      <c r="M3461" s="561">
        <v>0</v>
      </c>
      <c r="N3461" s="561">
        <v>0</v>
      </c>
      <c r="O3461" s="561">
        <v>0</v>
      </c>
      <c r="P3461" s="561">
        <v>0</v>
      </c>
    </row>
    <row r="3462" spans="1:38">
      <c r="C3462" s="561" t="s">
        <v>1199</v>
      </c>
      <c r="D3462" s="561">
        <v>0</v>
      </c>
      <c r="F3462" s="561">
        <v>0</v>
      </c>
      <c r="G3462" s="561">
        <v>0</v>
      </c>
      <c r="H3462" s="561">
        <v>0</v>
      </c>
      <c r="I3462" s="561">
        <v>0</v>
      </c>
      <c r="J3462" s="561">
        <v>0</v>
      </c>
      <c r="K3462" s="561">
        <v>0</v>
      </c>
      <c r="L3462" s="561">
        <v>0</v>
      </c>
      <c r="M3462" s="561">
        <v>0</v>
      </c>
      <c r="N3462" s="561">
        <v>0</v>
      </c>
      <c r="O3462" s="561">
        <v>0</v>
      </c>
      <c r="P3462" s="561">
        <v>0</v>
      </c>
    </row>
    <row r="3463" spans="1:38">
      <c r="B3463" s="561" t="s">
        <v>1496</v>
      </c>
      <c r="C3463" s="561" t="s">
        <v>1202</v>
      </c>
      <c r="G3463" s="561">
        <v>0</v>
      </c>
      <c r="H3463" s="561">
        <v>0</v>
      </c>
      <c r="I3463" s="561">
        <v>0</v>
      </c>
      <c r="J3463" s="561">
        <v>0</v>
      </c>
      <c r="K3463" s="561">
        <v>0</v>
      </c>
      <c r="L3463" s="561">
        <v>0</v>
      </c>
      <c r="O3463" s="561">
        <v>0</v>
      </c>
    </row>
    <row r="3466" spans="1:38">
      <c r="A3466" s="561">
        <v>28</v>
      </c>
      <c r="B3466" s="561" t="s">
        <v>1523</v>
      </c>
      <c r="C3466" s="561" t="s">
        <v>1206</v>
      </c>
      <c r="D3466" s="561">
        <v>66420.001000000004</v>
      </c>
      <c r="E3466" s="561">
        <v>19026</v>
      </c>
      <c r="F3466" s="561">
        <v>47394.001000000011</v>
      </c>
      <c r="G3466" s="561">
        <v>895</v>
      </c>
      <c r="H3466" s="561">
        <v>67059.017000000007</v>
      </c>
      <c r="I3466" s="561">
        <v>15</v>
      </c>
      <c r="J3466" s="561">
        <v>663.44400000000007</v>
      </c>
      <c r="K3466" s="561">
        <v>891</v>
      </c>
      <c r="L3466" s="561">
        <v>66420</v>
      </c>
      <c r="M3466" s="561">
        <v>66420</v>
      </c>
      <c r="N3466" s="561">
        <v>19025.999000000003</v>
      </c>
      <c r="O3466" s="561">
        <v>0</v>
      </c>
      <c r="P3466" s="561">
        <v>47394.001000000011</v>
      </c>
    </row>
    <row r="3467" spans="1:38">
      <c r="C3467" s="561" t="s">
        <v>1197</v>
      </c>
      <c r="D3467" s="561">
        <v>62873.396000000008</v>
      </c>
      <c r="E3467" s="561">
        <v>18000</v>
      </c>
      <c r="F3467" s="561">
        <v>44873.396000000008</v>
      </c>
      <c r="G3467" s="561">
        <v>751</v>
      </c>
      <c r="H3467" s="561">
        <v>64042.364000000001</v>
      </c>
      <c r="I3467" s="561">
        <v>12</v>
      </c>
      <c r="J3467" s="561">
        <v>640.62900000000002</v>
      </c>
      <c r="K3467" s="561">
        <v>747</v>
      </c>
      <c r="L3467" s="561">
        <v>63426.161000000007</v>
      </c>
      <c r="M3467" s="561">
        <v>63426.161000000007</v>
      </c>
      <c r="N3467" s="561">
        <v>18552.765000000003</v>
      </c>
      <c r="O3467" s="561">
        <v>0</v>
      </c>
    </row>
    <row r="3468" spans="1:38">
      <c r="C3468" s="561" t="s">
        <v>1198</v>
      </c>
      <c r="D3468" s="561">
        <v>0</v>
      </c>
      <c r="F3468" s="561">
        <v>0</v>
      </c>
      <c r="G3468" s="561">
        <v>0</v>
      </c>
      <c r="H3468" s="561">
        <v>0</v>
      </c>
      <c r="I3468" s="561">
        <v>0</v>
      </c>
      <c r="J3468" s="561">
        <v>0</v>
      </c>
      <c r="K3468" s="561">
        <v>0</v>
      </c>
      <c r="L3468" s="561">
        <v>0</v>
      </c>
      <c r="M3468" s="561">
        <v>0</v>
      </c>
      <c r="N3468" s="561">
        <v>0</v>
      </c>
      <c r="O3468" s="561">
        <v>0</v>
      </c>
      <c r="P3468" s="561">
        <v>0</v>
      </c>
    </row>
    <row r="3469" spans="1:38">
      <c r="C3469" s="561" t="s">
        <v>1199</v>
      </c>
      <c r="D3469" s="561">
        <v>3546.605</v>
      </c>
      <c r="E3469" s="561">
        <v>1026</v>
      </c>
      <c r="F3469" s="561">
        <v>2520.605</v>
      </c>
      <c r="G3469" s="561">
        <v>144</v>
      </c>
      <c r="H3469" s="561">
        <v>3016.6529999999998</v>
      </c>
      <c r="I3469" s="561">
        <v>3</v>
      </c>
      <c r="J3469" s="561">
        <v>22.815000000000001</v>
      </c>
      <c r="K3469" s="561">
        <v>144</v>
      </c>
      <c r="L3469" s="561">
        <v>2993.8389999999999</v>
      </c>
      <c r="M3469" s="561">
        <v>2993.8390000000004</v>
      </c>
      <c r="N3469" s="561">
        <v>473.23399999999992</v>
      </c>
      <c r="O3469" s="561">
        <v>0</v>
      </c>
      <c r="AL3469" s="561">
        <v>2520.605</v>
      </c>
    </row>
    <row r="3470" spans="1:38">
      <c r="B3470" s="561" t="s">
        <v>1496</v>
      </c>
      <c r="C3470" s="561" t="s">
        <v>1202</v>
      </c>
      <c r="G3470" s="561">
        <v>0</v>
      </c>
      <c r="H3470" s="561">
        <v>0</v>
      </c>
      <c r="I3470" s="561">
        <v>0</v>
      </c>
      <c r="J3470" s="561">
        <v>0</v>
      </c>
      <c r="K3470" s="561">
        <v>0</v>
      </c>
      <c r="L3470" s="561">
        <v>0</v>
      </c>
      <c r="O3470" s="561">
        <v>0</v>
      </c>
    </row>
    <row r="3473" spans="1:78">
      <c r="A3473" s="561">
        <v>29</v>
      </c>
      <c r="B3473" s="561" t="s">
        <v>1524</v>
      </c>
      <c r="C3473" s="561" t="s">
        <v>1206</v>
      </c>
      <c r="D3473" s="561">
        <v>20200.001000000004</v>
      </c>
      <c r="E3473" s="561">
        <v>5760</v>
      </c>
      <c r="F3473" s="561">
        <v>14440.001000000002</v>
      </c>
      <c r="G3473" s="561">
        <v>1313</v>
      </c>
      <c r="H3473" s="561">
        <v>20429.600999999999</v>
      </c>
      <c r="I3473" s="561">
        <v>37</v>
      </c>
      <c r="J3473" s="561">
        <v>226.24199999999999</v>
      </c>
      <c r="K3473" s="561">
        <v>1313</v>
      </c>
      <c r="L3473" s="561">
        <v>20200.001000000004</v>
      </c>
      <c r="M3473" s="561">
        <v>20200.001000000004</v>
      </c>
      <c r="N3473" s="561">
        <v>5760</v>
      </c>
      <c r="O3473" s="561">
        <v>0</v>
      </c>
      <c r="P3473" s="561">
        <v>14440.001000000002</v>
      </c>
    </row>
    <row r="3474" spans="1:78">
      <c r="C3474" s="561" t="s">
        <v>1197</v>
      </c>
      <c r="D3474" s="561">
        <v>0</v>
      </c>
      <c r="F3474" s="561">
        <v>0</v>
      </c>
      <c r="G3474" s="561">
        <v>0</v>
      </c>
      <c r="H3474" s="561">
        <v>0</v>
      </c>
      <c r="I3474" s="561">
        <v>0</v>
      </c>
      <c r="J3474" s="561">
        <v>0</v>
      </c>
      <c r="K3474" s="561">
        <v>0</v>
      </c>
      <c r="L3474" s="561">
        <v>0</v>
      </c>
      <c r="M3474" s="561">
        <v>0</v>
      </c>
      <c r="N3474" s="561">
        <v>0</v>
      </c>
      <c r="O3474" s="561">
        <v>0</v>
      </c>
      <c r="P3474" s="561">
        <v>0</v>
      </c>
    </row>
    <row r="3475" spans="1:78">
      <c r="C3475" s="561" t="s">
        <v>1198</v>
      </c>
      <c r="D3475" s="561">
        <v>0</v>
      </c>
      <c r="F3475" s="561">
        <v>0</v>
      </c>
      <c r="G3475" s="561">
        <v>0</v>
      </c>
      <c r="H3475" s="561">
        <v>0</v>
      </c>
      <c r="I3475" s="561">
        <v>0</v>
      </c>
      <c r="J3475" s="561">
        <v>0</v>
      </c>
      <c r="K3475" s="561">
        <v>0</v>
      </c>
      <c r="L3475" s="561">
        <v>0</v>
      </c>
      <c r="M3475" s="561">
        <v>0</v>
      </c>
      <c r="N3475" s="561">
        <v>0</v>
      </c>
      <c r="O3475" s="561">
        <v>0</v>
      </c>
      <c r="P3475" s="561">
        <v>0</v>
      </c>
    </row>
    <row r="3476" spans="1:78">
      <c r="C3476" s="561" t="s">
        <v>1199</v>
      </c>
      <c r="D3476" s="561">
        <v>20200.001000000004</v>
      </c>
      <c r="E3476" s="561">
        <v>5760</v>
      </c>
      <c r="F3476" s="561">
        <v>14440.001000000002</v>
      </c>
      <c r="G3476" s="561">
        <v>1313</v>
      </c>
      <c r="H3476" s="561">
        <v>20429.600999999999</v>
      </c>
      <c r="I3476" s="561">
        <v>37</v>
      </c>
      <c r="J3476" s="561">
        <v>226.24199999999999</v>
      </c>
      <c r="K3476" s="561">
        <v>1313</v>
      </c>
      <c r="L3476" s="561">
        <v>20200.001000000004</v>
      </c>
      <c r="M3476" s="561">
        <v>20200.001000000004</v>
      </c>
      <c r="N3476" s="561">
        <v>5760</v>
      </c>
      <c r="O3476" s="561">
        <v>0</v>
      </c>
      <c r="BZ3476" s="561">
        <v>14440.001000000002</v>
      </c>
    </row>
    <row r="3477" spans="1:78">
      <c r="B3477" s="561" t="s">
        <v>1496</v>
      </c>
      <c r="C3477" s="561" t="s">
        <v>1202</v>
      </c>
      <c r="O3477" s="561">
        <v>0</v>
      </c>
    </row>
    <row r="3480" spans="1:78">
      <c r="A3480" s="561">
        <v>30</v>
      </c>
      <c r="B3480" s="561" t="s">
        <v>1525</v>
      </c>
      <c r="C3480" s="561" t="s">
        <v>1206</v>
      </c>
      <c r="D3480" s="561">
        <v>16900.001</v>
      </c>
      <c r="E3480" s="561">
        <v>4860</v>
      </c>
      <c r="F3480" s="561">
        <v>12040.001</v>
      </c>
      <c r="G3480" s="561">
        <v>1158</v>
      </c>
      <c r="H3480" s="561">
        <v>17092.499</v>
      </c>
      <c r="I3480" s="561">
        <v>26</v>
      </c>
      <c r="J3480" s="561">
        <v>191.887</v>
      </c>
      <c r="K3480" s="561">
        <v>1156</v>
      </c>
      <c r="L3480" s="561">
        <v>16900.001</v>
      </c>
      <c r="M3480" s="561">
        <v>16900.001</v>
      </c>
      <c r="N3480" s="561">
        <v>4860</v>
      </c>
      <c r="O3480" s="561">
        <v>0</v>
      </c>
      <c r="P3480" s="561">
        <v>12040.001</v>
      </c>
    </row>
    <row r="3481" spans="1:78">
      <c r="C3481" s="561" t="s">
        <v>1197</v>
      </c>
      <c r="D3481" s="561">
        <v>0</v>
      </c>
      <c r="F3481" s="561">
        <v>0</v>
      </c>
      <c r="G3481" s="561">
        <v>0</v>
      </c>
      <c r="H3481" s="561">
        <v>0</v>
      </c>
      <c r="I3481" s="561">
        <v>0</v>
      </c>
      <c r="J3481" s="561">
        <v>0</v>
      </c>
      <c r="K3481" s="561">
        <v>0</v>
      </c>
      <c r="L3481" s="561">
        <v>0</v>
      </c>
      <c r="M3481" s="561">
        <v>0</v>
      </c>
      <c r="N3481" s="561">
        <v>0</v>
      </c>
      <c r="O3481" s="561">
        <v>0</v>
      </c>
      <c r="P3481" s="561">
        <v>0</v>
      </c>
    </row>
    <row r="3482" spans="1:78">
      <c r="C3482" s="561" t="s">
        <v>1198</v>
      </c>
      <c r="D3482" s="561">
        <v>0</v>
      </c>
      <c r="F3482" s="561">
        <v>0</v>
      </c>
      <c r="G3482" s="561">
        <v>0</v>
      </c>
      <c r="H3482" s="561">
        <v>0</v>
      </c>
      <c r="I3482" s="561">
        <v>0</v>
      </c>
      <c r="J3482" s="561">
        <v>0</v>
      </c>
      <c r="K3482" s="561">
        <v>0</v>
      </c>
      <c r="L3482" s="561">
        <v>0</v>
      </c>
      <c r="M3482" s="561">
        <v>0</v>
      </c>
      <c r="N3482" s="561">
        <v>0</v>
      </c>
      <c r="O3482" s="561">
        <v>0</v>
      </c>
      <c r="P3482" s="561">
        <v>0</v>
      </c>
    </row>
    <row r="3483" spans="1:78">
      <c r="C3483" s="561" t="s">
        <v>1199</v>
      </c>
      <c r="D3483" s="561">
        <v>16900.001</v>
      </c>
      <c r="E3483" s="561">
        <v>4860</v>
      </c>
      <c r="F3483" s="561">
        <v>12040.001</v>
      </c>
      <c r="G3483" s="561">
        <v>1158</v>
      </c>
      <c r="H3483" s="561">
        <v>17092.499</v>
      </c>
      <c r="I3483" s="561">
        <v>26</v>
      </c>
      <c r="J3483" s="561">
        <v>191.887</v>
      </c>
      <c r="K3483" s="561">
        <v>1156</v>
      </c>
      <c r="L3483" s="561">
        <v>16900.001</v>
      </c>
      <c r="M3483" s="561">
        <v>16900.001</v>
      </c>
      <c r="N3483" s="561">
        <v>4860</v>
      </c>
      <c r="O3483" s="561">
        <v>0</v>
      </c>
      <c r="BZ3483" s="561">
        <v>12040.001</v>
      </c>
    </row>
    <row r="3484" spans="1:78">
      <c r="B3484" s="561" t="s">
        <v>1496</v>
      </c>
      <c r="C3484" s="561" t="s">
        <v>1202</v>
      </c>
      <c r="O3484" s="561">
        <v>0</v>
      </c>
    </row>
    <row r="3487" spans="1:78">
      <c r="A3487" s="561">
        <v>31</v>
      </c>
      <c r="B3487" s="561" t="s">
        <v>1526</v>
      </c>
      <c r="C3487" s="561" t="s">
        <v>1206</v>
      </c>
      <c r="D3487" s="561">
        <v>11610.001000000002</v>
      </c>
      <c r="E3487" s="561">
        <v>3348</v>
      </c>
      <c r="F3487" s="561">
        <v>8262.001000000002</v>
      </c>
      <c r="G3487" s="561">
        <v>886</v>
      </c>
      <c r="H3487" s="561">
        <v>11639.952000000001</v>
      </c>
      <c r="I3487" s="561">
        <v>8</v>
      </c>
      <c r="J3487" s="561">
        <v>29.741</v>
      </c>
      <c r="K3487" s="561">
        <v>886</v>
      </c>
      <c r="L3487" s="561">
        <v>11610.001000000002</v>
      </c>
      <c r="M3487" s="561">
        <v>11610.001000000002</v>
      </c>
      <c r="N3487" s="561">
        <v>3348</v>
      </c>
      <c r="O3487" s="561">
        <v>0</v>
      </c>
      <c r="P3487" s="561">
        <v>8262.001000000002</v>
      </c>
    </row>
    <row r="3488" spans="1:78">
      <c r="C3488" s="561" t="s">
        <v>1197</v>
      </c>
      <c r="D3488" s="561">
        <v>0</v>
      </c>
      <c r="F3488" s="561">
        <v>0</v>
      </c>
      <c r="G3488" s="561">
        <v>0</v>
      </c>
      <c r="H3488" s="561">
        <v>0</v>
      </c>
      <c r="I3488" s="561">
        <v>0</v>
      </c>
      <c r="J3488" s="561">
        <v>0</v>
      </c>
      <c r="K3488" s="561">
        <v>0</v>
      </c>
      <c r="L3488" s="561">
        <v>0</v>
      </c>
      <c r="M3488" s="561">
        <v>0</v>
      </c>
      <c r="N3488" s="561">
        <v>0</v>
      </c>
      <c r="O3488" s="561">
        <v>0</v>
      </c>
      <c r="P3488" s="561">
        <v>0</v>
      </c>
    </row>
    <row r="3489" spans="1:78">
      <c r="C3489" s="561" t="s">
        <v>1198</v>
      </c>
      <c r="D3489" s="561">
        <v>0</v>
      </c>
      <c r="F3489" s="561">
        <v>0</v>
      </c>
      <c r="G3489" s="561">
        <v>0</v>
      </c>
      <c r="H3489" s="561">
        <v>0</v>
      </c>
      <c r="I3489" s="561">
        <v>0</v>
      </c>
      <c r="J3489" s="561">
        <v>0</v>
      </c>
      <c r="K3489" s="561">
        <v>0</v>
      </c>
      <c r="L3489" s="561">
        <v>0</v>
      </c>
      <c r="M3489" s="561">
        <v>0</v>
      </c>
      <c r="N3489" s="561">
        <v>0</v>
      </c>
      <c r="O3489" s="561">
        <v>0</v>
      </c>
      <c r="P3489" s="561">
        <v>0</v>
      </c>
      <c r="BZ3489" s="561">
        <v>8262.001000000002</v>
      </c>
    </row>
    <row r="3490" spans="1:78">
      <c r="C3490" s="561" t="s">
        <v>1199</v>
      </c>
      <c r="D3490" s="561">
        <v>11610.001000000002</v>
      </c>
      <c r="E3490" s="561">
        <v>3348</v>
      </c>
      <c r="F3490" s="561">
        <v>8262.001000000002</v>
      </c>
      <c r="G3490" s="561">
        <v>886</v>
      </c>
      <c r="H3490" s="561">
        <v>11639.952000000001</v>
      </c>
      <c r="I3490" s="561">
        <v>8</v>
      </c>
      <c r="J3490" s="561">
        <v>29.741</v>
      </c>
      <c r="K3490" s="561">
        <v>886</v>
      </c>
      <c r="L3490" s="561">
        <v>11610.001000000002</v>
      </c>
      <c r="M3490" s="561">
        <v>11610.001000000002</v>
      </c>
      <c r="N3490" s="561">
        <v>3348</v>
      </c>
      <c r="O3490" s="561">
        <v>0</v>
      </c>
    </row>
    <row r="3491" spans="1:78">
      <c r="B3491" s="561" t="s">
        <v>1496</v>
      </c>
      <c r="C3491" s="561" t="s">
        <v>1202</v>
      </c>
      <c r="O3491" s="561">
        <v>0</v>
      </c>
    </row>
    <row r="3494" spans="1:78">
      <c r="A3494" s="561">
        <v>32</v>
      </c>
      <c r="B3494" s="561" t="s">
        <v>1527</v>
      </c>
      <c r="C3494" s="561" t="s">
        <v>1206</v>
      </c>
      <c r="D3494" s="561">
        <v>25819.963</v>
      </c>
      <c r="E3494" s="561">
        <v>7596</v>
      </c>
      <c r="F3494" s="561">
        <v>18223.963</v>
      </c>
      <c r="G3494" s="561">
        <v>1982</v>
      </c>
      <c r="H3494" s="561">
        <v>26135.696999999996</v>
      </c>
      <c r="I3494" s="561">
        <v>39</v>
      </c>
      <c r="J3494" s="561">
        <v>279.04000000000002</v>
      </c>
      <c r="K3494" s="561">
        <v>1979</v>
      </c>
      <c r="L3494" s="561">
        <v>25819.963</v>
      </c>
      <c r="M3494" s="561">
        <v>25819.963</v>
      </c>
      <c r="N3494" s="561">
        <v>7596</v>
      </c>
      <c r="O3494" s="561">
        <v>0</v>
      </c>
      <c r="P3494" s="561">
        <v>18223.963</v>
      </c>
    </row>
    <row r="3495" spans="1:78">
      <c r="C3495" s="561" t="s">
        <v>1197</v>
      </c>
      <c r="D3495" s="561">
        <v>0</v>
      </c>
      <c r="F3495" s="561">
        <v>0</v>
      </c>
      <c r="G3495" s="561">
        <v>0</v>
      </c>
      <c r="H3495" s="561">
        <v>0</v>
      </c>
      <c r="I3495" s="561">
        <v>0</v>
      </c>
      <c r="J3495" s="561">
        <v>0</v>
      </c>
      <c r="K3495" s="561">
        <v>0</v>
      </c>
      <c r="L3495" s="561">
        <v>0</v>
      </c>
      <c r="M3495" s="561">
        <v>0</v>
      </c>
      <c r="N3495" s="561">
        <v>0</v>
      </c>
      <c r="O3495" s="561">
        <v>0</v>
      </c>
      <c r="P3495" s="561">
        <v>0</v>
      </c>
    </row>
    <row r="3496" spans="1:78">
      <c r="C3496" s="561" t="s">
        <v>1198</v>
      </c>
      <c r="D3496" s="561">
        <v>0</v>
      </c>
      <c r="F3496" s="561">
        <v>0</v>
      </c>
      <c r="G3496" s="561">
        <v>0</v>
      </c>
      <c r="H3496" s="561">
        <v>0</v>
      </c>
      <c r="I3496" s="561">
        <v>0</v>
      </c>
      <c r="J3496" s="561">
        <v>0</v>
      </c>
      <c r="K3496" s="561">
        <v>0</v>
      </c>
      <c r="L3496" s="561">
        <v>0</v>
      </c>
      <c r="M3496" s="561">
        <v>0</v>
      </c>
      <c r="N3496" s="561">
        <v>0</v>
      </c>
      <c r="O3496" s="561">
        <v>0</v>
      </c>
      <c r="P3496" s="561">
        <v>0</v>
      </c>
      <c r="BZ3496" s="561">
        <v>18223.963</v>
      </c>
    </row>
    <row r="3497" spans="1:78">
      <c r="C3497" s="561" t="s">
        <v>1199</v>
      </c>
      <c r="D3497" s="561">
        <v>25819.963</v>
      </c>
      <c r="E3497" s="561">
        <v>7596</v>
      </c>
      <c r="F3497" s="561">
        <v>18223.963</v>
      </c>
      <c r="G3497" s="561">
        <v>1982</v>
      </c>
      <c r="H3497" s="561">
        <v>26135.696999999996</v>
      </c>
      <c r="I3497" s="561">
        <v>39</v>
      </c>
      <c r="J3497" s="561">
        <v>279.04000000000002</v>
      </c>
      <c r="K3497" s="561">
        <v>1979</v>
      </c>
      <c r="L3497" s="561">
        <v>25819.963</v>
      </c>
      <c r="M3497" s="561">
        <v>25819.963</v>
      </c>
      <c r="N3497" s="561">
        <v>7596</v>
      </c>
      <c r="O3497" s="561">
        <v>0</v>
      </c>
    </row>
    <row r="3498" spans="1:78">
      <c r="B3498" s="561" t="s">
        <v>1496</v>
      </c>
      <c r="C3498" s="561" t="s">
        <v>1202</v>
      </c>
      <c r="O3498" s="561">
        <v>0</v>
      </c>
    </row>
    <row r="3501" spans="1:78">
      <c r="A3501" s="561">
        <v>33</v>
      </c>
      <c r="B3501" s="561" t="s">
        <v>1528</v>
      </c>
      <c r="C3501" s="561" t="s">
        <v>1206</v>
      </c>
      <c r="D3501" s="561">
        <v>26334.034</v>
      </c>
      <c r="E3501" s="561">
        <v>7578</v>
      </c>
      <c r="F3501" s="561">
        <v>18756.034</v>
      </c>
      <c r="G3501" s="561">
        <v>1733</v>
      </c>
      <c r="H3501" s="561">
        <v>26877.344000000001</v>
      </c>
      <c r="I3501" s="561">
        <v>65</v>
      </c>
      <c r="J3501" s="561">
        <v>498.62200000000001</v>
      </c>
      <c r="K3501" s="561">
        <v>1732</v>
      </c>
      <c r="L3501" s="561">
        <v>26334.034000000003</v>
      </c>
      <c r="M3501" s="561">
        <v>26334.034</v>
      </c>
      <c r="N3501" s="561">
        <v>7578</v>
      </c>
      <c r="O3501" s="561">
        <v>0</v>
      </c>
      <c r="P3501" s="561">
        <v>18756.034</v>
      </c>
    </row>
    <row r="3502" spans="1:78">
      <c r="C3502" s="561" t="s">
        <v>1197</v>
      </c>
      <c r="D3502" s="561">
        <v>0</v>
      </c>
      <c r="F3502" s="561">
        <v>0</v>
      </c>
      <c r="G3502" s="561">
        <v>0</v>
      </c>
      <c r="H3502" s="561">
        <v>0</v>
      </c>
      <c r="I3502" s="561">
        <v>0</v>
      </c>
      <c r="J3502" s="561">
        <v>0</v>
      </c>
      <c r="K3502" s="561">
        <v>0</v>
      </c>
      <c r="L3502" s="561">
        <v>0</v>
      </c>
      <c r="M3502" s="561">
        <v>0</v>
      </c>
      <c r="N3502" s="561">
        <v>0</v>
      </c>
      <c r="O3502" s="561">
        <v>0</v>
      </c>
      <c r="P3502" s="561">
        <v>0</v>
      </c>
      <c r="BZ3502" s="561">
        <v>18756.034</v>
      </c>
    </row>
    <row r="3503" spans="1:78">
      <c r="C3503" s="561" t="s">
        <v>1198</v>
      </c>
      <c r="D3503" s="561">
        <v>0</v>
      </c>
      <c r="F3503" s="561">
        <v>0</v>
      </c>
      <c r="G3503" s="561">
        <v>0</v>
      </c>
      <c r="H3503" s="561">
        <v>0</v>
      </c>
      <c r="I3503" s="561">
        <v>0</v>
      </c>
      <c r="J3503" s="561">
        <v>0</v>
      </c>
      <c r="K3503" s="561">
        <v>0</v>
      </c>
      <c r="L3503" s="561">
        <v>0</v>
      </c>
      <c r="M3503" s="561">
        <v>0</v>
      </c>
      <c r="N3503" s="561">
        <v>0</v>
      </c>
      <c r="O3503" s="561">
        <v>0</v>
      </c>
      <c r="P3503" s="561">
        <v>0</v>
      </c>
    </row>
    <row r="3504" spans="1:78">
      <c r="C3504" s="561" t="s">
        <v>1199</v>
      </c>
      <c r="D3504" s="561">
        <v>26334.034</v>
      </c>
      <c r="E3504" s="561">
        <v>7578</v>
      </c>
      <c r="F3504" s="561">
        <v>18756.034</v>
      </c>
      <c r="G3504" s="561">
        <v>1733</v>
      </c>
      <c r="H3504" s="561">
        <v>26877.344000000001</v>
      </c>
      <c r="I3504" s="561">
        <v>65</v>
      </c>
      <c r="J3504" s="561">
        <v>498.62200000000001</v>
      </c>
      <c r="K3504" s="561">
        <v>1732</v>
      </c>
      <c r="L3504" s="561">
        <v>26334.034000000003</v>
      </c>
      <c r="M3504" s="561">
        <v>26334.034</v>
      </c>
      <c r="N3504" s="561">
        <v>7578</v>
      </c>
      <c r="O3504" s="561">
        <v>0</v>
      </c>
    </row>
    <row r="3505" spans="1:78">
      <c r="B3505" s="561" t="s">
        <v>1496</v>
      </c>
      <c r="C3505" s="561" t="s">
        <v>1202</v>
      </c>
      <c r="O3505" s="561">
        <v>0</v>
      </c>
    </row>
    <row r="3508" spans="1:78">
      <c r="A3508" s="561">
        <v>34</v>
      </c>
      <c r="B3508" s="561" t="s">
        <v>1529</v>
      </c>
      <c r="C3508" s="561" t="s">
        <v>1206</v>
      </c>
      <c r="D3508" s="561">
        <v>20920.001000000004</v>
      </c>
      <c r="E3508" s="561">
        <v>5976</v>
      </c>
      <c r="F3508" s="561">
        <v>14944.001000000004</v>
      </c>
      <c r="G3508" s="561">
        <v>1361</v>
      </c>
      <c r="H3508" s="561">
        <v>21186.612999999998</v>
      </c>
      <c r="I3508" s="561">
        <v>29</v>
      </c>
      <c r="J3508" s="561">
        <v>236.61</v>
      </c>
      <c r="K3508" s="561">
        <v>1361</v>
      </c>
      <c r="L3508" s="561">
        <v>20920.001</v>
      </c>
      <c r="M3508" s="561">
        <v>20920.001000000004</v>
      </c>
      <c r="N3508" s="561">
        <v>5976</v>
      </c>
      <c r="O3508" s="561">
        <v>0</v>
      </c>
      <c r="P3508" s="561">
        <v>14944.001000000004</v>
      </c>
    </row>
    <row r="3509" spans="1:78">
      <c r="C3509" s="561" t="s">
        <v>1197</v>
      </c>
      <c r="D3509" s="561">
        <v>0</v>
      </c>
      <c r="F3509" s="561">
        <v>0</v>
      </c>
      <c r="G3509" s="561">
        <v>0</v>
      </c>
      <c r="H3509" s="561">
        <v>0</v>
      </c>
      <c r="I3509" s="561">
        <v>0</v>
      </c>
      <c r="J3509" s="561">
        <v>0</v>
      </c>
      <c r="K3509" s="561">
        <v>0</v>
      </c>
      <c r="L3509" s="561">
        <v>0</v>
      </c>
      <c r="M3509" s="561">
        <v>0</v>
      </c>
      <c r="N3509" s="561">
        <v>0</v>
      </c>
      <c r="O3509" s="561">
        <v>0</v>
      </c>
      <c r="P3509" s="561">
        <v>0</v>
      </c>
    </row>
    <row r="3510" spans="1:78">
      <c r="C3510" s="561" t="s">
        <v>1198</v>
      </c>
      <c r="D3510" s="561">
        <v>0</v>
      </c>
      <c r="F3510" s="561">
        <v>0</v>
      </c>
      <c r="G3510" s="561">
        <v>0</v>
      </c>
      <c r="H3510" s="561">
        <v>0</v>
      </c>
      <c r="I3510" s="561">
        <v>0</v>
      </c>
      <c r="J3510" s="561">
        <v>0</v>
      </c>
      <c r="K3510" s="561">
        <v>0</v>
      </c>
      <c r="L3510" s="561">
        <v>0</v>
      </c>
      <c r="M3510" s="561">
        <v>0</v>
      </c>
      <c r="N3510" s="561">
        <v>0</v>
      </c>
      <c r="O3510" s="561">
        <v>0</v>
      </c>
      <c r="P3510" s="561">
        <v>0</v>
      </c>
    </row>
    <row r="3511" spans="1:78">
      <c r="C3511" s="561" t="s">
        <v>1199</v>
      </c>
      <c r="D3511" s="561">
        <v>20920.001000000004</v>
      </c>
      <c r="E3511" s="561">
        <v>5976</v>
      </c>
      <c r="F3511" s="561">
        <v>14944.001000000004</v>
      </c>
      <c r="G3511" s="561">
        <v>1361</v>
      </c>
      <c r="H3511" s="561">
        <v>21186.612999999998</v>
      </c>
      <c r="I3511" s="561">
        <v>29</v>
      </c>
      <c r="J3511" s="561">
        <v>236.61</v>
      </c>
      <c r="K3511" s="561">
        <v>1361</v>
      </c>
      <c r="L3511" s="561">
        <v>20920.001</v>
      </c>
      <c r="M3511" s="561">
        <v>20920.001000000004</v>
      </c>
      <c r="N3511" s="561">
        <v>5976</v>
      </c>
      <c r="O3511" s="561">
        <v>0</v>
      </c>
      <c r="BZ3511" s="561">
        <v>14944.001000000004</v>
      </c>
    </row>
    <row r="3512" spans="1:78">
      <c r="B3512" s="561" t="s">
        <v>1496</v>
      </c>
      <c r="C3512" s="561" t="s">
        <v>1202</v>
      </c>
      <c r="O3512" s="561">
        <v>0</v>
      </c>
    </row>
    <row r="3515" spans="1:78">
      <c r="A3515" s="561">
        <v>35</v>
      </c>
      <c r="B3515" s="561" t="s">
        <v>1530</v>
      </c>
      <c r="C3515" s="561" t="s">
        <v>1206</v>
      </c>
      <c r="D3515" s="561">
        <v>23200.001</v>
      </c>
      <c r="E3515" s="561">
        <v>6660</v>
      </c>
      <c r="F3515" s="561">
        <v>16540.001</v>
      </c>
      <c r="G3515" s="561">
        <v>1552</v>
      </c>
      <c r="H3515" s="561">
        <v>23549.846000000001</v>
      </c>
      <c r="I3515" s="561">
        <v>53</v>
      </c>
      <c r="J3515" s="561">
        <v>347.68599999999998</v>
      </c>
      <c r="K3515" s="561">
        <v>1549</v>
      </c>
      <c r="L3515" s="561">
        <v>23200</v>
      </c>
      <c r="M3515" s="561">
        <v>23200</v>
      </c>
      <c r="N3515" s="561">
        <v>6659.9989999999998</v>
      </c>
      <c r="O3515" s="561">
        <v>0</v>
      </c>
      <c r="P3515" s="561">
        <v>16540.001</v>
      </c>
    </row>
    <row r="3516" spans="1:78">
      <c r="C3516" s="561" t="s">
        <v>1197</v>
      </c>
      <c r="D3516" s="561">
        <v>0</v>
      </c>
      <c r="F3516" s="561">
        <v>0</v>
      </c>
      <c r="G3516" s="561">
        <v>0</v>
      </c>
      <c r="H3516" s="561">
        <v>0</v>
      </c>
      <c r="I3516" s="561">
        <v>0</v>
      </c>
      <c r="J3516" s="561">
        <v>0</v>
      </c>
      <c r="K3516" s="561">
        <v>0</v>
      </c>
      <c r="L3516" s="561">
        <v>0</v>
      </c>
      <c r="M3516" s="561">
        <v>0</v>
      </c>
      <c r="N3516" s="561">
        <v>0</v>
      </c>
      <c r="O3516" s="561">
        <v>0</v>
      </c>
      <c r="P3516" s="561">
        <v>0</v>
      </c>
    </row>
    <row r="3517" spans="1:78">
      <c r="C3517" s="561" t="s">
        <v>1198</v>
      </c>
      <c r="D3517" s="561">
        <v>0</v>
      </c>
      <c r="F3517" s="561">
        <v>0</v>
      </c>
      <c r="G3517" s="561">
        <v>0</v>
      </c>
      <c r="H3517" s="561">
        <v>0</v>
      </c>
      <c r="I3517" s="561">
        <v>0</v>
      </c>
      <c r="J3517" s="561">
        <v>0</v>
      </c>
      <c r="K3517" s="561">
        <v>0</v>
      </c>
      <c r="L3517" s="561">
        <v>0</v>
      </c>
      <c r="M3517" s="561">
        <v>0</v>
      </c>
      <c r="N3517" s="561">
        <v>0</v>
      </c>
      <c r="O3517" s="561">
        <v>0</v>
      </c>
      <c r="P3517" s="561">
        <v>0</v>
      </c>
    </row>
    <row r="3518" spans="1:78">
      <c r="C3518" s="561" t="s">
        <v>1199</v>
      </c>
      <c r="D3518" s="561">
        <v>23200.001</v>
      </c>
      <c r="E3518" s="561">
        <v>6660</v>
      </c>
      <c r="F3518" s="561">
        <v>16540.001</v>
      </c>
      <c r="G3518" s="561">
        <v>1552</v>
      </c>
      <c r="H3518" s="561">
        <v>23549.846000000001</v>
      </c>
      <c r="I3518" s="561">
        <v>53</v>
      </c>
      <c r="J3518" s="561">
        <v>347.68599999999998</v>
      </c>
      <c r="K3518" s="561">
        <v>1549</v>
      </c>
      <c r="L3518" s="561">
        <v>23200</v>
      </c>
      <c r="M3518" s="561">
        <v>23200</v>
      </c>
      <c r="N3518" s="561">
        <v>6659.9989999999998</v>
      </c>
      <c r="O3518" s="561">
        <v>0</v>
      </c>
      <c r="BZ3518" s="561">
        <v>16540.001</v>
      </c>
    </row>
    <row r="3519" spans="1:78">
      <c r="B3519" s="561" t="s">
        <v>1496</v>
      </c>
      <c r="C3519" s="561" t="s">
        <v>1202</v>
      </c>
      <c r="O3519" s="561">
        <v>0</v>
      </c>
    </row>
    <row r="3522" spans="1:78">
      <c r="A3522" s="561">
        <v>36</v>
      </c>
      <c r="B3522" s="561" t="s">
        <v>1531</v>
      </c>
      <c r="C3522" s="561" t="s">
        <v>1206</v>
      </c>
      <c r="D3522" s="561">
        <v>12500.029</v>
      </c>
      <c r="E3522" s="561">
        <v>3600</v>
      </c>
      <c r="F3522" s="561">
        <v>8900.0290000000005</v>
      </c>
      <c r="G3522" s="561">
        <v>914</v>
      </c>
      <c r="H3522" s="561">
        <v>12977.279500000001</v>
      </c>
      <c r="I3522" s="561">
        <v>83</v>
      </c>
      <c r="J3522" s="561">
        <v>473.73399999999998</v>
      </c>
      <c r="K3522" s="561">
        <v>909</v>
      </c>
      <c r="L3522" s="561">
        <v>12500.028</v>
      </c>
      <c r="M3522" s="561">
        <v>12500.028</v>
      </c>
      <c r="N3522" s="561">
        <v>3599.9989999999998</v>
      </c>
      <c r="O3522" s="561">
        <v>0</v>
      </c>
      <c r="P3522" s="561">
        <v>8900.0290000000005</v>
      </c>
    </row>
    <row r="3523" spans="1:78">
      <c r="C3523" s="561" t="s">
        <v>1197</v>
      </c>
      <c r="D3523" s="561">
        <v>0</v>
      </c>
      <c r="F3523" s="561">
        <v>0</v>
      </c>
      <c r="G3523" s="561">
        <v>0</v>
      </c>
      <c r="H3523" s="561">
        <v>0</v>
      </c>
      <c r="I3523" s="561">
        <v>0</v>
      </c>
      <c r="J3523" s="561">
        <v>0</v>
      </c>
      <c r="K3523" s="561">
        <v>0</v>
      </c>
      <c r="L3523" s="561">
        <v>0</v>
      </c>
      <c r="M3523" s="561">
        <v>0</v>
      </c>
      <c r="N3523" s="561">
        <v>0</v>
      </c>
      <c r="O3523" s="561">
        <v>0</v>
      </c>
      <c r="P3523" s="561">
        <v>0</v>
      </c>
    </row>
    <row r="3524" spans="1:78">
      <c r="C3524" s="561" t="s">
        <v>1198</v>
      </c>
      <c r="D3524" s="561">
        <v>0</v>
      </c>
      <c r="F3524" s="561">
        <v>0</v>
      </c>
      <c r="G3524" s="561">
        <v>0</v>
      </c>
      <c r="H3524" s="561">
        <v>0</v>
      </c>
      <c r="I3524" s="561">
        <v>0</v>
      </c>
      <c r="J3524" s="561">
        <v>0</v>
      </c>
      <c r="K3524" s="561">
        <v>0</v>
      </c>
      <c r="L3524" s="561">
        <v>0</v>
      </c>
      <c r="M3524" s="561">
        <v>0</v>
      </c>
      <c r="N3524" s="561">
        <v>0</v>
      </c>
      <c r="O3524" s="561">
        <v>0</v>
      </c>
      <c r="P3524" s="561">
        <v>0</v>
      </c>
    </row>
    <row r="3525" spans="1:78">
      <c r="C3525" s="561" t="s">
        <v>1199</v>
      </c>
      <c r="D3525" s="561">
        <v>12500.029</v>
      </c>
      <c r="E3525" s="561">
        <v>3600</v>
      </c>
      <c r="F3525" s="561">
        <v>8900.0290000000005</v>
      </c>
      <c r="G3525" s="561">
        <v>914</v>
      </c>
      <c r="H3525" s="561">
        <v>12977.279500000001</v>
      </c>
      <c r="I3525" s="561">
        <v>83</v>
      </c>
      <c r="J3525" s="561">
        <v>473.73399999999998</v>
      </c>
      <c r="K3525" s="561">
        <v>909</v>
      </c>
      <c r="L3525" s="561">
        <v>12500.028</v>
      </c>
      <c r="M3525" s="561">
        <v>12500.028</v>
      </c>
      <c r="N3525" s="561">
        <v>3599.9989999999998</v>
      </c>
      <c r="O3525" s="561">
        <v>0</v>
      </c>
      <c r="BZ3525" s="561">
        <v>8900.0290000000005</v>
      </c>
    </row>
    <row r="3526" spans="1:78">
      <c r="B3526" s="561" t="s">
        <v>1496</v>
      </c>
      <c r="C3526" s="561" t="s">
        <v>1202</v>
      </c>
      <c r="O3526" s="561">
        <v>0</v>
      </c>
    </row>
    <row r="3529" spans="1:78">
      <c r="A3529" s="561">
        <v>37</v>
      </c>
      <c r="B3529" s="561" t="s">
        <v>1532</v>
      </c>
      <c r="C3529" s="561" t="s">
        <v>1206</v>
      </c>
      <c r="D3529" s="561">
        <v>8240.0059999999994</v>
      </c>
      <c r="E3529" s="561">
        <v>2142</v>
      </c>
      <c r="F3529" s="561">
        <v>6098.0059999999994</v>
      </c>
      <c r="G3529" s="561">
        <v>559</v>
      </c>
      <c r="H3529" s="561">
        <v>8571.66</v>
      </c>
      <c r="I3529" s="561">
        <v>19</v>
      </c>
      <c r="J3529" s="561">
        <v>94.683999999999997</v>
      </c>
      <c r="K3529" s="561">
        <v>559</v>
      </c>
      <c r="L3529" s="561">
        <v>8240.0059999999994</v>
      </c>
      <c r="M3529" s="561">
        <v>8240.0059999999994</v>
      </c>
      <c r="N3529" s="561">
        <v>2142</v>
      </c>
      <c r="O3529" s="561">
        <v>0</v>
      </c>
      <c r="P3529" s="561">
        <v>6098.0059999999994</v>
      </c>
    </row>
    <row r="3530" spans="1:78">
      <c r="C3530" s="561" t="s">
        <v>1197</v>
      </c>
      <c r="D3530" s="561">
        <v>0</v>
      </c>
      <c r="F3530" s="561">
        <v>0</v>
      </c>
      <c r="G3530" s="561">
        <v>0</v>
      </c>
      <c r="H3530" s="561">
        <v>0</v>
      </c>
      <c r="I3530" s="561">
        <v>0</v>
      </c>
      <c r="J3530" s="561">
        <v>0</v>
      </c>
      <c r="K3530" s="561">
        <v>0</v>
      </c>
      <c r="L3530" s="561">
        <v>0</v>
      </c>
      <c r="M3530" s="561">
        <v>0</v>
      </c>
      <c r="N3530" s="561">
        <v>0</v>
      </c>
      <c r="O3530" s="561">
        <v>0</v>
      </c>
      <c r="P3530" s="561">
        <v>0</v>
      </c>
    </row>
    <row r="3531" spans="1:78">
      <c r="C3531" s="561" t="s">
        <v>1198</v>
      </c>
      <c r="D3531" s="561">
        <v>0</v>
      </c>
      <c r="F3531" s="561">
        <v>0</v>
      </c>
      <c r="G3531" s="561">
        <v>0</v>
      </c>
      <c r="H3531" s="561">
        <v>0</v>
      </c>
      <c r="I3531" s="561">
        <v>0</v>
      </c>
      <c r="J3531" s="561">
        <v>0</v>
      </c>
      <c r="K3531" s="561">
        <v>0</v>
      </c>
      <c r="L3531" s="561">
        <v>0</v>
      </c>
      <c r="M3531" s="561">
        <v>0</v>
      </c>
      <c r="N3531" s="561">
        <v>0</v>
      </c>
      <c r="O3531" s="561">
        <v>0</v>
      </c>
      <c r="P3531" s="561">
        <v>0</v>
      </c>
    </row>
    <row r="3532" spans="1:78">
      <c r="C3532" s="561" t="s">
        <v>1199</v>
      </c>
      <c r="D3532" s="561">
        <v>8240.0059999999994</v>
      </c>
      <c r="E3532" s="561">
        <v>2142</v>
      </c>
      <c r="F3532" s="561">
        <v>6098.0059999999994</v>
      </c>
      <c r="G3532" s="561">
        <v>559</v>
      </c>
      <c r="H3532" s="561">
        <v>8571.66</v>
      </c>
      <c r="I3532" s="561">
        <v>19</v>
      </c>
      <c r="J3532" s="561">
        <v>94.683999999999997</v>
      </c>
      <c r="K3532" s="561">
        <v>559</v>
      </c>
      <c r="L3532" s="561">
        <v>8240.0059999999994</v>
      </c>
      <c r="M3532" s="561">
        <v>8240.0059999999994</v>
      </c>
      <c r="N3532" s="561">
        <v>2142</v>
      </c>
      <c r="O3532" s="561">
        <v>0</v>
      </c>
      <c r="BZ3532" s="561">
        <v>6098.0059999999994</v>
      </c>
    </row>
    <row r="3533" spans="1:78">
      <c r="B3533" s="561" t="s">
        <v>1496</v>
      </c>
      <c r="C3533" s="561" t="s">
        <v>1202</v>
      </c>
      <c r="O3533" s="561">
        <v>0</v>
      </c>
    </row>
    <row r="3536" spans="1:78">
      <c r="A3536" s="561">
        <v>38</v>
      </c>
      <c r="B3536" s="561" t="s">
        <v>1533</v>
      </c>
      <c r="C3536" s="561" t="s">
        <v>1206</v>
      </c>
      <c r="D3536" s="561">
        <v>3881.5369999999998</v>
      </c>
      <c r="E3536" s="561">
        <v>1121.0999999999999</v>
      </c>
      <c r="F3536" s="561">
        <v>2760.4369999999999</v>
      </c>
      <c r="G3536" s="561">
        <v>315</v>
      </c>
      <c r="H3536" s="561">
        <v>3923.1710000000003</v>
      </c>
      <c r="I3536" s="561">
        <v>8</v>
      </c>
      <c r="J3536" s="561">
        <v>37.662999999999997</v>
      </c>
      <c r="K3536" s="561">
        <v>313</v>
      </c>
      <c r="L3536" s="561">
        <v>3881.5320000000002</v>
      </c>
      <c r="M3536" s="561">
        <v>3881.5369999999998</v>
      </c>
      <c r="N3536" s="561">
        <v>1121.0999999999999</v>
      </c>
      <c r="O3536" s="561">
        <v>0</v>
      </c>
      <c r="P3536" s="561">
        <v>2760.4369999999999</v>
      </c>
    </row>
    <row r="3537" spans="1:78">
      <c r="C3537" s="561" t="s">
        <v>1197</v>
      </c>
      <c r="D3537" s="561">
        <v>0</v>
      </c>
      <c r="F3537" s="561">
        <v>0</v>
      </c>
      <c r="G3537" s="561">
        <v>0</v>
      </c>
      <c r="H3537" s="561">
        <v>0</v>
      </c>
      <c r="I3537" s="561">
        <v>0</v>
      </c>
      <c r="J3537" s="561">
        <v>0</v>
      </c>
      <c r="K3537" s="561">
        <v>0</v>
      </c>
      <c r="L3537" s="561">
        <v>0</v>
      </c>
      <c r="M3537" s="561">
        <v>0</v>
      </c>
      <c r="N3537" s="561">
        <v>0</v>
      </c>
      <c r="O3537" s="561">
        <v>0</v>
      </c>
      <c r="P3537" s="561">
        <v>0</v>
      </c>
    </row>
    <row r="3538" spans="1:78">
      <c r="C3538" s="561" t="s">
        <v>1198</v>
      </c>
      <c r="D3538" s="561">
        <v>0</v>
      </c>
      <c r="F3538" s="561">
        <v>0</v>
      </c>
      <c r="G3538" s="561">
        <v>0</v>
      </c>
      <c r="H3538" s="561">
        <v>0</v>
      </c>
      <c r="I3538" s="561">
        <v>0</v>
      </c>
      <c r="J3538" s="561">
        <v>0</v>
      </c>
      <c r="K3538" s="561">
        <v>0</v>
      </c>
      <c r="L3538" s="561">
        <v>0</v>
      </c>
      <c r="M3538" s="561">
        <v>0</v>
      </c>
      <c r="N3538" s="561">
        <v>0</v>
      </c>
      <c r="O3538" s="561">
        <v>0</v>
      </c>
      <c r="P3538" s="561">
        <v>0</v>
      </c>
    </row>
    <row r="3539" spans="1:78">
      <c r="C3539" s="561" t="s">
        <v>1199</v>
      </c>
      <c r="D3539" s="561">
        <v>3881.5369999999998</v>
      </c>
      <c r="E3539" s="561">
        <v>1121.0999999999999</v>
      </c>
      <c r="F3539" s="561">
        <v>2760.4369999999999</v>
      </c>
      <c r="G3539" s="561">
        <v>315</v>
      </c>
      <c r="H3539" s="561">
        <v>3923.1710000000003</v>
      </c>
      <c r="I3539" s="561">
        <v>8</v>
      </c>
      <c r="J3539" s="561">
        <v>37.662999999999997</v>
      </c>
      <c r="K3539" s="561">
        <v>313</v>
      </c>
      <c r="L3539" s="561">
        <v>3881.5320000000002</v>
      </c>
      <c r="M3539" s="561">
        <v>3881.5369999999998</v>
      </c>
      <c r="N3539" s="561">
        <v>1121.0999999999999</v>
      </c>
      <c r="O3539" s="561">
        <v>0</v>
      </c>
      <c r="BZ3539" s="561">
        <v>2760.4369999999999</v>
      </c>
    </row>
    <row r="3540" spans="1:78">
      <c r="B3540" s="561" t="s">
        <v>1496</v>
      </c>
      <c r="C3540" s="561" t="s">
        <v>1202</v>
      </c>
      <c r="L3540" s="561">
        <v>0</v>
      </c>
      <c r="O3540" s="561">
        <v>0</v>
      </c>
    </row>
    <row r="3543" spans="1:78">
      <c r="A3543" s="561">
        <v>39</v>
      </c>
      <c r="B3543" s="561" t="s">
        <v>1534</v>
      </c>
      <c r="C3543" s="561" t="s">
        <v>1206</v>
      </c>
      <c r="D3543" s="561">
        <v>285000</v>
      </c>
      <c r="E3543" s="561">
        <v>76500</v>
      </c>
      <c r="F3543" s="561">
        <v>208500</v>
      </c>
      <c r="G3543" s="561">
        <v>222</v>
      </c>
      <c r="H3543" s="561">
        <v>288348.64199999999</v>
      </c>
      <c r="I3543" s="561">
        <v>21</v>
      </c>
      <c r="J3543" s="561">
        <v>16739.987999999998</v>
      </c>
      <c r="K3543" s="561">
        <v>212</v>
      </c>
      <c r="L3543" s="561">
        <v>285000</v>
      </c>
      <c r="M3543" s="561">
        <v>285000</v>
      </c>
      <c r="N3543" s="561">
        <v>76500</v>
      </c>
      <c r="O3543" s="561">
        <v>0</v>
      </c>
      <c r="P3543" s="561">
        <v>208500</v>
      </c>
    </row>
    <row r="3544" spans="1:78">
      <c r="C3544" s="561" t="s">
        <v>1197</v>
      </c>
      <c r="D3544" s="561">
        <v>56867.6</v>
      </c>
      <c r="F3544" s="561">
        <v>56867.6</v>
      </c>
      <c r="G3544" s="561">
        <v>54</v>
      </c>
      <c r="H3544" s="561">
        <v>57597.862999999998</v>
      </c>
      <c r="I3544" s="561">
        <v>10</v>
      </c>
      <c r="J3544" s="561">
        <v>2140.35</v>
      </c>
      <c r="K3544" s="561">
        <v>47</v>
      </c>
      <c r="L3544" s="561">
        <v>56867.6</v>
      </c>
      <c r="M3544" s="561">
        <v>56867.6</v>
      </c>
      <c r="O3544" s="561">
        <v>0</v>
      </c>
    </row>
    <row r="3545" spans="1:78">
      <c r="C3545" s="561" t="s">
        <v>1198</v>
      </c>
      <c r="D3545" s="561">
        <v>228132.4</v>
      </c>
      <c r="E3545" s="561">
        <v>76500</v>
      </c>
      <c r="F3545" s="561">
        <v>151632.4</v>
      </c>
      <c r="G3545" s="561">
        <v>168</v>
      </c>
      <c r="H3545" s="561">
        <v>230750.77899999998</v>
      </c>
      <c r="I3545" s="561">
        <v>11</v>
      </c>
      <c r="J3545" s="561">
        <v>14599.637999999999</v>
      </c>
      <c r="K3545" s="561">
        <v>165</v>
      </c>
      <c r="L3545" s="561">
        <v>228132.4</v>
      </c>
      <c r="M3545" s="561">
        <v>228132.4</v>
      </c>
      <c r="N3545" s="561">
        <v>76500</v>
      </c>
      <c r="O3545" s="561">
        <v>0</v>
      </c>
    </row>
    <row r="3546" spans="1:78">
      <c r="C3546" s="561" t="s">
        <v>1199</v>
      </c>
      <c r="D3546" s="561">
        <v>0</v>
      </c>
      <c r="F3546" s="561">
        <v>0</v>
      </c>
      <c r="G3546" s="561">
        <v>0</v>
      </c>
      <c r="H3546" s="561">
        <v>0</v>
      </c>
      <c r="I3546" s="561">
        <v>0</v>
      </c>
      <c r="J3546" s="561">
        <v>0</v>
      </c>
      <c r="K3546" s="561">
        <v>0</v>
      </c>
      <c r="L3546" s="561">
        <v>0</v>
      </c>
      <c r="M3546" s="561">
        <v>0</v>
      </c>
      <c r="N3546" s="561">
        <v>0</v>
      </c>
      <c r="O3546" s="561">
        <v>0</v>
      </c>
      <c r="P3546" s="561">
        <v>0</v>
      </c>
    </row>
    <row r="3547" spans="1:78">
      <c r="B3547" s="561" t="s">
        <v>1496</v>
      </c>
      <c r="C3547" s="561" t="s">
        <v>1202</v>
      </c>
      <c r="G3547" s="561">
        <v>0</v>
      </c>
      <c r="H3547" s="561">
        <v>0</v>
      </c>
      <c r="I3547" s="561">
        <v>0</v>
      </c>
      <c r="J3547" s="561">
        <v>0</v>
      </c>
      <c r="K3547" s="561">
        <v>0</v>
      </c>
      <c r="L3547" s="561">
        <v>0</v>
      </c>
      <c r="O3547" s="561">
        <v>0</v>
      </c>
    </row>
    <row r="3550" spans="1:78">
      <c r="A3550" s="561">
        <v>40</v>
      </c>
      <c r="B3550" s="561" t="s">
        <v>1535</v>
      </c>
      <c r="C3550" s="561" t="s">
        <v>1206</v>
      </c>
      <c r="D3550" s="561">
        <v>58046.008333333324</v>
      </c>
      <c r="E3550" s="561">
        <v>13813.800000000001</v>
      </c>
      <c r="F3550" s="561">
        <v>44232.208333333328</v>
      </c>
      <c r="G3550" s="561">
        <v>141</v>
      </c>
      <c r="H3550" s="561">
        <v>58232.406000000003</v>
      </c>
      <c r="I3550" s="561">
        <v>0</v>
      </c>
      <c r="J3550" s="561">
        <v>0</v>
      </c>
      <c r="K3550" s="561">
        <v>141</v>
      </c>
      <c r="L3550" s="561">
        <v>58046.008333333331</v>
      </c>
      <c r="M3550" s="561">
        <v>58046.008333333331</v>
      </c>
      <c r="N3550" s="561">
        <v>13813.8</v>
      </c>
      <c r="O3550" s="561">
        <v>0</v>
      </c>
      <c r="P3550" s="561">
        <v>44232.208333333328</v>
      </c>
    </row>
    <row r="3551" spans="1:78">
      <c r="B3551" s="561" t="s">
        <v>1197</v>
      </c>
      <c r="C3551" s="561" t="s">
        <v>1197</v>
      </c>
      <c r="D3551" s="561">
        <v>0</v>
      </c>
      <c r="F3551" s="561">
        <v>0</v>
      </c>
      <c r="G3551" s="561">
        <v>0</v>
      </c>
      <c r="H3551" s="561">
        <v>0</v>
      </c>
      <c r="I3551" s="561">
        <v>0</v>
      </c>
      <c r="J3551" s="561">
        <v>0</v>
      </c>
      <c r="K3551" s="561">
        <v>0</v>
      </c>
      <c r="L3551" s="561">
        <v>0</v>
      </c>
      <c r="M3551" s="561">
        <v>0</v>
      </c>
      <c r="N3551" s="561">
        <v>0</v>
      </c>
      <c r="O3551" s="561">
        <v>0</v>
      </c>
      <c r="P3551" s="561">
        <v>0</v>
      </c>
    </row>
    <row r="3552" spans="1:78">
      <c r="C3552" s="561" t="s">
        <v>1198</v>
      </c>
      <c r="D3552" s="561">
        <v>57167.893333333326</v>
      </c>
      <c r="E3552" s="561">
        <v>13564.2</v>
      </c>
      <c r="F3552" s="561">
        <v>43603.693333333329</v>
      </c>
      <c r="G3552" s="561">
        <v>72</v>
      </c>
      <c r="H3552" s="561">
        <v>57400.091</v>
      </c>
      <c r="I3552" s="561">
        <v>0</v>
      </c>
      <c r="J3552" s="561">
        <v>0</v>
      </c>
      <c r="K3552" s="561">
        <v>72</v>
      </c>
      <c r="L3552" s="561">
        <v>57213.693333333329</v>
      </c>
      <c r="M3552" s="561">
        <v>57213.693333333329</v>
      </c>
      <c r="N3552" s="561">
        <v>13610</v>
      </c>
      <c r="O3552" s="561">
        <v>0</v>
      </c>
    </row>
    <row r="3553" spans="1:111">
      <c r="C3553" s="561" t="s">
        <v>1199</v>
      </c>
      <c r="D3553" s="561">
        <v>878.11500000000001</v>
      </c>
      <c r="E3553" s="561">
        <v>249.6</v>
      </c>
      <c r="F3553" s="561">
        <v>628.51499999999999</v>
      </c>
      <c r="G3553" s="561">
        <v>69</v>
      </c>
      <c r="H3553" s="561">
        <v>832.31500000000005</v>
      </c>
      <c r="I3553" s="561">
        <v>0</v>
      </c>
      <c r="J3553" s="561">
        <v>0</v>
      </c>
      <c r="K3553" s="561">
        <v>69</v>
      </c>
      <c r="L3553" s="561">
        <v>832.31500000000005</v>
      </c>
      <c r="M3553" s="561">
        <v>832.31500000000005</v>
      </c>
      <c r="N3553" s="561">
        <v>203.8</v>
      </c>
      <c r="O3553" s="561">
        <v>0</v>
      </c>
      <c r="AL3553" s="561">
        <v>628.51499999999999</v>
      </c>
    </row>
    <row r="3554" spans="1:111">
      <c r="B3554" s="561" t="s">
        <v>1496</v>
      </c>
      <c r="C3554" s="561" t="s">
        <v>1202</v>
      </c>
      <c r="G3554" s="561">
        <v>0</v>
      </c>
      <c r="H3554" s="561">
        <v>0</v>
      </c>
      <c r="I3554" s="561">
        <v>0</v>
      </c>
      <c r="J3554" s="561">
        <v>0</v>
      </c>
      <c r="K3554" s="561">
        <v>0</v>
      </c>
      <c r="L3554" s="561">
        <v>0</v>
      </c>
      <c r="O3554" s="561">
        <v>0</v>
      </c>
    </row>
    <row r="3557" spans="1:111">
      <c r="A3557" s="561">
        <v>41</v>
      </c>
      <c r="B3557" s="561" t="s">
        <v>1536</v>
      </c>
      <c r="C3557" s="561" t="s">
        <v>1206</v>
      </c>
      <c r="D3557" s="561">
        <v>11400.001000000002</v>
      </c>
      <c r="E3557" s="561">
        <v>3420</v>
      </c>
      <c r="F3557" s="561">
        <v>7980.001000000002</v>
      </c>
      <c r="G3557" s="561">
        <v>547</v>
      </c>
      <c r="H3557" s="561">
        <v>11520.773999999999</v>
      </c>
      <c r="I3557" s="561">
        <v>20</v>
      </c>
      <c r="J3557" s="561">
        <v>116.467</v>
      </c>
      <c r="K3557" s="561">
        <v>547</v>
      </c>
      <c r="L3557" s="561">
        <v>11400.001000000002</v>
      </c>
      <c r="M3557" s="561">
        <v>11400.001000000002</v>
      </c>
      <c r="N3557" s="561">
        <v>3420</v>
      </c>
      <c r="O3557" s="561">
        <v>0</v>
      </c>
      <c r="P3557" s="561">
        <v>7980.001000000002</v>
      </c>
    </row>
    <row r="3558" spans="1:111">
      <c r="C3558" s="561" t="s">
        <v>1197</v>
      </c>
      <c r="D3558" s="561">
        <v>0</v>
      </c>
      <c r="F3558" s="561">
        <v>0</v>
      </c>
      <c r="G3558" s="561">
        <v>0</v>
      </c>
      <c r="H3558" s="561">
        <v>0</v>
      </c>
      <c r="I3558" s="561">
        <v>0</v>
      </c>
      <c r="J3558" s="561">
        <v>0</v>
      </c>
      <c r="K3558" s="561">
        <v>0</v>
      </c>
      <c r="L3558" s="561">
        <v>0</v>
      </c>
      <c r="M3558" s="561">
        <v>0</v>
      </c>
      <c r="N3558" s="561">
        <v>0</v>
      </c>
      <c r="O3558" s="561">
        <v>0</v>
      </c>
      <c r="P3558" s="561">
        <v>0</v>
      </c>
    </row>
    <row r="3559" spans="1:111">
      <c r="C3559" s="561" t="s">
        <v>1198</v>
      </c>
      <c r="D3559" s="561">
        <v>0</v>
      </c>
      <c r="F3559" s="561">
        <v>0</v>
      </c>
      <c r="G3559" s="561">
        <v>0</v>
      </c>
      <c r="H3559" s="561">
        <v>0</v>
      </c>
      <c r="I3559" s="561">
        <v>0</v>
      </c>
      <c r="J3559" s="561">
        <v>0</v>
      </c>
      <c r="K3559" s="561">
        <v>0</v>
      </c>
      <c r="L3559" s="561">
        <v>0</v>
      </c>
      <c r="M3559" s="561">
        <v>0</v>
      </c>
      <c r="N3559" s="561">
        <v>0</v>
      </c>
      <c r="O3559" s="561">
        <v>0</v>
      </c>
      <c r="P3559" s="561">
        <v>0</v>
      </c>
    </row>
    <row r="3560" spans="1:111">
      <c r="C3560" s="561" t="s">
        <v>1199</v>
      </c>
      <c r="D3560" s="561">
        <v>11400.001000000002</v>
      </c>
      <c r="E3560" s="561">
        <v>3420</v>
      </c>
      <c r="F3560" s="561">
        <v>7980.001000000002</v>
      </c>
      <c r="G3560" s="561">
        <v>547</v>
      </c>
      <c r="H3560" s="561">
        <v>11520.773999999999</v>
      </c>
      <c r="I3560" s="561">
        <v>20</v>
      </c>
      <c r="J3560" s="561">
        <v>116.467</v>
      </c>
      <c r="K3560" s="561">
        <v>547</v>
      </c>
      <c r="L3560" s="561">
        <v>11400.001000000002</v>
      </c>
      <c r="M3560" s="561">
        <v>11400.001000000002</v>
      </c>
      <c r="N3560" s="561">
        <v>3420</v>
      </c>
      <c r="O3560" s="561">
        <v>0</v>
      </c>
      <c r="AX3560" s="561">
        <v>7980.001000000002</v>
      </c>
    </row>
    <row r="3561" spans="1:111">
      <c r="A3561" s="1683" t="s">
        <v>1537</v>
      </c>
      <c r="B3561" s="1683"/>
      <c r="C3561" s="1683"/>
      <c r="D3561" s="1683"/>
      <c r="E3561" s="1683"/>
      <c r="F3561" s="1683"/>
      <c r="G3561" s="1683"/>
      <c r="H3561" s="1683"/>
      <c r="I3561" s="1683"/>
      <c r="J3561" s="1683"/>
      <c r="K3561" s="1683"/>
      <c r="L3561" s="1683"/>
      <c r="M3561" s="1683"/>
      <c r="N3561" s="1683"/>
      <c r="O3561" s="1683"/>
      <c r="P3561" s="1683"/>
    </row>
    <row r="3562" spans="1:111">
      <c r="A3562" s="1735" t="s">
        <v>1197</v>
      </c>
      <c r="B3562" s="1735"/>
      <c r="C3562" s="1735"/>
      <c r="D3562" s="1735"/>
      <c r="E3562" s="1735"/>
      <c r="F3562" s="1735"/>
      <c r="G3562" s="1735"/>
      <c r="H3562" s="1735"/>
      <c r="I3562" s="1735"/>
      <c r="J3562" s="1735"/>
      <c r="K3562" s="1735"/>
      <c r="L3562" s="1735"/>
      <c r="M3562" s="1735"/>
      <c r="N3562" s="1735"/>
      <c r="O3562" s="1735"/>
      <c r="P3562" s="1735"/>
      <c r="Q3562" s="1735"/>
      <c r="R3562" s="1735"/>
      <c r="S3562" s="1735"/>
      <c r="T3562" s="1735"/>
      <c r="U3562" s="1735"/>
      <c r="V3562" s="1735"/>
      <c r="W3562" s="1735"/>
      <c r="X3562" s="1735"/>
      <c r="Y3562" s="1735"/>
      <c r="Z3562" s="1735"/>
      <c r="AA3562" s="1735"/>
      <c r="AB3562" s="1735"/>
      <c r="AC3562" s="1735"/>
      <c r="AD3562" s="1735"/>
      <c r="AE3562" s="1735"/>
      <c r="AF3562" s="1735"/>
      <c r="AG3562" s="1735"/>
      <c r="AH3562" s="1735"/>
      <c r="AI3562" s="1735"/>
      <c r="AL3562" s="561">
        <f>SUM(AL3563:AL3686)</f>
        <v>1799832.75755</v>
      </c>
      <c r="AM3562" s="561">
        <f t="shared" ref="AM3562:CX3562" si="108">SUM(AM3563:AM3686)</f>
        <v>0</v>
      </c>
      <c r="AN3562" s="561">
        <f t="shared" si="108"/>
        <v>0</v>
      </c>
      <c r="AO3562" s="561">
        <f t="shared" si="108"/>
        <v>0</v>
      </c>
      <c r="AP3562" s="561">
        <f t="shared" si="108"/>
        <v>0</v>
      </c>
      <c r="AQ3562" s="561">
        <f t="shared" si="108"/>
        <v>0</v>
      </c>
      <c r="AR3562" s="561">
        <f t="shared" si="108"/>
        <v>0</v>
      </c>
      <c r="AS3562" s="561">
        <f t="shared" si="108"/>
        <v>0</v>
      </c>
      <c r="AT3562" s="561">
        <f t="shared" si="108"/>
        <v>0</v>
      </c>
      <c r="AU3562" s="561">
        <f t="shared" si="108"/>
        <v>0</v>
      </c>
      <c r="AV3562" s="561">
        <f t="shared" si="108"/>
        <v>0</v>
      </c>
      <c r="AW3562" s="561">
        <f t="shared" si="108"/>
        <v>0</v>
      </c>
      <c r="AX3562" s="561">
        <f t="shared" si="108"/>
        <v>431591.00956999999</v>
      </c>
      <c r="AY3562" s="561">
        <f t="shared" si="108"/>
        <v>31520.841190000006</v>
      </c>
      <c r="AZ3562" s="561">
        <f t="shared" si="108"/>
        <v>0</v>
      </c>
      <c r="BA3562" s="561">
        <f t="shared" si="108"/>
        <v>0</v>
      </c>
      <c r="BB3562" s="561">
        <f t="shared" si="108"/>
        <v>676904.72176999995</v>
      </c>
      <c r="BC3562" s="561">
        <f t="shared" si="108"/>
        <v>0</v>
      </c>
      <c r="BD3562" s="561">
        <f t="shared" si="108"/>
        <v>1323803.4605099999</v>
      </c>
      <c r="BE3562" s="561">
        <f t="shared" si="108"/>
        <v>0</v>
      </c>
      <c r="BF3562" s="561">
        <f t="shared" si="108"/>
        <v>0</v>
      </c>
      <c r="BG3562" s="561">
        <f t="shared" si="108"/>
        <v>0</v>
      </c>
      <c r="BH3562" s="561">
        <f t="shared" si="108"/>
        <v>0</v>
      </c>
      <c r="BI3562" s="561">
        <f t="shared" si="108"/>
        <v>0</v>
      </c>
      <c r="BJ3562" s="561">
        <f t="shared" si="108"/>
        <v>0</v>
      </c>
      <c r="BK3562" s="561">
        <f t="shared" si="108"/>
        <v>0</v>
      </c>
      <c r="BL3562" s="561">
        <f t="shared" si="108"/>
        <v>0</v>
      </c>
      <c r="BM3562" s="561">
        <f t="shared" si="108"/>
        <v>0</v>
      </c>
      <c r="BN3562" s="561">
        <f t="shared" si="108"/>
        <v>0</v>
      </c>
      <c r="BO3562" s="561">
        <f t="shared" si="108"/>
        <v>0</v>
      </c>
      <c r="BP3562" s="561">
        <f t="shared" si="108"/>
        <v>0</v>
      </c>
      <c r="BQ3562" s="561">
        <f t="shared" si="108"/>
        <v>0</v>
      </c>
      <c r="BR3562" s="561">
        <f t="shared" si="108"/>
        <v>0</v>
      </c>
      <c r="BS3562" s="561">
        <f t="shared" si="108"/>
        <v>0</v>
      </c>
      <c r="BT3562" s="561">
        <f t="shared" si="108"/>
        <v>0</v>
      </c>
      <c r="BU3562" s="561">
        <f t="shared" si="108"/>
        <v>0</v>
      </c>
      <c r="BV3562" s="561">
        <f t="shared" si="108"/>
        <v>0</v>
      </c>
      <c r="BW3562" s="561">
        <f t="shared" si="108"/>
        <v>0</v>
      </c>
      <c r="BX3562" s="561">
        <f t="shared" si="108"/>
        <v>0</v>
      </c>
      <c r="BY3562" s="561">
        <f t="shared" si="108"/>
        <v>0</v>
      </c>
      <c r="BZ3562" s="561">
        <f t="shared" si="108"/>
        <v>0</v>
      </c>
      <c r="CA3562" s="561">
        <f t="shared" si="108"/>
        <v>0</v>
      </c>
      <c r="CB3562" s="561">
        <f t="shared" si="108"/>
        <v>0</v>
      </c>
      <c r="CC3562" s="561">
        <f t="shared" si="108"/>
        <v>0</v>
      </c>
      <c r="CD3562" s="561">
        <f t="shared" si="108"/>
        <v>0</v>
      </c>
      <c r="CE3562" s="561">
        <f t="shared" si="108"/>
        <v>0</v>
      </c>
      <c r="CF3562" s="561">
        <f t="shared" si="108"/>
        <v>0</v>
      </c>
      <c r="CG3562" s="561">
        <f t="shared" si="108"/>
        <v>0</v>
      </c>
      <c r="CH3562" s="561">
        <f t="shared" si="108"/>
        <v>0</v>
      </c>
      <c r="CI3562" s="561">
        <f t="shared" si="108"/>
        <v>0</v>
      </c>
      <c r="CJ3562" s="561">
        <f t="shared" si="108"/>
        <v>0</v>
      </c>
      <c r="CK3562" s="561">
        <f t="shared" si="108"/>
        <v>0</v>
      </c>
      <c r="CL3562" s="561">
        <f t="shared" si="108"/>
        <v>0</v>
      </c>
      <c r="CM3562" s="561">
        <f t="shared" si="108"/>
        <v>0</v>
      </c>
      <c r="CN3562" s="561">
        <f t="shared" si="108"/>
        <v>0</v>
      </c>
      <c r="CO3562" s="561">
        <f t="shared" si="108"/>
        <v>0</v>
      </c>
      <c r="CP3562" s="561">
        <f t="shared" si="108"/>
        <v>0</v>
      </c>
      <c r="CQ3562" s="561">
        <f t="shared" si="108"/>
        <v>0</v>
      </c>
      <c r="CR3562" s="561">
        <f t="shared" si="108"/>
        <v>0</v>
      </c>
      <c r="CS3562" s="561">
        <f t="shared" si="108"/>
        <v>0</v>
      </c>
      <c r="CT3562" s="561">
        <f t="shared" si="108"/>
        <v>0</v>
      </c>
      <c r="CU3562" s="561">
        <f t="shared" si="108"/>
        <v>0</v>
      </c>
      <c r="CV3562" s="561">
        <f t="shared" si="108"/>
        <v>0</v>
      </c>
      <c r="CW3562" s="561">
        <f t="shared" si="108"/>
        <v>0</v>
      </c>
      <c r="CX3562" s="561">
        <f t="shared" si="108"/>
        <v>0</v>
      </c>
      <c r="CY3562" s="561">
        <f t="shared" ref="CY3562:DG3562" si="109">SUM(CY3563:CY3686)</f>
        <v>0</v>
      </c>
      <c r="CZ3562" s="561">
        <f t="shared" si="109"/>
        <v>0</v>
      </c>
      <c r="DA3562" s="561">
        <f t="shared" si="109"/>
        <v>0</v>
      </c>
      <c r="DB3562" s="561">
        <f t="shared" si="109"/>
        <v>0</v>
      </c>
      <c r="DC3562" s="561">
        <f t="shared" si="109"/>
        <v>0</v>
      </c>
      <c r="DD3562" s="561">
        <f t="shared" si="109"/>
        <v>0</v>
      </c>
      <c r="DE3562" s="561">
        <f t="shared" si="109"/>
        <v>0</v>
      </c>
      <c r="DF3562" s="561">
        <f t="shared" si="109"/>
        <v>0</v>
      </c>
      <c r="DG3562" s="561">
        <f t="shared" si="109"/>
        <v>0</v>
      </c>
    </row>
    <row r="3563" spans="1:111" ht="15">
      <c r="A3563" s="611">
        <v>1</v>
      </c>
      <c r="B3563" s="611" t="s">
        <v>1538</v>
      </c>
      <c r="C3563" s="611" t="s">
        <v>1267</v>
      </c>
      <c r="D3563" s="611">
        <v>2319255.0828199997</v>
      </c>
      <c r="E3563" s="611">
        <v>583752.92999999993</v>
      </c>
      <c r="F3563" s="611">
        <v>1735502.15282</v>
      </c>
      <c r="G3563" s="611">
        <v>27365</v>
      </c>
      <c r="H3563" s="611">
        <v>2353735.5478899996</v>
      </c>
      <c r="I3563" s="611">
        <v>18</v>
      </c>
      <c r="J3563" s="611">
        <v>34480.465070000042</v>
      </c>
      <c r="K3563" s="611">
        <v>27347</v>
      </c>
      <c r="L3563" s="611">
        <v>2319255.0828200001</v>
      </c>
      <c r="M3563" s="611">
        <v>2319255.0828200001</v>
      </c>
      <c r="N3563" s="611">
        <v>583752.92999999993</v>
      </c>
      <c r="O3563" s="611">
        <v>0</v>
      </c>
      <c r="P3563" s="611">
        <v>1735502.15282</v>
      </c>
      <c r="Q3563" s="611">
        <v>1735502.1528199997</v>
      </c>
    </row>
    <row r="3564" spans="1:111" ht="15">
      <c r="A3564" s="611"/>
      <c r="B3564" s="611"/>
      <c r="C3564" s="611" t="s">
        <v>1197</v>
      </c>
      <c r="D3564" s="611">
        <v>1807512.2705099999</v>
      </c>
      <c r="E3564" s="611">
        <v>483708.80999999994</v>
      </c>
      <c r="F3564" s="611">
        <v>1323803.4605100001</v>
      </c>
      <c r="G3564" s="611">
        <v>23166</v>
      </c>
      <c r="H3564" s="611">
        <v>1832190.79112</v>
      </c>
      <c r="I3564" s="611">
        <v>-2</v>
      </c>
      <c r="J3564" s="611">
        <v>24678.520610000036</v>
      </c>
      <c r="K3564" s="611">
        <v>23168</v>
      </c>
      <c r="L3564" s="611">
        <v>1807512.2705099999</v>
      </c>
      <c r="M3564" s="611">
        <v>1807512.2705099999</v>
      </c>
      <c r="N3564" s="611">
        <v>483708.80999999994</v>
      </c>
      <c r="O3564" s="611">
        <v>0</v>
      </c>
      <c r="Q3564" s="611">
        <v>1323803.4191099999</v>
      </c>
      <c r="BD3564" s="611">
        <v>1323803.4605099999</v>
      </c>
    </row>
    <row r="3565" spans="1:111" ht="15">
      <c r="A3565" s="611"/>
      <c r="B3565" s="611"/>
      <c r="C3565" s="611" t="s">
        <v>1198</v>
      </c>
      <c r="D3565" s="611">
        <v>190907.38563</v>
      </c>
      <c r="E3565" s="611">
        <v>8916.48</v>
      </c>
      <c r="F3565" s="611">
        <v>181990.90562999999</v>
      </c>
      <c r="G3565" s="611">
        <v>467</v>
      </c>
      <c r="H3565" s="611">
        <v>188111.75771999999</v>
      </c>
      <c r="I3565" s="611">
        <v>0</v>
      </c>
      <c r="J3565" s="611">
        <v>-2795.6279099999974</v>
      </c>
      <c r="K3565" s="611">
        <v>467</v>
      </c>
      <c r="L3565" s="611">
        <v>190907.38563</v>
      </c>
      <c r="M3565" s="611">
        <v>190907.38563</v>
      </c>
      <c r="N3565" s="611">
        <v>8916.48</v>
      </c>
      <c r="O3565" s="611">
        <v>0</v>
      </c>
      <c r="P3565" s="611">
        <v>181990.90562999999</v>
      </c>
      <c r="Q3565" s="611">
        <v>181990.94724000001</v>
      </c>
    </row>
    <row r="3566" spans="1:111" ht="15">
      <c r="A3566" s="611"/>
      <c r="B3566" s="611"/>
      <c r="C3566" s="611" t="s">
        <v>1199</v>
      </c>
      <c r="D3566" s="611">
        <v>320835.42667999998</v>
      </c>
      <c r="E3566" s="611">
        <v>91127.64</v>
      </c>
      <c r="F3566" s="611">
        <v>229707.78667999996</v>
      </c>
      <c r="G3566" s="611">
        <v>3732</v>
      </c>
      <c r="H3566" s="611">
        <v>333432.99904999993</v>
      </c>
      <c r="I3566" s="611">
        <v>20</v>
      </c>
      <c r="J3566" s="611">
        <v>12597.57237</v>
      </c>
      <c r="K3566" s="611">
        <v>3712</v>
      </c>
      <c r="L3566" s="611">
        <v>320835.42668000003</v>
      </c>
      <c r="M3566" s="611">
        <v>320835.42668000003</v>
      </c>
      <c r="N3566" s="611">
        <v>91127.64</v>
      </c>
      <c r="O3566" s="611">
        <v>0</v>
      </c>
      <c r="P3566" s="611">
        <v>229707.78668000002</v>
      </c>
      <c r="Q3566" s="611">
        <v>229707.78647000002</v>
      </c>
    </row>
    <row r="3567" spans="1:111" ht="15">
      <c r="A3567" s="611">
        <v>2</v>
      </c>
      <c r="B3567" s="611" t="s">
        <v>1539</v>
      </c>
      <c r="C3567" s="611" t="s">
        <v>1267</v>
      </c>
      <c r="D3567" s="611">
        <v>298600.87602000003</v>
      </c>
      <c r="E3567" s="611">
        <v>89583.93</v>
      </c>
      <c r="F3567" s="611">
        <v>209016.94602000003</v>
      </c>
      <c r="G3567" s="611">
        <v>4964</v>
      </c>
      <c r="H3567" s="611">
        <v>302710.23123999999</v>
      </c>
      <c r="I3567" s="611">
        <v>0</v>
      </c>
      <c r="J3567" s="611">
        <v>4109.355230000001</v>
      </c>
      <c r="K3567" s="611">
        <v>4964</v>
      </c>
      <c r="L3567" s="611">
        <v>298600.87601000001</v>
      </c>
      <c r="M3567" s="611">
        <v>298600.87601000001</v>
      </c>
      <c r="N3567" s="611">
        <v>89583.93</v>
      </c>
      <c r="O3567" s="611">
        <v>0</v>
      </c>
      <c r="P3567" s="611">
        <v>209016.94601000001</v>
      </c>
      <c r="Q3567" s="611">
        <v>209016.94601000001</v>
      </c>
    </row>
    <row r="3568" spans="1:111" ht="15">
      <c r="A3568" s="611"/>
      <c r="B3568" s="611"/>
      <c r="C3568" s="611" t="s">
        <v>1197</v>
      </c>
      <c r="D3568" s="611">
        <v>277992.75232000003</v>
      </c>
      <c r="E3568" s="611">
        <v>86233.11</v>
      </c>
      <c r="F3568" s="611">
        <v>191759.64232000004</v>
      </c>
      <c r="G3568" s="611">
        <v>4280</v>
      </c>
      <c r="H3568" s="611">
        <v>281288.66226000001</v>
      </c>
      <c r="I3568" s="611">
        <v>0</v>
      </c>
      <c r="J3568" s="611">
        <v>3295.9099500000002</v>
      </c>
      <c r="K3568" s="611">
        <v>4280</v>
      </c>
      <c r="L3568" s="611">
        <v>277992.75231000001</v>
      </c>
      <c r="M3568" s="611">
        <v>277992.75231000001</v>
      </c>
      <c r="N3568" s="611">
        <v>86233.11</v>
      </c>
      <c r="O3568" s="611">
        <v>0</v>
      </c>
      <c r="Q3568" s="611">
        <v>191759.64231000002</v>
      </c>
      <c r="AL3568" s="611">
        <v>191759.64231000002</v>
      </c>
    </row>
    <row r="3569" spans="1:54" ht="15">
      <c r="A3569" s="611"/>
      <c r="B3569" s="611"/>
      <c r="C3569" s="611" t="s">
        <v>1198</v>
      </c>
      <c r="D3569" s="611">
        <v>10457.94989</v>
      </c>
      <c r="E3569" s="611">
        <v>312.14999999999998</v>
      </c>
      <c r="F3569" s="611">
        <v>10145.79989</v>
      </c>
      <c r="G3569" s="611">
        <v>33</v>
      </c>
      <c r="H3569" s="611">
        <v>11217.519270000001</v>
      </c>
      <c r="I3569" s="611">
        <v>0</v>
      </c>
      <c r="J3569" s="611">
        <v>759.56938000000048</v>
      </c>
      <c r="K3569" s="611">
        <v>33</v>
      </c>
      <c r="L3569" s="611">
        <v>10457.94989</v>
      </c>
      <c r="M3569" s="611">
        <v>10457.94989</v>
      </c>
      <c r="N3569" s="611">
        <v>312.14999999999998</v>
      </c>
      <c r="O3569" s="611">
        <v>0</v>
      </c>
      <c r="P3569" s="611">
        <v>10145.799889999998</v>
      </c>
      <c r="Q3569" s="611">
        <v>10145.799889999998</v>
      </c>
    </row>
    <row r="3570" spans="1:54" ht="15">
      <c r="A3570" s="611"/>
      <c r="B3570" s="611"/>
      <c r="C3570" s="611" t="s">
        <v>1199</v>
      </c>
      <c r="D3570" s="611">
        <v>10150.17381</v>
      </c>
      <c r="E3570" s="611">
        <v>3038.6699999999996</v>
      </c>
      <c r="F3570" s="611">
        <v>7111.5038100000002</v>
      </c>
      <c r="G3570" s="611">
        <v>651</v>
      </c>
      <c r="H3570" s="611">
        <v>10204.049710000001</v>
      </c>
      <c r="I3570" s="611">
        <v>0</v>
      </c>
      <c r="J3570" s="611">
        <v>53.875900000000115</v>
      </c>
      <c r="K3570" s="611">
        <v>651</v>
      </c>
      <c r="L3570" s="611">
        <v>10150.17381</v>
      </c>
      <c r="M3570" s="611">
        <v>10150.17381</v>
      </c>
      <c r="N3570" s="611">
        <v>3038.6699999999996</v>
      </c>
      <c r="O3570" s="611">
        <v>0</v>
      </c>
      <c r="P3570" s="611">
        <v>7111.503810000002</v>
      </c>
      <c r="Q3570" s="611">
        <v>7111.503810000002</v>
      </c>
    </row>
    <row r="3571" spans="1:54" ht="15">
      <c r="A3571" s="611">
        <v>3</v>
      </c>
      <c r="B3571" s="611" t="s">
        <v>1540</v>
      </c>
      <c r="C3571" s="611" t="s">
        <v>1267</v>
      </c>
      <c r="D3571" s="611">
        <v>115810.17143</v>
      </c>
      <c r="E3571" s="611">
        <v>34353.659999999996</v>
      </c>
      <c r="F3571" s="611">
        <v>81456.511429999999</v>
      </c>
      <c r="G3571" s="611">
        <v>2019</v>
      </c>
      <c r="H3571" s="611">
        <v>116603.47731</v>
      </c>
      <c r="I3571" s="611">
        <v>1</v>
      </c>
      <c r="J3571" s="611">
        <v>793.30587000000037</v>
      </c>
      <c r="K3571" s="611">
        <v>2018</v>
      </c>
      <c r="L3571" s="611">
        <v>115810.17144000001</v>
      </c>
      <c r="M3571" s="611">
        <v>115810.17144000001</v>
      </c>
      <c r="N3571" s="611">
        <v>34353.659999999996</v>
      </c>
      <c r="O3571" s="611">
        <v>0</v>
      </c>
      <c r="P3571" s="611">
        <v>81456.511440000002</v>
      </c>
      <c r="Q3571" s="611">
        <v>81456.511440000002</v>
      </c>
    </row>
    <row r="3572" spans="1:54" ht="15">
      <c r="A3572" s="611"/>
      <c r="B3572" s="611"/>
      <c r="C3572" s="611" t="s">
        <v>1197</v>
      </c>
      <c r="D3572" s="611">
        <v>111027.79466</v>
      </c>
      <c r="E3572" s="611">
        <v>32915.699999999997</v>
      </c>
      <c r="F3572" s="611">
        <v>78112.094660000002</v>
      </c>
      <c r="G3572" s="611">
        <v>1624</v>
      </c>
      <c r="H3572" s="611">
        <v>111814.36622</v>
      </c>
      <c r="I3572" s="611">
        <v>1</v>
      </c>
      <c r="J3572" s="611">
        <v>786.57156000000032</v>
      </c>
      <c r="K3572" s="611">
        <v>1623</v>
      </c>
      <c r="L3572" s="611">
        <v>111027.79466</v>
      </c>
      <c r="M3572" s="611">
        <v>111027.79466</v>
      </c>
      <c r="N3572" s="611">
        <v>32915.699999999997</v>
      </c>
      <c r="O3572" s="611">
        <v>0</v>
      </c>
      <c r="Q3572" s="611">
        <v>78112.09534</v>
      </c>
      <c r="AL3572" s="611">
        <v>78112.094660000002</v>
      </c>
    </row>
    <row r="3573" spans="1:54" ht="15">
      <c r="A3573" s="611"/>
      <c r="B3573" s="611"/>
      <c r="C3573" s="611" t="s">
        <v>1198</v>
      </c>
      <c r="D3573" s="611">
        <v>0</v>
      </c>
      <c r="E3573" s="611">
        <v>0</v>
      </c>
      <c r="F3573" s="611">
        <v>0</v>
      </c>
      <c r="G3573" s="611">
        <v>0</v>
      </c>
      <c r="H3573" s="611">
        <v>0</v>
      </c>
      <c r="I3573" s="611">
        <v>0</v>
      </c>
      <c r="J3573" s="611">
        <v>0</v>
      </c>
      <c r="K3573" s="611">
        <v>0</v>
      </c>
      <c r="L3573" s="611">
        <v>0</v>
      </c>
      <c r="M3573" s="611">
        <v>0</v>
      </c>
      <c r="N3573" s="611">
        <v>0</v>
      </c>
      <c r="O3573" s="611">
        <v>0</v>
      </c>
      <c r="P3573" s="611">
        <v>0</v>
      </c>
      <c r="Q3573" s="611">
        <v>0</v>
      </c>
    </row>
    <row r="3574" spans="1:54" ht="15">
      <c r="A3574" s="611"/>
      <c r="B3574" s="611"/>
      <c r="C3574" s="611" t="s">
        <v>1199</v>
      </c>
      <c r="D3574" s="611">
        <v>4782.3767699999999</v>
      </c>
      <c r="E3574" s="611">
        <v>1437.9599999999998</v>
      </c>
      <c r="F3574" s="611">
        <v>3344.4167699999998</v>
      </c>
      <c r="G3574" s="611">
        <v>395</v>
      </c>
      <c r="H3574" s="611">
        <v>4789.1110900000003</v>
      </c>
      <c r="I3574" s="611">
        <v>0</v>
      </c>
      <c r="J3574" s="611">
        <v>6.734310000000022</v>
      </c>
      <c r="K3574" s="611">
        <v>395</v>
      </c>
      <c r="L3574" s="611">
        <v>4782.3767800000005</v>
      </c>
      <c r="M3574" s="611">
        <v>4782.3767800000005</v>
      </c>
      <c r="N3574" s="611">
        <v>1437.9599999999998</v>
      </c>
      <c r="O3574" s="611">
        <v>0</v>
      </c>
      <c r="P3574" s="611">
        <v>3344.4167800000005</v>
      </c>
      <c r="Q3574" s="611">
        <v>3344.4161000000004</v>
      </c>
    </row>
    <row r="3575" spans="1:54" ht="15">
      <c r="A3575" s="611">
        <v>4</v>
      </c>
      <c r="B3575" s="611" t="s">
        <v>1541</v>
      </c>
      <c r="C3575" s="611" t="s">
        <v>1267</v>
      </c>
      <c r="D3575" s="611">
        <v>591931.1812300001</v>
      </c>
      <c r="E3575" s="611">
        <v>176131.86</v>
      </c>
      <c r="F3575" s="611">
        <v>415799.32123000006</v>
      </c>
      <c r="G3575" s="611">
        <v>8719</v>
      </c>
      <c r="H3575" s="611">
        <v>602713.39942999999</v>
      </c>
      <c r="I3575" s="611">
        <v>24</v>
      </c>
      <c r="J3575" s="611">
        <v>10795.88444000002</v>
      </c>
      <c r="K3575" s="611">
        <v>8695</v>
      </c>
      <c r="L3575" s="611">
        <v>591917.51499000005</v>
      </c>
      <c r="M3575" s="611">
        <v>591917.51499000005</v>
      </c>
      <c r="N3575" s="611">
        <v>176131.86</v>
      </c>
      <c r="O3575" s="611">
        <v>0</v>
      </c>
      <c r="P3575" s="611">
        <v>415785.65499000001</v>
      </c>
      <c r="Q3575" s="611">
        <v>415785.65499000001</v>
      </c>
    </row>
    <row r="3576" spans="1:54" ht="15">
      <c r="A3576" s="611"/>
      <c r="B3576" s="611"/>
      <c r="C3576" s="611" t="s">
        <v>1197</v>
      </c>
      <c r="D3576" s="611">
        <v>569611.12773000007</v>
      </c>
      <c r="E3576" s="611">
        <v>169617.12</v>
      </c>
      <c r="F3576" s="611">
        <v>399994.00773000007</v>
      </c>
      <c r="G3576" s="611">
        <v>7268</v>
      </c>
      <c r="H3576" s="611">
        <v>580111.35548000003</v>
      </c>
      <c r="I3576" s="611">
        <v>9</v>
      </c>
      <c r="J3576" s="611">
        <v>10513.893990000019</v>
      </c>
      <c r="K3576" s="611">
        <v>7259</v>
      </c>
      <c r="L3576" s="611">
        <v>569597.46149000002</v>
      </c>
      <c r="M3576" s="611">
        <v>569597.46149000002</v>
      </c>
      <c r="N3576" s="611">
        <v>169617.12</v>
      </c>
      <c r="O3576" s="611">
        <v>0</v>
      </c>
      <c r="Q3576" s="611">
        <v>399980.34137000004</v>
      </c>
      <c r="AL3576" s="611">
        <v>399980.34149000002</v>
      </c>
    </row>
    <row r="3577" spans="1:54" ht="15">
      <c r="A3577" s="611"/>
      <c r="B3577" s="611"/>
      <c r="C3577" s="611" t="s">
        <v>1198</v>
      </c>
      <c r="D3577" s="611">
        <v>0</v>
      </c>
      <c r="E3577" s="611">
        <v>0</v>
      </c>
      <c r="F3577" s="611">
        <v>0</v>
      </c>
      <c r="G3577" s="611">
        <v>0</v>
      </c>
      <c r="H3577" s="611">
        <v>0</v>
      </c>
      <c r="I3577" s="611">
        <v>0</v>
      </c>
      <c r="J3577" s="611">
        <v>0</v>
      </c>
      <c r="K3577" s="611">
        <v>0</v>
      </c>
      <c r="L3577" s="611">
        <v>0</v>
      </c>
      <c r="M3577" s="611">
        <v>0</v>
      </c>
      <c r="N3577" s="611">
        <v>0</v>
      </c>
      <c r="O3577" s="611">
        <v>0</v>
      </c>
      <c r="P3577" s="611">
        <v>0</v>
      </c>
      <c r="Q3577" s="611">
        <v>0</v>
      </c>
    </row>
    <row r="3578" spans="1:54" ht="15">
      <c r="A3578" s="611"/>
      <c r="B3578" s="611"/>
      <c r="C3578" s="611" t="s">
        <v>1199</v>
      </c>
      <c r="D3578" s="611">
        <v>22320.053499999998</v>
      </c>
      <c r="E3578" s="611">
        <v>6514.74</v>
      </c>
      <c r="F3578" s="611">
        <v>15805.313499999998</v>
      </c>
      <c r="G3578" s="611">
        <v>1451</v>
      </c>
      <c r="H3578" s="611">
        <v>22602.043949999999</v>
      </c>
      <c r="I3578" s="611">
        <v>15</v>
      </c>
      <c r="J3578" s="611">
        <v>281.99045000000024</v>
      </c>
      <c r="K3578" s="611">
        <v>1436</v>
      </c>
      <c r="L3578" s="611">
        <v>22320.053500000002</v>
      </c>
      <c r="M3578" s="611">
        <v>22320.053500000002</v>
      </c>
      <c r="N3578" s="611">
        <v>6514.74</v>
      </c>
      <c r="O3578" s="611">
        <v>0</v>
      </c>
      <c r="P3578" s="611">
        <v>15805.313499999998</v>
      </c>
      <c r="Q3578" s="611">
        <v>15805.313619999999</v>
      </c>
    </row>
    <row r="3579" spans="1:54" ht="15">
      <c r="A3579" s="611">
        <v>5</v>
      </c>
      <c r="B3579" s="611" t="s">
        <v>1542</v>
      </c>
      <c r="C3579" s="611" t="s">
        <v>1267</v>
      </c>
      <c r="D3579" s="611">
        <v>298603.00020000007</v>
      </c>
      <c r="E3579" s="611">
        <v>89201.19</v>
      </c>
      <c r="F3579" s="611">
        <v>209401.81020000007</v>
      </c>
      <c r="G3579" s="611">
        <v>5839</v>
      </c>
      <c r="H3579" s="611">
        <v>312372.69433999999</v>
      </c>
      <c r="I3579" s="611">
        <v>3</v>
      </c>
      <c r="J3579" s="611">
        <v>13769.694170000006</v>
      </c>
      <c r="K3579" s="611">
        <v>5836</v>
      </c>
      <c r="L3579" s="611">
        <v>298603.00017000001</v>
      </c>
      <c r="M3579" s="611">
        <v>298603.00017000001</v>
      </c>
      <c r="N3579" s="611">
        <v>89201.19</v>
      </c>
      <c r="O3579" s="611">
        <v>0</v>
      </c>
      <c r="P3579" s="611">
        <v>209401.81017000001</v>
      </c>
      <c r="Q3579" s="611">
        <v>209401.81017000001</v>
      </c>
    </row>
    <row r="3580" spans="1:54" ht="15">
      <c r="A3580" s="611"/>
      <c r="B3580" s="611"/>
      <c r="C3580" s="611" t="s">
        <v>1197</v>
      </c>
      <c r="D3580" s="611">
        <v>292242.27488000004</v>
      </c>
      <c r="E3580" s="611">
        <v>87494.61</v>
      </c>
      <c r="F3580" s="611">
        <v>204747.66488000005</v>
      </c>
      <c r="G3580" s="611">
        <v>5366</v>
      </c>
      <c r="H3580" s="611">
        <v>305965.41347999999</v>
      </c>
      <c r="I3580" s="611">
        <v>3</v>
      </c>
      <c r="J3580" s="611">
        <v>13723.138630000007</v>
      </c>
      <c r="K3580" s="611">
        <v>5363</v>
      </c>
      <c r="L3580" s="611">
        <v>292242.27484999999</v>
      </c>
      <c r="M3580" s="611">
        <v>292242.27484999999</v>
      </c>
      <c r="N3580" s="611">
        <v>87494.61</v>
      </c>
      <c r="O3580" s="611">
        <v>0</v>
      </c>
      <c r="Q3580" s="611">
        <v>204747.66511</v>
      </c>
      <c r="BB3580" s="611">
        <v>204747.66485</v>
      </c>
    </row>
    <row r="3581" spans="1:54" ht="15">
      <c r="A3581" s="611"/>
      <c r="B3581" s="611"/>
      <c r="C3581" s="611" t="s">
        <v>1198</v>
      </c>
      <c r="D3581" s="611">
        <v>0</v>
      </c>
      <c r="E3581" s="611">
        <v>0</v>
      </c>
      <c r="F3581" s="611">
        <v>0</v>
      </c>
      <c r="G3581" s="611">
        <v>0</v>
      </c>
      <c r="H3581" s="611">
        <v>0</v>
      </c>
      <c r="I3581" s="611">
        <v>0</v>
      </c>
      <c r="J3581" s="611">
        <v>0</v>
      </c>
      <c r="K3581" s="611">
        <v>0</v>
      </c>
      <c r="L3581" s="611">
        <v>0</v>
      </c>
      <c r="M3581" s="611">
        <v>0</v>
      </c>
      <c r="N3581" s="611">
        <v>0</v>
      </c>
      <c r="O3581" s="611">
        <v>0</v>
      </c>
      <c r="P3581" s="611">
        <v>0</v>
      </c>
      <c r="Q3581" s="611">
        <v>0</v>
      </c>
    </row>
    <row r="3582" spans="1:54" ht="15">
      <c r="A3582" s="611"/>
      <c r="B3582" s="611"/>
      <c r="C3582" s="611" t="s">
        <v>1199</v>
      </c>
      <c r="D3582" s="611">
        <v>6360.7253200000005</v>
      </c>
      <c r="E3582" s="611">
        <v>1706.5800000000002</v>
      </c>
      <c r="F3582" s="611">
        <v>4654.1453200000005</v>
      </c>
      <c r="G3582" s="611">
        <v>473</v>
      </c>
      <c r="H3582" s="611">
        <v>6407.2808600000017</v>
      </c>
      <c r="I3582" s="611">
        <v>0</v>
      </c>
      <c r="J3582" s="611">
        <v>46.555540000000178</v>
      </c>
      <c r="K3582" s="611">
        <v>473</v>
      </c>
      <c r="L3582" s="611">
        <v>6360.7253200000005</v>
      </c>
      <c r="M3582" s="611">
        <v>6360.7253200000005</v>
      </c>
      <c r="N3582" s="611">
        <v>1706.5800000000002</v>
      </c>
      <c r="O3582" s="611">
        <v>0</v>
      </c>
      <c r="P3582" s="611">
        <v>4654.1453200000005</v>
      </c>
      <c r="Q3582" s="611">
        <v>4654.1450600000007</v>
      </c>
    </row>
    <row r="3583" spans="1:54" ht="15">
      <c r="A3583" s="611">
        <v>6</v>
      </c>
      <c r="B3583" s="611" t="s">
        <v>1543</v>
      </c>
      <c r="C3583" s="611" t="s">
        <v>1267</v>
      </c>
      <c r="D3583" s="611">
        <v>1110217.6346400001</v>
      </c>
      <c r="E3583" s="611">
        <v>242790.54</v>
      </c>
      <c r="F3583" s="611">
        <v>867427.09464000002</v>
      </c>
      <c r="G3583" s="611">
        <v>4576</v>
      </c>
      <c r="H3583" s="611">
        <v>1171975.9493318999</v>
      </c>
      <c r="I3583" s="611">
        <v>21</v>
      </c>
      <c r="J3583" s="611">
        <v>61758.31470190001</v>
      </c>
      <c r="K3583" s="611">
        <v>4555</v>
      </c>
      <c r="L3583" s="611">
        <v>1110217.63463</v>
      </c>
      <c r="M3583" s="611">
        <v>1110217.63463</v>
      </c>
      <c r="N3583" s="611">
        <v>242790.54</v>
      </c>
      <c r="O3583" s="611">
        <v>0</v>
      </c>
      <c r="P3583" s="611">
        <v>867427.09462999995</v>
      </c>
      <c r="Q3583" s="611">
        <v>867427.09462999983</v>
      </c>
    </row>
    <row r="3584" spans="1:54" ht="15">
      <c r="A3584" s="611"/>
      <c r="B3584" s="611"/>
      <c r="C3584" s="611" t="s">
        <v>1197</v>
      </c>
      <c r="D3584" s="611">
        <v>587450.03957000002</v>
      </c>
      <c r="E3584" s="611">
        <v>155859.03</v>
      </c>
      <c r="F3584" s="611">
        <v>431591.00956999999</v>
      </c>
      <c r="G3584" s="611">
        <v>3943</v>
      </c>
      <c r="H3584" s="611">
        <v>617978.00600000005</v>
      </c>
      <c r="I3584" s="611">
        <v>16</v>
      </c>
      <c r="J3584" s="611">
        <v>30527.96643</v>
      </c>
      <c r="K3584" s="611">
        <v>3927</v>
      </c>
      <c r="L3584" s="611">
        <v>587450.03957000002</v>
      </c>
      <c r="M3584" s="611">
        <v>587450.03957000002</v>
      </c>
      <c r="N3584" s="611">
        <v>155859.03</v>
      </c>
      <c r="O3584" s="611">
        <v>0</v>
      </c>
      <c r="Q3584" s="611">
        <v>431591.0101999999</v>
      </c>
      <c r="AX3584" s="611">
        <v>431591.00956999999</v>
      </c>
    </row>
    <row r="3585" spans="1:54" ht="15">
      <c r="A3585" s="611"/>
      <c r="B3585" s="611"/>
      <c r="C3585" s="611" t="s">
        <v>1198</v>
      </c>
      <c r="D3585" s="611">
        <v>519108.54232000001</v>
      </c>
      <c r="E3585" s="611">
        <v>85980.42</v>
      </c>
      <c r="F3585" s="611">
        <v>433128.12232000002</v>
      </c>
      <c r="G3585" s="611">
        <v>463</v>
      </c>
      <c r="H3585" s="611">
        <v>550236.35964000004</v>
      </c>
      <c r="I3585" s="611">
        <v>3</v>
      </c>
      <c r="J3585" s="611">
        <v>31127.817320000009</v>
      </c>
      <c r="K3585" s="611">
        <v>460</v>
      </c>
      <c r="L3585" s="611">
        <v>519108.54232000007</v>
      </c>
      <c r="M3585" s="611">
        <v>519108.54232000007</v>
      </c>
      <c r="N3585" s="611">
        <v>85980.42</v>
      </c>
      <c r="O3585" s="611">
        <v>0</v>
      </c>
      <c r="P3585" s="611">
        <v>433128.12231999997</v>
      </c>
      <c r="Q3585" s="611">
        <v>433128.12218000001</v>
      </c>
    </row>
    <row r="3586" spans="1:54" ht="15">
      <c r="A3586" s="611"/>
      <c r="B3586" s="611"/>
      <c r="C3586" s="611" t="s">
        <v>1199</v>
      </c>
      <c r="D3586" s="611">
        <v>3659.0527500000003</v>
      </c>
      <c r="E3586" s="611">
        <v>951.09</v>
      </c>
      <c r="F3586" s="611">
        <v>2707.9627500000001</v>
      </c>
      <c r="G3586" s="611">
        <v>170</v>
      </c>
      <c r="H3586" s="611">
        <v>3761.5836919000003</v>
      </c>
      <c r="I3586" s="611">
        <v>2</v>
      </c>
      <c r="J3586" s="611">
        <v>102.53095189999993</v>
      </c>
      <c r="K3586" s="611">
        <v>168</v>
      </c>
      <c r="L3586" s="611">
        <v>3659.0527400000001</v>
      </c>
      <c r="M3586" s="611">
        <v>3659.0527400000001</v>
      </c>
      <c r="N3586" s="611">
        <v>951.09</v>
      </c>
      <c r="O3586" s="611">
        <v>0</v>
      </c>
      <c r="P3586" s="611">
        <v>2707.9627399999999</v>
      </c>
      <c r="Q3586" s="611">
        <v>2707.96225</v>
      </c>
    </row>
    <row r="3587" spans="1:54" ht="15">
      <c r="A3587" s="611">
        <v>7</v>
      </c>
      <c r="B3587" s="611" t="s">
        <v>1544</v>
      </c>
      <c r="C3587" s="611" t="s">
        <v>1267</v>
      </c>
      <c r="D3587" s="611">
        <v>693869.59195000003</v>
      </c>
      <c r="E3587" s="611">
        <v>194773.80000000002</v>
      </c>
      <c r="F3587" s="611">
        <v>499095.79194999998</v>
      </c>
      <c r="G3587" s="611">
        <v>12043</v>
      </c>
      <c r="H3587" s="611">
        <v>717582.55995999987</v>
      </c>
      <c r="I3587" s="611">
        <v>59</v>
      </c>
      <c r="J3587" s="611">
        <v>23712.968009999902</v>
      </c>
      <c r="K3587" s="611">
        <v>11984</v>
      </c>
      <c r="L3587" s="611">
        <v>693869.59195000003</v>
      </c>
      <c r="M3587" s="611">
        <v>693869.59195000003</v>
      </c>
      <c r="N3587" s="611">
        <v>194773.80000000002</v>
      </c>
      <c r="O3587" s="611">
        <v>0</v>
      </c>
      <c r="P3587" s="611">
        <v>499095.79194999993</v>
      </c>
      <c r="Q3587" s="611">
        <v>499095.79194999998</v>
      </c>
    </row>
    <row r="3588" spans="1:54" ht="15">
      <c r="A3588" s="611"/>
      <c r="B3588" s="611"/>
      <c r="C3588" s="611" t="s">
        <v>1197</v>
      </c>
      <c r="D3588" s="611">
        <v>665297.05692</v>
      </c>
      <c r="E3588" s="611">
        <v>193140</v>
      </c>
      <c r="F3588" s="611">
        <v>472157.05692</v>
      </c>
      <c r="G3588" s="611">
        <v>11336</v>
      </c>
      <c r="H3588" s="611">
        <v>687546.80949999986</v>
      </c>
      <c r="I3588" s="611">
        <v>59</v>
      </c>
      <c r="J3588" s="611">
        <v>22249.752579999902</v>
      </c>
      <c r="K3588" s="611">
        <v>11277</v>
      </c>
      <c r="L3588" s="611">
        <v>665297.05692</v>
      </c>
      <c r="M3588" s="611">
        <v>665297.05692</v>
      </c>
      <c r="N3588" s="611">
        <v>193140</v>
      </c>
      <c r="O3588" s="611">
        <v>0</v>
      </c>
      <c r="Q3588" s="611">
        <v>472157.05691999994</v>
      </c>
      <c r="BB3588" s="611">
        <v>472157.05691999994</v>
      </c>
    </row>
    <row r="3589" spans="1:54" ht="15">
      <c r="A3589" s="611"/>
      <c r="B3589" s="611"/>
      <c r="C3589" s="611" t="s">
        <v>1198</v>
      </c>
      <c r="D3589" s="611">
        <v>16138.40711</v>
      </c>
      <c r="E3589" s="611">
        <v>508.28999999999996</v>
      </c>
      <c r="F3589" s="611">
        <v>15630.117109999999</v>
      </c>
      <c r="G3589" s="611">
        <v>54</v>
      </c>
      <c r="H3589" s="611">
        <v>17316.222110000002</v>
      </c>
      <c r="I3589" s="611">
        <v>0</v>
      </c>
      <c r="J3589" s="611">
        <v>1177.8149999999996</v>
      </c>
      <c r="K3589" s="611">
        <v>54</v>
      </c>
      <c r="L3589" s="611">
        <v>16138.40711</v>
      </c>
      <c r="M3589" s="611">
        <v>16138.40711</v>
      </c>
      <c r="N3589" s="611">
        <v>508.28999999999996</v>
      </c>
      <c r="O3589" s="611">
        <v>0</v>
      </c>
      <c r="P3589" s="611">
        <v>15630.117109999999</v>
      </c>
      <c r="Q3589" s="611">
        <v>15630.116899999999</v>
      </c>
    </row>
    <row r="3590" spans="1:54" ht="15">
      <c r="A3590" s="611"/>
      <c r="B3590" s="611"/>
      <c r="C3590" s="611" t="s">
        <v>1199</v>
      </c>
      <c r="D3590" s="611">
        <v>12434.127920000001</v>
      </c>
      <c r="E3590" s="611">
        <v>1125.51</v>
      </c>
      <c r="F3590" s="611">
        <v>11308.617920000001</v>
      </c>
      <c r="G3590" s="611">
        <v>653</v>
      </c>
      <c r="H3590" s="611">
        <v>12719.528349999999</v>
      </c>
      <c r="I3590" s="611">
        <v>0</v>
      </c>
      <c r="J3590" s="611">
        <v>285.40042999999986</v>
      </c>
      <c r="K3590" s="611">
        <v>653</v>
      </c>
      <c r="L3590" s="611">
        <v>12434.127920000003</v>
      </c>
      <c r="M3590" s="611">
        <v>12434.127920000003</v>
      </c>
      <c r="N3590" s="611">
        <v>1125.51</v>
      </c>
      <c r="O3590" s="611">
        <v>0</v>
      </c>
      <c r="P3590" s="611">
        <v>11308.617920000001</v>
      </c>
      <c r="Q3590" s="611">
        <v>11308.618129999999</v>
      </c>
    </row>
    <row r="3591" spans="1:54" ht="15">
      <c r="A3591" s="611">
        <v>8</v>
      </c>
      <c r="B3591" s="611" t="s">
        <v>1545</v>
      </c>
      <c r="C3591" s="611" t="s">
        <v>1267</v>
      </c>
      <c r="D3591" s="611">
        <v>52247.352540000007</v>
      </c>
      <c r="E3591" s="611">
        <v>15587.4</v>
      </c>
      <c r="F3591" s="611">
        <v>36659.952540000006</v>
      </c>
      <c r="G3591" s="611">
        <v>1179</v>
      </c>
      <c r="H3591" s="611">
        <v>52585.614200000004</v>
      </c>
      <c r="I3591" s="611">
        <v>2</v>
      </c>
      <c r="J3591" s="611">
        <v>338.26167000000061</v>
      </c>
      <c r="K3591" s="611">
        <v>1177</v>
      </c>
      <c r="L3591" s="611">
        <v>52247.352530000004</v>
      </c>
      <c r="M3591" s="611">
        <v>52247.352530000004</v>
      </c>
      <c r="N3591" s="611">
        <v>15587.4</v>
      </c>
      <c r="O3591" s="611">
        <v>0</v>
      </c>
      <c r="P3591" s="611">
        <v>36659.95253000001</v>
      </c>
      <c r="Q3591" s="611">
        <v>36659.952530000002</v>
      </c>
    </row>
    <row r="3592" spans="1:54" ht="15">
      <c r="A3592" s="611"/>
      <c r="B3592" s="611"/>
      <c r="C3592" s="611" t="s">
        <v>1197</v>
      </c>
      <c r="D3592" s="611">
        <v>45287.541190000004</v>
      </c>
      <c r="E3592" s="611">
        <v>13766.699999999999</v>
      </c>
      <c r="F3592" s="611">
        <v>31520.841190000006</v>
      </c>
      <c r="G3592" s="611">
        <v>701</v>
      </c>
      <c r="H3592" s="611">
        <v>45595.755920000003</v>
      </c>
      <c r="I3592" s="611">
        <v>1</v>
      </c>
      <c r="J3592" s="611">
        <v>308.2147300000006</v>
      </c>
      <c r="K3592" s="611">
        <v>700</v>
      </c>
      <c r="L3592" s="611">
        <v>45287.541190000004</v>
      </c>
      <c r="M3592" s="611">
        <v>45287.541190000004</v>
      </c>
      <c r="N3592" s="611">
        <v>13766.699999999999</v>
      </c>
      <c r="O3592" s="611">
        <v>0</v>
      </c>
      <c r="Q3592" s="611">
        <v>31520.84173</v>
      </c>
      <c r="AY3592" s="611">
        <v>31520.841190000006</v>
      </c>
    </row>
    <row r="3593" spans="1:54" ht="15">
      <c r="A3593" s="611"/>
      <c r="B3593" s="611"/>
      <c r="C3593" s="611" t="s">
        <v>1198</v>
      </c>
      <c r="D3593" s="611">
        <v>0</v>
      </c>
      <c r="E3593" s="611">
        <v>0</v>
      </c>
      <c r="F3593" s="611">
        <v>0</v>
      </c>
      <c r="G3593" s="611">
        <v>0</v>
      </c>
      <c r="H3593" s="611">
        <v>0</v>
      </c>
      <c r="I3593" s="611">
        <v>0</v>
      </c>
      <c r="J3593" s="611">
        <v>0</v>
      </c>
      <c r="K3593" s="611">
        <v>0</v>
      </c>
      <c r="L3593" s="611">
        <v>0</v>
      </c>
      <c r="M3593" s="611">
        <v>0</v>
      </c>
      <c r="N3593" s="611">
        <v>0</v>
      </c>
      <c r="O3593" s="611">
        <v>0</v>
      </c>
      <c r="P3593" s="611">
        <v>0</v>
      </c>
      <c r="Q3593" s="611">
        <v>0</v>
      </c>
    </row>
    <row r="3594" spans="1:54" ht="15">
      <c r="A3594" s="611"/>
      <c r="B3594" s="611"/>
      <c r="C3594" s="611" t="s">
        <v>1199</v>
      </c>
      <c r="D3594" s="611">
        <v>6959.8113499999999</v>
      </c>
      <c r="E3594" s="611">
        <v>1820.7</v>
      </c>
      <c r="F3594" s="611">
        <v>5139.1113500000001</v>
      </c>
      <c r="G3594" s="611">
        <v>478</v>
      </c>
      <c r="H3594" s="611">
        <v>6989.8582800000013</v>
      </c>
      <c r="I3594" s="611">
        <v>1</v>
      </c>
      <c r="J3594" s="611">
        <v>30.046940000000006</v>
      </c>
      <c r="K3594" s="611">
        <v>477</v>
      </c>
      <c r="L3594" s="611">
        <v>6959.8113400000002</v>
      </c>
      <c r="M3594" s="611">
        <v>6959.8113400000002</v>
      </c>
      <c r="N3594" s="611">
        <v>1820.7</v>
      </c>
      <c r="O3594" s="611">
        <v>0</v>
      </c>
      <c r="P3594" s="611">
        <v>5139.1113399999995</v>
      </c>
      <c r="Q3594" s="611">
        <v>5139.1107999999995</v>
      </c>
    </row>
    <row r="3595" spans="1:54" ht="15">
      <c r="A3595" s="611">
        <v>9</v>
      </c>
      <c r="B3595" s="611" t="s">
        <v>1546</v>
      </c>
      <c r="C3595" s="611" t="s">
        <v>1267</v>
      </c>
      <c r="D3595" s="611">
        <v>165915.97720000002</v>
      </c>
      <c r="E3595" s="611">
        <v>49823.94</v>
      </c>
      <c r="F3595" s="611">
        <v>116092.03720000002</v>
      </c>
      <c r="G3595" s="611">
        <v>4121</v>
      </c>
      <c r="H3595" s="611">
        <v>174345.21647999997</v>
      </c>
      <c r="I3595" s="611">
        <v>9</v>
      </c>
      <c r="J3595" s="611">
        <v>8429.2392800000034</v>
      </c>
      <c r="K3595" s="611">
        <v>4112</v>
      </c>
      <c r="L3595" s="611">
        <v>165915.97719999999</v>
      </c>
      <c r="M3595" s="611">
        <v>165915.97719999999</v>
      </c>
      <c r="N3595" s="611">
        <v>49823.94</v>
      </c>
      <c r="O3595" s="611">
        <v>0</v>
      </c>
      <c r="P3595" s="611">
        <v>116092.03719999999</v>
      </c>
      <c r="Q3595" s="611">
        <v>116092.03719999999</v>
      </c>
    </row>
    <row r="3596" spans="1:54" ht="15">
      <c r="A3596" s="611"/>
      <c r="B3596" s="611"/>
      <c r="C3596" s="611" t="s">
        <v>1197</v>
      </c>
      <c r="D3596" s="611">
        <v>136211.54494000002</v>
      </c>
      <c r="E3596" s="611">
        <v>42064.08</v>
      </c>
      <c r="F3596" s="611">
        <v>94147.46494000002</v>
      </c>
      <c r="G3596" s="611">
        <v>2125</v>
      </c>
      <c r="H3596" s="611">
        <v>144366.73841999998</v>
      </c>
      <c r="I3596" s="611">
        <v>5</v>
      </c>
      <c r="J3596" s="611">
        <v>8155.1934800000045</v>
      </c>
      <c r="K3596" s="611">
        <v>2120</v>
      </c>
      <c r="L3596" s="611">
        <v>136211.54493999999</v>
      </c>
      <c r="M3596" s="611">
        <v>136211.54493999999</v>
      </c>
      <c r="N3596" s="611">
        <v>42064.08</v>
      </c>
      <c r="O3596" s="611">
        <v>0</v>
      </c>
      <c r="Q3596" s="611">
        <v>94147.464769999991</v>
      </c>
      <c r="AL3596" s="611">
        <v>94147.464939999991</v>
      </c>
    </row>
    <row r="3597" spans="1:54" ht="15">
      <c r="A3597" s="611"/>
      <c r="B3597" s="611"/>
      <c r="C3597" s="611" t="s">
        <v>1198</v>
      </c>
      <c r="D3597" s="611">
        <v>0</v>
      </c>
      <c r="E3597" s="611">
        <v>0</v>
      </c>
      <c r="F3597" s="611">
        <v>0</v>
      </c>
      <c r="G3597" s="611">
        <v>0</v>
      </c>
      <c r="H3597" s="611">
        <v>0</v>
      </c>
      <c r="I3597" s="611">
        <v>0</v>
      </c>
      <c r="J3597" s="611">
        <v>0</v>
      </c>
      <c r="K3597" s="611">
        <v>0</v>
      </c>
      <c r="L3597" s="611">
        <v>0</v>
      </c>
      <c r="M3597" s="611">
        <v>0</v>
      </c>
      <c r="N3597" s="611">
        <v>0</v>
      </c>
      <c r="O3597" s="611">
        <v>0</v>
      </c>
      <c r="P3597" s="611">
        <v>0</v>
      </c>
      <c r="Q3597" s="611">
        <v>0</v>
      </c>
    </row>
    <row r="3598" spans="1:54" ht="15">
      <c r="A3598" s="611"/>
      <c r="B3598" s="611"/>
      <c r="C3598" s="611" t="s">
        <v>1199</v>
      </c>
      <c r="D3598" s="611">
        <v>29704.432260000001</v>
      </c>
      <c r="E3598" s="611">
        <v>7759.86</v>
      </c>
      <c r="F3598" s="611">
        <v>21944.572260000001</v>
      </c>
      <c r="G3598" s="611">
        <v>1996</v>
      </c>
      <c r="H3598" s="611">
        <v>29978.478059999998</v>
      </c>
      <c r="I3598" s="611">
        <v>4</v>
      </c>
      <c r="J3598" s="611">
        <v>274.04579999999942</v>
      </c>
      <c r="K3598" s="611">
        <v>1992</v>
      </c>
      <c r="L3598" s="611">
        <v>29704.432259999994</v>
      </c>
      <c r="M3598" s="611">
        <v>29704.432259999994</v>
      </c>
      <c r="N3598" s="611">
        <v>7759.86</v>
      </c>
      <c r="O3598" s="611">
        <v>0</v>
      </c>
      <c r="P3598" s="611">
        <v>21944.572260000001</v>
      </c>
      <c r="Q3598" s="611">
        <v>21944.57243</v>
      </c>
    </row>
    <row r="3599" spans="1:54" ht="15">
      <c r="A3599" s="611">
        <v>10</v>
      </c>
      <c r="B3599" s="611" t="s">
        <v>1547</v>
      </c>
      <c r="C3599" s="611" t="s">
        <v>1267</v>
      </c>
      <c r="D3599" s="611">
        <v>63910.837520000001</v>
      </c>
      <c r="E3599" s="611">
        <v>19173.36</v>
      </c>
      <c r="F3599" s="611">
        <v>44737.47752</v>
      </c>
      <c r="G3599" s="611">
        <v>1869</v>
      </c>
      <c r="H3599" s="611">
        <v>69791.364480000004</v>
      </c>
      <c r="I3599" s="611">
        <v>4</v>
      </c>
      <c r="J3599" s="611">
        <v>5880.5269599999983</v>
      </c>
      <c r="K3599" s="611">
        <v>1865</v>
      </c>
      <c r="L3599" s="611">
        <v>63910.837519999994</v>
      </c>
      <c r="M3599" s="611">
        <v>63910.837519999994</v>
      </c>
      <c r="N3599" s="611">
        <v>19173.36</v>
      </c>
      <c r="O3599" s="611">
        <v>0</v>
      </c>
      <c r="P3599" s="611">
        <v>44737.47752</v>
      </c>
      <c r="Q3599" s="611">
        <v>44737.477519999993</v>
      </c>
    </row>
    <row r="3600" spans="1:54" ht="15">
      <c r="A3600" s="611"/>
      <c r="B3600" s="611"/>
      <c r="C3600" s="611" t="s">
        <v>1197</v>
      </c>
      <c r="D3600" s="611">
        <v>49142.366580000002</v>
      </c>
      <c r="E3600" s="611">
        <v>14485.65</v>
      </c>
      <c r="F3600" s="611">
        <v>34656.71658</v>
      </c>
      <c r="G3600" s="611">
        <v>810</v>
      </c>
      <c r="H3600" s="611">
        <v>54671.846339999996</v>
      </c>
      <c r="I3600" s="611">
        <v>4</v>
      </c>
      <c r="J3600" s="611">
        <v>5529.4797599999984</v>
      </c>
      <c r="K3600" s="611">
        <v>806</v>
      </c>
      <c r="L3600" s="611">
        <v>49142.366579999994</v>
      </c>
      <c r="M3600" s="611">
        <v>49142.366579999994</v>
      </c>
      <c r="N3600" s="611">
        <v>14485.65</v>
      </c>
      <c r="O3600" s="611">
        <v>0</v>
      </c>
      <c r="Q3600" s="611">
        <v>34656.716349999995</v>
      </c>
      <c r="AL3600" s="611">
        <v>34656.71658</v>
      </c>
    </row>
    <row r="3601" spans="1:38" ht="15">
      <c r="A3601" s="611"/>
      <c r="B3601" s="611"/>
      <c r="C3601" s="611" t="s">
        <v>1198</v>
      </c>
      <c r="D3601" s="611">
        <v>0</v>
      </c>
      <c r="E3601" s="611">
        <v>0</v>
      </c>
      <c r="F3601" s="611">
        <v>0</v>
      </c>
      <c r="G3601" s="611">
        <v>0</v>
      </c>
      <c r="H3601" s="611">
        <v>0</v>
      </c>
      <c r="I3601" s="611">
        <v>0</v>
      </c>
      <c r="J3601" s="611">
        <v>0</v>
      </c>
      <c r="K3601" s="611">
        <v>0</v>
      </c>
      <c r="L3601" s="611">
        <v>0</v>
      </c>
      <c r="M3601" s="611">
        <v>0</v>
      </c>
      <c r="N3601" s="611">
        <v>0</v>
      </c>
      <c r="O3601" s="611">
        <v>0</v>
      </c>
      <c r="P3601" s="611">
        <v>0</v>
      </c>
      <c r="Q3601" s="611">
        <v>0</v>
      </c>
    </row>
    <row r="3602" spans="1:38" ht="15">
      <c r="A3602" s="611"/>
      <c r="B3602" s="611"/>
      <c r="C3602" s="611" t="s">
        <v>1199</v>
      </c>
      <c r="D3602" s="611">
        <v>14768.470940000001</v>
      </c>
      <c r="E3602" s="611">
        <v>4687.71</v>
      </c>
      <c r="F3602" s="611">
        <v>10080.76094</v>
      </c>
      <c r="G3602" s="611">
        <v>1059</v>
      </c>
      <c r="H3602" s="611">
        <v>15119.518140000002</v>
      </c>
      <c r="I3602" s="611">
        <v>0</v>
      </c>
      <c r="J3602" s="611">
        <v>351.04719999999998</v>
      </c>
      <c r="K3602" s="611">
        <v>1059</v>
      </c>
      <c r="L3602" s="611">
        <v>14768.470940000001</v>
      </c>
      <c r="M3602" s="611">
        <v>14768.470940000001</v>
      </c>
      <c r="N3602" s="611">
        <v>4687.71</v>
      </c>
      <c r="O3602" s="611">
        <v>0</v>
      </c>
      <c r="P3602" s="611">
        <v>10080.76094</v>
      </c>
      <c r="Q3602" s="611">
        <v>10080.76117</v>
      </c>
    </row>
    <row r="3603" spans="1:38" ht="15">
      <c r="A3603" s="611">
        <v>11</v>
      </c>
      <c r="B3603" s="611" t="s">
        <v>1548</v>
      </c>
      <c r="C3603" s="611" t="s">
        <v>1267</v>
      </c>
      <c r="D3603" s="611">
        <v>105668.86843</v>
      </c>
      <c r="E3603" s="611">
        <v>31706.79</v>
      </c>
      <c r="F3603" s="611">
        <v>73962.078429999994</v>
      </c>
      <c r="G3603" s="611">
        <v>2996</v>
      </c>
      <c r="H3603" s="611">
        <v>110666.91568999999</v>
      </c>
      <c r="I3603" s="611">
        <v>9</v>
      </c>
      <c r="J3603" s="611">
        <v>4998.0472599999994</v>
      </c>
      <c r="K3603" s="611">
        <v>2987</v>
      </c>
      <c r="L3603" s="611">
        <v>105668.86843</v>
      </c>
      <c r="M3603" s="611">
        <v>105668.86843</v>
      </c>
      <c r="N3603" s="611">
        <v>31706.79</v>
      </c>
      <c r="O3603" s="611">
        <v>0</v>
      </c>
      <c r="P3603" s="611">
        <v>73962.078430000009</v>
      </c>
      <c r="Q3603" s="611">
        <v>73962.078429999994</v>
      </c>
    </row>
    <row r="3604" spans="1:38" ht="15">
      <c r="A3604" s="611"/>
      <c r="B3604" s="611"/>
      <c r="C3604" s="611" t="s">
        <v>1197</v>
      </c>
      <c r="D3604" s="611">
        <v>79903.794150000002</v>
      </c>
      <c r="E3604" s="611">
        <v>23658</v>
      </c>
      <c r="F3604" s="611">
        <v>56245.794150000002</v>
      </c>
      <c r="G3604" s="611">
        <v>1222</v>
      </c>
      <c r="H3604" s="611">
        <v>82837.85514</v>
      </c>
      <c r="I3604" s="611">
        <v>5</v>
      </c>
      <c r="J3604" s="611">
        <v>2934.0609900000004</v>
      </c>
      <c r="K3604" s="611">
        <v>1217</v>
      </c>
      <c r="L3604" s="611">
        <v>79903.794150000002</v>
      </c>
      <c r="M3604" s="611">
        <v>79903.794150000002</v>
      </c>
      <c r="N3604" s="611">
        <v>23658</v>
      </c>
      <c r="O3604" s="611">
        <v>0</v>
      </c>
      <c r="Q3604" s="611">
        <v>56245.793870000001</v>
      </c>
      <c r="AL3604" s="611">
        <v>56245.794150000009</v>
      </c>
    </row>
    <row r="3605" spans="1:38" ht="15">
      <c r="A3605" s="611"/>
      <c r="B3605" s="611"/>
      <c r="C3605" s="611" t="s">
        <v>1198</v>
      </c>
      <c r="D3605" s="611">
        <v>0</v>
      </c>
      <c r="E3605" s="611">
        <v>0</v>
      </c>
      <c r="F3605" s="611">
        <v>0</v>
      </c>
      <c r="G3605" s="611">
        <v>0</v>
      </c>
      <c r="H3605" s="611">
        <v>0</v>
      </c>
      <c r="I3605" s="611">
        <v>0</v>
      </c>
      <c r="J3605" s="611">
        <v>0</v>
      </c>
      <c r="K3605" s="611">
        <v>0</v>
      </c>
      <c r="L3605" s="611">
        <v>0</v>
      </c>
      <c r="M3605" s="611">
        <v>0</v>
      </c>
      <c r="N3605" s="611">
        <v>0</v>
      </c>
      <c r="O3605" s="611">
        <v>0</v>
      </c>
      <c r="P3605" s="611">
        <v>0</v>
      </c>
      <c r="Q3605" s="611">
        <v>0</v>
      </c>
    </row>
    <row r="3606" spans="1:38" ht="15">
      <c r="A3606" s="611"/>
      <c r="B3606" s="611"/>
      <c r="C3606" s="611" t="s">
        <v>1199</v>
      </c>
      <c r="D3606" s="611">
        <v>25765.074279999997</v>
      </c>
      <c r="E3606" s="611">
        <v>8048.7899999999991</v>
      </c>
      <c r="F3606" s="611">
        <v>17716.28428</v>
      </c>
      <c r="G3606" s="611">
        <v>1774</v>
      </c>
      <c r="H3606" s="611">
        <v>27829.060550000002</v>
      </c>
      <c r="I3606" s="611">
        <v>4</v>
      </c>
      <c r="J3606" s="611">
        <v>2063.9862699999994</v>
      </c>
      <c r="K3606" s="611">
        <v>1770</v>
      </c>
      <c r="L3606" s="611">
        <v>25765.074280000001</v>
      </c>
      <c r="M3606" s="611">
        <v>25765.074280000001</v>
      </c>
      <c r="N3606" s="611">
        <v>8048.7899999999991</v>
      </c>
      <c r="O3606" s="611">
        <v>0</v>
      </c>
      <c r="P3606" s="611">
        <v>17716.28428</v>
      </c>
      <c r="Q3606" s="611">
        <v>17716.28456</v>
      </c>
    </row>
    <row r="3607" spans="1:38" ht="15">
      <c r="A3607" s="611">
        <v>12</v>
      </c>
      <c r="B3607" s="611" t="s">
        <v>1549</v>
      </c>
      <c r="C3607" s="611" t="s">
        <v>1267</v>
      </c>
      <c r="D3607" s="611">
        <v>348027.44999999995</v>
      </c>
      <c r="E3607" s="611">
        <v>104558.24999999999</v>
      </c>
      <c r="F3607" s="611">
        <v>243469.2</v>
      </c>
      <c r="G3607" s="611">
        <v>8472</v>
      </c>
      <c r="H3607" s="611">
        <v>356978.19609400007</v>
      </c>
      <c r="I3607" s="611">
        <v>13</v>
      </c>
      <c r="J3607" s="611">
        <v>8950.7460740000006</v>
      </c>
      <c r="K3607" s="611">
        <v>8459</v>
      </c>
      <c r="L3607" s="611">
        <v>348027.45001999999</v>
      </c>
      <c r="M3607" s="611">
        <v>348027.45001999999</v>
      </c>
      <c r="N3607" s="611">
        <v>104558.24999999999</v>
      </c>
      <c r="O3607" s="611">
        <v>0</v>
      </c>
      <c r="P3607" s="611">
        <v>243469.20001999999</v>
      </c>
      <c r="Q3607" s="611">
        <v>243469.20001999999</v>
      </c>
    </row>
    <row r="3608" spans="1:38" ht="15">
      <c r="A3608" s="611"/>
      <c r="B3608" s="611"/>
      <c r="C3608" s="611" t="s">
        <v>1197</v>
      </c>
      <c r="D3608" s="611">
        <v>279401.26507999998</v>
      </c>
      <c r="E3608" s="611">
        <v>83970.599999999991</v>
      </c>
      <c r="F3608" s="611">
        <v>195430.66508000001</v>
      </c>
      <c r="G3608" s="611">
        <v>4015</v>
      </c>
      <c r="H3608" s="611">
        <v>287806.83012000006</v>
      </c>
      <c r="I3608" s="611">
        <v>5</v>
      </c>
      <c r="J3608" s="611">
        <v>8405.56502</v>
      </c>
      <c r="K3608" s="611">
        <v>4010</v>
      </c>
      <c r="L3608" s="611">
        <v>279401.26510000002</v>
      </c>
      <c r="M3608" s="611">
        <v>279401.26510000002</v>
      </c>
      <c r="N3608" s="611">
        <v>83970.599999999991</v>
      </c>
      <c r="O3608" s="611">
        <v>0</v>
      </c>
      <c r="Q3608" s="611">
        <v>195430.66482000001</v>
      </c>
      <c r="AL3608" s="611">
        <v>195430.66509999998</v>
      </c>
    </row>
    <row r="3609" spans="1:38" ht="15">
      <c r="A3609" s="611"/>
      <c r="B3609" s="611"/>
      <c r="C3609" s="611" t="s">
        <v>1198</v>
      </c>
      <c r="D3609" s="611">
        <v>0</v>
      </c>
      <c r="E3609" s="611">
        <v>0</v>
      </c>
      <c r="F3609" s="611">
        <v>0</v>
      </c>
      <c r="G3609" s="611">
        <v>0</v>
      </c>
      <c r="H3609" s="611">
        <v>0</v>
      </c>
      <c r="I3609" s="611">
        <v>0</v>
      </c>
      <c r="J3609" s="611">
        <v>0</v>
      </c>
      <c r="K3609" s="611">
        <v>0</v>
      </c>
      <c r="L3609" s="611">
        <v>0</v>
      </c>
      <c r="M3609" s="611">
        <v>0</v>
      </c>
      <c r="N3609" s="611">
        <v>0</v>
      </c>
      <c r="O3609" s="611">
        <v>0</v>
      </c>
      <c r="P3609" s="611">
        <v>0</v>
      </c>
      <c r="Q3609" s="611">
        <v>0</v>
      </c>
    </row>
    <row r="3610" spans="1:38" ht="15">
      <c r="A3610" s="611"/>
      <c r="B3610" s="611"/>
      <c r="C3610" s="611" t="s">
        <v>1199</v>
      </c>
      <c r="D3610" s="611">
        <v>68626.18492</v>
      </c>
      <c r="E3610" s="611">
        <v>20587.649999999998</v>
      </c>
      <c r="F3610" s="611">
        <v>48038.534920000006</v>
      </c>
      <c r="G3610" s="611">
        <v>4457</v>
      </c>
      <c r="H3610" s="611">
        <v>69171.365974</v>
      </c>
      <c r="I3610" s="611">
        <v>8</v>
      </c>
      <c r="J3610" s="611">
        <v>545.18105400000104</v>
      </c>
      <c r="K3610" s="611">
        <v>4449</v>
      </c>
      <c r="L3610" s="611">
        <v>68626.18492</v>
      </c>
      <c r="M3610" s="611">
        <v>68626.18492</v>
      </c>
      <c r="N3610" s="611">
        <v>20587.649999999998</v>
      </c>
      <c r="O3610" s="611">
        <v>0</v>
      </c>
      <c r="P3610" s="611">
        <v>48038.534920000006</v>
      </c>
      <c r="Q3610" s="611">
        <v>48038.535199999998</v>
      </c>
    </row>
    <row r="3611" spans="1:38" ht="15">
      <c r="A3611" s="611">
        <v>13</v>
      </c>
      <c r="B3611" s="611" t="s">
        <v>1550</v>
      </c>
      <c r="C3611" s="611" t="s">
        <v>1267</v>
      </c>
      <c r="D3611" s="611">
        <v>106749.20644000001</v>
      </c>
      <c r="E3611" s="611">
        <v>32041.739999999998</v>
      </c>
      <c r="F3611" s="611">
        <v>74707.466440000004</v>
      </c>
      <c r="G3611" s="611">
        <v>3606</v>
      </c>
      <c r="H3611" s="611">
        <v>109058.73383</v>
      </c>
      <c r="I3611" s="611">
        <v>4</v>
      </c>
      <c r="J3611" s="611">
        <v>2309.5273999999986</v>
      </c>
      <c r="K3611" s="611">
        <v>3602</v>
      </c>
      <c r="L3611" s="611">
        <v>106749.20643000001</v>
      </c>
      <c r="M3611" s="611">
        <v>106749.20643000001</v>
      </c>
      <c r="N3611" s="611">
        <v>32041.739999999998</v>
      </c>
      <c r="O3611" s="611">
        <v>0</v>
      </c>
      <c r="P3611" s="611">
        <v>74707.466430000015</v>
      </c>
      <c r="Q3611" s="611">
        <v>74707.466430000015</v>
      </c>
    </row>
    <row r="3612" spans="1:38" ht="15">
      <c r="A3612" s="611"/>
      <c r="B3612" s="611"/>
      <c r="C3612" s="611" t="s">
        <v>1197</v>
      </c>
      <c r="D3612" s="611">
        <v>71788.96474000001</v>
      </c>
      <c r="E3612" s="611">
        <v>19348.41</v>
      </c>
      <c r="F3612" s="611">
        <v>52440.554740000007</v>
      </c>
      <c r="G3612" s="611">
        <v>1175</v>
      </c>
      <c r="H3612" s="611">
        <v>73770.704799999992</v>
      </c>
      <c r="I3612" s="611">
        <v>2</v>
      </c>
      <c r="J3612" s="611">
        <v>1981.74008</v>
      </c>
      <c r="K3612" s="611">
        <v>1173</v>
      </c>
      <c r="L3612" s="611">
        <v>71788.964720000004</v>
      </c>
      <c r="M3612" s="611">
        <v>71788.964720000004</v>
      </c>
      <c r="N3612" s="611">
        <v>19348.41</v>
      </c>
      <c r="O3612" s="611">
        <v>0</v>
      </c>
      <c r="Q3612" s="611">
        <v>52440.554720000007</v>
      </c>
      <c r="AL3612" s="611">
        <v>52440.554720000007</v>
      </c>
    </row>
    <row r="3613" spans="1:38" ht="15">
      <c r="A3613" s="611"/>
      <c r="B3613" s="611"/>
      <c r="C3613" s="611" t="s">
        <v>1198</v>
      </c>
      <c r="D3613" s="611">
        <v>0</v>
      </c>
      <c r="E3613" s="611">
        <v>0</v>
      </c>
      <c r="F3613" s="611">
        <v>0</v>
      </c>
      <c r="G3613" s="611">
        <v>0</v>
      </c>
      <c r="H3613" s="611">
        <v>0</v>
      </c>
      <c r="I3613" s="611">
        <v>0</v>
      </c>
      <c r="J3613" s="611">
        <v>0</v>
      </c>
      <c r="K3613" s="611">
        <v>0</v>
      </c>
      <c r="L3613" s="611">
        <v>0</v>
      </c>
      <c r="M3613" s="611">
        <v>0</v>
      </c>
      <c r="N3613" s="611">
        <v>0</v>
      </c>
      <c r="O3613" s="611">
        <v>0</v>
      </c>
      <c r="P3613" s="611">
        <v>0</v>
      </c>
      <c r="Q3613" s="611">
        <v>0</v>
      </c>
    </row>
    <row r="3614" spans="1:38" ht="15">
      <c r="A3614" s="611"/>
      <c r="B3614" s="611"/>
      <c r="C3614" s="611" t="s">
        <v>1199</v>
      </c>
      <c r="D3614" s="611">
        <v>34960.241699999999</v>
      </c>
      <c r="E3614" s="611">
        <v>12693.33</v>
      </c>
      <c r="F3614" s="611">
        <v>22266.911699999997</v>
      </c>
      <c r="G3614" s="611">
        <v>2431</v>
      </c>
      <c r="H3614" s="611">
        <v>35288.029030000005</v>
      </c>
      <c r="I3614" s="611">
        <v>2</v>
      </c>
      <c r="J3614" s="611">
        <v>327.78731999999854</v>
      </c>
      <c r="K3614" s="611">
        <v>2429</v>
      </c>
      <c r="L3614" s="611">
        <v>34960.241710000002</v>
      </c>
      <c r="M3614" s="611">
        <v>34960.241710000002</v>
      </c>
      <c r="N3614" s="611">
        <v>12693.33</v>
      </c>
      <c r="O3614" s="611">
        <v>0</v>
      </c>
      <c r="P3614" s="611">
        <v>22266.911710000004</v>
      </c>
      <c r="Q3614" s="611">
        <v>22266.911710000004</v>
      </c>
    </row>
    <row r="3615" spans="1:38" ht="15">
      <c r="A3615" s="611">
        <v>14</v>
      </c>
      <c r="B3615" s="611" t="s">
        <v>1551</v>
      </c>
      <c r="C3615" s="611" t="s">
        <v>1267</v>
      </c>
      <c r="D3615" s="611">
        <v>110399.33098</v>
      </c>
      <c r="E3615" s="611">
        <v>33122.549999999996</v>
      </c>
      <c r="F3615" s="611">
        <v>77276.780979999996</v>
      </c>
      <c r="G3615" s="611">
        <v>3695</v>
      </c>
      <c r="H3615" s="611">
        <v>112588.78417999999</v>
      </c>
      <c r="I3615" s="611">
        <v>5</v>
      </c>
      <c r="J3615" s="611">
        <v>2189.4532200000031</v>
      </c>
      <c r="K3615" s="611">
        <v>3690</v>
      </c>
      <c r="L3615" s="611">
        <v>110399.33095999999</v>
      </c>
      <c r="M3615" s="611">
        <v>110399.33095999999</v>
      </c>
      <c r="N3615" s="611">
        <v>33122.549999999996</v>
      </c>
      <c r="O3615" s="611">
        <v>0</v>
      </c>
      <c r="P3615" s="611">
        <v>77276.780960000018</v>
      </c>
      <c r="Q3615" s="611">
        <v>77276.780960000018</v>
      </c>
    </row>
    <row r="3616" spans="1:38" ht="15">
      <c r="A3616" s="611"/>
      <c r="B3616" s="611"/>
      <c r="C3616" s="611" t="s">
        <v>1197</v>
      </c>
      <c r="D3616" s="611">
        <v>74116.135169999994</v>
      </c>
      <c r="E3616" s="611">
        <v>22245.269999999997</v>
      </c>
      <c r="F3616" s="611">
        <v>51870.865169999997</v>
      </c>
      <c r="G3616" s="611">
        <v>1143</v>
      </c>
      <c r="H3616" s="611">
        <v>75951.578809999992</v>
      </c>
      <c r="I3616" s="611">
        <v>2</v>
      </c>
      <c r="J3616" s="611">
        <v>1835.4436600000024</v>
      </c>
      <c r="K3616" s="611">
        <v>1141</v>
      </c>
      <c r="L3616" s="611">
        <v>74116.135149999987</v>
      </c>
      <c r="M3616" s="611">
        <v>74116.135149999987</v>
      </c>
      <c r="N3616" s="611">
        <v>22245.269999999997</v>
      </c>
      <c r="O3616" s="611">
        <v>0</v>
      </c>
      <c r="Q3616" s="611">
        <v>51870.864820000017</v>
      </c>
      <c r="AL3616" s="611">
        <v>51870.865150000012</v>
      </c>
    </row>
    <row r="3617" spans="1:38" ht="15">
      <c r="A3617" s="611"/>
      <c r="B3617" s="611"/>
      <c r="C3617" s="611" t="s">
        <v>1198</v>
      </c>
      <c r="D3617" s="611">
        <v>0</v>
      </c>
      <c r="E3617" s="611">
        <v>0</v>
      </c>
      <c r="F3617" s="611">
        <v>0</v>
      </c>
      <c r="G3617" s="611">
        <v>0</v>
      </c>
      <c r="H3617" s="611">
        <v>0</v>
      </c>
      <c r="I3617" s="611">
        <v>0</v>
      </c>
      <c r="J3617" s="611">
        <v>0</v>
      </c>
      <c r="K3617" s="611">
        <v>0</v>
      </c>
      <c r="L3617" s="611">
        <v>0</v>
      </c>
      <c r="M3617" s="611">
        <v>0</v>
      </c>
      <c r="N3617" s="611">
        <v>0</v>
      </c>
      <c r="O3617" s="611">
        <v>0</v>
      </c>
      <c r="P3617" s="611">
        <v>0</v>
      </c>
      <c r="Q3617" s="611">
        <v>0</v>
      </c>
    </row>
    <row r="3618" spans="1:38" ht="15">
      <c r="A3618" s="611"/>
      <c r="B3618" s="611"/>
      <c r="C3618" s="611" t="s">
        <v>1199</v>
      </c>
      <c r="D3618" s="611">
        <v>36283.195809999997</v>
      </c>
      <c r="E3618" s="611">
        <v>10877.279999999999</v>
      </c>
      <c r="F3618" s="611">
        <v>25405.915809999999</v>
      </c>
      <c r="G3618" s="611">
        <v>2552</v>
      </c>
      <c r="H3618" s="611">
        <v>36637.205369999996</v>
      </c>
      <c r="I3618" s="611">
        <v>3</v>
      </c>
      <c r="J3618" s="611">
        <v>354.00956000000065</v>
      </c>
      <c r="K3618" s="611">
        <v>2549</v>
      </c>
      <c r="L3618" s="611">
        <v>36283.195809999997</v>
      </c>
      <c r="M3618" s="611">
        <v>36283.195809999997</v>
      </c>
      <c r="N3618" s="611">
        <v>10877.279999999999</v>
      </c>
      <c r="O3618" s="611">
        <v>0</v>
      </c>
      <c r="P3618" s="611">
        <v>25405.915810000002</v>
      </c>
      <c r="Q3618" s="611">
        <v>25405.916139999998</v>
      </c>
    </row>
    <row r="3619" spans="1:38" ht="15">
      <c r="A3619" s="611">
        <v>15</v>
      </c>
      <c r="B3619" s="611" t="s">
        <v>1552</v>
      </c>
      <c r="C3619" s="611" t="s">
        <v>1267</v>
      </c>
      <c r="D3619" s="611">
        <v>141418.40432999999</v>
      </c>
      <c r="E3619" s="611">
        <v>42426.99</v>
      </c>
      <c r="F3619" s="611">
        <v>98991.41433</v>
      </c>
      <c r="G3619" s="611">
        <v>3614</v>
      </c>
      <c r="H3619" s="611">
        <v>147065.77898</v>
      </c>
      <c r="I3619" s="611">
        <v>37</v>
      </c>
      <c r="J3619" s="611">
        <v>5647.3746099999989</v>
      </c>
      <c r="K3619" s="611">
        <v>3577</v>
      </c>
      <c r="L3619" s="611">
        <v>141418.40437</v>
      </c>
      <c r="M3619" s="611">
        <v>141418.40437</v>
      </c>
      <c r="N3619" s="611">
        <v>42426.99</v>
      </c>
      <c r="O3619" s="611">
        <v>0</v>
      </c>
      <c r="P3619" s="611">
        <v>98991.414369999999</v>
      </c>
      <c r="Q3619" s="611">
        <v>98991.414369999999</v>
      </c>
    </row>
    <row r="3620" spans="1:38" ht="15">
      <c r="A3620" s="611"/>
      <c r="B3620" s="611"/>
      <c r="C3620" s="611" t="s">
        <v>1197</v>
      </c>
      <c r="D3620" s="611">
        <v>108046.74513</v>
      </c>
      <c r="E3620" s="611">
        <v>32447.759999999998</v>
      </c>
      <c r="F3620" s="611">
        <v>75598.985130000001</v>
      </c>
      <c r="G3620" s="611">
        <v>1521</v>
      </c>
      <c r="H3620" s="611">
        <v>112958.74941999999</v>
      </c>
      <c r="I3620" s="611">
        <v>2</v>
      </c>
      <c r="J3620" s="611">
        <v>4912.0042499999981</v>
      </c>
      <c r="K3620" s="611">
        <v>1519</v>
      </c>
      <c r="L3620" s="611">
        <v>108046.74516999999</v>
      </c>
      <c r="M3620" s="611">
        <v>108046.74516999999</v>
      </c>
      <c r="N3620" s="611">
        <v>32447.759999999998</v>
      </c>
      <c r="O3620" s="611">
        <v>0</v>
      </c>
      <c r="Q3620" s="611">
        <v>75598.985520000002</v>
      </c>
      <c r="AL3620" s="611">
        <v>75598.98517</v>
      </c>
    </row>
    <row r="3621" spans="1:38" ht="15">
      <c r="A3621" s="611"/>
      <c r="B3621" s="611"/>
      <c r="C3621" s="611" t="s">
        <v>1198</v>
      </c>
      <c r="D3621" s="611">
        <v>0</v>
      </c>
      <c r="E3621" s="611">
        <v>0</v>
      </c>
      <c r="F3621" s="611">
        <v>0</v>
      </c>
      <c r="G3621" s="611">
        <v>0</v>
      </c>
      <c r="H3621" s="611">
        <v>0</v>
      </c>
      <c r="I3621" s="611">
        <v>0</v>
      </c>
      <c r="J3621" s="611">
        <v>0</v>
      </c>
      <c r="K3621" s="611">
        <v>0</v>
      </c>
      <c r="L3621" s="611">
        <v>0</v>
      </c>
      <c r="M3621" s="611">
        <v>0</v>
      </c>
      <c r="N3621" s="611">
        <v>0</v>
      </c>
      <c r="O3621" s="611">
        <v>0</v>
      </c>
      <c r="P3621" s="611">
        <v>0</v>
      </c>
      <c r="Q3621" s="611">
        <v>0</v>
      </c>
    </row>
    <row r="3622" spans="1:38" ht="15">
      <c r="A3622" s="611"/>
      <c r="B3622" s="611"/>
      <c r="C3622" s="611" t="s">
        <v>1199</v>
      </c>
      <c r="D3622" s="611">
        <v>33371.659200000002</v>
      </c>
      <c r="E3622" s="611">
        <v>9979.23</v>
      </c>
      <c r="F3622" s="611">
        <v>23392.429200000002</v>
      </c>
      <c r="G3622" s="611">
        <v>2093</v>
      </c>
      <c r="H3622" s="611">
        <v>34107.029560000003</v>
      </c>
      <c r="I3622" s="611">
        <v>35</v>
      </c>
      <c r="J3622" s="611">
        <v>735.37036000000035</v>
      </c>
      <c r="K3622" s="611">
        <v>2058</v>
      </c>
      <c r="L3622" s="611">
        <v>33371.659200000009</v>
      </c>
      <c r="M3622" s="611">
        <v>33371.659200000009</v>
      </c>
      <c r="N3622" s="611">
        <v>9979.23</v>
      </c>
      <c r="O3622" s="611">
        <v>0</v>
      </c>
      <c r="P3622" s="611">
        <v>23392.429199999999</v>
      </c>
      <c r="Q3622" s="611">
        <v>23392.428849999997</v>
      </c>
    </row>
    <row r="3623" spans="1:38" ht="15">
      <c r="A3623" s="611">
        <v>16</v>
      </c>
      <c r="B3623" s="611" t="s">
        <v>1553</v>
      </c>
      <c r="C3623" s="611" t="s">
        <v>1267</v>
      </c>
      <c r="D3623" s="611">
        <v>165272.80346999998</v>
      </c>
      <c r="E3623" s="611">
        <v>49583.49</v>
      </c>
      <c r="F3623" s="611">
        <v>115689.31346999999</v>
      </c>
      <c r="G3623" s="611">
        <v>4773</v>
      </c>
      <c r="H3623" s="611">
        <v>171033.17708999998</v>
      </c>
      <c r="I3623" s="611">
        <v>6</v>
      </c>
      <c r="J3623" s="611">
        <v>5760.3736199999985</v>
      </c>
      <c r="K3623" s="611">
        <v>4767</v>
      </c>
      <c r="L3623" s="611">
        <v>165272.80346999998</v>
      </c>
      <c r="M3623" s="611">
        <v>165272.80346999998</v>
      </c>
      <c r="N3623" s="611">
        <v>49583.49</v>
      </c>
      <c r="O3623" s="611">
        <v>0</v>
      </c>
      <c r="P3623" s="611">
        <v>115689.31347000002</v>
      </c>
      <c r="Q3623" s="611">
        <v>115689.31347000001</v>
      </c>
    </row>
    <row r="3624" spans="1:38" ht="15">
      <c r="A3624" s="611"/>
      <c r="B3624" s="611"/>
      <c r="C3624" s="611" t="s">
        <v>1197</v>
      </c>
      <c r="D3624" s="611">
        <v>117788.12986999999</v>
      </c>
      <c r="E3624" s="611">
        <v>37551.21</v>
      </c>
      <c r="F3624" s="611">
        <v>80236.919869999983</v>
      </c>
      <c r="G3624" s="611">
        <v>1746</v>
      </c>
      <c r="H3624" s="611">
        <v>123245.08609999999</v>
      </c>
      <c r="I3624" s="611">
        <v>2</v>
      </c>
      <c r="J3624" s="611">
        <v>5456.956229999998</v>
      </c>
      <c r="K3624" s="611">
        <v>1744</v>
      </c>
      <c r="L3624" s="611">
        <v>117788.12986999999</v>
      </c>
      <c r="M3624" s="611">
        <v>117788.12986999999</v>
      </c>
      <c r="N3624" s="611">
        <v>37551.21</v>
      </c>
      <c r="O3624" s="611">
        <v>0</v>
      </c>
      <c r="Q3624" s="611">
        <v>80236.920259999999</v>
      </c>
      <c r="AL3624" s="611">
        <v>80236.919870000012</v>
      </c>
    </row>
    <row r="3625" spans="1:38" ht="15">
      <c r="A3625" s="611"/>
      <c r="B3625" s="611"/>
      <c r="C3625" s="611" t="s">
        <v>1198</v>
      </c>
      <c r="D3625" s="611">
        <v>0</v>
      </c>
      <c r="E3625" s="611">
        <v>0</v>
      </c>
      <c r="F3625" s="611">
        <v>0</v>
      </c>
      <c r="G3625" s="611">
        <v>0</v>
      </c>
      <c r="H3625" s="611">
        <v>0</v>
      </c>
      <c r="I3625" s="611">
        <v>0</v>
      </c>
      <c r="J3625" s="611">
        <v>0</v>
      </c>
      <c r="K3625" s="611">
        <v>0</v>
      </c>
      <c r="L3625" s="611">
        <v>0</v>
      </c>
      <c r="M3625" s="611">
        <v>0</v>
      </c>
      <c r="N3625" s="611">
        <v>0</v>
      </c>
      <c r="O3625" s="611">
        <v>0</v>
      </c>
      <c r="P3625" s="611">
        <v>0</v>
      </c>
      <c r="Q3625" s="611">
        <v>0</v>
      </c>
    </row>
    <row r="3626" spans="1:38" ht="15">
      <c r="A3626" s="611"/>
      <c r="B3626" s="611"/>
      <c r="C3626" s="611" t="s">
        <v>1199</v>
      </c>
      <c r="D3626" s="611">
        <v>47484.673600000002</v>
      </c>
      <c r="E3626" s="611">
        <v>12032.279999999999</v>
      </c>
      <c r="F3626" s="611">
        <v>35452.393600000003</v>
      </c>
      <c r="G3626" s="611">
        <v>3027</v>
      </c>
      <c r="H3626" s="611">
        <v>47788.090989999997</v>
      </c>
      <c r="I3626" s="611">
        <v>4</v>
      </c>
      <c r="J3626" s="611">
        <v>303.41739000000075</v>
      </c>
      <c r="K3626" s="611">
        <v>3023</v>
      </c>
      <c r="L3626" s="611">
        <v>47484.673600000002</v>
      </c>
      <c r="M3626" s="611">
        <v>47484.673600000002</v>
      </c>
      <c r="N3626" s="611">
        <v>12032.279999999999</v>
      </c>
      <c r="O3626" s="611">
        <v>0</v>
      </c>
      <c r="P3626" s="611">
        <v>35452.39360000001</v>
      </c>
      <c r="Q3626" s="611">
        <v>35452.393210000009</v>
      </c>
    </row>
    <row r="3627" spans="1:38" ht="15">
      <c r="A3627" s="611">
        <v>17</v>
      </c>
      <c r="B3627" s="611" t="s">
        <v>1554</v>
      </c>
      <c r="C3627" s="611" t="s">
        <v>1267</v>
      </c>
      <c r="D3627" s="611">
        <v>154274.26413000003</v>
      </c>
      <c r="E3627" s="611">
        <v>46289.7</v>
      </c>
      <c r="F3627" s="611">
        <v>107984.56413000001</v>
      </c>
      <c r="G3627" s="611">
        <v>4594</v>
      </c>
      <c r="H3627" s="611">
        <v>157502.20682999998</v>
      </c>
      <c r="I3627" s="611">
        <v>5</v>
      </c>
      <c r="J3627" s="611">
        <v>3227.9426800000028</v>
      </c>
      <c r="K3627" s="611">
        <v>4589</v>
      </c>
      <c r="L3627" s="611">
        <v>154274.26415</v>
      </c>
      <c r="M3627" s="611">
        <v>154274.26415</v>
      </c>
      <c r="N3627" s="611">
        <v>46289.7</v>
      </c>
      <c r="O3627" s="611">
        <v>0</v>
      </c>
      <c r="P3627" s="611">
        <v>107984.56415000002</v>
      </c>
      <c r="Q3627" s="611">
        <v>107984.56414999999</v>
      </c>
    </row>
    <row r="3628" spans="1:38" ht="15">
      <c r="A3628" s="611"/>
      <c r="B3628" s="611"/>
      <c r="C3628" s="611" t="s">
        <v>1197</v>
      </c>
      <c r="D3628" s="611">
        <v>108001.69474000001</v>
      </c>
      <c r="E3628" s="611">
        <v>31478.43</v>
      </c>
      <c r="F3628" s="611">
        <v>76523.264740000013</v>
      </c>
      <c r="G3628" s="611">
        <v>1707</v>
      </c>
      <c r="H3628" s="611">
        <v>110677.40787</v>
      </c>
      <c r="I3628" s="611">
        <v>2</v>
      </c>
      <c r="J3628" s="611">
        <v>2675.7131100000033</v>
      </c>
      <c r="K3628" s="611">
        <v>1705</v>
      </c>
      <c r="L3628" s="611">
        <v>108001.69476000001</v>
      </c>
      <c r="M3628" s="611">
        <v>108001.69476000001</v>
      </c>
      <c r="N3628" s="611">
        <v>31478.43</v>
      </c>
      <c r="O3628" s="611">
        <v>0</v>
      </c>
      <c r="Q3628" s="611">
        <v>76523.264349999998</v>
      </c>
      <c r="AL3628" s="611">
        <v>76523.264760000005</v>
      </c>
    </row>
    <row r="3629" spans="1:38" ht="15">
      <c r="A3629" s="611"/>
      <c r="B3629" s="611"/>
      <c r="C3629" s="611" t="s">
        <v>1198</v>
      </c>
      <c r="D3629" s="611">
        <v>0</v>
      </c>
      <c r="E3629" s="611">
        <v>0</v>
      </c>
      <c r="F3629" s="611">
        <v>0</v>
      </c>
      <c r="G3629" s="611">
        <v>0</v>
      </c>
      <c r="H3629" s="611">
        <v>0</v>
      </c>
      <c r="I3629" s="611">
        <v>0</v>
      </c>
      <c r="J3629" s="611">
        <v>0</v>
      </c>
      <c r="K3629" s="611">
        <v>0</v>
      </c>
      <c r="L3629" s="611">
        <v>0</v>
      </c>
      <c r="M3629" s="611">
        <v>0</v>
      </c>
      <c r="N3629" s="611">
        <v>0</v>
      </c>
      <c r="O3629" s="611">
        <v>0</v>
      </c>
      <c r="P3629" s="611">
        <v>0</v>
      </c>
      <c r="Q3629" s="611">
        <v>0</v>
      </c>
    </row>
    <row r="3630" spans="1:38" ht="15">
      <c r="A3630" s="611"/>
      <c r="B3630" s="611"/>
      <c r="C3630" s="611" t="s">
        <v>1199</v>
      </c>
      <c r="D3630" s="611">
        <v>46272.569390000004</v>
      </c>
      <c r="E3630" s="611">
        <v>14811.27</v>
      </c>
      <c r="F3630" s="611">
        <v>31461.299390000004</v>
      </c>
      <c r="G3630" s="611">
        <v>2887</v>
      </c>
      <c r="H3630" s="611">
        <v>46824.79896</v>
      </c>
      <c r="I3630" s="611">
        <v>3</v>
      </c>
      <c r="J3630" s="611">
        <v>552.22956999999951</v>
      </c>
      <c r="K3630" s="611">
        <v>2884</v>
      </c>
      <c r="L3630" s="611">
        <v>46272.569390000004</v>
      </c>
      <c r="M3630" s="611">
        <v>46272.569390000004</v>
      </c>
      <c r="N3630" s="611">
        <v>14811.27</v>
      </c>
      <c r="O3630" s="611">
        <v>0</v>
      </c>
      <c r="P3630" s="611">
        <v>31461.299390000007</v>
      </c>
      <c r="Q3630" s="611">
        <v>31461.299800000001</v>
      </c>
    </row>
    <row r="3631" spans="1:38" ht="15">
      <c r="A3631" s="611">
        <v>18</v>
      </c>
      <c r="B3631" s="611" t="s">
        <v>1555</v>
      </c>
      <c r="C3631" s="611" t="s">
        <v>1267</v>
      </c>
      <c r="D3631" s="611">
        <v>90244.341270000004</v>
      </c>
      <c r="E3631" s="611">
        <v>27084.9</v>
      </c>
      <c r="F3631" s="611">
        <v>63159.441269999996</v>
      </c>
      <c r="G3631" s="611">
        <v>2662</v>
      </c>
      <c r="H3631" s="611">
        <v>92452.694560000004</v>
      </c>
      <c r="I3631" s="611">
        <v>7</v>
      </c>
      <c r="J3631" s="611">
        <v>2208.3532700000014</v>
      </c>
      <c r="K3631" s="611">
        <v>2655</v>
      </c>
      <c r="L3631" s="611">
        <v>90244.341289999997</v>
      </c>
      <c r="M3631" s="611">
        <v>90244.341289999997</v>
      </c>
      <c r="N3631" s="611">
        <v>27084.9</v>
      </c>
      <c r="O3631" s="611">
        <v>0</v>
      </c>
      <c r="P3631" s="611">
        <v>63159.441289999988</v>
      </c>
      <c r="Q3631" s="611">
        <v>63159.441289999988</v>
      </c>
    </row>
    <row r="3632" spans="1:38" ht="15">
      <c r="A3632" s="611"/>
      <c r="B3632" s="611"/>
      <c r="C3632" s="611" t="s">
        <v>1197</v>
      </c>
      <c r="D3632" s="611">
        <v>68357.244179999994</v>
      </c>
      <c r="E3632" s="611">
        <v>19714.740000000002</v>
      </c>
      <c r="F3632" s="611">
        <v>48642.504179999989</v>
      </c>
      <c r="G3632" s="611">
        <v>1065</v>
      </c>
      <c r="H3632" s="611">
        <v>70239.114020000008</v>
      </c>
      <c r="I3632" s="611">
        <v>1</v>
      </c>
      <c r="J3632" s="611">
        <v>1881.8698200000008</v>
      </c>
      <c r="K3632" s="611">
        <v>1064</v>
      </c>
      <c r="L3632" s="611">
        <v>68357.244200000001</v>
      </c>
      <c r="M3632" s="611">
        <v>68357.244200000001</v>
      </c>
      <c r="N3632" s="611">
        <v>19714.740000000002</v>
      </c>
      <c r="O3632" s="611">
        <v>0</v>
      </c>
      <c r="Q3632" s="611">
        <v>48642.50400999999</v>
      </c>
      <c r="AL3632" s="611">
        <v>48642.504199999988</v>
      </c>
    </row>
    <row r="3633" spans="1:38" ht="15">
      <c r="A3633" s="611"/>
      <c r="B3633" s="611"/>
      <c r="C3633" s="611" t="s">
        <v>1198</v>
      </c>
      <c r="D3633" s="611">
        <v>0</v>
      </c>
      <c r="E3633" s="611">
        <v>0</v>
      </c>
      <c r="F3633" s="611">
        <v>0</v>
      </c>
      <c r="G3633" s="611">
        <v>0</v>
      </c>
      <c r="H3633" s="611">
        <v>0</v>
      </c>
      <c r="I3633" s="611">
        <v>0</v>
      </c>
      <c r="J3633" s="611">
        <v>0</v>
      </c>
      <c r="K3633" s="611">
        <v>0</v>
      </c>
      <c r="L3633" s="611">
        <v>0</v>
      </c>
      <c r="M3633" s="611">
        <v>0</v>
      </c>
      <c r="N3633" s="611">
        <v>0</v>
      </c>
      <c r="O3633" s="611">
        <v>0</v>
      </c>
      <c r="P3633" s="611">
        <v>0</v>
      </c>
      <c r="Q3633" s="611">
        <v>0</v>
      </c>
    </row>
    <row r="3634" spans="1:38" ht="15">
      <c r="A3634" s="611"/>
      <c r="B3634" s="611"/>
      <c r="C3634" s="611" t="s">
        <v>1199</v>
      </c>
      <c r="D3634" s="611">
        <v>21887.097090000003</v>
      </c>
      <c r="E3634" s="611">
        <v>7370.16</v>
      </c>
      <c r="F3634" s="611">
        <v>14516.937090000003</v>
      </c>
      <c r="G3634" s="611">
        <v>1597</v>
      </c>
      <c r="H3634" s="611">
        <v>22213.580539999999</v>
      </c>
      <c r="I3634" s="611">
        <v>6</v>
      </c>
      <c r="J3634" s="611">
        <v>326.48345000000063</v>
      </c>
      <c r="K3634" s="611">
        <v>1591</v>
      </c>
      <c r="L3634" s="611">
        <v>21887.097089999996</v>
      </c>
      <c r="M3634" s="611">
        <v>21887.097089999996</v>
      </c>
      <c r="N3634" s="611">
        <v>7370.16</v>
      </c>
      <c r="O3634" s="611">
        <v>0</v>
      </c>
      <c r="P3634" s="611">
        <v>14516.937089999998</v>
      </c>
      <c r="Q3634" s="611">
        <v>14516.93728</v>
      </c>
    </row>
    <row r="3635" spans="1:38" ht="15">
      <c r="A3635" s="611">
        <v>19</v>
      </c>
      <c r="B3635" s="611" t="s">
        <v>1556</v>
      </c>
      <c r="C3635" s="611" t="s">
        <v>1267</v>
      </c>
      <c r="D3635" s="611">
        <v>109443.47532</v>
      </c>
      <c r="E3635" s="611">
        <v>32836.050000000003</v>
      </c>
      <c r="F3635" s="611">
        <v>76607.425320000009</v>
      </c>
      <c r="G3635" s="611">
        <v>3282</v>
      </c>
      <c r="H3635" s="611">
        <v>111823.70619999999</v>
      </c>
      <c r="I3635" s="611">
        <v>5</v>
      </c>
      <c r="J3635" s="611">
        <v>2380.2308799999987</v>
      </c>
      <c r="K3635" s="611">
        <v>3277</v>
      </c>
      <c r="L3635" s="611">
        <v>109443.47532</v>
      </c>
      <c r="M3635" s="611">
        <v>109443.47532</v>
      </c>
      <c r="N3635" s="611">
        <v>32836.050000000003</v>
      </c>
      <c r="O3635" s="611">
        <v>0</v>
      </c>
      <c r="P3635" s="611">
        <v>76607.425320000009</v>
      </c>
      <c r="Q3635" s="611">
        <v>76607.425320000009</v>
      </c>
    </row>
    <row r="3636" spans="1:38" ht="15">
      <c r="A3636" s="611"/>
      <c r="B3636" s="611"/>
      <c r="C3636" s="611" t="s">
        <v>1197</v>
      </c>
      <c r="D3636" s="611">
        <v>79278.762390000004</v>
      </c>
      <c r="E3636" s="611">
        <v>23843.34</v>
      </c>
      <c r="F3636" s="611">
        <v>55435.422390000007</v>
      </c>
      <c r="G3636" s="611">
        <v>1236</v>
      </c>
      <c r="H3636" s="611">
        <v>81349.845659999992</v>
      </c>
      <c r="I3636" s="611">
        <v>3</v>
      </c>
      <c r="J3636" s="611">
        <v>2071.0832699999983</v>
      </c>
      <c r="K3636" s="611">
        <v>1233</v>
      </c>
      <c r="L3636" s="611">
        <v>79278.762389999989</v>
      </c>
      <c r="M3636" s="611">
        <v>79278.762389999989</v>
      </c>
      <c r="N3636" s="611">
        <v>23843.34</v>
      </c>
      <c r="O3636" s="611">
        <v>0</v>
      </c>
      <c r="Q3636" s="611">
        <v>55435.422290000002</v>
      </c>
      <c r="AL3636" s="611">
        <v>55435.42239</v>
      </c>
    </row>
    <row r="3637" spans="1:38" ht="15">
      <c r="A3637" s="611"/>
      <c r="B3637" s="611"/>
      <c r="C3637" s="611" t="s">
        <v>1198</v>
      </c>
      <c r="D3637" s="611">
        <v>0</v>
      </c>
      <c r="E3637" s="611">
        <v>0</v>
      </c>
      <c r="F3637" s="611">
        <v>0</v>
      </c>
      <c r="G3637" s="611">
        <v>0</v>
      </c>
      <c r="H3637" s="611">
        <v>0</v>
      </c>
      <c r="I3637" s="611">
        <v>0</v>
      </c>
      <c r="J3637" s="611">
        <v>0</v>
      </c>
      <c r="K3637" s="611">
        <v>0</v>
      </c>
      <c r="L3637" s="611">
        <v>0</v>
      </c>
      <c r="M3637" s="611">
        <v>0</v>
      </c>
      <c r="N3637" s="611">
        <v>0</v>
      </c>
      <c r="O3637" s="611">
        <v>0</v>
      </c>
      <c r="P3637" s="611">
        <v>0</v>
      </c>
      <c r="Q3637" s="611">
        <v>0</v>
      </c>
    </row>
    <row r="3638" spans="1:38" ht="15">
      <c r="A3638" s="611"/>
      <c r="B3638" s="611"/>
      <c r="C3638" s="611" t="s">
        <v>1199</v>
      </c>
      <c r="D3638" s="611">
        <v>30164.712930000002</v>
      </c>
      <c r="E3638" s="611">
        <v>8992.7099999999991</v>
      </c>
      <c r="F3638" s="611">
        <v>21172.002930000002</v>
      </c>
      <c r="G3638" s="611">
        <v>2046</v>
      </c>
      <c r="H3638" s="611">
        <v>30473.860539999994</v>
      </c>
      <c r="I3638" s="611">
        <v>2</v>
      </c>
      <c r="J3638" s="611">
        <v>309.14761000000044</v>
      </c>
      <c r="K3638" s="611">
        <v>2044</v>
      </c>
      <c r="L3638" s="611">
        <v>30164.712930000002</v>
      </c>
      <c r="M3638" s="611">
        <v>30164.712930000002</v>
      </c>
      <c r="N3638" s="611">
        <v>8992.7099999999991</v>
      </c>
      <c r="O3638" s="611">
        <v>0</v>
      </c>
      <c r="P3638" s="611">
        <v>21172.002930000002</v>
      </c>
      <c r="Q3638" s="611">
        <v>21172.003030000007</v>
      </c>
    </row>
    <row r="3639" spans="1:38" ht="15">
      <c r="A3639" s="611">
        <v>20</v>
      </c>
      <c r="B3639" s="611" t="s">
        <v>1557</v>
      </c>
      <c r="C3639" s="611" t="s">
        <v>1267</v>
      </c>
      <c r="D3639" s="611">
        <v>142168.73092</v>
      </c>
      <c r="E3639" s="611">
        <v>42705.72</v>
      </c>
      <c r="F3639" s="611">
        <v>99463.010920000001</v>
      </c>
      <c r="G3639" s="611">
        <v>3456</v>
      </c>
      <c r="H3639" s="611">
        <v>145277.46279000002</v>
      </c>
      <c r="I3639" s="611">
        <v>5</v>
      </c>
      <c r="J3639" s="611">
        <v>3108.7318800000039</v>
      </c>
      <c r="K3639" s="611">
        <v>3451</v>
      </c>
      <c r="L3639" s="611">
        <v>142168.73091000001</v>
      </c>
      <c r="M3639" s="611">
        <v>142168.73091000001</v>
      </c>
      <c r="N3639" s="611">
        <v>42705.72</v>
      </c>
      <c r="O3639" s="611">
        <v>0</v>
      </c>
      <c r="P3639" s="611">
        <v>99463.010910000012</v>
      </c>
      <c r="Q3639" s="611">
        <v>99463.010910000012</v>
      </c>
    </row>
    <row r="3640" spans="1:38" ht="15">
      <c r="A3640" s="611"/>
      <c r="B3640" s="611"/>
      <c r="C3640" s="611" t="s">
        <v>1197</v>
      </c>
      <c r="D3640" s="611">
        <v>117324.47142</v>
      </c>
      <c r="E3640" s="611">
        <v>35254.29</v>
      </c>
      <c r="F3640" s="611">
        <v>82070.181420000008</v>
      </c>
      <c r="G3640" s="611">
        <v>1671</v>
      </c>
      <c r="H3640" s="611">
        <v>120050.90670000001</v>
      </c>
      <c r="I3640" s="611">
        <v>2</v>
      </c>
      <c r="J3640" s="611">
        <v>2726.435290000004</v>
      </c>
      <c r="K3640" s="611">
        <v>1669</v>
      </c>
      <c r="L3640" s="611">
        <v>117324.47141000001</v>
      </c>
      <c r="M3640" s="611">
        <v>117324.47141000001</v>
      </c>
      <c r="N3640" s="611">
        <v>35254.29</v>
      </c>
      <c r="O3640" s="611">
        <v>0</v>
      </c>
      <c r="Q3640" s="611">
        <v>82070.182079999999</v>
      </c>
      <c r="AL3640" s="611">
        <v>82070.181410000005</v>
      </c>
    </row>
    <row r="3641" spans="1:38" ht="15">
      <c r="A3641" s="611"/>
      <c r="B3641" s="611"/>
      <c r="C3641" s="611" t="s">
        <v>1198</v>
      </c>
      <c r="D3641" s="611">
        <v>0</v>
      </c>
      <c r="E3641" s="611">
        <v>0</v>
      </c>
      <c r="F3641" s="611">
        <v>0</v>
      </c>
      <c r="G3641" s="611">
        <v>0</v>
      </c>
      <c r="H3641" s="611">
        <v>0</v>
      </c>
      <c r="I3641" s="611">
        <v>0</v>
      </c>
      <c r="J3641" s="611">
        <v>0</v>
      </c>
      <c r="K3641" s="611">
        <v>0</v>
      </c>
      <c r="L3641" s="611">
        <v>0</v>
      </c>
      <c r="M3641" s="611">
        <v>0</v>
      </c>
      <c r="N3641" s="611">
        <v>0</v>
      </c>
      <c r="O3641" s="611">
        <v>0</v>
      </c>
      <c r="P3641" s="611">
        <v>0</v>
      </c>
      <c r="Q3641" s="611">
        <v>0</v>
      </c>
    </row>
    <row r="3642" spans="1:38" ht="15">
      <c r="A3642" s="611"/>
      <c r="B3642" s="611"/>
      <c r="C3642" s="611" t="s">
        <v>1199</v>
      </c>
      <c r="D3642" s="611">
        <v>24844.2595</v>
      </c>
      <c r="E3642" s="611">
        <v>7451.4299999999994</v>
      </c>
      <c r="F3642" s="611">
        <v>17392.8295</v>
      </c>
      <c r="G3642" s="611">
        <v>1785</v>
      </c>
      <c r="H3642" s="611">
        <v>25226.556090000005</v>
      </c>
      <c r="I3642" s="611">
        <v>3</v>
      </c>
      <c r="J3642" s="611">
        <v>382.29659000000015</v>
      </c>
      <c r="K3642" s="611">
        <v>1782</v>
      </c>
      <c r="L3642" s="611">
        <v>24844.2595</v>
      </c>
      <c r="M3642" s="611">
        <v>24844.2595</v>
      </c>
      <c r="N3642" s="611">
        <v>7451.4299999999994</v>
      </c>
      <c r="O3642" s="611">
        <v>0</v>
      </c>
      <c r="P3642" s="611">
        <v>17392.829500000003</v>
      </c>
      <c r="Q3642" s="611">
        <v>17392.828830000006</v>
      </c>
    </row>
    <row r="3643" spans="1:38" ht="15">
      <c r="A3643" s="611">
        <v>21</v>
      </c>
      <c r="B3643" s="611" t="s">
        <v>1558</v>
      </c>
      <c r="C3643" s="611" t="s">
        <v>1267</v>
      </c>
      <c r="D3643" s="611">
        <v>114317.86890000002</v>
      </c>
      <c r="E3643" s="611">
        <v>34334.97</v>
      </c>
      <c r="F3643" s="611">
        <v>79982.898900000015</v>
      </c>
      <c r="G3643" s="611">
        <v>3554</v>
      </c>
      <c r="H3643" s="611">
        <v>117126.46687999999</v>
      </c>
      <c r="I3643" s="611">
        <v>3</v>
      </c>
      <c r="J3643" s="611">
        <v>2808.5979700000021</v>
      </c>
      <c r="K3643" s="611">
        <v>3551</v>
      </c>
      <c r="L3643" s="611">
        <v>114317.86891</v>
      </c>
      <c r="M3643" s="611">
        <v>114317.86891</v>
      </c>
      <c r="N3643" s="611">
        <v>34334.97</v>
      </c>
      <c r="O3643" s="611">
        <v>0</v>
      </c>
      <c r="P3643" s="611">
        <v>79982.898910000004</v>
      </c>
      <c r="Q3643" s="611">
        <v>79982.898910000004</v>
      </c>
    </row>
    <row r="3644" spans="1:38" ht="15">
      <c r="A3644" s="611"/>
      <c r="B3644" s="611"/>
      <c r="C3644" s="611" t="s">
        <v>1197</v>
      </c>
      <c r="D3644" s="611">
        <v>82090.737740000011</v>
      </c>
      <c r="E3644" s="611">
        <v>24646.530000000002</v>
      </c>
      <c r="F3644" s="611">
        <v>57444.207740000013</v>
      </c>
      <c r="G3644" s="611">
        <v>1290</v>
      </c>
      <c r="H3644" s="611">
        <v>84682.67190999999</v>
      </c>
      <c r="I3644" s="611">
        <v>2</v>
      </c>
      <c r="J3644" s="611">
        <v>2591.9341600000025</v>
      </c>
      <c r="K3644" s="611">
        <v>1288</v>
      </c>
      <c r="L3644" s="611">
        <v>82090.73775</v>
      </c>
      <c r="M3644" s="611">
        <v>82090.73775</v>
      </c>
      <c r="N3644" s="611">
        <v>24646.530000000002</v>
      </c>
      <c r="O3644" s="611">
        <v>0</v>
      </c>
      <c r="Q3644" s="611">
        <v>57444.207279999995</v>
      </c>
      <c r="AL3644" s="611">
        <v>57444.207749999994</v>
      </c>
    </row>
    <row r="3645" spans="1:38" ht="15">
      <c r="A3645" s="611"/>
      <c r="B3645" s="611"/>
      <c r="C3645" s="611" t="s">
        <v>1198</v>
      </c>
      <c r="D3645" s="611">
        <v>0</v>
      </c>
      <c r="E3645" s="611">
        <v>0</v>
      </c>
      <c r="F3645" s="611">
        <v>0</v>
      </c>
      <c r="G3645" s="611">
        <v>0</v>
      </c>
      <c r="H3645" s="611">
        <v>0</v>
      </c>
      <c r="I3645" s="611">
        <v>0</v>
      </c>
      <c r="J3645" s="611">
        <v>0</v>
      </c>
      <c r="K3645" s="611">
        <v>0</v>
      </c>
      <c r="L3645" s="611">
        <v>0</v>
      </c>
      <c r="M3645" s="611">
        <v>0</v>
      </c>
      <c r="N3645" s="611">
        <v>0</v>
      </c>
      <c r="O3645" s="611">
        <v>0</v>
      </c>
      <c r="P3645" s="611">
        <v>0</v>
      </c>
      <c r="Q3645" s="611">
        <v>0</v>
      </c>
    </row>
    <row r="3646" spans="1:38" ht="15">
      <c r="A3646" s="611"/>
      <c r="B3646" s="611"/>
      <c r="C3646" s="611" t="s">
        <v>1199</v>
      </c>
      <c r="D3646" s="611">
        <v>32227.131160000001</v>
      </c>
      <c r="E3646" s="611">
        <v>9688.4399999999987</v>
      </c>
      <c r="F3646" s="611">
        <v>22538.691160000002</v>
      </c>
      <c r="G3646" s="611">
        <v>2264</v>
      </c>
      <c r="H3646" s="611">
        <v>32443.794970000006</v>
      </c>
      <c r="I3646" s="611">
        <v>1</v>
      </c>
      <c r="J3646" s="611">
        <v>216.66380999999967</v>
      </c>
      <c r="K3646" s="611">
        <v>2263</v>
      </c>
      <c r="L3646" s="611">
        <v>32227.131160000004</v>
      </c>
      <c r="M3646" s="611">
        <v>32227.131160000004</v>
      </c>
      <c r="N3646" s="611">
        <v>9688.4399999999987</v>
      </c>
      <c r="O3646" s="611">
        <v>0</v>
      </c>
      <c r="P3646" s="611">
        <v>22538.691160000006</v>
      </c>
      <c r="Q3646" s="611">
        <v>22538.691630000005</v>
      </c>
    </row>
    <row r="3647" spans="1:38" ht="15">
      <c r="A3647" s="611">
        <v>22</v>
      </c>
      <c r="B3647" s="611" t="s">
        <v>1559</v>
      </c>
      <c r="C3647" s="611" t="s">
        <v>1267</v>
      </c>
      <c r="D3647" s="611">
        <v>96738.395359999995</v>
      </c>
      <c r="E3647" s="611">
        <v>29033.91</v>
      </c>
      <c r="F3647" s="611">
        <v>67704.485360000006</v>
      </c>
      <c r="G3647" s="611">
        <v>2073</v>
      </c>
      <c r="H3647" s="611">
        <v>102461.79671000001</v>
      </c>
      <c r="I3647" s="611">
        <v>2</v>
      </c>
      <c r="J3647" s="611">
        <v>5723.401350000001</v>
      </c>
      <c r="K3647" s="611">
        <v>2071</v>
      </c>
      <c r="L3647" s="611">
        <v>96738.395359999995</v>
      </c>
      <c r="M3647" s="611">
        <v>96738.395359999995</v>
      </c>
      <c r="N3647" s="611">
        <v>29033.91</v>
      </c>
      <c r="O3647" s="611">
        <v>0</v>
      </c>
      <c r="P3647" s="611">
        <v>67704.485360000006</v>
      </c>
      <c r="Q3647" s="611">
        <v>67704.485359999991</v>
      </c>
    </row>
    <row r="3648" spans="1:38" ht="15">
      <c r="A3648" s="611"/>
      <c r="B3648" s="611"/>
      <c r="C3648" s="611" t="s">
        <v>1197</v>
      </c>
      <c r="D3648" s="611">
        <v>85387.515429999999</v>
      </c>
      <c r="E3648" s="611">
        <v>25643.85</v>
      </c>
      <c r="F3648" s="611">
        <v>59743.665430000001</v>
      </c>
      <c r="G3648" s="611">
        <v>1349</v>
      </c>
      <c r="H3648" s="611">
        <v>91045.288420000012</v>
      </c>
      <c r="I3648" s="611">
        <v>1</v>
      </c>
      <c r="J3648" s="611">
        <v>5657.7729900000013</v>
      </c>
      <c r="K3648" s="611">
        <v>1348</v>
      </c>
      <c r="L3648" s="611">
        <v>85387.515429999999</v>
      </c>
      <c r="M3648" s="611">
        <v>85387.515429999999</v>
      </c>
      <c r="N3648" s="611">
        <v>25643.85</v>
      </c>
      <c r="O3648" s="611">
        <v>0</v>
      </c>
      <c r="Q3648" s="611">
        <v>59743.695409999993</v>
      </c>
      <c r="AL3648" s="611">
        <v>59743.665430000001</v>
      </c>
    </row>
    <row r="3649" spans="1:38" ht="15">
      <c r="A3649" s="611"/>
      <c r="B3649" s="611"/>
      <c r="C3649" s="611" t="s">
        <v>1198</v>
      </c>
      <c r="D3649" s="611">
        <v>0</v>
      </c>
      <c r="E3649" s="611">
        <v>0</v>
      </c>
      <c r="F3649" s="611">
        <v>0</v>
      </c>
      <c r="G3649" s="611">
        <v>0</v>
      </c>
      <c r="H3649" s="611">
        <v>0</v>
      </c>
      <c r="I3649" s="611">
        <v>0</v>
      </c>
      <c r="J3649" s="611">
        <v>0</v>
      </c>
      <c r="K3649" s="611">
        <v>0</v>
      </c>
      <c r="L3649" s="611">
        <v>0</v>
      </c>
      <c r="M3649" s="611">
        <v>0</v>
      </c>
      <c r="N3649" s="611">
        <v>0</v>
      </c>
      <c r="O3649" s="611">
        <v>0</v>
      </c>
      <c r="P3649" s="611">
        <v>0</v>
      </c>
      <c r="Q3649" s="611">
        <v>0</v>
      </c>
    </row>
    <row r="3650" spans="1:38" ht="15">
      <c r="A3650" s="611"/>
      <c r="B3650" s="611"/>
      <c r="C3650" s="611" t="s">
        <v>1199</v>
      </c>
      <c r="D3650" s="611">
        <v>11350.879930000001</v>
      </c>
      <c r="E3650" s="611">
        <v>3390.06</v>
      </c>
      <c r="F3650" s="611">
        <v>7960.8199300000015</v>
      </c>
      <c r="G3650" s="611">
        <v>724</v>
      </c>
      <c r="H3650" s="611">
        <v>11416.50829</v>
      </c>
      <c r="I3650" s="611">
        <v>1</v>
      </c>
      <c r="J3650" s="611">
        <v>65.62835999999993</v>
      </c>
      <c r="K3650" s="611">
        <v>723</v>
      </c>
      <c r="L3650" s="611">
        <v>11350.879929999999</v>
      </c>
      <c r="M3650" s="611">
        <v>11350.879929999999</v>
      </c>
      <c r="N3650" s="611">
        <v>3390.06</v>
      </c>
      <c r="O3650" s="611">
        <v>0</v>
      </c>
      <c r="P3650" s="611">
        <v>7960.8199299999997</v>
      </c>
      <c r="Q3650" s="611">
        <v>7960.7899499999985</v>
      </c>
    </row>
    <row r="3651" spans="1:38" ht="15">
      <c r="A3651" s="611">
        <v>23</v>
      </c>
      <c r="B3651" s="611" t="s">
        <v>1560</v>
      </c>
      <c r="C3651" s="611" t="s">
        <v>1267</v>
      </c>
      <c r="D3651" s="611">
        <v>81880.054779999991</v>
      </c>
      <c r="E3651" s="611">
        <v>24574.71</v>
      </c>
      <c r="F3651" s="611">
        <v>57305.344779999999</v>
      </c>
      <c r="G3651" s="611">
        <v>2238</v>
      </c>
      <c r="H3651" s="611">
        <v>84326.306500000006</v>
      </c>
      <c r="I3651" s="611">
        <v>8</v>
      </c>
      <c r="J3651" s="611">
        <v>2446.2517200000002</v>
      </c>
      <c r="K3651" s="611">
        <v>2230</v>
      </c>
      <c r="L3651" s="611">
        <v>81880.054780000006</v>
      </c>
      <c r="M3651" s="611">
        <v>81880.054780000006</v>
      </c>
      <c r="N3651" s="611">
        <v>24574.71</v>
      </c>
      <c r="O3651" s="611">
        <v>0</v>
      </c>
      <c r="P3651" s="611">
        <v>57305.344779999999</v>
      </c>
      <c r="Q3651" s="611">
        <v>57305.344780000007</v>
      </c>
    </row>
    <row r="3652" spans="1:38" ht="15">
      <c r="A3652" s="611"/>
      <c r="B3652" s="611"/>
      <c r="C3652" s="611" t="s">
        <v>1197</v>
      </c>
      <c r="D3652" s="611">
        <v>64042.124279999996</v>
      </c>
      <c r="E3652" s="611">
        <v>19535.16</v>
      </c>
      <c r="F3652" s="611">
        <v>44506.96428</v>
      </c>
      <c r="G3652" s="611">
        <v>1053</v>
      </c>
      <c r="H3652" s="611">
        <v>66308.565459999998</v>
      </c>
      <c r="I3652" s="611">
        <v>5</v>
      </c>
      <c r="J3652" s="611">
        <v>2266.4411800000007</v>
      </c>
      <c r="K3652" s="611">
        <v>1048</v>
      </c>
      <c r="L3652" s="611">
        <v>64042.124280000004</v>
      </c>
      <c r="M3652" s="611">
        <v>64042.124280000004</v>
      </c>
      <c r="N3652" s="611">
        <v>19535.16</v>
      </c>
      <c r="O3652" s="611">
        <v>0</v>
      </c>
      <c r="Q3652" s="611">
        <v>44506.964560000008</v>
      </c>
      <c r="AL3652" s="611">
        <v>44506.96428</v>
      </c>
    </row>
    <row r="3653" spans="1:38" ht="15">
      <c r="A3653" s="611"/>
      <c r="B3653" s="611"/>
      <c r="C3653" s="611" t="s">
        <v>1198</v>
      </c>
      <c r="D3653" s="611">
        <v>0</v>
      </c>
      <c r="E3653" s="611">
        <v>0</v>
      </c>
      <c r="F3653" s="611">
        <v>0</v>
      </c>
      <c r="G3653" s="611">
        <v>0</v>
      </c>
      <c r="H3653" s="611">
        <v>0</v>
      </c>
      <c r="I3653" s="611">
        <v>0</v>
      </c>
      <c r="J3653" s="611">
        <v>0</v>
      </c>
      <c r="K3653" s="611">
        <v>0</v>
      </c>
      <c r="L3653" s="611">
        <v>0</v>
      </c>
      <c r="M3653" s="611">
        <v>0</v>
      </c>
      <c r="N3653" s="611">
        <v>0</v>
      </c>
      <c r="O3653" s="611">
        <v>0</v>
      </c>
      <c r="P3653" s="611">
        <v>0</v>
      </c>
      <c r="Q3653" s="611">
        <v>0</v>
      </c>
    </row>
    <row r="3654" spans="1:38" ht="15">
      <c r="A3654" s="611"/>
      <c r="B3654" s="611"/>
      <c r="C3654" s="611" t="s">
        <v>1199</v>
      </c>
      <c r="D3654" s="611">
        <v>17837.930499999999</v>
      </c>
      <c r="E3654" s="611">
        <v>5039.55</v>
      </c>
      <c r="F3654" s="611">
        <v>12798.380499999999</v>
      </c>
      <c r="G3654" s="611">
        <v>1185</v>
      </c>
      <c r="H3654" s="611">
        <v>18017.741040000001</v>
      </c>
      <c r="I3654" s="611">
        <v>3</v>
      </c>
      <c r="J3654" s="611">
        <v>179.81053999999972</v>
      </c>
      <c r="K3654" s="611">
        <v>1182</v>
      </c>
      <c r="L3654" s="611">
        <v>17837.930499999999</v>
      </c>
      <c r="M3654" s="611">
        <v>17837.930499999999</v>
      </c>
      <c r="N3654" s="611">
        <v>5039.55</v>
      </c>
      <c r="O3654" s="611">
        <v>0</v>
      </c>
      <c r="P3654" s="611">
        <v>12798.380500000001</v>
      </c>
      <c r="Q3654" s="611">
        <v>12798.380220000001</v>
      </c>
    </row>
    <row r="3655" spans="1:38" ht="15">
      <c r="A3655" s="611">
        <v>24</v>
      </c>
      <c r="B3655" s="611" t="s">
        <v>1561</v>
      </c>
      <c r="C3655" s="611" t="s">
        <v>1267</v>
      </c>
      <c r="D3655" s="611">
        <v>110472.3962</v>
      </c>
      <c r="E3655" s="611">
        <v>33187.14</v>
      </c>
      <c r="F3655" s="611">
        <v>77285.256200000003</v>
      </c>
      <c r="G3655" s="611">
        <v>2722</v>
      </c>
      <c r="H3655" s="611">
        <v>115099.27376000001</v>
      </c>
      <c r="I3655" s="611">
        <v>15</v>
      </c>
      <c r="J3655" s="611">
        <v>4626.8775599999999</v>
      </c>
      <c r="K3655" s="611">
        <v>2707</v>
      </c>
      <c r="L3655" s="611">
        <v>110472.3962</v>
      </c>
      <c r="M3655" s="611">
        <v>110472.3962</v>
      </c>
      <c r="N3655" s="611">
        <v>33187.14</v>
      </c>
      <c r="O3655" s="611">
        <v>0</v>
      </c>
      <c r="P3655" s="611">
        <v>77285.256200000003</v>
      </c>
      <c r="Q3655" s="611">
        <v>77285.256200000003</v>
      </c>
    </row>
    <row r="3656" spans="1:38" ht="15">
      <c r="A3656" s="611"/>
      <c r="B3656" s="611"/>
      <c r="C3656" s="611" t="s">
        <v>1197</v>
      </c>
      <c r="D3656" s="611">
        <v>92898.863190000004</v>
      </c>
      <c r="E3656" s="611">
        <v>27912.359999999997</v>
      </c>
      <c r="F3656" s="611">
        <v>64986.503190000003</v>
      </c>
      <c r="G3656" s="611">
        <v>1472</v>
      </c>
      <c r="H3656" s="611">
        <v>97359.291530000002</v>
      </c>
      <c r="I3656" s="611">
        <v>12</v>
      </c>
      <c r="J3656" s="611">
        <v>4460.4283400000004</v>
      </c>
      <c r="K3656" s="611">
        <v>1460</v>
      </c>
      <c r="L3656" s="611">
        <v>92898.863190000004</v>
      </c>
      <c r="M3656" s="611">
        <v>92898.863190000004</v>
      </c>
      <c r="N3656" s="611">
        <v>27912.359999999997</v>
      </c>
      <c r="O3656" s="611">
        <v>0</v>
      </c>
      <c r="Q3656" s="611">
        <v>64986.503219999999</v>
      </c>
      <c r="AL3656" s="611">
        <v>64986.503190000003</v>
      </c>
    </row>
    <row r="3657" spans="1:38" ht="15">
      <c r="A3657" s="611"/>
      <c r="B3657" s="611"/>
      <c r="C3657" s="611" t="s">
        <v>1198</v>
      </c>
      <c r="D3657" s="611">
        <v>0</v>
      </c>
      <c r="E3657" s="611">
        <v>0</v>
      </c>
      <c r="F3657" s="611">
        <v>0</v>
      </c>
      <c r="G3657" s="611">
        <v>0</v>
      </c>
      <c r="H3657" s="611">
        <v>0</v>
      </c>
      <c r="I3657" s="611">
        <v>0</v>
      </c>
      <c r="J3657" s="611">
        <v>0</v>
      </c>
      <c r="K3657" s="611">
        <v>0</v>
      </c>
      <c r="L3657" s="611">
        <v>0</v>
      </c>
      <c r="M3657" s="611">
        <v>0</v>
      </c>
      <c r="N3657" s="611">
        <v>0</v>
      </c>
      <c r="O3657" s="611">
        <v>0</v>
      </c>
      <c r="P3657" s="611">
        <v>0</v>
      </c>
      <c r="Q3657" s="611">
        <v>0</v>
      </c>
    </row>
    <row r="3658" spans="1:38" ht="15">
      <c r="A3658" s="611"/>
      <c r="B3658" s="611"/>
      <c r="C3658" s="611" t="s">
        <v>1199</v>
      </c>
      <c r="D3658" s="611">
        <v>17573.533009999999</v>
      </c>
      <c r="E3658" s="611">
        <v>5274.78</v>
      </c>
      <c r="F3658" s="611">
        <v>12298.75301</v>
      </c>
      <c r="G3658" s="611">
        <v>1250</v>
      </c>
      <c r="H3658" s="611">
        <v>17739.982230000001</v>
      </c>
      <c r="I3658" s="611">
        <v>3</v>
      </c>
      <c r="J3658" s="611">
        <v>166.44921999999974</v>
      </c>
      <c r="K3658" s="611">
        <v>1247</v>
      </c>
      <c r="L3658" s="611">
        <v>17573.533009999999</v>
      </c>
      <c r="M3658" s="611">
        <v>17573.533009999999</v>
      </c>
      <c r="N3658" s="611">
        <v>5274.78</v>
      </c>
      <c r="O3658" s="611">
        <v>0</v>
      </c>
      <c r="P3658" s="611">
        <v>12298.75301</v>
      </c>
      <c r="Q3658" s="611">
        <v>12298.752979999999</v>
      </c>
    </row>
    <row r="3659" spans="1:38" ht="15">
      <c r="A3659" s="611">
        <v>25</v>
      </c>
      <c r="B3659" s="611" t="s">
        <v>1562</v>
      </c>
      <c r="C3659" s="611" t="s">
        <v>1267</v>
      </c>
      <c r="D3659" s="611">
        <v>52232.002370000002</v>
      </c>
      <c r="E3659" s="611">
        <v>15669.75</v>
      </c>
      <c r="F3659" s="611">
        <v>36562.252370000002</v>
      </c>
      <c r="G3659" s="611">
        <v>3553</v>
      </c>
      <c r="H3659" s="611">
        <v>52726.505269999994</v>
      </c>
      <c r="I3659" s="611">
        <v>1</v>
      </c>
      <c r="J3659" s="611">
        <v>494.50289999999995</v>
      </c>
      <c r="K3659" s="611">
        <v>3552</v>
      </c>
      <c r="L3659" s="611">
        <v>52232.002370000002</v>
      </c>
      <c r="M3659" s="611">
        <v>52232.002370000002</v>
      </c>
      <c r="N3659" s="611">
        <v>15669.75</v>
      </c>
      <c r="O3659" s="611">
        <v>0</v>
      </c>
      <c r="P3659" s="611">
        <v>36562.252370000002</v>
      </c>
      <c r="Q3659" s="611">
        <v>36562.252370000002</v>
      </c>
    </row>
    <row r="3660" spans="1:38" ht="15">
      <c r="A3660" s="611"/>
      <c r="B3660" s="611"/>
      <c r="C3660" s="611" t="s">
        <v>1197</v>
      </c>
      <c r="D3660" s="611">
        <v>0</v>
      </c>
      <c r="E3660" s="611">
        <v>0</v>
      </c>
      <c r="F3660" s="611">
        <v>0</v>
      </c>
      <c r="G3660" s="611">
        <v>0</v>
      </c>
      <c r="H3660" s="611">
        <v>0</v>
      </c>
      <c r="I3660" s="611">
        <v>0</v>
      </c>
      <c r="J3660" s="611">
        <v>0</v>
      </c>
      <c r="K3660" s="611">
        <v>0</v>
      </c>
      <c r="L3660" s="611">
        <v>0</v>
      </c>
      <c r="M3660" s="611">
        <v>0</v>
      </c>
      <c r="N3660" s="611">
        <v>0</v>
      </c>
      <c r="O3660" s="611">
        <v>0</v>
      </c>
      <c r="P3660" s="611">
        <v>0</v>
      </c>
      <c r="Q3660" s="611">
        <v>0</v>
      </c>
    </row>
    <row r="3661" spans="1:38" ht="15">
      <c r="A3661" s="611"/>
      <c r="B3661" s="611"/>
      <c r="C3661" s="611" t="s">
        <v>1198</v>
      </c>
      <c r="D3661" s="611">
        <v>0</v>
      </c>
      <c r="E3661" s="611">
        <v>0</v>
      </c>
      <c r="F3661" s="611">
        <v>0</v>
      </c>
      <c r="G3661" s="611">
        <v>0</v>
      </c>
      <c r="H3661" s="611">
        <v>0</v>
      </c>
      <c r="I3661" s="611">
        <v>0</v>
      </c>
      <c r="J3661" s="611">
        <v>0</v>
      </c>
      <c r="K3661" s="611">
        <v>0</v>
      </c>
      <c r="L3661" s="611">
        <v>0</v>
      </c>
      <c r="M3661" s="611">
        <v>0</v>
      </c>
      <c r="N3661" s="611">
        <v>0</v>
      </c>
      <c r="O3661" s="611">
        <v>0</v>
      </c>
      <c r="P3661" s="611">
        <v>0</v>
      </c>
      <c r="Q3661" s="611">
        <v>0</v>
      </c>
    </row>
    <row r="3662" spans="1:38" ht="15">
      <c r="A3662" s="611"/>
      <c r="B3662" s="611"/>
      <c r="C3662" s="611" t="s">
        <v>1199</v>
      </c>
      <c r="D3662" s="611">
        <v>52232.002370000002</v>
      </c>
      <c r="E3662" s="611">
        <v>15669.75</v>
      </c>
      <c r="F3662" s="611">
        <v>36562.252370000002</v>
      </c>
      <c r="G3662" s="611">
        <v>3553</v>
      </c>
      <c r="H3662" s="611">
        <v>52726.505269999994</v>
      </c>
      <c r="I3662" s="611">
        <v>1</v>
      </c>
      <c r="J3662" s="611">
        <v>494.50289999999995</v>
      </c>
      <c r="K3662" s="611">
        <v>3552</v>
      </c>
      <c r="L3662" s="611">
        <v>52232.002370000002</v>
      </c>
      <c r="M3662" s="611">
        <v>52232.002370000002</v>
      </c>
      <c r="N3662" s="611">
        <v>15669.75</v>
      </c>
      <c r="O3662" s="611">
        <v>0</v>
      </c>
      <c r="P3662" s="611">
        <v>36562.252370000002</v>
      </c>
      <c r="Q3662" s="611">
        <v>36562.252370000002</v>
      </c>
    </row>
    <row r="3663" spans="1:38" ht="15">
      <c r="A3663" s="611">
        <v>26</v>
      </c>
      <c r="B3663" s="611" t="s">
        <v>1563</v>
      </c>
      <c r="C3663" s="611" t="s">
        <v>1267</v>
      </c>
      <c r="D3663" s="611">
        <v>41833.802560000004</v>
      </c>
      <c r="E3663" s="611">
        <v>12551.640000000001</v>
      </c>
      <c r="F3663" s="611">
        <v>29282.162560000004</v>
      </c>
      <c r="G3663" s="611">
        <v>3061</v>
      </c>
      <c r="H3663" s="611">
        <v>44735.598340000004</v>
      </c>
      <c r="I3663" s="611">
        <v>3</v>
      </c>
      <c r="J3663" s="611">
        <v>2901.7957799999976</v>
      </c>
      <c r="K3663" s="611">
        <v>3058</v>
      </c>
      <c r="L3663" s="611">
        <v>41833.802559999989</v>
      </c>
      <c r="M3663" s="611">
        <v>41833.802559999989</v>
      </c>
      <c r="N3663" s="611">
        <v>12551.64</v>
      </c>
      <c r="O3663" s="611">
        <v>0</v>
      </c>
      <c r="P3663" s="611">
        <v>29282.162560000001</v>
      </c>
      <c r="Q3663" s="611">
        <v>29282.162560000001</v>
      </c>
    </row>
    <row r="3664" spans="1:38" ht="15">
      <c r="A3664" s="611"/>
      <c r="B3664" s="611"/>
      <c r="C3664" s="611" t="s">
        <v>1197</v>
      </c>
      <c r="D3664" s="611">
        <v>0</v>
      </c>
      <c r="E3664" s="611">
        <v>0</v>
      </c>
      <c r="F3664" s="611">
        <v>0</v>
      </c>
      <c r="G3664" s="611">
        <v>0</v>
      </c>
      <c r="H3664" s="611">
        <v>0</v>
      </c>
      <c r="I3664" s="611">
        <v>0</v>
      </c>
      <c r="J3664" s="611">
        <v>0</v>
      </c>
      <c r="K3664" s="611">
        <v>0</v>
      </c>
      <c r="L3664" s="611">
        <v>0</v>
      </c>
      <c r="M3664" s="611">
        <v>0</v>
      </c>
      <c r="N3664" s="611">
        <v>0</v>
      </c>
      <c r="O3664" s="611">
        <v>0</v>
      </c>
      <c r="P3664" s="611">
        <v>0</v>
      </c>
      <c r="Q3664" s="611">
        <v>0</v>
      </c>
    </row>
    <row r="3665" spans="1:17" ht="15">
      <c r="A3665" s="611"/>
      <c r="B3665" s="611"/>
      <c r="C3665" s="611" t="s">
        <v>1198</v>
      </c>
      <c r="D3665" s="611">
        <v>0</v>
      </c>
      <c r="E3665" s="611">
        <v>0</v>
      </c>
      <c r="F3665" s="611">
        <v>0</v>
      </c>
      <c r="G3665" s="611">
        <v>0</v>
      </c>
      <c r="H3665" s="611">
        <v>0</v>
      </c>
      <c r="I3665" s="611">
        <v>0</v>
      </c>
      <c r="J3665" s="611">
        <v>0</v>
      </c>
      <c r="K3665" s="611">
        <v>0</v>
      </c>
      <c r="L3665" s="611">
        <v>0</v>
      </c>
      <c r="M3665" s="611">
        <v>0</v>
      </c>
      <c r="N3665" s="611">
        <v>0</v>
      </c>
      <c r="O3665" s="611">
        <v>0</v>
      </c>
      <c r="P3665" s="611">
        <v>0</v>
      </c>
      <c r="Q3665" s="611">
        <v>0</v>
      </c>
    </row>
    <row r="3666" spans="1:17" ht="15">
      <c r="A3666" s="611"/>
      <c r="B3666" s="611"/>
      <c r="C3666" s="611" t="s">
        <v>1199</v>
      </c>
      <c r="D3666" s="611">
        <v>41833.802560000004</v>
      </c>
      <c r="E3666" s="611">
        <v>12551.640000000001</v>
      </c>
      <c r="F3666" s="611">
        <v>29282.162560000004</v>
      </c>
      <c r="G3666" s="611">
        <v>3061</v>
      </c>
      <c r="H3666" s="611">
        <v>44735.598340000004</v>
      </c>
      <c r="I3666" s="611">
        <v>3</v>
      </c>
      <c r="J3666" s="611">
        <v>2901.7957799999976</v>
      </c>
      <c r="K3666" s="611">
        <v>3058</v>
      </c>
      <c r="L3666" s="611">
        <v>41833.802559999989</v>
      </c>
      <c r="M3666" s="611">
        <v>41833.802559999989</v>
      </c>
      <c r="N3666" s="611">
        <v>12551.64</v>
      </c>
      <c r="O3666" s="611">
        <v>0</v>
      </c>
      <c r="P3666" s="611">
        <v>29282.162560000001</v>
      </c>
      <c r="Q3666" s="611">
        <v>29282.162560000001</v>
      </c>
    </row>
    <row r="3667" spans="1:17" ht="15">
      <c r="A3667" s="611">
        <v>27</v>
      </c>
      <c r="B3667" s="611" t="s">
        <v>1564</v>
      </c>
      <c r="C3667" s="611" t="s">
        <v>1267</v>
      </c>
      <c r="D3667" s="611">
        <v>67771.972679999992</v>
      </c>
      <c r="E3667" s="611">
        <v>20336.91</v>
      </c>
      <c r="F3667" s="611">
        <v>47435.062679999988</v>
      </c>
      <c r="G3667" s="611">
        <v>4643</v>
      </c>
      <c r="H3667" s="611">
        <v>68337.513659999997</v>
      </c>
      <c r="I3667" s="611">
        <v>4</v>
      </c>
      <c r="J3667" s="611">
        <v>565.54097999999999</v>
      </c>
      <c r="K3667" s="611">
        <v>4639</v>
      </c>
      <c r="L3667" s="611">
        <v>67771.972679999992</v>
      </c>
      <c r="M3667" s="611">
        <v>67771.972679999992</v>
      </c>
      <c r="N3667" s="611">
        <v>20336.91</v>
      </c>
      <c r="O3667" s="611">
        <v>0</v>
      </c>
      <c r="P3667" s="611">
        <v>47435.062680000003</v>
      </c>
      <c r="Q3667" s="611">
        <v>47435.062680000003</v>
      </c>
    </row>
    <row r="3668" spans="1:17" ht="15">
      <c r="A3668" s="611"/>
      <c r="B3668" s="611"/>
      <c r="C3668" s="611" t="s">
        <v>1197</v>
      </c>
      <c r="D3668" s="611">
        <v>0</v>
      </c>
      <c r="E3668" s="611">
        <v>0</v>
      </c>
      <c r="F3668" s="611">
        <v>0</v>
      </c>
      <c r="G3668" s="611">
        <v>0</v>
      </c>
      <c r="H3668" s="611">
        <v>0</v>
      </c>
      <c r="I3668" s="611">
        <v>0</v>
      </c>
      <c r="J3668" s="611">
        <v>0</v>
      </c>
      <c r="K3668" s="611">
        <v>0</v>
      </c>
      <c r="L3668" s="611">
        <v>0</v>
      </c>
      <c r="M3668" s="611">
        <v>0</v>
      </c>
      <c r="N3668" s="611">
        <v>0</v>
      </c>
      <c r="O3668" s="611">
        <v>0</v>
      </c>
      <c r="P3668" s="611">
        <v>0</v>
      </c>
      <c r="Q3668" s="611">
        <v>0</v>
      </c>
    </row>
    <row r="3669" spans="1:17" ht="15">
      <c r="A3669" s="611"/>
      <c r="B3669" s="611"/>
      <c r="C3669" s="611" t="s">
        <v>1198</v>
      </c>
      <c r="D3669" s="611">
        <v>0</v>
      </c>
      <c r="E3669" s="611">
        <v>0</v>
      </c>
      <c r="F3669" s="611">
        <v>0</v>
      </c>
      <c r="G3669" s="611">
        <v>0</v>
      </c>
      <c r="H3669" s="611">
        <v>0</v>
      </c>
      <c r="I3669" s="611">
        <v>0</v>
      </c>
      <c r="J3669" s="611">
        <v>0</v>
      </c>
      <c r="K3669" s="611">
        <v>0</v>
      </c>
      <c r="L3669" s="611">
        <v>0</v>
      </c>
      <c r="M3669" s="611">
        <v>0</v>
      </c>
      <c r="N3669" s="611">
        <v>0</v>
      </c>
      <c r="O3669" s="611">
        <v>0</v>
      </c>
      <c r="P3669" s="611">
        <v>0</v>
      </c>
      <c r="Q3669" s="611">
        <v>0</v>
      </c>
    </row>
    <row r="3670" spans="1:17" ht="15">
      <c r="A3670" s="611"/>
      <c r="B3670" s="611"/>
      <c r="C3670" s="611" t="s">
        <v>1199</v>
      </c>
      <c r="D3670" s="611">
        <v>67771.972679999992</v>
      </c>
      <c r="E3670" s="611">
        <v>20336.91</v>
      </c>
      <c r="F3670" s="611">
        <v>47435.062679999988</v>
      </c>
      <c r="G3670" s="611">
        <v>4643</v>
      </c>
      <c r="H3670" s="611">
        <v>68337.513659999997</v>
      </c>
      <c r="I3670" s="611">
        <v>4</v>
      </c>
      <c r="J3670" s="611">
        <v>565.54097999999999</v>
      </c>
      <c r="K3670" s="611">
        <v>4639</v>
      </c>
      <c r="L3670" s="611">
        <v>67771.972679999992</v>
      </c>
      <c r="M3670" s="611">
        <v>67771.972679999992</v>
      </c>
      <c r="N3670" s="611">
        <v>20336.91</v>
      </c>
      <c r="O3670" s="611">
        <v>0</v>
      </c>
      <c r="P3670" s="611">
        <v>47435.062680000003</v>
      </c>
      <c r="Q3670" s="611">
        <v>47435.062680000003</v>
      </c>
    </row>
    <row r="3671" spans="1:17" ht="15">
      <c r="A3671" s="611">
        <v>28</v>
      </c>
      <c r="B3671" s="611" t="s">
        <v>1565</v>
      </c>
      <c r="C3671" s="611" t="s">
        <v>1267</v>
      </c>
      <c r="D3671" s="611">
        <v>38916.941630000001</v>
      </c>
      <c r="E3671" s="611">
        <v>11678.640000000001</v>
      </c>
      <c r="F3671" s="611">
        <v>27238.301630000002</v>
      </c>
      <c r="G3671" s="611">
        <v>2658</v>
      </c>
      <c r="H3671" s="611">
        <v>39675.586140000007</v>
      </c>
      <c r="I3671" s="611">
        <v>5</v>
      </c>
      <c r="J3671" s="611">
        <v>758.64451000000099</v>
      </c>
      <c r="K3671" s="611">
        <v>2653</v>
      </c>
      <c r="L3671" s="611">
        <v>38916.941629999994</v>
      </c>
      <c r="M3671" s="611">
        <v>38916.941629999994</v>
      </c>
      <c r="N3671" s="611">
        <v>11678.640000000001</v>
      </c>
      <c r="O3671" s="611">
        <v>0</v>
      </c>
      <c r="P3671" s="611">
        <v>27238.301630000002</v>
      </c>
      <c r="Q3671" s="611">
        <v>27238.301630000002</v>
      </c>
    </row>
    <row r="3672" spans="1:17" ht="15">
      <c r="A3672" s="611"/>
      <c r="B3672" s="611"/>
      <c r="C3672" s="611" t="s">
        <v>1197</v>
      </c>
      <c r="D3672" s="611">
        <v>0</v>
      </c>
      <c r="E3672" s="611">
        <v>0</v>
      </c>
      <c r="F3672" s="611">
        <v>0</v>
      </c>
      <c r="G3672" s="611">
        <v>0</v>
      </c>
      <c r="H3672" s="611">
        <v>0</v>
      </c>
      <c r="I3672" s="611">
        <v>0</v>
      </c>
      <c r="J3672" s="611">
        <v>0</v>
      </c>
      <c r="K3672" s="611">
        <v>0</v>
      </c>
      <c r="L3672" s="611">
        <v>0</v>
      </c>
      <c r="M3672" s="611">
        <v>0</v>
      </c>
      <c r="N3672" s="611">
        <v>0</v>
      </c>
      <c r="O3672" s="611">
        <v>0</v>
      </c>
      <c r="P3672" s="611">
        <v>0</v>
      </c>
      <c r="Q3672" s="611">
        <v>0</v>
      </c>
    </row>
    <row r="3673" spans="1:17" ht="15">
      <c r="A3673" s="611"/>
      <c r="B3673" s="611"/>
      <c r="C3673" s="611" t="s">
        <v>1198</v>
      </c>
      <c r="D3673" s="611">
        <v>0</v>
      </c>
      <c r="E3673" s="611">
        <v>0</v>
      </c>
      <c r="F3673" s="611">
        <v>0</v>
      </c>
      <c r="G3673" s="611">
        <v>0</v>
      </c>
      <c r="H3673" s="611">
        <v>0</v>
      </c>
      <c r="I3673" s="611">
        <v>0</v>
      </c>
      <c r="J3673" s="611">
        <v>0</v>
      </c>
      <c r="K3673" s="611">
        <v>0</v>
      </c>
      <c r="L3673" s="611">
        <v>0</v>
      </c>
      <c r="M3673" s="611">
        <v>0</v>
      </c>
      <c r="N3673" s="611">
        <v>0</v>
      </c>
      <c r="O3673" s="611">
        <v>0</v>
      </c>
      <c r="P3673" s="611">
        <v>0</v>
      </c>
      <c r="Q3673" s="611">
        <v>0</v>
      </c>
    </row>
    <row r="3674" spans="1:17" ht="15">
      <c r="A3674" s="611"/>
      <c r="B3674" s="611"/>
      <c r="C3674" s="611" t="s">
        <v>1199</v>
      </c>
      <c r="D3674" s="611">
        <v>38916.941630000001</v>
      </c>
      <c r="E3674" s="611">
        <v>11678.640000000001</v>
      </c>
      <c r="F3674" s="611">
        <v>27238.301630000002</v>
      </c>
      <c r="G3674" s="611">
        <v>2658</v>
      </c>
      <c r="H3674" s="611">
        <v>39675.586140000007</v>
      </c>
      <c r="I3674" s="611">
        <v>5</v>
      </c>
      <c r="J3674" s="611">
        <v>758.64451000000099</v>
      </c>
      <c r="K3674" s="611">
        <v>2653</v>
      </c>
      <c r="L3674" s="611">
        <v>38916.941629999994</v>
      </c>
      <c r="M3674" s="611">
        <v>38916.941629999994</v>
      </c>
      <c r="N3674" s="611">
        <v>11678.640000000001</v>
      </c>
      <c r="O3674" s="611">
        <v>0</v>
      </c>
      <c r="P3674" s="611">
        <v>27238.301630000002</v>
      </c>
      <c r="Q3674" s="611">
        <v>27238.301630000002</v>
      </c>
    </row>
    <row r="3675" spans="1:17" ht="15">
      <c r="A3675" s="611">
        <v>29</v>
      </c>
      <c r="B3675" s="611" t="s">
        <v>1566</v>
      </c>
      <c r="C3675" s="611" t="s">
        <v>1267</v>
      </c>
      <c r="D3675" s="611">
        <v>35077.714690000001</v>
      </c>
      <c r="E3675" s="611">
        <v>10398.09</v>
      </c>
      <c r="F3675" s="611">
        <v>24679.624690000001</v>
      </c>
      <c r="G3675" s="611">
        <v>2462</v>
      </c>
      <c r="H3675" s="611">
        <v>35778.323859999997</v>
      </c>
      <c r="I3675" s="611">
        <v>2</v>
      </c>
      <c r="J3675" s="611">
        <v>700.60917000000029</v>
      </c>
      <c r="K3675" s="611">
        <v>2460</v>
      </c>
      <c r="L3675" s="611">
        <v>35077.714690000001</v>
      </c>
      <c r="M3675" s="611">
        <v>35077.714690000001</v>
      </c>
      <c r="N3675" s="611">
        <v>10398.09</v>
      </c>
      <c r="O3675" s="611">
        <v>0</v>
      </c>
      <c r="P3675" s="611">
        <v>24679.624689999997</v>
      </c>
      <c r="Q3675" s="611">
        <v>24679.624689999997</v>
      </c>
    </row>
    <row r="3676" spans="1:17" ht="15">
      <c r="A3676" s="611"/>
      <c r="B3676" s="611"/>
      <c r="C3676" s="611" t="s">
        <v>1197</v>
      </c>
      <c r="D3676" s="611">
        <v>0</v>
      </c>
      <c r="E3676" s="611">
        <v>0</v>
      </c>
      <c r="F3676" s="611">
        <v>0</v>
      </c>
      <c r="G3676" s="611">
        <v>0</v>
      </c>
      <c r="H3676" s="611">
        <v>0</v>
      </c>
      <c r="I3676" s="611">
        <v>0</v>
      </c>
      <c r="J3676" s="611">
        <v>0</v>
      </c>
      <c r="K3676" s="611">
        <v>0</v>
      </c>
      <c r="L3676" s="611">
        <v>0</v>
      </c>
      <c r="M3676" s="611">
        <v>0</v>
      </c>
      <c r="N3676" s="611">
        <v>0</v>
      </c>
      <c r="O3676" s="611">
        <v>0</v>
      </c>
      <c r="P3676" s="611">
        <v>0</v>
      </c>
      <c r="Q3676" s="611">
        <v>0</v>
      </c>
    </row>
    <row r="3677" spans="1:17" ht="15">
      <c r="A3677" s="611"/>
      <c r="B3677" s="611"/>
      <c r="C3677" s="611" t="s">
        <v>1198</v>
      </c>
      <c r="D3677" s="611">
        <v>0</v>
      </c>
      <c r="E3677" s="611">
        <v>0</v>
      </c>
      <c r="F3677" s="611">
        <v>0</v>
      </c>
      <c r="G3677" s="611">
        <v>0</v>
      </c>
      <c r="H3677" s="611">
        <v>0</v>
      </c>
      <c r="I3677" s="611">
        <v>0</v>
      </c>
      <c r="J3677" s="611">
        <v>0</v>
      </c>
      <c r="K3677" s="611">
        <v>0</v>
      </c>
      <c r="L3677" s="611">
        <v>0</v>
      </c>
      <c r="M3677" s="611">
        <v>0</v>
      </c>
      <c r="N3677" s="611">
        <v>0</v>
      </c>
      <c r="O3677" s="611">
        <v>0</v>
      </c>
      <c r="P3677" s="611">
        <v>0</v>
      </c>
      <c r="Q3677" s="611">
        <v>0</v>
      </c>
    </row>
    <row r="3678" spans="1:17" ht="15">
      <c r="A3678" s="611"/>
      <c r="B3678" s="611"/>
      <c r="C3678" s="611" t="s">
        <v>1199</v>
      </c>
      <c r="D3678" s="611">
        <v>35077.714690000001</v>
      </c>
      <c r="E3678" s="611">
        <v>10398.09</v>
      </c>
      <c r="F3678" s="611">
        <v>24679.624690000001</v>
      </c>
      <c r="G3678" s="611">
        <v>2462</v>
      </c>
      <c r="H3678" s="611">
        <v>35778.323859999997</v>
      </c>
      <c r="I3678" s="611">
        <v>2</v>
      </c>
      <c r="J3678" s="611">
        <v>700.60917000000029</v>
      </c>
      <c r="K3678" s="611">
        <v>2460</v>
      </c>
      <c r="L3678" s="611">
        <v>35077.714690000001</v>
      </c>
      <c r="M3678" s="611">
        <v>35077.714690000001</v>
      </c>
      <c r="N3678" s="611">
        <v>10398.09</v>
      </c>
      <c r="O3678" s="611">
        <v>0</v>
      </c>
      <c r="P3678" s="611">
        <v>24679.624689999997</v>
      </c>
      <c r="Q3678" s="611">
        <v>24679.624689999997</v>
      </c>
    </row>
    <row r="3679" spans="1:17" ht="15">
      <c r="A3679" s="611">
        <v>30</v>
      </c>
      <c r="B3679" s="611" t="s">
        <v>1567</v>
      </c>
      <c r="C3679" s="611" t="s">
        <v>1267</v>
      </c>
      <c r="D3679" s="611">
        <v>7168.4402599999994</v>
      </c>
      <c r="E3679" s="611">
        <v>2151.5099999999998</v>
      </c>
      <c r="F3679" s="611">
        <v>5016.9302599999992</v>
      </c>
      <c r="G3679" s="611">
        <v>436</v>
      </c>
      <c r="H3679" s="611">
        <v>7328.4492499999988</v>
      </c>
      <c r="I3679" s="611">
        <v>1</v>
      </c>
      <c r="J3679" s="611">
        <v>160.00898999999976</v>
      </c>
      <c r="K3679" s="611">
        <v>435</v>
      </c>
      <c r="L3679" s="611">
        <v>7168.4402600000003</v>
      </c>
      <c r="M3679" s="611">
        <v>7168.4402600000003</v>
      </c>
      <c r="N3679" s="611">
        <v>2151.5099999999998</v>
      </c>
      <c r="O3679" s="611">
        <v>0</v>
      </c>
      <c r="P3679" s="611">
        <v>5016.930260000001</v>
      </c>
      <c r="Q3679" s="611">
        <v>5016.930260000001</v>
      </c>
    </row>
    <row r="3680" spans="1:17" ht="15">
      <c r="A3680" s="611"/>
      <c r="B3680" s="611"/>
      <c r="C3680" s="611" t="s">
        <v>1197</v>
      </c>
      <c r="D3680" s="611">
        <v>0</v>
      </c>
      <c r="E3680" s="611">
        <v>0</v>
      </c>
      <c r="F3680" s="611">
        <v>0</v>
      </c>
      <c r="G3680" s="611">
        <v>0</v>
      </c>
      <c r="H3680" s="611">
        <v>0</v>
      </c>
      <c r="I3680" s="611">
        <v>0</v>
      </c>
      <c r="J3680" s="611">
        <v>0</v>
      </c>
      <c r="K3680" s="611">
        <v>0</v>
      </c>
      <c r="L3680" s="611">
        <v>0</v>
      </c>
      <c r="M3680" s="611">
        <v>0</v>
      </c>
      <c r="N3680" s="611">
        <v>0</v>
      </c>
      <c r="O3680" s="611">
        <v>0</v>
      </c>
      <c r="P3680" s="611">
        <v>0</v>
      </c>
      <c r="Q3680" s="611">
        <v>0</v>
      </c>
    </row>
    <row r="3681" spans="1:111" ht="15">
      <c r="A3681" s="611"/>
      <c r="B3681" s="611"/>
      <c r="C3681" s="611" t="s">
        <v>1198</v>
      </c>
      <c r="D3681" s="611">
        <v>0</v>
      </c>
      <c r="E3681" s="611">
        <v>0</v>
      </c>
      <c r="F3681" s="611">
        <v>0</v>
      </c>
      <c r="G3681" s="611">
        <v>0</v>
      </c>
      <c r="H3681" s="611">
        <v>0</v>
      </c>
      <c r="I3681" s="611">
        <v>0</v>
      </c>
      <c r="J3681" s="611">
        <v>0</v>
      </c>
      <c r="K3681" s="611">
        <v>0</v>
      </c>
      <c r="L3681" s="611">
        <v>0</v>
      </c>
      <c r="M3681" s="611">
        <v>0</v>
      </c>
      <c r="N3681" s="611">
        <v>0</v>
      </c>
      <c r="O3681" s="611">
        <v>0</v>
      </c>
      <c r="P3681" s="611">
        <v>0</v>
      </c>
      <c r="Q3681" s="611">
        <v>0</v>
      </c>
    </row>
    <row r="3682" spans="1:111" ht="15">
      <c r="A3682" s="611"/>
      <c r="B3682" s="611"/>
      <c r="C3682" s="611" t="s">
        <v>1199</v>
      </c>
      <c r="D3682" s="611">
        <v>7168.4402599999994</v>
      </c>
      <c r="E3682" s="611">
        <v>2151.5099999999998</v>
      </c>
      <c r="F3682" s="611">
        <v>5016.9302599999992</v>
      </c>
      <c r="G3682" s="611">
        <v>436</v>
      </c>
      <c r="H3682" s="611">
        <v>7328.4492499999988</v>
      </c>
      <c r="I3682" s="611">
        <v>1</v>
      </c>
      <c r="J3682" s="611">
        <v>160.00898999999976</v>
      </c>
      <c r="K3682" s="611">
        <v>435</v>
      </c>
      <c r="L3682" s="611">
        <v>7168.4402600000003</v>
      </c>
      <c r="M3682" s="611">
        <v>7168.4402600000003</v>
      </c>
      <c r="N3682" s="611">
        <v>2151.5099999999998</v>
      </c>
      <c r="O3682" s="611">
        <v>0</v>
      </c>
      <c r="P3682" s="611">
        <v>5016.930260000001</v>
      </c>
      <c r="Q3682" s="611">
        <v>5016.930260000001</v>
      </c>
    </row>
    <row r="3683" spans="1:111" ht="15">
      <c r="A3683" s="611">
        <v>31</v>
      </c>
      <c r="B3683" s="611" t="s">
        <v>1568</v>
      </c>
      <c r="C3683" s="611" t="s">
        <v>1267</v>
      </c>
      <c r="D3683" s="611">
        <v>6888.8297300000004</v>
      </c>
      <c r="E3683" s="611">
        <v>2069.94</v>
      </c>
      <c r="F3683" s="611">
        <v>4818.8897300000008</v>
      </c>
      <c r="G3683" s="611">
        <v>401</v>
      </c>
      <c r="H3683" s="611">
        <v>6950.6723899999988</v>
      </c>
      <c r="I3683" s="611">
        <v>0</v>
      </c>
      <c r="J3683" s="611">
        <v>61.84266000000008</v>
      </c>
      <c r="K3683" s="611">
        <v>401</v>
      </c>
      <c r="L3683" s="611">
        <v>6888.8297299999995</v>
      </c>
      <c r="M3683" s="611">
        <v>6888.8297299999995</v>
      </c>
      <c r="N3683" s="611">
        <v>2069.94</v>
      </c>
      <c r="O3683" s="611">
        <v>0</v>
      </c>
      <c r="P3683" s="611">
        <v>4818.8897299999999</v>
      </c>
      <c r="Q3683" s="611">
        <v>4818.8897299999999</v>
      </c>
    </row>
    <row r="3684" spans="1:111" ht="15">
      <c r="A3684" s="611"/>
      <c r="B3684" s="611"/>
      <c r="C3684" s="611" t="s">
        <v>1197</v>
      </c>
      <c r="D3684" s="611">
        <v>0</v>
      </c>
      <c r="E3684" s="611">
        <v>0</v>
      </c>
      <c r="F3684" s="611">
        <v>0</v>
      </c>
      <c r="G3684" s="611">
        <v>0</v>
      </c>
      <c r="H3684" s="611">
        <v>0</v>
      </c>
      <c r="I3684" s="611">
        <v>0</v>
      </c>
      <c r="J3684" s="611">
        <v>0</v>
      </c>
      <c r="K3684" s="611">
        <v>0</v>
      </c>
      <c r="L3684" s="611">
        <v>0</v>
      </c>
      <c r="M3684" s="611">
        <v>0</v>
      </c>
      <c r="N3684" s="611">
        <v>0</v>
      </c>
      <c r="O3684" s="611">
        <v>0</v>
      </c>
      <c r="P3684" s="611">
        <v>0</v>
      </c>
      <c r="Q3684" s="611">
        <v>0</v>
      </c>
    </row>
    <row r="3685" spans="1:111" ht="15">
      <c r="A3685" s="611"/>
      <c r="B3685" s="611"/>
      <c r="C3685" s="611" t="s">
        <v>1198</v>
      </c>
      <c r="D3685" s="611">
        <v>0</v>
      </c>
      <c r="E3685" s="611">
        <v>0</v>
      </c>
      <c r="F3685" s="611">
        <v>0</v>
      </c>
      <c r="G3685" s="611">
        <v>0</v>
      </c>
      <c r="H3685" s="611">
        <v>0</v>
      </c>
      <c r="I3685" s="611">
        <v>0</v>
      </c>
      <c r="J3685" s="611">
        <v>0</v>
      </c>
      <c r="K3685" s="611">
        <v>0</v>
      </c>
      <c r="L3685" s="611">
        <v>0</v>
      </c>
      <c r="M3685" s="611">
        <v>0</v>
      </c>
      <c r="N3685" s="611">
        <v>0</v>
      </c>
      <c r="O3685" s="611">
        <v>0</v>
      </c>
      <c r="P3685" s="611">
        <v>0</v>
      </c>
      <c r="Q3685" s="611">
        <v>0</v>
      </c>
    </row>
    <row r="3686" spans="1:111" ht="15">
      <c r="A3686" s="611"/>
      <c r="B3686" s="611"/>
      <c r="C3686" s="611" t="s">
        <v>1199</v>
      </c>
      <c r="D3686" s="611">
        <v>6888.8297300000004</v>
      </c>
      <c r="E3686" s="611">
        <v>2069.94</v>
      </c>
      <c r="F3686" s="611">
        <v>4818.8897300000008</v>
      </c>
      <c r="G3686" s="611">
        <v>401</v>
      </c>
      <c r="H3686" s="611">
        <v>6950.6723899999988</v>
      </c>
      <c r="I3686" s="611">
        <v>0</v>
      </c>
      <c r="J3686" s="611">
        <v>61.84266000000008</v>
      </c>
      <c r="K3686" s="611">
        <v>401</v>
      </c>
      <c r="L3686" s="611">
        <v>6888.8297299999995</v>
      </c>
      <c r="M3686" s="611">
        <v>6888.8297299999995</v>
      </c>
      <c r="N3686" s="611">
        <v>2069.94</v>
      </c>
      <c r="O3686" s="611">
        <v>0</v>
      </c>
      <c r="P3686" s="611">
        <v>4818.8897299999999</v>
      </c>
      <c r="Q3686" s="611">
        <v>4818.8897299999999</v>
      </c>
    </row>
    <row r="3687" spans="1:111" ht="15">
      <c r="A3687" s="1735" t="s">
        <v>1198</v>
      </c>
      <c r="B3687" s="1735"/>
      <c r="C3687" s="1735"/>
      <c r="D3687" s="1735"/>
      <c r="E3687" s="1735"/>
      <c r="F3687" s="1735"/>
      <c r="G3687" s="1735"/>
      <c r="H3687" s="1735"/>
      <c r="I3687" s="1735"/>
      <c r="J3687" s="1735"/>
      <c r="K3687" s="1735"/>
      <c r="L3687" s="1735"/>
      <c r="M3687" s="1735"/>
      <c r="N3687" s="1735"/>
      <c r="O3687" s="1735"/>
      <c r="P3687" s="1735"/>
      <c r="AL3687" s="611">
        <f>SUM(AL3688:AL3811)</f>
        <v>10145.799889999998</v>
      </c>
      <c r="AM3687" s="561">
        <f t="shared" ref="AM3687:CX3687" si="110">SUM(AM3688:AM3811)</f>
        <v>0</v>
      </c>
      <c r="AN3687" s="561">
        <f t="shared" si="110"/>
        <v>0</v>
      </c>
      <c r="AO3687" s="561">
        <f t="shared" si="110"/>
        <v>0</v>
      </c>
      <c r="AP3687" s="561">
        <f t="shared" si="110"/>
        <v>0</v>
      </c>
      <c r="AQ3687" s="561">
        <f t="shared" si="110"/>
        <v>0</v>
      </c>
      <c r="AR3687" s="561">
        <f t="shared" si="110"/>
        <v>0</v>
      </c>
      <c r="AS3687" s="561">
        <f t="shared" si="110"/>
        <v>0</v>
      </c>
      <c r="AT3687" s="561">
        <f t="shared" si="110"/>
        <v>0</v>
      </c>
      <c r="AU3687" s="561">
        <f t="shared" si="110"/>
        <v>0</v>
      </c>
      <c r="AV3687" s="561">
        <f t="shared" si="110"/>
        <v>0</v>
      </c>
      <c r="AW3687" s="561">
        <f t="shared" si="110"/>
        <v>0</v>
      </c>
      <c r="AX3687" s="561">
        <f t="shared" si="110"/>
        <v>433128.12231999997</v>
      </c>
      <c r="AY3687" s="561">
        <f t="shared" si="110"/>
        <v>0</v>
      </c>
      <c r="AZ3687" s="561">
        <f t="shared" si="110"/>
        <v>0</v>
      </c>
      <c r="BA3687" s="561">
        <f t="shared" si="110"/>
        <v>0</v>
      </c>
      <c r="BB3687" s="561">
        <f t="shared" si="110"/>
        <v>15630.117109999999</v>
      </c>
      <c r="BC3687" s="561">
        <f t="shared" si="110"/>
        <v>0</v>
      </c>
      <c r="BD3687" s="561">
        <f t="shared" si="110"/>
        <v>181990.90562999999</v>
      </c>
      <c r="BE3687" s="561">
        <f t="shared" si="110"/>
        <v>0</v>
      </c>
      <c r="BF3687" s="561">
        <f t="shared" si="110"/>
        <v>0</v>
      </c>
      <c r="BG3687" s="561">
        <f t="shared" si="110"/>
        <v>0</v>
      </c>
      <c r="BH3687" s="561">
        <f t="shared" si="110"/>
        <v>0</v>
      </c>
      <c r="BI3687" s="561">
        <f t="shared" si="110"/>
        <v>0</v>
      </c>
      <c r="BJ3687" s="561">
        <f t="shared" si="110"/>
        <v>0</v>
      </c>
      <c r="BK3687" s="561">
        <f t="shared" si="110"/>
        <v>0</v>
      </c>
      <c r="BL3687" s="561">
        <f t="shared" si="110"/>
        <v>0</v>
      </c>
      <c r="BM3687" s="561">
        <f t="shared" si="110"/>
        <v>0</v>
      </c>
      <c r="BN3687" s="561">
        <f t="shared" si="110"/>
        <v>0</v>
      </c>
      <c r="BO3687" s="561">
        <f t="shared" si="110"/>
        <v>0</v>
      </c>
      <c r="BP3687" s="561">
        <f t="shared" si="110"/>
        <v>0</v>
      </c>
      <c r="BQ3687" s="561">
        <f t="shared" si="110"/>
        <v>0</v>
      </c>
      <c r="BR3687" s="561">
        <f t="shared" si="110"/>
        <v>0</v>
      </c>
      <c r="BS3687" s="561">
        <f t="shared" si="110"/>
        <v>0</v>
      </c>
      <c r="BT3687" s="561">
        <f t="shared" si="110"/>
        <v>0</v>
      </c>
      <c r="BU3687" s="561">
        <f t="shared" si="110"/>
        <v>0</v>
      </c>
      <c r="BV3687" s="561">
        <f t="shared" si="110"/>
        <v>0</v>
      </c>
      <c r="BW3687" s="561">
        <f t="shared" si="110"/>
        <v>0</v>
      </c>
      <c r="BX3687" s="561">
        <f t="shared" si="110"/>
        <v>0</v>
      </c>
      <c r="BY3687" s="561">
        <f t="shared" si="110"/>
        <v>0</v>
      </c>
      <c r="BZ3687" s="561">
        <f t="shared" si="110"/>
        <v>0</v>
      </c>
      <c r="CA3687" s="561">
        <f t="shared" si="110"/>
        <v>0</v>
      </c>
      <c r="CB3687" s="561">
        <f t="shared" si="110"/>
        <v>0</v>
      </c>
      <c r="CC3687" s="561">
        <f t="shared" si="110"/>
        <v>0</v>
      </c>
      <c r="CD3687" s="561">
        <f t="shared" si="110"/>
        <v>0</v>
      </c>
      <c r="CE3687" s="561">
        <f t="shared" si="110"/>
        <v>0</v>
      </c>
      <c r="CF3687" s="561">
        <f t="shared" si="110"/>
        <v>0</v>
      </c>
      <c r="CG3687" s="561">
        <f t="shared" si="110"/>
        <v>0</v>
      </c>
      <c r="CH3687" s="561">
        <f t="shared" si="110"/>
        <v>0</v>
      </c>
      <c r="CI3687" s="561">
        <f t="shared" si="110"/>
        <v>0</v>
      </c>
      <c r="CJ3687" s="561">
        <f t="shared" si="110"/>
        <v>0</v>
      </c>
      <c r="CK3687" s="561">
        <f t="shared" si="110"/>
        <v>0</v>
      </c>
      <c r="CL3687" s="561">
        <f t="shared" si="110"/>
        <v>0</v>
      </c>
      <c r="CM3687" s="561">
        <f t="shared" si="110"/>
        <v>0</v>
      </c>
      <c r="CN3687" s="561">
        <f t="shared" si="110"/>
        <v>0</v>
      </c>
      <c r="CO3687" s="561">
        <f t="shared" si="110"/>
        <v>0</v>
      </c>
      <c r="CP3687" s="561">
        <f t="shared" si="110"/>
        <v>0</v>
      </c>
      <c r="CQ3687" s="561">
        <f t="shared" si="110"/>
        <v>0</v>
      </c>
      <c r="CR3687" s="561">
        <f t="shared" si="110"/>
        <v>0</v>
      </c>
      <c r="CS3687" s="561">
        <f t="shared" si="110"/>
        <v>0</v>
      </c>
      <c r="CT3687" s="561">
        <f t="shared" si="110"/>
        <v>0</v>
      </c>
      <c r="CU3687" s="561">
        <f t="shared" si="110"/>
        <v>0</v>
      </c>
      <c r="CV3687" s="561">
        <f t="shared" si="110"/>
        <v>0</v>
      </c>
      <c r="CW3687" s="561">
        <f t="shared" si="110"/>
        <v>0</v>
      </c>
      <c r="CX3687" s="561">
        <f t="shared" si="110"/>
        <v>0</v>
      </c>
      <c r="CY3687" s="561">
        <f t="shared" ref="CY3687:DF3687" si="111">SUM(CY3688:CY3811)</f>
        <v>0</v>
      </c>
      <c r="CZ3687" s="561">
        <f t="shared" si="111"/>
        <v>0</v>
      </c>
      <c r="DA3687" s="561">
        <f t="shared" si="111"/>
        <v>0</v>
      </c>
      <c r="DB3687" s="561">
        <f t="shared" si="111"/>
        <v>0</v>
      </c>
      <c r="DC3687" s="561">
        <f t="shared" si="111"/>
        <v>0</v>
      </c>
      <c r="DD3687" s="561">
        <f t="shared" si="111"/>
        <v>0</v>
      </c>
      <c r="DE3687" s="561">
        <f t="shared" si="111"/>
        <v>0</v>
      </c>
      <c r="DF3687" s="561">
        <f t="shared" si="111"/>
        <v>0</v>
      </c>
      <c r="DG3687" s="561">
        <f>SUM(DG3688:DG3811)</f>
        <v>0</v>
      </c>
    </row>
    <row r="3688" spans="1:111" ht="15">
      <c r="A3688" s="611">
        <v>1</v>
      </c>
      <c r="B3688" s="611" t="s">
        <v>1538</v>
      </c>
      <c r="C3688" s="611" t="s">
        <v>1267</v>
      </c>
      <c r="D3688" s="611">
        <v>2319255.0828199997</v>
      </c>
      <c r="E3688" s="611">
        <v>583752.92999999993</v>
      </c>
      <c r="F3688" s="611">
        <v>1735502.15282</v>
      </c>
      <c r="G3688" s="611">
        <v>27365</v>
      </c>
      <c r="H3688" s="611">
        <v>2353735.5478899996</v>
      </c>
      <c r="I3688" s="611">
        <v>18</v>
      </c>
      <c r="J3688" s="611">
        <v>34480.465070000042</v>
      </c>
      <c r="K3688" s="611">
        <v>27347</v>
      </c>
      <c r="L3688" s="611">
        <v>2319255.0828200001</v>
      </c>
      <c r="M3688" s="611">
        <v>2319255.0828200001</v>
      </c>
      <c r="N3688" s="611">
        <v>583752.92999999993</v>
      </c>
      <c r="O3688" s="611">
        <v>0</v>
      </c>
      <c r="P3688" s="611">
        <v>1735502.15282</v>
      </c>
    </row>
    <row r="3689" spans="1:111" ht="15">
      <c r="A3689" s="611"/>
      <c r="B3689" s="611"/>
      <c r="C3689" s="611" t="s">
        <v>1197</v>
      </c>
      <c r="D3689" s="611">
        <v>1807512.2705099999</v>
      </c>
      <c r="E3689" s="611">
        <v>483708.80999999994</v>
      </c>
      <c r="F3689" s="611">
        <v>1323803.4605100001</v>
      </c>
      <c r="G3689" s="611">
        <v>23166</v>
      </c>
      <c r="H3689" s="611">
        <v>1832190.79112</v>
      </c>
      <c r="I3689" s="611">
        <v>-2</v>
      </c>
      <c r="J3689" s="611">
        <v>24678.520610000036</v>
      </c>
      <c r="K3689" s="611">
        <v>23168</v>
      </c>
      <c r="L3689" s="611">
        <v>1807512.2705099999</v>
      </c>
      <c r="M3689" s="611">
        <v>1807512.2705099999</v>
      </c>
      <c r="N3689" s="611">
        <v>483708.80999999994</v>
      </c>
      <c r="O3689" s="611">
        <v>0</v>
      </c>
    </row>
    <row r="3690" spans="1:111" ht="15">
      <c r="A3690" s="611"/>
      <c r="B3690" s="611"/>
      <c r="C3690" s="611" t="s">
        <v>1198</v>
      </c>
      <c r="D3690" s="611">
        <v>190907.38563</v>
      </c>
      <c r="E3690" s="611">
        <v>8916.48</v>
      </c>
      <c r="F3690" s="611">
        <v>181990.90562999999</v>
      </c>
      <c r="G3690" s="611">
        <v>467</v>
      </c>
      <c r="H3690" s="611">
        <v>188111.75771999999</v>
      </c>
      <c r="I3690" s="611">
        <v>0</v>
      </c>
      <c r="J3690" s="611">
        <v>-2795.6279099999974</v>
      </c>
      <c r="K3690" s="611">
        <v>467</v>
      </c>
      <c r="L3690" s="611">
        <v>190907.38563</v>
      </c>
      <c r="M3690" s="611">
        <v>190907.38563</v>
      </c>
      <c r="N3690" s="611">
        <v>8916.48</v>
      </c>
      <c r="O3690" s="611">
        <v>0</v>
      </c>
      <c r="BD3690" s="611">
        <v>181990.90562999999</v>
      </c>
    </row>
    <row r="3691" spans="1:111" ht="15">
      <c r="A3691" s="611"/>
      <c r="B3691" s="611"/>
      <c r="C3691" s="611" t="s">
        <v>1199</v>
      </c>
      <c r="D3691" s="611">
        <v>320835.42667999998</v>
      </c>
      <c r="E3691" s="611">
        <v>91127.64</v>
      </c>
      <c r="F3691" s="611">
        <v>229707.78667999996</v>
      </c>
      <c r="G3691" s="611">
        <v>3732</v>
      </c>
      <c r="H3691" s="611">
        <v>333432.99904999993</v>
      </c>
      <c r="I3691" s="611">
        <v>20</v>
      </c>
      <c r="J3691" s="611">
        <v>12597.57237</v>
      </c>
      <c r="K3691" s="611">
        <v>3712</v>
      </c>
      <c r="L3691" s="611">
        <v>320835.42668000003</v>
      </c>
      <c r="M3691" s="611">
        <v>320835.42668000003</v>
      </c>
      <c r="N3691" s="611">
        <v>91127.64</v>
      </c>
      <c r="O3691" s="611">
        <v>0</v>
      </c>
      <c r="P3691" s="611">
        <v>229707.78668000002</v>
      </c>
    </row>
    <row r="3692" spans="1:111" ht="15">
      <c r="A3692" s="611">
        <v>2</v>
      </c>
      <c r="B3692" s="611" t="s">
        <v>1539</v>
      </c>
      <c r="C3692" s="611" t="s">
        <v>1267</v>
      </c>
      <c r="D3692" s="611">
        <v>298600.87602000003</v>
      </c>
      <c r="E3692" s="611">
        <v>89583.93</v>
      </c>
      <c r="F3692" s="611">
        <v>209016.94602000003</v>
      </c>
      <c r="G3692" s="611">
        <v>4964</v>
      </c>
      <c r="H3692" s="611">
        <v>302710.23123999999</v>
      </c>
      <c r="I3692" s="611">
        <v>0</v>
      </c>
      <c r="J3692" s="611">
        <v>4109.355230000001</v>
      </c>
      <c r="K3692" s="611">
        <v>4964</v>
      </c>
      <c r="L3692" s="611">
        <v>298600.87601000001</v>
      </c>
      <c r="M3692" s="611">
        <v>298600.87601000001</v>
      </c>
      <c r="N3692" s="611">
        <v>89583.93</v>
      </c>
      <c r="O3692" s="611">
        <v>0</v>
      </c>
      <c r="P3692" s="611">
        <v>209016.94601000001</v>
      </c>
    </row>
    <row r="3693" spans="1:111" ht="15">
      <c r="A3693" s="611"/>
      <c r="B3693" s="611"/>
      <c r="C3693" s="611" t="s">
        <v>1197</v>
      </c>
      <c r="D3693" s="611">
        <v>277992.75232000003</v>
      </c>
      <c r="E3693" s="611">
        <v>86233.11</v>
      </c>
      <c r="F3693" s="611">
        <v>191759.64232000004</v>
      </c>
      <c r="G3693" s="611">
        <v>4280</v>
      </c>
      <c r="H3693" s="611">
        <v>281288.66226000001</v>
      </c>
      <c r="I3693" s="611">
        <v>0</v>
      </c>
      <c r="J3693" s="611">
        <v>3295.9099500000002</v>
      </c>
      <c r="K3693" s="611">
        <v>4280</v>
      </c>
      <c r="L3693" s="611">
        <v>277992.75231000001</v>
      </c>
      <c r="M3693" s="611">
        <v>277992.75231000001</v>
      </c>
      <c r="N3693" s="611">
        <v>86233.11</v>
      </c>
      <c r="O3693" s="611">
        <v>0</v>
      </c>
    </row>
    <row r="3694" spans="1:111" ht="15">
      <c r="A3694" s="611"/>
      <c r="B3694" s="611"/>
      <c r="C3694" s="611" t="s">
        <v>1198</v>
      </c>
      <c r="D3694" s="611">
        <v>10457.94989</v>
      </c>
      <c r="E3694" s="611">
        <v>312.14999999999998</v>
      </c>
      <c r="F3694" s="611">
        <v>10145.79989</v>
      </c>
      <c r="G3694" s="611">
        <v>33</v>
      </c>
      <c r="H3694" s="611">
        <v>11217.519270000001</v>
      </c>
      <c r="I3694" s="611">
        <v>0</v>
      </c>
      <c r="J3694" s="611">
        <v>759.56938000000048</v>
      </c>
      <c r="K3694" s="611">
        <v>33</v>
      </c>
      <c r="L3694" s="611">
        <v>10457.94989</v>
      </c>
      <c r="M3694" s="611">
        <v>10457.94989</v>
      </c>
      <c r="N3694" s="611">
        <v>312.14999999999998</v>
      </c>
      <c r="O3694" s="611">
        <v>0</v>
      </c>
      <c r="AL3694" s="611">
        <v>10145.799889999998</v>
      </c>
    </row>
    <row r="3695" spans="1:111" ht="15">
      <c r="A3695" s="611"/>
      <c r="B3695" s="611"/>
      <c r="C3695" s="611" t="s">
        <v>1199</v>
      </c>
      <c r="D3695" s="611">
        <v>10150.17381</v>
      </c>
      <c r="E3695" s="611">
        <v>3038.6699999999996</v>
      </c>
      <c r="F3695" s="611">
        <v>7111.5038100000002</v>
      </c>
      <c r="G3695" s="611">
        <v>651</v>
      </c>
      <c r="H3695" s="611">
        <v>10204.049710000001</v>
      </c>
      <c r="I3695" s="611">
        <v>0</v>
      </c>
      <c r="J3695" s="611">
        <v>53.875900000000115</v>
      </c>
      <c r="K3695" s="611">
        <v>651</v>
      </c>
      <c r="L3695" s="611">
        <v>10150.17381</v>
      </c>
      <c r="M3695" s="611">
        <v>10150.17381</v>
      </c>
      <c r="N3695" s="611">
        <v>3038.6699999999996</v>
      </c>
      <c r="O3695" s="611">
        <v>0</v>
      </c>
      <c r="P3695" s="611">
        <v>7111.503810000002</v>
      </c>
    </row>
    <row r="3696" spans="1:111" ht="15">
      <c r="A3696" s="611">
        <v>3</v>
      </c>
      <c r="B3696" s="611" t="s">
        <v>1540</v>
      </c>
      <c r="C3696" s="611" t="s">
        <v>1267</v>
      </c>
      <c r="D3696" s="611">
        <v>115810.17143</v>
      </c>
      <c r="E3696" s="611">
        <v>34353.659999999996</v>
      </c>
      <c r="F3696" s="611">
        <v>81456.511429999999</v>
      </c>
      <c r="G3696" s="611">
        <v>2019</v>
      </c>
      <c r="H3696" s="611">
        <v>116603.47731</v>
      </c>
      <c r="I3696" s="611">
        <v>1</v>
      </c>
      <c r="J3696" s="611">
        <v>793.30587000000037</v>
      </c>
      <c r="K3696" s="611">
        <v>2018</v>
      </c>
      <c r="L3696" s="611">
        <v>115810.17144000001</v>
      </c>
      <c r="M3696" s="611">
        <v>115810.17144000001</v>
      </c>
      <c r="N3696" s="611">
        <v>34353.659999999996</v>
      </c>
      <c r="O3696" s="611">
        <v>0</v>
      </c>
      <c r="P3696" s="611">
        <v>81456.511440000002</v>
      </c>
    </row>
    <row r="3697" spans="1:50" ht="15">
      <c r="A3697" s="611"/>
      <c r="B3697" s="611"/>
      <c r="C3697" s="611" t="s">
        <v>1197</v>
      </c>
      <c r="D3697" s="611">
        <v>111027.79466</v>
      </c>
      <c r="E3697" s="611">
        <v>32915.699999999997</v>
      </c>
      <c r="F3697" s="611">
        <v>78112.094660000002</v>
      </c>
      <c r="G3697" s="611">
        <v>1624</v>
      </c>
      <c r="H3697" s="611">
        <v>111814.36622</v>
      </c>
      <c r="I3697" s="611">
        <v>1</v>
      </c>
      <c r="J3697" s="611">
        <v>786.57156000000032</v>
      </c>
      <c r="K3697" s="611">
        <v>1623</v>
      </c>
      <c r="L3697" s="611">
        <v>111027.79466</v>
      </c>
      <c r="M3697" s="611">
        <v>111027.79466</v>
      </c>
      <c r="N3697" s="611">
        <v>32915.699999999997</v>
      </c>
      <c r="O3697" s="611">
        <v>0</v>
      </c>
    </row>
    <row r="3698" spans="1:50" ht="15">
      <c r="A3698" s="611"/>
      <c r="B3698" s="611"/>
      <c r="C3698" s="611" t="s">
        <v>1198</v>
      </c>
      <c r="D3698" s="611">
        <v>0</v>
      </c>
      <c r="E3698" s="611">
        <v>0</v>
      </c>
      <c r="F3698" s="611">
        <v>0</v>
      </c>
      <c r="G3698" s="611">
        <v>0</v>
      </c>
      <c r="H3698" s="611">
        <v>0</v>
      </c>
      <c r="I3698" s="611">
        <v>0</v>
      </c>
      <c r="J3698" s="611">
        <v>0</v>
      </c>
      <c r="K3698" s="611">
        <v>0</v>
      </c>
      <c r="L3698" s="611">
        <v>0</v>
      </c>
      <c r="M3698" s="611">
        <v>0</v>
      </c>
      <c r="N3698" s="611">
        <v>0</v>
      </c>
      <c r="O3698" s="611">
        <v>0</v>
      </c>
      <c r="P3698" s="611">
        <v>0</v>
      </c>
    </row>
    <row r="3699" spans="1:50" ht="15">
      <c r="A3699" s="611"/>
      <c r="B3699" s="611"/>
      <c r="C3699" s="611" t="s">
        <v>1199</v>
      </c>
      <c r="D3699" s="611">
        <v>4782.3767699999999</v>
      </c>
      <c r="E3699" s="611">
        <v>1437.9599999999998</v>
      </c>
      <c r="F3699" s="611">
        <v>3344.4167699999998</v>
      </c>
      <c r="G3699" s="611">
        <v>395</v>
      </c>
      <c r="H3699" s="611">
        <v>4789.1110900000003</v>
      </c>
      <c r="I3699" s="611">
        <v>0</v>
      </c>
      <c r="J3699" s="611">
        <v>6.734310000000022</v>
      </c>
      <c r="K3699" s="611">
        <v>395</v>
      </c>
      <c r="L3699" s="611">
        <v>4782.3767800000005</v>
      </c>
      <c r="M3699" s="611">
        <v>4782.3767800000005</v>
      </c>
      <c r="N3699" s="611">
        <v>1437.9599999999998</v>
      </c>
      <c r="O3699" s="611">
        <v>0</v>
      </c>
      <c r="P3699" s="611">
        <v>3344.4167800000005</v>
      </c>
    </row>
    <row r="3700" spans="1:50" ht="15">
      <c r="A3700" s="611">
        <v>4</v>
      </c>
      <c r="B3700" s="611" t="s">
        <v>1541</v>
      </c>
      <c r="C3700" s="611" t="s">
        <v>1267</v>
      </c>
      <c r="D3700" s="611">
        <v>591931.1812300001</v>
      </c>
      <c r="E3700" s="611">
        <v>176131.86</v>
      </c>
      <c r="F3700" s="611">
        <v>415799.32123000006</v>
      </c>
      <c r="G3700" s="611">
        <v>8719</v>
      </c>
      <c r="H3700" s="611">
        <v>602713.39942999999</v>
      </c>
      <c r="I3700" s="611">
        <v>24</v>
      </c>
      <c r="J3700" s="611">
        <v>10795.88444000002</v>
      </c>
      <c r="K3700" s="611">
        <v>8695</v>
      </c>
      <c r="L3700" s="611">
        <v>591917.51499000005</v>
      </c>
      <c r="M3700" s="611">
        <v>591917.51499000005</v>
      </c>
      <c r="N3700" s="611">
        <v>176131.86</v>
      </c>
      <c r="O3700" s="611">
        <v>0</v>
      </c>
      <c r="P3700" s="611">
        <v>415785.65499000001</v>
      </c>
    </row>
    <row r="3701" spans="1:50" ht="15">
      <c r="A3701" s="611"/>
      <c r="B3701" s="611"/>
      <c r="C3701" s="611" t="s">
        <v>1197</v>
      </c>
      <c r="D3701" s="611">
        <v>569611.12773000007</v>
      </c>
      <c r="E3701" s="611">
        <v>169617.12</v>
      </c>
      <c r="F3701" s="611">
        <v>399994.00773000007</v>
      </c>
      <c r="G3701" s="611">
        <v>7268</v>
      </c>
      <c r="H3701" s="611">
        <v>580111.35548000003</v>
      </c>
      <c r="I3701" s="611">
        <v>9</v>
      </c>
      <c r="J3701" s="611">
        <v>10513.893990000019</v>
      </c>
      <c r="K3701" s="611">
        <v>7259</v>
      </c>
      <c r="L3701" s="611">
        <v>569597.46149000002</v>
      </c>
      <c r="M3701" s="611">
        <v>569597.46149000002</v>
      </c>
      <c r="N3701" s="611">
        <v>169617.12</v>
      </c>
      <c r="O3701" s="611">
        <v>0</v>
      </c>
    </row>
    <row r="3702" spans="1:50" ht="15">
      <c r="A3702" s="611"/>
      <c r="B3702" s="611"/>
      <c r="C3702" s="611" t="s">
        <v>1198</v>
      </c>
      <c r="D3702" s="611">
        <v>0</v>
      </c>
      <c r="E3702" s="611">
        <v>0</v>
      </c>
      <c r="F3702" s="611">
        <v>0</v>
      </c>
      <c r="G3702" s="611">
        <v>0</v>
      </c>
      <c r="H3702" s="611">
        <v>0</v>
      </c>
      <c r="I3702" s="611">
        <v>0</v>
      </c>
      <c r="J3702" s="611">
        <v>0</v>
      </c>
      <c r="K3702" s="611">
        <v>0</v>
      </c>
      <c r="L3702" s="611">
        <v>0</v>
      </c>
      <c r="M3702" s="611">
        <v>0</v>
      </c>
      <c r="N3702" s="611">
        <v>0</v>
      </c>
      <c r="O3702" s="611">
        <v>0</v>
      </c>
      <c r="P3702" s="611">
        <v>0</v>
      </c>
    </row>
    <row r="3703" spans="1:50" ht="15">
      <c r="A3703" s="611"/>
      <c r="B3703" s="611"/>
      <c r="C3703" s="611" t="s">
        <v>1199</v>
      </c>
      <c r="D3703" s="611">
        <v>22320.053499999998</v>
      </c>
      <c r="E3703" s="611">
        <v>6514.74</v>
      </c>
      <c r="F3703" s="611">
        <v>15805.313499999998</v>
      </c>
      <c r="G3703" s="611">
        <v>1451</v>
      </c>
      <c r="H3703" s="611">
        <v>22602.043949999999</v>
      </c>
      <c r="I3703" s="611">
        <v>15</v>
      </c>
      <c r="J3703" s="611">
        <v>281.99045000000024</v>
      </c>
      <c r="K3703" s="611">
        <v>1436</v>
      </c>
      <c r="L3703" s="611">
        <v>22320.053500000002</v>
      </c>
      <c r="M3703" s="611">
        <v>22320.053500000002</v>
      </c>
      <c r="N3703" s="611">
        <v>6514.74</v>
      </c>
      <c r="O3703" s="611">
        <v>0</v>
      </c>
      <c r="P3703" s="611">
        <v>15805.313499999998</v>
      </c>
    </row>
    <row r="3704" spans="1:50" ht="15">
      <c r="A3704" s="611">
        <v>5</v>
      </c>
      <c r="B3704" s="611" t="s">
        <v>1542</v>
      </c>
      <c r="C3704" s="611" t="s">
        <v>1267</v>
      </c>
      <c r="D3704" s="611">
        <v>298603.00020000007</v>
      </c>
      <c r="E3704" s="611">
        <v>89201.19</v>
      </c>
      <c r="F3704" s="611">
        <v>209401.81020000007</v>
      </c>
      <c r="G3704" s="611">
        <v>5839</v>
      </c>
      <c r="H3704" s="611">
        <v>312372.69433999999</v>
      </c>
      <c r="I3704" s="611">
        <v>3</v>
      </c>
      <c r="J3704" s="611">
        <v>13769.694170000006</v>
      </c>
      <c r="K3704" s="611">
        <v>5836</v>
      </c>
      <c r="L3704" s="611">
        <v>298603.00017000001</v>
      </c>
      <c r="M3704" s="611">
        <v>298603.00017000001</v>
      </c>
      <c r="N3704" s="611">
        <v>89201.19</v>
      </c>
      <c r="O3704" s="611">
        <v>0</v>
      </c>
      <c r="P3704" s="611">
        <v>209401.81017000001</v>
      </c>
    </row>
    <row r="3705" spans="1:50" ht="15">
      <c r="A3705" s="611"/>
      <c r="B3705" s="611"/>
      <c r="C3705" s="611" t="s">
        <v>1197</v>
      </c>
      <c r="D3705" s="611">
        <v>292242.27488000004</v>
      </c>
      <c r="E3705" s="611">
        <v>87494.61</v>
      </c>
      <c r="F3705" s="611">
        <v>204747.66488000005</v>
      </c>
      <c r="G3705" s="611">
        <v>5366</v>
      </c>
      <c r="H3705" s="611">
        <v>305965.41347999999</v>
      </c>
      <c r="I3705" s="611">
        <v>3</v>
      </c>
      <c r="J3705" s="611">
        <v>13723.138630000007</v>
      </c>
      <c r="K3705" s="611">
        <v>5363</v>
      </c>
      <c r="L3705" s="611">
        <v>292242.27484999999</v>
      </c>
      <c r="M3705" s="611">
        <v>292242.27484999999</v>
      </c>
      <c r="N3705" s="611">
        <v>87494.61</v>
      </c>
      <c r="O3705" s="611">
        <v>0</v>
      </c>
    </row>
    <row r="3706" spans="1:50" ht="15">
      <c r="A3706" s="611"/>
      <c r="B3706" s="611"/>
      <c r="C3706" s="611" t="s">
        <v>1198</v>
      </c>
      <c r="D3706" s="611">
        <v>0</v>
      </c>
      <c r="E3706" s="611">
        <v>0</v>
      </c>
      <c r="F3706" s="611">
        <v>0</v>
      </c>
      <c r="G3706" s="611">
        <v>0</v>
      </c>
      <c r="H3706" s="611">
        <v>0</v>
      </c>
      <c r="I3706" s="611">
        <v>0</v>
      </c>
      <c r="J3706" s="611">
        <v>0</v>
      </c>
      <c r="K3706" s="611">
        <v>0</v>
      </c>
      <c r="L3706" s="611">
        <v>0</v>
      </c>
      <c r="M3706" s="611">
        <v>0</v>
      </c>
      <c r="N3706" s="611">
        <v>0</v>
      </c>
      <c r="O3706" s="611">
        <v>0</v>
      </c>
      <c r="P3706" s="611">
        <v>0</v>
      </c>
    </row>
    <row r="3707" spans="1:50" ht="15">
      <c r="A3707" s="611"/>
      <c r="B3707" s="611"/>
      <c r="C3707" s="611" t="s">
        <v>1199</v>
      </c>
      <c r="D3707" s="611">
        <v>6360.7253200000005</v>
      </c>
      <c r="E3707" s="611">
        <v>1706.5800000000002</v>
      </c>
      <c r="F3707" s="611">
        <v>4654.1453200000005</v>
      </c>
      <c r="G3707" s="611">
        <v>473</v>
      </c>
      <c r="H3707" s="611">
        <v>6407.2808600000017</v>
      </c>
      <c r="I3707" s="611">
        <v>0</v>
      </c>
      <c r="J3707" s="611">
        <v>46.555540000000178</v>
      </c>
      <c r="K3707" s="611">
        <v>473</v>
      </c>
      <c r="L3707" s="611">
        <v>6360.7253200000005</v>
      </c>
      <c r="M3707" s="611">
        <v>6360.7253200000005</v>
      </c>
      <c r="N3707" s="611">
        <v>1706.5800000000002</v>
      </c>
      <c r="O3707" s="611">
        <v>0</v>
      </c>
      <c r="P3707" s="611">
        <v>4654.1453200000005</v>
      </c>
    </row>
    <row r="3708" spans="1:50" ht="15">
      <c r="A3708" s="611">
        <v>6</v>
      </c>
      <c r="B3708" s="611" t="s">
        <v>1543</v>
      </c>
      <c r="C3708" s="611" t="s">
        <v>1267</v>
      </c>
      <c r="D3708" s="611">
        <v>1110217.6346400001</v>
      </c>
      <c r="E3708" s="611">
        <v>242790.54</v>
      </c>
      <c r="F3708" s="611">
        <v>867427.09464000002</v>
      </c>
      <c r="G3708" s="611">
        <v>4576</v>
      </c>
      <c r="H3708" s="611">
        <v>1171975.9493318999</v>
      </c>
      <c r="I3708" s="611">
        <v>21</v>
      </c>
      <c r="J3708" s="611">
        <v>61758.31470190001</v>
      </c>
      <c r="K3708" s="611">
        <v>4555</v>
      </c>
      <c r="L3708" s="611">
        <v>1110217.63463</v>
      </c>
      <c r="M3708" s="611">
        <v>1110217.63463</v>
      </c>
      <c r="N3708" s="611">
        <v>242790.54</v>
      </c>
      <c r="O3708" s="611">
        <v>0</v>
      </c>
      <c r="P3708" s="611">
        <v>867427.09462999995</v>
      </c>
    </row>
    <row r="3709" spans="1:50" ht="15">
      <c r="A3709" s="611"/>
      <c r="B3709" s="611"/>
      <c r="C3709" s="611" t="s">
        <v>1197</v>
      </c>
      <c r="D3709" s="611">
        <v>587450.03957000002</v>
      </c>
      <c r="E3709" s="611">
        <v>155859.03</v>
      </c>
      <c r="F3709" s="611">
        <v>431591.00956999999</v>
      </c>
      <c r="G3709" s="611">
        <v>3943</v>
      </c>
      <c r="H3709" s="611">
        <v>617978.00600000005</v>
      </c>
      <c r="I3709" s="611">
        <v>16</v>
      </c>
      <c r="J3709" s="611">
        <v>30527.96643</v>
      </c>
      <c r="K3709" s="611">
        <v>3927</v>
      </c>
      <c r="L3709" s="611">
        <v>587450.03957000002</v>
      </c>
      <c r="M3709" s="611">
        <v>587450.03957000002</v>
      </c>
      <c r="N3709" s="611">
        <v>155859.03</v>
      </c>
      <c r="O3709" s="611">
        <v>0</v>
      </c>
      <c r="AX3709" s="611">
        <v>433128.12231999997</v>
      </c>
    </row>
    <row r="3710" spans="1:50" ht="15">
      <c r="A3710" s="611"/>
      <c r="B3710" s="611"/>
      <c r="C3710" s="611" t="s">
        <v>1198</v>
      </c>
      <c r="D3710" s="611">
        <v>519108.54232000001</v>
      </c>
      <c r="E3710" s="611">
        <v>85980.42</v>
      </c>
      <c r="F3710" s="611">
        <v>433128.12232000002</v>
      </c>
      <c r="G3710" s="611">
        <v>463</v>
      </c>
      <c r="H3710" s="611">
        <v>550236.35964000004</v>
      </c>
      <c r="I3710" s="611">
        <v>3</v>
      </c>
      <c r="J3710" s="611">
        <v>31127.817320000009</v>
      </c>
      <c r="K3710" s="611">
        <v>460</v>
      </c>
      <c r="L3710" s="611">
        <v>519108.54232000007</v>
      </c>
      <c r="M3710" s="611">
        <v>519108.54232000007</v>
      </c>
      <c r="N3710" s="611">
        <v>85980.42</v>
      </c>
      <c r="O3710" s="611">
        <v>0</v>
      </c>
    </row>
    <row r="3711" spans="1:50" ht="15">
      <c r="A3711" s="611"/>
      <c r="B3711" s="611"/>
      <c r="C3711" s="611" t="s">
        <v>1199</v>
      </c>
      <c r="D3711" s="611">
        <v>3659.0527500000003</v>
      </c>
      <c r="E3711" s="611">
        <v>951.09</v>
      </c>
      <c r="F3711" s="611">
        <v>2707.9627500000001</v>
      </c>
      <c r="G3711" s="611">
        <v>170</v>
      </c>
      <c r="H3711" s="611">
        <v>3761.5836919000003</v>
      </c>
      <c r="I3711" s="611">
        <v>2</v>
      </c>
      <c r="J3711" s="611">
        <v>102.53095189999993</v>
      </c>
      <c r="K3711" s="611">
        <v>168</v>
      </c>
      <c r="L3711" s="611">
        <v>3659.0527400000001</v>
      </c>
      <c r="M3711" s="611">
        <v>3659.0527400000001</v>
      </c>
      <c r="N3711" s="611">
        <v>951.09</v>
      </c>
      <c r="O3711" s="611">
        <v>0</v>
      </c>
      <c r="P3711" s="611">
        <v>2707.9627399999999</v>
      </c>
    </row>
    <row r="3712" spans="1:50" ht="15">
      <c r="A3712" s="611">
        <v>7</v>
      </c>
      <c r="B3712" s="611" t="s">
        <v>1544</v>
      </c>
      <c r="C3712" s="611" t="s">
        <v>1267</v>
      </c>
      <c r="D3712" s="611">
        <v>693869.59195000003</v>
      </c>
      <c r="E3712" s="611">
        <v>194773.80000000002</v>
      </c>
      <c r="F3712" s="611">
        <v>499095.79194999998</v>
      </c>
      <c r="G3712" s="611">
        <v>12043</v>
      </c>
      <c r="H3712" s="611">
        <v>717582.55995999987</v>
      </c>
      <c r="I3712" s="611">
        <v>59</v>
      </c>
      <c r="J3712" s="611">
        <v>23712.968009999902</v>
      </c>
      <c r="K3712" s="611">
        <v>11984</v>
      </c>
      <c r="L3712" s="611">
        <v>693869.59195000003</v>
      </c>
      <c r="M3712" s="611">
        <v>693869.59195000003</v>
      </c>
      <c r="N3712" s="611">
        <v>194773.80000000002</v>
      </c>
      <c r="O3712" s="611">
        <v>0</v>
      </c>
      <c r="P3712" s="611">
        <v>499095.79194999993</v>
      </c>
    </row>
    <row r="3713" spans="1:54" ht="15">
      <c r="A3713" s="611"/>
      <c r="B3713" s="611"/>
      <c r="C3713" s="611" t="s">
        <v>1197</v>
      </c>
      <c r="D3713" s="611">
        <v>665297.05692</v>
      </c>
      <c r="E3713" s="611">
        <v>193140</v>
      </c>
      <c r="F3713" s="611">
        <v>472157.05692</v>
      </c>
      <c r="G3713" s="611">
        <v>11336</v>
      </c>
      <c r="H3713" s="611">
        <v>687546.80949999986</v>
      </c>
      <c r="I3713" s="611">
        <v>59</v>
      </c>
      <c r="J3713" s="611">
        <v>22249.752579999902</v>
      </c>
      <c r="K3713" s="611">
        <v>11277</v>
      </c>
      <c r="L3713" s="611">
        <v>665297.05692</v>
      </c>
      <c r="M3713" s="611">
        <v>665297.05692</v>
      </c>
      <c r="N3713" s="611">
        <v>193140</v>
      </c>
      <c r="O3713" s="611">
        <v>0</v>
      </c>
    </row>
    <row r="3714" spans="1:54" ht="15">
      <c r="A3714" s="611"/>
      <c r="B3714" s="611"/>
      <c r="C3714" s="611" t="s">
        <v>1198</v>
      </c>
      <c r="D3714" s="611">
        <v>16138.40711</v>
      </c>
      <c r="E3714" s="611">
        <v>508.28999999999996</v>
      </c>
      <c r="F3714" s="611">
        <v>15630.117109999999</v>
      </c>
      <c r="G3714" s="611">
        <v>54</v>
      </c>
      <c r="H3714" s="611">
        <v>17316.222110000002</v>
      </c>
      <c r="I3714" s="611">
        <v>0</v>
      </c>
      <c r="J3714" s="611">
        <v>1177.8149999999996</v>
      </c>
      <c r="K3714" s="611">
        <v>54</v>
      </c>
      <c r="L3714" s="611">
        <v>16138.40711</v>
      </c>
      <c r="M3714" s="611">
        <v>16138.40711</v>
      </c>
      <c r="N3714" s="611">
        <v>508.28999999999996</v>
      </c>
      <c r="O3714" s="611">
        <v>0</v>
      </c>
      <c r="BB3714" s="611">
        <v>15630.117109999999</v>
      </c>
    </row>
    <row r="3715" spans="1:54" ht="15">
      <c r="A3715" s="611"/>
      <c r="B3715" s="611"/>
      <c r="C3715" s="611" t="s">
        <v>1199</v>
      </c>
      <c r="D3715" s="611">
        <v>12434.127920000001</v>
      </c>
      <c r="E3715" s="611">
        <v>1125.51</v>
      </c>
      <c r="F3715" s="611">
        <v>11308.617920000001</v>
      </c>
      <c r="G3715" s="611">
        <v>653</v>
      </c>
      <c r="H3715" s="611">
        <v>12719.528349999999</v>
      </c>
      <c r="I3715" s="611">
        <v>0</v>
      </c>
      <c r="J3715" s="611">
        <v>285.40042999999986</v>
      </c>
      <c r="K3715" s="611">
        <v>653</v>
      </c>
      <c r="L3715" s="611">
        <v>12434.127920000003</v>
      </c>
      <c r="M3715" s="611">
        <v>12434.127920000003</v>
      </c>
      <c r="N3715" s="611">
        <v>1125.51</v>
      </c>
      <c r="O3715" s="611">
        <v>0</v>
      </c>
      <c r="P3715" s="611">
        <v>11308.617920000001</v>
      </c>
    </row>
    <row r="3716" spans="1:54" ht="15">
      <c r="A3716" s="611">
        <v>8</v>
      </c>
      <c r="B3716" s="611" t="s">
        <v>1545</v>
      </c>
      <c r="C3716" s="611" t="s">
        <v>1267</v>
      </c>
      <c r="D3716" s="611">
        <v>52247.352540000007</v>
      </c>
      <c r="E3716" s="611">
        <v>15587.4</v>
      </c>
      <c r="F3716" s="611">
        <v>36659.952540000006</v>
      </c>
      <c r="G3716" s="611">
        <v>1179</v>
      </c>
      <c r="H3716" s="611">
        <v>52585.614200000004</v>
      </c>
      <c r="I3716" s="611">
        <v>2</v>
      </c>
      <c r="J3716" s="611">
        <v>338.26167000000061</v>
      </c>
      <c r="K3716" s="611">
        <v>1177</v>
      </c>
      <c r="L3716" s="611">
        <v>52247.352530000004</v>
      </c>
      <c r="M3716" s="611">
        <v>52247.352530000004</v>
      </c>
      <c r="N3716" s="611">
        <v>15587.4</v>
      </c>
      <c r="O3716" s="611">
        <v>0</v>
      </c>
      <c r="P3716" s="611">
        <v>36659.95253000001</v>
      </c>
    </row>
    <row r="3717" spans="1:54" ht="15">
      <c r="A3717" s="611"/>
      <c r="B3717" s="611"/>
      <c r="C3717" s="611" t="s">
        <v>1197</v>
      </c>
      <c r="D3717" s="611">
        <v>45287.541190000004</v>
      </c>
      <c r="E3717" s="611">
        <v>13766.699999999999</v>
      </c>
      <c r="F3717" s="611">
        <v>31520.841190000006</v>
      </c>
      <c r="G3717" s="611">
        <v>701</v>
      </c>
      <c r="H3717" s="611">
        <v>45595.755920000003</v>
      </c>
      <c r="I3717" s="611">
        <v>1</v>
      </c>
      <c r="J3717" s="611">
        <v>308.2147300000006</v>
      </c>
      <c r="K3717" s="611">
        <v>700</v>
      </c>
      <c r="L3717" s="611">
        <v>45287.541190000004</v>
      </c>
      <c r="M3717" s="611">
        <v>45287.541190000004</v>
      </c>
      <c r="N3717" s="611">
        <v>13766.699999999999</v>
      </c>
      <c r="O3717" s="611">
        <v>0</v>
      </c>
    </row>
    <row r="3718" spans="1:54" ht="15">
      <c r="A3718" s="611"/>
      <c r="B3718" s="611"/>
      <c r="C3718" s="611" t="s">
        <v>1198</v>
      </c>
      <c r="D3718" s="611">
        <v>0</v>
      </c>
      <c r="E3718" s="611">
        <v>0</v>
      </c>
      <c r="F3718" s="611">
        <v>0</v>
      </c>
      <c r="G3718" s="611">
        <v>0</v>
      </c>
      <c r="H3718" s="611">
        <v>0</v>
      </c>
      <c r="I3718" s="611">
        <v>0</v>
      </c>
      <c r="J3718" s="611">
        <v>0</v>
      </c>
      <c r="K3718" s="611">
        <v>0</v>
      </c>
      <c r="L3718" s="611">
        <v>0</v>
      </c>
      <c r="M3718" s="611">
        <v>0</v>
      </c>
      <c r="N3718" s="611">
        <v>0</v>
      </c>
      <c r="O3718" s="611">
        <v>0</v>
      </c>
      <c r="P3718" s="611">
        <v>0</v>
      </c>
    </row>
    <row r="3719" spans="1:54" ht="15">
      <c r="A3719" s="611"/>
      <c r="B3719" s="611"/>
      <c r="C3719" s="611" t="s">
        <v>1199</v>
      </c>
      <c r="D3719" s="611">
        <v>6959.8113499999999</v>
      </c>
      <c r="E3719" s="611">
        <v>1820.7</v>
      </c>
      <c r="F3719" s="611">
        <v>5139.1113500000001</v>
      </c>
      <c r="G3719" s="611">
        <v>478</v>
      </c>
      <c r="H3719" s="611">
        <v>6989.8582800000013</v>
      </c>
      <c r="I3719" s="611">
        <v>1</v>
      </c>
      <c r="J3719" s="611">
        <v>30.046940000000006</v>
      </c>
      <c r="K3719" s="611">
        <v>477</v>
      </c>
      <c r="L3719" s="611">
        <v>6959.8113400000002</v>
      </c>
      <c r="M3719" s="611">
        <v>6959.8113400000002</v>
      </c>
      <c r="N3719" s="611">
        <v>1820.7</v>
      </c>
      <c r="O3719" s="611">
        <v>0</v>
      </c>
      <c r="P3719" s="611">
        <v>5139.1113399999995</v>
      </c>
    </row>
    <row r="3720" spans="1:54" ht="15">
      <c r="A3720" s="611">
        <v>9</v>
      </c>
      <c r="B3720" s="611" t="s">
        <v>1546</v>
      </c>
      <c r="C3720" s="611" t="s">
        <v>1267</v>
      </c>
      <c r="D3720" s="611">
        <v>165915.97720000002</v>
      </c>
      <c r="E3720" s="611">
        <v>49823.94</v>
      </c>
      <c r="F3720" s="611">
        <v>116092.03720000002</v>
      </c>
      <c r="G3720" s="611">
        <v>4121</v>
      </c>
      <c r="H3720" s="611">
        <v>174345.21647999997</v>
      </c>
      <c r="I3720" s="611">
        <v>9</v>
      </c>
      <c r="J3720" s="611">
        <v>8429.2392800000034</v>
      </c>
      <c r="K3720" s="611">
        <v>4112</v>
      </c>
      <c r="L3720" s="611">
        <v>165915.97719999999</v>
      </c>
      <c r="M3720" s="611">
        <v>165915.97719999999</v>
      </c>
      <c r="N3720" s="611">
        <v>49823.94</v>
      </c>
      <c r="O3720" s="611">
        <v>0</v>
      </c>
      <c r="P3720" s="611">
        <v>116092.03719999999</v>
      </c>
    </row>
    <row r="3721" spans="1:54" ht="15">
      <c r="A3721" s="611"/>
      <c r="B3721" s="611"/>
      <c r="C3721" s="611" t="s">
        <v>1197</v>
      </c>
      <c r="D3721" s="611">
        <v>136211.54494000002</v>
      </c>
      <c r="E3721" s="611">
        <v>42064.08</v>
      </c>
      <c r="F3721" s="611">
        <v>94147.46494000002</v>
      </c>
      <c r="G3721" s="611">
        <v>2125</v>
      </c>
      <c r="H3721" s="611">
        <v>144366.73841999998</v>
      </c>
      <c r="I3721" s="611">
        <v>5</v>
      </c>
      <c r="J3721" s="611">
        <v>8155.1934800000045</v>
      </c>
      <c r="K3721" s="611">
        <v>2120</v>
      </c>
      <c r="L3721" s="611">
        <v>136211.54493999999</v>
      </c>
      <c r="M3721" s="611">
        <v>136211.54493999999</v>
      </c>
      <c r="N3721" s="611">
        <v>42064.08</v>
      </c>
      <c r="O3721" s="611">
        <v>0</v>
      </c>
    </row>
    <row r="3722" spans="1:54" ht="15">
      <c r="A3722" s="611"/>
      <c r="B3722" s="611"/>
      <c r="C3722" s="611" t="s">
        <v>1198</v>
      </c>
      <c r="D3722" s="611">
        <v>0</v>
      </c>
      <c r="E3722" s="611">
        <v>0</v>
      </c>
      <c r="F3722" s="611">
        <v>0</v>
      </c>
      <c r="G3722" s="611">
        <v>0</v>
      </c>
      <c r="H3722" s="611">
        <v>0</v>
      </c>
      <c r="I3722" s="611">
        <v>0</v>
      </c>
      <c r="J3722" s="611">
        <v>0</v>
      </c>
      <c r="K3722" s="611">
        <v>0</v>
      </c>
      <c r="L3722" s="611">
        <v>0</v>
      </c>
      <c r="M3722" s="611">
        <v>0</v>
      </c>
      <c r="N3722" s="611">
        <v>0</v>
      </c>
      <c r="O3722" s="611">
        <v>0</v>
      </c>
      <c r="P3722" s="611">
        <v>0</v>
      </c>
    </row>
    <row r="3723" spans="1:54" ht="15">
      <c r="A3723" s="611"/>
      <c r="B3723" s="611"/>
      <c r="C3723" s="611" t="s">
        <v>1199</v>
      </c>
      <c r="D3723" s="611">
        <v>29704.432260000001</v>
      </c>
      <c r="E3723" s="611">
        <v>7759.86</v>
      </c>
      <c r="F3723" s="611">
        <v>21944.572260000001</v>
      </c>
      <c r="G3723" s="611">
        <v>1996</v>
      </c>
      <c r="H3723" s="611">
        <v>29978.478059999998</v>
      </c>
      <c r="I3723" s="611">
        <v>4</v>
      </c>
      <c r="J3723" s="611">
        <v>274.04579999999942</v>
      </c>
      <c r="K3723" s="611">
        <v>1992</v>
      </c>
      <c r="L3723" s="611">
        <v>29704.432259999994</v>
      </c>
      <c r="M3723" s="611">
        <v>29704.432259999994</v>
      </c>
      <c r="N3723" s="611">
        <v>7759.86</v>
      </c>
      <c r="O3723" s="611">
        <v>0</v>
      </c>
      <c r="P3723" s="611">
        <v>21944.572260000001</v>
      </c>
    </row>
    <row r="3724" spans="1:54" ht="15">
      <c r="A3724" s="611">
        <v>10</v>
      </c>
      <c r="B3724" s="611" t="s">
        <v>1547</v>
      </c>
      <c r="C3724" s="611" t="s">
        <v>1267</v>
      </c>
      <c r="D3724" s="611">
        <v>63910.837520000001</v>
      </c>
      <c r="E3724" s="611">
        <v>19173.36</v>
      </c>
      <c r="F3724" s="611">
        <v>44737.47752</v>
      </c>
      <c r="G3724" s="611">
        <v>1869</v>
      </c>
      <c r="H3724" s="611">
        <v>69791.364480000004</v>
      </c>
      <c r="I3724" s="611">
        <v>4</v>
      </c>
      <c r="J3724" s="611">
        <v>5880.5269599999983</v>
      </c>
      <c r="K3724" s="611">
        <v>1865</v>
      </c>
      <c r="L3724" s="611">
        <v>63910.837519999994</v>
      </c>
      <c r="M3724" s="611">
        <v>63910.837519999994</v>
      </c>
      <c r="N3724" s="611">
        <v>19173.36</v>
      </c>
      <c r="O3724" s="611">
        <v>0</v>
      </c>
      <c r="P3724" s="611">
        <v>44737.47752</v>
      </c>
    </row>
    <row r="3725" spans="1:54" ht="15">
      <c r="A3725" s="611"/>
      <c r="B3725" s="611"/>
      <c r="C3725" s="611" t="s">
        <v>1197</v>
      </c>
      <c r="D3725" s="611">
        <v>49142.366580000002</v>
      </c>
      <c r="E3725" s="611">
        <v>14485.65</v>
      </c>
      <c r="F3725" s="611">
        <v>34656.71658</v>
      </c>
      <c r="G3725" s="611">
        <v>810</v>
      </c>
      <c r="H3725" s="611">
        <v>54671.846339999996</v>
      </c>
      <c r="I3725" s="611">
        <v>4</v>
      </c>
      <c r="J3725" s="611">
        <v>5529.4797599999984</v>
      </c>
      <c r="K3725" s="611">
        <v>806</v>
      </c>
      <c r="L3725" s="611">
        <v>49142.366579999994</v>
      </c>
      <c r="M3725" s="611">
        <v>49142.366579999994</v>
      </c>
      <c r="N3725" s="611">
        <v>14485.65</v>
      </c>
      <c r="O3725" s="611">
        <v>0</v>
      </c>
    </row>
    <row r="3726" spans="1:54" ht="15">
      <c r="A3726" s="611"/>
      <c r="B3726" s="611"/>
      <c r="C3726" s="611" t="s">
        <v>1198</v>
      </c>
      <c r="D3726" s="611">
        <v>0</v>
      </c>
      <c r="E3726" s="611">
        <v>0</v>
      </c>
      <c r="F3726" s="611">
        <v>0</v>
      </c>
      <c r="G3726" s="611">
        <v>0</v>
      </c>
      <c r="H3726" s="611">
        <v>0</v>
      </c>
      <c r="I3726" s="611">
        <v>0</v>
      </c>
      <c r="J3726" s="611">
        <v>0</v>
      </c>
      <c r="K3726" s="611">
        <v>0</v>
      </c>
      <c r="L3726" s="611">
        <v>0</v>
      </c>
      <c r="M3726" s="611">
        <v>0</v>
      </c>
      <c r="N3726" s="611">
        <v>0</v>
      </c>
      <c r="O3726" s="611">
        <v>0</v>
      </c>
      <c r="P3726" s="611">
        <v>0</v>
      </c>
    </row>
    <row r="3727" spans="1:54" ht="15">
      <c r="A3727" s="611"/>
      <c r="B3727" s="611"/>
      <c r="C3727" s="611" t="s">
        <v>1199</v>
      </c>
      <c r="D3727" s="611">
        <v>14768.470940000001</v>
      </c>
      <c r="E3727" s="611">
        <v>4687.71</v>
      </c>
      <c r="F3727" s="611">
        <v>10080.76094</v>
      </c>
      <c r="G3727" s="611">
        <v>1059</v>
      </c>
      <c r="H3727" s="611">
        <v>15119.518140000002</v>
      </c>
      <c r="I3727" s="611">
        <v>0</v>
      </c>
      <c r="J3727" s="611">
        <v>351.04719999999998</v>
      </c>
      <c r="K3727" s="611">
        <v>1059</v>
      </c>
      <c r="L3727" s="611">
        <v>14768.470940000001</v>
      </c>
      <c r="M3727" s="611">
        <v>14768.470940000001</v>
      </c>
      <c r="N3727" s="611">
        <v>4687.71</v>
      </c>
      <c r="O3727" s="611">
        <v>0</v>
      </c>
      <c r="P3727" s="611">
        <v>10080.76094</v>
      </c>
    </row>
    <row r="3728" spans="1:54" ht="15">
      <c r="A3728" s="611">
        <v>11</v>
      </c>
      <c r="B3728" s="611" t="s">
        <v>1548</v>
      </c>
      <c r="C3728" s="611" t="s">
        <v>1267</v>
      </c>
      <c r="D3728" s="611">
        <v>105668.86843</v>
      </c>
      <c r="E3728" s="611">
        <v>31706.79</v>
      </c>
      <c r="F3728" s="611">
        <v>73962.078429999994</v>
      </c>
      <c r="G3728" s="611">
        <v>2996</v>
      </c>
      <c r="H3728" s="611">
        <v>110666.91568999999</v>
      </c>
      <c r="I3728" s="611">
        <v>9</v>
      </c>
      <c r="J3728" s="611">
        <v>4998.0472599999994</v>
      </c>
      <c r="K3728" s="611">
        <v>2987</v>
      </c>
      <c r="L3728" s="611">
        <v>105668.86843</v>
      </c>
      <c r="M3728" s="611">
        <v>105668.86843</v>
      </c>
      <c r="N3728" s="611">
        <v>31706.79</v>
      </c>
      <c r="O3728" s="611">
        <v>0</v>
      </c>
      <c r="P3728" s="611">
        <v>73962.078430000009</v>
      </c>
    </row>
    <row r="3729" spans="1:16" ht="15">
      <c r="A3729" s="611"/>
      <c r="B3729" s="611"/>
      <c r="C3729" s="611" t="s">
        <v>1197</v>
      </c>
      <c r="D3729" s="611">
        <v>79903.794150000002</v>
      </c>
      <c r="E3729" s="611">
        <v>23658</v>
      </c>
      <c r="F3729" s="611">
        <v>56245.794150000002</v>
      </c>
      <c r="G3729" s="611">
        <v>1222</v>
      </c>
      <c r="H3729" s="611">
        <v>82837.85514</v>
      </c>
      <c r="I3729" s="611">
        <v>5</v>
      </c>
      <c r="J3729" s="611">
        <v>2934.0609900000004</v>
      </c>
      <c r="K3729" s="611">
        <v>1217</v>
      </c>
      <c r="L3729" s="611">
        <v>79903.794150000002</v>
      </c>
      <c r="M3729" s="611">
        <v>79903.794150000002</v>
      </c>
      <c r="N3729" s="611">
        <v>23658</v>
      </c>
      <c r="O3729" s="611">
        <v>0</v>
      </c>
    </row>
    <row r="3730" spans="1:16" ht="15">
      <c r="A3730" s="611"/>
      <c r="B3730" s="611"/>
      <c r="C3730" s="611" t="s">
        <v>1198</v>
      </c>
      <c r="D3730" s="611">
        <v>0</v>
      </c>
      <c r="E3730" s="611">
        <v>0</v>
      </c>
      <c r="F3730" s="611">
        <v>0</v>
      </c>
      <c r="G3730" s="611">
        <v>0</v>
      </c>
      <c r="H3730" s="611">
        <v>0</v>
      </c>
      <c r="I3730" s="611">
        <v>0</v>
      </c>
      <c r="J3730" s="611">
        <v>0</v>
      </c>
      <c r="K3730" s="611">
        <v>0</v>
      </c>
      <c r="L3730" s="611">
        <v>0</v>
      </c>
      <c r="M3730" s="611">
        <v>0</v>
      </c>
      <c r="N3730" s="611">
        <v>0</v>
      </c>
      <c r="O3730" s="611">
        <v>0</v>
      </c>
      <c r="P3730" s="611">
        <v>0</v>
      </c>
    </row>
    <row r="3731" spans="1:16" ht="15">
      <c r="A3731" s="611"/>
      <c r="B3731" s="611"/>
      <c r="C3731" s="611" t="s">
        <v>1199</v>
      </c>
      <c r="D3731" s="611">
        <v>25765.074279999997</v>
      </c>
      <c r="E3731" s="611">
        <v>8048.7899999999991</v>
      </c>
      <c r="F3731" s="611">
        <v>17716.28428</v>
      </c>
      <c r="G3731" s="611">
        <v>1774</v>
      </c>
      <c r="H3731" s="611">
        <v>27829.060550000002</v>
      </c>
      <c r="I3731" s="611">
        <v>4</v>
      </c>
      <c r="J3731" s="611">
        <v>2063.9862699999994</v>
      </c>
      <c r="K3731" s="611">
        <v>1770</v>
      </c>
      <c r="L3731" s="611">
        <v>25765.074280000001</v>
      </c>
      <c r="M3731" s="611">
        <v>25765.074280000001</v>
      </c>
      <c r="N3731" s="611">
        <v>8048.7899999999991</v>
      </c>
      <c r="O3731" s="611">
        <v>0</v>
      </c>
      <c r="P3731" s="611">
        <v>17716.28428</v>
      </c>
    </row>
    <row r="3732" spans="1:16" ht="15">
      <c r="A3732" s="611">
        <v>12</v>
      </c>
      <c r="B3732" s="611" t="s">
        <v>1549</v>
      </c>
      <c r="C3732" s="611" t="s">
        <v>1267</v>
      </c>
      <c r="D3732" s="611">
        <v>348027.44999999995</v>
      </c>
      <c r="E3732" s="611">
        <v>104558.24999999999</v>
      </c>
      <c r="F3732" s="611">
        <v>243469.2</v>
      </c>
      <c r="G3732" s="611">
        <v>8472</v>
      </c>
      <c r="H3732" s="611">
        <v>356978.19609400007</v>
      </c>
      <c r="I3732" s="611">
        <v>13</v>
      </c>
      <c r="J3732" s="611">
        <v>8950.7460740000006</v>
      </c>
      <c r="K3732" s="611">
        <v>8459</v>
      </c>
      <c r="L3732" s="611">
        <v>348027.45001999999</v>
      </c>
      <c r="M3732" s="611">
        <v>348027.45001999999</v>
      </c>
      <c r="N3732" s="611">
        <v>104558.24999999999</v>
      </c>
      <c r="O3732" s="611">
        <v>0</v>
      </c>
      <c r="P3732" s="611">
        <v>243469.20001999999</v>
      </c>
    </row>
    <row r="3733" spans="1:16" ht="15">
      <c r="A3733" s="611"/>
      <c r="B3733" s="611"/>
      <c r="C3733" s="611" t="s">
        <v>1197</v>
      </c>
      <c r="D3733" s="611">
        <v>279401.26507999998</v>
      </c>
      <c r="E3733" s="611">
        <v>83970.599999999991</v>
      </c>
      <c r="F3733" s="611">
        <v>195430.66508000001</v>
      </c>
      <c r="G3733" s="611">
        <v>4015</v>
      </c>
      <c r="H3733" s="611">
        <v>287806.83012000006</v>
      </c>
      <c r="I3733" s="611">
        <v>5</v>
      </c>
      <c r="J3733" s="611">
        <v>8405.56502</v>
      </c>
      <c r="K3733" s="611">
        <v>4010</v>
      </c>
      <c r="L3733" s="611">
        <v>279401.26510000002</v>
      </c>
      <c r="M3733" s="611">
        <v>279401.26510000002</v>
      </c>
      <c r="N3733" s="611">
        <v>83970.599999999991</v>
      </c>
      <c r="O3733" s="611">
        <v>0</v>
      </c>
    </row>
    <row r="3734" spans="1:16" ht="15">
      <c r="A3734" s="611"/>
      <c r="B3734" s="611"/>
      <c r="C3734" s="611" t="s">
        <v>1198</v>
      </c>
      <c r="D3734" s="611">
        <v>0</v>
      </c>
      <c r="E3734" s="611">
        <v>0</v>
      </c>
      <c r="F3734" s="611">
        <v>0</v>
      </c>
      <c r="G3734" s="611">
        <v>0</v>
      </c>
      <c r="H3734" s="611">
        <v>0</v>
      </c>
      <c r="I3734" s="611">
        <v>0</v>
      </c>
      <c r="J3734" s="611">
        <v>0</v>
      </c>
      <c r="K3734" s="611">
        <v>0</v>
      </c>
      <c r="L3734" s="611">
        <v>0</v>
      </c>
      <c r="M3734" s="611">
        <v>0</v>
      </c>
      <c r="N3734" s="611">
        <v>0</v>
      </c>
      <c r="O3734" s="611">
        <v>0</v>
      </c>
      <c r="P3734" s="611">
        <v>0</v>
      </c>
    </row>
    <row r="3735" spans="1:16" ht="15">
      <c r="A3735" s="611"/>
      <c r="B3735" s="611"/>
      <c r="C3735" s="611" t="s">
        <v>1199</v>
      </c>
      <c r="D3735" s="611">
        <v>68626.18492</v>
      </c>
      <c r="E3735" s="611">
        <v>20587.649999999998</v>
      </c>
      <c r="F3735" s="611">
        <v>48038.534920000006</v>
      </c>
      <c r="G3735" s="611">
        <v>4457</v>
      </c>
      <c r="H3735" s="611">
        <v>69171.365974</v>
      </c>
      <c r="I3735" s="611">
        <v>8</v>
      </c>
      <c r="J3735" s="611">
        <v>545.18105400000104</v>
      </c>
      <c r="K3735" s="611">
        <v>4449</v>
      </c>
      <c r="L3735" s="611">
        <v>68626.18492</v>
      </c>
      <c r="M3735" s="611">
        <v>68626.18492</v>
      </c>
      <c r="N3735" s="611">
        <v>20587.649999999998</v>
      </c>
      <c r="O3735" s="611">
        <v>0</v>
      </c>
      <c r="P3735" s="611">
        <v>48038.534920000006</v>
      </c>
    </row>
    <row r="3736" spans="1:16" ht="15">
      <c r="A3736" s="611">
        <v>13</v>
      </c>
      <c r="B3736" s="611" t="s">
        <v>1550</v>
      </c>
      <c r="C3736" s="611" t="s">
        <v>1267</v>
      </c>
      <c r="D3736" s="611">
        <v>106749.20644000001</v>
      </c>
      <c r="E3736" s="611">
        <v>32041.739999999998</v>
      </c>
      <c r="F3736" s="611">
        <v>74707.466440000004</v>
      </c>
      <c r="G3736" s="611">
        <v>3606</v>
      </c>
      <c r="H3736" s="611">
        <v>109058.73383</v>
      </c>
      <c r="I3736" s="611">
        <v>4</v>
      </c>
      <c r="J3736" s="611">
        <v>2309.5273999999986</v>
      </c>
      <c r="K3736" s="611">
        <v>3602</v>
      </c>
      <c r="L3736" s="611">
        <v>106749.20643000001</v>
      </c>
      <c r="M3736" s="611">
        <v>106749.20643000001</v>
      </c>
      <c r="N3736" s="611">
        <v>32041.739999999998</v>
      </c>
      <c r="O3736" s="611">
        <v>0</v>
      </c>
      <c r="P3736" s="611">
        <v>74707.466430000015</v>
      </c>
    </row>
    <row r="3737" spans="1:16" ht="15">
      <c r="A3737" s="611"/>
      <c r="B3737" s="611"/>
      <c r="C3737" s="611" t="s">
        <v>1197</v>
      </c>
      <c r="D3737" s="611">
        <v>71788.96474000001</v>
      </c>
      <c r="E3737" s="611">
        <v>19348.41</v>
      </c>
      <c r="F3737" s="611">
        <v>52440.554740000007</v>
      </c>
      <c r="G3737" s="611">
        <v>1175</v>
      </c>
      <c r="H3737" s="611">
        <v>73770.704799999992</v>
      </c>
      <c r="I3737" s="611">
        <v>2</v>
      </c>
      <c r="J3737" s="611">
        <v>1981.74008</v>
      </c>
      <c r="K3737" s="611">
        <v>1173</v>
      </c>
      <c r="L3737" s="611">
        <v>71788.964720000004</v>
      </c>
      <c r="M3737" s="611">
        <v>71788.964720000004</v>
      </c>
      <c r="N3737" s="611">
        <v>19348.41</v>
      </c>
      <c r="O3737" s="611">
        <v>0</v>
      </c>
    </row>
    <row r="3738" spans="1:16" ht="15">
      <c r="A3738" s="611"/>
      <c r="B3738" s="611"/>
      <c r="C3738" s="611" t="s">
        <v>1198</v>
      </c>
      <c r="D3738" s="611">
        <v>0</v>
      </c>
      <c r="E3738" s="611">
        <v>0</v>
      </c>
      <c r="F3738" s="611">
        <v>0</v>
      </c>
      <c r="G3738" s="611">
        <v>0</v>
      </c>
      <c r="H3738" s="611">
        <v>0</v>
      </c>
      <c r="I3738" s="611">
        <v>0</v>
      </c>
      <c r="J3738" s="611">
        <v>0</v>
      </c>
      <c r="K3738" s="611">
        <v>0</v>
      </c>
      <c r="L3738" s="611">
        <v>0</v>
      </c>
      <c r="M3738" s="611">
        <v>0</v>
      </c>
      <c r="N3738" s="611">
        <v>0</v>
      </c>
      <c r="O3738" s="611">
        <v>0</v>
      </c>
      <c r="P3738" s="611">
        <v>0</v>
      </c>
    </row>
    <row r="3739" spans="1:16" ht="15">
      <c r="A3739" s="611"/>
      <c r="B3739" s="611"/>
      <c r="C3739" s="611" t="s">
        <v>1199</v>
      </c>
      <c r="D3739" s="611">
        <v>34960.241699999999</v>
      </c>
      <c r="E3739" s="611">
        <v>12693.33</v>
      </c>
      <c r="F3739" s="611">
        <v>22266.911699999997</v>
      </c>
      <c r="G3739" s="611">
        <v>2431</v>
      </c>
      <c r="H3739" s="611">
        <v>35288.029030000005</v>
      </c>
      <c r="I3739" s="611">
        <v>2</v>
      </c>
      <c r="J3739" s="611">
        <v>327.78731999999854</v>
      </c>
      <c r="K3739" s="611">
        <v>2429</v>
      </c>
      <c r="L3739" s="611">
        <v>34960.241710000002</v>
      </c>
      <c r="M3739" s="611">
        <v>34960.241710000002</v>
      </c>
      <c r="N3739" s="611">
        <v>12693.33</v>
      </c>
      <c r="O3739" s="611">
        <v>0</v>
      </c>
      <c r="P3739" s="611">
        <v>22266.911710000004</v>
      </c>
    </row>
    <row r="3740" spans="1:16" ht="15">
      <c r="A3740" s="611">
        <v>14</v>
      </c>
      <c r="B3740" s="611" t="s">
        <v>1551</v>
      </c>
      <c r="C3740" s="611" t="s">
        <v>1267</v>
      </c>
      <c r="D3740" s="611">
        <v>110399.33098</v>
      </c>
      <c r="E3740" s="611">
        <v>33122.549999999996</v>
      </c>
      <c r="F3740" s="611">
        <v>77276.780979999996</v>
      </c>
      <c r="G3740" s="611">
        <v>3695</v>
      </c>
      <c r="H3740" s="611">
        <v>112588.78417999999</v>
      </c>
      <c r="I3740" s="611">
        <v>5</v>
      </c>
      <c r="J3740" s="611">
        <v>2189.4532200000031</v>
      </c>
      <c r="K3740" s="611">
        <v>3690</v>
      </c>
      <c r="L3740" s="611">
        <v>110399.33095999999</v>
      </c>
      <c r="M3740" s="611">
        <v>110399.33095999999</v>
      </c>
      <c r="N3740" s="611">
        <v>33122.549999999996</v>
      </c>
      <c r="O3740" s="611">
        <v>0</v>
      </c>
      <c r="P3740" s="611">
        <v>77276.780960000018</v>
      </c>
    </row>
    <row r="3741" spans="1:16" ht="15">
      <c r="A3741" s="611"/>
      <c r="B3741" s="611"/>
      <c r="C3741" s="611" t="s">
        <v>1197</v>
      </c>
      <c r="D3741" s="611">
        <v>74116.135169999994</v>
      </c>
      <c r="E3741" s="611">
        <v>22245.269999999997</v>
      </c>
      <c r="F3741" s="611">
        <v>51870.865169999997</v>
      </c>
      <c r="G3741" s="611">
        <v>1143</v>
      </c>
      <c r="H3741" s="611">
        <v>75951.578809999992</v>
      </c>
      <c r="I3741" s="611">
        <v>2</v>
      </c>
      <c r="J3741" s="611">
        <v>1835.4436600000024</v>
      </c>
      <c r="K3741" s="611">
        <v>1141</v>
      </c>
      <c r="L3741" s="611">
        <v>74116.135149999987</v>
      </c>
      <c r="M3741" s="611">
        <v>74116.135149999987</v>
      </c>
      <c r="N3741" s="611">
        <v>22245.269999999997</v>
      </c>
      <c r="O3741" s="611">
        <v>0</v>
      </c>
    </row>
    <row r="3742" spans="1:16" ht="15">
      <c r="A3742" s="611"/>
      <c r="B3742" s="611"/>
      <c r="C3742" s="611" t="s">
        <v>1198</v>
      </c>
      <c r="D3742" s="611">
        <v>0</v>
      </c>
      <c r="E3742" s="611">
        <v>0</v>
      </c>
      <c r="F3742" s="611">
        <v>0</v>
      </c>
      <c r="G3742" s="611">
        <v>0</v>
      </c>
      <c r="H3742" s="611">
        <v>0</v>
      </c>
      <c r="I3742" s="611">
        <v>0</v>
      </c>
      <c r="J3742" s="611">
        <v>0</v>
      </c>
      <c r="K3742" s="611">
        <v>0</v>
      </c>
      <c r="L3742" s="611">
        <v>0</v>
      </c>
      <c r="M3742" s="611">
        <v>0</v>
      </c>
      <c r="N3742" s="611">
        <v>0</v>
      </c>
      <c r="O3742" s="611">
        <v>0</v>
      </c>
      <c r="P3742" s="611">
        <v>0</v>
      </c>
    </row>
    <row r="3743" spans="1:16" ht="15">
      <c r="A3743" s="611"/>
      <c r="B3743" s="611"/>
      <c r="C3743" s="611" t="s">
        <v>1199</v>
      </c>
      <c r="D3743" s="611">
        <v>36283.195809999997</v>
      </c>
      <c r="E3743" s="611">
        <v>10877.279999999999</v>
      </c>
      <c r="F3743" s="611">
        <v>25405.915809999999</v>
      </c>
      <c r="G3743" s="611">
        <v>2552</v>
      </c>
      <c r="H3743" s="611">
        <v>36637.205369999996</v>
      </c>
      <c r="I3743" s="611">
        <v>3</v>
      </c>
      <c r="J3743" s="611">
        <v>354.00956000000065</v>
      </c>
      <c r="K3743" s="611">
        <v>2549</v>
      </c>
      <c r="L3743" s="611">
        <v>36283.195809999997</v>
      </c>
      <c r="M3743" s="611">
        <v>36283.195809999997</v>
      </c>
      <c r="N3743" s="611">
        <v>10877.279999999999</v>
      </c>
      <c r="O3743" s="611">
        <v>0</v>
      </c>
      <c r="P3743" s="611">
        <v>25405.915810000002</v>
      </c>
    </row>
    <row r="3744" spans="1:16" ht="15">
      <c r="A3744" s="611">
        <v>15</v>
      </c>
      <c r="B3744" s="611" t="s">
        <v>1552</v>
      </c>
      <c r="C3744" s="611" t="s">
        <v>1267</v>
      </c>
      <c r="D3744" s="611">
        <v>141418.40432999999</v>
      </c>
      <c r="E3744" s="611">
        <v>42426.99</v>
      </c>
      <c r="F3744" s="611">
        <v>98991.41433</v>
      </c>
      <c r="G3744" s="611">
        <v>3614</v>
      </c>
      <c r="H3744" s="611">
        <v>147065.77898</v>
      </c>
      <c r="I3744" s="611">
        <v>37</v>
      </c>
      <c r="J3744" s="611">
        <v>5647.3746099999989</v>
      </c>
      <c r="K3744" s="611">
        <v>3577</v>
      </c>
      <c r="L3744" s="611">
        <v>141418.40437</v>
      </c>
      <c r="M3744" s="611">
        <v>141418.40437</v>
      </c>
      <c r="N3744" s="611">
        <v>42426.99</v>
      </c>
      <c r="O3744" s="611">
        <v>0</v>
      </c>
      <c r="P3744" s="611">
        <v>98991.414369999999</v>
      </c>
    </row>
    <row r="3745" spans="1:16" ht="15">
      <c r="A3745" s="611"/>
      <c r="B3745" s="611"/>
      <c r="C3745" s="611" t="s">
        <v>1197</v>
      </c>
      <c r="D3745" s="611">
        <v>108046.74513</v>
      </c>
      <c r="E3745" s="611">
        <v>32447.759999999998</v>
      </c>
      <c r="F3745" s="611">
        <v>75598.985130000001</v>
      </c>
      <c r="G3745" s="611">
        <v>1521</v>
      </c>
      <c r="H3745" s="611">
        <v>112958.74941999999</v>
      </c>
      <c r="I3745" s="611">
        <v>2</v>
      </c>
      <c r="J3745" s="611">
        <v>4912.0042499999981</v>
      </c>
      <c r="K3745" s="611">
        <v>1519</v>
      </c>
      <c r="L3745" s="611">
        <v>108046.74516999999</v>
      </c>
      <c r="M3745" s="611">
        <v>108046.74516999999</v>
      </c>
      <c r="N3745" s="611">
        <v>32447.759999999998</v>
      </c>
      <c r="O3745" s="611">
        <v>0</v>
      </c>
    </row>
    <row r="3746" spans="1:16" ht="15">
      <c r="A3746" s="611"/>
      <c r="B3746" s="611"/>
      <c r="C3746" s="611" t="s">
        <v>1198</v>
      </c>
      <c r="D3746" s="611">
        <v>0</v>
      </c>
      <c r="E3746" s="611">
        <v>0</v>
      </c>
      <c r="F3746" s="611">
        <v>0</v>
      </c>
      <c r="G3746" s="611">
        <v>0</v>
      </c>
      <c r="H3746" s="611">
        <v>0</v>
      </c>
      <c r="I3746" s="611">
        <v>0</v>
      </c>
      <c r="J3746" s="611">
        <v>0</v>
      </c>
      <c r="K3746" s="611">
        <v>0</v>
      </c>
      <c r="L3746" s="611">
        <v>0</v>
      </c>
      <c r="M3746" s="611">
        <v>0</v>
      </c>
      <c r="N3746" s="611">
        <v>0</v>
      </c>
      <c r="O3746" s="611">
        <v>0</v>
      </c>
      <c r="P3746" s="611">
        <v>0</v>
      </c>
    </row>
    <row r="3747" spans="1:16" ht="15">
      <c r="A3747" s="611"/>
      <c r="B3747" s="611"/>
      <c r="C3747" s="611" t="s">
        <v>1199</v>
      </c>
      <c r="D3747" s="611">
        <v>33371.659200000002</v>
      </c>
      <c r="E3747" s="611">
        <v>9979.23</v>
      </c>
      <c r="F3747" s="611">
        <v>23392.429200000002</v>
      </c>
      <c r="G3747" s="611">
        <v>2093</v>
      </c>
      <c r="H3747" s="611">
        <v>34107.029560000003</v>
      </c>
      <c r="I3747" s="611">
        <v>35</v>
      </c>
      <c r="J3747" s="611">
        <v>735.37036000000035</v>
      </c>
      <c r="K3747" s="611">
        <v>2058</v>
      </c>
      <c r="L3747" s="611">
        <v>33371.659200000009</v>
      </c>
      <c r="M3747" s="611">
        <v>33371.659200000009</v>
      </c>
      <c r="N3747" s="611">
        <v>9979.23</v>
      </c>
      <c r="O3747" s="611">
        <v>0</v>
      </c>
      <c r="P3747" s="611">
        <v>23392.429199999999</v>
      </c>
    </row>
    <row r="3748" spans="1:16" ht="15">
      <c r="A3748" s="611">
        <v>16</v>
      </c>
      <c r="B3748" s="611" t="s">
        <v>1553</v>
      </c>
      <c r="C3748" s="611" t="s">
        <v>1267</v>
      </c>
      <c r="D3748" s="611">
        <v>165272.80346999998</v>
      </c>
      <c r="E3748" s="611">
        <v>49583.49</v>
      </c>
      <c r="F3748" s="611">
        <v>115689.31346999999</v>
      </c>
      <c r="G3748" s="611">
        <v>4773</v>
      </c>
      <c r="H3748" s="611">
        <v>171033.17708999998</v>
      </c>
      <c r="I3748" s="611">
        <v>6</v>
      </c>
      <c r="J3748" s="611">
        <v>5760.3736199999985</v>
      </c>
      <c r="K3748" s="611">
        <v>4767</v>
      </c>
      <c r="L3748" s="611">
        <v>165272.80346999998</v>
      </c>
      <c r="M3748" s="611">
        <v>165272.80346999998</v>
      </c>
      <c r="N3748" s="611">
        <v>49583.49</v>
      </c>
      <c r="O3748" s="611">
        <v>0</v>
      </c>
      <c r="P3748" s="611">
        <v>115689.31347000002</v>
      </c>
    </row>
    <row r="3749" spans="1:16" ht="15">
      <c r="A3749" s="611"/>
      <c r="B3749" s="611"/>
      <c r="C3749" s="611" t="s">
        <v>1197</v>
      </c>
      <c r="D3749" s="611">
        <v>117788.12986999999</v>
      </c>
      <c r="E3749" s="611">
        <v>37551.21</v>
      </c>
      <c r="F3749" s="611">
        <v>80236.919869999983</v>
      </c>
      <c r="G3749" s="611">
        <v>1746</v>
      </c>
      <c r="H3749" s="611">
        <v>123245.08609999999</v>
      </c>
      <c r="I3749" s="611">
        <v>2</v>
      </c>
      <c r="J3749" s="611">
        <v>5456.956229999998</v>
      </c>
      <c r="K3749" s="611">
        <v>1744</v>
      </c>
      <c r="L3749" s="611">
        <v>117788.12986999999</v>
      </c>
      <c r="M3749" s="611">
        <v>117788.12986999999</v>
      </c>
      <c r="N3749" s="611">
        <v>37551.21</v>
      </c>
      <c r="O3749" s="611">
        <v>0</v>
      </c>
    </row>
    <row r="3750" spans="1:16" ht="15">
      <c r="A3750" s="611"/>
      <c r="B3750" s="611"/>
      <c r="C3750" s="611" t="s">
        <v>1198</v>
      </c>
      <c r="D3750" s="611">
        <v>0</v>
      </c>
      <c r="E3750" s="611">
        <v>0</v>
      </c>
      <c r="F3750" s="611">
        <v>0</v>
      </c>
      <c r="G3750" s="611">
        <v>0</v>
      </c>
      <c r="H3750" s="611">
        <v>0</v>
      </c>
      <c r="I3750" s="611">
        <v>0</v>
      </c>
      <c r="J3750" s="611">
        <v>0</v>
      </c>
      <c r="K3750" s="611">
        <v>0</v>
      </c>
      <c r="L3750" s="611">
        <v>0</v>
      </c>
      <c r="M3750" s="611">
        <v>0</v>
      </c>
      <c r="N3750" s="611">
        <v>0</v>
      </c>
      <c r="O3750" s="611">
        <v>0</v>
      </c>
      <c r="P3750" s="611">
        <v>0</v>
      </c>
    </row>
    <row r="3751" spans="1:16" ht="15">
      <c r="A3751" s="611"/>
      <c r="B3751" s="611"/>
      <c r="C3751" s="611" t="s">
        <v>1199</v>
      </c>
      <c r="D3751" s="611">
        <v>47484.673600000002</v>
      </c>
      <c r="E3751" s="611">
        <v>12032.279999999999</v>
      </c>
      <c r="F3751" s="611">
        <v>35452.393600000003</v>
      </c>
      <c r="G3751" s="611">
        <v>3027</v>
      </c>
      <c r="H3751" s="611">
        <v>47788.090989999997</v>
      </c>
      <c r="I3751" s="611">
        <v>4</v>
      </c>
      <c r="J3751" s="611">
        <v>303.41739000000075</v>
      </c>
      <c r="K3751" s="611">
        <v>3023</v>
      </c>
      <c r="L3751" s="611">
        <v>47484.673600000002</v>
      </c>
      <c r="M3751" s="611">
        <v>47484.673600000002</v>
      </c>
      <c r="N3751" s="611">
        <v>12032.279999999999</v>
      </c>
      <c r="O3751" s="611">
        <v>0</v>
      </c>
      <c r="P3751" s="611">
        <v>35452.39360000001</v>
      </c>
    </row>
    <row r="3752" spans="1:16" ht="15">
      <c r="A3752" s="611">
        <v>17</v>
      </c>
      <c r="B3752" s="611" t="s">
        <v>1554</v>
      </c>
      <c r="C3752" s="611" t="s">
        <v>1267</v>
      </c>
      <c r="D3752" s="611">
        <v>154274.26413000003</v>
      </c>
      <c r="E3752" s="611">
        <v>46289.7</v>
      </c>
      <c r="F3752" s="611">
        <v>107984.56413000001</v>
      </c>
      <c r="G3752" s="611">
        <v>4594</v>
      </c>
      <c r="H3752" s="611">
        <v>157502.20682999998</v>
      </c>
      <c r="I3752" s="611">
        <v>5</v>
      </c>
      <c r="J3752" s="611">
        <v>3227.9426800000028</v>
      </c>
      <c r="K3752" s="611">
        <v>4589</v>
      </c>
      <c r="L3752" s="611">
        <v>154274.26415</v>
      </c>
      <c r="M3752" s="611">
        <v>154274.26415</v>
      </c>
      <c r="N3752" s="611">
        <v>46289.7</v>
      </c>
      <c r="O3752" s="611">
        <v>0</v>
      </c>
      <c r="P3752" s="611">
        <v>107984.56415000002</v>
      </c>
    </row>
    <row r="3753" spans="1:16" ht="15">
      <c r="A3753" s="611"/>
      <c r="B3753" s="611"/>
      <c r="C3753" s="611" t="s">
        <v>1197</v>
      </c>
      <c r="D3753" s="611">
        <v>108001.69474000001</v>
      </c>
      <c r="E3753" s="611">
        <v>31478.43</v>
      </c>
      <c r="F3753" s="611">
        <v>76523.264740000013</v>
      </c>
      <c r="G3753" s="611">
        <v>1707</v>
      </c>
      <c r="H3753" s="611">
        <v>110677.40787</v>
      </c>
      <c r="I3753" s="611">
        <v>2</v>
      </c>
      <c r="J3753" s="611">
        <v>2675.7131100000033</v>
      </c>
      <c r="K3753" s="611">
        <v>1705</v>
      </c>
      <c r="L3753" s="611">
        <v>108001.69476000001</v>
      </c>
      <c r="M3753" s="611">
        <v>108001.69476000001</v>
      </c>
      <c r="N3753" s="611">
        <v>31478.43</v>
      </c>
      <c r="O3753" s="611">
        <v>0</v>
      </c>
    </row>
    <row r="3754" spans="1:16" ht="15">
      <c r="A3754" s="611"/>
      <c r="B3754" s="611"/>
      <c r="C3754" s="611" t="s">
        <v>1198</v>
      </c>
      <c r="D3754" s="611">
        <v>0</v>
      </c>
      <c r="E3754" s="611">
        <v>0</v>
      </c>
      <c r="F3754" s="611">
        <v>0</v>
      </c>
      <c r="G3754" s="611">
        <v>0</v>
      </c>
      <c r="H3754" s="611">
        <v>0</v>
      </c>
      <c r="I3754" s="611">
        <v>0</v>
      </c>
      <c r="J3754" s="611">
        <v>0</v>
      </c>
      <c r="K3754" s="611">
        <v>0</v>
      </c>
      <c r="L3754" s="611">
        <v>0</v>
      </c>
      <c r="M3754" s="611">
        <v>0</v>
      </c>
      <c r="N3754" s="611">
        <v>0</v>
      </c>
      <c r="O3754" s="611">
        <v>0</v>
      </c>
      <c r="P3754" s="611">
        <v>0</v>
      </c>
    </row>
    <row r="3755" spans="1:16" ht="15">
      <c r="A3755" s="611"/>
      <c r="B3755" s="611"/>
      <c r="C3755" s="611" t="s">
        <v>1199</v>
      </c>
      <c r="D3755" s="611">
        <v>46272.569390000004</v>
      </c>
      <c r="E3755" s="611">
        <v>14811.27</v>
      </c>
      <c r="F3755" s="611">
        <v>31461.299390000004</v>
      </c>
      <c r="G3755" s="611">
        <v>2887</v>
      </c>
      <c r="H3755" s="611">
        <v>46824.79896</v>
      </c>
      <c r="I3755" s="611">
        <v>3</v>
      </c>
      <c r="J3755" s="611">
        <v>552.22956999999951</v>
      </c>
      <c r="K3755" s="611">
        <v>2884</v>
      </c>
      <c r="L3755" s="611">
        <v>46272.569390000004</v>
      </c>
      <c r="M3755" s="611">
        <v>46272.569390000004</v>
      </c>
      <c r="N3755" s="611">
        <v>14811.27</v>
      </c>
      <c r="O3755" s="611">
        <v>0</v>
      </c>
      <c r="P3755" s="611">
        <v>31461.299390000007</v>
      </c>
    </row>
    <row r="3756" spans="1:16" ht="15">
      <c r="A3756" s="611">
        <v>18</v>
      </c>
      <c r="B3756" s="611" t="s">
        <v>1555</v>
      </c>
      <c r="C3756" s="611" t="s">
        <v>1267</v>
      </c>
      <c r="D3756" s="611">
        <v>90244.341270000004</v>
      </c>
      <c r="E3756" s="611">
        <v>27084.9</v>
      </c>
      <c r="F3756" s="611">
        <v>63159.441269999996</v>
      </c>
      <c r="G3756" s="611">
        <v>2662</v>
      </c>
      <c r="H3756" s="611">
        <v>92452.694560000004</v>
      </c>
      <c r="I3756" s="611">
        <v>7</v>
      </c>
      <c r="J3756" s="611">
        <v>2208.3532700000014</v>
      </c>
      <c r="K3756" s="611">
        <v>2655</v>
      </c>
      <c r="L3756" s="611">
        <v>90244.341289999997</v>
      </c>
      <c r="M3756" s="611">
        <v>90244.341289999997</v>
      </c>
      <c r="N3756" s="611">
        <v>27084.9</v>
      </c>
      <c r="O3756" s="611">
        <v>0</v>
      </c>
      <c r="P3756" s="611">
        <v>63159.441289999988</v>
      </c>
    </row>
    <row r="3757" spans="1:16" ht="15">
      <c r="A3757" s="611"/>
      <c r="B3757" s="611"/>
      <c r="C3757" s="611" t="s">
        <v>1197</v>
      </c>
      <c r="D3757" s="611">
        <v>68357.244179999994</v>
      </c>
      <c r="E3757" s="611">
        <v>19714.740000000002</v>
      </c>
      <c r="F3757" s="611">
        <v>48642.504179999989</v>
      </c>
      <c r="G3757" s="611">
        <v>1065</v>
      </c>
      <c r="H3757" s="611">
        <v>70239.114020000008</v>
      </c>
      <c r="I3757" s="611">
        <v>1</v>
      </c>
      <c r="J3757" s="611">
        <v>1881.8698200000008</v>
      </c>
      <c r="K3757" s="611">
        <v>1064</v>
      </c>
      <c r="L3757" s="611">
        <v>68357.244200000001</v>
      </c>
      <c r="M3757" s="611">
        <v>68357.244200000001</v>
      </c>
      <c r="N3757" s="611">
        <v>19714.740000000002</v>
      </c>
      <c r="O3757" s="611">
        <v>0</v>
      </c>
    </row>
    <row r="3758" spans="1:16" ht="15">
      <c r="A3758" s="611"/>
      <c r="B3758" s="611"/>
      <c r="C3758" s="611" t="s">
        <v>1198</v>
      </c>
      <c r="D3758" s="611">
        <v>0</v>
      </c>
      <c r="E3758" s="611">
        <v>0</v>
      </c>
      <c r="F3758" s="611">
        <v>0</v>
      </c>
      <c r="G3758" s="611">
        <v>0</v>
      </c>
      <c r="H3758" s="611">
        <v>0</v>
      </c>
      <c r="I3758" s="611">
        <v>0</v>
      </c>
      <c r="J3758" s="611">
        <v>0</v>
      </c>
      <c r="K3758" s="611">
        <v>0</v>
      </c>
      <c r="L3758" s="611">
        <v>0</v>
      </c>
      <c r="M3758" s="611">
        <v>0</v>
      </c>
      <c r="N3758" s="611">
        <v>0</v>
      </c>
      <c r="O3758" s="611">
        <v>0</v>
      </c>
      <c r="P3758" s="611">
        <v>0</v>
      </c>
    </row>
    <row r="3759" spans="1:16" ht="15">
      <c r="A3759" s="611"/>
      <c r="B3759" s="611"/>
      <c r="C3759" s="611" t="s">
        <v>1199</v>
      </c>
      <c r="D3759" s="611">
        <v>21887.097090000003</v>
      </c>
      <c r="E3759" s="611">
        <v>7370.16</v>
      </c>
      <c r="F3759" s="611">
        <v>14516.937090000003</v>
      </c>
      <c r="G3759" s="611">
        <v>1597</v>
      </c>
      <c r="H3759" s="611">
        <v>22213.580539999999</v>
      </c>
      <c r="I3759" s="611">
        <v>6</v>
      </c>
      <c r="J3759" s="611">
        <v>326.48345000000063</v>
      </c>
      <c r="K3759" s="611">
        <v>1591</v>
      </c>
      <c r="L3759" s="611">
        <v>21887.097089999996</v>
      </c>
      <c r="M3759" s="611">
        <v>21887.097089999996</v>
      </c>
      <c r="N3759" s="611">
        <v>7370.16</v>
      </c>
      <c r="O3759" s="611">
        <v>0</v>
      </c>
      <c r="P3759" s="611">
        <v>14516.937089999998</v>
      </c>
    </row>
    <row r="3760" spans="1:16" ht="15">
      <c r="A3760" s="611">
        <v>19</v>
      </c>
      <c r="B3760" s="611" t="s">
        <v>1556</v>
      </c>
      <c r="C3760" s="611" t="s">
        <v>1267</v>
      </c>
      <c r="D3760" s="611">
        <v>109443.47532</v>
      </c>
      <c r="E3760" s="611">
        <v>32836.050000000003</v>
      </c>
      <c r="F3760" s="611">
        <v>76607.425320000009</v>
      </c>
      <c r="G3760" s="611">
        <v>3282</v>
      </c>
      <c r="H3760" s="611">
        <v>111823.70619999999</v>
      </c>
      <c r="I3760" s="611">
        <v>5</v>
      </c>
      <c r="J3760" s="611">
        <v>2380.2308799999987</v>
      </c>
      <c r="K3760" s="611">
        <v>3277</v>
      </c>
      <c r="L3760" s="611">
        <v>109443.47532</v>
      </c>
      <c r="M3760" s="611">
        <v>109443.47532</v>
      </c>
      <c r="N3760" s="611">
        <v>32836.050000000003</v>
      </c>
      <c r="O3760" s="611">
        <v>0</v>
      </c>
      <c r="P3760" s="611">
        <v>76607.425320000009</v>
      </c>
    </row>
    <row r="3761" spans="1:16" ht="15">
      <c r="A3761" s="611"/>
      <c r="B3761" s="611"/>
      <c r="C3761" s="611" t="s">
        <v>1197</v>
      </c>
      <c r="D3761" s="611">
        <v>79278.762390000004</v>
      </c>
      <c r="E3761" s="611">
        <v>23843.34</v>
      </c>
      <c r="F3761" s="611">
        <v>55435.422390000007</v>
      </c>
      <c r="G3761" s="611">
        <v>1236</v>
      </c>
      <c r="H3761" s="611">
        <v>81349.845659999992</v>
      </c>
      <c r="I3761" s="611">
        <v>3</v>
      </c>
      <c r="J3761" s="611">
        <v>2071.0832699999983</v>
      </c>
      <c r="K3761" s="611">
        <v>1233</v>
      </c>
      <c r="L3761" s="611">
        <v>79278.762389999989</v>
      </c>
      <c r="M3761" s="611">
        <v>79278.762389999989</v>
      </c>
      <c r="N3761" s="611">
        <v>23843.34</v>
      </c>
      <c r="O3761" s="611">
        <v>0</v>
      </c>
    </row>
    <row r="3762" spans="1:16" ht="15">
      <c r="A3762" s="611"/>
      <c r="B3762" s="611"/>
      <c r="C3762" s="611" t="s">
        <v>1198</v>
      </c>
      <c r="D3762" s="611">
        <v>0</v>
      </c>
      <c r="E3762" s="611">
        <v>0</v>
      </c>
      <c r="F3762" s="611">
        <v>0</v>
      </c>
      <c r="G3762" s="611">
        <v>0</v>
      </c>
      <c r="H3762" s="611">
        <v>0</v>
      </c>
      <c r="I3762" s="611">
        <v>0</v>
      </c>
      <c r="J3762" s="611">
        <v>0</v>
      </c>
      <c r="K3762" s="611">
        <v>0</v>
      </c>
      <c r="L3762" s="611">
        <v>0</v>
      </c>
      <c r="M3762" s="611">
        <v>0</v>
      </c>
      <c r="N3762" s="611">
        <v>0</v>
      </c>
      <c r="O3762" s="611">
        <v>0</v>
      </c>
      <c r="P3762" s="611">
        <v>0</v>
      </c>
    </row>
    <row r="3763" spans="1:16" ht="15">
      <c r="A3763" s="611"/>
      <c r="B3763" s="611"/>
      <c r="C3763" s="611" t="s">
        <v>1199</v>
      </c>
      <c r="D3763" s="611">
        <v>30164.712930000002</v>
      </c>
      <c r="E3763" s="611">
        <v>8992.7099999999991</v>
      </c>
      <c r="F3763" s="611">
        <v>21172.002930000002</v>
      </c>
      <c r="G3763" s="611">
        <v>2046</v>
      </c>
      <c r="H3763" s="611">
        <v>30473.860539999994</v>
      </c>
      <c r="I3763" s="611">
        <v>2</v>
      </c>
      <c r="J3763" s="611">
        <v>309.14761000000044</v>
      </c>
      <c r="K3763" s="611">
        <v>2044</v>
      </c>
      <c r="L3763" s="611">
        <v>30164.712930000002</v>
      </c>
      <c r="M3763" s="611">
        <v>30164.712930000002</v>
      </c>
      <c r="N3763" s="611">
        <v>8992.7099999999991</v>
      </c>
      <c r="O3763" s="611">
        <v>0</v>
      </c>
      <c r="P3763" s="611">
        <v>21172.002930000002</v>
      </c>
    </row>
    <row r="3764" spans="1:16" ht="15">
      <c r="A3764" s="611">
        <v>20</v>
      </c>
      <c r="B3764" s="611" t="s">
        <v>1557</v>
      </c>
      <c r="C3764" s="611" t="s">
        <v>1267</v>
      </c>
      <c r="D3764" s="611">
        <v>142168.73092</v>
      </c>
      <c r="E3764" s="611">
        <v>42705.72</v>
      </c>
      <c r="F3764" s="611">
        <v>99463.010920000001</v>
      </c>
      <c r="G3764" s="611">
        <v>3456</v>
      </c>
      <c r="H3764" s="611">
        <v>145277.46279000002</v>
      </c>
      <c r="I3764" s="611">
        <v>5</v>
      </c>
      <c r="J3764" s="611">
        <v>3108.7318800000039</v>
      </c>
      <c r="K3764" s="611">
        <v>3451</v>
      </c>
      <c r="L3764" s="611">
        <v>142168.73091000001</v>
      </c>
      <c r="M3764" s="611">
        <v>142168.73091000001</v>
      </c>
      <c r="N3764" s="611">
        <v>42705.72</v>
      </c>
      <c r="O3764" s="611">
        <v>0</v>
      </c>
      <c r="P3764" s="611">
        <v>99463.010910000012</v>
      </c>
    </row>
    <row r="3765" spans="1:16" ht="15">
      <c r="A3765" s="611"/>
      <c r="B3765" s="611"/>
      <c r="C3765" s="611" t="s">
        <v>1197</v>
      </c>
      <c r="D3765" s="611">
        <v>117324.47142</v>
      </c>
      <c r="E3765" s="611">
        <v>35254.29</v>
      </c>
      <c r="F3765" s="611">
        <v>82070.181420000008</v>
      </c>
      <c r="G3765" s="611">
        <v>1671</v>
      </c>
      <c r="H3765" s="611">
        <v>120050.90670000001</v>
      </c>
      <c r="I3765" s="611">
        <v>2</v>
      </c>
      <c r="J3765" s="611">
        <v>2726.435290000004</v>
      </c>
      <c r="K3765" s="611">
        <v>1669</v>
      </c>
      <c r="L3765" s="611">
        <v>117324.47141000001</v>
      </c>
      <c r="M3765" s="611">
        <v>117324.47141000001</v>
      </c>
      <c r="N3765" s="611">
        <v>35254.29</v>
      </c>
      <c r="O3765" s="611">
        <v>0</v>
      </c>
    </row>
    <row r="3766" spans="1:16" ht="15">
      <c r="A3766" s="611"/>
      <c r="B3766" s="611"/>
      <c r="C3766" s="611" t="s">
        <v>1198</v>
      </c>
      <c r="D3766" s="611">
        <v>0</v>
      </c>
      <c r="E3766" s="611">
        <v>0</v>
      </c>
      <c r="F3766" s="611">
        <v>0</v>
      </c>
      <c r="G3766" s="611">
        <v>0</v>
      </c>
      <c r="H3766" s="611">
        <v>0</v>
      </c>
      <c r="I3766" s="611">
        <v>0</v>
      </c>
      <c r="J3766" s="611">
        <v>0</v>
      </c>
      <c r="K3766" s="611">
        <v>0</v>
      </c>
      <c r="L3766" s="611">
        <v>0</v>
      </c>
      <c r="M3766" s="611">
        <v>0</v>
      </c>
      <c r="N3766" s="611">
        <v>0</v>
      </c>
      <c r="O3766" s="611">
        <v>0</v>
      </c>
      <c r="P3766" s="611">
        <v>0</v>
      </c>
    </row>
    <row r="3767" spans="1:16" ht="15">
      <c r="A3767" s="611"/>
      <c r="B3767" s="611"/>
      <c r="C3767" s="611" t="s">
        <v>1199</v>
      </c>
      <c r="D3767" s="611">
        <v>24844.2595</v>
      </c>
      <c r="E3767" s="611">
        <v>7451.4299999999994</v>
      </c>
      <c r="F3767" s="611">
        <v>17392.8295</v>
      </c>
      <c r="G3767" s="611">
        <v>1785</v>
      </c>
      <c r="H3767" s="611">
        <v>25226.556090000005</v>
      </c>
      <c r="I3767" s="611">
        <v>3</v>
      </c>
      <c r="J3767" s="611">
        <v>382.29659000000015</v>
      </c>
      <c r="K3767" s="611">
        <v>1782</v>
      </c>
      <c r="L3767" s="611">
        <v>24844.2595</v>
      </c>
      <c r="M3767" s="611">
        <v>24844.2595</v>
      </c>
      <c r="N3767" s="611">
        <v>7451.4299999999994</v>
      </c>
      <c r="O3767" s="611">
        <v>0</v>
      </c>
      <c r="P3767" s="611">
        <v>17392.829500000003</v>
      </c>
    </row>
    <row r="3768" spans="1:16" ht="15">
      <c r="A3768" s="611">
        <v>21</v>
      </c>
      <c r="B3768" s="611" t="s">
        <v>1558</v>
      </c>
      <c r="C3768" s="611" t="s">
        <v>1267</v>
      </c>
      <c r="D3768" s="611">
        <v>114317.86890000002</v>
      </c>
      <c r="E3768" s="611">
        <v>34334.97</v>
      </c>
      <c r="F3768" s="611">
        <v>79982.898900000015</v>
      </c>
      <c r="G3768" s="611">
        <v>3554</v>
      </c>
      <c r="H3768" s="611">
        <v>117126.46687999999</v>
      </c>
      <c r="I3768" s="611">
        <v>3</v>
      </c>
      <c r="J3768" s="611">
        <v>2808.5979700000021</v>
      </c>
      <c r="K3768" s="611">
        <v>3551</v>
      </c>
      <c r="L3768" s="611">
        <v>114317.86891</v>
      </c>
      <c r="M3768" s="611">
        <v>114317.86891</v>
      </c>
      <c r="N3768" s="611">
        <v>34334.97</v>
      </c>
      <c r="O3768" s="611">
        <v>0</v>
      </c>
      <c r="P3768" s="611">
        <v>79982.898910000004</v>
      </c>
    </row>
    <row r="3769" spans="1:16" ht="15">
      <c r="A3769" s="611"/>
      <c r="B3769" s="611"/>
      <c r="C3769" s="611" t="s">
        <v>1197</v>
      </c>
      <c r="D3769" s="611">
        <v>82090.737740000011</v>
      </c>
      <c r="E3769" s="611">
        <v>24646.530000000002</v>
      </c>
      <c r="F3769" s="611">
        <v>57444.207740000013</v>
      </c>
      <c r="G3769" s="611">
        <v>1290</v>
      </c>
      <c r="H3769" s="611">
        <v>84682.67190999999</v>
      </c>
      <c r="I3769" s="611">
        <v>2</v>
      </c>
      <c r="J3769" s="611">
        <v>2591.9341600000025</v>
      </c>
      <c r="K3769" s="611">
        <v>1288</v>
      </c>
      <c r="L3769" s="611">
        <v>82090.73775</v>
      </c>
      <c r="M3769" s="611">
        <v>82090.73775</v>
      </c>
      <c r="N3769" s="611">
        <v>24646.530000000002</v>
      </c>
      <c r="O3769" s="611">
        <v>0</v>
      </c>
    </row>
    <row r="3770" spans="1:16" ht="15">
      <c r="A3770" s="611"/>
      <c r="B3770" s="611"/>
      <c r="C3770" s="611" t="s">
        <v>1198</v>
      </c>
      <c r="D3770" s="611">
        <v>0</v>
      </c>
      <c r="E3770" s="611">
        <v>0</v>
      </c>
      <c r="F3770" s="611">
        <v>0</v>
      </c>
      <c r="G3770" s="611">
        <v>0</v>
      </c>
      <c r="H3770" s="611">
        <v>0</v>
      </c>
      <c r="I3770" s="611">
        <v>0</v>
      </c>
      <c r="J3770" s="611">
        <v>0</v>
      </c>
      <c r="K3770" s="611">
        <v>0</v>
      </c>
      <c r="L3770" s="611">
        <v>0</v>
      </c>
      <c r="M3770" s="611">
        <v>0</v>
      </c>
      <c r="N3770" s="611">
        <v>0</v>
      </c>
      <c r="O3770" s="611">
        <v>0</v>
      </c>
      <c r="P3770" s="611">
        <v>0</v>
      </c>
    </row>
    <row r="3771" spans="1:16" ht="15">
      <c r="A3771" s="611"/>
      <c r="B3771" s="611"/>
      <c r="C3771" s="611" t="s">
        <v>1199</v>
      </c>
      <c r="D3771" s="611">
        <v>32227.131160000001</v>
      </c>
      <c r="E3771" s="611">
        <v>9688.4399999999987</v>
      </c>
      <c r="F3771" s="611">
        <v>22538.691160000002</v>
      </c>
      <c r="G3771" s="611">
        <v>2264</v>
      </c>
      <c r="H3771" s="611">
        <v>32443.794970000006</v>
      </c>
      <c r="I3771" s="611">
        <v>1</v>
      </c>
      <c r="J3771" s="611">
        <v>216.66380999999967</v>
      </c>
      <c r="K3771" s="611">
        <v>2263</v>
      </c>
      <c r="L3771" s="611">
        <v>32227.131160000004</v>
      </c>
      <c r="M3771" s="611">
        <v>32227.131160000004</v>
      </c>
      <c r="N3771" s="611">
        <v>9688.4399999999987</v>
      </c>
      <c r="O3771" s="611">
        <v>0</v>
      </c>
      <c r="P3771" s="611">
        <v>22538.691160000006</v>
      </c>
    </row>
    <row r="3772" spans="1:16" ht="15">
      <c r="A3772" s="611">
        <v>22</v>
      </c>
      <c r="B3772" s="611" t="s">
        <v>1559</v>
      </c>
      <c r="C3772" s="611" t="s">
        <v>1267</v>
      </c>
      <c r="D3772" s="611">
        <v>96738.395359999995</v>
      </c>
      <c r="E3772" s="611">
        <v>29033.91</v>
      </c>
      <c r="F3772" s="611">
        <v>67704.485360000006</v>
      </c>
      <c r="G3772" s="611">
        <v>2073</v>
      </c>
      <c r="H3772" s="611">
        <v>102461.79671000001</v>
      </c>
      <c r="I3772" s="611">
        <v>2</v>
      </c>
      <c r="J3772" s="611">
        <v>5723.401350000001</v>
      </c>
      <c r="K3772" s="611">
        <v>2071</v>
      </c>
      <c r="L3772" s="611">
        <v>96738.395359999995</v>
      </c>
      <c r="M3772" s="611">
        <v>96738.395359999995</v>
      </c>
      <c r="N3772" s="611">
        <v>29033.91</v>
      </c>
      <c r="O3772" s="611">
        <v>0</v>
      </c>
      <c r="P3772" s="611">
        <v>67704.485360000006</v>
      </c>
    </row>
    <row r="3773" spans="1:16" ht="15">
      <c r="A3773" s="611"/>
      <c r="B3773" s="611"/>
      <c r="C3773" s="611" t="s">
        <v>1197</v>
      </c>
      <c r="D3773" s="611">
        <v>85387.515429999999</v>
      </c>
      <c r="E3773" s="611">
        <v>25643.85</v>
      </c>
      <c r="F3773" s="611">
        <v>59743.665430000001</v>
      </c>
      <c r="G3773" s="611">
        <v>1349</v>
      </c>
      <c r="H3773" s="611">
        <v>91045.288420000012</v>
      </c>
      <c r="I3773" s="611">
        <v>1</v>
      </c>
      <c r="J3773" s="611">
        <v>5657.7729900000013</v>
      </c>
      <c r="K3773" s="611">
        <v>1348</v>
      </c>
      <c r="L3773" s="611">
        <v>85387.515429999999</v>
      </c>
      <c r="M3773" s="611">
        <v>85387.515429999999</v>
      </c>
      <c r="N3773" s="611">
        <v>25643.85</v>
      </c>
      <c r="O3773" s="611">
        <v>0</v>
      </c>
    </row>
    <row r="3774" spans="1:16" ht="15">
      <c r="A3774" s="611"/>
      <c r="B3774" s="611"/>
      <c r="C3774" s="611" t="s">
        <v>1198</v>
      </c>
      <c r="D3774" s="611">
        <v>0</v>
      </c>
      <c r="E3774" s="611">
        <v>0</v>
      </c>
      <c r="F3774" s="611">
        <v>0</v>
      </c>
      <c r="G3774" s="611">
        <v>0</v>
      </c>
      <c r="H3774" s="611">
        <v>0</v>
      </c>
      <c r="I3774" s="611">
        <v>0</v>
      </c>
      <c r="J3774" s="611">
        <v>0</v>
      </c>
      <c r="K3774" s="611">
        <v>0</v>
      </c>
      <c r="L3774" s="611">
        <v>0</v>
      </c>
      <c r="M3774" s="611">
        <v>0</v>
      </c>
      <c r="N3774" s="611">
        <v>0</v>
      </c>
      <c r="O3774" s="611">
        <v>0</v>
      </c>
      <c r="P3774" s="611">
        <v>0</v>
      </c>
    </row>
    <row r="3775" spans="1:16" ht="15">
      <c r="A3775" s="611"/>
      <c r="B3775" s="611"/>
      <c r="C3775" s="611" t="s">
        <v>1199</v>
      </c>
      <c r="D3775" s="611">
        <v>11350.879930000001</v>
      </c>
      <c r="E3775" s="611">
        <v>3390.06</v>
      </c>
      <c r="F3775" s="611">
        <v>7960.8199300000015</v>
      </c>
      <c r="G3775" s="611">
        <v>724</v>
      </c>
      <c r="H3775" s="611">
        <v>11416.50829</v>
      </c>
      <c r="I3775" s="611">
        <v>1</v>
      </c>
      <c r="J3775" s="611">
        <v>65.62835999999993</v>
      </c>
      <c r="K3775" s="611">
        <v>723</v>
      </c>
      <c r="L3775" s="611">
        <v>11350.879929999999</v>
      </c>
      <c r="M3775" s="611">
        <v>11350.879929999999</v>
      </c>
      <c r="N3775" s="611">
        <v>3390.06</v>
      </c>
      <c r="O3775" s="611">
        <v>0</v>
      </c>
      <c r="P3775" s="611">
        <v>7960.8199299999997</v>
      </c>
    </row>
    <row r="3776" spans="1:16" ht="15">
      <c r="A3776" s="611">
        <v>23</v>
      </c>
      <c r="B3776" s="611" t="s">
        <v>1560</v>
      </c>
      <c r="C3776" s="611" t="s">
        <v>1267</v>
      </c>
      <c r="D3776" s="611">
        <v>81880.054779999991</v>
      </c>
      <c r="E3776" s="611">
        <v>24574.71</v>
      </c>
      <c r="F3776" s="611">
        <v>57305.344779999999</v>
      </c>
      <c r="G3776" s="611">
        <v>2238</v>
      </c>
      <c r="H3776" s="611">
        <v>84326.306500000006</v>
      </c>
      <c r="I3776" s="611">
        <v>8</v>
      </c>
      <c r="J3776" s="611">
        <v>2446.2517200000002</v>
      </c>
      <c r="K3776" s="611">
        <v>2230</v>
      </c>
      <c r="L3776" s="611">
        <v>81880.054780000006</v>
      </c>
      <c r="M3776" s="611">
        <v>81880.054780000006</v>
      </c>
      <c r="N3776" s="611">
        <v>24574.71</v>
      </c>
      <c r="O3776" s="611">
        <v>0</v>
      </c>
      <c r="P3776" s="611">
        <v>57305.344779999999</v>
      </c>
    </row>
    <row r="3777" spans="1:16" ht="15">
      <c r="A3777" s="611"/>
      <c r="B3777" s="611"/>
      <c r="C3777" s="611" t="s">
        <v>1197</v>
      </c>
      <c r="D3777" s="611">
        <v>64042.124279999996</v>
      </c>
      <c r="E3777" s="611">
        <v>19535.16</v>
      </c>
      <c r="F3777" s="611">
        <v>44506.96428</v>
      </c>
      <c r="G3777" s="611">
        <v>1053</v>
      </c>
      <c r="H3777" s="611">
        <v>66308.565459999998</v>
      </c>
      <c r="I3777" s="611">
        <v>5</v>
      </c>
      <c r="J3777" s="611">
        <v>2266.4411800000007</v>
      </c>
      <c r="K3777" s="611">
        <v>1048</v>
      </c>
      <c r="L3777" s="611">
        <v>64042.124280000004</v>
      </c>
      <c r="M3777" s="611">
        <v>64042.124280000004</v>
      </c>
      <c r="N3777" s="611">
        <v>19535.16</v>
      </c>
      <c r="O3777" s="611">
        <v>0</v>
      </c>
    </row>
    <row r="3778" spans="1:16" ht="15">
      <c r="A3778" s="611"/>
      <c r="B3778" s="611"/>
      <c r="C3778" s="611" t="s">
        <v>1198</v>
      </c>
      <c r="D3778" s="611">
        <v>0</v>
      </c>
      <c r="E3778" s="611">
        <v>0</v>
      </c>
      <c r="F3778" s="611">
        <v>0</v>
      </c>
      <c r="G3778" s="611">
        <v>0</v>
      </c>
      <c r="H3778" s="611">
        <v>0</v>
      </c>
      <c r="I3778" s="611">
        <v>0</v>
      </c>
      <c r="J3778" s="611">
        <v>0</v>
      </c>
      <c r="K3778" s="611">
        <v>0</v>
      </c>
      <c r="L3778" s="611">
        <v>0</v>
      </c>
      <c r="M3778" s="611">
        <v>0</v>
      </c>
      <c r="N3778" s="611">
        <v>0</v>
      </c>
      <c r="O3778" s="611">
        <v>0</v>
      </c>
      <c r="P3778" s="611">
        <v>0</v>
      </c>
    </row>
    <row r="3779" spans="1:16" ht="15">
      <c r="A3779" s="611"/>
      <c r="B3779" s="611"/>
      <c r="C3779" s="611" t="s">
        <v>1199</v>
      </c>
      <c r="D3779" s="611">
        <v>17837.930499999999</v>
      </c>
      <c r="E3779" s="611">
        <v>5039.55</v>
      </c>
      <c r="F3779" s="611">
        <v>12798.380499999999</v>
      </c>
      <c r="G3779" s="611">
        <v>1185</v>
      </c>
      <c r="H3779" s="611">
        <v>18017.741040000001</v>
      </c>
      <c r="I3779" s="611">
        <v>3</v>
      </c>
      <c r="J3779" s="611">
        <v>179.81053999999972</v>
      </c>
      <c r="K3779" s="611">
        <v>1182</v>
      </c>
      <c r="L3779" s="611">
        <v>17837.930499999999</v>
      </c>
      <c r="M3779" s="611">
        <v>17837.930499999999</v>
      </c>
      <c r="N3779" s="611">
        <v>5039.55</v>
      </c>
      <c r="O3779" s="611">
        <v>0</v>
      </c>
      <c r="P3779" s="611">
        <v>12798.380500000001</v>
      </c>
    </row>
    <row r="3780" spans="1:16" ht="15">
      <c r="A3780" s="611">
        <v>24</v>
      </c>
      <c r="B3780" s="611" t="s">
        <v>1561</v>
      </c>
      <c r="C3780" s="611" t="s">
        <v>1267</v>
      </c>
      <c r="D3780" s="611">
        <v>110472.3962</v>
      </c>
      <c r="E3780" s="611">
        <v>33187.14</v>
      </c>
      <c r="F3780" s="611">
        <v>77285.256200000003</v>
      </c>
      <c r="G3780" s="611">
        <v>2722</v>
      </c>
      <c r="H3780" s="611">
        <v>115099.27376000001</v>
      </c>
      <c r="I3780" s="611">
        <v>15</v>
      </c>
      <c r="J3780" s="611">
        <v>4626.8775599999999</v>
      </c>
      <c r="K3780" s="611">
        <v>2707</v>
      </c>
      <c r="L3780" s="611">
        <v>110472.3962</v>
      </c>
      <c r="M3780" s="611">
        <v>110472.3962</v>
      </c>
      <c r="N3780" s="611">
        <v>33187.14</v>
      </c>
      <c r="O3780" s="611">
        <v>0</v>
      </c>
      <c r="P3780" s="611">
        <v>77285.256200000003</v>
      </c>
    </row>
    <row r="3781" spans="1:16" ht="15">
      <c r="A3781" s="611"/>
      <c r="B3781" s="611"/>
      <c r="C3781" s="611" t="s">
        <v>1197</v>
      </c>
      <c r="D3781" s="611">
        <v>92898.863190000004</v>
      </c>
      <c r="E3781" s="611">
        <v>27912.359999999997</v>
      </c>
      <c r="F3781" s="611">
        <v>64986.503190000003</v>
      </c>
      <c r="G3781" s="611">
        <v>1472</v>
      </c>
      <c r="H3781" s="611">
        <v>97359.291530000002</v>
      </c>
      <c r="I3781" s="611">
        <v>12</v>
      </c>
      <c r="J3781" s="611">
        <v>4460.4283400000004</v>
      </c>
      <c r="K3781" s="611">
        <v>1460</v>
      </c>
      <c r="L3781" s="611">
        <v>92898.863190000004</v>
      </c>
      <c r="M3781" s="611">
        <v>92898.863190000004</v>
      </c>
      <c r="N3781" s="611">
        <v>27912.359999999997</v>
      </c>
      <c r="O3781" s="611">
        <v>0</v>
      </c>
    </row>
    <row r="3782" spans="1:16" ht="15">
      <c r="A3782" s="611"/>
      <c r="B3782" s="611"/>
      <c r="C3782" s="611" t="s">
        <v>1198</v>
      </c>
      <c r="D3782" s="611">
        <v>0</v>
      </c>
      <c r="E3782" s="611">
        <v>0</v>
      </c>
      <c r="F3782" s="611">
        <v>0</v>
      </c>
      <c r="G3782" s="611">
        <v>0</v>
      </c>
      <c r="H3782" s="611">
        <v>0</v>
      </c>
      <c r="I3782" s="611">
        <v>0</v>
      </c>
      <c r="J3782" s="611">
        <v>0</v>
      </c>
      <c r="K3782" s="611">
        <v>0</v>
      </c>
      <c r="L3782" s="611">
        <v>0</v>
      </c>
      <c r="M3782" s="611">
        <v>0</v>
      </c>
      <c r="N3782" s="611">
        <v>0</v>
      </c>
      <c r="O3782" s="611">
        <v>0</v>
      </c>
      <c r="P3782" s="611">
        <v>0</v>
      </c>
    </row>
    <row r="3783" spans="1:16" ht="15">
      <c r="A3783" s="611"/>
      <c r="B3783" s="611"/>
      <c r="C3783" s="611" t="s">
        <v>1199</v>
      </c>
      <c r="D3783" s="611">
        <v>17573.533009999999</v>
      </c>
      <c r="E3783" s="611">
        <v>5274.78</v>
      </c>
      <c r="F3783" s="611">
        <v>12298.75301</v>
      </c>
      <c r="G3783" s="611">
        <v>1250</v>
      </c>
      <c r="H3783" s="611">
        <v>17739.982230000001</v>
      </c>
      <c r="I3783" s="611">
        <v>3</v>
      </c>
      <c r="J3783" s="611">
        <v>166.44921999999974</v>
      </c>
      <c r="K3783" s="611">
        <v>1247</v>
      </c>
      <c r="L3783" s="611">
        <v>17573.533009999999</v>
      </c>
      <c r="M3783" s="611">
        <v>17573.533009999999</v>
      </c>
      <c r="N3783" s="611">
        <v>5274.78</v>
      </c>
      <c r="O3783" s="611">
        <v>0</v>
      </c>
      <c r="P3783" s="611">
        <v>12298.75301</v>
      </c>
    </row>
    <row r="3784" spans="1:16" ht="15">
      <c r="A3784" s="611">
        <v>25</v>
      </c>
      <c r="B3784" s="611" t="s">
        <v>1562</v>
      </c>
      <c r="C3784" s="611" t="s">
        <v>1267</v>
      </c>
      <c r="D3784" s="611">
        <v>52232.002370000002</v>
      </c>
      <c r="E3784" s="611">
        <v>15669.75</v>
      </c>
      <c r="F3784" s="611">
        <v>36562.252370000002</v>
      </c>
      <c r="G3784" s="611">
        <v>3553</v>
      </c>
      <c r="H3784" s="611">
        <v>52726.505269999994</v>
      </c>
      <c r="I3784" s="611">
        <v>1</v>
      </c>
      <c r="J3784" s="611">
        <v>494.50289999999995</v>
      </c>
      <c r="K3784" s="611">
        <v>3552</v>
      </c>
      <c r="L3784" s="611">
        <v>52232.002370000002</v>
      </c>
      <c r="M3784" s="611">
        <v>52232.002370000002</v>
      </c>
      <c r="N3784" s="611">
        <v>15669.75</v>
      </c>
      <c r="O3784" s="611">
        <v>0</v>
      </c>
      <c r="P3784" s="611">
        <v>36562.252370000002</v>
      </c>
    </row>
    <row r="3785" spans="1:16" ht="15">
      <c r="A3785" s="611"/>
      <c r="B3785" s="611"/>
      <c r="C3785" s="611" t="s">
        <v>1197</v>
      </c>
      <c r="D3785" s="611">
        <v>0</v>
      </c>
      <c r="E3785" s="611">
        <v>0</v>
      </c>
      <c r="F3785" s="611">
        <v>0</v>
      </c>
      <c r="G3785" s="611">
        <v>0</v>
      </c>
      <c r="H3785" s="611">
        <v>0</v>
      </c>
      <c r="I3785" s="611">
        <v>0</v>
      </c>
      <c r="J3785" s="611">
        <v>0</v>
      </c>
      <c r="K3785" s="611">
        <v>0</v>
      </c>
      <c r="L3785" s="611">
        <v>0</v>
      </c>
      <c r="M3785" s="611">
        <v>0</v>
      </c>
      <c r="N3785" s="611">
        <v>0</v>
      </c>
      <c r="O3785" s="611">
        <v>0</v>
      </c>
      <c r="P3785" s="611">
        <v>0</v>
      </c>
    </row>
    <row r="3786" spans="1:16" ht="15">
      <c r="A3786" s="611"/>
      <c r="B3786" s="611"/>
      <c r="C3786" s="611" t="s">
        <v>1198</v>
      </c>
      <c r="D3786" s="611">
        <v>0</v>
      </c>
      <c r="E3786" s="611">
        <v>0</v>
      </c>
      <c r="F3786" s="611">
        <v>0</v>
      </c>
      <c r="G3786" s="611">
        <v>0</v>
      </c>
      <c r="H3786" s="611">
        <v>0</v>
      </c>
      <c r="I3786" s="611">
        <v>0</v>
      </c>
      <c r="J3786" s="611">
        <v>0</v>
      </c>
      <c r="K3786" s="611">
        <v>0</v>
      </c>
      <c r="L3786" s="611">
        <v>0</v>
      </c>
      <c r="M3786" s="611">
        <v>0</v>
      </c>
      <c r="N3786" s="611">
        <v>0</v>
      </c>
      <c r="O3786" s="611">
        <v>0</v>
      </c>
      <c r="P3786" s="611">
        <v>0</v>
      </c>
    </row>
    <row r="3787" spans="1:16" ht="15">
      <c r="A3787" s="611"/>
      <c r="B3787" s="611"/>
      <c r="C3787" s="611" t="s">
        <v>1199</v>
      </c>
      <c r="D3787" s="611">
        <v>52232.002370000002</v>
      </c>
      <c r="E3787" s="611">
        <v>15669.75</v>
      </c>
      <c r="F3787" s="611">
        <v>36562.252370000002</v>
      </c>
      <c r="G3787" s="611">
        <v>3553</v>
      </c>
      <c r="H3787" s="611">
        <v>52726.505269999994</v>
      </c>
      <c r="I3787" s="611">
        <v>1</v>
      </c>
      <c r="J3787" s="611">
        <v>494.50289999999995</v>
      </c>
      <c r="K3787" s="611">
        <v>3552</v>
      </c>
      <c r="L3787" s="611">
        <v>52232.002370000002</v>
      </c>
      <c r="M3787" s="611">
        <v>52232.002370000002</v>
      </c>
      <c r="N3787" s="611">
        <v>15669.75</v>
      </c>
      <c r="O3787" s="611">
        <v>0</v>
      </c>
      <c r="P3787" s="611">
        <v>36562.252370000002</v>
      </c>
    </row>
    <row r="3788" spans="1:16" ht="15">
      <c r="A3788" s="611">
        <v>26</v>
      </c>
      <c r="B3788" s="611" t="s">
        <v>1563</v>
      </c>
      <c r="C3788" s="611" t="s">
        <v>1267</v>
      </c>
      <c r="D3788" s="611">
        <v>41833.802560000004</v>
      </c>
      <c r="E3788" s="611">
        <v>12551.640000000001</v>
      </c>
      <c r="F3788" s="611">
        <v>29282.162560000004</v>
      </c>
      <c r="G3788" s="611">
        <v>3061</v>
      </c>
      <c r="H3788" s="611">
        <v>44735.598340000004</v>
      </c>
      <c r="I3788" s="611">
        <v>3</v>
      </c>
      <c r="J3788" s="611">
        <v>2901.7957799999976</v>
      </c>
      <c r="K3788" s="611">
        <v>3058</v>
      </c>
      <c r="L3788" s="611">
        <v>41833.802559999989</v>
      </c>
      <c r="M3788" s="611">
        <v>41833.802559999989</v>
      </c>
      <c r="N3788" s="611">
        <v>12551.64</v>
      </c>
      <c r="O3788" s="611">
        <v>0</v>
      </c>
      <c r="P3788" s="611">
        <v>29282.162560000001</v>
      </c>
    </row>
    <row r="3789" spans="1:16" ht="15">
      <c r="A3789" s="611"/>
      <c r="B3789" s="611"/>
      <c r="C3789" s="611" t="s">
        <v>1197</v>
      </c>
      <c r="D3789" s="611">
        <v>0</v>
      </c>
      <c r="E3789" s="611">
        <v>0</v>
      </c>
      <c r="F3789" s="611">
        <v>0</v>
      </c>
      <c r="G3789" s="611">
        <v>0</v>
      </c>
      <c r="H3789" s="611">
        <v>0</v>
      </c>
      <c r="I3789" s="611">
        <v>0</v>
      </c>
      <c r="J3789" s="611">
        <v>0</v>
      </c>
      <c r="K3789" s="611">
        <v>0</v>
      </c>
      <c r="L3789" s="611">
        <v>0</v>
      </c>
      <c r="M3789" s="611">
        <v>0</v>
      </c>
      <c r="N3789" s="611">
        <v>0</v>
      </c>
      <c r="O3789" s="611">
        <v>0</v>
      </c>
      <c r="P3789" s="611">
        <v>0</v>
      </c>
    </row>
    <row r="3790" spans="1:16" ht="15">
      <c r="A3790" s="611"/>
      <c r="B3790" s="611"/>
      <c r="C3790" s="611" t="s">
        <v>1198</v>
      </c>
      <c r="D3790" s="611">
        <v>0</v>
      </c>
      <c r="E3790" s="611">
        <v>0</v>
      </c>
      <c r="F3790" s="611">
        <v>0</v>
      </c>
      <c r="G3790" s="611">
        <v>0</v>
      </c>
      <c r="H3790" s="611">
        <v>0</v>
      </c>
      <c r="I3790" s="611">
        <v>0</v>
      </c>
      <c r="J3790" s="611">
        <v>0</v>
      </c>
      <c r="K3790" s="611">
        <v>0</v>
      </c>
      <c r="L3790" s="611">
        <v>0</v>
      </c>
      <c r="M3790" s="611">
        <v>0</v>
      </c>
      <c r="N3790" s="611">
        <v>0</v>
      </c>
      <c r="O3790" s="611">
        <v>0</v>
      </c>
      <c r="P3790" s="611">
        <v>0</v>
      </c>
    </row>
    <row r="3791" spans="1:16" ht="15">
      <c r="A3791" s="611"/>
      <c r="B3791" s="611"/>
      <c r="C3791" s="611" t="s">
        <v>1199</v>
      </c>
      <c r="D3791" s="611">
        <v>41833.802560000004</v>
      </c>
      <c r="E3791" s="611">
        <v>12551.640000000001</v>
      </c>
      <c r="F3791" s="611">
        <v>29282.162560000004</v>
      </c>
      <c r="G3791" s="611">
        <v>3061</v>
      </c>
      <c r="H3791" s="611">
        <v>44735.598340000004</v>
      </c>
      <c r="I3791" s="611">
        <v>3</v>
      </c>
      <c r="J3791" s="611">
        <v>2901.7957799999976</v>
      </c>
      <c r="K3791" s="611">
        <v>3058</v>
      </c>
      <c r="L3791" s="611">
        <v>41833.802559999989</v>
      </c>
      <c r="M3791" s="611">
        <v>41833.802559999989</v>
      </c>
      <c r="N3791" s="611">
        <v>12551.64</v>
      </c>
      <c r="O3791" s="611">
        <v>0</v>
      </c>
      <c r="P3791" s="611">
        <v>29282.162560000001</v>
      </c>
    </row>
    <row r="3792" spans="1:16" ht="15">
      <c r="A3792" s="611">
        <v>27</v>
      </c>
      <c r="B3792" s="611" t="s">
        <v>1564</v>
      </c>
      <c r="C3792" s="611" t="s">
        <v>1267</v>
      </c>
      <c r="D3792" s="611">
        <v>67771.972679999992</v>
      </c>
      <c r="E3792" s="611">
        <v>20336.91</v>
      </c>
      <c r="F3792" s="611">
        <v>47435.062679999988</v>
      </c>
      <c r="G3792" s="611">
        <v>4643</v>
      </c>
      <c r="H3792" s="611">
        <v>68337.513659999997</v>
      </c>
      <c r="I3792" s="611">
        <v>4</v>
      </c>
      <c r="J3792" s="611">
        <v>565.54097999999999</v>
      </c>
      <c r="K3792" s="611">
        <v>4639</v>
      </c>
      <c r="L3792" s="611">
        <v>67771.972679999992</v>
      </c>
      <c r="M3792" s="611">
        <v>67771.972679999992</v>
      </c>
      <c r="N3792" s="611">
        <v>20336.91</v>
      </c>
      <c r="O3792" s="611">
        <v>0</v>
      </c>
      <c r="P3792" s="611">
        <v>47435.062680000003</v>
      </c>
    </row>
    <row r="3793" spans="1:16" ht="15">
      <c r="A3793" s="611"/>
      <c r="B3793" s="611"/>
      <c r="C3793" s="611" t="s">
        <v>1197</v>
      </c>
      <c r="D3793" s="611">
        <v>0</v>
      </c>
      <c r="E3793" s="611">
        <v>0</v>
      </c>
      <c r="F3793" s="611">
        <v>0</v>
      </c>
      <c r="G3793" s="611">
        <v>0</v>
      </c>
      <c r="H3793" s="611">
        <v>0</v>
      </c>
      <c r="I3793" s="611">
        <v>0</v>
      </c>
      <c r="J3793" s="611">
        <v>0</v>
      </c>
      <c r="K3793" s="611">
        <v>0</v>
      </c>
      <c r="L3793" s="611">
        <v>0</v>
      </c>
      <c r="M3793" s="611">
        <v>0</v>
      </c>
      <c r="N3793" s="611">
        <v>0</v>
      </c>
      <c r="O3793" s="611">
        <v>0</v>
      </c>
      <c r="P3793" s="611">
        <v>0</v>
      </c>
    </row>
    <row r="3794" spans="1:16" ht="15">
      <c r="A3794" s="611"/>
      <c r="B3794" s="611"/>
      <c r="C3794" s="611" t="s">
        <v>1198</v>
      </c>
      <c r="D3794" s="611">
        <v>0</v>
      </c>
      <c r="E3794" s="611">
        <v>0</v>
      </c>
      <c r="F3794" s="611">
        <v>0</v>
      </c>
      <c r="G3794" s="611">
        <v>0</v>
      </c>
      <c r="H3794" s="611">
        <v>0</v>
      </c>
      <c r="I3794" s="611">
        <v>0</v>
      </c>
      <c r="J3794" s="611">
        <v>0</v>
      </c>
      <c r="K3794" s="611">
        <v>0</v>
      </c>
      <c r="L3794" s="611">
        <v>0</v>
      </c>
      <c r="M3794" s="611">
        <v>0</v>
      </c>
      <c r="N3794" s="611">
        <v>0</v>
      </c>
      <c r="O3794" s="611">
        <v>0</v>
      </c>
      <c r="P3794" s="611">
        <v>0</v>
      </c>
    </row>
    <row r="3795" spans="1:16" ht="15">
      <c r="A3795" s="611"/>
      <c r="B3795" s="611"/>
      <c r="C3795" s="611" t="s">
        <v>1199</v>
      </c>
      <c r="D3795" s="611">
        <v>67771.972679999992</v>
      </c>
      <c r="E3795" s="611">
        <v>20336.91</v>
      </c>
      <c r="F3795" s="611">
        <v>47435.062679999988</v>
      </c>
      <c r="G3795" s="611">
        <v>4643</v>
      </c>
      <c r="H3795" s="611">
        <v>68337.513659999997</v>
      </c>
      <c r="I3795" s="611">
        <v>4</v>
      </c>
      <c r="J3795" s="611">
        <v>565.54097999999999</v>
      </c>
      <c r="K3795" s="611">
        <v>4639</v>
      </c>
      <c r="L3795" s="611">
        <v>67771.972679999992</v>
      </c>
      <c r="M3795" s="611">
        <v>67771.972679999992</v>
      </c>
      <c r="N3795" s="611">
        <v>20336.91</v>
      </c>
      <c r="O3795" s="611">
        <v>0</v>
      </c>
      <c r="P3795" s="611">
        <v>47435.062680000003</v>
      </c>
    </row>
    <row r="3796" spans="1:16" ht="15">
      <c r="A3796" s="611">
        <v>28</v>
      </c>
      <c r="B3796" s="611" t="s">
        <v>1565</v>
      </c>
      <c r="C3796" s="611" t="s">
        <v>1267</v>
      </c>
      <c r="D3796" s="611">
        <v>38916.941630000001</v>
      </c>
      <c r="E3796" s="611">
        <v>11678.640000000001</v>
      </c>
      <c r="F3796" s="611">
        <v>27238.301630000002</v>
      </c>
      <c r="G3796" s="611">
        <v>2658</v>
      </c>
      <c r="H3796" s="611">
        <v>39675.586140000007</v>
      </c>
      <c r="I3796" s="611">
        <v>5</v>
      </c>
      <c r="J3796" s="611">
        <v>758.64451000000099</v>
      </c>
      <c r="K3796" s="611">
        <v>2653</v>
      </c>
      <c r="L3796" s="611">
        <v>38916.941629999994</v>
      </c>
      <c r="M3796" s="611">
        <v>38916.941629999994</v>
      </c>
      <c r="N3796" s="611">
        <v>11678.640000000001</v>
      </c>
      <c r="O3796" s="611">
        <v>0</v>
      </c>
      <c r="P3796" s="611">
        <v>27238.301630000002</v>
      </c>
    </row>
    <row r="3797" spans="1:16" ht="15">
      <c r="A3797" s="611"/>
      <c r="B3797" s="611"/>
      <c r="C3797" s="611" t="s">
        <v>1197</v>
      </c>
      <c r="D3797" s="611">
        <v>0</v>
      </c>
      <c r="E3797" s="611">
        <v>0</v>
      </c>
      <c r="F3797" s="611">
        <v>0</v>
      </c>
      <c r="G3797" s="611">
        <v>0</v>
      </c>
      <c r="H3797" s="611">
        <v>0</v>
      </c>
      <c r="I3797" s="611">
        <v>0</v>
      </c>
      <c r="J3797" s="611">
        <v>0</v>
      </c>
      <c r="K3797" s="611">
        <v>0</v>
      </c>
      <c r="L3797" s="611">
        <v>0</v>
      </c>
      <c r="M3797" s="611">
        <v>0</v>
      </c>
      <c r="N3797" s="611">
        <v>0</v>
      </c>
      <c r="O3797" s="611">
        <v>0</v>
      </c>
      <c r="P3797" s="611">
        <v>0</v>
      </c>
    </row>
    <row r="3798" spans="1:16" ht="15">
      <c r="A3798" s="611"/>
      <c r="B3798" s="611"/>
      <c r="C3798" s="611" t="s">
        <v>1198</v>
      </c>
      <c r="D3798" s="611">
        <v>0</v>
      </c>
      <c r="E3798" s="611">
        <v>0</v>
      </c>
      <c r="F3798" s="611">
        <v>0</v>
      </c>
      <c r="G3798" s="611">
        <v>0</v>
      </c>
      <c r="H3798" s="611">
        <v>0</v>
      </c>
      <c r="I3798" s="611">
        <v>0</v>
      </c>
      <c r="J3798" s="611">
        <v>0</v>
      </c>
      <c r="K3798" s="611">
        <v>0</v>
      </c>
      <c r="L3798" s="611">
        <v>0</v>
      </c>
      <c r="M3798" s="611">
        <v>0</v>
      </c>
      <c r="N3798" s="611">
        <v>0</v>
      </c>
      <c r="O3798" s="611">
        <v>0</v>
      </c>
      <c r="P3798" s="611">
        <v>0</v>
      </c>
    </row>
    <row r="3799" spans="1:16" ht="15">
      <c r="A3799" s="611"/>
      <c r="B3799" s="611"/>
      <c r="C3799" s="611" t="s">
        <v>1199</v>
      </c>
      <c r="D3799" s="611">
        <v>38916.941630000001</v>
      </c>
      <c r="E3799" s="611">
        <v>11678.640000000001</v>
      </c>
      <c r="F3799" s="611">
        <v>27238.301630000002</v>
      </c>
      <c r="G3799" s="611">
        <v>2658</v>
      </c>
      <c r="H3799" s="611">
        <v>39675.586140000007</v>
      </c>
      <c r="I3799" s="611">
        <v>5</v>
      </c>
      <c r="J3799" s="611">
        <v>758.64451000000099</v>
      </c>
      <c r="K3799" s="611">
        <v>2653</v>
      </c>
      <c r="L3799" s="611">
        <v>38916.941629999994</v>
      </c>
      <c r="M3799" s="611">
        <v>38916.941629999994</v>
      </c>
      <c r="N3799" s="611">
        <v>11678.640000000001</v>
      </c>
      <c r="O3799" s="611">
        <v>0</v>
      </c>
      <c r="P3799" s="611">
        <v>27238.301630000002</v>
      </c>
    </row>
    <row r="3800" spans="1:16" ht="15">
      <c r="A3800" s="611">
        <v>29</v>
      </c>
      <c r="B3800" s="611" t="s">
        <v>1566</v>
      </c>
      <c r="C3800" s="611" t="s">
        <v>1267</v>
      </c>
      <c r="D3800" s="611">
        <v>35077.714690000001</v>
      </c>
      <c r="E3800" s="611">
        <v>10398.09</v>
      </c>
      <c r="F3800" s="611">
        <v>24679.624690000001</v>
      </c>
      <c r="G3800" s="611">
        <v>2462</v>
      </c>
      <c r="H3800" s="611">
        <v>35778.323859999997</v>
      </c>
      <c r="I3800" s="611">
        <v>2</v>
      </c>
      <c r="J3800" s="611">
        <v>700.60917000000029</v>
      </c>
      <c r="K3800" s="611">
        <v>2460</v>
      </c>
      <c r="L3800" s="611">
        <v>35077.714690000001</v>
      </c>
      <c r="M3800" s="611">
        <v>35077.714690000001</v>
      </c>
      <c r="N3800" s="611">
        <v>10398.09</v>
      </c>
      <c r="O3800" s="611">
        <v>0</v>
      </c>
      <c r="P3800" s="611">
        <v>24679.624689999997</v>
      </c>
    </row>
    <row r="3801" spans="1:16" ht="15">
      <c r="A3801" s="611"/>
      <c r="B3801" s="611"/>
      <c r="C3801" s="611" t="s">
        <v>1197</v>
      </c>
      <c r="D3801" s="611">
        <v>0</v>
      </c>
      <c r="E3801" s="611">
        <v>0</v>
      </c>
      <c r="F3801" s="611">
        <v>0</v>
      </c>
      <c r="G3801" s="611">
        <v>0</v>
      </c>
      <c r="H3801" s="611">
        <v>0</v>
      </c>
      <c r="I3801" s="611">
        <v>0</v>
      </c>
      <c r="J3801" s="611">
        <v>0</v>
      </c>
      <c r="K3801" s="611">
        <v>0</v>
      </c>
      <c r="L3801" s="611">
        <v>0</v>
      </c>
      <c r="M3801" s="611">
        <v>0</v>
      </c>
      <c r="N3801" s="611">
        <v>0</v>
      </c>
      <c r="O3801" s="611">
        <v>0</v>
      </c>
      <c r="P3801" s="611">
        <v>0</v>
      </c>
    </row>
    <row r="3802" spans="1:16" ht="15">
      <c r="A3802" s="611"/>
      <c r="B3802" s="611"/>
      <c r="C3802" s="611" t="s">
        <v>1198</v>
      </c>
      <c r="D3802" s="611">
        <v>0</v>
      </c>
      <c r="E3802" s="611">
        <v>0</v>
      </c>
      <c r="F3802" s="611">
        <v>0</v>
      </c>
      <c r="G3802" s="611">
        <v>0</v>
      </c>
      <c r="H3802" s="611">
        <v>0</v>
      </c>
      <c r="I3802" s="611">
        <v>0</v>
      </c>
      <c r="J3802" s="611">
        <v>0</v>
      </c>
      <c r="K3802" s="611">
        <v>0</v>
      </c>
      <c r="L3802" s="611">
        <v>0</v>
      </c>
      <c r="M3802" s="611">
        <v>0</v>
      </c>
      <c r="N3802" s="611">
        <v>0</v>
      </c>
      <c r="O3802" s="611">
        <v>0</v>
      </c>
      <c r="P3802" s="611">
        <v>0</v>
      </c>
    </row>
    <row r="3803" spans="1:16" ht="15">
      <c r="A3803" s="611"/>
      <c r="B3803" s="611"/>
      <c r="C3803" s="611" t="s">
        <v>1199</v>
      </c>
      <c r="D3803" s="611">
        <v>35077.714690000001</v>
      </c>
      <c r="E3803" s="611">
        <v>10398.09</v>
      </c>
      <c r="F3803" s="611">
        <v>24679.624690000001</v>
      </c>
      <c r="G3803" s="611">
        <v>2462</v>
      </c>
      <c r="H3803" s="611">
        <v>35778.323859999997</v>
      </c>
      <c r="I3803" s="611">
        <v>2</v>
      </c>
      <c r="J3803" s="611">
        <v>700.60917000000029</v>
      </c>
      <c r="K3803" s="611">
        <v>2460</v>
      </c>
      <c r="L3803" s="611">
        <v>35077.714690000001</v>
      </c>
      <c r="M3803" s="611">
        <v>35077.714690000001</v>
      </c>
      <c r="N3803" s="611">
        <v>10398.09</v>
      </c>
      <c r="O3803" s="611">
        <v>0</v>
      </c>
      <c r="P3803" s="611">
        <v>24679.624689999997</v>
      </c>
    </row>
    <row r="3804" spans="1:16" ht="15">
      <c r="A3804" s="611">
        <v>30</v>
      </c>
      <c r="B3804" s="611" t="s">
        <v>1567</v>
      </c>
      <c r="C3804" s="611" t="s">
        <v>1267</v>
      </c>
      <c r="D3804" s="611">
        <v>7168.4402599999994</v>
      </c>
      <c r="E3804" s="611">
        <v>2151.5099999999998</v>
      </c>
      <c r="F3804" s="611">
        <v>5016.9302599999992</v>
      </c>
      <c r="G3804" s="611">
        <v>436</v>
      </c>
      <c r="H3804" s="611">
        <v>7328.4492499999988</v>
      </c>
      <c r="I3804" s="611">
        <v>1</v>
      </c>
      <c r="J3804" s="611">
        <v>160.00898999999976</v>
      </c>
      <c r="K3804" s="611">
        <v>435</v>
      </c>
      <c r="L3804" s="611">
        <v>7168.4402600000003</v>
      </c>
      <c r="M3804" s="611">
        <v>7168.4402600000003</v>
      </c>
      <c r="N3804" s="611">
        <v>2151.5099999999998</v>
      </c>
      <c r="O3804" s="611">
        <v>0</v>
      </c>
      <c r="P3804" s="611">
        <v>5016.930260000001</v>
      </c>
    </row>
    <row r="3805" spans="1:16" ht="15">
      <c r="A3805" s="611"/>
      <c r="B3805" s="611"/>
      <c r="C3805" s="611" t="s">
        <v>1197</v>
      </c>
      <c r="D3805" s="611">
        <v>0</v>
      </c>
      <c r="E3805" s="611">
        <v>0</v>
      </c>
      <c r="F3805" s="611">
        <v>0</v>
      </c>
      <c r="G3805" s="611">
        <v>0</v>
      </c>
      <c r="H3805" s="611">
        <v>0</v>
      </c>
      <c r="I3805" s="611">
        <v>0</v>
      </c>
      <c r="J3805" s="611">
        <v>0</v>
      </c>
      <c r="K3805" s="611">
        <v>0</v>
      </c>
      <c r="L3805" s="611">
        <v>0</v>
      </c>
      <c r="M3805" s="611">
        <v>0</v>
      </c>
      <c r="N3805" s="611">
        <v>0</v>
      </c>
      <c r="O3805" s="611">
        <v>0</v>
      </c>
      <c r="P3805" s="611">
        <v>0</v>
      </c>
    </row>
    <row r="3806" spans="1:16" ht="15">
      <c r="A3806" s="611"/>
      <c r="B3806" s="611"/>
      <c r="C3806" s="611" t="s">
        <v>1198</v>
      </c>
      <c r="D3806" s="611">
        <v>0</v>
      </c>
      <c r="E3806" s="611">
        <v>0</v>
      </c>
      <c r="F3806" s="611">
        <v>0</v>
      </c>
      <c r="G3806" s="611">
        <v>0</v>
      </c>
      <c r="H3806" s="611">
        <v>0</v>
      </c>
      <c r="I3806" s="611">
        <v>0</v>
      </c>
      <c r="J3806" s="611">
        <v>0</v>
      </c>
      <c r="K3806" s="611">
        <v>0</v>
      </c>
      <c r="L3806" s="611">
        <v>0</v>
      </c>
      <c r="M3806" s="611">
        <v>0</v>
      </c>
      <c r="N3806" s="611">
        <v>0</v>
      </c>
      <c r="O3806" s="611">
        <v>0</v>
      </c>
      <c r="P3806" s="611">
        <v>0</v>
      </c>
    </row>
    <row r="3807" spans="1:16" ht="15">
      <c r="A3807" s="611"/>
      <c r="B3807" s="611"/>
      <c r="C3807" s="611" t="s">
        <v>1199</v>
      </c>
      <c r="D3807" s="611">
        <v>7168.4402599999994</v>
      </c>
      <c r="E3807" s="611">
        <v>2151.5099999999998</v>
      </c>
      <c r="F3807" s="611">
        <v>5016.9302599999992</v>
      </c>
      <c r="G3807" s="611">
        <v>436</v>
      </c>
      <c r="H3807" s="611">
        <v>7328.4492499999988</v>
      </c>
      <c r="I3807" s="611">
        <v>1</v>
      </c>
      <c r="J3807" s="611">
        <v>160.00898999999976</v>
      </c>
      <c r="K3807" s="611">
        <v>435</v>
      </c>
      <c r="L3807" s="611">
        <v>7168.4402600000003</v>
      </c>
      <c r="M3807" s="611">
        <v>7168.4402600000003</v>
      </c>
      <c r="N3807" s="611">
        <v>2151.5099999999998</v>
      </c>
      <c r="O3807" s="611">
        <v>0</v>
      </c>
      <c r="P3807" s="611">
        <v>5016.930260000001</v>
      </c>
    </row>
    <row r="3808" spans="1:16" ht="15">
      <c r="A3808" s="611">
        <v>31</v>
      </c>
      <c r="B3808" s="611" t="s">
        <v>1568</v>
      </c>
      <c r="C3808" s="611" t="s">
        <v>1267</v>
      </c>
      <c r="D3808" s="611">
        <v>6888.8297300000004</v>
      </c>
      <c r="E3808" s="611">
        <v>2069.94</v>
      </c>
      <c r="F3808" s="611">
        <v>4818.8897300000008</v>
      </c>
      <c r="G3808" s="611">
        <v>401</v>
      </c>
      <c r="H3808" s="611">
        <v>6950.6723899999988</v>
      </c>
      <c r="I3808" s="611">
        <v>0</v>
      </c>
      <c r="J3808" s="611">
        <v>61.84266000000008</v>
      </c>
      <c r="K3808" s="611">
        <v>401</v>
      </c>
      <c r="L3808" s="611">
        <v>6888.8297299999995</v>
      </c>
      <c r="M3808" s="611">
        <v>6888.8297299999995</v>
      </c>
      <c r="N3808" s="611">
        <v>2069.94</v>
      </c>
      <c r="O3808" s="611">
        <v>0</v>
      </c>
      <c r="P3808" s="611">
        <v>4818.8897299999999</v>
      </c>
    </row>
    <row r="3809" spans="1:111" ht="15">
      <c r="A3809" s="611"/>
      <c r="B3809" s="611"/>
      <c r="C3809" s="611" t="s">
        <v>1197</v>
      </c>
      <c r="D3809" s="611">
        <v>0</v>
      </c>
      <c r="E3809" s="611">
        <v>0</v>
      </c>
      <c r="F3809" s="611">
        <v>0</v>
      </c>
      <c r="G3809" s="611">
        <v>0</v>
      </c>
      <c r="H3809" s="611">
        <v>0</v>
      </c>
      <c r="I3809" s="611">
        <v>0</v>
      </c>
      <c r="J3809" s="611">
        <v>0</v>
      </c>
      <c r="K3809" s="611">
        <v>0</v>
      </c>
      <c r="L3809" s="611">
        <v>0</v>
      </c>
      <c r="M3809" s="611">
        <v>0</v>
      </c>
      <c r="N3809" s="611">
        <v>0</v>
      </c>
      <c r="O3809" s="611">
        <v>0</v>
      </c>
      <c r="P3809" s="611">
        <v>0</v>
      </c>
    </row>
    <row r="3810" spans="1:111" ht="15">
      <c r="A3810" s="611"/>
      <c r="B3810" s="611"/>
      <c r="C3810" s="611" t="s">
        <v>1198</v>
      </c>
      <c r="D3810" s="611">
        <v>0</v>
      </c>
      <c r="E3810" s="611">
        <v>0</v>
      </c>
      <c r="F3810" s="611">
        <v>0</v>
      </c>
      <c r="G3810" s="611">
        <v>0</v>
      </c>
      <c r="H3810" s="611">
        <v>0</v>
      </c>
      <c r="I3810" s="611">
        <v>0</v>
      </c>
      <c r="J3810" s="611">
        <v>0</v>
      </c>
      <c r="K3810" s="611">
        <v>0</v>
      </c>
      <c r="L3810" s="611">
        <v>0</v>
      </c>
      <c r="M3810" s="611">
        <v>0</v>
      </c>
      <c r="N3810" s="611">
        <v>0</v>
      </c>
      <c r="O3810" s="611">
        <v>0</v>
      </c>
      <c r="P3810" s="611">
        <v>0</v>
      </c>
    </row>
    <row r="3811" spans="1:111" ht="15">
      <c r="A3811" s="611"/>
      <c r="B3811" s="611"/>
      <c r="C3811" s="611" t="s">
        <v>1199</v>
      </c>
      <c r="D3811" s="611">
        <v>6888.8297300000004</v>
      </c>
      <c r="E3811" s="611">
        <v>2069.94</v>
      </c>
      <c r="F3811" s="611">
        <v>4818.8897300000008</v>
      </c>
      <c r="G3811" s="611">
        <v>401</v>
      </c>
      <c r="H3811" s="611">
        <v>6950.6723899999988</v>
      </c>
      <c r="I3811" s="611">
        <v>0</v>
      </c>
      <c r="J3811" s="611">
        <v>61.84266000000008</v>
      </c>
      <c r="K3811" s="611">
        <v>401</v>
      </c>
      <c r="L3811" s="611">
        <v>6888.8297299999995</v>
      </c>
      <c r="M3811" s="611">
        <v>6888.8297299999995</v>
      </c>
      <c r="N3811" s="611">
        <v>2069.94</v>
      </c>
      <c r="O3811" s="611">
        <v>0</v>
      </c>
      <c r="P3811" s="611">
        <v>4818.8897299999999</v>
      </c>
    </row>
    <row r="3812" spans="1:111">
      <c r="A3812" s="1735" t="s">
        <v>1199</v>
      </c>
      <c r="B3812" s="1735"/>
      <c r="C3812" s="1735"/>
      <c r="D3812" s="1735"/>
      <c r="E3812" s="1735"/>
      <c r="F3812" s="1735"/>
      <c r="G3812" s="1735"/>
      <c r="H3812" s="1735"/>
      <c r="I3812" s="1735"/>
      <c r="J3812" s="1735"/>
      <c r="K3812" s="1735"/>
      <c r="L3812" s="1735"/>
      <c r="M3812" s="1735"/>
      <c r="N3812" s="1735"/>
      <c r="O3812" s="1735"/>
      <c r="P3812" s="1735"/>
      <c r="AL3812" s="561">
        <f>SUM(AL3813:AL3936)</f>
        <v>380534.57031000004</v>
      </c>
      <c r="AM3812" s="561">
        <f t="shared" ref="AM3812:CX3812" si="112">SUM(AM3813:AM3936)</f>
        <v>0</v>
      </c>
      <c r="AN3812" s="561">
        <f t="shared" si="112"/>
        <v>0</v>
      </c>
      <c r="AO3812" s="561">
        <f t="shared" si="112"/>
        <v>0</v>
      </c>
      <c r="AP3812" s="561">
        <f t="shared" si="112"/>
        <v>0</v>
      </c>
      <c r="AQ3812" s="561">
        <f t="shared" si="112"/>
        <v>0</v>
      </c>
      <c r="AR3812" s="561">
        <f t="shared" si="112"/>
        <v>0</v>
      </c>
      <c r="AS3812" s="561">
        <f t="shared" si="112"/>
        <v>0</v>
      </c>
      <c r="AT3812" s="561">
        <f t="shared" si="112"/>
        <v>0</v>
      </c>
      <c r="AU3812" s="561">
        <f t="shared" si="112"/>
        <v>0</v>
      </c>
      <c r="AV3812" s="561">
        <f t="shared" si="112"/>
        <v>0</v>
      </c>
      <c r="AW3812" s="561">
        <f t="shared" si="112"/>
        <v>0</v>
      </c>
      <c r="AX3812" s="561">
        <f t="shared" si="112"/>
        <v>2707.9627399999999</v>
      </c>
      <c r="AY3812" s="561">
        <f t="shared" si="112"/>
        <v>5139.1113399999995</v>
      </c>
      <c r="AZ3812" s="561">
        <f t="shared" si="112"/>
        <v>0</v>
      </c>
      <c r="BA3812" s="561">
        <f t="shared" si="112"/>
        <v>0</v>
      </c>
      <c r="BB3812" s="561">
        <f t="shared" si="112"/>
        <v>4654.1453200000005</v>
      </c>
      <c r="BC3812" s="561">
        <f t="shared" si="112"/>
        <v>0</v>
      </c>
      <c r="BD3812" s="561">
        <f t="shared" si="112"/>
        <v>229707.78668000002</v>
      </c>
      <c r="BE3812" s="561">
        <f t="shared" si="112"/>
        <v>0</v>
      </c>
      <c r="BF3812" s="561">
        <f t="shared" si="112"/>
        <v>0</v>
      </c>
      <c r="BG3812" s="561">
        <f t="shared" si="112"/>
        <v>0</v>
      </c>
      <c r="BH3812" s="561">
        <f t="shared" si="112"/>
        <v>0</v>
      </c>
      <c r="BI3812" s="561">
        <f t="shared" si="112"/>
        <v>0</v>
      </c>
      <c r="BJ3812" s="561">
        <f t="shared" si="112"/>
        <v>0</v>
      </c>
      <c r="BK3812" s="561">
        <f t="shared" si="112"/>
        <v>0</v>
      </c>
      <c r="BL3812" s="561">
        <f t="shared" si="112"/>
        <v>0</v>
      </c>
      <c r="BM3812" s="561">
        <f t="shared" si="112"/>
        <v>0</v>
      </c>
      <c r="BN3812" s="561">
        <f t="shared" si="112"/>
        <v>0</v>
      </c>
      <c r="BO3812" s="561">
        <f t="shared" si="112"/>
        <v>0</v>
      </c>
      <c r="BP3812" s="561">
        <f t="shared" si="112"/>
        <v>0</v>
      </c>
      <c r="BQ3812" s="561">
        <f t="shared" si="112"/>
        <v>0</v>
      </c>
      <c r="BR3812" s="561">
        <f t="shared" si="112"/>
        <v>0</v>
      </c>
      <c r="BS3812" s="561">
        <f t="shared" si="112"/>
        <v>0</v>
      </c>
      <c r="BT3812" s="561">
        <f t="shared" si="112"/>
        <v>0</v>
      </c>
      <c r="BU3812" s="561">
        <f t="shared" si="112"/>
        <v>0</v>
      </c>
      <c r="BV3812" s="561">
        <f t="shared" si="112"/>
        <v>0</v>
      </c>
      <c r="BW3812" s="561">
        <f t="shared" si="112"/>
        <v>0</v>
      </c>
      <c r="BX3812" s="561">
        <f t="shared" si="112"/>
        <v>0</v>
      </c>
      <c r="BY3812" s="561">
        <f t="shared" si="112"/>
        <v>0</v>
      </c>
      <c r="BZ3812" s="561">
        <f t="shared" si="112"/>
        <v>165197.40393</v>
      </c>
      <c r="CA3812" s="561">
        <f t="shared" si="112"/>
        <v>0</v>
      </c>
      <c r="CB3812" s="561">
        <f t="shared" si="112"/>
        <v>0</v>
      </c>
      <c r="CC3812" s="561">
        <f t="shared" si="112"/>
        <v>0</v>
      </c>
      <c r="CD3812" s="561">
        <f t="shared" si="112"/>
        <v>0</v>
      </c>
      <c r="CE3812" s="561">
        <f t="shared" si="112"/>
        <v>0</v>
      </c>
      <c r="CF3812" s="561">
        <f t="shared" si="112"/>
        <v>0</v>
      </c>
      <c r="CG3812" s="561">
        <f t="shared" si="112"/>
        <v>0</v>
      </c>
      <c r="CH3812" s="561">
        <f t="shared" si="112"/>
        <v>0</v>
      </c>
      <c r="CI3812" s="561">
        <f t="shared" si="112"/>
        <v>0</v>
      </c>
      <c r="CJ3812" s="561">
        <f t="shared" si="112"/>
        <v>0</v>
      </c>
      <c r="CK3812" s="561">
        <f t="shared" si="112"/>
        <v>0</v>
      </c>
      <c r="CL3812" s="561">
        <f t="shared" si="112"/>
        <v>0</v>
      </c>
      <c r="CM3812" s="561">
        <f t="shared" si="112"/>
        <v>0</v>
      </c>
      <c r="CN3812" s="561">
        <f t="shared" si="112"/>
        <v>0</v>
      </c>
      <c r="CO3812" s="561">
        <f t="shared" si="112"/>
        <v>0</v>
      </c>
      <c r="CP3812" s="561">
        <f t="shared" si="112"/>
        <v>0</v>
      </c>
      <c r="CQ3812" s="561">
        <f t="shared" si="112"/>
        <v>0</v>
      </c>
      <c r="CR3812" s="561">
        <f t="shared" si="112"/>
        <v>0</v>
      </c>
      <c r="CS3812" s="561">
        <f t="shared" si="112"/>
        <v>0</v>
      </c>
      <c r="CT3812" s="561">
        <f t="shared" si="112"/>
        <v>0</v>
      </c>
      <c r="CU3812" s="561">
        <f t="shared" si="112"/>
        <v>0</v>
      </c>
      <c r="CV3812" s="561">
        <f t="shared" si="112"/>
        <v>0</v>
      </c>
      <c r="CW3812" s="561">
        <f t="shared" si="112"/>
        <v>0</v>
      </c>
      <c r="CX3812" s="561">
        <f t="shared" si="112"/>
        <v>0</v>
      </c>
      <c r="CY3812" s="561">
        <f t="shared" ref="CY3812:DG3812" si="113">SUM(CY3813:CY3936)</f>
        <v>0</v>
      </c>
      <c r="CZ3812" s="561">
        <f t="shared" si="113"/>
        <v>0</v>
      </c>
      <c r="DA3812" s="561">
        <f t="shared" si="113"/>
        <v>0</v>
      </c>
      <c r="DB3812" s="561">
        <f t="shared" si="113"/>
        <v>0</v>
      </c>
      <c r="DC3812" s="561">
        <f t="shared" si="113"/>
        <v>0</v>
      </c>
      <c r="DD3812" s="561">
        <f t="shared" si="113"/>
        <v>0</v>
      </c>
      <c r="DE3812" s="561">
        <f t="shared" si="113"/>
        <v>0</v>
      </c>
      <c r="DF3812" s="561">
        <f t="shared" si="113"/>
        <v>0</v>
      </c>
      <c r="DG3812" s="561">
        <f t="shared" si="113"/>
        <v>0</v>
      </c>
    </row>
    <row r="3813" spans="1:111" ht="15">
      <c r="A3813" s="611">
        <v>1</v>
      </c>
      <c r="B3813" s="611" t="s">
        <v>1538</v>
      </c>
      <c r="C3813" s="611" t="s">
        <v>1267</v>
      </c>
      <c r="D3813" s="611">
        <v>2319255.0828199997</v>
      </c>
      <c r="E3813" s="611">
        <v>583752.92999999993</v>
      </c>
      <c r="F3813" s="611">
        <v>1735502.15282</v>
      </c>
      <c r="G3813" s="611">
        <v>27365</v>
      </c>
      <c r="H3813" s="611">
        <v>2353735.5478899996</v>
      </c>
      <c r="I3813" s="611">
        <v>18</v>
      </c>
      <c r="J3813" s="611">
        <v>34480.465070000042</v>
      </c>
      <c r="K3813" s="611">
        <v>27347</v>
      </c>
      <c r="L3813" s="611">
        <v>2319255.0828200001</v>
      </c>
      <c r="M3813" s="611">
        <v>2319255.0828200001</v>
      </c>
      <c r="N3813" s="611">
        <v>583752.92999999993</v>
      </c>
      <c r="O3813" s="611">
        <v>0</v>
      </c>
      <c r="P3813" s="611">
        <v>1735502.15282</v>
      </c>
    </row>
    <row r="3814" spans="1:111" ht="15">
      <c r="A3814" s="611"/>
      <c r="B3814" s="611"/>
      <c r="C3814" s="611" t="s">
        <v>1197</v>
      </c>
      <c r="D3814" s="611">
        <v>1807512.2705099999</v>
      </c>
      <c r="E3814" s="611">
        <v>483708.80999999994</v>
      </c>
      <c r="F3814" s="611">
        <v>1323803.4605100001</v>
      </c>
      <c r="G3814" s="611">
        <v>23166</v>
      </c>
      <c r="H3814" s="611">
        <v>1832190.79112</v>
      </c>
      <c r="I3814" s="611">
        <v>-2</v>
      </c>
      <c r="J3814" s="611">
        <v>24678.520610000036</v>
      </c>
      <c r="K3814" s="611">
        <v>23168</v>
      </c>
      <c r="L3814" s="611">
        <v>1807512.2705099999</v>
      </c>
      <c r="M3814" s="611">
        <v>1807512.2705099999</v>
      </c>
      <c r="N3814" s="611">
        <v>483708.80999999994</v>
      </c>
      <c r="O3814" s="611">
        <v>0</v>
      </c>
    </row>
    <row r="3815" spans="1:111" ht="15">
      <c r="A3815" s="611"/>
      <c r="B3815" s="611"/>
      <c r="C3815" s="611" t="s">
        <v>1198</v>
      </c>
      <c r="D3815" s="611">
        <v>190907.38563</v>
      </c>
      <c r="E3815" s="611">
        <v>8916.48</v>
      </c>
      <c r="F3815" s="611">
        <v>181990.90562999999</v>
      </c>
      <c r="G3815" s="611">
        <v>467</v>
      </c>
      <c r="H3815" s="611">
        <v>188111.75771999999</v>
      </c>
      <c r="I3815" s="611">
        <v>0</v>
      </c>
      <c r="J3815" s="611">
        <v>-2795.6279099999974</v>
      </c>
      <c r="K3815" s="611">
        <v>467</v>
      </c>
      <c r="L3815" s="611">
        <v>190907.38563</v>
      </c>
      <c r="M3815" s="611">
        <v>190907.38563</v>
      </c>
      <c r="N3815" s="611">
        <v>8916.48</v>
      </c>
      <c r="O3815" s="611">
        <v>0</v>
      </c>
    </row>
    <row r="3816" spans="1:111" ht="15">
      <c r="A3816" s="611"/>
      <c r="B3816" s="611"/>
      <c r="C3816" s="611" t="s">
        <v>1199</v>
      </c>
      <c r="D3816" s="611">
        <v>320835.42667999998</v>
      </c>
      <c r="E3816" s="611">
        <v>91127.64</v>
      </c>
      <c r="F3816" s="611">
        <v>229707.78667999996</v>
      </c>
      <c r="G3816" s="611">
        <v>3732</v>
      </c>
      <c r="H3816" s="611">
        <v>333432.99904999993</v>
      </c>
      <c r="I3816" s="611">
        <v>20</v>
      </c>
      <c r="J3816" s="611">
        <v>12597.57237</v>
      </c>
      <c r="K3816" s="611">
        <v>3712</v>
      </c>
      <c r="L3816" s="611">
        <v>320835.42668000003</v>
      </c>
      <c r="M3816" s="611">
        <v>320835.42668000003</v>
      </c>
      <c r="N3816" s="611">
        <v>91127.64</v>
      </c>
      <c r="O3816" s="611">
        <v>0</v>
      </c>
      <c r="BD3816" s="611">
        <v>229707.78668000002</v>
      </c>
    </row>
    <row r="3817" spans="1:111" ht="15">
      <c r="A3817" s="611">
        <v>2</v>
      </c>
      <c r="B3817" s="611" t="s">
        <v>1539</v>
      </c>
      <c r="C3817" s="611" t="s">
        <v>1267</v>
      </c>
      <c r="D3817" s="611">
        <v>298600.87602000003</v>
      </c>
      <c r="E3817" s="611">
        <v>89583.93</v>
      </c>
      <c r="F3817" s="611">
        <v>209016.94602000003</v>
      </c>
      <c r="G3817" s="611">
        <v>4964</v>
      </c>
      <c r="H3817" s="611">
        <v>302710.23123999999</v>
      </c>
      <c r="I3817" s="611">
        <v>0</v>
      </c>
      <c r="J3817" s="611">
        <v>4109.355230000001</v>
      </c>
      <c r="K3817" s="611">
        <v>4964</v>
      </c>
      <c r="L3817" s="611">
        <v>298600.87601000001</v>
      </c>
      <c r="M3817" s="611">
        <v>298600.87601000001</v>
      </c>
      <c r="N3817" s="611">
        <v>89583.93</v>
      </c>
      <c r="O3817" s="611">
        <v>0</v>
      </c>
      <c r="P3817" s="611">
        <v>209016.94601000001</v>
      </c>
    </row>
    <row r="3818" spans="1:111" ht="15">
      <c r="A3818" s="611"/>
      <c r="B3818" s="611"/>
      <c r="C3818" s="611" t="s">
        <v>1197</v>
      </c>
      <c r="D3818" s="611">
        <v>277992.75232000003</v>
      </c>
      <c r="E3818" s="611">
        <v>86233.11</v>
      </c>
      <c r="F3818" s="611">
        <v>191759.64232000004</v>
      </c>
      <c r="G3818" s="611">
        <v>4280</v>
      </c>
      <c r="H3818" s="611">
        <v>281288.66226000001</v>
      </c>
      <c r="I3818" s="611">
        <v>0</v>
      </c>
      <c r="J3818" s="611">
        <v>3295.9099500000002</v>
      </c>
      <c r="K3818" s="611">
        <v>4280</v>
      </c>
      <c r="L3818" s="611">
        <v>277992.75231000001</v>
      </c>
      <c r="M3818" s="611">
        <v>277992.75231000001</v>
      </c>
      <c r="N3818" s="611">
        <v>86233.11</v>
      </c>
      <c r="O3818" s="611">
        <v>0</v>
      </c>
    </row>
    <row r="3819" spans="1:111" ht="15">
      <c r="A3819" s="611"/>
      <c r="B3819" s="611"/>
      <c r="C3819" s="611" t="s">
        <v>1198</v>
      </c>
      <c r="D3819" s="611">
        <v>10457.94989</v>
      </c>
      <c r="E3819" s="611">
        <v>312.14999999999998</v>
      </c>
      <c r="F3819" s="611">
        <v>10145.79989</v>
      </c>
      <c r="G3819" s="611">
        <v>33</v>
      </c>
      <c r="H3819" s="611">
        <v>11217.519270000001</v>
      </c>
      <c r="I3819" s="611">
        <v>0</v>
      </c>
      <c r="J3819" s="611">
        <v>759.56938000000048</v>
      </c>
      <c r="K3819" s="611">
        <v>33</v>
      </c>
      <c r="L3819" s="611">
        <v>10457.94989</v>
      </c>
      <c r="M3819" s="611">
        <v>10457.94989</v>
      </c>
      <c r="N3819" s="611">
        <v>312.14999999999998</v>
      </c>
      <c r="O3819" s="611">
        <v>0</v>
      </c>
    </row>
    <row r="3820" spans="1:111" ht="15">
      <c r="A3820" s="611"/>
      <c r="B3820" s="611"/>
      <c r="C3820" s="611" t="s">
        <v>1199</v>
      </c>
      <c r="D3820" s="611">
        <v>10150.17381</v>
      </c>
      <c r="E3820" s="611">
        <v>3038.6699999999996</v>
      </c>
      <c r="F3820" s="611">
        <v>7111.5038100000002</v>
      </c>
      <c r="G3820" s="611">
        <v>651</v>
      </c>
      <c r="H3820" s="611">
        <v>10204.049710000001</v>
      </c>
      <c r="I3820" s="611">
        <v>0</v>
      </c>
      <c r="J3820" s="611">
        <v>53.875900000000115</v>
      </c>
      <c r="K3820" s="611">
        <v>651</v>
      </c>
      <c r="L3820" s="611">
        <v>10150.17381</v>
      </c>
      <c r="M3820" s="611">
        <v>10150.17381</v>
      </c>
      <c r="N3820" s="611">
        <v>3038.6699999999996</v>
      </c>
      <c r="O3820" s="611">
        <v>0</v>
      </c>
      <c r="AL3820" s="611">
        <v>7111.503810000002</v>
      </c>
    </row>
    <row r="3821" spans="1:111" ht="15">
      <c r="A3821" s="611">
        <v>3</v>
      </c>
      <c r="B3821" s="611" t="s">
        <v>1540</v>
      </c>
      <c r="C3821" s="611" t="s">
        <v>1267</v>
      </c>
      <c r="D3821" s="611">
        <v>115810.17143</v>
      </c>
      <c r="E3821" s="611">
        <v>34353.659999999996</v>
      </c>
      <c r="F3821" s="611">
        <v>81456.511429999999</v>
      </c>
      <c r="G3821" s="611">
        <v>2019</v>
      </c>
      <c r="H3821" s="611">
        <v>116603.47731</v>
      </c>
      <c r="I3821" s="611">
        <v>1</v>
      </c>
      <c r="J3821" s="611">
        <v>793.30587000000037</v>
      </c>
      <c r="K3821" s="611">
        <v>2018</v>
      </c>
      <c r="L3821" s="611">
        <v>115810.17144000001</v>
      </c>
      <c r="M3821" s="611">
        <v>115810.17144000001</v>
      </c>
      <c r="N3821" s="611">
        <v>34353.659999999996</v>
      </c>
      <c r="O3821" s="611">
        <v>0</v>
      </c>
      <c r="P3821" s="611">
        <v>81456.511440000002</v>
      </c>
    </row>
    <row r="3822" spans="1:111" ht="15">
      <c r="A3822" s="611"/>
      <c r="B3822" s="611"/>
      <c r="C3822" s="611" t="s">
        <v>1197</v>
      </c>
      <c r="D3822" s="611">
        <v>111027.79466</v>
      </c>
      <c r="E3822" s="611">
        <v>32915.699999999997</v>
      </c>
      <c r="F3822" s="611">
        <v>78112.094660000002</v>
      </c>
      <c r="G3822" s="611">
        <v>1624</v>
      </c>
      <c r="H3822" s="611">
        <v>111814.36622</v>
      </c>
      <c r="I3822" s="611">
        <v>1</v>
      </c>
      <c r="J3822" s="611">
        <v>786.57156000000032</v>
      </c>
      <c r="K3822" s="611">
        <v>1623</v>
      </c>
      <c r="L3822" s="611">
        <v>111027.79466</v>
      </c>
      <c r="M3822" s="611">
        <v>111027.79466</v>
      </c>
      <c r="N3822" s="611">
        <v>32915.699999999997</v>
      </c>
      <c r="O3822" s="611">
        <v>0</v>
      </c>
    </row>
    <row r="3823" spans="1:111" ht="15">
      <c r="A3823" s="611"/>
      <c r="B3823" s="611"/>
      <c r="C3823" s="611" t="s">
        <v>1198</v>
      </c>
      <c r="D3823" s="611">
        <v>0</v>
      </c>
      <c r="E3823" s="611">
        <v>0</v>
      </c>
      <c r="F3823" s="611">
        <v>0</v>
      </c>
      <c r="G3823" s="611">
        <v>0</v>
      </c>
      <c r="H3823" s="611">
        <v>0</v>
      </c>
      <c r="I3823" s="611">
        <v>0</v>
      </c>
      <c r="J3823" s="611">
        <v>0</v>
      </c>
      <c r="K3823" s="611">
        <v>0</v>
      </c>
      <c r="L3823" s="611">
        <v>0</v>
      </c>
      <c r="M3823" s="611">
        <v>0</v>
      </c>
      <c r="N3823" s="611">
        <v>0</v>
      </c>
      <c r="O3823" s="611">
        <v>0</v>
      </c>
      <c r="P3823" s="611">
        <v>0</v>
      </c>
    </row>
    <row r="3824" spans="1:111" ht="15">
      <c r="A3824" s="611"/>
      <c r="B3824" s="611"/>
      <c r="C3824" s="611" t="s">
        <v>1199</v>
      </c>
      <c r="D3824" s="611">
        <v>4782.3767699999999</v>
      </c>
      <c r="E3824" s="611">
        <v>1437.9599999999998</v>
      </c>
      <c r="F3824" s="611">
        <v>3344.4167699999998</v>
      </c>
      <c r="G3824" s="611">
        <v>395</v>
      </c>
      <c r="H3824" s="611">
        <v>4789.1110900000003</v>
      </c>
      <c r="I3824" s="611">
        <v>0</v>
      </c>
      <c r="J3824" s="611">
        <v>6.734310000000022</v>
      </c>
      <c r="K3824" s="611">
        <v>395</v>
      </c>
      <c r="L3824" s="611">
        <v>4782.3767800000005</v>
      </c>
      <c r="M3824" s="611">
        <v>4782.3767800000005</v>
      </c>
      <c r="N3824" s="611">
        <v>1437.9599999999998</v>
      </c>
      <c r="O3824" s="611">
        <v>0</v>
      </c>
      <c r="AL3824" s="611">
        <v>3344.4167800000005</v>
      </c>
    </row>
    <row r="3825" spans="1:54" ht="15">
      <c r="A3825" s="611">
        <v>4</v>
      </c>
      <c r="B3825" s="611" t="s">
        <v>1541</v>
      </c>
      <c r="C3825" s="611" t="s">
        <v>1267</v>
      </c>
      <c r="D3825" s="611">
        <v>591931.1812300001</v>
      </c>
      <c r="E3825" s="611">
        <v>176131.86</v>
      </c>
      <c r="F3825" s="611">
        <v>415799.32123000006</v>
      </c>
      <c r="G3825" s="611">
        <v>8719</v>
      </c>
      <c r="H3825" s="611">
        <v>602713.39942999999</v>
      </c>
      <c r="I3825" s="611">
        <v>24</v>
      </c>
      <c r="J3825" s="611">
        <v>10795.88444000002</v>
      </c>
      <c r="K3825" s="611">
        <v>8695</v>
      </c>
      <c r="L3825" s="611">
        <v>591917.51499000005</v>
      </c>
      <c r="M3825" s="611">
        <v>591917.51499000005</v>
      </c>
      <c r="N3825" s="611">
        <v>176131.86</v>
      </c>
      <c r="O3825" s="611">
        <v>0</v>
      </c>
      <c r="P3825" s="611">
        <v>415785.65499000001</v>
      </c>
    </row>
    <row r="3826" spans="1:54" ht="15">
      <c r="A3826" s="611"/>
      <c r="B3826" s="611"/>
      <c r="C3826" s="611" t="s">
        <v>1197</v>
      </c>
      <c r="D3826" s="611">
        <v>569611.12773000007</v>
      </c>
      <c r="E3826" s="611">
        <v>169617.12</v>
      </c>
      <c r="F3826" s="611">
        <v>399994.00773000007</v>
      </c>
      <c r="G3826" s="611">
        <v>7268</v>
      </c>
      <c r="H3826" s="611">
        <v>580111.35548000003</v>
      </c>
      <c r="I3826" s="611">
        <v>9</v>
      </c>
      <c r="J3826" s="611">
        <v>10513.893990000019</v>
      </c>
      <c r="K3826" s="611">
        <v>7259</v>
      </c>
      <c r="L3826" s="611">
        <v>569597.46149000002</v>
      </c>
      <c r="M3826" s="611">
        <v>569597.46149000002</v>
      </c>
      <c r="N3826" s="611">
        <v>169617.12</v>
      </c>
      <c r="O3826" s="611">
        <v>0</v>
      </c>
    </row>
    <row r="3827" spans="1:54" ht="15">
      <c r="A3827" s="611"/>
      <c r="B3827" s="611"/>
      <c r="C3827" s="611" t="s">
        <v>1198</v>
      </c>
      <c r="D3827" s="611">
        <v>0</v>
      </c>
      <c r="E3827" s="611">
        <v>0</v>
      </c>
      <c r="F3827" s="611">
        <v>0</v>
      </c>
      <c r="G3827" s="611">
        <v>0</v>
      </c>
      <c r="H3827" s="611">
        <v>0</v>
      </c>
      <c r="I3827" s="611">
        <v>0</v>
      </c>
      <c r="J3827" s="611">
        <v>0</v>
      </c>
      <c r="K3827" s="611">
        <v>0</v>
      </c>
      <c r="L3827" s="611">
        <v>0</v>
      </c>
      <c r="M3827" s="611">
        <v>0</v>
      </c>
      <c r="N3827" s="611">
        <v>0</v>
      </c>
      <c r="O3827" s="611">
        <v>0</v>
      </c>
      <c r="P3827" s="611">
        <v>0</v>
      </c>
    </row>
    <row r="3828" spans="1:54" ht="15">
      <c r="A3828" s="611"/>
      <c r="B3828" s="611"/>
      <c r="C3828" s="611" t="s">
        <v>1199</v>
      </c>
      <c r="D3828" s="611">
        <v>22320.053499999998</v>
      </c>
      <c r="E3828" s="611">
        <v>6514.74</v>
      </c>
      <c r="F3828" s="611">
        <v>15805.313499999998</v>
      </c>
      <c r="G3828" s="611">
        <v>1451</v>
      </c>
      <c r="H3828" s="611">
        <v>22602.043949999999</v>
      </c>
      <c r="I3828" s="611">
        <v>15</v>
      </c>
      <c r="J3828" s="611">
        <v>281.99045000000024</v>
      </c>
      <c r="K3828" s="611">
        <v>1436</v>
      </c>
      <c r="L3828" s="611">
        <v>22320.053500000002</v>
      </c>
      <c r="M3828" s="611">
        <v>22320.053500000002</v>
      </c>
      <c r="N3828" s="611">
        <v>6514.74</v>
      </c>
      <c r="O3828" s="611">
        <v>0</v>
      </c>
      <c r="AL3828" s="611">
        <v>15805.313499999998</v>
      </c>
    </row>
    <row r="3829" spans="1:54" ht="15">
      <c r="A3829" s="611">
        <v>5</v>
      </c>
      <c r="B3829" s="611" t="s">
        <v>1542</v>
      </c>
      <c r="C3829" s="611" t="s">
        <v>1267</v>
      </c>
      <c r="D3829" s="611">
        <v>298603.00020000007</v>
      </c>
      <c r="E3829" s="611">
        <v>89201.19</v>
      </c>
      <c r="F3829" s="611">
        <v>209401.81020000007</v>
      </c>
      <c r="G3829" s="611">
        <v>5839</v>
      </c>
      <c r="H3829" s="611">
        <v>312372.69433999999</v>
      </c>
      <c r="I3829" s="611">
        <v>3</v>
      </c>
      <c r="J3829" s="611">
        <v>13769.694170000006</v>
      </c>
      <c r="K3829" s="611">
        <v>5836</v>
      </c>
      <c r="L3829" s="611">
        <v>298603.00017000001</v>
      </c>
      <c r="M3829" s="611">
        <v>298603.00017000001</v>
      </c>
      <c r="N3829" s="611">
        <v>89201.19</v>
      </c>
      <c r="O3829" s="611">
        <v>0</v>
      </c>
      <c r="P3829" s="611">
        <v>209401.81017000001</v>
      </c>
    </row>
    <row r="3830" spans="1:54" ht="15">
      <c r="A3830" s="611"/>
      <c r="B3830" s="611"/>
      <c r="C3830" s="611" t="s">
        <v>1197</v>
      </c>
      <c r="D3830" s="611">
        <v>292242.27488000004</v>
      </c>
      <c r="E3830" s="611">
        <v>87494.61</v>
      </c>
      <c r="F3830" s="611">
        <v>204747.66488000005</v>
      </c>
      <c r="G3830" s="611">
        <v>5366</v>
      </c>
      <c r="H3830" s="611">
        <v>305965.41347999999</v>
      </c>
      <c r="I3830" s="611">
        <v>3</v>
      </c>
      <c r="J3830" s="611">
        <v>13723.138630000007</v>
      </c>
      <c r="K3830" s="611">
        <v>5363</v>
      </c>
      <c r="L3830" s="611">
        <v>292242.27484999999</v>
      </c>
      <c r="M3830" s="611">
        <v>292242.27484999999</v>
      </c>
      <c r="N3830" s="611">
        <v>87494.61</v>
      </c>
      <c r="O3830" s="611">
        <v>0</v>
      </c>
    </row>
    <row r="3831" spans="1:54" ht="15">
      <c r="A3831" s="611"/>
      <c r="B3831" s="611"/>
      <c r="C3831" s="611" t="s">
        <v>1198</v>
      </c>
      <c r="D3831" s="611">
        <v>0</v>
      </c>
      <c r="E3831" s="611">
        <v>0</v>
      </c>
      <c r="F3831" s="611">
        <v>0</v>
      </c>
      <c r="G3831" s="611">
        <v>0</v>
      </c>
      <c r="H3831" s="611">
        <v>0</v>
      </c>
      <c r="I3831" s="611">
        <v>0</v>
      </c>
      <c r="J3831" s="611">
        <v>0</v>
      </c>
      <c r="K3831" s="611">
        <v>0</v>
      </c>
      <c r="L3831" s="611">
        <v>0</v>
      </c>
      <c r="M3831" s="611">
        <v>0</v>
      </c>
      <c r="N3831" s="611">
        <v>0</v>
      </c>
      <c r="O3831" s="611">
        <v>0</v>
      </c>
      <c r="P3831" s="611">
        <v>0</v>
      </c>
    </row>
    <row r="3832" spans="1:54" ht="15">
      <c r="A3832" s="611"/>
      <c r="B3832" s="611"/>
      <c r="C3832" s="611" t="s">
        <v>1199</v>
      </c>
      <c r="D3832" s="611">
        <v>6360.7253200000005</v>
      </c>
      <c r="E3832" s="611">
        <v>1706.5800000000002</v>
      </c>
      <c r="F3832" s="611">
        <v>4654.1453200000005</v>
      </c>
      <c r="G3832" s="611">
        <v>473</v>
      </c>
      <c r="H3832" s="611">
        <v>6407.2808600000017</v>
      </c>
      <c r="I3832" s="611">
        <v>0</v>
      </c>
      <c r="J3832" s="611">
        <v>46.555540000000178</v>
      </c>
      <c r="K3832" s="611">
        <v>473</v>
      </c>
      <c r="L3832" s="611">
        <v>6360.7253200000005</v>
      </c>
      <c r="M3832" s="611">
        <v>6360.7253200000005</v>
      </c>
      <c r="N3832" s="611">
        <v>1706.5800000000002</v>
      </c>
      <c r="O3832" s="611">
        <v>0</v>
      </c>
      <c r="BB3832" s="611">
        <v>4654.1453200000005</v>
      </c>
    </row>
    <row r="3833" spans="1:54" ht="15">
      <c r="A3833" s="611">
        <v>6</v>
      </c>
      <c r="B3833" s="611" t="s">
        <v>1543</v>
      </c>
      <c r="C3833" s="611" t="s">
        <v>1267</v>
      </c>
      <c r="D3833" s="611">
        <v>1110217.6346400001</v>
      </c>
      <c r="E3833" s="611">
        <v>242790.54</v>
      </c>
      <c r="F3833" s="611">
        <v>867427.09464000002</v>
      </c>
      <c r="G3833" s="611">
        <v>4576</v>
      </c>
      <c r="H3833" s="611">
        <v>1171975.9493318999</v>
      </c>
      <c r="I3833" s="611">
        <v>21</v>
      </c>
      <c r="J3833" s="611">
        <v>61758.31470190001</v>
      </c>
      <c r="K3833" s="611">
        <v>4555</v>
      </c>
      <c r="L3833" s="611">
        <v>1110217.63463</v>
      </c>
      <c r="M3833" s="611">
        <v>1110217.63463</v>
      </c>
      <c r="N3833" s="611">
        <v>242790.54</v>
      </c>
      <c r="O3833" s="611">
        <v>0</v>
      </c>
      <c r="P3833" s="611">
        <v>867427.09462999995</v>
      </c>
    </row>
    <row r="3834" spans="1:54" ht="15">
      <c r="A3834" s="611"/>
      <c r="B3834" s="611"/>
      <c r="C3834" s="611" t="s">
        <v>1197</v>
      </c>
      <c r="D3834" s="611">
        <v>587450.03957000002</v>
      </c>
      <c r="E3834" s="611">
        <v>155859.03</v>
      </c>
      <c r="F3834" s="611">
        <v>431591.00956999999</v>
      </c>
      <c r="G3834" s="611">
        <v>3943</v>
      </c>
      <c r="H3834" s="611">
        <v>617978.00600000005</v>
      </c>
      <c r="I3834" s="611">
        <v>16</v>
      </c>
      <c r="J3834" s="611">
        <v>30527.96643</v>
      </c>
      <c r="K3834" s="611">
        <v>3927</v>
      </c>
      <c r="L3834" s="611">
        <v>587450.03957000002</v>
      </c>
      <c r="M3834" s="611">
        <v>587450.03957000002</v>
      </c>
      <c r="N3834" s="611">
        <v>155859.03</v>
      </c>
      <c r="O3834" s="611">
        <v>0</v>
      </c>
    </row>
    <row r="3835" spans="1:54" ht="15">
      <c r="A3835" s="611"/>
      <c r="B3835" s="611"/>
      <c r="C3835" s="611" t="s">
        <v>1198</v>
      </c>
      <c r="D3835" s="611">
        <v>519108.54232000001</v>
      </c>
      <c r="E3835" s="611">
        <v>85980.42</v>
      </c>
      <c r="F3835" s="611">
        <v>433128.12232000002</v>
      </c>
      <c r="G3835" s="611">
        <v>463</v>
      </c>
      <c r="H3835" s="611">
        <v>550236.35964000004</v>
      </c>
      <c r="I3835" s="611">
        <v>3</v>
      </c>
      <c r="J3835" s="611">
        <v>31127.817320000009</v>
      </c>
      <c r="K3835" s="611">
        <v>460</v>
      </c>
      <c r="L3835" s="611">
        <v>519108.54232000007</v>
      </c>
      <c r="M3835" s="611">
        <v>519108.54232000007</v>
      </c>
      <c r="N3835" s="611">
        <v>85980.42</v>
      </c>
      <c r="O3835" s="611">
        <v>0</v>
      </c>
    </row>
    <row r="3836" spans="1:54" ht="15">
      <c r="A3836" s="611"/>
      <c r="B3836" s="611"/>
      <c r="C3836" s="611" t="s">
        <v>1199</v>
      </c>
      <c r="D3836" s="611">
        <v>3659.0527500000003</v>
      </c>
      <c r="E3836" s="611">
        <v>951.09</v>
      </c>
      <c r="F3836" s="611">
        <v>2707.9627500000001</v>
      </c>
      <c r="G3836" s="611">
        <v>170</v>
      </c>
      <c r="H3836" s="611">
        <v>3761.5836919000003</v>
      </c>
      <c r="I3836" s="611">
        <v>2</v>
      </c>
      <c r="J3836" s="611">
        <v>102.53095189999993</v>
      </c>
      <c r="K3836" s="611">
        <v>168</v>
      </c>
      <c r="L3836" s="611">
        <v>3659.0527400000001</v>
      </c>
      <c r="M3836" s="611">
        <v>3659.0527400000001</v>
      </c>
      <c r="N3836" s="611">
        <v>951.09</v>
      </c>
      <c r="O3836" s="611">
        <v>0</v>
      </c>
      <c r="AX3836" s="611">
        <v>2707.9627399999999</v>
      </c>
    </row>
    <row r="3837" spans="1:54" ht="15">
      <c r="A3837" s="611">
        <v>7</v>
      </c>
      <c r="B3837" s="611" t="s">
        <v>1544</v>
      </c>
      <c r="C3837" s="611" t="s">
        <v>1267</v>
      </c>
      <c r="D3837" s="611">
        <v>693869.59195000003</v>
      </c>
      <c r="E3837" s="611">
        <v>194773.80000000002</v>
      </c>
      <c r="F3837" s="611">
        <v>499095.79194999998</v>
      </c>
      <c r="G3837" s="611">
        <v>12043</v>
      </c>
      <c r="H3837" s="611">
        <v>717582.55995999987</v>
      </c>
      <c r="I3837" s="611">
        <v>59</v>
      </c>
      <c r="J3837" s="611">
        <v>23712.968009999902</v>
      </c>
      <c r="K3837" s="611">
        <v>11984</v>
      </c>
      <c r="L3837" s="611">
        <v>693869.59195000003</v>
      </c>
      <c r="M3837" s="611">
        <v>693869.59195000003</v>
      </c>
      <c r="N3837" s="611">
        <v>194773.80000000002</v>
      </c>
      <c r="O3837" s="611">
        <v>0</v>
      </c>
      <c r="P3837" s="611">
        <v>499095.79194999993</v>
      </c>
    </row>
    <row r="3838" spans="1:54" ht="15">
      <c r="A3838" s="611"/>
      <c r="B3838" s="611"/>
      <c r="C3838" s="611" t="s">
        <v>1197</v>
      </c>
      <c r="D3838" s="611">
        <v>665297.05692</v>
      </c>
      <c r="E3838" s="611">
        <v>193140</v>
      </c>
      <c r="F3838" s="611">
        <v>472157.05692</v>
      </c>
      <c r="G3838" s="611">
        <v>11336</v>
      </c>
      <c r="H3838" s="611">
        <v>687546.80949999986</v>
      </c>
      <c r="I3838" s="611">
        <v>59</v>
      </c>
      <c r="J3838" s="611">
        <v>22249.752579999902</v>
      </c>
      <c r="K3838" s="611">
        <v>11277</v>
      </c>
      <c r="L3838" s="611">
        <v>665297.05692</v>
      </c>
      <c r="M3838" s="611">
        <v>665297.05692</v>
      </c>
      <c r="N3838" s="611">
        <v>193140</v>
      </c>
      <c r="O3838" s="611">
        <v>0</v>
      </c>
    </row>
    <row r="3839" spans="1:54" ht="15">
      <c r="A3839" s="611"/>
      <c r="B3839" s="611"/>
      <c r="C3839" s="611" t="s">
        <v>1198</v>
      </c>
      <c r="D3839" s="611">
        <v>16138.40711</v>
      </c>
      <c r="E3839" s="611">
        <v>508.28999999999996</v>
      </c>
      <c r="F3839" s="611">
        <v>15630.117109999999</v>
      </c>
      <c r="G3839" s="611">
        <v>54</v>
      </c>
      <c r="H3839" s="611">
        <v>17316.222110000002</v>
      </c>
      <c r="I3839" s="611">
        <v>0</v>
      </c>
      <c r="J3839" s="611">
        <v>1177.8149999999996</v>
      </c>
      <c r="K3839" s="611">
        <v>54</v>
      </c>
      <c r="L3839" s="611">
        <v>16138.40711</v>
      </c>
      <c r="M3839" s="611">
        <v>16138.40711</v>
      </c>
      <c r="N3839" s="611">
        <v>508.28999999999996</v>
      </c>
      <c r="O3839" s="611">
        <v>0</v>
      </c>
    </row>
    <row r="3840" spans="1:54" ht="15">
      <c r="A3840" s="611"/>
      <c r="B3840" s="611"/>
      <c r="C3840" s="611" t="s">
        <v>1199</v>
      </c>
      <c r="D3840" s="611">
        <v>12434.127920000001</v>
      </c>
      <c r="E3840" s="611">
        <v>1125.51</v>
      </c>
      <c r="F3840" s="611">
        <v>11308.617920000001</v>
      </c>
      <c r="G3840" s="611">
        <v>653</v>
      </c>
      <c r="H3840" s="611">
        <v>12719.528349999999</v>
      </c>
      <c r="I3840" s="611">
        <v>0</v>
      </c>
      <c r="J3840" s="611">
        <v>285.40042999999986</v>
      </c>
      <c r="K3840" s="611">
        <v>653</v>
      </c>
      <c r="L3840" s="611">
        <v>12434.127920000003</v>
      </c>
      <c r="M3840" s="611">
        <v>12434.127920000003</v>
      </c>
      <c r="N3840" s="611">
        <v>1125.51</v>
      </c>
      <c r="O3840" s="611">
        <v>0</v>
      </c>
      <c r="P3840" s="611">
        <v>11308.617920000001</v>
      </c>
    </row>
    <row r="3841" spans="1:51" ht="15">
      <c r="A3841" s="611">
        <v>8</v>
      </c>
      <c r="B3841" s="611" t="s">
        <v>1545</v>
      </c>
      <c r="C3841" s="611" t="s">
        <v>1267</v>
      </c>
      <c r="D3841" s="611">
        <v>52247.352540000007</v>
      </c>
      <c r="E3841" s="611">
        <v>15587.4</v>
      </c>
      <c r="F3841" s="611">
        <v>36659.952540000006</v>
      </c>
      <c r="G3841" s="611">
        <v>1179</v>
      </c>
      <c r="H3841" s="611">
        <v>52585.614200000004</v>
      </c>
      <c r="I3841" s="611">
        <v>2</v>
      </c>
      <c r="J3841" s="611">
        <v>338.26167000000061</v>
      </c>
      <c r="K3841" s="611">
        <v>1177</v>
      </c>
      <c r="L3841" s="611">
        <v>52247.352530000004</v>
      </c>
      <c r="M3841" s="611">
        <v>52247.352530000004</v>
      </c>
      <c r="N3841" s="611">
        <v>15587.4</v>
      </c>
      <c r="O3841" s="611">
        <v>0</v>
      </c>
      <c r="P3841" s="611">
        <v>36659.95253000001</v>
      </c>
    </row>
    <row r="3842" spans="1:51" ht="15">
      <c r="A3842" s="611"/>
      <c r="B3842" s="611"/>
      <c r="C3842" s="611" t="s">
        <v>1197</v>
      </c>
      <c r="D3842" s="611">
        <v>45287.541190000004</v>
      </c>
      <c r="E3842" s="611">
        <v>13766.699999999999</v>
      </c>
      <c r="F3842" s="611">
        <v>31520.841190000006</v>
      </c>
      <c r="G3842" s="611">
        <v>701</v>
      </c>
      <c r="H3842" s="611">
        <v>45595.755920000003</v>
      </c>
      <c r="I3842" s="611">
        <v>1</v>
      </c>
      <c r="J3842" s="611">
        <v>308.2147300000006</v>
      </c>
      <c r="K3842" s="611">
        <v>700</v>
      </c>
      <c r="L3842" s="611">
        <v>45287.541190000004</v>
      </c>
      <c r="M3842" s="611">
        <v>45287.541190000004</v>
      </c>
      <c r="N3842" s="611">
        <v>13766.699999999999</v>
      </c>
      <c r="O3842" s="611">
        <v>0</v>
      </c>
    </row>
    <row r="3843" spans="1:51" ht="15">
      <c r="A3843" s="611"/>
      <c r="B3843" s="611"/>
      <c r="C3843" s="611" t="s">
        <v>1198</v>
      </c>
      <c r="D3843" s="611">
        <v>0</v>
      </c>
      <c r="E3843" s="611">
        <v>0</v>
      </c>
      <c r="F3843" s="611">
        <v>0</v>
      </c>
      <c r="G3843" s="611">
        <v>0</v>
      </c>
      <c r="H3843" s="611">
        <v>0</v>
      </c>
      <c r="I3843" s="611">
        <v>0</v>
      </c>
      <c r="J3843" s="611">
        <v>0</v>
      </c>
      <c r="K3843" s="611">
        <v>0</v>
      </c>
      <c r="L3843" s="611">
        <v>0</v>
      </c>
      <c r="M3843" s="611">
        <v>0</v>
      </c>
      <c r="N3843" s="611">
        <v>0</v>
      </c>
      <c r="O3843" s="611">
        <v>0</v>
      </c>
      <c r="P3843" s="611">
        <v>0</v>
      </c>
    </row>
    <row r="3844" spans="1:51" ht="15">
      <c r="A3844" s="611"/>
      <c r="B3844" s="611"/>
      <c r="C3844" s="611" t="s">
        <v>1199</v>
      </c>
      <c r="D3844" s="611">
        <v>6959.8113499999999</v>
      </c>
      <c r="E3844" s="611">
        <v>1820.7</v>
      </c>
      <c r="F3844" s="611">
        <v>5139.1113500000001</v>
      </c>
      <c r="G3844" s="611">
        <v>478</v>
      </c>
      <c r="H3844" s="611">
        <v>6989.8582800000013</v>
      </c>
      <c r="I3844" s="611">
        <v>1</v>
      </c>
      <c r="J3844" s="611">
        <v>30.046940000000006</v>
      </c>
      <c r="K3844" s="611">
        <v>477</v>
      </c>
      <c r="L3844" s="611">
        <v>6959.8113400000002</v>
      </c>
      <c r="M3844" s="611">
        <v>6959.8113400000002</v>
      </c>
      <c r="N3844" s="611">
        <v>1820.7</v>
      </c>
      <c r="O3844" s="611">
        <v>0</v>
      </c>
      <c r="AY3844" s="611">
        <v>5139.1113399999995</v>
      </c>
    </row>
    <row r="3845" spans="1:51" ht="15">
      <c r="A3845" s="611">
        <v>9</v>
      </c>
      <c r="B3845" s="611" t="s">
        <v>1546</v>
      </c>
      <c r="C3845" s="611" t="s">
        <v>1267</v>
      </c>
      <c r="D3845" s="611">
        <v>165915.97720000002</v>
      </c>
      <c r="E3845" s="611">
        <v>49823.94</v>
      </c>
      <c r="F3845" s="611">
        <v>116092.03720000002</v>
      </c>
      <c r="G3845" s="611">
        <v>4121</v>
      </c>
      <c r="H3845" s="611">
        <v>174345.21647999997</v>
      </c>
      <c r="I3845" s="611">
        <v>9</v>
      </c>
      <c r="J3845" s="611">
        <v>8429.2392800000034</v>
      </c>
      <c r="K3845" s="611">
        <v>4112</v>
      </c>
      <c r="L3845" s="611">
        <v>165915.97719999999</v>
      </c>
      <c r="M3845" s="611">
        <v>165915.97719999999</v>
      </c>
      <c r="N3845" s="611">
        <v>49823.94</v>
      </c>
      <c r="O3845" s="611">
        <v>0</v>
      </c>
      <c r="P3845" s="611">
        <v>116092.03719999999</v>
      </c>
    </row>
    <row r="3846" spans="1:51" ht="15">
      <c r="A3846" s="611"/>
      <c r="B3846" s="611"/>
      <c r="C3846" s="611" t="s">
        <v>1197</v>
      </c>
      <c r="D3846" s="611">
        <v>136211.54494000002</v>
      </c>
      <c r="E3846" s="611">
        <v>42064.08</v>
      </c>
      <c r="F3846" s="611">
        <v>94147.46494000002</v>
      </c>
      <c r="G3846" s="611">
        <v>2125</v>
      </c>
      <c r="H3846" s="611">
        <v>144366.73841999998</v>
      </c>
      <c r="I3846" s="611">
        <v>5</v>
      </c>
      <c r="J3846" s="611">
        <v>8155.1934800000045</v>
      </c>
      <c r="K3846" s="611">
        <v>2120</v>
      </c>
      <c r="L3846" s="611">
        <v>136211.54493999999</v>
      </c>
      <c r="M3846" s="611">
        <v>136211.54493999999</v>
      </c>
      <c r="N3846" s="611">
        <v>42064.08</v>
      </c>
      <c r="O3846" s="611">
        <v>0</v>
      </c>
    </row>
    <row r="3847" spans="1:51" ht="15">
      <c r="A3847" s="611"/>
      <c r="B3847" s="611"/>
      <c r="C3847" s="611" t="s">
        <v>1198</v>
      </c>
      <c r="D3847" s="611">
        <v>0</v>
      </c>
      <c r="E3847" s="611">
        <v>0</v>
      </c>
      <c r="F3847" s="611">
        <v>0</v>
      </c>
      <c r="G3847" s="611">
        <v>0</v>
      </c>
      <c r="H3847" s="611">
        <v>0</v>
      </c>
      <c r="I3847" s="611">
        <v>0</v>
      </c>
      <c r="J3847" s="611">
        <v>0</v>
      </c>
      <c r="K3847" s="611">
        <v>0</v>
      </c>
      <c r="L3847" s="611">
        <v>0</v>
      </c>
      <c r="M3847" s="611">
        <v>0</v>
      </c>
      <c r="N3847" s="611">
        <v>0</v>
      </c>
      <c r="O3847" s="611">
        <v>0</v>
      </c>
      <c r="P3847" s="611">
        <v>0</v>
      </c>
    </row>
    <row r="3848" spans="1:51" ht="15">
      <c r="A3848" s="611"/>
      <c r="B3848" s="611"/>
      <c r="C3848" s="611" t="s">
        <v>1199</v>
      </c>
      <c r="D3848" s="611">
        <v>29704.432260000001</v>
      </c>
      <c r="E3848" s="611">
        <v>7759.86</v>
      </c>
      <c r="F3848" s="611">
        <v>21944.572260000001</v>
      </c>
      <c r="G3848" s="611">
        <v>1996</v>
      </c>
      <c r="H3848" s="611">
        <v>29978.478059999998</v>
      </c>
      <c r="I3848" s="611">
        <v>4</v>
      </c>
      <c r="J3848" s="611">
        <v>274.04579999999942</v>
      </c>
      <c r="K3848" s="611">
        <v>1992</v>
      </c>
      <c r="L3848" s="611">
        <v>29704.432259999994</v>
      </c>
      <c r="M3848" s="611">
        <v>29704.432259999994</v>
      </c>
      <c r="N3848" s="611">
        <v>7759.86</v>
      </c>
      <c r="O3848" s="611">
        <v>0</v>
      </c>
      <c r="AL3848" s="611">
        <v>21944.572260000001</v>
      </c>
    </row>
    <row r="3849" spans="1:51" ht="15">
      <c r="A3849" s="611">
        <v>10</v>
      </c>
      <c r="B3849" s="611" t="s">
        <v>1547</v>
      </c>
      <c r="C3849" s="611" t="s">
        <v>1267</v>
      </c>
      <c r="D3849" s="611">
        <v>63910.837520000001</v>
      </c>
      <c r="E3849" s="611">
        <v>19173.36</v>
      </c>
      <c r="F3849" s="611">
        <v>44737.47752</v>
      </c>
      <c r="G3849" s="611">
        <v>1869</v>
      </c>
      <c r="H3849" s="611">
        <v>69791.364480000004</v>
      </c>
      <c r="I3849" s="611">
        <v>4</v>
      </c>
      <c r="J3849" s="611">
        <v>5880.5269599999983</v>
      </c>
      <c r="K3849" s="611">
        <v>1865</v>
      </c>
      <c r="L3849" s="611">
        <v>63910.837519999994</v>
      </c>
      <c r="M3849" s="611">
        <v>63910.837519999994</v>
      </c>
      <c r="N3849" s="611">
        <v>19173.36</v>
      </c>
      <c r="O3849" s="611">
        <v>0</v>
      </c>
      <c r="P3849" s="611">
        <v>44737.47752</v>
      </c>
    </row>
    <row r="3850" spans="1:51" ht="15">
      <c r="A3850" s="611"/>
      <c r="B3850" s="611"/>
      <c r="C3850" s="611" t="s">
        <v>1197</v>
      </c>
      <c r="D3850" s="611">
        <v>49142.366580000002</v>
      </c>
      <c r="E3850" s="611">
        <v>14485.65</v>
      </c>
      <c r="F3850" s="611">
        <v>34656.71658</v>
      </c>
      <c r="G3850" s="611">
        <v>810</v>
      </c>
      <c r="H3850" s="611">
        <v>54671.846339999996</v>
      </c>
      <c r="I3850" s="611">
        <v>4</v>
      </c>
      <c r="J3850" s="611">
        <v>5529.4797599999984</v>
      </c>
      <c r="K3850" s="611">
        <v>806</v>
      </c>
      <c r="L3850" s="611">
        <v>49142.366579999994</v>
      </c>
      <c r="M3850" s="611">
        <v>49142.366579999994</v>
      </c>
      <c r="N3850" s="611">
        <v>14485.65</v>
      </c>
      <c r="O3850" s="611">
        <v>0</v>
      </c>
    </row>
    <row r="3851" spans="1:51" ht="15">
      <c r="A3851" s="611"/>
      <c r="B3851" s="611"/>
      <c r="C3851" s="611" t="s">
        <v>1198</v>
      </c>
      <c r="D3851" s="611">
        <v>0</v>
      </c>
      <c r="E3851" s="611">
        <v>0</v>
      </c>
      <c r="F3851" s="611">
        <v>0</v>
      </c>
      <c r="G3851" s="611">
        <v>0</v>
      </c>
      <c r="H3851" s="611">
        <v>0</v>
      </c>
      <c r="I3851" s="611">
        <v>0</v>
      </c>
      <c r="J3851" s="611">
        <v>0</v>
      </c>
      <c r="K3851" s="611">
        <v>0</v>
      </c>
      <c r="L3851" s="611">
        <v>0</v>
      </c>
      <c r="M3851" s="611">
        <v>0</v>
      </c>
      <c r="N3851" s="611">
        <v>0</v>
      </c>
      <c r="O3851" s="611">
        <v>0</v>
      </c>
      <c r="P3851" s="611">
        <v>0</v>
      </c>
    </row>
    <row r="3852" spans="1:51" ht="15">
      <c r="A3852" s="611"/>
      <c r="B3852" s="611"/>
      <c r="C3852" s="611" t="s">
        <v>1199</v>
      </c>
      <c r="D3852" s="611">
        <v>14768.470940000001</v>
      </c>
      <c r="E3852" s="611">
        <v>4687.71</v>
      </c>
      <c r="F3852" s="611">
        <v>10080.76094</v>
      </c>
      <c r="G3852" s="611">
        <v>1059</v>
      </c>
      <c r="H3852" s="611">
        <v>15119.518140000002</v>
      </c>
      <c r="I3852" s="611">
        <v>0</v>
      </c>
      <c r="J3852" s="611">
        <v>351.04719999999998</v>
      </c>
      <c r="K3852" s="611">
        <v>1059</v>
      </c>
      <c r="L3852" s="611">
        <v>14768.470940000001</v>
      </c>
      <c r="M3852" s="611">
        <v>14768.470940000001</v>
      </c>
      <c r="N3852" s="611">
        <v>4687.71</v>
      </c>
      <c r="O3852" s="611">
        <v>0</v>
      </c>
      <c r="AL3852" s="611">
        <v>10080.76094</v>
      </c>
    </row>
    <row r="3853" spans="1:51" ht="15">
      <c r="A3853" s="611">
        <v>11</v>
      </c>
      <c r="B3853" s="611" t="s">
        <v>1548</v>
      </c>
      <c r="C3853" s="611" t="s">
        <v>1267</v>
      </c>
      <c r="D3853" s="611">
        <v>105668.86843</v>
      </c>
      <c r="E3853" s="611">
        <v>31706.79</v>
      </c>
      <c r="F3853" s="611">
        <v>73962.078429999994</v>
      </c>
      <c r="G3853" s="611">
        <v>2996</v>
      </c>
      <c r="H3853" s="611">
        <v>110666.91568999999</v>
      </c>
      <c r="I3853" s="611">
        <v>9</v>
      </c>
      <c r="J3853" s="611">
        <v>4998.0472599999994</v>
      </c>
      <c r="K3853" s="611">
        <v>2987</v>
      </c>
      <c r="L3853" s="611">
        <v>105668.86843</v>
      </c>
      <c r="M3853" s="611">
        <v>105668.86843</v>
      </c>
      <c r="N3853" s="611">
        <v>31706.79</v>
      </c>
      <c r="O3853" s="611">
        <v>0</v>
      </c>
      <c r="P3853" s="611">
        <v>73962.078430000009</v>
      </c>
    </row>
    <row r="3854" spans="1:51" ht="15">
      <c r="A3854" s="611"/>
      <c r="B3854" s="611"/>
      <c r="C3854" s="611" t="s">
        <v>1197</v>
      </c>
      <c r="D3854" s="611">
        <v>79903.794150000002</v>
      </c>
      <c r="E3854" s="611">
        <v>23658</v>
      </c>
      <c r="F3854" s="611">
        <v>56245.794150000002</v>
      </c>
      <c r="G3854" s="611">
        <v>1222</v>
      </c>
      <c r="H3854" s="611">
        <v>82837.85514</v>
      </c>
      <c r="I3854" s="611">
        <v>5</v>
      </c>
      <c r="J3854" s="611">
        <v>2934.0609900000004</v>
      </c>
      <c r="K3854" s="611">
        <v>1217</v>
      </c>
      <c r="L3854" s="611">
        <v>79903.794150000002</v>
      </c>
      <c r="M3854" s="611">
        <v>79903.794150000002</v>
      </c>
      <c r="N3854" s="611">
        <v>23658</v>
      </c>
      <c r="O3854" s="611">
        <v>0</v>
      </c>
    </row>
    <row r="3855" spans="1:51" ht="15">
      <c r="A3855" s="611"/>
      <c r="B3855" s="611"/>
      <c r="C3855" s="611" t="s">
        <v>1198</v>
      </c>
      <c r="D3855" s="611">
        <v>0</v>
      </c>
      <c r="E3855" s="611">
        <v>0</v>
      </c>
      <c r="F3855" s="611">
        <v>0</v>
      </c>
      <c r="G3855" s="611">
        <v>0</v>
      </c>
      <c r="H3855" s="611">
        <v>0</v>
      </c>
      <c r="I3855" s="611">
        <v>0</v>
      </c>
      <c r="J3855" s="611">
        <v>0</v>
      </c>
      <c r="K3855" s="611">
        <v>0</v>
      </c>
      <c r="L3855" s="611">
        <v>0</v>
      </c>
      <c r="M3855" s="611">
        <v>0</v>
      </c>
      <c r="N3855" s="611">
        <v>0</v>
      </c>
      <c r="O3855" s="611">
        <v>0</v>
      </c>
      <c r="P3855" s="611">
        <v>0</v>
      </c>
    </row>
    <row r="3856" spans="1:51" ht="15">
      <c r="A3856" s="611"/>
      <c r="B3856" s="611"/>
      <c r="C3856" s="611" t="s">
        <v>1199</v>
      </c>
      <c r="D3856" s="611">
        <v>25765.074279999997</v>
      </c>
      <c r="E3856" s="611">
        <v>8048.7899999999991</v>
      </c>
      <c r="F3856" s="611">
        <v>17716.28428</v>
      </c>
      <c r="G3856" s="611">
        <v>1774</v>
      </c>
      <c r="H3856" s="611">
        <v>27829.060550000002</v>
      </c>
      <c r="I3856" s="611">
        <v>4</v>
      </c>
      <c r="J3856" s="611">
        <v>2063.9862699999994</v>
      </c>
      <c r="K3856" s="611">
        <v>1770</v>
      </c>
      <c r="L3856" s="611">
        <v>25765.074280000001</v>
      </c>
      <c r="M3856" s="611">
        <v>25765.074280000001</v>
      </c>
      <c r="N3856" s="611">
        <v>8048.7899999999991</v>
      </c>
      <c r="O3856" s="611">
        <v>0</v>
      </c>
      <c r="AL3856" s="611">
        <v>17716.28428</v>
      </c>
    </row>
    <row r="3857" spans="1:38" ht="15">
      <c r="A3857" s="611">
        <v>12</v>
      </c>
      <c r="B3857" s="611" t="s">
        <v>1549</v>
      </c>
      <c r="C3857" s="611" t="s">
        <v>1267</v>
      </c>
      <c r="D3857" s="611">
        <v>348027.44999999995</v>
      </c>
      <c r="E3857" s="611">
        <v>104558.24999999999</v>
      </c>
      <c r="F3857" s="611">
        <v>243469.2</v>
      </c>
      <c r="G3857" s="611">
        <v>8472</v>
      </c>
      <c r="H3857" s="611">
        <v>356978.19609400007</v>
      </c>
      <c r="I3857" s="611">
        <v>13</v>
      </c>
      <c r="J3857" s="611">
        <v>8950.7460740000006</v>
      </c>
      <c r="K3857" s="611">
        <v>8459</v>
      </c>
      <c r="L3857" s="611">
        <v>348027.45001999999</v>
      </c>
      <c r="M3857" s="611">
        <v>348027.45001999999</v>
      </c>
      <c r="N3857" s="611">
        <v>104558.24999999999</v>
      </c>
      <c r="O3857" s="611">
        <v>0</v>
      </c>
      <c r="P3857" s="611">
        <v>243469.20001999999</v>
      </c>
    </row>
    <row r="3858" spans="1:38" ht="15">
      <c r="A3858" s="611"/>
      <c r="B3858" s="611"/>
      <c r="C3858" s="611" t="s">
        <v>1197</v>
      </c>
      <c r="D3858" s="611">
        <v>279401.26507999998</v>
      </c>
      <c r="E3858" s="611">
        <v>83970.599999999991</v>
      </c>
      <c r="F3858" s="611">
        <v>195430.66508000001</v>
      </c>
      <c r="G3858" s="611">
        <v>4015</v>
      </c>
      <c r="H3858" s="611">
        <v>287806.83012000006</v>
      </c>
      <c r="I3858" s="611">
        <v>5</v>
      </c>
      <c r="J3858" s="611">
        <v>8405.56502</v>
      </c>
      <c r="K3858" s="611">
        <v>4010</v>
      </c>
      <c r="L3858" s="611">
        <v>279401.26510000002</v>
      </c>
      <c r="M3858" s="611">
        <v>279401.26510000002</v>
      </c>
      <c r="N3858" s="611">
        <v>83970.599999999991</v>
      </c>
      <c r="O3858" s="611">
        <v>0</v>
      </c>
    </row>
    <row r="3859" spans="1:38" ht="15">
      <c r="A3859" s="611"/>
      <c r="B3859" s="611"/>
      <c r="C3859" s="611" t="s">
        <v>1198</v>
      </c>
      <c r="D3859" s="611">
        <v>0</v>
      </c>
      <c r="E3859" s="611">
        <v>0</v>
      </c>
      <c r="F3859" s="611">
        <v>0</v>
      </c>
      <c r="G3859" s="611">
        <v>0</v>
      </c>
      <c r="H3859" s="611">
        <v>0</v>
      </c>
      <c r="I3859" s="611">
        <v>0</v>
      </c>
      <c r="J3859" s="611">
        <v>0</v>
      </c>
      <c r="K3859" s="611">
        <v>0</v>
      </c>
      <c r="L3859" s="611">
        <v>0</v>
      </c>
      <c r="M3859" s="611">
        <v>0</v>
      </c>
      <c r="N3859" s="611">
        <v>0</v>
      </c>
      <c r="O3859" s="611">
        <v>0</v>
      </c>
      <c r="P3859" s="611">
        <v>0</v>
      </c>
    </row>
    <row r="3860" spans="1:38" ht="15">
      <c r="A3860" s="611"/>
      <c r="B3860" s="611"/>
      <c r="C3860" s="611" t="s">
        <v>1199</v>
      </c>
      <c r="D3860" s="611">
        <v>68626.18492</v>
      </c>
      <c r="E3860" s="611">
        <v>20587.649999999998</v>
      </c>
      <c r="F3860" s="611">
        <v>48038.534920000006</v>
      </c>
      <c r="G3860" s="611">
        <v>4457</v>
      </c>
      <c r="H3860" s="611">
        <v>69171.365974</v>
      </c>
      <c r="I3860" s="611">
        <v>8</v>
      </c>
      <c r="J3860" s="611">
        <v>545.18105400000104</v>
      </c>
      <c r="K3860" s="611">
        <v>4449</v>
      </c>
      <c r="L3860" s="611">
        <v>68626.18492</v>
      </c>
      <c r="M3860" s="611">
        <v>68626.18492</v>
      </c>
      <c r="N3860" s="611">
        <v>20587.649999999998</v>
      </c>
      <c r="O3860" s="611">
        <v>0</v>
      </c>
      <c r="AL3860" s="611">
        <v>48038.534920000006</v>
      </c>
    </row>
    <row r="3861" spans="1:38" ht="15">
      <c r="A3861" s="611">
        <v>13</v>
      </c>
      <c r="B3861" s="611" t="s">
        <v>1550</v>
      </c>
      <c r="C3861" s="611" t="s">
        <v>1267</v>
      </c>
      <c r="D3861" s="611">
        <v>106749.20644000001</v>
      </c>
      <c r="E3861" s="611">
        <v>32041.739999999998</v>
      </c>
      <c r="F3861" s="611">
        <v>74707.466440000004</v>
      </c>
      <c r="G3861" s="611">
        <v>3606</v>
      </c>
      <c r="H3861" s="611">
        <v>109058.73383</v>
      </c>
      <c r="I3861" s="611">
        <v>4</v>
      </c>
      <c r="J3861" s="611">
        <v>2309.5273999999986</v>
      </c>
      <c r="K3861" s="611">
        <v>3602</v>
      </c>
      <c r="L3861" s="611">
        <v>106749.20643000001</v>
      </c>
      <c r="M3861" s="611">
        <v>106749.20643000001</v>
      </c>
      <c r="N3861" s="611">
        <v>32041.739999999998</v>
      </c>
      <c r="O3861" s="611">
        <v>0</v>
      </c>
      <c r="P3861" s="611">
        <v>74707.466430000015</v>
      </c>
    </row>
    <row r="3862" spans="1:38" ht="15">
      <c r="A3862" s="611"/>
      <c r="B3862" s="611"/>
      <c r="C3862" s="611" t="s">
        <v>1197</v>
      </c>
      <c r="D3862" s="611">
        <v>71788.96474000001</v>
      </c>
      <c r="E3862" s="611">
        <v>19348.41</v>
      </c>
      <c r="F3862" s="611">
        <v>52440.554740000007</v>
      </c>
      <c r="G3862" s="611">
        <v>1175</v>
      </c>
      <c r="H3862" s="611">
        <v>73770.704799999992</v>
      </c>
      <c r="I3862" s="611">
        <v>2</v>
      </c>
      <c r="J3862" s="611">
        <v>1981.74008</v>
      </c>
      <c r="K3862" s="611">
        <v>1173</v>
      </c>
      <c r="L3862" s="611">
        <v>71788.964720000004</v>
      </c>
      <c r="M3862" s="611">
        <v>71788.964720000004</v>
      </c>
      <c r="N3862" s="611">
        <v>19348.41</v>
      </c>
      <c r="O3862" s="611">
        <v>0</v>
      </c>
    </row>
    <row r="3863" spans="1:38" ht="15">
      <c r="A3863" s="611"/>
      <c r="B3863" s="611"/>
      <c r="C3863" s="611" t="s">
        <v>1198</v>
      </c>
      <c r="D3863" s="611">
        <v>0</v>
      </c>
      <c r="E3863" s="611">
        <v>0</v>
      </c>
      <c r="F3863" s="611">
        <v>0</v>
      </c>
      <c r="G3863" s="611">
        <v>0</v>
      </c>
      <c r="H3863" s="611">
        <v>0</v>
      </c>
      <c r="I3863" s="611">
        <v>0</v>
      </c>
      <c r="J3863" s="611">
        <v>0</v>
      </c>
      <c r="K3863" s="611">
        <v>0</v>
      </c>
      <c r="L3863" s="611">
        <v>0</v>
      </c>
      <c r="M3863" s="611">
        <v>0</v>
      </c>
      <c r="N3863" s="611">
        <v>0</v>
      </c>
      <c r="O3863" s="611">
        <v>0</v>
      </c>
      <c r="P3863" s="611">
        <v>0</v>
      </c>
    </row>
    <row r="3864" spans="1:38" ht="15">
      <c r="A3864" s="611"/>
      <c r="B3864" s="611"/>
      <c r="C3864" s="611" t="s">
        <v>1199</v>
      </c>
      <c r="D3864" s="611">
        <v>34960.241699999999</v>
      </c>
      <c r="E3864" s="611">
        <v>12693.33</v>
      </c>
      <c r="F3864" s="611">
        <v>22266.911699999997</v>
      </c>
      <c r="G3864" s="611">
        <v>2431</v>
      </c>
      <c r="H3864" s="611">
        <v>35288.029030000005</v>
      </c>
      <c r="I3864" s="611">
        <v>2</v>
      </c>
      <c r="J3864" s="611">
        <v>327.78731999999854</v>
      </c>
      <c r="K3864" s="611">
        <v>2429</v>
      </c>
      <c r="L3864" s="611">
        <v>34960.241710000002</v>
      </c>
      <c r="M3864" s="611">
        <v>34960.241710000002</v>
      </c>
      <c r="N3864" s="611">
        <v>12693.33</v>
      </c>
      <c r="O3864" s="611">
        <v>0</v>
      </c>
      <c r="AL3864" s="611">
        <v>22266.911710000004</v>
      </c>
    </row>
    <row r="3865" spans="1:38" ht="15">
      <c r="A3865" s="611">
        <v>14</v>
      </c>
      <c r="B3865" s="611" t="s">
        <v>1551</v>
      </c>
      <c r="C3865" s="611" t="s">
        <v>1267</v>
      </c>
      <c r="D3865" s="611">
        <v>110399.33098</v>
      </c>
      <c r="E3865" s="611">
        <v>33122.549999999996</v>
      </c>
      <c r="F3865" s="611">
        <v>77276.780979999996</v>
      </c>
      <c r="G3865" s="611">
        <v>3695</v>
      </c>
      <c r="H3865" s="611">
        <v>112588.78417999999</v>
      </c>
      <c r="I3865" s="611">
        <v>5</v>
      </c>
      <c r="J3865" s="611">
        <v>2189.4532200000031</v>
      </c>
      <c r="K3865" s="611">
        <v>3690</v>
      </c>
      <c r="L3865" s="611">
        <v>110399.33095999999</v>
      </c>
      <c r="M3865" s="611">
        <v>110399.33095999999</v>
      </c>
      <c r="N3865" s="611">
        <v>33122.549999999996</v>
      </c>
      <c r="O3865" s="611">
        <v>0</v>
      </c>
      <c r="P3865" s="611">
        <v>77276.780960000018</v>
      </c>
    </row>
    <row r="3866" spans="1:38" ht="15">
      <c r="A3866" s="611"/>
      <c r="B3866" s="611"/>
      <c r="C3866" s="611" t="s">
        <v>1197</v>
      </c>
      <c r="D3866" s="611">
        <v>74116.135169999994</v>
      </c>
      <c r="E3866" s="611">
        <v>22245.269999999997</v>
      </c>
      <c r="F3866" s="611">
        <v>51870.865169999997</v>
      </c>
      <c r="G3866" s="611">
        <v>1143</v>
      </c>
      <c r="H3866" s="611">
        <v>75951.578809999992</v>
      </c>
      <c r="I3866" s="611">
        <v>2</v>
      </c>
      <c r="J3866" s="611">
        <v>1835.4436600000024</v>
      </c>
      <c r="K3866" s="611">
        <v>1141</v>
      </c>
      <c r="L3866" s="611">
        <v>74116.135149999987</v>
      </c>
      <c r="M3866" s="611">
        <v>74116.135149999987</v>
      </c>
      <c r="N3866" s="611">
        <v>22245.269999999997</v>
      </c>
      <c r="O3866" s="611">
        <v>0</v>
      </c>
    </row>
    <row r="3867" spans="1:38" ht="15">
      <c r="A3867" s="611"/>
      <c r="B3867" s="611"/>
      <c r="C3867" s="611" t="s">
        <v>1198</v>
      </c>
      <c r="D3867" s="611">
        <v>0</v>
      </c>
      <c r="E3867" s="611">
        <v>0</v>
      </c>
      <c r="F3867" s="611">
        <v>0</v>
      </c>
      <c r="G3867" s="611">
        <v>0</v>
      </c>
      <c r="H3867" s="611">
        <v>0</v>
      </c>
      <c r="I3867" s="611">
        <v>0</v>
      </c>
      <c r="J3867" s="611">
        <v>0</v>
      </c>
      <c r="K3867" s="611">
        <v>0</v>
      </c>
      <c r="L3867" s="611">
        <v>0</v>
      </c>
      <c r="M3867" s="611">
        <v>0</v>
      </c>
      <c r="N3867" s="611">
        <v>0</v>
      </c>
      <c r="O3867" s="611">
        <v>0</v>
      </c>
      <c r="P3867" s="611">
        <v>0</v>
      </c>
    </row>
    <row r="3868" spans="1:38" ht="15">
      <c r="A3868" s="611"/>
      <c r="B3868" s="611"/>
      <c r="C3868" s="611" t="s">
        <v>1199</v>
      </c>
      <c r="D3868" s="611">
        <v>36283.195809999997</v>
      </c>
      <c r="E3868" s="611">
        <v>10877.279999999999</v>
      </c>
      <c r="F3868" s="611">
        <v>25405.915809999999</v>
      </c>
      <c r="G3868" s="611">
        <v>2552</v>
      </c>
      <c r="H3868" s="611">
        <v>36637.205369999996</v>
      </c>
      <c r="I3868" s="611">
        <v>3</v>
      </c>
      <c r="J3868" s="611">
        <v>354.00956000000065</v>
      </c>
      <c r="K3868" s="611">
        <v>2549</v>
      </c>
      <c r="L3868" s="611">
        <v>36283.195809999997</v>
      </c>
      <c r="M3868" s="611">
        <v>36283.195809999997</v>
      </c>
      <c r="N3868" s="611">
        <v>10877.279999999999</v>
      </c>
      <c r="O3868" s="611">
        <v>0</v>
      </c>
      <c r="AL3868" s="611">
        <v>25405.915810000002</v>
      </c>
    </row>
    <row r="3869" spans="1:38" ht="15">
      <c r="A3869" s="611">
        <v>15</v>
      </c>
      <c r="B3869" s="611" t="s">
        <v>1552</v>
      </c>
      <c r="C3869" s="611" t="s">
        <v>1267</v>
      </c>
      <c r="D3869" s="611">
        <v>141418.40432999999</v>
      </c>
      <c r="E3869" s="611">
        <v>42426.99</v>
      </c>
      <c r="F3869" s="611">
        <v>98991.41433</v>
      </c>
      <c r="G3869" s="611">
        <v>3614</v>
      </c>
      <c r="H3869" s="611">
        <v>147065.77898</v>
      </c>
      <c r="I3869" s="611">
        <v>37</v>
      </c>
      <c r="J3869" s="611">
        <v>5647.3746099999989</v>
      </c>
      <c r="K3869" s="611">
        <v>3577</v>
      </c>
      <c r="L3869" s="611">
        <v>141418.40437</v>
      </c>
      <c r="M3869" s="611">
        <v>141418.40437</v>
      </c>
      <c r="N3869" s="611">
        <v>42426.99</v>
      </c>
      <c r="O3869" s="611">
        <v>0</v>
      </c>
      <c r="P3869" s="611">
        <v>98991.414369999999</v>
      </c>
    </row>
    <row r="3870" spans="1:38" ht="15">
      <c r="A3870" s="611"/>
      <c r="B3870" s="611"/>
      <c r="C3870" s="611" t="s">
        <v>1197</v>
      </c>
      <c r="D3870" s="611">
        <v>108046.74513</v>
      </c>
      <c r="E3870" s="611">
        <v>32447.759999999998</v>
      </c>
      <c r="F3870" s="611">
        <v>75598.985130000001</v>
      </c>
      <c r="G3870" s="611">
        <v>1521</v>
      </c>
      <c r="H3870" s="611">
        <v>112958.74941999999</v>
      </c>
      <c r="I3870" s="611">
        <v>2</v>
      </c>
      <c r="J3870" s="611">
        <v>4912.0042499999981</v>
      </c>
      <c r="K3870" s="611">
        <v>1519</v>
      </c>
      <c r="L3870" s="611">
        <v>108046.74516999999</v>
      </c>
      <c r="M3870" s="611">
        <v>108046.74516999999</v>
      </c>
      <c r="N3870" s="611">
        <v>32447.759999999998</v>
      </c>
      <c r="O3870" s="611">
        <v>0</v>
      </c>
    </row>
    <row r="3871" spans="1:38" ht="15">
      <c r="A3871" s="611"/>
      <c r="B3871" s="611"/>
      <c r="C3871" s="611" t="s">
        <v>1198</v>
      </c>
      <c r="D3871" s="611">
        <v>0</v>
      </c>
      <c r="E3871" s="611">
        <v>0</v>
      </c>
      <c r="F3871" s="611">
        <v>0</v>
      </c>
      <c r="G3871" s="611">
        <v>0</v>
      </c>
      <c r="H3871" s="611">
        <v>0</v>
      </c>
      <c r="I3871" s="611">
        <v>0</v>
      </c>
      <c r="J3871" s="611">
        <v>0</v>
      </c>
      <c r="K3871" s="611">
        <v>0</v>
      </c>
      <c r="L3871" s="611">
        <v>0</v>
      </c>
      <c r="M3871" s="611">
        <v>0</v>
      </c>
      <c r="N3871" s="611">
        <v>0</v>
      </c>
      <c r="O3871" s="611">
        <v>0</v>
      </c>
      <c r="P3871" s="611">
        <v>0</v>
      </c>
    </row>
    <row r="3872" spans="1:38" ht="15">
      <c r="A3872" s="611"/>
      <c r="B3872" s="611"/>
      <c r="C3872" s="611" t="s">
        <v>1199</v>
      </c>
      <c r="D3872" s="611">
        <v>33371.659200000002</v>
      </c>
      <c r="E3872" s="611">
        <v>9979.23</v>
      </c>
      <c r="F3872" s="611">
        <v>23392.429200000002</v>
      </c>
      <c r="G3872" s="611">
        <v>2093</v>
      </c>
      <c r="H3872" s="611">
        <v>34107.029560000003</v>
      </c>
      <c r="I3872" s="611">
        <v>35</v>
      </c>
      <c r="J3872" s="611">
        <v>735.37036000000035</v>
      </c>
      <c r="K3872" s="611">
        <v>2058</v>
      </c>
      <c r="L3872" s="611">
        <v>33371.659200000009</v>
      </c>
      <c r="M3872" s="611">
        <v>33371.659200000009</v>
      </c>
      <c r="N3872" s="611">
        <v>9979.23</v>
      </c>
      <c r="O3872" s="611">
        <v>0</v>
      </c>
      <c r="AL3872" s="611">
        <v>23392.429199999999</v>
      </c>
    </row>
    <row r="3873" spans="1:38" ht="15">
      <c r="A3873" s="611">
        <v>16</v>
      </c>
      <c r="B3873" s="611" t="s">
        <v>1553</v>
      </c>
      <c r="C3873" s="611" t="s">
        <v>1267</v>
      </c>
      <c r="D3873" s="611">
        <v>165272.80346999998</v>
      </c>
      <c r="E3873" s="611">
        <v>49583.49</v>
      </c>
      <c r="F3873" s="611">
        <v>115689.31346999999</v>
      </c>
      <c r="G3873" s="611">
        <v>4773</v>
      </c>
      <c r="H3873" s="611">
        <v>171033.17708999998</v>
      </c>
      <c r="I3873" s="611">
        <v>6</v>
      </c>
      <c r="J3873" s="611">
        <v>5760.3736199999985</v>
      </c>
      <c r="K3873" s="611">
        <v>4767</v>
      </c>
      <c r="L3873" s="611">
        <v>165272.80346999998</v>
      </c>
      <c r="M3873" s="611">
        <v>165272.80346999998</v>
      </c>
      <c r="N3873" s="611">
        <v>49583.49</v>
      </c>
      <c r="O3873" s="611">
        <v>0</v>
      </c>
      <c r="P3873" s="611">
        <v>115689.31347000002</v>
      </c>
    </row>
    <row r="3874" spans="1:38" ht="15">
      <c r="A3874" s="611"/>
      <c r="B3874" s="611"/>
      <c r="C3874" s="611" t="s">
        <v>1197</v>
      </c>
      <c r="D3874" s="611">
        <v>117788.12986999999</v>
      </c>
      <c r="E3874" s="611">
        <v>37551.21</v>
      </c>
      <c r="F3874" s="611">
        <v>80236.919869999983</v>
      </c>
      <c r="G3874" s="611">
        <v>1746</v>
      </c>
      <c r="H3874" s="611">
        <v>123245.08609999999</v>
      </c>
      <c r="I3874" s="611">
        <v>2</v>
      </c>
      <c r="J3874" s="611">
        <v>5456.956229999998</v>
      </c>
      <c r="K3874" s="611">
        <v>1744</v>
      </c>
      <c r="L3874" s="611">
        <v>117788.12986999999</v>
      </c>
      <c r="M3874" s="611">
        <v>117788.12986999999</v>
      </c>
      <c r="N3874" s="611">
        <v>37551.21</v>
      </c>
      <c r="O3874" s="611">
        <v>0</v>
      </c>
    </row>
    <row r="3875" spans="1:38" ht="15">
      <c r="A3875" s="611"/>
      <c r="B3875" s="611"/>
      <c r="C3875" s="611" t="s">
        <v>1198</v>
      </c>
      <c r="D3875" s="611">
        <v>0</v>
      </c>
      <c r="E3875" s="611">
        <v>0</v>
      </c>
      <c r="F3875" s="611">
        <v>0</v>
      </c>
      <c r="G3875" s="611">
        <v>0</v>
      </c>
      <c r="H3875" s="611">
        <v>0</v>
      </c>
      <c r="I3875" s="611">
        <v>0</v>
      </c>
      <c r="J3875" s="611">
        <v>0</v>
      </c>
      <c r="K3875" s="611">
        <v>0</v>
      </c>
      <c r="L3875" s="611">
        <v>0</v>
      </c>
      <c r="M3875" s="611">
        <v>0</v>
      </c>
      <c r="N3875" s="611">
        <v>0</v>
      </c>
      <c r="O3875" s="611">
        <v>0</v>
      </c>
      <c r="P3875" s="611">
        <v>0</v>
      </c>
    </row>
    <row r="3876" spans="1:38" ht="15">
      <c r="A3876" s="611"/>
      <c r="B3876" s="611"/>
      <c r="C3876" s="611" t="s">
        <v>1199</v>
      </c>
      <c r="D3876" s="611">
        <v>47484.673600000002</v>
      </c>
      <c r="E3876" s="611">
        <v>12032.279999999999</v>
      </c>
      <c r="F3876" s="611">
        <v>35452.393600000003</v>
      </c>
      <c r="G3876" s="611">
        <v>3027</v>
      </c>
      <c r="H3876" s="611">
        <v>47788.090989999997</v>
      </c>
      <c r="I3876" s="611">
        <v>4</v>
      </c>
      <c r="J3876" s="611">
        <v>303.41739000000075</v>
      </c>
      <c r="K3876" s="611">
        <v>3023</v>
      </c>
      <c r="L3876" s="611">
        <v>47484.673600000002</v>
      </c>
      <c r="M3876" s="611">
        <v>47484.673600000002</v>
      </c>
      <c r="N3876" s="611">
        <v>12032.279999999999</v>
      </c>
      <c r="O3876" s="611">
        <v>0</v>
      </c>
      <c r="AL3876" s="611">
        <v>35452.39360000001</v>
      </c>
    </row>
    <row r="3877" spans="1:38" ht="15">
      <c r="A3877" s="611">
        <v>17</v>
      </c>
      <c r="B3877" s="611" t="s">
        <v>1554</v>
      </c>
      <c r="C3877" s="611" t="s">
        <v>1267</v>
      </c>
      <c r="D3877" s="611">
        <v>154274.26413000003</v>
      </c>
      <c r="E3877" s="611">
        <v>46289.7</v>
      </c>
      <c r="F3877" s="611">
        <v>107984.56413000001</v>
      </c>
      <c r="G3877" s="611">
        <v>4594</v>
      </c>
      <c r="H3877" s="611">
        <v>157502.20682999998</v>
      </c>
      <c r="I3877" s="611">
        <v>5</v>
      </c>
      <c r="J3877" s="611">
        <v>3227.9426800000028</v>
      </c>
      <c r="K3877" s="611">
        <v>4589</v>
      </c>
      <c r="L3877" s="611">
        <v>154274.26415</v>
      </c>
      <c r="M3877" s="611">
        <v>154274.26415</v>
      </c>
      <c r="N3877" s="611">
        <v>46289.7</v>
      </c>
      <c r="O3877" s="611">
        <v>0</v>
      </c>
      <c r="P3877" s="611">
        <v>107984.56415000002</v>
      </c>
    </row>
    <row r="3878" spans="1:38" ht="15">
      <c r="A3878" s="611"/>
      <c r="B3878" s="611"/>
      <c r="C3878" s="611" t="s">
        <v>1197</v>
      </c>
      <c r="D3878" s="611">
        <v>108001.69474000001</v>
      </c>
      <c r="E3878" s="611">
        <v>31478.43</v>
      </c>
      <c r="F3878" s="611">
        <v>76523.264740000013</v>
      </c>
      <c r="G3878" s="611">
        <v>1707</v>
      </c>
      <c r="H3878" s="611">
        <v>110677.40787</v>
      </c>
      <c r="I3878" s="611">
        <v>2</v>
      </c>
      <c r="J3878" s="611">
        <v>2675.7131100000033</v>
      </c>
      <c r="K3878" s="611">
        <v>1705</v>
      </c>
      <c r="L3878" s="611">
        <v>108001.69476000001</v>
      </c>
      <c r="M3878" s="611">
        <v>108001.69476000001</v>
      </c>
      <c r="N3878" s="611">
        <v>31478.43</v>
      </c>
      <c r="O3878" s="611">
        <v>0</v>
      </c>
    </row>
    <row r="3879" spans="1:38" ht="15">
      <c r="A3879" s="611"/>
      <c r="B3879" s="611"/>
      <c r="C3879" s="611" t="s">
        <v>1198</v>
      </c>
      <c r="D3879" s="611">
        <v>0</v>
      </c>
      <c r="E3879" s="611">
        <v>0</v>
      </c>
      <c r="F3879" s="611">
        <v>0</v>
      </c>
      <c r="G3879" s="611">
        <v>0</v>
      </c>
      <c r="H3879" s="611">
        <v>0</v>
      </c>
      <c r="I3879" s="611">
        <v>0</v>
      </c>
      <c r="J3879" s="611">
        <v>0</v>
      </c>
      <c r="K3879" s="611">
        <v>0</v>
      </c>
      <c r="L3879" s="611">
        <v>0</v>
      </c>
      <c r="M3879" s="611">
        <v>0</v>
      </c>
      <c r="N3879" s="611">
        <v>0</v>
      </c>
      <c r="O3879" s="611">
        <v>0</v>
      </c>
      <c r="P3879" s="611">
        <v>0</v>
      </c>
    </row>
    <row r="3880" spans="1:38" ht="15">
      <c r="A3880" s="611"/>
      <c r="B3880" s="611"/>
      <c r="C3880" s="611" t="s">
        <v>1199</v>
      </c>
      <c r="D3880" s="611">
        <v>46272.569390000004</v>
      </c>
      <c r="E3880" s="611">
        <v>14811.27</v>
      </c>
      <c r="F3880" s="611">
        <v>31461.299390000004</v>
      </c>
      <c r="G3880" s="611">
        <v>2887</v>
      </c>
      <c r="H3880" s="611">
        <v>46824.79896</v>
      </c>
      <c r="I3880" s="611">
        <v>3</v>
      </c>
      <c r="J3880" s="611">
        <v>552.22956999999951</v>
      </c>
      <c r="K3880" s="611">
        <v>2884</v>
      </c>
      <c r="L3880" s="611">
        <v>46272.569390000004</v>
      </c>
      <c r="M3880" s="611">
        <v>46272.569390000004</v>
      </c>
      <c r="N3880" s="611">
        <v>14811.27</v>
      </c>
      <c r="O3880" s="611">
        <v>0</v>
      </c>
      <c r="AL3880" s="611">
        <v>31461.299390000007</v>
      </c>
    </row>
    <row r="3881" spans="1:38" ht="15">
      <c r="A3881" s="611">
        <v>18</v>
      </c>
      <c r="B3881" s="611" t="s">
        <v>1555</v>
      </c>
      <c r="C3881" s="611" t="s">
        <v>1267</v>
      </c>
      <c r="D3881" s="611">
        <v>90244.341270000004</v>
      </c>
      <c r="E3881" s="611">
        <v>27084.9</v>
      </c>
      <c r="F3881" s="611">
        <v>63159.441269999996</v>
      </c>
      <c r="G3881" s="611">
        <v>2662</v>
      </c>
      <c r="H3881" s="611">
        <v>92452.694560000004</v>
      </c>
      <c r="I3881" s="611">
        <v>7</v>
      </c>
      <c r="J3881" s="611">
        <v>2208.3532700000014</v>
      </c>
      <c r="K3881" s="611">
        <v>2655</v>
      </c>
      <c r="L3881" s="611">
        <v>90244.341289999997</v>
      </c>
      <c r="M3881" s="611">
        <v>90244.341289999997</v>
      </c>
      <c r="N3881" s="611">
        <v>27084.9</v>
      </c>
      <c r="O3881" s="611">
        <v>0</v>
      </c>
      <c r="P3881" s="611">
        <v>63159.441289999988</v>
      </c>
    </row>
    <row r="3882" spans="1:38" ht="15">
      <c r="A3882" s="611"/>
      <c r="B3882" s="611"/>
      <c r="C3882" s="611" t="s">
        <v>1197</v>
      </c>
      <c r="D3882" s="611">
        <v>68357.244179999994</v>
      </c>
      <c r="E3882" s="611">
        <v>19714.740000000002</v>
      </c>
      <c r="F3882" s="611">
        <v>48642.504179999989</v>
      </c>
      <c r="G3882" s="611">
        <v>1065</v>
      </c>
      <c r="H3882" s="611">
        <v>70239.114020000008</v>
      </c>
      <c r="I3882" s="611">
        <v>1</v>
      </c>
      <c r="J3882" s="611">
        <v>1881.8698200000008</v>
      </c>
      <c r="K3882" s="611">
        <v>1064</v>
      </c>
      <c r="L3882" s="611">
        <v>68357.244200000001</v>
      </c>
      <c r="M3882" s="611">
        <v>68357.244200000001</v>
      </c>
      <c r="N3882" s="611">
        <v>19714.740000000002</v>
      </c>
      <c r="O3882" s="611">
        <v>0</v>
      </c>
    </row>
    <row r="3883" spans="1:38" ht="15">
      <c r="A3883" s="611"/>
      <c r="B3883" s="611"/>
      <c r="C3883" s="611" t="s">
        <v>1198</v>
      </c>
      <c r="D3883" s="611">
        <v>0</v>
      </c>
      <c r="E3883" s="611">
        <v>0</v>
      </c>
      <c r="F3883" s="611">
        <v>0</v>
      </c>
      <c r="G3883" s="611">
        <v>0</v>
      </c>
      <c r="H3883" s="611">
        <v>0</v>
      </c>
      <c r="I3883" s="611">
        <v>0</v>
      </c>
      <c r="J3883" s="611">
        <v>0</v>
      </c>
      <c r="K3883" s="611">
        <v>0</v>
      </c>
      <c r="L3883" s="611">
        <v>0</v>
      </c>
      <c r="M3883" s="611">
        <v>0</v>
      </c>
      <c r="N3883" s="611">
        <v>0</v>
      </c>
      <c r="O3883" s="611">
        <v>0</v>
      </c>
      <c r="P3883" s="611">
        <v>0</v>
      </c>
    </row>
    <row r="3884" spans="1:38" ht="15">
      <c r="A3884" s="611"/>
      <c r="B3884" s="611"/>
      <c r="C3884" s="611" t="s">
        <v>1199</v>
      </c>
      <c r="D3884" s="611">
        <v>21887.097090000003</v>
      </c>
      <c r="E3884" s="611">
        <v>7370.16</v>
      </c>
      <c r="F3884" s="611">
        <v>14516.937090000003</v>
      </c>
      <c r="G3884" s="611">
        <v>1597</v>
      </c>
      <c r="H3884" s="611">
        <v>22213.580539999999</v>
      </c>
      <c r="I3884" s="611">
        <v>6</v>
      </c>
      <c r="J3884" s="611">
        <v>326.48345000000063</v>
      </c>
      <c r="K3884" s="611">
        <v>1591</v>
      </c>
      <c r="L3884" s="611">
        <v>21887.097089999996</v>
      </c>
      <c r="M3884" s="611">
        <v>21887.097089999996</v>
      </c>
      <c r="N3884" s="611">
        <v>7370.16</v>
      </c>
      <c r="O3884" s="611">
        <v>0</v>
      </c>
      <c r="AL3884" s="611">
        <v>14516.937089999998</v>
      </c>
    </row>
    <row r="3885" spans="1:38" ht="15">
      <c r="A3885" s="611">
        <v>19</v>
      </c>
      <c r="B3885" s="611" t="s">
        <v>1556</v>
      </c>
      <c r="C3885" s="611" t="s">
        <v>1267</v>
      </c>
      <c r="D3885" s="611">
        <v>109443.47532</v>
      </c>
      <c r="E3885" s="611">
        <v>32836.050000000003</v>
      </c>
      <c r="F3885" s="611">
        <v>76607.425320000009</v>
      </c>
      <c r="G3885" s="611">
        <v>3282</v>
      </c>
      <c r="H3885" s="611">
        <v>111823.70619999999</v>
      </c>
      <c r="I3885" s="611">
        <v>5</v>
      </c>
      <c r="J3885" s="611">
        <v>2380.2308799999987</v>
      </c>
      <c r="K3885" s="611">
        <v>3277</v>
      </c>
      <c r="L3885" s="611">
        <v>109443.47532</v>
      </c>
      <c r="M3885" s="611">
        <v>109443.47532</v>
      </c>
      <c r="N3885" s="611">
        <v>32836.050000000003</v>
      </c>
      <c r="O3885" s="611">
        <v>0</v>
      </c>
      <c r="P3885" s="611">
        <v>76607.425320000009</v>
      </c>
    </row>
    <row r="3886" spans="1:38" ht="15">
      <c r="A3886" s="611"/>
      <c r="B3886" s="611"/>
      <c r="C3886" s="611" t="s">
        <v>1197</v>
      </c>
      <c r="D3886" s="611">
        <v>79278.762390000004</v>
      </c>
      <c r="E3886" s="611">
        <v>23843.34</v>
      </c>
      <c r="F3886" s="611">
        <v>55435.422390000007</v>
      </c>
      <c r="G3886" s="611">
        <v>1236</v>
      </c>
      <c r="H3886" s="611">
        <v>81349.845659999992</v>
      </c>
      <c r="I3886" s="611">
        <v>3</v>
      </c>
      <c r="J3886" s="611">
        <v>2071.0832699999983</v>
      </c>
      <c r="K3886" s="611">
        <v>1233</v>
      </c>
      <c r="L3886" s="611">
        <v>79278.762389999989</v>
      </c>
      <c r="M3886" s="611">
        <v>79278.762389999989</v>
      </c>
      <c r="N3886" s="611">
        <v>23843.34</v>
      </c>
      <c r="O3886" s="611">
        <v>0</v>
      </c>
    </row>
    <row r="3887" spans="1:38" ht="15">
      <c r="A3887" s="611"/>
      <c r="B3887" s="611"/>
      <c r="C3887" s="611" t="s">
        <v>1198</v>
      </c>
      <c r="D3887" s="611">
        <v>0</v>
      </c>
      <c r="E3887" s="611">
        <v>0</v>
      </c>
      <c r="F3887" s="611">
        <v>0</v>
      </c>
      <c r="G3887" s="611">
        <v>0</v>
      </c>
      <c r="H3887" s="611">
        <v>0</v>
      </c>
      <c r="I3887" s="611">
        <v>0</v>
      </c>
      <c r="J3887" s="611">
        <v>0</v>
      </c>
      <c r="K3887" s="611">
        <v>0</v>
      </c>
      <c r="L3887" s="611">
        <v>0</v>
      </c>
      <c r="M3887" s="611">
        <v>0</v>
      </c>
      <c r="N3887" s="611">
        <v>0</v>
      </c>
      <c r="O3887" s="611">
        <v>0</v>
      </c>
      <c r="P3887" s="611">
        <v>0</v>
      </c>
    </row>
    <row r="3888" spans="1:38" ht="15">
      <c r="A3888" s="611"/>
      <c r="B3888" s="611"/>
      <c r="C3888" s="611" t="s">
        <v>1199</v>
      </c>
      <c r="D3888" s="611">
        <v>30164.712930000002</v>
      </c>
      <c r="E3888" s="611">
        <v>8992.7099999999991</v>
      </c>
      <c r="F3888" s="611">
        <v>21172.002930000002</v>
      </c>
      <c r="G3888" s="611">
        <v>2046</v>
      </c>
      <c r="H3888" s="611">
        <v>30473.860539999994</v>
      </c>
      <c r="I3888" s="611">
        <v>2</v>
      </c>
      <c r="J3888" s="611">
        <v>309.14761000000044</v>
      </c>
      <c r="K3888" s="611">
        <v>2044</v>
      </c>
      <c r="L3888" s="611">
        <v>30164.712930000002</v>
      </c>
      <c r="M3888" s="611">
        <v>30164.712930000002</v>
      </c>
      <c r="N3888" s="611">
        <v>8992.7099999999991</v>
      </c>
      <c r="O3888" s="611">
        <v>0</v>
      </c>
      <c r="AL3888" s="611">
        <v>21172.002930000002</v>
      </c>
    </row>
    <row r="3889" spans="1:38" ht="15">
      <c r="A3889" s="611">
        <v>20</v>
      </c>
      <c r="B3889" s="611" t="s">
        <v>1557</v>
      </c>
      <c r="C3889" s="611" t="s">
        <v>1267</v>
      </c>
      <c r="D3889" s="611">
        <v>142168.73092</v>
      </c>
      <c r="E3889" s="611">
        <v>42705.72</v>
      </c>
      <c r="F3889" s="611">
        <v>99463.010920000001</v>
      </c>
      <c r="G3889" s="611">
        <v>3456</v>
      </c>
      <c r="H3889" s="611">
        <v>145277.46279000002</v>
      </c>
      <c r="I3889" s="611">
        <v>5</v>
      </c>
      <c r="J3889" s="611">
        <v>3108.7318800000039</v>
      </c>
      <c r="K3889" s="611">
        <v>3451</v>
      </c>
      <c r="L3889" s="611">
        <v>142168.73091000001</v>
      </c>
      <c r="M3889" s="611">
        <v>142168.73091000001</v>
      </c>
      <c r="N3889" s="611">
        <v>42705.72</v>
      </c>
      <c r="O3889" s="611">
        <v>0</v>
      </c>
      <c r="P3889" s="611">
        <v>99463.010910000012</v>
      </c>
    </row>
    <row r="3890" spans="1:38" ht="15">
      <c r="A3890" s="611"/>
      <c r="B3890" s="611"/>
      <c r="C3890" s="611" t="s">
        <v>1197</v>
      </c>
      <c r="D3890" s="611">
        <v>117324.47142</v>
      </c>
      <c r="E3890" s="611">
        <v>35254.29</v>
      </c>
      <c r="F3890" s="611">
        <v>82070.181420000008</v>
      </c>
      <c r="G3890" s="611">
        <v>1671</v>
      </c>
      <c r="H3890" s="611">
        <v>120050.90670000001</v>
      </c>
      <c r="I3890" s="611">
        <v>2</v>
      </c>
      <c r="J3890" s="611">
        <v>2726.435290000004</v>
      </c>
      <c r="K3890" s="611">
        <v>1669</v>
      </c>
      <c r="L3890" s="611">
        <v>117324.47141000001</v>
      </c>
      <c r="M3890" s="611">
        <v>117324.47141000001</v>
      </c>
      <c r="N3890" s="611">
        <v>35254.29</v>
      </c>
      <c r="O3890" s="611">
        <v>0</v>
      </c>
    </row>
    <row r="3891" spans="1:38" ht="15">
      <c r="A3891" s="611"/>
      <c r="B3891" s="611"/>
      <c r="C3891" s="611" t="s">
        <v>1198</v>
      </c>
      <c r="D3891" s="611">
        <v>0</v>
      </c>
      <c r="E3891" s="611">
        <v>0</v>
      </c>
      <c r="F3891" s="611">
        <v>0</v>
      </c>
      <c r="G3891" s="611">
        <v>0</v>
      </c>
      <c r="H3891" s="611">
        <v>0</v>
      </c>
      <c r="I3891" s="611">
        <v>0</v>
      </c>
      <c r="J3891" s="611">
        <v>0</v>
      </c>
      <c r="K3891" s="611">
        <v>0</v>
      </c>
      <c r="L3891" s="611">
        <v>0</v>
      </c>
      <c r="M3891" s="611">
        <v>0</v>
      </c>
      <c r="N3891" s="611">
        <v>0</v>
      </c>
      <c r="O3891" s="611">
        <v>0</v>
      </c>
      <c r="P3891" s="611">
        <v>0</v>
      </c>
    </row>
    <row r="3892" spans="1:38" ht="15">
      <c r="A3892" s="611"/>
      <c r="B3892" s="611"/>
      <c r="C3892" s="611" t="s">
        <v>1199</v>
      </c>
      <c r="D3892" s="611">
        <v>24844.2595</v>
      </c>
      <c r="E3892" s="611">
        <v>7451.4299999999994</v>
      </c>
      <c r="F3892" s="611">
        <v>17392.8295</v>
      </c>
      <c r="G3892" s="611">
        <v>1785</v>
      </c>
      <c r="H3892" s="611">
        <v>25226.556090000005</v>
      </c>
      <c r="I3892" s="611">
        <v>3</v>
      </c>
      <c r="J3892" s="611">
        <v>382.29659000000015</v>
      </c>
      <c r="K3892" s="611">
        <v>1782</v>
      </c>
      <c r="L3892" s="611">
        <v>24844.2595</v>
      </c>
      <c r="M3892" s="611">
        <v>24844.2595</v>
      </c>
      <c r="N3892" s="611">
        <v>7451.4299999999994</v>
      </c>
      <c r="O3892" s="611">
        <v>0</v>
      </c>
      <c r="AL3892" s="611">
        <v>17392.829500000003</v>
      </c>
    </row>
    <row r="3893" spans="1:38" ht="15">
      <c r="A3893" s="611">
        <v>21</v>
      </c>
      <c r="B3893" s="611" t="s">
        <v>1558</v>
      </c>
      <c r="C3893" s="611" t="s">
        <v>1267</v>
      </c>
      <c r="D3893" s="611">
        <v>114317.86890000002</v>
      </c>
      <c r="E3893" s="611">
        <v>34334.97</v>
      </c>
      <c r="F3893" s="611">
        <v>79982.898900000015</v>
      </c>
      <c r="G3893" s="611">
        <v>3554</v>
      </c>
      <c r="H3893" s="611">
        <v>117126.46687999999</v>
      </c>
      <c r="I3893" s="611">
        <v>3</v>
      </c>
      <c r="J3893" s="611">
        <v>2808.5979700000021</v>
      </c>
      <c r="K3893" s="611">
        <v>3551</v>
      </c>
      <c r="L3893" s="611">
        <v>114317.86891</v>
      </c>
      <c r="M3893" s="611">
        <v>114317.86891</v>
      </c>
      <c r="N3893" s="611">
        <v>34334.97</v>
      </c>
      <c r="O3893" s="611">
        <v>0</v>
      </c>
      <c r="P3893" s="611">
        <v>79982.898910000004</v>
      </c>
    </row>
    <row r="3894" spans="1:38" ht="15">
      <c r="A3894" s="611"/>
      <c r="B3894" s="611"/>
      <c r="C3894" s="611" t="s">
        <v>1197</v>
      </c>
      <c r="D3894" s="611">
        <v>82090.737740000011</v>
      </c>
      <c r="E3894" s="611">
        <v>24646.530000000002</v>
      </c>
      <c r="F3894" s="611">
        <v>57444.207740000013</v>
      </c>
      <c r="G3894" s="611">
        <v>1290</v>
      </c>
      <c r="H3894" s="611">
        <v>84682.67190999999</v>
      </c>
      <c r="I3894" s="611">
        <v>2</v>
      </c>
      <c r="J3894" s="611">
        <v>2591.9341600000025</v>
      </c>
      <c r="K3894" s="611">
        <v>1288</v>
      </c>
      <c r="L3894" s="611">
        <v>82090.73775</v>
      </c>
      <c r="M3894" s="611">
        <v>82090.73775</v>
      </c>
      <c r="N3894" s="611">
        <v>24646.530000000002</v>
      </c>
      <c r="O3894" s="611">
        <v>0</v>
      </c>
    </row>
    <row r="3895" spans="1:38" ht="15">
      <c r="A3895" s="611"/>
      <c r="B3895" s="611"/>
      <c r="C3895" s="611" t="s">
        <v>1198</v>
      </c>
      <c r="D3895" s="611">
        <v>0</v>
      </c>
      <c r="E3895" s="611">
        <v>0</v>
      </c>
      <c r="F3895" s="611">
        <v>0</v>
      </c>
      <c r="G3895" s="611">
        <v>0</v>
      </c>
      <c r="H3895" s="611">
        <v>0</v>
      </c>
      <c r="I3895" s="611">
        <v>0</v>
      </c>
      <c r="J3895" s="611">
        <v>0</v>
      </c>
      <c r="K3895" s="611">
        <v>0</v>
      </c>
      <c r="L3895" s="611">
        <v>0</v>
      </c>
      <c r="M3895" s="611">
        <v>0</v>
      </c>
      <c r="N3895" s="611">
        <v>0</v>
      </c>
      <c r="O3895" s="611">
        <v>0</v>
      </c>
      <c r="P3895" s="611">
        <v>0</v>
      </c>
    </row>
    <row r="3896" spans="1:38" ht="15">
      <c r="A3896" s="611"/>
      <c r="B3896" s="611"/>
      <c r="C3896" s="611" t="s">
        <v>1199</v>
      </c>
      <c r="D3896" s="611">
        <v>32227.131160000001</v>
      </c>
      <c r="E3896" s="611">
        <v>9688.4399999999987</v>
      </c>
      <c r="F3896" s="611">
        <v>22538.691160000002</v>
      </c>
      <c r="G3896" s="611">
        <v>2264</v>
      </c>
      <c r="H3896" s="611">
        <v>32443.794970000006</v>
      </c>
      <c r="I3896" s="611">
        <v>1</v>
      </c>
      <c r="J3896" s="611">
        <v>216.66380999999967</v>
      </c>
      <c r="K3896" s="611">
        <v>2263</v>
      </c>
      <c r="L3896" s="611">
        <v>32227.131160000004</v>
      </c>
      <c r="M3896" s="611">
        <v>32227.131160000004</v>
      </c>
      <c r="N3896" s="611">
        <v>9688.4399999999987</v>
      </c>
      <c r="O3896" s="611">
        <v>0</v>
      </c>
      <c r="AL3896" s="611">
        <v>22538.691160000006</v>
      </c>
    </row>
    <row r="3897" spans="1:38" ht="15">
      <c r="A3897" s="611">
        <v>22</v>
      </c>
      <c r="B3897" s="611" t="s">
        <v>1559</v>
      </c>
      <c r="C3897" s="611" t="s">
        <v>1267</v>
      </c>
      <c r="D3897" s="611">
        <v>96738.395359999995</v>
      </c>
      <c r="E3897" s="611">
        <v>29033.91</v>
      </c>
      <c r="F3897" s="611">
        <v>67704.485360000006</v>
      </c>
      <c r="G3897" s="611">
        <v>2073</v>
      </c>
      <c r="H3897" s="611">
        <v>102461.79671000001</v>
      </c>
      <c r="I3897" s="611">
        <v>2</v>
      </c>
      <c r="J3897" s="611">
        <v>5723.401350000001</v>
      </c>
      <c r="K3897" s="611">
        <v>2071</v>
      </c>
      <c r="L3897" s="611">
        <v>96738.395359999995</v>
      </c>
      <c r="M3897" s="611">
        <v>96738.395359999995</v>
      </c>
      <c r="N3897" s="611">
        <v>29033.91</v>
      </c>
      <c r="O3897" s="611">
        <v>0</v>
      </c>
      <c r="P3897" s="611">
        <v>67704.485360000006</v>
      </c>
    </row>
    <row r="3898" spans="1:38" ht="15">
      <c r="A3898" s="611"/>
      <c r="B3898" s="611"/>
      <c r="C3898" s="611" t="s">
        <v>1197</v>
      </c>
      <c r="D3898" s="611">
        <v>85387.515429999999</v>
      </c>
      <c r="E3898" s="611">
        <v>25643.85</v>
      </c>
      <c r="F3898" s="611">
        <v>59743.665430000001</v>
      </c>
      <c r="G3898" s="611">
        <v>1349</v>
      </c>
      <c r="H3898" s="611">
        <v>91045.288420000012</v>
      </c>
      <c r="I3898" s="611">
        <v>1</v>
      </c>
      <c r="J3898" s="611">
        <v>5657.7729900000013</v>
      </c>
      <c r="K3898" s="611">
        <v>1348</v>
      </c>
      <c r="L3898" s="611">
        <v>85387.515429999999</v>
      </c>
      <c r="M3898" s="611">
        <v>85387.515429999999</v>
      </c>
      <c r="N3898" s="611">
        <v>25643.85</v>
      </c>
      <c r="O3898" s="611">
        <v>0</v>
      </c>
    </row>
    <row r="3899" spans="1:38" ht="15">
      <c r="A3899" s="611"/>
      <c r="B3899" s="611"/>
      <c r="C3899" s="611" t="s">
        <v>1198</v>
      </c>
      <c r="D3899" s="611">
        <v>0</v>
      </c>
      <c r="E3899" s="611">
        <v>0</v>
      </c>
      <c r="F3899" s="611">
        <v>0</v>
      </c>
      <c r="G3899" s="611">
        <v>0</v>
      </c>
      <c r="H3899" s="611">
        <v>0</v>
      </c>
      <c r="I3899" s="611">
        <v>0</v>
      </c>
      <c r="J3899" s="611">
        <v>0</v>
      </c>
      <c r="K3899" s="611">
        <v>0</v>
      </c>
      <c r="L3899" s="611">
        <v>0</v>
      </c>
      <c r="M3899" s="611">
        <v>0</v>
      </c>
      <c r="N3899" s="611">
        <v>0</v>
      </c>
      <c r="O3899" s="611">
        <v>0</v>
      </c>
      <c r="P3899" s="611">
        <v>0</v>
      </c>
    </row>
    <row r="3900" spans="1:38" ht="15">
      <c r="A3900" s="611"/>
      <c r="B3900" s="611"/>
      <c r="C3900" s="611" t="s">
        <v>1199</v>
      </c>
      <c r="D3900" s="611">
        <v>11350.879930000001</v>
      </c>
      <c r="E3900" s="611">
        <v>3390.06</v>
      </c>
      <c r="F3900" s="611">
        <v>7960.8199300000015</v>
      </c>
      <c r="G3900" s="611">
        <v>724</v>
      </c>
      <c r="H3900" s="611">
        <v>11416.50829</v>
      </c>
      <c r="I3900" s="611">
        <v>1</v>
      </c>
      <c r="J3900" s="611">
        <v>65.62835999999993</v>
      </c>
      <c r="K3900" s="611">
        <v>723</v>
      </c>
      <c r="L3900" s="611">
        <v>11350.879929999999</v>
      </c>
      <c r="M3900" s="611">
        <v>11350.879929999999</v>
      </c>
      <c r="N3900" s="611">
        <v>3390.06</v>
      </c>
      <c r="O3900" s="611">
        <v>0</v>
      </c>
      <c r="AL3900" s="611">
        <v>7960.8199299999997</v>
      </c>
    </row>
    <row r="3901" spans="1:38" ht="15">
      <c r="A3901" s="611">
        <v>23</v>
      </c>
      <c r="B3901" s="611" t="s">
        <v>1560</v>
      </c>
      <c r="C3901" s="611" t="s">
        <v>1267</v>
      </c>
      <c r="D3901" s="611">
        <v>81880.054779999991</v>
      </c>
      <c r="E3901" s="611">
        <v>24574.71</v>
      </c>
      <c r="F3901" s="611">
        <v>57305.344779999999</v>
      </c>
      <c r="G3901" s="611">
        <v>2238</v>
      </c>
      <c r="H3901" s="611">
        <v>84326.306500000006</v>
      </c>
      <c r="I3901" s="611">
        <v>8</v>
      </c>
      <c r="J3901" s="611">
        <v>2446.2517200000002</v>
      </c>
      <c r="K3901" s="611">
        <v>2230</v>
      </c>
      <c r="L3901" s="611">
        <v>81880.054780000006</v>
      </c>
      <c r="M3901" s="611">
        <v>81880.054780000006</v>
      </c>
      <c r="N3901" s="611">
        <v>24574.71</v>
      </c>
      <c r="O3901" s="611">
        <v>0</v>
      </c>
      <c r="P3901" s="611">
        <v>57305.344779999999</v>
      </c>
    </row>
    <row r="3902" spans="1:38" ht="15">
      <c r="A3902" s="611"/>
      <c r="B3902" s="611"/>
      <c r="C3902" s="611" t="s">
        <v>1197</v>
      </c>
      <c r="D3902" s="611">
        <v>64042.124279999996</v>
      </c>
      <c r="E3902" s="611">
        <v>19535.16</v>
      </c>
      <c r="F3902" s="611">
        <v>44506.96428</v>
      </c>
      <c r="G3902" s="611">
        <v>1053</v>
      </c>
      <c r="H3902" s="611">
        <v>66308.565459999998</v>
      </c>
      <c r="I3902" s="611">
        <v>5</v>
      </c>
      <c r="J3902" s="611">
        <v>2266.4411800000007</v>
      </c>
      <c r="K3902" s="611">
        <v>1048</v>
      </c>
      <c r="L3902" s="611">
        <v>64042.124280000004</v>
      </c>
      <c r="M3902" s="611">
        <v>64042.124280000004</v>
      </c>
      <c r="N3902" s="611">
        <v>19535.16</v>
      </c>
      <c r="O3902" s="611">
        <v>0</v>
      </c>
    </row>
    <row r="3903" spans="1:38" ht="15">
      <c r="A3903" s="611"/>
      <c r="B3903" s="611"/>
      <c r="C3903" s="611" t="s">
        <v>1198</v>
      </c>
      <c r="D3903" s="611">
        <v>0</v>
      </c>
      <c r="E3903" s="611">
        <v>0</v>
      </c>
      <c r="F3903" s="611">
        <v>0</v>
      </c>
      <c r="G3903" s="611">
        <v>0</v>
      </c>
      <c r="H3903" s="611">
        <v>0</v>
      </c>
      <c r="I3903" s="611">
        <v>0</v>
      </c>
      <c r="J3903" s="611">
        <v>0</v>
      </c>
      <c r="K3903" s="611">
        <v>0</v>
      </c>
      <c r="L3903" s="611">
        <v>0</v>
      </c>
      <c r="M3903" s="611">
        <v>0</v>
      </c>
      <c r="N3903" s="611">
        <v>0</v>
      </c>
      <c r="O3903" s="611">
        <v>0</v>
      </c>
      <c r="P3903" s="611">
        <v>0</v>
      </c>
    </row>
    <row r="3904" spans="1:38" ht="15">
      <c r="A3904" s="611"/>
      <c r="B3904" s="611"/>
      <c r="C3904" s="611" t="s">
        <v>1199</v>
      </c>
      <c r="D3904" s="611">
        <v>17837.930499999999</v>
      </c>
      <c r="E3904" s="611">
        <v>5039.55</v>
      </c>
      <c r="F3904" s="611">
        <v>12798.380499999999</v>
      </c>
      <c r="G3904" s="611">
        <v>1185</v>
      </c>
      <c r="H3904" s="611">
        <v>18017.741040000001</v>
      </c>
      <c r="I3904" s="611">
        <v>3</v>
      </c>
      <c r="J3904" s="611">
        <v>179.81053999999972</v>
      </c>
      <c r="K3904" s="611">
        <v>1182</v>
      </c>
      <c r="L3904" s="611">
        <v>17837.930499999999</v>
      </c>
      <c r="M3904" s="611">
        <v>17837.930499999999</v>
      </c>
      <c r="N3904" s="611">
        <v>5039.55</v>
      </c>
      <c r="O3904" s="611">
        <v>0</v>
      </c>
      <c r="AL3904" s="611">
        <v>12798.380500000001</v>
      </c>
    </row>
    <row r="3905" spans="1:78" ht="15">
      <c r="A3905" s="611">
        <v>24</v>
      </c>
      <c r="B3905" s="611" t="s">
        <v>1561</v>
      </c>
      <c r="C3905" s="611" t="s">
        <v>1267</v>
      </c>
      <c r="D3905" s="611">
        <v>110472.3962</v>
      </c>
      <c r="E3905" s="611">
        <v>33187.14</v>
      </c>
      <c r="F3905" s="611">
        <v>77285.256200000003</v>
      </c>
      <c r="G3905" s="611">
        <v>2722</v>
      </c>
      <c r="H3905" s="611">
        <v>115099.27376000001</v>
      </c>
      <c r="I3905" s="611">
        <v>15</v>
      </c>
      <c r="J3905" s="611">
        <v>4626.8775599999999</v>
      </c>
      <c r="K3905" s="611">
        <v>2707</v>
      </c>
      <c r="L3905" s="611">
        <v>110472.3962</v>
      </c>
      <c r="M3905" s="611">
        <v>110472.3962</v>
      </c>
      <c r="N3905" s="611">
        <v>33187.14</v>
      </c>
      <c r="O3905" s="611">
        <v>0</v>
      </c>
      <c r="P3905" s="611">
        <v>77285.256200000003</v>
      </c>
    </row>
    <row r="3906" spans="1:78" ht="15">
      <c r="A3906" s="611"/>
      <c r="B3906" s="611"/>
      <c r="C3906" s="611" t="s">
        <v>1197</v>
      </c>
      <c r="D3906" s="611">
        <v>92898.863190000004</v>
      </c>
      <c r="E3906" s="611">
        <v>27912.359999999997</v>
      </c>
      <c r="F3906" s="611">
        <v>64986.503190000003</v>
      </c>
      <c r="G3906" s="611">
        <v>1472</v>
      </c>
      <c r="H3906" s="611">
        <v>97359.291530000002</v>
      </c>
      <c r="I3906" s="611">
        <v>12</v>
      </c>
      <c r="J3906" s="611">
        <v>4460.4283400000004</v>
      </c>
      <c r="K3906" s="611">
        <v>1460</v>
      </c>
      <c r="L3906" s="611">
        <v>92898.863190000004</v>
      </c>
      <c r="M3906" s="611">
        <v>92898.863190000004</v>
      </c>
      <c r="N3906" s="611">
        <v>27912.359999999997</v>
      </c>
      <c r="O3906" s="611">
        <v>0</v>
      </c>
    </row>
    <row r="3907" spans="1:78" ht="15">
      <c r="A3907" s="611"/>
      <c r="B3907" s="611"/>
      <c r="C3907" s="611" t="s">
        <v>1198</v>
      </c>
      <c r="D3907" s="611">
        <v>0</v>
      </c>
      <c r="E3907" s="611">
        <v>0</v>
      </c>
      <c r="F3907" s="611">
        <v>0</v>
      </c>
      <c r="G3907" s="611">
        <v>0</v>
      </c>
      <c r="H3907" s="611">
        <v>0</v>
      </c>
      <c r="I3907" s="611">
        <v>0</v>
      </c>
      <c r="J3907" s="611">
        <v>0</v>
      </c>
      <c r="K3907" s="611">
        <v>0</v>
      </c>
      <c r="L3907" s="611">
        <v>0</v>
      </c>
      <c r="M3907" s="611">
        <v>0</v>
      </c>
      <c r="N3907" s="611">
        <v>0</v>
      </c>
      <c r="O3907" s="611">
        <v>0</v>
      </c>
      <c r="P3907" s="611">
        <v>0</v>
      </c>
    </row>
    <row r="3908" spans="1:78" ht="15">
      <c r="A3908" s="611"/>
      <c r="B3908" s="611"/>
      <c r="C3908" s="611" t="s">
        <v>1199</v>
      </c>
      <c r="D3908" s="611">
        <v>17573.533009999999</v>
      </c>
      <c r="E3908" s="611">
        <v>5274.78</v>
      </c>
      <c r="F3908" s="611">
        <v>12298.75301</v>
      </c>
      <c r="G3908" s="611">
        <v>1250</v>
      </c>
      <c r="H3908" s="611">
        <v>17739.982230000001</v>
      </c>
      <c r="I3908" s="611">
        <v>3</v>
      </c>
      <c r="J3908" s="611">
        <v>166.44921999999974</v>
      </c>
      <c r="K3908" s="611">
        <v>1247</v>
      </c>
      <c r="L3908" s="611">
        <v>17573.533009999999</v>
      </c>
      <c r="M3908" s="611">
        <v>17573.533009999999</v>
      </c>
      <c r="N3908" s="611">
        <v>5274.78</v>
      </c>
      <c r="O3908" s="611">
        <v>0</v>
      </c>
      <c r="AL3908" s="611">
        <v>12298.75301</v>
      </c>
    </row>
    <row r="3909" spans="1:78" ht="15">
      <c r="A3909" s="611">
        <v>25</v>
      </c>
      <c r="B3909" s="611" t="s">
        <v>1562</v>
      </c>
      <c r="C3909" s="611" t="s">
        <v>1267</v>
      </c>
      <c r="D3909" s="611">
        <v>52232.002370000002</v>
      </c>
      <c r="E3909" s="611">
        <v>15669.75</v>
      </c>
      <c r="F3909" s="611">
        <v>36562.252370000002</v>
      </c>
      <c r="G3909" s="611">
        <v>3553</v>
      </c>
      <c r="H3909" s="611">
        <v>52726.505269999994</v>
      </c>
      <c r="I3909" s="611">
        <v>1</v>
      </c>
      <c r="J3909" s="611">
        <v>494.50289999999995</v>
      </c>
      <c r="K3909" s="611">
        <v>3552</v>
      </c>
      <c r="L3909" s="611">
        <v>52232.002370000002</v>
      </c>
      <c r="M3909" s="611">
        <v>52232.002370000002</v>
      </c>
      <c r="N3909" s="611">
        <v>15669.75</v>
      </c>
      <c r="O3909" s="611">
        <v>0</v>
      </c>
      <c r="P3909" s="611">
        <v>36562.252370000002</v>
      </c>
    </row>
    <row r="3910" spans="1:78" ht="15">
      <c r="A3910" s="611"/>
      <c r="B3910" s="611"/>
      <c r="C3910" s="611" t="s">
        <v>1197</v>
      </c>
      <c r="D3910" s="611">
        <v>0</v>
      </c>
      <c r="E3910" s="611">
        <v>0</v>
      </c>
      <c r="F3910" s="611">
        <v>0</v>
      </c>
      <c r="G3910" s="611">
        <v>0</v>
      </c>
      <c r="H3910" s="611">
        <v>0</v>
      </c>
      <c r="I3910" s="611">
        <v>0</v>
      </c>
      <c r="J3910" s="611">
        <v>0</v>
      </c>
      <c r="K3910" s="611">
        <v>0</v>
      </c>
      <c r="L3910" s="611">
        <v>0</v>
      </c>
      <c r="M3910" s="611">
        <v>0</v>
      </c>
      <c r="N3910" s="611">
        <v>0</v>
      </c>
      <c r="O3910" s="611">
        <v>0</v>
      </c>
      <c r="P3910" s="611">
        <v>0</v>
      </c>
    </row>
    <row r="3911" spans="1:78" ht="15">
      <c r="A3911" s="611"/>
      <c r="B3911" s="611"/>
      <c r="C3911" s="611" t="s">
        <v>1198</v>
      </c>
      <c r="D3911" s="611">
        <v>0</v>
      </c>
      <c r="E3911" s="611">
        <v>0</v>
      </c>
      <c r="F3911" s="611">
        <v>0</v>
      </c>
      <c r="G3911" s="611">
        <v>0</v>
      </c>
      <c r="H3911" s="611">
        <v>0</v>
      </c>
      <c r="I3911" s="611">
        <v>0</v>
      </c>
      <c r="J3911" s="611">
        <v>0</v>
      </c>
      <c r="K3911" s="611">
        <v>0</v>
      </c>
      <c r="L3911" s="611">
        <v>0</v>
      </c>
      <c r="M3911" s="611">
        <v>0</v>
      </c>
      <c r="N3911" s="611">
        <v>0</v>
      </c>
      <c r="O3911" s="611">
        <v>0</v>
      </c>
      <c r="P3911" s="611">
        <v>0</v>
      </c>
    </row>
    <row r="3912" spans="1:78" ht="15">
      <c r="A3912" s="611"/>
      <c r="B3912" s="611"/>
      <c r="C3912" s="611" t="s">
        <v>1199</v>
      </c>
      <c r="D3912" s="611">
        <v>52232.002370000002</v>
      </c>
      <c r="E3912" s="611">
        <v>15669.75</v>
      </c>
      <c r="F3912" s="611">
        <v>36562.252370000002</v>
      </c>
      <c r="G3912" s="611">
        <v>3553</v>
      </c>
      <c r="H3912" s="611">
        <v>52726.505269999994</v>
      </c>
      <c r="I3912" s="611">
        <v>1</v>
      </c>
      <c r="J3912" s="611">
        <v>494.50289999999995</v>
      </c>
      <c r="K3912" s="611">
        <v>3552</v>
      </c>
      <c r="L3912" s="611">
        <v>52232.002370000002</v>
      </c>
      <c r="M3912" s="611">
        <v>52232.002370000002</v>
      </c>
      <c r="N3912" s="611">
        <v>15669.75</v>
      </c>
      <c r="O3912" s="611">
        <v>0</v>
      </c>
      <c r="BZ3912" s="611">
        <v>36562.252370000002</v>
      </c>
    </row>
    <row r="3913" spans="1:78" ht="15">
      <c r="A3913" s="611">
        <v>26</v>
      </c>
      <c r="B3913" s="611" t="s">
        <v>1563</v>
      </c>
      <c r="C3913" s="611" t="s">
        <v>1267</v>
      </c>
      <c r="D3913" s="611">
        <v>41833.802560000004</v>
      </c>
      <c r="E3913" s="611">
        <v>12551.640000000001</v>
      </c>
      <c r="F3913" s="611">
        <v>29282.162560000004</v>
      </c>
      <c r="G3913" s="611">
        <v>3061</v>
      </c>
      <c r="H3913" s="611">
        <v>44735.598340000004</v>
      </c>
      <c r="I3913" s="611">
        <v>3</v>
      </c>
      <c r="J3913" s="611">
        <v>2901.7957799999976</v>
      </c>
      <c r="K3913" s="611">
        <v>3058</v>
      </c>
      <c r="L3913" s="611">
        <v>41833.802559999989</v>
      </c>
      <c r="M3913" s="611">
        <v>41833.802559999989</v>
      </c>
      <c r="N3913" s="611">
        <v>12551.64</v>
      </c>
      <c r="O3913" s="611">
        <v>0</v>
      </c>
      <c r="P3913" s="611">
        <v>29282.162560000001</v>
      </c>
    </row>
    <row r="3914" spans="1:78" ht="15">
      <c r="A3914" s="611"/>
      <c r="B3914" s="611"/>
      <c r="C3914" s="611" t="s">
        <v>1197</v>
      </c>
      <c r="D3914" s="611">
        <v>0</v>
      </c>
      <c r="E3914" s="611">
        <v>0</v>
      </c>
      <c r="F3914" s="611">
        <v>0</v>
      </c>
      <c r="G3914" s="611">
        <v>0</v>
      </c>
      <c r="H3914" s="611">
        <v>0</v>
      </c>
      <c r="I3914" s="611">
        <v>0</v>
      </c>
      <c r="J3914" s="611">
        <v>0</v>
      </c>
      <c r="K3914" s="611">
        <v>0</v>
      </c>
      <c r="L3914" s="611">
        <v>0</v>
      </c>
      <c r="M3914" s="611">
        <v>0</v>
      </c>
      <c r="N3914" s="611">
        <v>0</v>
      </c>
      <c r="O3914" s="611">
        <v>0</v>
      </c>
      <c r="P3914" s="611">
        <v>0</v>
      </c>
    </row>
    <row r="3915" spans="1:78" ht="15">
      <c r="A3915" s="611"/>
      <c r="B3915" s="611"/>
      <c r="C3915" s="611" t="s">
        <v>1198</v>
      </c>
      <c r="D3915" s="611">
        <v>0</v>
      </c>
      <c r="E3915" s="611">
        <v>0</v>
      </c>
      <c r="F3915" s="611">
        <v>0</v>
      </c>
      <c r="G3915" s="611">
        <v>0</v>
      </c>
      <c r="H3915" s="611">
        <v>0</v>
      </c>
      <c r="I3915" s="611">
        <v>0</v>
      </c>
      <c r="J3915" s="611">
        <v>0</v>
      </c>
      <c r="K3915" s="611">
        <v>0</v>
      </c>
      <c r="L3915" s="611">
        <v>0</v>
      </c>
      <c r="M3915" s="611">
        <v>0</v>
      </c>
      <c r="N3915" s="611">
        <v>0</v>
      </c>
      <c r="O3915" s="611">
        <v>0</v>
      </c>
      <c r="P3915" s="611">
        <v>0</v>
      </c>
    </row>
    <row r="3916" spans="1:78" ht="15">
      <c r="A3916" s="611"/>
      <c r="B3916" s="611"/>
      <c r="C3916" s="611" t="s">
        <v>1199</v>
      </c>
      <c r="D3916" s="611">
        <v>41833.802560000004</v>
      </c>
      <c r="E3916" s="611">
        <v>12551.640000000001</v>
      </c>
      <c r="F3916" s="611">
        <v>29282.162560000004</v>
      </c>
      <c r="G3916" s="611">
        <v>3061</v>
      </c>
      <c r="H3916" s="611">
        <v>44735.598340000004</v>
      </c>
      <c r="I3916" s="611">
        <v>3</v>
      </c>
      <c r="J3916" s="611">
        <v>2901.7957799999976</v>
      </c>
      <c r="K3916" s="611">
        <v>3058</v>
      </c>
      <c r="L3916" s="611">
        <v>41833.802559999989</v>
      </c>
      <c r="M3916" s="611">
        <v>41833.802559999989</v>
      </c>
      <c r="N3916" s="611">
        <v>12551.64</v>
      </c>
      <c r="O3916" s="611">
        <v>0</v>
      </c>
      <c r="BZ3916" s="611">
        <v>29282.162560000001</v>
      </c>
    </row>
    <row r="3917" spans="1:78" ht="15">
      <c r="A3917" s="611">
        <v>27</v>
      </c>
      <c r="B3917" s="611" t="s">
        <v>1564</v>
      </c>
      <c r="C3917" s="611" t="s">
        <v>1267</v>
      </c>
      <c r="D3917" s="611">
        <v>67771.972679999992</v>
      </c>
      <c r="E3917" s="611">
        <v>20336.91</v>
      </c>
      <c r="F3917" s="611">
        <v>47435.062679999988</v>
      </c>
      <c r="G3917" s="611">
        <v>4643</v>
      </c>
      <c r="H3917" s="611">
        <v>68337.513659999997</v>
      </c>
      <c r="I3917" s="611">
        <v>4</v>
      </c>
      <c r="J3917" s="611">
        <v>565.54097999999999</v>
      </c>
      <c r="K3917" s="611">
        <v>4639</v>
      </c>
      <c r="L3917" s="611">
        <v>67771.972679999992</v>
      </c>
      <c r="M3917" s="611">
        <v>67771.972679999992</v>
      </c>
      <c r="N3917" s="611">
        <v>20336.91</v>
      </c>
      <c r="O3917" s="611">
        <v>0</v>
      </c>
      <c r="P3917" s="611">
        <v>47435.062680000003</v>
      </c>
    </row>
    <row r="3918" spans="1:78" ht="15">
      <c r="A3918" s="611"/>
      <c r="B3918" s="611"/>
      <c r="C3918" s="611" t="s">
        <v>1197</v>
      </c>
      <c r="D3918" s="611">
        <v>0</v>
      </c>
      <c r="E3918" s="611">
        <v>0</v>
      </c>
      <c r="F3918" s="611">
        <v>0</v>
      </c>
      <c r="G3918" s="611">
        <v>0</v>
      </c>
      <c r="H3918" s="611">
        <v>0</v>
      </c>
      <c r="I3918" s="611">
        <v>0</v>
      </c>
      <c r="J3918" s="611">
        <v>0</v>
      </c>
      <c r="K3918" s="611">
        <v>0</v>
      </c>
      <c r="L3918" s="611">
        <v>0</v>
      </c>
      <c r="M3918" s="611">
        <v>0</v>
      </c>
      <c r="N3918" s="611">
        <v>0</v>
      </c>
      <c r="O3918" s="611">
        <v>0</v>
      </c>
      <c r="P3918" s="611">
        <v>0</v>
      </c>
    </row>
    <row r="3919" spans="1:78" ht="15">
      <c r="A3919" s="611"/>
      <c r="B3919" s="611"/>
      <c r="C3919" s="611" t="s">
        <v>1198</v>
      </c>
      <c r="D3919" s="611">
        <v>0</v>
      </c>
      <c r="E3919" s="611">
        <v>0</v>
      </c>
      <c r="F3919" s="611">
        <v>0</v>
      </c>
      <c r="G3919" s="611">
        <v>0</v>
      </c>
      <c r="H3919" s="611">
        <v>0</v>
      </c>
      <c r="I3919" s="611">
        <v>0</v>
      </c>
      <c r="J3919" s="611">
        <v>0</v>
      </c>
      <c r="K3919" s="611">
        <v>0</v>
      </c>
      <c r="L3919" s="611">
        <v>0</v>
      </c>
      <c r="M3919" s="611">
        <v>0</v>
      </c>
      <c r="N3919" s="611">
        <v>0</v>
      </c>
      <c r="O3919" s="611">
        <v>0</v>
      </c>
      <c r="P3919" s="611">
        <v>0</v>
      </c>
    </row>
    <row r="3920" spans="1:78" ht="15">
      <c r="A3920" s="611"/>
      <c r="B3920" s="611"/>
      <c r="C3920" s="611" t="s">
        <v>1199</v>
      </c>
      <c r="D3920" s="611">
        <v>67771.972679999992</v>
      </c>
      <c r="E3920" s="611">
        <v>20336.91</v>
      </c>
      <c r="F3920" s="611">
        <v>47435.062679999988</v>
      </c>
      <c r="G3920" s="611">
        <v>4643</v>
      </c>
      <c r="H3920" s="611">
        <v>68337.513659999997</v>
      </c>
      <c r="I3920" s="611">
        <v>4</v>
      </c>
      <c r="J3920" s="611">
        <v>565.54097999999999</v>
      </c>
      <c r="K3920" s="611">
        <v>4639</v>
      </c>
      <c r="L3920" s="611">
        <v>67771.972679999992</v>
      </c>
      <c r="M3920" s="611">
        <v>67771.972679999992</v>
      </c>
      <c r="N3920" s="611">
        <v>20336.91</v>
      </c>
      <c r="O3920" s="611">
        <v>0</v>
      </c>
      <c r="BZ3920" s="611">
        <v>47435.062680000003</v>
      </c>
    </row>
    <row r="3921" spans="1:78" ht="15">
      <c r="A3921" s="611">
        <v>28</v>
      </c>
      <c r="B3921" s="611" t="s">
        <v>1565</v>
      </c>
      <c r="C3921" s="611" t="s">
        <v>1267</v>
      </c>
      <c r="D3921" s="611">
        <v>38916.941630000001</v>
      </c>
      <c r="E3921" s="611">
        <v>11678.640000000001</v>
      </c>
      <c r="F3921" s="611">
        <v>27238.301630000002</v>
      </c>
      <c r="G3921" s="611">
        <v>2658</v>
      </c>
      <c r="H3921" s="611">
        <v>39675.586140000007</v>
      </c>
      <c r="I3921" s="611">
        <v>5</v>
      </c>
      <c r="J3921" s="611">
        <v>758.64451000000099</v>
      </c>
      <c r="K3921" s="611">
        <v>2653</v>
      </c>
      <c r="L3921" s="611">
        <v>38916.941629999994</v>
      </c>
      <c r="M3921" s="611">
        <v>38916.941629999994</v>
      </c>
      <c r="N3921" s="611">
        <v>11678.640000000001</v>
      </c>
      <c r="O3921" s="611">
        <v>0</v>
      </c>
      <c r="P3921" s="611">
        <v>27238.301630000002</v>
      </c>
    </row>
    <row r="3922" spans="1:78" ht="15">
      <c r="A3922" s="611"/>
      <c r="B3922" s="611"/>
      <c r="C3922" s="611" t="s">
        <v>1197</v>
      </c>
      <c r="D3922" s="611">
        <v>0</v>
      </c>
      <c r="E3922" s="611">
        <v>0</v>
      </c>
      <c r="F3922" s="611">
        <v>0</v>
      </c>
      <c r="G3922" s="611">
        <v>0</v>
      </c>
      <c r="H3922" s="611">
        <v>0</v>
      </c>
      <c r="I3922" s="611">
        <v>0</v>
      </c>
      <c r="J3922" s="611">
        <v>0</v>
      </c>
      <c r="K3922" s="611">
        <v>0</v>
      </c>
      <c r="L3922" s="611">
        <v>0</v>
      </c>
      <c r="M3922" s="611">
        <v>0</v>
      </c>
      <c r="N3922" s="611">
        <v>0</v>
      </c>
      <c r="O3922" s="611">
        <v>0</v>
      </c>
      <c r="P3922" s="611">
        <v>0</v>
      </c>
    </row>
    <row r="3923" spans="1:78" ht="15">
      <c r="A3923" s="611"/>
      <c r="B3923" s="611"/>
      <c r="C3923" s="611" t="s">
        <v>1198</v>
      </c>
      <c r="D3923" s="611">
        <v>0</v>
      </c>
      <c r="E3923" s="611">
        <v>0</v>
      </c>
      <c r="F3923" s="611">
        <v>0</v>
      </c>
      <c r="G3923" s="611">
        <v>0</v>
      </c>
      <c r="H3923" s="611">
        <v>0</v>
      </c>
      <c r="I3923" s="611">
        <v>0</v>
      </c>
      <c r="J3923" s="611">
        <v>0</v>
      </c>
      <c r="K3923" s="611">
        <v>0</v>
      </c>
      <c r="L3923" s="611">
        <v>0</v>
      </c>
      <c r="M3923" s="611">
        <v>0</v>
      </c>
      <c r="N3923" s="611">
        <v>0</v>
      </c>
      <c r="O3923" s="611">
        <v>0</v>
      </c>
      <c r="P3923" s="611">
        <v>0</v>
      </c>
    </row>
    <row r="3924" spans="1:78" ht="15">
      <c r="A3924" s="611"/>
      <c r="B3924" s="611"/>
      <c r="C3924" s="611" t="s">
        <v>1199</v>
      </c>
      <c r="D3924" s="611">
        <v>38916.941630000001</v>
      </c>
      <c r="E3924" s="611">
        <v>11678.640000000001</v>
      </c>
      <c r="F3924" s="611">
        <v>27238.301630000002</v>
      </c>
      <c r="G3924" s="611">
        <v>2658</v>
      </c>
      <c r="H3924" s="611">
        <v>39675.586140000007</v>
      </c>
      <c r="I3924" s="611">
        <v>5</v>
      </c>
      <c r="J3924" s="611">
        <v>758.64451000000099</v>
      </c>
      <c r="K3924" s="611">
        <v>2653</v>
      </c>
      <c r="L3924" s="611">
        <v>38916.941629999994</v>
      </c>
      <c r="M3924" s="611">
        <v>38916.941629999994</v>
      </c>
      <c r="N3924" s="611">
        <v>11678.640000000001</v>
      </c>
      <c r="O3924" s="611">
        <v>0</v>
      </c>
      <c r="BZ3924" s="611">
        <v>27238.301630000002</v>
      </c>
    </row>
    <row r="3925" spans="1:78" ht="15">
      <c r="A3925" s="611">
        <v>29</v>
      </c>
      <c r="B3925" s="611" t="s">
        <v>1566</v>
      </c>
      <c r="C3925" s="611" t="s">
        <v>1267</v>
      </c>
      <c r="D3925" s="611">
        <v>35077.714690000001</v>
      </c>
      <c r="E3925" s="611">
        <v>10398.09</v>
      </c>
      <c r="F3925" s="611">
        <v>24679.624690000001</v>
      </c>
      <c r="G3925" s="611">
        <v>2462</v>
      </c>
      <c r="H3925" s="611">
        <v>35778.323859999997</v>
      </c>
      <c r="I3925" s="611">
        <v>2</v>
      </c>
      <c r="J3925" s="611">
        <v>700.60917000000029</v>
      </c>
      <c r="K3925" s="611">
        <v>2460</v>
      </c>
      <c r="L3925" s="611">
        <v>35077.714690000001</v>
      </c>
      <c r="M3925" s="611">
        <v>35077.714690000001</v>
      </c>
      <c r="N3925" s="611">
        <v>10398.09</v>
      </c>
      <c r="O3925" s="611">
        <v>0</v>
      </c>
      <c r="P3925" s="611">
        <v>24679.624689999997</v>
      </c>
    </row>
    <row r="3926" spans="1:78" ht="15">
      <c r="A3926" s="611"/>
      <c r="B3926" s="611"/>
      <c r="C3926" s="611" t="s">
        <v>1197</v>
      </c>
      <c r="D3926" s="611">
        <v>0</v>
      </c>
      <c r="E3926" s="611">
        <v>0</v>
      </c>
      <c r="F3926" s="611">
        <v>0</v>
      </c>
      <c r="G3926" s="611">
        <v>0</v>
      </c>
      <c r="H3926" s="611">
        <v>0</v>
      </c>
      <c r="I3926" s="611">
        <v>0</v>
      </c>
      <c r="J3926" s="611">
        <v>0</v>
      </c>
      <c r="K3926" s="611">
        <v>0</v>
      </c>
      <c r="L3926" s="611">
        <v>0</v>
      </c>
      <c r="M3926" s="611">
        <v>0</v>
      </c>
      <c r="N3926" s="611">
        <v>0</v>
      </c>
      <c r="O3926" s="611">
        <v>0</v>
      </c>
      <c r="P3926" s="611">
        <v>0</v>
      </c>
    </row>
    <row r="3927" spans="1:78" ht="15">
      <c r="A3927" s="611"/>
      <c r="B3927" s="611"/>
      <c r="C3927" s="611" t="s">
        <v>1198</v>
      </c>
      <c r="D3927" s="611">
        <v>0</v>
      </c>
      <c r="E3927" s="611">
        <v>0</v>
      </c>
      <c r="F3927" s="611">
        <v>0</v>
      </c>
      <c r="G3927" s="611">
        <v>0</v>
      </c>
      <c r="H3927" s="611">
        <v>0</v>
      </c>
      <c r="I3927" s="611">
        <v>0</v>
      </c>
      <c r="J3927" s="611">
        <v>0</v>
      </c>
      <c r="K3927" s="611">
        <v>0</v>
      </c>
      <c r="L3927" s="611">
        <v>0</v>
      </c>
      <c r="M3927" s="611">
        <v>0</v>
      </c>
      <c r="N3927" s="611">
        <v>0</v>
      </c>
      <c r="O3927" s="611">
        <v>0</v>
      </c>
      <c r="P3927" s="611">
        <v>0</v>
      </c>
    </row>
    <row r="3928" spans="1:78" ht="15">
      <c r="A3928" s="611"/>
      <c r="B3928" s="611"/>
      <c r="C3928" s="611" t="s">
        <v>1199</v>
      </c>
      <c r="D3928" s="611">
        <v>35077.714690000001</v>
      </c>
      <c r="E3928" s="611">
        <v>10398.09</v>
      </c>
      <c r="F3928" s="611">
        <v>24679.624690000001</v>
      </c>
      <c r="G3928" s="611">
        <v>2462</v>
      </c>
      <c r="H3928" s="611">
        <v>35778.323859999997</v>
      </c>
      <c r="I3928" s="611">
        <v>2</v>
      </c>
      <c r="J3928" s="611">
        <v>700.60917000000029</v>
      </c>
      <c r="K3928" s="611">
        <v>2460</v>
      </c>
      <c r="L3928" s="611">
        <v>35077.714690000001</v>
      </c>
      <c r="M3928" s="611">
        <v>35077.714690000001</v>
      </c>
      <c r="N3928" s="611">
        <v>10398.09</v>
      </c>
      <c r="O3928" s="611">
        <v>0</v>
      </c>
      <c r="BZ3928" s="611">
        <v>24679.624689999997</v>
      </c>
    </row>
    <row r="3929" spans="1:78" ht="15">
      <c r="A3929" s="611">
        <v>30</v>
      </c>
      <c r="B3929" s="611" t="s">
        <v>1567</v>
      </c>
      <c r="C3929" s="611" t="s">
        <v>1267</v>
      </c>
      <c r="D3929" s="611">
        <v>7168.4402599999994</v>
      </c>
      <c r="E3929" s="611">
        <v>2151.5099999999998</v>
      </c>
      <c r="F3929" s="611">
        <v>5016.9302599999992</v>
      </c>
      <c r="G3929" s="611">
        <v>436</v>
      </c>
      <c r="H3929" s="611">
        <v>7328.4492499999988</v>
      </c>
      <c r="I3929" s="611">
        <v>1</v>
      </c>
      <c r="J3929" s="611">
        <v>160.00898999999976</v>
      </c>
      <c r="K3929" s="611">
        <v>435</v>
      </c>
      <c r="L3929" s="611">
        <v>7168.4402600000003</v>
      </c>
      <c r="M3929" s="611">
        <v>7168.4402600000003</v>
      </c>
      <c r="N3929" s="611">
        <v>2151.5099999999998</v>
      </c>
      <c r="O3929" s="611">
        <v>0</v>
      </c>
      <c r="P3929" s="611">
        <v>5016.930260000001</v>
      </c>
    </row>
    <row r="3930" spans="1:78" ht="15">
      <c r="A3930" s="611"/>
      <c r="B3930" s="611"/>
      <c r="C3930" s="611" t="s">
        <v>1197</v>
      </c>
      <c r="D3930" s="611">
        <v>0</v>
      </c>
      <c r="E3930" s="611">
        <v>0</v>
      </c>
      <c r="F3930" s="611">
        <v>0</v>
      </c>
      <c r="G3930" s="611">
        <v>0</v>
      </c>
      <c r="H3930" s="611">
        <v>0</v>
      </c>
      <c r="I3930" s="611">
        <v>0</v>
      </c>
      <c r="J3930" s="611">
        <v>0</v>
      </c>
      <c r="K3930" s="611">
        <v>0</v>
      </c>
      <c r="L3930" s="611">
        <v>0</v>
      </c>
      <c r="M3930" s="611">
        <v>0</v>
      </c>
      <c r="N3930" s="611">
        <v>0</v>
      </c>
      <c r="O3930" s="611">
        <v>0</v>
      </c>
      <c r="P3930" s="611">
        <v>0</v>
      </c>
    </row>
    <row r="3931" spans="1:78" ht="15">
      <c r="A3931" s="611"/>
      <c r="B3931" s="611"/>
      <c r="C3931" s="611" t="s">
        <v>1198</v>
      </c>
      <c r="D3931" s="611">
        <v>0</v>
      </c>
      <c r="E3931" s="611">
        <v>0</v>
      </c>
      <c r="F3931" s="611">
        <v>0</v>
      </c>
      <c r="G3931" s="611">
        <v>0</v>
      </c>
      <c r="H3931" s="611">
        <v>0</v>
      </c>
      <c r="I3931" s="611">
        <v>0</v>
      </c>
      <c r="J3931" s="611">
        <v>0</v>
      </c>
      <c r="K3931" s="611">
        <v>0</v>
      </c>
      <c r="L3931" s="611">
        <v>0</v>
      </c>
      <c r="M3931" s="611">
        <v>0</v>
      </c>
      <c r="N3931" s="611">
        <v>0</v>
      </c>
      <c r="O3931" s="611">
        <v>0</v>
      </c>
      <c r="P3931" s="611">
        <v>0</v>
      </c>
    </row>
    <row r="3932" spans="1:78" ht="15">
      <c r="A3932" s="611"/>
      <c r="B3932" s="611"/>
      <c r="C3932" s="611" t="s">
        <v>1199</v>
      </c>
      <c r="D3932" s="611">
        <v>7168.4402599999994</v>
      </c>
      <c r="E3932" s="611">
        <v>2151.5099999999998</v>
      </c>
      <c r="F3932" s="611">
        <v>5016.9302599999992</v>
      </c>
      <c r="G3932" s="611">
        <v>436</v>
      </c>
      <c r="H3932" s="611">
        <v>7328.4492499999988</v>
      </c>
      <c r="I3932" s="611">
        <v>1</v>
      </c>
      <c r="J3932" s="611">
        <v>160.00898999999976</v>
      </c>
      <c r="K3932" s="611">
        <v>435</v>
      </c>
      <c r="L3932" s="611">
        <v>7168.4402600000003</v>
      </c>
      <c r="M3932" s="611">
        <v>7168.4402600000003</v>
      </c>
      <c r="N3932" s="611">
        <v>2151.5099999999998</v>
      </c>
      <c r="O3932" s="611">
        <v>0</v>
      </c>
      <c r="AL3932" s="611">
        <v>5016.930260000001</v>
      </c>
    </row>
    <row r="3933" spans="1:78" ht="15">
      <c r="A3933" s="611">
        <v>31</v>
      </c>
      <c r="B3933" s="611" t="s">
        <v>1568</v>
      </c>
      <c r="C3933" s="611" t="s">
        <v>1267</v>
      </c>
      <c r="D3933" s="611">
        <v>6888.8297300000004</v>
      </c>
      <c r="E3933" s="611">
        <v>2069.94</v>
      </c>
      <c r="F3933" s="611">
        <v>4818.8897300000008</v>
      </c>
      <c r="G3933" s="611">
        <v>401</v>
      </c>
      <c r="H3933" s="611">
        <v>6950.6723899999988</v>
      </c>
      <c r="I3933" s="611">
        <v>0</v>
      </c>
      <c r="J3933" s="611">
        <v>61.84266000000008</v>
      </c>
      <c r="K3933" s="611">
        <v>401</v>
      </c>
      <c r="L3933" s="611">
        <v>6888.8297299999995</v>
      </c>
      <c r="M3933" s="611">
        <v>6888.8297299999995</v>
      </c>
      <c r="N3933" s="611">
        <v>2069.94</v>
      </c>
      <c r="O3933" s="611">
        <v>0</v>
      </c>
      <c r="P3933" s="611">
        <v>4818.8897299999999</v>
      </c>
    </row>
    <row r="3934" spans="1:78" ht="15">
      <c r="A3934" s="611"/>
      <c r="B3934" s="611"/>
      <c r="C3934" s="611" t="s">
        <v>1197</v>
      </c>
      <c r="D3934" s="611">
        <v>0</v>
      </c>
      <c r="E3934" s="611">
        <v>0</v>
      </c>
      <c r="F3934" s="611">
        <v>0</v>
      </c>
      <c r="G3934" s="611">
        <v>0</v>
      </c>
      <c r="H3934" s="611">
        <v>0</v>
      </c>
      <c r="I3934" s="611">
        <v>0</v>
      </c>
      <c r="J3934" s="611">
        <v>0</v>
      </c>
      <c r="K3934" s="611">
        <v>0</v>
      </c>
      <c r="L3934" s="611">
        <v>0</v>
      </c>
      <c r="M3934" s="611">
        <v>0</v>
      </c>
      <c r="N3934" s="611">
        <v>0</v>
      </c>
      <c r="O3934" s="611">
        <v>0</v>
      </c>
      <c r="P3934" s="611">
        <v>0</v>
      </c>
    </row>
    <row r="3935" spans="1:78" ht="15">
      <c r="A3935" s="611"/>
      <c r="B3935" s="611"/>
      <c r="C3935" s="611" t="s">
        <v>1198</v>
      </c>
      <c r="D3935" s="611">
        <v>0</v>
      </c>
      <c r="E3935" s="611">
        <v>0</v>
      </c>
      <c r="F3935" s="611">
        <v>0</v>
      </c>
      <c r="G3935" s="611">
        <v>0</v>
      </c>
      <c r="H3935" s="611">
        <v>0</v>
      </c>
      <c r="I3935" s="611">
        <v>0</v>
      </c>
      <c r="J3935" s="611">
        <v>0</v>
      </c>
      <c r="K3935" s="611">
        <v>0</v>
      </c>
      <c r="L3935" s="611">
        <v>0</v>
      </c>
      <c r="M3935" s="611">
        <v>0</v>
      </c>
      <c r="N3935" s="611">
        <v>0</v>
      </c>
      <c r="O3935" s="611">
        <v>0</v>
      </c>
      <c r="P3935" s="611">
        <v>0</v>
      </c>
    </row>
    <row r="3936" spans="1:78" ht="15">
      <c r="A3936" s="611"/>
      <c r="B3936" s="611"/>
      <c r="C3936" s="611" t="s">
        <v>1199</v>
      </c>
      <c r="D3936" s="611">
        <v>6888.8297300000004</v>
      </c>
      <c r="E3936" s="611">
        <v>2069.94</v>
      </c>
      <c r="F3936" s="611">
        <v>4818.8897300000008</v>
      </c>
      <c r="G3936" s="611">
        <v>401</v>
      </c>
      <c r="H3936" s="611">
        <v>6950.6723899999988</v>
      </c>
      <c r="I3936" s="611">
        <v>0</v>
      </c>
      <c r="J3936" s="611">
        <v>61.84266000000008</v>
      </c>
      <c r="K3936" s="611">
        <v>401</v>
      </c>
      <c r="L3936" s="611">
        <v>6888.8297299999995</v>
      </c>
      <c r="M3936" s="611">
        <v>6888.8297299999995</v>
      </c>
      <c r="N3936" s="611">
        <v>2069.94</v>
      </c>
      <c r="O3936" s="611">
        <v>0</v>
      </c>
      <c r="AL3936" s="611">
        <v>4818.8897299999999</v>
      </c>
    </row>
    <row r="3937" spans="1:111">
      <c r="A3937" s="1683" t="s">
        <v>1158</v>
      </c>
      <c r="B3937" s="1683"/>
      <c r="C3937" s="1683"/>
      <c r="D3937" s="1683"/>
      <c r="E3937" s="1683"/>
      <c r="F3937" s="1683"/>
      <c r="G3937" s="1683"/>
      <c r="H3937" s="1683"/>
      <c r="I3937" s="1683"/>
      <c r="J3937" s="1683"/>
      <c r="K3937" s="1683"/>
      <c r="L3937" s="1683"/>
      <c r="M3937" s="1683"/>
      <c r="N3937" s="1683"/>
      <c r="O3937" s="1683"/>
      <c r="P3937" s="1683"/>
    </row>
    <row r="3938" spans="1:111">
      <c r="A3938" s="1735" t="s">
        <v>1197</v>
      </c>
      <c r="B3938" s="1735"/>
      <c r="C3938" s="1735"/>
      <c r="D3938" s="1735"/>
      <c r="E3938" s="1735"/>
      <c r="F3938" s="1735"/>
      <c r="G3938" s="1735"/>
      <c r="H3938" s="1735"/>
      <c r="I3938" s="1735"/>
      <c r="J3938" s="1735"/>
      <c r="K3938" s="1735"/>
      <c r="L3938" s="1735"/>
      <c r="M3938" s="1735"/>
      <c r="N3938" s="1735"/>
      <c r="O3938" s="1735"/>
      <c r="P3938" s="1735"/>
      <c r="AL3938" s="561">
        <f>SUM(AL3939:AL4269)</f>
        <v>4444877.9782400001</v>
      </c>
      <c r="AM3938" s="561">
        <f t="shared" ref="AM3938:CX3938" si="114">SUM(AM3939:AM4269)</f>
        <v>0</v>
      </c>
      <c r="AN3938" s="561">
        <f t="shared" si="114"/>
        <v>0</v>
      </c>
      <c r="AO3938" s="561">
        <f t="shared" si="114"/>
        <v>0</v>
      </c>
      <c r="AP3938" s="561">
        <f t="shared" si="114"/>
        <v>0</v>
      </c>
      <c r="AQ3938" s="561">
        <f t="shared" si="114"/>
        <v>0</v>
      </c>
      <c r="AR3938" s="561">
        <f t="shared" si="114"/>
        <v>223015.41700000002</v>
      </c>
      <c r="AS3938" s="561">
        <f t="shared" si="114"/>
        <v>0</v>
      </c>
      <c r="AT3938" s="561">
        <f t="shared" si="114"/>
        <v>0</v>
      </c>
      <c r="AU3938" s="561">
        <f t="shared" si="114"/>
        <v>0</v>
      </c>
      <c r="AV3938" s="561">
        <f t="shared" si="114"/>
        <v>0</v>
      </c>
      <c r="AW3938" s="561">
        <f t="shared" si="114"/>
        <v>0</v>
      </c>
      <c r="AX3938" s="561">
        <f t="shared" si="114"/>
        <v>268687.93</v>
      </c>
      <c r="AY3938" s="561">
        <f t="shared" si="114"/>
        <v>78034.095000000001</v>
      </c>
      <c r="AZ3938" s="561">
        <f t="shared" si="114"/>
        <v>0</v>
      </c>
      <c r="BA3938" s="561">
        <f t="shared" si="114"/>
        <v>0</v>
      </c>
      <c r="BB3938" s="561">
        <f t="shared" si="114"/>
        <v>1298908.7693700001</v>
      </c>
      <c r="BC3938" s="561">
        <f t="shared" si="114"/>
        <v>0</v>
      </c>
      <c r="BD3938" s="561">
        <f t="shared" si="114"/>
        <v>1462367.6730000002</v>
      </c>
      <c r="BE3938" s="561">
        <f t="shared" si="114"/>
        <v>0</v>
      </c>
      <c r="BF3938" s="561">
        <f t="shared" si="114"/>
        <v>0</v>
      </c>
      <c r="BG3938" s="561">
        <f t="shared" si="114"/>
        <v>0</v>
      </c>
      <c r="BH3938" s="561">
        <f t="shared" si="114"/>
        <v>0</v>
      </c>
      <c r="BI3938" s="561">
        <f t="shared" si="114"/>
        <v>0</v>
      </c>
      <c r="BJ3938" s="561">
        <f t="shared" si="114"/>
        <v>0</v>
      </c>
      <c r="BK3938" s="561">
        <f t="shared" si="114"/>
        <v>0</v>
      </c>
      <c r="BL3938" s="561">
        <f t="shared" si="114"/>
        <v>0</v>
      </c>
      <c r="BM3938" s="561">
        <f t="shared" si="114"/>
        <v>0</v>
      </c>
      <c r="BN3938" s="561">
        <f t="shared" si="114"/>
        <v>0</v>
      </c>
      <c r="BO3938" s="561">
        <f t="shared" si="114"/>
        <v>0</v>
      </c>
      <c r="BP3938" s="561">
        <f t="shared" si="114"/>
        <v>0</v>
      </c>
      <c r="BQ3938" s="561">
        <f t="shared" si="114"/>
        <v>0</v>
      </c>
      <c r="BR3938" s="561">
        <f t="shared" si="114"/>
        <v>0</v>
      </c>
      <c r="BS3938" s="561">
        <f t="shared" si="114"/>
        <v>0</v>
      </c>
      <c r="BT3938" s="561">
        <f t="shared" si="114"/>
        <v>0</v>
      </c>
      <c r="BU3938" s="561">
        <f t="shared" si="114"/>
        <v>0</v>
      </c>
      <c r="BV3938" s="561">
        <f t="shared" si="114"/>
        <v>0</v>
      </c>
      <c r="BW3938" s="561">
        <f t="shared" si="114"/>
        <v>0</v>
      </c>
      <c r="BX3938" s="561">
        <f t="shared" si="114"/>
        <v>0</v>
      </c>
      <c r="BY3938" s="561">
        <f t="shared" si="114"/>
        <v>0</v>
      </c>
      <c r="BZ3938" s="561">
        <f t="shared" si="114"/>
        <v>0</v>
      </c>
      <c r="CA3938" s="561">
        <f t="shared" si="114"/>
        <v>0</v>
      </c>
      <c r="CB3938" s="561">
        <f t="shared" si="114"/>
        <v>0</v>
      </c>
      <c r="CC3938" s="561">
        <f t="shared" si="114"/>
        <v>0</v>
      </c>
      <c r="CD3938" s="561">
        <f t="shared" si="114"/>
        <v>0</v>
      </c>
      <c r="CE3938" s="561">
        <f t="shared" si="114"/>
        <v>0</v>
      </c>
      <c r="CF3938" s="561">
        <f t="shared" si="114"/>
        <v>0</v>
      </c>
      <c r="CG3938" s="561">
        <f t="shared" si="114"/>
        <v>0</v>
      </c>
      <c r="CH3938" s="561">
        <f t="shared" si="114"/>
        <v>0</v>
      </c>
      <c r="CI3938" s="561">
        <f t="shared" si="114"/>
        <v>0</v>
      </c>
      <c r="CJ3938" s="561">
        <f t="shared" si="114"/>
        <v>0</v>
      </c>
      <c r="CK3938" s="561">
        <f t="shared" si="114"/>
        <v>0</v>
      </c>
      <c r="CL3938" s="561">
        <f t="shared" si="114"/>
        <v>0</v>
      </c>
      <c r="CM3938" s="561">
        <f t="shared" si="114"/>
        <v>0</v>
      </c>
      <c r="CN3938" s="561">
        <f t="shared" si="114"/>
        <v>0</v>
      </c>
      <c r="CO3938" s="561">
        <f t="shared" si="114"/>
        <v>0</v>
      </c>
      <c r="CP3938" s="561">
        <f t="shared" si="114"/>
        <v>0</v>
      </c>
      <c r="CQ3938" s="561">
        <f t="shared" si="114"/>
        <v>0</v>
      </c>
      <c r="CR3938" s="561">
        <f t="shared" si="114"/>
        <v>0</v>
      </c>
      <c r="CS3938" s="561">
        <f t="shared" si="114"/>
        <v>0</v>
      </c>
      <c r="CT3938" s="561">
        <f t="shared" si="114"/>
        <v>0</v>
      </c>
      <c r="CU3938" s="561">
        <f t="shared" si="114"/>
        <v>0</v>
      </c>
      <c r="CV3938" s="561">
        <f t="shared" si="114"/>
        <v>0</v>
      </c>
      <c r="CW3938" s="561">
        <f t="shared" si="114"/>
        <v>0</v>
      </c>
      <c r="CX3938" s="561">
        <f t="shared" si="114"/>
        <v>0</v>
      </c>
      <c r="CY3938" s="561">
        <f t="shared" ref="CY3938:DG3938" si="115">SUM(CY3939:CY4269)</f>
        <v>0</v>
      </c>
      <c r="CZ3938" s="561">
        <f t="shared" si="115"/>
        <v>0</v>
      </c>
      <c r="DA3938" s="561">
        <f t="shared" si="115"/>
        <v>0</v>
      </c>
      <c r="DB3938" s="561">
        <f t="shared" si="115"/>
        <v>0</v>
      </c>
      <c r="DC3938" s="561">
        <f t="shared" si="115"/>
        <v>0</v>
      </c>
      <c r="DD3938" s="561">
        <f t="shared" si="115"/>
        <v>0</v>
      </c>
      <c r="DE3938" s="561">
        <f t="shared" si="115"/>
        <v>0</v>
      </c>
      <c r="DF3938" s="561">
        <f t="shared" si="115"/>
        <v>0</v>
      </c>
      <c r="DG3938" s="561">
        <f t="shared" si="115"/>
        <v>0</v>
      </c>
    </row>
    <row r="3939" spans="1:111">
      <c r="A3939" s="561">
        <v>1</v>
      </c>
      <c r="B3939" s="561" t="s">
        <v>1569</v>
      </c>
      <c r="C3939" s="561" t="s">
        <v>1196</v>
      </c>
      <c r="D3939" s="561">
        <v>1589717.074</v>
      </c>
      <c r="E3939" s="561">
        <v>404944.5</v>
      </c>
      <c r="F3939" s="561">
        <v>1184772.574</v>
      </c>
      <c r="G3939" s="561">
        <v>19826</v>
      </c>
      <c r="H3939" s="561">
        <v>1860229.6590500004</v>
      </c>
      <c r="I3939" s="561">
        <v>2390</v>
      </c>
      <c r="J3939" s="561">
        <v>110222.85062</v>
      </c>
      <c r="K3939" s="561">
        <v>19247</v>
      </c>
      <c r="L3939" s="561">
        <v>1775731.7860000001</v>
      </c>
      <c r="M3939" s="561">
        <v>1589717.0740000003</v>
      </c>
      <c r="N3939" s="561">
        <v>404944.50000000006</v>
      </c>
      <c r="O3939" s="561">
        <v>0</v>
      </c>
      <c r="P3939" s="561">
        <v>1184772.574</v>
      </c>
      <c r="Q3939" s="561">
        <v>1184772.574</v>
      </c>
    </row>
    <row r="3940" spans="1:111">
      <c r="C3940" s="561" t="s">
        <v>1197</v>
      </c>
      <c r="D3940" s="561">
        <v>1181374</v>
      </c>
      <c r="E3940" s="561">
        <v>310072.5</v>
      </c>
      <c r="F3940" s="561">
        <v>871301.5</v>
      </c>
      <c r="G3940" s="561">
        <v>17347</v>
      </c>
      <c r="H3940" s="561">
        <v>1446322.74679</v>
      </c>
      <c r="I3940" s="561">
        <v>2153</v>
      </c>
      <c r="J3940" s="561">
        <v>100603.67817</v>
      </c>
      <c r="K3940" s="561">
        <v>16778</v>
      </c>
      <c r="L3940" s="561">
        <v>1369424.5959999999</v>
      </c>
      <c r="M3940" s="561">
        <v>1187136.4569999999</v>
      </c>
      <c r="N3940" s="561">
        <v>311163.20899999997</v>
      </c>
      <c r="O3940" s="561">
        <v>0</v>
      </c>
      <c r="Q3940" s="561">
        <v>875973.24800000002</v>
      </c>
      <c r="BD3940" s="561">
        <v>875973.24800000002</v>
      </c>
    </row>
    <row r="3941" spans="1:111">
      <c r="C3941" s="561" t="s">
        <v>1198</v>
      </c>
      <c r="D3941" s="561">
        <v>92881</v>
      </c>
      <c r="E3941" s="561">
        <v>14964.3</v>
      </c>
      <c r="F3941" s="561">
        <v>77916.7</v>
      </c>
      <c r="G3941" s="561">
        <v>295</v>
      </c>
      <c r="H3941" s="561">
        <v>98861.61626000001</v>
      </c>
      <c r="I3941" s="561">
        <v>51</v>
      </c>
      <c r="J3941" s="561">
        <v>8586.4409999999989</v>
      </c>
      <c r="K3941" s="561">
        <v>294</v>
      </c>
      <c r="L3941" s="561">
        <v>91118.186000000016</v>
      </c>
      <c r="M3941" s="561">
        <v>90595.578999999998</v>
      </c>
      <c r="N3941" s="561">
        <v>14964.300000000003</v>
      </c>
      <c r="O3941" s="561">
        <v>0</v>
      </c>
      <c r="P3941" s="561">
        <v>75631.278999999995</v>
      </c>
      <c r="Q3941" s="561">
        <v>75631.278999999995</v>
      </c>
    </row>
    <row r="3942" spans="1:111">
      <c r="C3942" s="561" t="s">
        <v>1199</v>
      </c>
      <c r="D3942" s="561">
        <v>300440.24</v>
      </c>
      <c r="E3942" s="561">
        <v>79907.7</v>
      </c>
      <c r="F3942" s="561">
        <v>220532.53999999998</v>
      </c>
      <c r="G3942" s="561">
        <v>2184</v>
      </c>
      <c r="H3942" s="561">
        <v>298511.01500000001</v>
      </c>
      <c r="I3942" s="561">
        <v>186</v>
      </c>
      <c r="J3942" s="561">
        <v>693.1284500000005</v>
      </c>
      <c r="K3942" s="561">
        <v>2175</v>
      </c>
      <c r="L3942" s="561">
        <v>298994.326</v>
      </c>
      <c r="M3942" s="561">
        <v>297903.54800000001</v>
      </c>
      <c r="N3942" s="561">
        <v>78816.990999999965</v>
      </c>
      <c r="O3942" s="561">
        <v>0</v>
      </c>
      <c r="P3942" s="561">
        <v>219086.557</v>
      </c>
      <c r="Q3942" s="561">
        <v>219086.557</v>
      </c>
    </row>
    <row r="3943" spans="1:111">
      <c r="C3943" s="561" t="s">
        <v>1202</v>
      </c>
      <c r="D3943" s="561">
        <v>15021.834000000001</v>
      </c>
      <c r="F3943" s="561">
        <v>15021.834000000001</v>
      </c>
      <c r="G3943" s="561">
        <v>0</v>
      </c>
      <c r="H3943" s="561">
        <v>16534.280999999999</v>
      </c>
      <c r="I3943" s="561">
        <v>0</v>
      </c>
      <c r="J3943" s="561">
        <v>339.60300000000001</v>
      </c>
      <c r="K3943" s="561">
        <v>0</v>
      </c>
      <c r="L3943" s="561">
        <v>16194.677999999998</v>
      </c>
      <c r="M3943" s="561">
        <v>14081.489999999998</v>
      </c>
      <c r="N3943" s="561">
        <v>0</v>
      </c>
      <c r="O3943" s="561">
        <v>0</v>
      </c>
      <c r="P3943" s="561">
        <v>14081.489999999998</v>
      </c>
      <c r="Q3943" s="561">
        <v>14081.489999999998</v>
      </c>
    </row>
    <row r="3944" spans="1:111">
      <c r="A3944" s="561">
        <v>2</v>
      </c>
      <c r="B3944" s="561" t="s">
        <v>1570</v>
      </c>
      <c r="C3944" s="561" t="s">
        <v>1196</v>
      </c>
      <c r="D3944" s="561">
        <v>980526</v>
      </c>
      <c r="E3944" s="561">
        <v>280657.8</v>
      </c>
      <c r="F3944" s="561">
        <v>699868.2</v>
      </c>
      <c r="G3944" s="561">
        <v>14191</v>
      </c>
      <c r="H3944" s="561">
        <v>1055925.6250000002</v>
      </c>
      <c r="I3944" s="561">
        <v>1641</v>
      </c>
      <c r="J3944" s="561">
        <v>89662.722000000009</v>
      </c>
      <c r="K3944" s="561">
        <v>14079</v>
      </c>
      <c r="L3944" s="561">
        <v>992240.7200000002</v>
      </c>
      <c r="M3944" s="561">
        <v>980526</v>
      </c>
      <c r="N3944" s="561">
        <v>280657.79999999993</v>
      </c>
      <c r="O3944" s="561">
        <v>0</v>
      </c>
      <c r="P3944" s="561">
        <v>699868.2</v>
      </c>
      <c r="Q3944" s="561">
        <v>699868.2</v>
      </c>
    </row>
    <row r="3945" spans="1:111">
      <c r="C3945" s="561" t="s">
        <v>1197</v>
      </c>
      <c r="D3945" s="561">
        <v>842527</v>
      </c>
      <c r="E3945" s="561">
        <v>251258.1</v>
      </c>
      <c r="F3945" s="561">
        <v>591268.9</v>
      </c>
      <c r="G3945" s="561">
        <v>12714</v>
      </c>
      <c r="H3945" s="561">
        <v>911459.08500000008</v>
      </c>
      <c r="I3945" s="561">
        <v>1530</v>
      </c>
      <c r="J3945" s="561">
        <v>74285.100999999995</v>
      </c>
      <c r="K3945" s="561">
        <v>12605</v>
      </c>
      <c r="L3945" s="561">
        <v>859263.27500000014</v>
      </c>
      <c r="M3945" s="561">
        <v>847548.55400000012</v>
      </c>
      <c r="N3945" s="561">
        <v>251258.10100000005</v>
      </c>
      <c r="O3945" s="561">
        <v>0</v>
      </c>
      <c r="Q3945" s="561">
        <v>596290.45299999998</v>
      </c>
      <c r="AL3945" s="561">
        <v>596290.45299999998</v>
      </c>
    </row>
    <row r="3946" spans="1:111">
      <c r="C3946" s="561" t="s">
        <v>1198</v>
      </c>
      <c r="D3946" s="561">
        <v>122928</v>
      </c>
      <c r="E3946" s="561">
        <v>24878.400000000001</v>
      </c>
      <c r="F3946" s="561">
        <v>98049.600000000006</v>
      </c>
      <c r="G3946" s="561">
        <v>243</v>
      </c>
      <c r="H3946" s="561">
        <v>128934.857</v>
      </c>
      <c r="I3946" s="561">
        <v>40</v>
      </c>
      <c r="J3946" s="561">
        <v>14864.252</v>
      </c>
      <c r="K3946" s="561">
        <v>241</v>
      </c>
      <c r="L3946" s="561">
        <v>117955.48599999999</v>
      </c>
      <c r="M3946" s="561">
        <v>117955.48599999999</v>
      </c>
      <c r="N3946" s="561">
        <v>24878.399999999998</v>
      </c>
      <c r="O3946" s="561">
        <v>0</v>
      </c>
      <c r="P3946" s="561">
        <v>93077.085999999996</v>
      </c>
      <c r="Q3946" s="561">
        <v>93077.085999999996</v>
      </c>
    </row>
    <row r="3947" spans="1:111">
      <c r="C3947" s="561" t="s">
        <v>1199</v>
      </c>
      <c r="D3947" s="561">
        <v>15071</v>
      </c>
      <c r="E3947" s="561">
        <v>4521.2999999999811</v>
      </c>
      <c r="F3947" s="561">
        <v>10549.700000000019</v>
      </c>
      <c r="G3947" s="561">
        <v>1234</v>
      </c>
      <c r="H3947" s="561">
        <v>15531.683000000012</v>
      </c>
      <c r="I3947" s="561">
        <v>71</v>
      </c>
      <c r="J3947" s="561">
        <v>513.36900000000048</v>
      </c>
      <c r="K3947" s="561">
        <v>1233</v>
      </c>
      <c r="L3947" s="561">
        <v>15021.958999999999</v>
      </c>
      <c r="M3947" s="561">
        <v>15021.96</v>
      </c>
      <c r="N3947" s="561">
        <v>4521.2989999999991</v>
      </c>
      <c r="O3947" s="561">
        <v>0</v>
      </c>
      <c r="P3947" s="561">
        <v>10500.661</v>
      </c>
      <c r="Q3947" s="561">
        <v>10500.661</v>
      </c>
    </row>
    <row r="3948" spans="1:111">
      <c r="A3948" s="561">
        <v>3</v>
      </c>
      <c r="B3948" s="561" t="s">
        <v>1571</v>
      </c>
      <c r="C3948" s="561" t="s">
        <v>1196</v>
      </c>
      <c r="D3948" s="561">
        <v>627458</v>
      </c>
      <c r="E3948" s="561">
        <v>188627.4</v>
      </c>
      <c r="F3948" s="561">
        <v>438830.6</v>
      </c>
      <c r="G3948" s="561">
        <v>10374</v>
      </c>
      <c r="H3948" s="561">
        <v>663088.85123000003</v>
      </c>
      <c r="I3948" s="561">
        <v>989</v>
      </c>
      <c r="J3948" s="561">
        <v>35025.348670000007</v>
      </c>
      <c r="K3948" s="561">
        <v>10333</v>
      </c>
      <c r="L3948" s="561">
        <v>632701.59314999997</v>
      </c>
      <c r="M3948" s="561">
        <v>627458</v>
      </c>
      <c r="N3948" s="561">
        <v>188627.40000000002</v>
      </c>
      <c r="O3948" s="561">
        <v>0</v>
      </c>
      <c r="P3948" s="561">
        <v>438830.60000000003</v>
      </c>
      <c r="Q3948" s="561">
        <v>438830.60000000003</v>
      </c>
    </row>
    <row r="3949" spans="1:111">
      <c r="C3949" s="561" t="s">
        <v>1197</v>
      </c>
      <c r="D3949" s="561">
        <v>607615</v>
      </c>
      <c r="E3949" s="561">
        <v>185734.5</v>
      </c>
      <c r="F3949" s="561">
        <v>421880.5</v>
      </c>
      <c r="G3949" s="561">
        <v>9736</v>
      </c>
      <c r="H3949" s="561">
        <v>640607.36100000003</v>
      </c>
      <c r="I3949" s="561">
        <v>937</v>
      </c>
      <c r="J3949" s="561">
        <v>32290.072000000004</v>
      </c>
      <c r="K3949" s="561">
        <v>9701</v>
      </c>
      <c r="L3949" s="561">
        <v>612157.92000000004</v>
      </c>
      <c r="M3949" s="561">
        <v>606914.32699999993</v>
      </c>
      <c r="N3949" s="561">
        <v>185734.50000000003</v>
      </c>
      <c r="O3949" s="561">
        <v>0</v>
      </c>
      <c r="Q3949" s="561">
        <v>421179.82700000005</v>
      </c>
      <c r="BD3949" s="561">
        <v>421179.82700000005</v>
      </c>
    </row>
    <row r="3950" spans="1:111">
      <c r="C3950" s="561" t="s">
        <v>1198</v>
      </c>
      <c r="D3950" s="561">
        <v>12466</v>
      </c>
      <c r="E3950" s="561">
        <v>1189.8</v>
      </c>
      <c r="F3950" s="561">
        <v>11276.2</v>
      </c>
      <c r="G3950" s="561">
        <v>36</v>
      </c>
      <c r="H3950" s="561">
        <v>14733.450750000002</v>
      </c>
      <c r="I3950" s="561">
        <v>7</v>
      </c>
      <c r="J3950" s="561">
        <v>2554.0370000000003</v>
      </c>
      <c r="K3950" s="561">
        <v>32</v>
      </c>
      <c r="L3950" s="561">
        <v>12976.379000000001</v>
      </c>
      <c r="M3950" s="561">
        <v>12976.379000000001</v>
      </c>
      <c r="N3950" s="561">
        <v>1189.8000000000004</v>
      </c>
      <c r="O3950" s="561">
        <v>0</v>
      </c>
      <c r="P3950" s="561">
        <v>11786.579</v>
      </c>
      <c r="Q3950" s="561">
        <v>11786.579</v>
      </c>
    </row>
    <row r="3951" spans="1:111">
      <c r="C3951" s="561" t="s">
        <v>1199</v>
      </c>
      <c r="D3951" s="561">
        <v>7377</v>
      </c>
      <c r="E3951" s="561">
        <v>1703.0999999999942</v>
      </c>
      <c r="F3951" s="561">
        <v>5673.900000000006</v>
      </c>
      <c r="G3951" s="561">
        <v>602</v>
      </c>
      <c r="H3951" s="561">
        <v>7748.0394800000131</v>
      </c>
      <c r="I3951" s="561">
        <v>45</v>
      </c>
      <c r="J3951" s="561">
        <v>181.23967000000025</v>
      </c>
      <c r="K3951" s="561">
        <v>600</v>
      </c>
      <c r="L3951" s="561">
        <v>7567.2941499999997</v>
      </c>
      <c r="M3951" s="561">
        <v>7567.2939999999999</v>
      </c>
      <c r="N3951" s="561">
        <v>1703.0999999999997</v>
      </c>
      <c r="O3951" s="561">
        <v>0</v>
      </c>
      <c r="P3951" s="561">
        <v>5864.1939999999995</v>
      </c>
      <c r="Q3951" s="561">
        <v>5864.1939999999995</v>
      </c>
    </row>
    <row r="3952" spans="1:111">
      <c r="A3952" s="561">
        <v>4</v>
      </c>
      <c r="B3952" s="561" t="s">
        <v>1572</v>
      </c>
      <c r="C3952" s="561" t="s">
        <v>1196</v>
      </c>
      <c r="D3952" s="561">
        <v>100587</v>
      </c>
      <c r="E3952" s="561">
        <v>29576.1</v>
      </c>
      <c r="F3952" s="561">
        <v>71010.899999999994</v>
      </c>
      <c r="G3952" s="561">
        <v>2629</v>
      </c>
      <c r="H3952" s="561">
        <v>102437.74519999999</v>
      </c>
      <c r="I3952" s="561">
        <v>78</v>
      </c>
      <c r="J3952" s="561">
        <v>980.71146999999996</v>
      </c>
      <c r="K3952" s="561">
        <v>2629</v>
      </c>
      <c r="L3952" s="561">
        <v>101457.02800000001</v>
      </c>
      <c r="M3952" s="561">
        <v>100587.00000000001</v>
      </c>
      <c r="N3952" s="561">
        <v>29576.100000000002</v>
      </c>
      <c r="O3952" s="561">
        <v>0</v>
      </c>
      <c r="P3952" s="561">
        <v>71010.900000000009</v>
      </c>
      <c r="Q3952" s="561">
        <v>71010.900000000009</v>
      </c>
    </row>
    <row r="3953" spans="1:54">
      <c r="C3953" s="561" t="s">
        <v>1197</v>
      </c>
      <c r="D3953" s="561">
        <v>82576</v>
      </c>
      <c r="E3953" s="561">
        <v>24772.799999999999</v>
      </c>
      <c r="F3953" s="561">
        <v>57803.199999999997</v>
      </c>
      <c r="G3953" s="561">
        <v>1291</v>
      </c>
      <c r="H3953" s="561">
        <v>84147.65300000002</v>
      </c>
      <c r="I3953" s="561">
        <v>33</v>
      </c>
      <c r="J3953" s="561">
        <v>700.72699999999986</v>
      </c>
      <c r="K3953" s="561">
        <v>1291</v>
      </c>
      <c r="L3953" s="561">
        <v>83446.92300000001</v>
      </c>
      <c r="M3953" s="561">
        <v>82576.895000000004</v>
      </c>
      <c r="N3953" s="561">
        <v>24772.799999999999</v>
      </c>
      <c r="O3953" s="561">
        <v>0</v>
      </c>
      <c r="Q3953" s="561">
        <v>57804.094999999994</v>
      </c>
      <c r="AY3953" s="561">
        <v>57804.094999999994</v>
      </c>
    </row>
    <row r="3954" spans="1:54">
      <c r="C3954" s="561" t="s">
        <v>1198</v>
      </c>
      <c r="D3954" s="561">
        <v>0</v>
      </c>
      <c r="E3954" s="561">
        <v>0</v>
      </c>
      <c r="F3954" s="561">
        <v>0</v>
      </c>
      <c r="G3954" s="561">
        <v>0</v>
      </c>
      <c r="H3954" s="561">
        <v>0</v>
      </c>
      <c r="I3954" s="561">
        <v>0</v>
      </c>
      <c r="J3954" s="561">
        <v>0</v>
      </c>
      <c r="K3954" s="561">
        <v>0</v>
      </c>
      <c r="L3954" s="561">
        <v>0</v>
      </c>
      <c r="M3954" s="561">
        <v>0</v>
      </c>
      <c r="N3954" s="561">
        <v>0</v>
      </c>
      <c r="O3954" s="561">
        <v>0</v>
      </c>
      <c r="P3954" s="561">
        <v>0</v>
      </c>
      <c r="Q3954" s="561">
        <v>0</v>
      </c>
    </row>
    <row r="3955" spans="1:54">
      <c r="C3955" s="561" t="s">
        <v>1199</v>
      </c>
      <c r="D3955" s="561">
        <v>18011</v>
      </c>
      <c r="E3955" s="561">
        <v>4803.2999999999993</v>
      </c>
      <c r="F3955" s="561">
        <v>13207.7</v>
      </c>
      <c r="G3955" s="561">
        <v>1338</v>
      </c>
      <c r="H3955" s="561">
        <v>18290.092199999999</v>
      </c>
      <c r="I3955" s="561">
        <v>45</v>
      </c>
      <c r="J3955" s="561">
        <v>279.9844700000001</v>
      </c>
      <c r="K3955" s="561">
        <v>1338</v>
      </c>
      <c r="L3955" s="561">
        <v>18010.105</v>
      </c>
      <c r="M3955" s="561">
        <v>18010.105</v>
      </c>
      <c r="N3955" s="561">
        <v>4803.2999999999993</v>
      </c>
      <c r="O3955" s="561">
        <v>0</v>
      </c>
      <c r="P3955" s="561">
        <v>13206.805</v>
      </c>
      <c r="Q3955" s="561">
        <v>13206.805</v>
      </c>
    </row>
    <row r="3956" spans="1:54">
      <c r="A3956" s="561">
        <v>5</v>
      </c>
      <c r="B3956" s="561" t="s">
        <v>1573</v>
      </c>
      <c r="C3956" s="561" t="s">
        <v>1196</v>
      </c>
      <c r="D3956" s="561">
        <v>624340</v>
      </c>
      <c r="E3956" s="561">
        <v>167802</v>
      </c>
      <c r="F3956" s="561">
        <v>456538</v>
      </c>
      <c r="G3956" s="561">
        <v>9272</v>
      </c>
      <c r="H3956" s="561">
        <v>661263.65083000006</v>
      </c>
      <c r="I3956" s="561">
        <v>1086</v>
      </c>
      <c r="J3956" s="561">
        <v>52184.990830000002</v>
      </c>
      <c r="K3956" s="561">
        <v>9203</v>
      </c>
      <c r="L3956" s="561">
        <v>627612.2570000001</v>
      </c>
      <c r="M3956" s="561">
        <v>624340</v>
      </c>
      <c r="N3956" s="561">
        <v>167801.99999999997</v>
      </c>
      <c r="O3956" s="561">
        <v>0</v>
      </c>
      <c r="P3956" s="561">
        <v>456538</v>
      </c>
      <c r="Q3956" s="561">
        <v>456538</v>
      </c>
    </row>
    <row r="3957" spans="1:54">
      <c r="C3957" s="561" t="s">
        <v>1197</v>
      </c>
      <c r="D3957" s="561">
        <v>617624</v>
      </c>
      <c r="E3957" s="561">
        <v>166087.20000000001</v>
      </c>
      <c r="F3957" s="561">
        <v>451536.8</v>
      </c>
      <c r="G3957" s="561">
        <v>8653</v>
      </c>
      <c r="H3957" s="561">
        <v>653979.77400000009</v>
      </c>
      <c r="I3957" s="561">
        <v>945</v>
      </c>
      <c r="J3957" s="561">
        <v>39509.51</v>
      </c>
      <c r="K3957" s="561">
        <v>8586</v>
      </c>
      <c r="L3957" s="561">
        <v>620701.17600000009</v>
      </c>
      <c r="M3957" s="561">
        <v>617428.91899999999</v>
      </c>
      <c r="N3957" s="561">
        <v>166087.19999999998</v>
      </c>
      <c r="O3957" s="561">
        <v>0</v>
      </c>
      <c r="Q3957" s="561">
        <v>451341.71899999998</v>
      </c>
      <c r="BB3957" s="561">
        <v>451341.71899999998</v>
      </c>
    </row>
    <row r="3958" spans="1:54">
      <c r="C3958" s="561" t="s">
        <v>1198</v>
      </c>
      <c r="D3958" s="561">
        <v>0</v>
      </c>
      <c r="E3958" s="561">
        <v>0</v>
      </c>
      <c r="F3958" s="561">
        <v>0</v>
      </c>
      <c r="G3958" s="561">
        <v>0</v>
      </c>
      <c r="H3958" s="561">
        <v>0</v>
      </c>
      <c r="I3958" s="561">
        <v>0</v>
      </c>
      <c r="J3958" s="561">
        <v>0</v>
      </c>
      <c r="K3958" s="561">
        <v>0</v>
      </c>
      <c r="L3958" s="561">
        <v>0</v>
      </c>
      <c r="M3958" s="561">
        <v>0</v>
      </c>
      <c r="N3958" s="561">
        <v>0</v>
      </c>
      <c r="O3958" s="561">
        <v>0</v>
      </c>
      <c r="P3958" s="561">
        <v>0</v>
      </c>
      <c r="Q3958" s="561">
        <v>0</v>
      </c>
    </row>
    <row r="3959" spans="1:54">
      <c r="C3959" s="561" t="s">
        <v>1199</v>
      </c>
      <c r="D3959" s="561">
        <v>6716</v>
      </c>
      <c r="E3959" s="561">
        <v>1714.7999999999884</v>
      </c>
      <c r="F3959" s="561">
        <v>5001.2000000000116</v>
      </c>
      <c r="G3959" s="561">
        <v>619</v>
      </c>
      <c r="H3959" s="561">
        <v>7283.8768299999929</v>
      </c>
      <c r="I3959" s="561">
        <v>141</v>
      </c>
      <c r="J3959" s="561">
        <v>12675.48083</v>
      </c>
      <c r="K3959" s="561">
        <v>617</v>
      </c>
      <c r="L3959" s="561">
        <v>6911.0810000000001</v>
      </c>
      <c r="M3959" s="561">
        <v>6911.0809999999992</v>
      </c>
      <c r="N3959" s="561">
        <v>1714.8</v>
      </c>
      <c r="O3959" s="561">
        <v>0</v>
      </c>
      <c r="P3959" s="561">
        <v>5196.2809999999999</v>
      </c>
      <c r="Q3959" s="561">
        <v>5196.2809999999999</v>
      </c>
    </row>
    <row r="3960" spans="1:54">
      <c r="A3960" s="561">
        <v>6</v>
      </c>
      <c r="B3960" s="561" t="s">
        <v>1574</v>
      </c>
      <c r="C3960" s="561" t="s">
        <v>1196</v>
      </c>
      <c r="D3960" s="561">
        <v>1227444.845</v>
      </c>
      <c r="E3960" s="561">
        <v>236550</v>
      </c>
      <c r="F3960" s="561">
        <v>990894.84499999997</v>
      </c>
      <c r="G3960" s="561">
        <v>7251</v>
      </c>
      <c r="H3960" s="561">
        <v>1271160.5670799999</v>
      </c>
      <c r="I3960" s="561">
        <v>534</v>
      </c>
      <c r="J3960" s="561">
        <v>28588.721599999997</v>
      </c>
      <c r="K3960" s="561">
        <v>7229</v>
      </c>
      <c r="L3960" s="561">
        <v>1237722.686</v>
      </c>
      <c r="M3960" s="561">
        <v>1227444.845</v>
      </c>
      <c r="N3960" s="561">
        <v>236550</v>
      </c>
      <c r="O3960" s="561">
        <v>0</v>
      </c>
      <c r="P3960" s="561">
        <v>990894.84499999997</v>
      </c>
      <c r="Q3960" s="561">
        <v>990894.84499999997</v>
      </c>
    </row>
    <row r="3961" spans="1:54">
      <c r="C3961" s="561" t="s">
        <v>1197</v>
      </c>
      <c r="D3961" s="561">
        <v>393845</v>
      </c>
      <c r="E3961" s="561">
        <v>175476</v>
      </c>
      <c r="F3961" s="561">
        <v>218369</v>
      </c>
      <c r="G3961" s="561">
        <v>4112</v>
      </c>
      <c r="H3961" s="561">
        <v>420108.49601000006</v>
      </c>
      <c r="I3961" s="561">
        <v>345</v>
      </c>
      <c r="J3961" s="561">
        <v>16087.271999999997</v>
      </c>
      <c r="K3961" s="561">
        <v>4097</v>
      </c>
      <c r="L3961" s="561">
        <v>407481.33299999998</v>
      </c>
      <c r="M3961" s="561">
        <v>398491.41700000002</v>
      </c>
      <c r="N3961" s="561">
        <v>175476</v>
      </c>
      <c r="O3961" s="561">
        <v>0</v>
      </c>
      <c r="Q3961" s="561">
        <v>223015.41700000002</v>
      </c>
      <c r="AR3961" s="561">
        <v>223015.41700000002</v>
      </c>
    </row>
    <row r="3962" spans="1:54">
      <c r="C3962" s="561" t="s">
        <v>1198</v>
      </c>
      <c r="D3962" s="561">
        <v>777073</v>
      </c>
      <c r="E3962" s="561">
        <v>56721.599999999999</v>
      </c>
      <c r="F3962" s="561">
        <v>720351.4</v>
      </c>
      <c r="G3962" s="561">
        <v>1580</v>
      </c>
      <c r="H3962" s="561">
        <v>779757.52361000003</v>
      </c>
      <c r="I3962" s="561">
        <v>108</v>
      </c>
      <c r="J3962" s="561">
        <v>11537.310000000001</v>
      </c>
      <c r="K3962" s="561">
        <v>1577</v>
      </c>
      <c r="L3962" s="561">
        <v>772910.94799999997</v>
      </c>
      <c r="M3962" s="561">
        <v>772910.94800000009</v>
      </c>
      <c r="N3962" s="561">
        <v>56721.599999999962</v>
      </c>
      <c r="O3962" s="561">
        <v>0</v>
      </c>
      <c r="P3962" s="561">
        <v>716189.348</v>
      </c>
      <c r="Q3962" s="561">
        <v>716189.348</v>
      </c>
    </row>
    <row r="3963" spans="1:54">
      <c r="C3963" s="561" t="s">
        <v>1199</v>
      </c>
      <c r="D3963" s="561">
        <v>47508</v>
      </c>
      <c r="E3963" s="561">
        <v>4352.4000000000015</v>
      </c>
      <c r="F3963" s="561">
        <v>43155.6</v>
      </c>
      <c r="G3963" s="561">
        <v>1559</v>
      </c>
      <c r="H3963" s="561">
        <v>49252.058460000007</v>
      </c>
      <c r="I3963" s="561">
        <v>81</v>
      </c>
      <c r="J3963" s="561">
        <v>790.93160000000023</v>
      </c>
      <c r="K3963" s="561">
        <v>1555</v>
      </c>
      <c r="L3963" s="561">
        <v>48461.123999999996</v>
      </c>
      <c r="M3963" s="561">
        <v>48461.123999999996</v>
      </c>
      <c r="N3963" s="561">
        <v>4352.3999999999978</v>
      </c>
      <c r="O3963" s="561">
        <v>0</v>
      </c>
      <c r="P3963" s="561">
        <v>44108.723999999995</v>
      </c>
      <c r="Q3963" s="561">
        <v>44108.723999999995</v>
      </c>
    </row>
    <row r="3964" spans="1:54">
      <c r="C3964" s="561" t="s">
        <v>1202</v>
      </c>
      <c r="D3964" s="561">
        <v>9018.8449999999993</v>
      </c>
      <c r="F3964" s="561">
        <v>9018.8449999999993</v>
      </c>
      <c r="G3964" s="561">
        <v>0</v>
      </c>
      <c r="H3964" s="561">
        <v>22042.489000000001</v>
      </c>
      <c r="I3964" s="561">
        <v>0</v>
      </c>
      <c r="J3964" s="561">
        <v>173.208</v>
      </c>
      <c r="L3964" s="561">
        <v>8869.280999999999</v>
      </c>
      <c r="M3964" s="561">
        <v>7581.3559999999998</v>
      </c>
      <c r="N3964" s="561">
        <v>0</v>
      </c>
      <c r="O3964" s="561">
        <v>0</v>
      </c>
      <c r="P3964" s="561">
        <v>7581.3559999999998</v>
      </c>
      <c r="Q3964" s="561">
        <v>7581.3559999999998</v>
      </c>
    </row>
    <row r="3965" spans="1:54">
      <c r="A3965" s="561">
        <v>7</v>
      </c>
      <c r="B3965" s="561" t="s">
        <v>1575</v>
      </c>
      <c r="C3965" s="561" t="s">
        <v>1196</v>
      </c>
      <c r="D3965" s="561">
        <v>2375135</v>
      </c>
      <c r="E3965" s="561">
        <v>551642.69999999995</v>
      </c>
      <c r="F3965" s="561">
        <v>1823492.3</v>
      </c>
      <c r="G3965" s="561">
        <v>4906</v>
      </c>
      <c r="H3965" s="561">
        <v>2473717.1323399995</v>
      </c>
      <c r="I3965" s="561">
        <v>798</v>
      </c>
      <c r="J3965" s="561">
        <v>206145.92672000002</v>
      </c>
      <c r="K3965" s="561">
        <v>4879</v>
      </c>
      <c r="L3965" s="561">
        <v>2386649.3560199998</v>
      </c>
      <c r="M3965" s="561">
        <v>2375134.9999999995</v>
      </c>
      <c r="N3965" s="561">
        <v>551642.70100000012</v>
      </c>
      <c r="O3965" s="561">
        <v>0</v>
      </c>
      <c r="P3965" s="561">
        <v>1823492.2990000001</v>
      </c>
      <c r="Q3965" s="561">
        <v>1823492.2990000001</v>
      </c>
    </row>
    <row r="3966" spans="1:54">
      <c r="C3966" s="561" t="s">
        <v>1197</v>
      </c>
      <c r="D3966" s="561">
        <v>601448</v>
      </c>
      <c r="E3966" s="561">
        <v>334634.40000000002</v>
      </c>
      <c r="F3966" s="561">
        <v>266813.59999999998</v>
      </c>
      <c r="G3966" s="561">
        <v>3069</v>
      </c>
      <c r="H3966" s="561">
        <v>656457.26494999987</v>
      </c>
      <c r="I3966" s="561">
        <v>556</v>
      </c>
      <c r="J3966" s="561">
        <v>62633.14</v>
      </c>
      <c r="K3966" s="561">
        <v>3041</v>
      </c>
      <c r="L3966" s="561">
        <v>613969.58928000019</v>
      </c>
      <c r="M3966" s="561">
        <v>603322.32999999996</v>
      </c>
      <c r="N3966" s="561">
        <v>334634.39999999997</v>
      </c>
      <c r="O3966" s="561">
        <v>0</v>
      </c>
      <c r="Q3966" s="561">
        <v>268687.93</v>
      </c>
      <c r="AX3966" s="561">
        <v>268687.93</v>
      </c>
    </row>
    <row r="3967" spans="1:54">
      <c r="C3967" s="561" t="s">
        <v>1198</v>
      </c>
      <c r="D3967" s="561">
        <v>1770625</v>
      </c>
      <c r="E3967" s="561">
        <v>215459.7</v>
      </c>
      <c r="F3967" s="561">
        <v>1555165.3</v>
      </c>
      <c r="G3967" s="561">
        <v>1671</v>
      </c>
      <c r="H3967" s="561">
        <v>1814078.3208299996</v>
      </c>
      <c r="I3967" s="561">
        <v>233</v>
      </c>
      <c r="J3967" s="561">
        <v>143447.15700000001</v>
      </c>
      <c r="K3967" s="561">
        <v>1673</v>
      </c>
      <c r="L3967" s="561">
        <v>1769563.8507399997</v>
      </c>
      <c r="M3967" s="561">
        <v>1768696.754</v>
      </c>
      <c r="N3967" s="561">
        <v>215459.7</v>
      </c>
      <c r="O3967" s="561">
        <v>0</v>
      </c>
      <c r="P3967" s="561">
        <v>1553237.054</v>
      </c>
      <c r="Q3967" s="561">
        <v>1553237.054</v>
      </c>
    </row>
    <row r="3968" spans="1:54">
      <c r="C3968" s="561" t="s">
        <v>1199</v>
      </c>
      <c r="D3968" s="561">
        <v>3062</v>
      </c>
      <c r="E3968" s="561">
        <v>1548.5999999999185</v>
      </c>
      <c r="F3968" s="561">
        <v>1513.4000000000815</v>
      </c>
      <c r="G3968" s="561">
        <v>166</v>
      </c>
      <c r="H3968" s="561">
        <v>3181.546559999962</v>
      </c>
      <c r="I3968" s="561">
        <v>9</v>
      </c>
      <c r="J3968" s="561">
        <v>65.629719999997377</v>
      </c>
      <c r="K3968" s="561">
        <v>165</v>
      </c>
      <c r="L3968" s="561">
        <v>3115.9159999999997</v>
      </c>
      <c r="M3968" s="561">
        <v>3115.9160000000002</v>
      </c>
      <c r="N3968" s="561">
        <v>1548.6010000000001</v>
      </c>
      <c r="O3968" s="561">
        <v>0</v>
      </c>
      <c r="P3968" s="561">
        <v>1567.3150000000001</v>
      </c>
      <c r="Q3968" s="561">
        <v>1567.3150000000001</v>
      </c>
    </row>
    <row r="3969" spans="1:54">
      <c r="A3969" s="561">
        <v>8</v>
      </c>
      <c r="B3969" s="561" t="s">
        <v>1576</v>
      </c>
      <c r="C3969" s="561" t="s">
        <v>1196</v>
      </c>
      <c r="D3969" s="561">
        <v>105094</v>
      </c>
      <c r="E3969" s="561">
        <v>31528.2</v>
      </c>
      <c r="F3969" s="561">
        <v>73565.8</v>
      </c>
      <c r="G3969" s="561">
        <v>2025</v>
      </c>
      <c r="H3969" s="561">
        <v>106278.95319000001</v>
      </c>
      <c r="I3969" s="561">
        <v>83</v>
      </c>
      <c r="J3969" s="561">
        <v>1070.4378099999994</v>
      </c>
      <c r="K3969" s="561">
        <v>2024</v>
      </c>
      <c r="L3969" s="561">
        <v>105273.37300000001</v>
      </c>
      <c r="M3969" s="561">
        <v>105094</v>
      </c>
      <c r="N3969" s="561">
        <v>31528.200000000004</v>
      </c>
      <c r="O3969" s="561">
        <v>0</v>
      </c>
      <c r="P3969" s="561">
        <v>73565.8</v>
      </c>
      <c r="Q3969" s="561">
        <v>73565.8</v>
      </c>
    </row>
    <row r="3970" spans="1:54">
      <c r="C3970" s="561" t="s">
        <v>1197</v>
      </c>
      <c r="D3970" s="561">
        <v>93779</v>
      </c>
      <c r="E3970" s="561">
        <v>28493.7</v>
      </c>
      <c r="F3970" s="561">
        <v>65285.3</v>
      </c>
      <c r="G3970" s="561">
        <v>1341</v>
      </c>
      <c r="H3970" s="561">
        <v>94510.32680000001</v>
      </c>
      <c r="I3970" s="561">
        <v>23</v>
      </c>
      <c r="J3970" s="561">
        <v>755.46999999999935</v>
      </c>
      <c r="K3970" s="561">
        <v>1340</v>
      </c>
      <c r="L3970" s="561">
        <v>93819.716</v>
      </c>
      <c r="M3970" s="561">
        <v>93640.343000000008</v>
      </c>
      <c r="N3970" s="561">
        <v>28493.7</v>
      </c>
      <c r="O3970" s="561">
        <v>0</v>
      </c>
      <c r="Q3970" s="561">
        <v>65146.642999999996</v>
      </c>
      <c r="AL3970" s="561">
        <v>65146.642999999996</v>
      </c>
    </row>
    <row r="3971" spans="1:54">
      <c r="C3971" s="561" t="s">
        <v>1198</v>
      </c>
      <c r="D3971" s="561">
        <v>0</v>
      </c>
      <c r="E3971" s="561">
        <v>0</v>
      </c>
      <c r="F3971" s="561">
        <v>0</v>
      </c>
      <c r="G3971" s="561">
        <v>0</v>
      </c>
      <c r="H3971" s="561">
        <v>0</v>
      </c>
      <c r="I3971" s="561">
        <v>0</v>
      </c>
      <c r="J3971" s="561">
        <v>0</v>
      </c>
      <c r="K3971" s="561">
        <v>0</v>
      </c>
      <c r="L3971" s="561">
        <v>0</v>
      </c>
      <c r="M3971" s="561">
        <v>0</v>
      </c>
      <c r="N3971" s="561">
        <v>0</v>
      </c>
      <c r="O3971" s="561">
        <v>0</v>
      </c>
      <c r="P3971" s="561">
        <v>0</v>
      </c>
      <c r="Q3971" s="561">
        <v>0</v>
      </c>
    </row>
    <row r="3972" spans="1:54">
      <c r="C3972" s="561" t="s">
        <v>1199</v>
      </c>
      <c r="D3972" s="561">
        <v>11315</v>
      </c>
      <c r="E3972" s="561">
        <v>3034.5</v>
      </c>
      <c r="F3972" s="561">
        <v>8280.5</v>
      </c>
      <c r="G3972" s="561">
        <v>684</v>
      </c>
      <c r="H3972" s="561">
        <v>11768.626390000001</v>
      </c>
      <c r="I3972" s="561">
        <v>60</v>
      </c>
      <c r="J3972" s="561">
        <v>314.96780999999999</v>
      </c>
      <c r="K3972" s="561">
        <v>684</v>
      </c>
      <c r="L3972" s="561">
        <v>11453.657000000001</v>
      </c>
      <c r="M3972" s="561">
        <v>11453.657000000001</v>
      </c>
      <c r="N3972" s="561">
        <v>3034.5</v>
      </c>
      <c r="O3972" s="561">
        <v>0</v>
      </c>
      <c r="P3972" s="561">
        <v>8419.1570000000011</v>
      </c>
      <c r="Q3972" s="561">
        <v>8419.1570000000011</v>
      </c>
    </row>
    <row r="3973" spans="1:54">
      <c r="A3973" s="561">
        <v>9</v>
      </c>
      <c r="B3973" s="561" t="s">
        <v>1577</v>
      </c>
      <c r="C3973" s="561" t="s">
        <v>1196</v>
      </c>
      <c r="D3973" s="561">
        <v>596862.16399999999</v>
      </c>
      <c r="E3973" s="561">
        <v>172059</v>
      </c>
      <c r="F3973" s="561">
        <v>424803.16399999999</v>
      </c>
      <c r="G3973" s="561">
        <v>11525</v>
      </c>
      <c r="H3973" s="561">
        <v>621615.98739999998</v>
      </c>
      <c r="I3973" s="561">
        <v>998</v>
      </c>
      <c r="J3973" s="561">
        <v>61563.191940000004</v>
      </c>
      <c r="K3973" s="561">
        <v>11448</v>
      </c>
      <c r="L3973" s="561">
        <v>597745.38955999992</v>
      </c>
      <c r="M3973" s="561">
        <v>596862.16399999999</v>
      </c>
      <c r="N3973" s="561">
        <v>172059</v>
      </c>
      <c r="O3973" s="561">
        <v>0</v>
      </c>
      <c r="P3973" s="561">
        <v>424803.16399999999</v>
      </c>
      <c r="Q3973" s="561">
        <v>424803.16399999999</v>
      </c>
    </row>
    <row r="3974" spans="1:54">
      <c r="C3974" s="561" t="s">
        <v>1197</v>
      </c>
      <c r="D3974" s="561">
        <v>479208</v>
      </c>
      <c r="E3974" s="561">
        <v>149162.4</v>
      </c>
      <c r="F3974" s="561">
        <v>330045.59999999998</v>
      </c>
      <c r="G3974" s="561">
        <v>6683</v>
      </c>
      <c r="H3974" s="561">
        <v>500936.13999999996</v>
      </c>
      <c r="I3974" s="561">
        <v>857</v>
      </c>
      <c r="J3974" s="561">
        <v>57665.001000000004</v>
      </c>
      <c r="K3974" s="561">
        <v>6611</v>
      </c>
      <c r="L3974" s="561">
        <v>480071.02048000001</v>
      </c>
      <c r="M3974" s="561">
        <v>479978.51699999999</v>
      </c>
      <c r="N3974" s="561">
        <v>149162.4</v>
      </c>
      <c r="O3974" s="561">
        <v>0</v>
      </c>
      <c r="Q3974" s="561">
        <v>330816.11699999997</v>
      </c>
      <c r="AL3974" s="561">
        <v>330816.11699999997</v>
      </c>
    </row>
    <row r="3975" spans="1:54">
      <c r="C3975" s="561" t="s">
        <v>1198</v>
      </c>
      <c r="D3975" s="561">
        <v>42575</v>
      </c>
      <c r="E3975" s="561">
        <v>9172.5</v>
      </c>
      <c r="F3975" s="561">
        <v>33402.5</v>
      </c>
      <c r="G3975" s="561">
        <v>92</v>
      </c>
      <c r="H3975" s="561">
        <v>44684.731</v>
      </c>
      <c r="I3975" s="561">
        <v>5</v>
      </c>
      <c r="J3975" s="561">
        <v>2701.1865399999997</v>
      </c>
      <c r="K3975" s="561">
        <v>91</v>
      </c>
      <c r="L3975" s="561">
        <v>42876.262620000001</v>
      </c>
      <c r="M3975" s="561">
        <v>42876.262999999999</v>
      </c>
      <c r="N3975" s="561">
        <v>9172.4999999999982</v>
      </c>
      <c r="O3975" s="561">
        <v>0</v>
      </c>
      <c r="P3975" s="561">
        <v>33703.762999999999</v>
      </c>
      <c r="Q3975" s="561">
        <v>33703.762999999999</v>
      </c>
    </row>
    <row r="3976" spans="1:54">
      <c r="C3976" s="561" t="s">
        <v>1199</v>
      </c>
      <c r="D3976" s="561">
        <v>62747</v>
      </c>
      <c r="E3976" s="561">
        <v>13724.100000000006</v>
      </c>
      <c r="F3976" s="561">
        <v>49022.899999999994</v>
      </c>
      <c r="G3976" s="561">
        <v>4750</v>
      </c>
      <c r="H3976" s="561">
        <v>65298.7114</v>
      </c>
      <c r="I3976" s="561">
        <v>136</v>
      </c>
      <c r="J3976" s="561">
        <v>1197.0044</v>
      </c>
      <c r="K3976" s="561">
        <v>4746</v>
      </c>
      <c r="L3976" s="561">
        <v>64101.700459999993</v>
      </c>
      <c r="M3976" s="561">
        <v>64101.7</v>
      </c>
      <c r="N3976" s="561">
        <v>13724.099999999995</v>
      </c>
      <c r="O3976" s="561">
        <v>0</v>
      </c>
      <c r="P3976" s="561">
        <v>50377.599999999999</v>
      </c>
      <c r="Q3976" s="561">
        <v>50377.599999999999</v>
      </c>
    </row>
    <row r="3977" spans="1:54">
      <c r="C3977" s="561" t="s">
        <v>1202</v>
      </c>
      <c r="D3977" s="561">
        <v>12332.164000000001</v>
      </c>
      <c r="F3977" s="561">
        <v>12332.164000000001</v>
      </c>
      <c r="G3977" s="561">
        <v>0</v>
      </c>
      <c r="H3977" s="561">
        <v>10696.404999999999</v>
      </c>
      <c r="I3977" s="561">
        <v>0</v>
      </c>
      <c r="J3977" s="561">
        <v>0</v>
      </c>
      <c r="K3977" s="561">
        <v>0</v>
      </c>
      <c r="L3977" s="561">
        <v>10696.405999999999</v>
      </c>
      <c r="M3977" s="561">
        <v>9905.6839999999993</v>
      </c>
      <c r="N3977" s="561">
        <v>0</v>
      </c>
      <c r="O3977" s="561">
        <v>0</v>
      </c>
      <c r="P3977" s="561">
        <v>9905.6839999999993</v>
      </c>
      <c r="Q3977" s="561">
        <v>9905.6839999999993</v>
      </c>
    </row>
    <row r="3978" spans="1:54">
      <c r="A3978" s="561">
        <v>10</v>
      </c>
      <c r="B3978" s="561" t="s">
        <v>1578</v>
      </c>
      <c r="C3978" s="561" t="s">
        <v>1196</v>
      </c>
      <c r="D3978" s="561">
        <v>332246</v>
      </c>
      <c r="E3978" s="561">
        <v>98023.8</v>
      </c>
      <c r="F3978" s="561">
        <v>234222.2</v>
      </c>
      <c r="G3978" s="561">
        <v>6719</v>
      </c>
      <c r="H3978" s="561">
        <v>340393.56698</v>
      </c>
      <c r="I3978" s="561">
        <v>316</v>
      </c>
      <c r="J3978" s="561">
        <v>7066.6890600000006</v>
      </c>
      <c r="K3978" s="561">
        <v>6706</v>
      </c>
      <c r="L3978" s="561">
        <v>333548.53399999993</v>
      </c>
      <c r="M3978" s="561">
        <v>332246</v>
      </c>
      <c r="N3978" s="561">
        <v>98023.799999999988</v>
      </c>
      <c r="O3978" s="561">
        <v>0</v>
      </c>
      <c r="P3978" s="561">
        <v>234222.19999999998</v>
      </c>
      <c r="Q3978" s="561">
        <v>234222.19999999998</v>
      </c>
    </row>
    <row r="3979" spans="1:54">
      <c r="C3979" s="561" t="s">
        <v>1197</v>
      </c>
      <c r="D3979" s="561">
        <v>327478</v>
      </c>
      <c r="E3979" s="561">
        <v>96593.4</v>
      </c>
      <c r="F3979" s="561">
        <v>230884.6</v>
      </c>
      <c r="G3979" s="561">
        <v>6295</v>
      </c>
      <c r="H3979" s="561">
        <v>335625.94100000005</v>
      </c>
      <c r="I3979" s="561">
        <v>312</v>
      </c>
      <c r="J3979" s="561">
        <v>7053.2936800000007</v>
      </c>
      <c r="K3979" s="561">
        <v>6282</v>
      </c>
      <c r="L3979" s="561">
        <v>328793.43499999994</v>
      </c>
      <c r="M3979" s="561">
        <v>327490.90000000002</v>
      </c>
      <c r="N3979" s="561">
        <v>96593.400000000009</v>
      </c>
      <c r="O3979" s="561">
        <v>0</v>
      </c>
      <c r="Q3979" s="561">
        <v>230897.49999999997</v>
      </c>
      <c r="BB3979" s="561">
        <v>230897.49999999997</v>
      </c>
    </row>
    <row r="3980" spans="1:54">
      <c r="C3980" s="561" t="s">
        <v>1198</v>
      </c>
      <c r="D3980" s="561">
        <v>0</v>
      </c>
      <c r="E3980" s="561">
        <v>0</v>
      </c>
      <c r="F3980" s="561">
        <v>0</v>
      </c>
      <c r="G3980" s="561">
        <v>0</v>
      </c>
      <c r="H3980" s="561">
        <v>0</v>
      </c>
      <c r="I3980" s="561">
        <v>0</v>
      </c>
      <c r="J3980" s="561">
        <v>0</v>
      </c>
      <c r="K3980" s="561">
        <v>0</v>
      </c>
      <c r="L3980" s="561">
        <v>0</v>
      </c>
      <c r="M3980" s="561">
        <v>0</v>
      </c>
      <c r="N3980" s="561">
        <v>0</v>
      </c>
      <c r="O3980" s="561">
        <v>0</v>
      </c>
      <c r="P3980" s="561">
        <v>0</v>
      </c>
      <c r="Q3980" s="561">
        <v>0</v>
      </c>
    </row>
    <row r="3981" spans="1:54">
      <c r="C3981" s="561" t="s">
        <v>1199</v>
      </c>
      <c r="D3981" s="561">
        <v>4768</v>
      </c>
      <c r="E3981" s="561">
        <v>1430.4000000000087</v>
      </c>
      <c r="F3981" s="561">
        <v>3337.5999999999913</v>
      </c>
      <c r="G3981" s="561">
        <v>424</v>
      </c>
      <c r="H3981" s="561">
        <v>4767.6259799999971</v>
      </c>
      <c r="I3981" s="561">
        <v>4</v>
      </c>
      <c r="J3981" s="561">
        <v>13.39537999999995</v>
      </c>
      <c r="K3981" s="561">
        <v>424</v>
      </c>
      <c r="L3981" s="561">
        <v>4755.0989999999993</v>
      </c>
      <c r="M3981" s="561">
        <v>4755.0999999999995</v>
      </c>
      <c r="N3981" s="561">
        <v>1430.3999999999996</v>
      </c>
      <c r="O3981" s="561">
        <v>0</v>
      </c>
      <c r="P3981" s="561">
        <v>3324.7000000000003</v>
      </c>
      <c r="Q3981" s="561">
        <v>3324.7000000000003</v>
      </c>
    </row>
    <row r="3982" spans="1:54">
      <c r="A3982" s="561">
        <v>11</v>
      </c>
      <c r="B3982" s="561" t="s">
        <v>1579</v>
      </c>
      <c r="C3982" s="561" t="s">
        <v>1196</v>
      </c>
      <c r="D3982" s="561">
        <v>233286</v>
      </c>
      <c r="E3982" s="561">
        <v>69985.8</v>
      </c>
      <c r="F3982" s="561">
        <v>163300.20000000001</v>
      </c>
      <c r="G3982" s="561">
        <v>4612</v>
      </c>
      <c r="H3982" s="561">
        <v>243355.32100000003</v>
      </c>
      <c r="I3982" s="561">
        <v>396</v>
      </c>
      <c r="J3982" s="561">
        <v>9807.8529999999992</v>
      </c>
      <c r="K3982" s="561">
        <v>4599</v>
      </c>
      <c r="L3982" s="561">
        <v>233918.96602999998</v>
      </c>
      <c r="M3982" s="561">
        <v>233286.00000000003</v>
      </c>
      <c r="N3982" s="561">
        <v>69985.799999999988</v>
      </c>
      <c r="O3982" s="561">
        <v>0</v>
      </c>
      <c r="P3982" s="561">
        <v>163300.20000000001</v>
      </c>
      <c r="Q3982" s="561">
        <v>163300.20000000001</v>
      </c>
    </row>
    <row r="3983" spans="1:54">
      <c r="C3983" s="561" t="s">
        <v>1197</v>
      </c>
      <c r="D3983" s="561">
        <v>219106</v>
      </c>
      <c r="E3983" s="561">
        <v>66481.8</v>
      </c>
      <c r="F3983" s="561">
        <v>152624.20000000001</v>
      </c>
      <c r="G3983" s="561">
        <v>3553</v>
      </c>
      <c r="H3983" s="561">
        <v>228405.114</v>
      </c>
      <c r="I3983" s="561">
        <v>372</v>
      </c>
      <c r="J3983" s="561">
        <v>9664.0319999999992</v>
      </c>
      <c r="K3983" s="561">
        <v>3541</v>
      </c>
      <c r="L3983" s="561">
        <v>219112.57731999998</v>
      </c>
      <c r="M3983" s="561">
        <v>218479.61099999998</v>
      </c>
      <c r="N3983" s="561">
        <v>66481.799999999988</v>
      </c>
      <c r="O3983" s="561">
        <v>0</v>
      </c>
      <c r="Q3983" s="561">
        <v>151997.81100000002</v>
      </c>
      <c r="AL3983" s="561">
        <v>151997.81100000002</v>
      </c>
    </row>
    <row r="3984" spans="1:54">
      <c r="C3984" s="561" t="s">
        <v>1198</v>
      </c>
      <c r="D3984" s="561">
        <v>0</v>
      </c>
      <c r="E3984" s="561">
        <v>0</v>
      </c>
      <c r="F3984" s="561">
        <v>0</v>
      </c>
      <c r="G3984" s="561">
        <v>0</v>
      </c>
      <c r="H3984" s="561">
        <v>0</v>
      </c>
      <c r="I3984" s="561">
        <v>0</v>
      </c>
      <c r="J3984" s="561">
        <v>0</v>
      </c>
      <c r="K3984" s="561">
        <v>0</v>
      </c>
      <c r="L3984" s="561">
        <v>0</v>
      </c>
      <c r="M3984" s="561">
        <v>0</v>
      </c>
      <c r="N3984" s="561">
        <v>0</v>
      </c>
      <c r="O3984" s="561">
        <v>0</v>
      </c>
      <c r="P3984" s="561">
        <v>0</v>
      </c>
      <c r="Q3984" s="561">
        <v>0</v>
      </c>
    </row>
    <row r="3985" spans="1:54">
      <c r="C3985" s="561" t="s">
        <v>1199</v>
      </c>
      <c r="D3985" s="561">
        <v>14180</v>
      </c>
      <c r="E3985" s="561">
        <v>3504</v>
      </c>
      <c r="F3985" s="561">
        <v>10676</v>
      </c>
      <c r="G3985" s="561">
        <v>1059</v>
      </c>
      <c r="H3985" s="561">
        <v>14950.206999999995</v>
      </c>
      <c r="I3985" s="561">
        <v>24</v>
      </c>
      <c r="J3985" s="561">
        <v>143.82099999999988</v>
      </c>
      <c r="K3985" s="561">
        <v>1058</v>
      </c>
      <c r="L3985" s="561">
        <v>14806.388710000001</v>
      </c>
      <c r="M3985" s="561">
        <v>14806.389000000001</v>
      </c>
      <c r="N3985" s="561">
        <v>3504</v>
      </c>
      <c r="O3985" s="561">
        <v>0</v>
      </c>
      <c r="P3985" s="561">
        <v>11302.389000000001</v>
      </c>
      <c r="Q3985" s="561">
        <v>11302.389000000001</v>
      </c>
    </row>
    <row r="3986" spans="1:54">
      <c r="A3986" s="561">
        <v>12</v>
      </c>
      <c r="B3986" s="561" t="s">
        <v>1580</v>
      </c>
      <c r="C3986" s="561" t="s">
        <v>1196</v>
      </c>
      <c r="D3986" s="561">
        <v>118872</v>
      </c>
      <c r="E3986" s="561">
        <v>33261.599999999999</v>
      </c>
      <c r="F3986" s="561">
        <v>85610.4</v>
      </c>
      <c r="G3986" s="561">
        <v>2185</v>
      </c>
      <c r="H3986" s="561">
        <v>123282.99740000001</v>
      </c>
      <c r="I3986" s="561">
        <v>122</v>
      </c>
      <c r="J3986" s="561">
        <v>3144.1023999999989</v>
      </c>
      <c r="K3986" s="561">
        <v>2176</v>
      </c>
      <c r="L3986" s="561">
        <v>120612.652</v>
      </c>
      <c r="M3986" s="561">
        <v>118872</v>
      </c>
      <c r="N3986" s="561">
        <v>33261.599999999999</v>
      </c>
      <c r="O3986" s="561">
        <v>0</v>
      </c>
      <c r="P3986" s="561">
        <v>85610.400000000009</v>
      </c>
      <c r="Q3986" s="561">
        <v>85610.400000000009</v>
      </c>
    </row>
    <row r="3987" spans="1:54">
      <c r="C3987" s="561" t="s">
        <v>1197</v>
      </c>
      <c r="D3987" s="561">
        <v>110225</v>
      </c>
      <c r="E3987" s="561">
        <v>30967.5</v>
      </c>
      <c r="F3987" s="561">
        <v>79257.5</v>
      </c>
      <c r="G3987" s="561">
        <v>1613</v>
      </c>
      <c r="H3987" s="561">
        <v>114630.454</v>
      </c>
      <c r="I3987" s="561">
        <v>64</v>
      </c>
      <c r="J3987" s="561">
        <v>2828.3999999999987</v>
      </c>
      <c r="K3987" s="561">
        <v>1609</v>
      </c>
      <c r="L3987" s="561">
        <v>112275.81300000001</v>
      </c>
      <c r="M3987" s="561">
        <v>110535.16100000001</v>
      </c>
      <c r="N3987" s="561">
        <v>30967.499999999996</v>
      </c>
      <c r="O3987" s="561">
        <v>0</v>
      </c>
      <c r="Q3987" s="561">
        <v>79567.661000000007</v>
      </c>
      <c r="AL3987" s="561">
        <v>79567.661000000007</v>
      </c>
    </row>
    <row r="3988" spans="1:54">
      <c r="C3988" s="561" t="s">
        <v>1198</v>
      </c>
      <c r="D3988" s="561">
        <v>0</v>
      </c>
      <c r="E3988" s="561">
        <v>0</v>
      </c>
      <c r="F3988" s="561">
        <v>0</v>
      </c>
      <c r="G3988" s="561">
        <v>0</v>
      </c>
      <c r="H3988" s="561">
        <v>0</v>
      </c>
      <c r="I3988" s="561">
        <v>0</v>
      </c>
      <c r="J3988" s="561">
        <v>0</v>
      </c>
      <c r="K3988" s="561">
        <v>0</v>
      </c>
      <c r="L3988" s="561">
        <v>0</v>
      </c>
      <c r="M3988" s="561">
        <v>0</v>
      </c>
      <c r="N3988" s="561">
        <v>0</v>
      </c>
      <c r="O3988" s="561">
        <v>0</v>
      </c>
      <c r="P3988" s="561">
        <v>0</v>
      </c>
      <c r="Q3988" s="561">
        <v>0</v>
      </c>
    </row>
    <row r="3989" spans="1:54">
      <c r="C3989" s="561" t="s">
        <v>1199</v>
      </c>
      <c r="D3989" s="561">
        <v>8647</v>
      </c>
      <c r="E3989" s="561">
        <v>2294.0999999999985</v>
      </c>
      <c r="F3989" s="561">
        <v>6352.9000000000015</v>
      </c>
      <c r="G3989" s="561">
        <v>572</v>
      </c>
      <c r="H3989" s="561">
        <v>8652.5433999999987</v>
      </c>
      <c r="I3989" s="561">
        <v>58</v>
      </c>
      <c r="J3989" s="561">
        <v>315.70240000000007</v>
      </c>
      <c r="K3989" s="561">
        <v>567</v>
      </c>
      <c r="L3989" s="561">
        <v>8336.8389999999999</v>
      </c>
      <c r="M3989" s="561">
        <v>8336.8389999999999</v>
      </c>
      <c r="N3989" s="561">
        <v>2294.1000000000004</v>
      </c>
      <c r="O3989" s="561">
        <v>0</v>
      </c>
      <c r="P3989" s="561">
        <v>6042.7390000000005</v>
      </c>
      <c r="Q3989" s="561">
        <v>6042.7390000000005</v>
      </c>
    </row>
    <row r="3990" spans="1:54">
      <c r="A3990" s="561">
        <v>13</v>
      </c>
      <c r="B3990" s="561" t="s">
        <v>1581</v>
      </c>
      <c r="C3990" s="561" t="s">
        <v>1196</v>
      </c>
      <c r="D3990" s="561">
        <v>179807</v>
      </c>
      <c r="E3990" s="561">
        <v>51242.1</v>
      </c>
      <c r="F3990" s="561">
        <v>128564.9</v>
      </c>
      <c r="G3990" s="561">
        <v>4470</v>
      </c>
      <c r="H3990" s="561">
        <v>192739.16960000002</v>
      </c>
      <c r="I3990" s="561">
        <v>444</v>
      </c>
      <c r="J3990" s="561">
        <v>12193.875600000001</v>
      </c>
      <c r="K3990" s="561">
        <v>4389</v>
      </c>
      <c r="L3990" s="561">
        <v>180939.61235000001</v>
      </c>
      <c r="M3990" s="561">
        <v>179807.00000000003</v>
      </c>
      <c r="N3990" s="561">
        <v>51242.1</v>
      </c>
      <c r="O3990" s="561">
        <v>0</v>
      </c>
      <c r="P3990" s="561">
        <v>128564.89999999998</v>
      </c>
      <c r="Q3990" s="561">
        <v>128564.89999999998</v>
      </c>
    </row>
    <row r="3991" spans="1:54">
      <c r="C3991" s="561" t="s">
        <v>1197</v>
      </c>
      <c r="D3991" s="561">
        <v>140415</v>
      </c>
      <c r="E3991" s="561">
        <v>42124.5</v>
      </c>
      <c r="F3991" s="561">
        <v>98290.5</v>
      </c>
      <c r="G3991" s="561">
        <v>2494</v>
      </c>
      <c r="H3991" s="561">
        <v>151778.06</v>
      </c>
      <c r="I3991" s="561">
        <v>335</v>
      </c>
      <c r="J3991" s="561">
        <v>10648.056</v>
      </c>
      <c r="K3991" s="561">
        <v>2414</v>
      </c>
      <c r="L3991" s="561">
        <v>141521.32376</v>
      </c>
      <c r="M3991" s="561">
        <v>140388.71100000001</v>
      </c>
      <c r="N3991" s="561">
        <v>42124.500000000007</v>
      </c>
      <c r="O3991" s="561">
        <v>0</v>
      </c>
      <c r="Q3991" s="561">
        <v>98264.210999999996</v>
      </c>
      <c r="AL3991" s="561">
        <v>98264.210999999996</v>
      </c>
    </row>
    <row r="3992" spans="1:54">
      <c r="C3992" s="561" t="s">
        <v>1198</v>
      </c>
      <c r="D3992" s="561">
        <v>11573</v>
      </c>
      <c r="E3992" s="561">
        <v>2751.9</v>
      </c>
      <c r="F3992" s="561">
        <v>8821.1</v>
      </c>
      <c r="G3992" s="561">
        <v>15</v>
      </c>
      <c r="H3992" s="561">
        <v>12526.711000000001</v>
      </c>
      <c r="I3992" s="561">
        <v>4</v>
      </c>
      <c r="J3992" s="561">
        <v>1006.4570000000001</v>
      </c>
      <c r="K3992" s="561">
        <v>15</v>
      </c>
      <c r="L3992" s="561">
        <v>11520.257000000001</v>
      </c>
      <c r="M3992" s="561">
        <v>11520.257</v>
      </c>
      <c r="N3992" s="561">
        <v>2751.9000000000005</v>
      </c>
      <c r="O3992" s="561">
        <v>0</v>
      </c>
      <c r="P3992" s="561">
        <v>8768.357</v>
      </c>
      <c r="Q3992" s="561">
        <v>8768.357</v>
      </c>
    </row>
    <row r="3993" spans="1:54">
      <c r="C3993" s="561" t="s">
        <v>1199</v>
      </c>
      <c r="D3993" s="561">
        <v>27819</v>
      </c>
      <c r="E3993" s="561">
        <v>6365.6999999999989</v>
      </c>
      <c r="F3993" s="561">
        <v>21453.300000000003</v>
      </c>
      <c r="G3993" s="561">
        <v>1961</v>
      </c>
      <c r="H3993" s="561">
        <v>28434.3986</v>
      </c>
      <c r="I3993" s="561">
        <v>105</v>
      </c>
      <c r="J3993" s="561">
        <v>539.36259999999993</v>
      </c>
      <c r="K3993" s="561">
        <v>1960</v>
      </c>
      <c r="L3993" s="561">
        <v>27898.031589999999</v>
      </c>
      <c r="M3993" s="561">
        <v>27898.031999999999</v>
      </c>
      <c r="N3993" s="561">
        <v>6365.7000000000007</v>
      </c>
      <c r="O3993" s="561">
        <v>0</v>
      </c>
      <c r="P3993" s="561">
        <v>21532.331999999999</v>
      </c>
      <c r="Q3993" s="561">
        <v>21532.331999999999</v>
      </c>
    </row>
    <row r="3994" spans="1:54">
      <c r="A3994" s="561">
        <v>14</v>
      </c>
      <c r="B3994" s="561" t="s">
        <v>1582</v>
      </c>
      <c r="C3994" s="561" t="s">
        <v>1196</v>
      </c>
      <c r="D3994" s="561">
        <v>247247</v>
      </c>
      <c r="E3994" s="561">
        <v>31117.832999999999</v>
      </c>
      <c r="F3994" s="561">
        <v>216129.16700000002</v>
      </c>
      <c r="G3994" s="561">
        <v>4952</v>
      </c>
      <c r="H3994" s="561">
        <v>258938.26930000001</v>
      </c>
      <c r="I3994" s="561">
        <v>440</v>
      </c>
      <c r="J3994" s="561">
        <v>12109.278200000002</v>
      </c>
      <c r="K3994" s="561">
        <v>4935</v>
      </c>
      <c r="L3994" s="561">
        <v>248494.37300000002</v>
      </c>
      <c r="M3994" s="561">
        <v>247247</v>
      </c>
      <c r="N3994" s="561">
        <v>31117.833000000021</v>
      </c>
      <c r="O3994" s="561">
        <v>0</v>
      </c>
      <c r="P3994" s="561">
        <v>216129.16700000002</v>
      </c>
      <c r="Q3994" s="561">
        <v>216129.16700000002</v>
      </c>
    </row>
    <row r="3995" spans="1:54">
      <c r="C3995" s="561" t="s">
        <v>1197</v>
      </c>
      <c r="D3995" s="561">
        <v>229907</v>
      </c>
      <c r="E3995" s="561">
        <v>29231.075000000001</v>
      </c>
      <c r="F3995" s="561">
        <v>200675.92499999999</v>
      </c>
      <c r="G3995" s="561">
        <v>3587</v>
      </c>
      <c r="H3995" s="561">
        <v>241413.16400000002</v>
      </c>
      <c r="I3995" s="561">
        <v>408</v>
      </c>
      <c r="J3995" s="561">
        <v>11889.737000000003</v>
      </c>
      <c r="K3995" s="561">
        <v>3571</v>
      </c>
      <c r="L3995" s="561">
        <v>231114.44500000001</v>
      </c>
      <c r="M3995" s="561">
        <v>229867.07199999999</v>
      </c>
      <c r="N3995" s="561">
        <v>29231.075000000012</v>
      </c>
      <c r="O3995" s="561">
        <v>0</v>
      </c>
      <c r="Q3995" s="561">
        <v>200635.997</v>
      </c>
      <c r="AL3995" s="561">
        <v>200635.997</v>
      </c>
    </row>
    <row r="3996" spans="1:54">
      <c r="C3996" s="561" t="s">
        <v>1198</v>
      </c>
      <c r="D3996" s="561">
        <v>0</v>
      </c>
      <c r="E3996" s="561">
        <v>0</v>
      </c>
      <c r="F3996" s="561">
        <v>0</v>
      </c>
      <c r="G3996" s="561">
        <v>0</v>
      </c>
      <c r="H3996" s="561">
        <v>0</v>
      </c>
      <c r="I3996" s="561">
        <v>0</v>
      </c>
      <c r="J3996" s="561">
        <v>0</v>
      </c>
      <c r="K3996" s="561">
        <v>0</v>
      </c>
      <c r="L3996" s="561">
        <v>0</v>
      </c>
      <c r="M3996" s="561">
        <v>0</v>
      </c>
      <c r="N3996" s="561">
        <v>0</v>
      </c>
      <c r="O3996" s="561">
        <v>0</v>
      </c>
      <c r="P3996" s="561">
        <v>0</v>
      </c>
      <c r="Q3996" s="561">
        <v>0</v>
      </c>
    </row>
    <row r="3997" spans="1:54">
      <c r="C3997" s="561" t="s">
        <v>1199</v>
      </c>
      <c r="D3997" s="561">
        <v>17340</v>
      </c>
      <c r="E3997" s="561">
        <v>1886.757999999998</v>
      </c>
      <c r="F3997" s="561">
        <v>15453.242000000002</v>
      </c>
      <c r="G3997" s="561">
        <v>1365</v>
      </c>
      <c r="H3997" s="561">
        <v>17525.105299999996</v>
      </c>
      <c r="I3997" s="561">
        <v>32</v>
      </c>
      <c r="J3997" s="561">
        <v>219.54120000000006</v>
      </c>
      <c r="K3997" s="561">
        <v>1364</v>
      </c>
      <c r="L3997" s="561">
        <v>17379.928</v>
      </c>
      <c r="M3997" s="561">
        <v>17379.927999999996</v>
      </c>
      <c r="N3997" s="561">
        <v>1886.7580000000012</v>
      </c>
      <c r="O3997" s="561">
        <v>0</v>
      </c>
      <c r="P3997" s="561">
        <v>15493.169999999998</v>
      </c>
      <c r="Q3997" s="561">
        <v>15493.169999999998</v>
      </c>
    </row>
    <row r="3998" spans="1:54">
      <c r="A3998" s="561">
        <v>15</v>
      </c>
      <c r="B3998" s="561" t="s">
        <v>1583</v>
      </c>
      <c r="C3998" s="561" t="s">
        <v>1196</v>
      </c>
      <c r="D3998" s="561">
        <v>346819.054</v>
      </c>
      <c r="E3998" s="561">
        <v>97079.4</v>
      </c>
      <c r="F3998" s="561">
        <v>249739.65400000001</v>
      </c>
      <c r="G3998" s="561">
        <v>8833</v>
      </c>
      <c r="H3998" s="561">
        <v>367635.01299999998</v>
      </c>
      <c r="I3998" s="561">
        <v>721</v>
      </c>
      <c r="J3998" s="561">
        <v>13114.127</v>
      </c>
      <c r="K3998" s="561">
        <v>8813</v>
      </c>
      <c r="L3998" s="561">
        <v>353508.66876999999</v>
      </c>
      <c r="M3998" s="561">
        <v>346819.05736999999</v>
      </c>
      <c r="N3998" s="561">
        <v>97079.400000000009</v>
      </c>
      <c r="O3998" s="561">
        <v>0</v>
      </c>
      <c r="P3998" s="561">
        <v>249739.65736999997</v>
      </c>
      <c r="Q3998" s="561">
        <v>249739.65736999997</v>
      </c>
    </row>
    <row r="3999" spans="1:54">
      <c r="C3999" s="561" t="s">
        <v>1197</v>
      </c>
      <c r="D3999" s="561">
        <v>307379</v>
      </c>
      <c r="E3999" s="561">
        <v>89813.7</v>
      </c>
      <c r="F3999" s="561">
        <v>217565.3</v>
      </c>
      <c r="G3999" s="561">
        <v>6228</v>
      </c>
      <c r="H3999" s="561">
        <v>327590.375</v>
      </c>
      <c r="I3999" s="561">
        <v>643</v>
      </c>
      <c r="J3999" s="561">
        <v>12767.166999999999</v>
      </c>
      <c r="K3999" s="561">
        <v>6210</v>
      </c>
      <c r="L3999" s="561">
        <v>313789.45048</v>
      </c>
      <c r="M3999" s="561">
        <v>308071.67637</v>
      </c>
      <c r="N3999" s="561">
        <v>89813.700000000012</v>
      </c>
      <c r="O3999" s="561">
        <v>0</v>
      </c>
      <c r="Q3999" s="561">
        <v>218257.97637000002</v>
      </c>
      <c r="BB3999" s="561">
        <v>218257.97637000002</v>
      </c>
    </row>
    <row r="4000" spans="1:54">
      <c r="C4000" s="561" t="s">
        <v>1198</v>
      </c>
      <c r="D4000" s="561">
        <v>0</v>
      </c>
      <c r="E4000" s="561">
        <v>0</v>
      </c>
      <c r="F4000" s="561">
        <v>0</v>
      </c>
      <c r="G4000" s="561">
        <v>0</v>
      </c>
      <c r="H4000" s="561">
        <v>0</v>
      </c>
      <c r="I4000" s="561">
        <v>0</v>
      </c>
      <c r="J4000" s="561">
        <v>0</v>
      </c>
      <c r="K4000" s="561">
        <v>0</v>
      </c>
      <c r="L4000" s="561">
        <v>0</v>
      </c>
      <c r="M4000" s="561">
        <v>0</v>
      </c>
      <c r="N4000" s="561">
        <v>0</v>
      </c>
      <c r="O4000" s="561">
        <v>0</v>
      </c>
      <c r="P4000" s="561">
        <v>0</v>
      </c>
      <c r="Q4000" s="561">
        <v>0</v>
      </c>
    </row>
    <row r="4001" spans="1:17">
      <c r="C4001" s="561" t="s">
        <v>1199</v>
      </c>
      <c r="D4001" s="561">
        <v>32719</v>
      </c>
      <c r="E4001" s="561">
        <v>7265.6999999999971</v>
      </c>
      <c r="F4001" s="561">
        <v>25453.300000000003</v>
      </c>
      <c r="G4001" s="561">
        <v>2605</v>
      </c>
      <c r="H4001" s="561">
        <v>32312.15</v>
      </c>
      <c r="I4001" s="561">
        <v>78</v>
      </c>
      <c r="J4001" s="561">
        <v>303.46500000000009</v>
      </c>
      <c r="K4001" s="561">
        <v>2603</v>
      </c>
      <c r="L4001" s="561">
        <v>32030.225290000002</v>
      </c>
      <c r="M4001" s="561">
        <v>32030.225999999999</v>
      </c>
      <c r="N4001" s="561">
        <v>7265.7000000000007</v>
      </c>
      <c r="O4001" s="561">
        <v>0</v>
      </c>
      <c r="P4001" s="561">
        <v>24764.526000000002</v>
      </c>
      <c r="Q4001" s="561">
        <v>24764.526000000002</v>
      </c>
    </row>
    <row r="4002" spans="1:17">
      <c r="C4002" s="561" t="s">
        <v>1202</v>
      </c>
      <c r="D4002" s="561">
        <v>6721.0540000000001</v>
      </c>
      <c r="F4002" s="561">
        <v>6721.0540000000001</v>
      </c>
      <c r="G4002" s="561">
        <v>0</v>
      </c>
      <c r="H4002" s="561">
        <v>7732.4879999999994</v>
      </c>
      <c r="J4002" s="561">
        <v>43.494999999999997</v>
      </c>
      <c r="K4002" s="561">
        <v>0</v>
      </c>
      <c r="L4002" s="561">
        <v>7688.9929999999995</v>
      </c>
      <c r="M4002" s="561">
        <v>6717.1549999999997</v>
      </c>
      <c r="N4002" s="561">
        <v>0</v>
      </c>
      <c r="O4002" s="561">
        <v>0</v>
      </c>
      <c r="P4002" s="561">
        <v>6717.1549999999997</v>
      </c>
      <c r="Q4002" s="561">
        <v>6717.1549999999997</v>
      </c>
    </row>
    <row r="4003" spans="1:17">
      <c r="A4003" s="561">
        <v>16</v>
      </c>
      <c r="B4003" s="561" t="s">
        <v>1584</v>
      </c>
      <c r="C4003" s="561" t="s">
        <v>1196</v>
      </c>
      <c r="D4003" s="561">
        <v>43724</v>
      </c>
      <c r="E4003" s="561">
        <v>11917.2</v>
      </c>
      <c r="F4003" s="561">
        <v>31806.799999999999</v>
      </c>
      <c r="G4003" s="561">
        <v>3216</v>
      </c>
      <c r="H4003" s="561">
        <v>45771.009599999998</v>
      </c>
      <c r="I4003" s="561">
        <v>48</v>
      </c>
      <c r="J4003" s="561">
        <v>402.71859999999975</v>
      </c>
      <c r="K4003" s="561">
        <v>3214</v>
      </c>
      <c r="L4003" s="561">
        <v>44177.663000000008</v>
      </c>
      <c r="M4003" s="561">
        <v>43724</v>
      </c>
      <c r="N4003" s="561">
        <v>11917.2</v>
      </c>
      <c r="O4003" s="561">
        <v>0</v>
      </c>
      <c r="P4003" s="561">
        <v>31806.799999999999</v>
      </c>
      <c r="Q4003" s="561">
        <v>31806.799999999999</v>
      </c>
    </row>
    <row r="4004" spans="1:17">
      <c r="C4004" s="561" t="s">
        <v>1197</v>
      </c>
      <c r="D4004" s="561">
        <v>0</v>
      </c>
      <c r="E4004" s="561">
        <v>0</v>
      </c>
      <c r="F4004" s="561">
        <v>0</v>
      </c>
      <c r="G4004" s="561">
        <v>0</v>
      </c>
      <c r="H4004" s="561">
        <v>0</v>
      </c>
      <c r="I4004" s="561">
        <v>0</v>
      </c>
      <c r="J4004" s="561">
        <v>0</v>
      </c>
      <c r="K4004" s="561">
        <v>0</v>
      </c>
      <c r="L4004" s="561">
        <v>0</v>
      </c>
      <c r="M4004" s="561">
        <v>0</v>
      </c>
      <c r="N4004" s="561">
        <v>0</v>
      </c>
      <c r="O4004" s="561">
        <v>0</v>
      </c>
      <c r="P4004" s="561">
        <v>0</v>
      </c>
      <c r="Q4004" s="561">
        <v>0</v>
      </c>
    </row>
    <row r="4005" spans="1:17">
      <c r="C4005" s="561" t="s">
        <v>1198</v>
      </c>
      <c r="D4005" s="561">
        <v>0</v>
      </c>
      <c r="E4005" s="561">
        <v>0</v>
      </c>
      <c r="F4005" s="561">
        <v>0</v>
      </c>
      <c r="G4005" s="561">
        <v>0</v>
      </c>
      <c r="H4005" s="561">
        <v>0</v>
      </c>
      <c r="I4005" s="561">
        <v>0</v>
      </c>
      <c r="J4005" s="561">
        <v>0</v>
      </c>
      <c r="K4005" s="561">
        <v>0</v>
      </c>
      <c r="L4005" s="561">
        <v>0</v>
      </c>
      <c r="M4005" s="561">
        <v>0</v>
      </c>
      <c r="N4005" s="561">
        <v>0</v>
      </c>
      <c r="O4005" s="561">
        <v>0</v>
      </c>
      <c r="P4005" s="561">
        <v>0</v>
      </c>
      <c r="Q4005" s="561">
        <v>0</v>
      </c>
    </row>
    <row r="4006" spans="1:17">
      <c r="C4006" s="561" t="s">
        <v>1199</v>
      </c>
      <c r="D4006" s="561">
        <v>43724</v>
      </c>
      <c r="E4006" s="561">
        <v>11917.2</v>
      </c>
      <c r="F4006" s="561">
        <v>31806.799999999999</v>
      </c>
      <c r="G4006" s="561">
        <v>3216</v>
      </c>
      <c r="H4006" s="561">
        <v>45771.009599999998</v>
      </c>
      <c r="I4006" s="561">
        <v>48</v>
      </c>
      <c r="J4006" s="561">
        <v>402.71859999999975</v>
      </c>
      <c r="K4006" s="561">
        <v>3214</v>
      </c>
      <c r="L4006" s="561">
        <v>44177.663000000008</v>
      </c>
      <c r="M4006" s="561">
        <v>43724</v>
      </c>
      <c r="N4006" s="561">
        <v>11917.2</v>
      </c>
      <c r="O4006" s="561">
        <v>0</v>
      </c>
      <c r="P4006" s="561">
        <v>31806.799999999999</v>
      </c>
      <c r="Q4006" s="561">
        <v>31806.799999999999</v>
      </c>
    </row>
    <row r="4007" spans="1:17">
      <c r="A4007" s="561">
        <v>17</v>
      </c>
      <c r="B4007" s="561" t="s">
        <v>1585</v>
      </c>
      <c r="C4007" s="561" t="s">
        <v>1196</v>
      </c>
      <c r="D4007" s="561">
        <v>29799</v>
      </c>
      <c r="E4007" s="561">
        <v>8489.7000000000007</v>
      </c>
      <c r="F4007" s="561">
        <v>21309.3</v>
      </c>
      <c r="G4007" s="561">
        <v>2250</v>
      </c>
      <c r="H4007" s="561">
        <v>30429.508600000005</v>
      </c>
      <c r="I4007" s="561">
        <v>68</v>
      </c>
      <c r="J4007" s="561">
        <v>532.08860000000004</v>
      </c>
      <c r="K4007" s="561">
        <v>2250</v>
      </c>
      <c r="L4007" s="561">
        <v>29897.415000000001</v>
      </c>
      <c r="M4007" s="561">
        <v>29798.999999999996</v>
      </c>
      <c r="N4007" s="561">
        <v>8489.7000000000007</v>
      </c>
      <c r="O4007" s="561">
        <v>0</v>
      </c>
      <c r="P4007" s="561">
        <v>21309.299999999996</v>
      </c>
      <c r="Q4007" s="561">
        <v>21309.299999999996</v>
      </c>
    </row>
    <row r="4008" spans="1:17">
      <c r="C4008" s="561" t="s">
        <v>1197</v>
      </c>
      <c r="D4008" s="561">
        <v>0</v>
      </c>
      <c r="E4008" s="561">
        <v>0</v>
      </c>
      <c r="F4008" s="561">
        <v>0</v>
      </c>
      <c r="G4008" s="561">
        <v>0</v>
      </c>
      <c r="H4008" s="561">
        <v>0</v>
      </c>
      <c r="I4008" s="561">
        <v>0</v>
      </c>
      <c r="J4008" s="561">
        <v>0</v>
      </c>
      <c r="K4008" s="561">
        <v>0</v>
      </c>
      <c r="L4008" s="561">
        <v>0</v>
      </c>
      <c r="M4008" s="561">
        <v>0</v>
      </c>
      <c r="N4008" s="561">
        <v>0</v>
      </c>
      <c r="O4008" s="561">
        <v>0</v>
      </c>
      <c r="P4008" s="561">
        <v>0</v>
      </c>
      <c r="Q4008" s="561">
        <v>0</v>
      </c>
    </row>
    <row r="4009" spans="1:17">
      <c r="C4009" s="561" t="s">
        <v>1198</v>
      </c>
      <c r="D4009" s="561">
        <v>0</v>
      </c>
      <c r="E4009" s="561">
        <v>0</v>
      </c>
      <c r="F4009" s="561">
        <v>0</v>
      </c>
      <c r="G4009" s="561">
        <v>0</v>
      </c>
      <c r="H4009" s="561">
        <v>0</v>
      </c>
      <c r="I4009" s="561">
        <v>0</v>
      </c>
      <c r="J4009" s="561">
        <v>0</v>
      </c>
      <c r="K4009" s="561">
        <v>0</v>
      </c>
      <c r="L4009" s="561">
        <v>0</v>
      </c>
      <c r="M4009" s="561">
        <v>0</v>
      </c>
      <c r="N4009" s="561">
        <v>0</v>
      </c>
      <c r="O4009" s="561">
        <v>0</v>
      </c>
      <c r="P4009" s="561">
        <v>0</v>
      </c>
      <c r="Q4009" s="561">
        <v>0</v>
      </c>
    </row>
    <row r="4010" spans="1:17">
      <c r="C4010" s="561" t="s">
        <v>1199</v>
      </c>
      <c r="D4010" s="561">
        <v>29799</v>
      </c>
      <c r="E4010" s="561">
        <v>8489.7000000000007</v>
      </c>
      <c r="F4010" s="561">
        <v>21309.3</v>
      </c>
      <c r="G4010" s="561">
        <v>2250</v>
      </c>
      <c r="H4010" s="561">
        <v>30429.508600000005</v>
      </c>
      <c r="I4010" s="561">
        <v>68</v>
      </c>
      <c r="J4010" s="561">
        <v>532.08860000000004</v>
      </c>
      <c r="K4010" s="561">
        <v>2250</v>
      </c>
      <c r="L4010" s="561">
        <v>29897.415000000001</v>
      </c>
      <c r="M4010" s="561">
        <v>29798.998999999996</v>
      </c>
      <c r="N4010" s="561">
        <v>8489.7000000000007</v>
      </c>
      <c r="O4010" s="561">
        <v>0</v>
      </c>
      <c r="P4010" s="561">
        <v>21309.299999999996</v>
      </c>
      <c r="Q4010" s="561">
        <v>21309.299999999996</v>
      </c>
    </row>
    <row r="4011" spans="1:17">
      <c r="A4011" s="561">
        <v>18</v>
      </c>
      <c r="B4011" s="561" t="s">
        <v>1586</v>
      </c>
      <c r="C4011" s="561" t="s">
        <v>1196</v>
      </c>
      <c r="D4011" s="561">
        <v>85218</v>
      </c>
      <c r="E4011" s="561">
        <v>24965.4</v>
      </c>
      <c r="F4011" s="561">
        <v>60252.6</v>
      </c>
      <c r="G4011" s="561">
        <v>6782</v>
      </c>
      <c r="H4011" s="561">
        <v>88385.329700000002</v>
      </c>
      <c r="I4011" s="561">
        <v>311</v>
      </c>
      <c r="J4011" s="561">
        <v>1880.6858</v>
      </c>
      <c r="K4011" s="561">
        <v>6780</v>
      </c>
      <c r="L4011" s="561">
        <v>86383.257000000012</v>
      </c>
      <c r="M4011" s="561">
        <v>85218</v>
      </c>
      <c r="N4011" s="561">
        <v>24965.400000000005</v>
      </c>
      <c r="O4011" s="561">
        <v>0</v>
      </c>
      <c r="P4011" s="561">
        <v>60252.600000000006</v>
      </c>
      <c r="Q4011" s="561">
        <v>60252.600000000006</v>
      </c>
    </row>
    <row r="4012" spans="1:17">
      <c r="C4012" s="561" t="s">
        <v>1197</v>
      </c>
      <c r="D4012" s="561">
        <v>0</v>
      </c>
      <c r="E4012" s="561">
        <v>0</v>
      </c>
      <c r="F4012" s="561">
        <v>0</v>
      </c>
      <c r="G4012" s="561">
        <v>0</v>
      </c>
      <c r="H4012" s="561">
        <v>0</v>
      </c>
      <c r="I4012" s="561">
        <v>0</v>
      </c>
      <c r="J4012" s="561">
        <v>0</v>
      </c>
      <c r="K4012" s="561">
        <v>0</v>
      </c>
      <c r="L4012" s="561">
        <v>0</v>
      </c>
      <c r="M4012" s="561">
        <v>0</v>
      </c>
      <c r="N4012" s="561">
        <v>0</v>
      </c>
      <c r="O4012" s="561">
        <v>0</v>
      </c>
      <c r="P4012" s="561">
        <v>0</v>
      </c>
      <c r="Q4012" s="561">
        <v>0</v>
      </c>
    </row>
    <row r="4013" spans="1:17">
      <c r="C4013" s="561" t="s">
        <v>1198</v>
      </c>
      <c r="D4013" s="561">
        <v>0</v>
      </c>
      <c r="E4013" s="561">
        <v>0</v>
      </c>
      <c r="F4013" s="561">
        <v>0</v>
      </c>
      <c r="G4013" s="561">
        <v>0</v>
      </c>
      <c r="H4013" s="561">
        <v>0</v>
      </c>
      <c r="I4013" s="561">
        <v>0</v>
      </c>
      <c r="J4013" s="561">
        <v>0</v>
      </c>
      <c r="K4013" s="561">
        <v>0</v>
      </c>
      <c r="L4013" s="561">
        <v>0</v>
      </c>
      <c r="M4013" s="561">
        <v>0</v>
      </c>
      <c r="N4013" s="561">
        <v>0</v>
      </c>
      <c r="O4013" s="561">
        <v>0</v>
      </c>
      <c r="P4013" s="561">
        <v>0</v>
      </c>
      <c r="Q4013" s="561">
        <v>0</v>
      </c>
    </row>
    <row r="4014" spans="1:17">
      <c r="C4014" s="561" t="s">
        <v>1199</v>
      </c>
      <c r="D4014" s="561">
        <v>85218</v>
      </c>
      <c r="E4014" s="561">
        <v>24965.4</v>
      </c>
      <c r="F4014" s="561">
        <v>60252.6</v>
      </c>
      <c r="G4014" s="561">
        <v>6782</v>
      </c>
      <c r="H4014" s="561">
        <v>88385.329700000002</v>
      </c>
      <c r="I4014" s="561">
        <v>311</v>
      </c>
      <c r="J4014" s="561">
        <v>1880.6858</v>
      </c>
      <c r="K4014" s="561">
        <v>6780</v>
      </c>
      <c r="L4014" s="561">
        <v>86383.257000000012</v>
      </c>
      <c r="M4014" s="561">
        <v>85218</v>
      </c>
      <c r="N4014" s="561">
        <v>24965.400000000005</v>
      </c>
      <c r="O4014" s="561">
        <v>0</v>
      </c>
      <c r="P4014" s="561">
        <v>60252.600000000006</v>
      </c>
      <c r="Q4014" s="561">
        <v>60252.600000000006</v>
      </c>
    </row>
    <row r="4015" spans="1:17">
      <c r="A4015" s="561">
        <v>19</v>
      </c>
      <c r="B4015" s="561" t="s">
        <v>1587</v>
      </c>
      <c r="C4015" s="561" t="s">
        <v>1196</v>
      </c>
      <c r="D4015" s="561">
        <v>61342</v>
      </c>
      <c r="E4015" s="561">
        <v>16302.6</v>
      </c>
      <c r="F4015" s="561">
        <v>45039.4</v>
      </c>
      <c r="G4015" s="561">
        <v>5203</v>
      </c>
      <c r="H4015" s="561">
        <v>69934.620720000006</v>
      </c>
      <c r="I4015" s="561">
        <v>239</v>
      </c>
      <c r="J4015" s="561">
        <v>1255.4376000000002</v>
      </c>
      <c r="K4015" s="561">
        <v>4936</v>
      </c>
      <c r="L4015" s="561">
        <v>65189.595999999998</v>
      </c>
      <c r="M4015" s="561">
        <v>61342</v>
      </c>
      <c r="N4015" s="561">
        <v>16302.599999999999</v>
      </c>
      <c r="O4015" s="561">
        <v>0</v>
      </c>
      <c r="P4015" s="561">
        <v>45039.399999999994</v>
      </c>
      <c r="Q4015" s="561">
        <v>45039.399999999994</v>
      </c>
    </row>
    <row r="4016" spans="1:17">
      <c r="C4016" s="561" t="s">
        <v>1197</v>
      </c>
      <c r="D4016" s="561">
        <v>0</v>
      </c>
      <c r="E4016" s="561">
        <v>0</v>
      </c>
      <c r="F4016" s="561">
        <v>0</v>
      </c>
      <c r="G4016" s="561">
        <v>0</v>
      </c>
      <c r="H4016" s="561">
        <v>0</v>
      </c>
      <c r="I4016" s="561">
        <v>0</v>
      </c>
      <c r="J4016" s="561">
        <v>0</v>
      </c>
      <c r="K4016" s="561">
        <v>0</v>
      </c>
      <c r="L4016" s="561">
        <v>0</v>
      </c>
      <c r="M4016" s="561">
        <v>0</v>
      </c>
      <c r="N4016" s="561">
        <v>0</v>
      </c>
      <c r="O4016" s="561">
        <v>0</v>
      </c>
      <c r="P4016" s="561">
        <v>0</v>
      </c>
      <c r="Q4016" s="561">
        <v>0</v>
      </c>
    </row>
    <row r="4017" spans="1:38">
      <c r="C4017" s="561" t="s">
        <v>1198</v>
      </c>
      <c r="D4017" s="561">
        <v>0</v>
      </c>
      <c r="E4017" s="561">
        <v>0</v>
      </c>
      <c r="F4017" s="561">
        <v>0</v>
      </c>
      <c r="G4017" s="561">
        <v>0</v>
      </c>
      <c r="H4017" s="561">
        <v>0</v>
      </c>
      <c r="I4017" s="561">
        <v>0</v>
      </c>
      <c r="J4017" s="561">
        <v>0</v>
      </c>
      <c r="K4017" s="561">
        <v>0</v>
      </c>
      <c r="L4017" s="561">
        <v>0</v>
      </c>
      <c r="M4017" s="561">
        <v>0</v>
      </c>
      <c r="N4017" s="561">
        <v>0</v>
      </c>
      <c r="O4017" s="561">
        <v>0</v>
      </c>
      <c r="P4017" s="561">
        <v>0</v>
      </c>
      <c r="Q4017" s="561">
        <v>0</v>
      </c>
    </row>
    <row r="4018" spans="1:38">
      <c r="C4018" s="561" t="s">
        <v>1199</v>
      </c>
      <c r="D4018" s="561">
        <v>61342</v>
      </c>
      <c r="E4018" s="561">
        <v>16302.6</v>
      </c>
      <c r="F4018" s="561">
        <v>45039.4</v>
      </c>
      <c r="G4018" s="561">
        <v>5203</v>
      </c>
      <c r="H4018" s="561">
        <v>69934.620720000006</v>
      </c>
      <c r="I4018" s="561">
        <v>239</v>
      </c>
      <c r="J4018" s="561">
        <v>1255.4376000000002</v>
      </c>
      <c r="K4018" s="561">
        <v>4936</v>
      </c>
      <c r="L4018" s="561">
        <v>65189.595999999998</v>
      </c>
      <c r="M4018" s="561">
        <v>61342</v>
      </c>
      <c r="N4018" s="561">
        <v>16302.599999999999</v>
      </c>
      <c r="O4018" s="561">
        <v>0</v>
      </c>
      <c r="P4018" s="561">
        <v>45039.399999999994</v>
      </c>
      <c r="Q4018" s="561">
        <v>45039.399999999994</v>
      </c>
    </row>
    <row r="4019" spans="1:38">
      <c r="A4019" s="561">
        <v>20</v>
      </c>
      <c r="B4019" s="561" t="s">
        <v>1588</v>
      </c>
      <c r="C4019" s="561" t="s">
        <v>1196</v>
      </c>
      <c r="D4019" s="561">
        <v>22694</v>
      </c>
      <c r="E4019" s="561">
        <v>5556.6</v>
      </c>
      <c r="F4019" s="561">
        <v>17137.400000000001</v>
      </c>
      <c r="G4019" s="561">
        <v>1867</v>
      </c>
      <c r="H4019" s="561">
        <v>24703.278200000004</v>
      </c>
      <c r="I4019" s="561">
        <v>50</v>
      </c>
      <c r="J4019" s="561">
        <v>266.38800000000003</v>
      </c>
      <c r="K4019" s="561">
        <v>1863</v>
      </c>
      <c r="L4019" s="561">
        <v>24437.963</v>
      </c>
      <c r="M4019" s="561">
        <v>22694</v>
      </c>
      <c r="N4019" s="561">
        <v>5556.5999999999985</v>
      </c>
      <c r="O4019" s="561">
        <v>0</v>
      </c>
      <c r="P4019" s="561">
        <v>17137.400000000001</v>
      </c>
      <c r="Q4019" s="561">
        <v>17137.400000000001</v>
      </c>
    </row>
    <row r="4020" spans="1:38">
      <c r="C4020" s="561" t="s">
        <v>1197</v>
      </c>
      <c r="D4020" s="561">
        <v>0</v>
      </c>
      <c r="E4020" s="561">
        <v>0</v>
      </c>
      <c r="F4020" s="561">
        <v>0</v>
      </c>
      <c r="G4020" s="561">
        <v>0</v>
      </c>
      <c r="H4020" s="561">
        <v>0</v>
      </c>
      <c r="I4020" s="561">
        <v>0</v>
      </c>
      <c r="J4020" s="561">
        <v>0</v>
      </c>
      <c r="K4020" s="561">
        <v>0</v>
      </c>
      <c r="L4020" s="561">
        <v>0</v>
      </c>
      <c r="M4020" s="561">
        <v>0</v>
      </c>
      <c r="N4020" s="561">
        <v>0</v>
      </c>
      <c r="O4020" s="561">
        <v>0</v>
      </c>
      <c r="P4020" s="561">
        <v>0</v>
      </c>
      <c r="Q4020" s="561">
        <v>0</v>
      </c>
    </row>
    <row r="4021" spans="1:38">
      <c r="C4021" s="561" t="s">
        <v>1198</v>
      </c>
      <c r="D4021" s="561">
        <v>0</v>
      </c>
      <c r="E4021" s="561">
        <v>0</v>
      </c>
      <c r="F4021" s="561">
        <v>0</v>
      </c>
      <c r="G4021" s="561">
        <v>0</v>
      </c>
      <c r="H4021" s="561">
        <v>0</v>
      </c>
      <c r="I4021" s="561">
        <v>0</v>
      </c>
      <c r="J4021" s="561">
        <v>0</v>
      </c>
      <c r="K4021" s="561">
        <v>0</v>
      </c>
      <c r="L4021" s="561">
        <v>0</v>
      </c>
      <c r="M4021" s="561">
        <v>0</v>
      </c>
      <c r="N4021" s="561">
        <v>0</v>
      </c>
      <c r="O4021" s="561">
        <v>0</v>
      </c>
      <c r="P4021" s="561">
        <v>0</v>
      </c>
      <c r="Q4021" s="561">
        <v>0</v>
      </c>
    </row>
    <row r="4022" spans="1:38">
      <c r="C4022" s="561" t="s">
        <v>1199</v>
      </c>
      <c r="D4022" s="561">
        <v>22694</v>
      </c>
      <c r="E4022" s="561">
        <v>5556.6</v>
      </c>
      <c r="F4022" s="561">
        <v>17137.400000000001</v>
      </c>
      <c r="G4022" s="561">
        <v>1867</v>
      </c>
      <c r="H4022" s="561">
        <v>24703.278200000004</v>
      </c>
      <c r="I4022" s="561">
        <v>50</v>
      </c>
      <c r="J4022" s="561">
        <v>266.38800000000003</v>
      </c>
      <c r="K4022" s="561">
        <v>1863</v>
      </c>
      <c r="L4022" s="561">
        <v>24437.963</v>
      </c>
      <c r="M4022" s="561">
        <v>22694</v>
      </c>
      <c r="N4022" s="561">
        <v>5556.5999999999985</v>
      </c>
      <c r="O4022" s="561">
        <v>0</v>
      </c>
      <c r="P4022" s="561">
        <v>17137.400000000001</v>
      </c>
      <c r="Q4022" s="561">
        <v>17137.400000000001</v>
      </c>
    </row>
    <row r="4023" spans="1:38">
      <c r="A4023" s="561">
        <v>21</v>
      </c>
      <c r="B4023" s="561" t="s">
        <v>1589</v>
      </c>
      <c r="C4023" s="561" t="s">
        <v>1196</v>
      </c>
      <c r="D4023" s="561">
        <v>17029</v>
      </c>
      <c r="E4023" s="561">
        <v>0</v>
      </c>
      <c r="F4023" s="561">
        <v>17029</v>
      </c>
      <c r="G4023" s="561">
        <v>1001</v>
      </c>
      <c r="H4023" s="561">
        <v>14412.273410000002</v>
      </c>
      <c r="I4023" s="561">
        <v>14</v>
      </c>
      <c r="J4023" s="561">
        <v>65.772000000000006</v>
      </c>
      <c r="K4023" s="561">
        <v>1088</v>
      </c>
      <c r="L4023" s="561">
        <v>14346.499059999998</v>
      </c>
      <c r="M4023" s="561">
        <v>17029</v>
      </c>
      <c r="N4023" s="561">
        <v>0</v>
      </c>
      <c r="O4023" s="561">
        <v>0</v>
      </c>
      <c r="P4023" s="561">
        <v>17029</v>
      </c>
      <c r="Q4023" s="561">
        <v>17029</v>
      </c>
    </row>
    <row r="4024" spans="1:38">
      <c r="C4024" s="561" t="s">
        <v>1197</v>
      </c>
      <c r="D4024" s="561">
        <v>0</v>
      </c>
      <c r="E4024" s="561">
        <v>0</v>
      </c>
      <c r="F4024" s="561">
        <v>0</v>
      </c>
      <c r="G4024" s="561">
        <v>0</v>
      </c>
      <c r="H4024" s="561">
        <v>0</v>
      </c>
      <c r="I4024" s="561">
        <v>0</v>
      </c>
      <c r="J4024" s="561">
        <v>0</v>
      </c>
      <c r="K4024" s="561">
        <v>0</v>
      </c>
      <c r="L4024" s="561">
        <v>0</v>
      </c>
      <c r="M4024" s="561">
        <v>0</v>
      </c>
      <c r="N4024" s="561">
        <v>0</v>
      </c>
      <c r="O4024" s="561">
        <v>0</v>
      </c>
      <c r="P4024" s="561">
        <v>0</v>
      </c>
      <c r="Q4024" s="561">
        <v>0</v>
      </c>
    </row>
    <row r="4025" spans="1:38">
      <c r="C4025" s="561" t="s">
        <v>1198</v>
      </c>
      <c r="D4025" s="561">
        <v>0</v>
      </c>
      <c r="E4025" s="561">
        <v>0</v>
      </c>
      <c r="F4025" s="561">
        <v>0</v>
      </c>
      <c r="G4025" s="561">
        <v>0</v>
      </c>
      <c r="H4025" s="561">
        <v>0</v>
      </c>
      <c r="I4025" s="561">
        <v>0</v>
      </c>
      <c r="J4025" s="561">
        <v>0</v>
      </c>
      <c r="K4025" s="561">
        <v>0</v>
      </c>
      <c r="L4025" s="561">
        <v>0</v>
      </c>
      <c r="M4025" s="561">
        <v>0</v>
      </c>
      <c r="N4025" s="561">
        <v>0</v>
      </c>
      <c r="O4025" s="561">
        <v>0</v>
      </c>
      <c r="P4025" s="561">
        <v>0</v>
      </c>
      <c r="Q4025" s="561">
        <v>0</v>
      </c>
    </row>
    <row r="4026" spans="1:38">
      <c r="C4026" s="561" t="s">
        <v>1199</v>
      </c>
      <c r="D4026" s="561">
        <v>17029</v>
      </c>
      <c r="E4026" s="561">
        <v>0</v>
      </c>
      <c r="F4026" s="561">
        <v>17029</v>
      </c>
      <c r="G4026" s="561">
        <v>1001</v>
      </c>
      <c r="H4026" s="561">
        <v>14412.273410000002</v>
      </c>
      <c r="I4026" s="561">
        <v>14</v>
      </c>
      <c r="J4026" s="561">
        <v>65.772000000000006</v>
      </c>
      <c r="K4026" s="561">
        <v>1088</v>
      </c>
      <c r="L4026" s="561">
        <v>14346.499059999998</v>
      </c>
      <c r="M4026" s="561">
        <v>17029</v>
      </c>
      <c r="N4026" s="561">
        <v>0</v>
      </c>
      <c r="O4026" s="561">
        <v>0</v>
      </c>
      <c r="P4026" s="561">
        <v>17029</v>
      </c>
      <c r="Q4026" s="561">
        <v>17029</v>
      </c>
    </row>
    <row r="4027" spans="1:38">
      <c r="A4027" s="561">
        <v>22</v>
      </c>
      <c r="B4027" s="561" t="s">
        <v>1590</v>
      </c>
      <c r="C4027" s="561" t="s">
        <v>1196</v>
      </c>
      <c r="D4027" s="561">
        <v>606024</v>
      </c>
      <c r="E4027" s="561">
        <v>173107.20000000001</v>
      </c>
      <c r="F4027" s="561">
        <v>432916.8</v>
      </c>
      <c r="G4027" s="561">
        <v>9600</v>
      </c>
      <c r="H4027" s="561">
        <v>638113.54602000001</v>
      </c>
      <c r="I4027" s="561">
        <v>1392</v>
      </c>
      <c r="J4027" s="561">
        <v>47844.635919999993</v>
      </c>
      <c r="K4027" s="561">
        <v>9516</v>
      </c>
      <c r="L4027" s="561">
        <v>607139.30700000003</v>
      </c>
      <c r="M4027" s="561">
        <v>606024</v>
      </c>
      <c r="N4027" s="561">
        <v>173107.20000000001</v>
      </c>
      <c r="O4027" s="561">
        <v>0</v>
      </c>
      <c r="P4027" s="561">
        <v>432916.80000000005</v>
      </c>
      <c r="Q4027" s="561">
        <v>432916.80000000005</v>
      </c>
    </row>
    <row r="4028" spans="1:38">
      <c r="C4028" s="561" t="s">
        <v>1197</v>
      </c>
      <c r="D4028" s="561">
        <v>582782</v>
      </c>
      <c r="E4028" s="561">
        <v>170334.6</v>
      </c>
      <c r="F4028" s="561">
        <v>412447.4</v>
      </c>
      <c r="G4028" s="561">
        <v>8176</v>
      </c>
      <c r="H4028" s="561">
        <v>613549.46300000011</v>
      </c>
      <c r="I4028" s="561">
        <v>1253</v>
      </c>
      <c r="J4028" s="561">
        <v>46874.395999999993</v>
      </c>
      <c r="K4028" s="561">
        <v>8104</v>
      </c>
      <c r="L4028" s="561">
        <v>583545.46600000001</v>
      </c>
      <c r="M4028" s="561">
        <v>582430.15800000005</v>
      </c>
      <c r="N4028" s="561">
        <v>170334.59999999998</v>
      </c>
      <c r="O4028" s="561">
        <v>0</v>
      </c>
      <c r="Q4028" s="561">
        <v>412095.55800000002</v>
      </c>
      <c r="AL4028" s="561">
        <v>412095.55800000002</v>
      </c>
    </row>
    <row r="4029" spans="1:38">
      <c r="C4029" s="561" t="s">
        <v>1198</v>
      </c>
      <c r="D4029" s="561">
        <v>0</v>
      </c>
      <c r="E4029" s="561">
        <v>0</v>
      </c>
      <c r="F4029" s="561">
        <v>0</v>
      </c>
      <c r="G4029" s="561">
        <v>0</v>
      </c>
      <c r="H4029" s="561">
        <v>0</v>
      </c>
      <c r="I4029" s="561">
        <v>0</v>
      </c>
      <c r="J4029" s="561">
        <v>0</v>
      </c>
      <c r="K4029" s="561">
        <v>0</v>
      </c>
      <c r="L4029" s="561">
        <v>0</v>
      </c>
      <c r="M4029" s="561">
        <v>0</v>
      </c>
      <c r="N4029" s="561">
        <v>0</v>
      </c>
      <c r="O4029" s="561">
        <v>0</v>
      </c>
      <c r="P4029" s="561">
        <v>0</v>
      </c>
      <c r="Q4029" s="561">
        <v>0</v>
      </c>
    </row>
    <row r="4030" spans="1:38">
      <c r="C4030" s="561" t="s">
        <v>1199</v>
      </c>
      <c r="D4030" s="561">
        <v>23242</v>
      </c>
      <c r="E4030" s="561">
        <v>2772.6000000000058</v>
      </c>
      <c r="F4030" s="561">
        <v>20469.399999999994</v>
      </c>
      <c r="G4030" s="561">
        <v>1424</v>
      </c>
      <c r="H4030" s="561">
        <v>24564.083019999995</v>
      </c>
      <c r="I4030" s="561">
        <v>139</v>
      </c>
      <c r="J4030" s="561">
        <v>970.23991999999976</v>
      </c>
      <c r="K4030" s="561">
        <v>1412</v>
      </c>
      <c r="L4030" s="561">
        <v>23593.840999999997</v>
      </c>
      <c r="M4030" s="561">
        <v>23593.841999999997</v>
      </c>
      <c r="N4030" s="561">
        <v>2772.6000000000004</v>
      </c>
      <c r="O4030" s="561">
        <v>0</v>
      </c>
      <c r="P4030" s="561">
        <v>20821.241999999998</v>
      </c>
      <c r="Q4030" s="561">
        <v>20821.241999999998</v>
      </c>
    </row>
    <row r="4031" spans="1:38">
      <c r="A4031" s="561">
        <v>23</v>
      </c>
      <c r="B4031" s="561" t="s">
        <v>1591</v>
      </c>
      <c r="C4031" s="561" t="s">
        <v>1196</v>
      </c>
      <c r="D4031" s="561">
        <v>179933</v>
      </c>
      <c r="E4031" s="561">
        <v>55959.9</v>
      </c>
      <c r="F4031" s="561">
        <v>123973.1</v>
      </c>
      <c r="G4031" s="561">
        <v>3043</v>
      </c>
      <c r="H4031" s="561">
        <v>189498.22322000004</v>
      </c>
      <c r="I4031" s="561">
        <v>212</v>
      </c>
      <c r="J4031" s="561">
        <v>8761.0983999999989</v>
      </c>
      <c r="K4031" s="561">
        <v>3018</v>
      </c>
      <c r="L4031" s="561">
        <v>180952.63199999998</v>
      </c>
      <c r="M4031" s="561">
        <v>179933</v>
      </c>
      <c r="N4031" s="561">
        <v>55959.899999999994</v>
      </c>
      <c r="O4031" s="561">
        <v>0</v>
      </c>
      <c r="P4031" s="561">
        <v>123973.1</v>
      </c>
      <c r="Q4031" s="561">
        <v>123973.1</v>
      </c>
    </row>
    <row r="4032" spans="1:38">
      <c r="C4032" s="561" t="s">
        <v>1197</v>
      </c>
      <c r="D4032" s="561">
        <v>171746</v>
      </c>
      <c r="E4032" s="561">
        <v>53773.8</v>
      </c>
      <c r="F4032" s="561">
        <v>117972.2</v>
      </c>
      <c r="G4032" s="561">
        <v>2392</v>
      </c>
      <c r="H4032" s="561">
        <v>181138.73239000005</v>
      </c>
      <c r="I4032" s="561">
        <v>185</v>
      </c>
      <c r="J4032" s="561">
        <v>8593.3169999999991</v>
      </c>
      <c r="K4032" s="561">
        <v>2372</v>
      </c>
      <c r="L4032" s="561">
        <v>172760.92399999997</v>
      </c>
      <c r="M4032" s="561">
        <v>171765.32700000002</v>
      </c>
      <c r="N4032" s="561">
        <v>53773.8</v>
      </c>
      <c r="O4032" s="561">
        <v>0</v>
      </c>
      <c r="Q4032" s="561">
        <v>117991.527</v>
      </c>
      <c r="AL4032" s="561">
        <v>117991.527</v>
      </c>
    </row>
    <row r="4033" spans="1:54">
      <c r="C4033" s="561" t="s">
        <v>1198</v>
      </c>
      <c r="D4033" s="561">
        <v>0</v>
      </c>
      <c r="E4033" s="561">
        <v>0</v>
      </c>
      <c r="F4033" s="561">
        <v>0</v>
      </c>
      <c r="G4033" s="561">
        <v>0</v>
      </c>
      <c r="H4033" s="561">
        <v>0</v>
      </c>
      <c r="I4033" s="561">
        <v>0</v>
      </c>
      <c r="J4033" s="561">
        <v>0</v>
      </c>
      <c r="K4033" s="561">
        <v>0</v>
      </c>
      <c r="L4033" s="561">
        <v>0</v>
      </c>
      <c r="M4033" s="561">
        <v>0</v>
      </c>
      <c r="N4033" s="561">
        <v>0</v>
      </c>
      <c r="O4033" s="561">
        <v>0</v>
      </c>
      <c r="P4033" s="561">
        <v>0</v>
      </c>
      <c r="Q4033" s="561">
        <v>0</v>
      </c>
    </row>
    <row r="4034" spans="1:54">
      <c r="C4034" s="561" t="s">
        <v>1199</v>
      </c>
      <c r="D4034" s="561">
        <v>8187</v>
      </c>
      <c r="E4034" s="561">
        <v>2186.0999999999985</v>
      </c>
      <c r="F4034" s="561">
        <v>6000.9000000000015</v>
      </c>
      <c r="G4034" s="561">
        <v>651</v>
      </c>
      <c r="H4034" s="561">
        <v>8359.4908299999988</v>
      </c>
      <c r="I4034" s="561">
        <v>27</v>
      </c>
      <c r="J4034" s="561">
        <v>167.78140000000008</v>
      </c>
      <c r="K4034" s="561">
        <v>646</v>
      </c>
      <c r="L4034" s="561">
        <v>8191.7079999999996</v>
      </c>
      <c r="M4034" s="561">
        <v>8167.6729999999989</v>
      </c>
      <c r="N4034" s="561">
        <v>2186.1</v>
      </c>
      <c r="O4034" s="561">
        <v>0</v>
      </c>
      <c r="P4034" s="561">
        <v>5981.5730000000003</v>
      </c>
      <c r="Q4034" s="561">
        <v>5981.5730000000003</v>
      </c>
    </row>
    <row r="4035" spans="1:54">
      <c r="A4035" s="561">
        <v>24</v>
      </c>
      <c r="B4035" s="561" t="s">
        <v>1592</v>
      </c>
      <c r="C4035" s="561" t="s">
        <v>1196</v>
      </c>
      <c r="D4035" s="561">
        <v>294847</v>
      </c>
      <c r="E4035" s="561">
        <v>88454.1</v>
      </c>
      <c r="F4035" s="561">
        <v>206392.9</v>
      </c>
      <c r="G4035" s="561">
        <v>6351</v>
      </c>
      <c r="H4035" s="561">
        <v>306168.10141999996</v>
      </c>
      <c r="I4035" s="561">
        <v>602</v>
      </c>
      <c r="J4035" s="561">
        <v>11026.16713</v>
      </c>
      <c r="K4035" s="561">
        <v>6323</v>
      </c>
      <c r="L4035" s="561">
        <v>295531.84499999997</v>
      </c>
      <c r="M4035" s="561">
        <v>294847</v>
      </c>
      <c r="N4035" s="561">
        <v>88454.1</v>
      </c>
      <c r="O4035" s="561">
        <v>0</v>
      </c>
      <c r="P4035" s="561">
        <v>206392.89999999997</v>
      </c>
      <c r="Q4035" s="561">
        <v>206392.89999999997</v>
      </c>
    </row>
    <row r="4036" spans="1:54">
      <c r="C4036" s="561" t="s">
        <v>1197</v>
      </c>
      <c r="D4036" s="561">
        <v>290005</v>
      </c>
      <c r="E4036" s="561">
        <v>87001.5</v>
      </c>
      <c r="F4036" s="561">
        <v>203003.5</v>
      </c>
      <c r="G4036" s="561">
        <v>5892</v>
      </c>
      <c r="H4036" s="561">
        <v>300855.88</v>
      </c>
      <c r="I4036" s="561">
        <v>506</v>
      </c>
      <c r="J4036" s="561">
        <v>10624.503709999999</v>
      </c>
      <c r="K4036" s="561">
        <v>5871</v>
      </c>
      <c r="L4036" s="561">
        <v>290621.28999999998</v>
      </c>
      <c r="M4036" s="561">
        <v>289936.44399999996</v>
      </c>
      <c r="N4036" s="561">
        <v>87001.5</v>
      </c>
      <c r="O4036" s="561">
        <v>0</v>
      </c>
      <c r="Q4036" s="561">
        <v>202934.94399999999</v>
      </c>
      <c r="BB4036" s="561">
        <v>202934.94399999999</v>
      </c>
    </row>
    <row r="4037" spans="1:54">
      <c r="C4037" s="561" t="s">
        <v>1198</v>
      </c>
      <c r="D4037" s="561">
        <v>0</v>
      </c>
      <c r="E4037" s="561">
        <v>0</v>
      </c>
      <c r="F4037" s="561">
        <v>0</v>
      </c>
      <c r="G4037" s="561">
        <v>0</v>
      </c>
      <c r="H4037" s="561">
        <v>0</v>
      </c>
      <c r="I4037" s="561">
        <v>0</v>
      </c>
      <c r="J4037" s="561">
        <v>0</v>
      </c>
      <c r="K4037" s="561">
        <v>0</v>
      </c>
      <c r="L4037" s="561">
        <v>0</v>
      </c>
      <c r="M4037" s="561">
        <v>0</v>
      </c>
      <c r="N4037" s="561">
        <v>0</v>
      </c>
      <c r="O4037" s="561">
        <v>0</v>
      </c>
      <c r="P4037" s="561">
        <v>0</v>
      </c>
      <c r="Q4037" s="561">
        <v>0</v>
      </c>
    </row>
    <row r="4038" spans="1:54">
      <c r="C4038" s="561" t="s">
        <v>1199</v>
      </c>
      <c r="D4038" s="561">
        <v>4842</v>
      </c>
      <c r="E4038" s="561">
        <v>1452.6000000000058</v>
      </c>
      <c r="F4038" s="561">
        <v>3389.3999999999942</v>
      </c>
      <c r="G4038" s="561">
        <v>459</v>
      </c>
      <c r="H4038" s="561">
        <v>5312.221419999998</v>
      </c>
      <c r="I4038" s="561">
        <v>96</v>
      </c>
      <c r="J4038" s="561">
        <v>401.66341999999997</v>
      </c>
      <c r="K4038" s="561">
        <v>452</v>
      </c>
      <c r="L4038" s="561">
        <v>4910.5550000000003</v>
      </c>
      <c r="M4038" s="561">
        <v>4910.5560000000005</v>
      </c>
      <c r="N4038" s="561">
        <v>1452.6000000000004</v>
      </c>
      <c r="O4038" s="561">
        <v>0</v>
      </c>
      <c r="P4038" s="561">
        <v>3457.9560000000001</v>
      </c>
      <c r="Q4038" s="561">
        <v>3457.9560000000001</v>
      </c>
    </row>
    <row r="4039" spans="1:54">
      <c r="A4039" s="561">
        <v>25</v>
      </c>
      <c r="B4039" s="561" t="s">
        <v>1593</v>
      </c>
      <c r="C4039" s="561" t="s">
        <v>1196</v>
      </c>
      <c r="D4039" s="561">
        <v>25082</v>
      </c>
      <c r="E4039" s="561">
        <v>7524.6</v>
      </c>
      <c r="F4039" s="561">
        <v>17557.400000000001</v>
      </c>
      <c r="G4039" s="561">
        <v>883</v>
      </c>
      <c r="H4039" s="561">
        <v>27909.467479999999</v>
      </c>
      <c r="I4039" s="561">
        <v>98</v>
      </c>
      <c r="J4039" s="561">
        <v>1496.3521500000002</v>
      </c>
      <c r="K4039" s="561">
        <v>877</v>
      </c>
      <c r="L4039" s="561">
        <v>26413.076929999999</v>
      </c>
      <c r="M4039" s="561">
        <v>25081.999999999996</v>
      </c>
      <c r="N4039" s="561">
        <v>7524.5999999999995</v>
      </c>
      <c r="O4039" s="561">
        <v>0</v>
      </c>
      <c r="P4039" s="561">
        <v>17557.400000000001</v>
      </c>
      <c r="Q4039" s="561">
        <v>17557.400000000001</v>
      </c>
    </row>
    <row r="4040" spans="1:54">
      <c r="C4040" s="561" t="s">
        <v>1197</v>
      </c>
      <c r="D4040" s="561">
        <v>19099</v>
      </c>
      <c r="E4040" s="561">
        <v>5729.7</v>
      </c>
      <c r="F4040" s="561">
        <v>13369.3</v>
      </c>
      <c r="G4040" s="561">
        <v>374</v>
      </c>
      <c r="H4040" s="561">
        <v>21444.72653</v>
      </c>
      <c r="I4040" s="561">
        <v>55</v>
      </c>
      <c r="J4040" s="561">
        <v>1229.1055100000001</v>
      </c>
      <c r="K4040" s="561">
        <v>372</v>
      </c>
      <c r="L4040" s="561">
        <v>20215.616999999998</v>
      </c>
      <c r="M4040" s="561">
        <v>19028.646999999997</v>
      </c>
      <c r="N4040" s="561">
        <v>5729.7000000000007</v>
      </c>
      <c r="O4040" s="561">
        <v>0</v>
      </c>
      <c r="Q4040" s="561">
        <v>13298.947</v>
      </c>
      <c r="AL4040" s="561">
        <v>13298.947</v>
      </c>
    </row>
    <row r="4041" spans="1:54">
      <c r="C4041" s="561" t="s">
        <v>1198</v>
      </c>
      <c r="D4041" s="561">
        <v>0</v>
      </c>
      <c r="E4041" s="561">
        <v>0</v>
      </c>
      <c r="F4041" s="561">
        <v>0</v>
      </c>
      <c r="G4041" s="561">
        <v>0</v>
      </c>
      <c r="H4041" s="561">
        <v>0</v>
      </c>
      <c r="I4041" s="561">
        <v>0</v>
      </c>
      <c r="J4041" s="561">
        <v>0</v>
      </c>
      <c r="K4041" s="561">
        <v>0</v>
      </c>
      <c r="L4041" s="561">
        <v>0</v>
      </c>
      <c r="M4041" s="561">
        <v>0</v>
      </c>
      <c r="N4041" s="561">
        <v>0</v>
      </c>
      <c r="O4041" s="561">
        <v>0</v>
      </c>
      <c r="P4041" s="561">
        <v>0</v>
      </c>
      <c r="Q4041" s="561">
        <v>0</v>
      </c>
    </row>
    <row r="4042" spans="1:54">
      <c r="C4042" s="561" t="s">
        <v>1199</v>
      </c>
      <c r="D4042" s="561">
        <v>5983</v>
      </c>
      <c r="E4042" s="561">
        <v>1794.9000000000005</v>
      </c>
      <c r="F4042" s="561">
        <v>4188.0999999999995</v>
      </c>
      <c r="G4042" s="561">
        <v>509</v>
      </c>
      <c r="H4042" s="561">
        <v>6464.7409500000003</v>
      </c>
      <c r="I4042" s="561">
        <v>43</v>
      </c>
      <c r="J4042" s="561">
        <v>267.24663999999996</v>
      </c>
      <c r="K4042" s="561">
        <v>505</v>
      </c>
      <c r="L4042" s="561">
        <v>6197.45993</v>
      </c>
      <c r="M4042" s="561">
        <v>6053.3530000000001</v>
      </c>
      <c r="N4042" s="561">
        <v>1794.9</v>
      </c>
      <c r="O4042" s="561">
        <v>0</v>
      </c>
      <c r="P4042" s="561">
        <v>4258.4530000000004</v>
      </c>
      <c r="Q4042" s="561">
        <v>4258.4530000000004</v>
      </c>
    </row>
    <row r="4043" spans="1:54">
      <c r="A4043" s="561">
        <v>26</v>
      </c>
      <c r="B4043" s="561" t="s">
        <v>1594</v>
      </c>
      <c r="C4043" s="561" t="s">
        <v>1196</v>
      </c>
      <c r="D4043" s="561">
        <v>28900</v>
      </c>
      <c r="E4043" s="561">
        <v>8670</v>
      </c>
      <c r="F4043" s="561">
        <v>20230</v>
      </c>
      <c r="G4043" s="561">
        <v>507</v>
      </c>
      <c r="H4043" s="561">
        <v>29580.678190000002</v>
      </c>
      <c r="I4043" s="561">
        <v>34</v>
      </c>
      <c r="J4043" s="561">
        <v>579.59799999999996</v>
      </c>
      <c r="K4043" s="561">
        <v>507</v>
      </c>
      <c r="L4043" s="561">
        <v>29002.273000000001</v>
      </c>
      <c r="M4043" s="561">
        <v>28899.999999999996</v>
      </c>
      <c r="N4043" s="561">
        <v>8669.9999999999982</v>
      </c>
      <c r="O4043" s="561">
        <v>0</v>
      </c>
      <c r="P4043" s="561">
        <v>20230</v>
      </c>
      <c r="Q4043" s="561">
        <v>20230</v>
      </c>
    </row>
    <row r="4044" spans="1:54">
      <c r="C4044" s="561" t="s">
        <v>1197</v>
      </c>
      <c r="D4044" s="561">
        <v>28900</v>
      </c>
      <c r="E4044" s="561">
        <v>8670</v>
      </c>
      <c r="F4044" s="561">
        <v>20230</v>
      </c>
      <c r="G4044" s="561">
        <v>507</v>
      </c>
      <c r="H4044" s="561">
        <v>29580.678190000002</v>
      </c>
      <c r="I4044" s="561">
        <v>34</v>
      </c>
      <c r="J4044" s="561">
        <v>579.59799999999996</v>
      </c>
      <c r="K4044" s="561">
        <v>507</v>
      </c>
      <c r="L4044" s="561">
        <v>29002.273000000001</v>
      </c>
      <c r="M4044" s="561">
        <v>28899.999999999996</v>
      </c>
      <c r="N4044" s="561">
        <v>8669.9999999999982</v>
      </c>
      <c r="O4044" s="561">
        <v>0</v>
      </c>
      <c r="Q4044" s="561">
        <v>20230</v>
      </c>
      <c r="AY4044" s="561">
        <v>20230</v>
      </c>
    </row>
    <row r="4045" spans="1:54">
      <c r="C4045" s="561" t="s">
        <v>1198</v>
      </c>
      <c r="D4045" s="561">
        <v>0</v>
      </c>
      <c r="E4045" s="561">
        <v>0</v>
      </c>
      <c r="F4045" s="561">
        <v>0</v>
      </c>
      <c r="G4045" s="561">
        <v>0</v>
      </c>
      <c r="H4045" s="561">
        <v>0</v>
      </c>
      <c r="I4045" s="561">
        <v>0</v>
      </c>
      <c r="J4045" s="561">
        <v>0</v>
      </c>
      <c r="K4045" s="561">
        <v>0</v>
      </c>
      <c r="L4045" s="561">
        <v>0</v>
      </c>
      <c r="M4045" s="561">
        <v>0</v>
      </c>
      <c r="N4045" s="561">
        <v>0</v>
      </c>
      <c r="O4045" s="561">
        <v>0</v>
      </c>
      <c r="P4045" s="561">
        <v>0</v>
      </c>
      <c r="Q4045" s="561">
        <v>0</v>
      </c>
    </row>
    <row r="4046" spans="1:54">
      <c r="C4046" s="561" t="s">
        <v>1199</v>
      </c>
      <c r="D4046" s="561">
        <v>0</v>
      </c>
      <c r="E4046" s="561">
        <v>0</v>
      </c>
      <c r="F4046" s="561">
        <v>0</v>
      </c>
      <c r="G4046" s="561">
        <v>0</v>
      </c>
      <c r="H4046" s="561">
        <v>0</v>
      </c>
      <c r="I4046" s="561">
        <v>0</v>
      </c>
      <c r="J4046" s="561">
        <v>0</v>
      </c>
      <c r="K4046" s="561">
        <v>0</v>
      </c>
      <c r="L4046" s="561">
        <v>0</v>
      </c>
      <c r="M4046" s="561">
        <v>0</v>
      </c>
      <c r="N4046" s="561">
        <v>0</v>
      </c>
      <c r="O4046" s="561">
        <v>0</v>
      </c>
      <c r="P4046" s="561">
        <v>0</v>
      </c>
      <c r="Q4046" s="561">
        <v>0</v>
      </c>
    </row>
    <row r="4047" spans="1:54">
      <c r="A4047" s="561">
        <v>27</v>
      </c>
      <c r="B4047" s="561" t="s">
        <v>1595</v>
      </c>
      <c r="C4047" s="561" t="s">
        <v>1196</v>
      </c>
      <c r="D4047" s="561">
        <v>24245</v>
      </c>
      <c r="E4047" s="561">
        <v>6973.5</v>
      </c>
      <c r="F4047" s="561">
        <v>17271.5</v>
      </c>
      <c r="G4047" s="561">
        <v>1586</v>
      </c>
      <c r="H4047" s="561">
        <v>24956.02072</v>
      </c>
      <c r="I4047" s="561">
        <v>146</v>
      </c>
      <c r="J4047" s="561">
        <v>527.4559999999999</v>
      </c>
      <c r="K4047" s="561">
        <v>1585</v>
      </c>
      <c r="L4047" s="561">
        <v>24428.559999999998</v>
      </c>
      <c r="M4047" s="561">
        <v>24245.000000000004</v>
      </c>
      <c r="N4047" s="561">
        <v>6973.5</v>
      </c>
      <c r="O4047" s="561">
        <v>0</v>
      </c>
      <c r="P4047" s="561">
        <v>17271.5</v>
      </c>
      <c r="Q4047" s="561">
        <v>17271.5</v>
      </c>
    </row>
    <row r="4048" spans="1:54">
      <c r="C4048" s="561" t="s">
        <v>1197</v>
      </c>
      <c r="D4048" s="561">
        <v>0</v>
      </c>
      <c r="E4048" s="561">
        <v>0</v>
      </c>
      <c r="F4048" s="561">
        <v>0</v>
      </c>
      <c r="G4048" s="561">
        <v>0</v>
      </c>
      <c r="H4048" s="561">
        <v>0</v>
      </c>
      <c r="I4048" s="561">
        <v>0</v>
      </c>
      <c r="J4048" s="561">
        <v>0</v>
      </c>
      <c r="K4048" s="561">
        <v>0</v>
      </c>
      <c r="L4048" s="561">
        <v>0</v>
      </c>
      <c r="M4048" s="561">
        <v>0</v>
      </c>
      <c r="N4048" s="561">
        <v>0</v>
      </c>
      <c r="O4048" s="561">
        <v>0</v>
      </c>
      <c r="P4048" s="561">
        <v>0</v>
      </c>
      <c r="Q4048" s="561">
        <v>0</v>
      </c>
    </row>
    <row r="4049" spans="1:38">
      <c r="C4049" s="561" t="s">
        <v>1198</v>
      </c>
      <c r="D4049" s="561">
        <v>0</v>
      </c>
      <c r="E4049" s="561">
        <v>0</v>
      </c>
      <c r="F4049" s="561">
        <v>0</v>
      </c>
      <c r="G4049" s="561">
        <v>0</v>
      </c>
      <c r="H4049" s="561">
        <v>0</v>
      </c>
      <c r="I4049" s="561">
        <v>0</v>
      </c>
      <c r="J4049" s="561">
        <v>0</v>
      </c>
      <c r="K4049" s="561">
        <v>0</v>
      </c>
      <c r="L4049" s="561">
        <v>0</v>
      </c>
      <c r="M4049" s="561">
        <v>0</v>
      </c>
      <c r="N4049" s="561">
        <v>0</v>
      </c>
      <c r="O4049" s="561">
        <v>0</v>
      </c>
      <c r="P4049" s="561">
        <v>0</v>
      </c>
      <c r="Q4049" s="561">
        <v>0</v>
      </c>
    </row>
    <row r="4050" spans="1:38">
      <c r="C4050" s="561" t="s">
        <v>1199</v>
      </c>
      <c r="D4050" s="561">
        <v>24245</v>
      </c>
      <c r="E4050" s="561">
        <v>6973.5</v>
      </c>
      <c r="F4050" s="561">
        <v>17271.5</v>
      </c>
      <c r="G4050" s="561">
        <v>1586</v>
      </c>
      <c r="H4050" s="561">
        <v>24956.02072</v>
      </c>
      <c r="I4050" s="561">
        <v>146</v>
      </c>
      <c r="J4050" s="561">
        <v>527.4559999999999</v>
      </c>
      <c r="K4050" s="561">
        <v>1585</v>
      </c>
      <c r="L4050" s="561">
        <v>24428.559999999998</v>
      </c>
      <c r="M4050" s="561">
        <v>24245.000000000004</v>
      </c>
      <c r="N4050" s="561">
        <v>6973.5</v>
      </c>
      <c r="O4050" s="561">
        <v>0</v>
      </c>
      <c r="P4050" s="561">
        <v>17271.5</v>
      </c>
      <c r="Q4050" s="561">
        <v>17271.5</v>
      </c>
    </row>
    <row r="4051" spans="1:38">
      <c r="A4051" s="561">
        <v>28</v>
      </c>
      <c r="B4051" s="561" t="s">
        <v>1596</v>
      </c>
      <c r="C4051" s="561" t="s">
        <v>1196</v>
      </c>
      <c r="D4051" s="561">
        <v>18847</v>
      </c>
      <c r="E4051" s="561">
        <v>5504.1</v>
      </c>
      <c r="F4051" s="561">
        <v>13342.9</v>
      </c>
      <c r="G4051" s="561">
        <v>1398</v>
      </c>
      <c r="H4051" s="561">
        <v>20873.8344</v>
      </c>
      <c r="I4051" s="561">
        <v>218</v>
      </c>
      <c r="J4051" s="561">
        <v>777.66920000000016</v>
      </c>
      <c r="K4051" s="561">
        <v>1398</v>
      </c>
      <c r="L4051" s="561">
        <v>20096.100999999999</v>
      </c>
      <c r="M4051" s="561">
        <v>18847</v>
      </c>
      <c r="N4051" s="561">
        <v>5504.0999999999995</v>
      </c>
      <c r="O4051" s="561">
        <v>0</v>
      </c>
      <c r="P4051" s="561">
        <v>13342.9</v>
      </c>
      <c r="Q4051" s="561">
        <v>13342.9</v>
      </c>
    </row>
    <row r="4052" spans="1:38">
      <c r="C4052" s="561" t="s">
        <v>1197</v>
      </c>
      <c r="D4052" s="561">
        <v>0</v>
      </c>
      <c r="E4052" s="561">
        <v>0</v>
      </c>
      <c r="F4052" s="561">
        <v>0</v>
      </c>
      <c r="G4052" s="561">
        <v>0</v>
      </c>
      <c r="H4052" s="561">
        <v>0</v>
      </c>
      <c r="I4052" s="561">
        <v>0</v>
      </c>
      <c r="J4052" s="561">
        <v>0</v>
      </c>
      <c r="K4052" s="561">
        <v>0</v>
      </c>
      <c r="L4052" s="561">
        <v>0</v>
      </c>
      <c r="M4052" s="561">
        <v>0</v>
      </c>
      <c r="N4052" s="561">
        <v>0</v>
      </c>
      <c r="O4052" s="561">
        <v>0</v>
      </c>
      <c r="P4052" s="561">
        <v>0</v>
      </c>
      <c r="Q4052" s="561">
        <v>0</v>
      </c>
    </row>
    <row r="4053" spans="1:38">
      <c r="C4053" s="561" t="s">
        <v>1198</v>
      </c>
      <c r="D4053" s="561">
        <v>0</v>
      </c>
      <c r="E4053" s="561">
        <v>0</v>
      </c>
      <c r="F4053" s="561">
        <v>0</v>
      </c>
      <c r="G4053" s="561">
        <v>0</v>
      </c>
      <c r="H4053" s="561">
        <v>0</v>
      </c>
      <c r="I4053" s="561">
        <v>0</v>
      </c>
      <c r="J4053" s="561">
        <v>0</v>
      </c>
      <c r="K4053" s="561">
        <v>0</v>
      </c>
      <c r="L4053" s="561">
        <v>0</v>
      </c>
      <c r="M4053" s="561">
        <v>0</v>
      </c>
      <c r="N4053" s="561">
        <v>0</v>
      </c>
      <c r="O4053" s="561">
        <v>0</v>
      </c>
      <c r="P4053" s="561">
        <v>0</v>
      </c>
      <c r="Q4053" s="561">
        <v>0</v>
      </c>
    </row>
    <row r="4054" spans="1:38">
      <c r="C4054" s="561" t="s">
        <v>1199</v>
      </c>
      <c r="D4054" s="561">
        <v>18847</v>
      </c>
      <c r="E4054" s="561">
        <v>5504.1</v>
      </c>
      <c r="F4054" s="561">
        <v>13342.9</v>
      </c>
      <c r="G4054" s="561">
        <v>1398</v>
      </c>
      <c r="H4054" s="561">
        <v>20873.8344</v>
      </c>
      <c r="I4054" s="561">
        <v>218</v>
      </c>
      <c r="J4054" s="561">
        <v>777.66920000000016</v>
      </c>
      <c r="K4054" s="561">
        <v>1398</v>
      </c>
      <c r="L4054" s="561">
        <v>20096.100999999999</v>
      </c>
      <c r="M4054" s="561">
        <v>18847</v>
      </c>
      <c r="N4054" s="561">
        <v>5504.0999999999995</v>
      </c>
      <c r="O4054" s="561">
        <v>0</v>
      </c>
      <c r="P4054" s="561">
        <v>13342.9</v>
      </c>
      <c r="Q4054" s="561">
        <v>13342.9</v>
      </c>
    </row>
    <row r="4055" spans="1:38">
      <c r="A4055" s="561">
        <v>29</v>
      </c>
      <c r="B4055" s="561" t="s">
        <v>1597</v>
      </c>
      <c r="C4055" s="561" t="s">
        <v>1196</v>
      </c>
      <c r="D4055" s="561">
        <v>5000</v>
      </c>
      <c r="E4055" s="561">
        <v>1410</v>
      </c>
      <c r="F4055" s="561">
        <v>3590</v>
      </c>
      <c r="G4055" s="561">
        <v>376</v>
      </c>
      <c r="H4055" s="561">
        <v>5969.7694499999998</v>
      </c>
      <c r="I4055" s="561">
        <v>44</v>
      </c>
      <c r="J4055" s="561">
        <v>324.75765000000001</v>
      </c>
      <c r="K4055" s="561">
        <v>374</v>
      </c>
      <c r="L4055" s="561">
        <v>5645.0050000000001</v>
      </c>
      <c r="M4055" s="561">
        <v>5000</v>
      </c>
      <c r="N4055" s="561">
        <v>1409.9999999999998</v>
      </c>
      <c r="O4055" s="561">
        <v>0</v>
      </c>
      <c r="P4055" s="561">
        <v>3590</v>
      </c>
      <c r="Q4055" s="561">
        <v>3590</v>
      </c>
    </row>
    <row r="4056" spans="1:38">
      <c r="C4056" s="561" t="s">
        <v>1197</v>
      </c>
      <c r="D4056" s="561">
        <v>0</v>
      </c>
      <c r="E4056" s="561">
        <v>0</v>
      </c>
      <c r="F4056" s="561">
        <v>0</v>
      </c>
      <c r="G4056" s="561">
        <v>0</v>
      </c>
      <c r="H4056" s="561">
        <v>0</v>
      </c>
      <c r="I4056" s="561">
        <v>0</v>
      </c>
      <c r="J4056" s="561">
        <v>0</v>
      </c>
      <c r="K4056" s="561">
        <v>0</v>
      </c>
      <c r="L4056" s="561">
        <v>0</v>
      </c>
      <c r="M4056" s="561">
        <v>0</v>
      </c>
      <c r="N4056" s="561">
        <v>0</v>
      </c>
      <c r="O4056" s="561">
        <v>0</v>
      </c>
      <c r="P4056" s="561">
        <v>0</v>
      </c>
      <c r="Q4056" s="561">
        <v>0</v>
      </c>
    </row>
    <row r="4057" spans="1:38">
      <c r="C4057" s="561" t="s">
        <v>1198</v>
      </c>
      <c r="D4057" s="561">
        <v>0</v>
      </c>
      <c r="E4057" s="561">
        <v>0</v>
      </c>
      <c r="F4057" s="561">
        <v>0</v>
      </c>
      <c r="G4057" s="561">
        <v>0</v>
      </c>
      <c r="H4057" s="561">
        <v>0</v>
      </c>
      <c r="I4057" s="561">
        <v>0</v>
      </c>
      <c r="J4057" s="561">
        <v>0</v>
      </c>
      <c r="K4057" s="561">
        <v>0</v>
      </c>
      <c r="L4057" s="561">
        <v>0</v>
      </c>
      <c r="M4057" s="561">
        <v>0</v>
      </c>
      <c r="N4057" s="561">
        <v>0</v>
      </c>
      <c r="O4057" s="561">
        <v>0</v>
      </c>
      <c r="P4057" s="561">
        <v>0</v>
      </c>
      <c r="Q4057" s="561">
        <v>0</v>
      </c>
    </row>
    <row r="4058" spans="1:38">
      <c r="C4058" s="561" t="s">
        <v>1199</v>
      </c>
      <c r="D4058" s="561">
        <v>5000</v>
      </c>
      <c r="E4058" s="561">
        <v>1410</v>
      </c>
      <c r="F4058" s="561">
        <v>3590</v>
      </c>
      <c r="G4058" s="561">
        <v>376</v>
      </c>
      <c r="H4058" s="561">
        <v>5969.7694499999998</v>
      </c>
      <c r="I4058" s="561">
        <v>44</v>
      </c>
      <c r="J4058" s="561">
        <v>324.75765000000001</v>
      </c>
      <c r="K4058" s="561">
        <v>374</v>
      </c>
      <c r="L4058" s="561">
        <v>5645.0050000000001</v>
      </c>
      <c r="M4058" s="561">
        <v>5000</v>
      </c>
      <c r="N4058" s="561">
        <v>1409.9999999999998</v>
      </c>
      <c r="O4058" s="561">
        <v>0</v>
      </c>
      <c r="P4058" s="561">
        <v>3590</v>
      </c>
      <c r="Q4058" s="561">
        <v>3590</v>
      </c>
    </row>
    <row r="4059" spans="1:38">
      <c r="A4059" s="561">
        <v>30</v>
      </c>
      <c r="B4059" s="561" t="s">
        <v>1598</v>
      </c>
      <c r="C4059" s="561" t="s">
        <v>1196</v>
      </c>
      <c r="D4059" s="561">
        <v>22052</v>
      </c>
      <c r="E4059" s="561">
        <v>4995.6000000000004</v>
      </c>
      <c r="F4059" s="561">
        <v>17056.400000000001</v>
      </c>
      <c r="G4059" s="561">
        <v>1593</v>
      </c>
      <c r="H4059" s="561">
        <v>26055.844969999998</v>
      </c>
      <c r="I4059" s="561">
        <v>113</v>
      </c>
      <c r="J4059" s="561">
        <v>658.91300000000001</v>
      </c>
      <c r="K4059" s="561">
        <v>1586</v>
      </c>
      <c r="L4059" s="561">
        <v>25600.319</v>
      </c>
      <c r="M4059" s="561">
        <v>22052</v>
      </c>
      <c r="N4059" s="561">
        <v>4995.6000000000013</v>
      </c>
      <c r="O4059" s="561">
        <v>0</v>
      </c>
      <c r="P4059" s="561">
        <v>17056.399999999998</v>
      </c>
      <c r="Q4059" s="561">
        <v>17056.399999999998</v>
      </c>
    </row>
    <row r="4060" spans="1:38">
      <c r="C4060" s="561" t="s">
        <v>1197</v>
      </c>
      <c r="D4060" s="561">
        <v>0</v>
      </c>
      <c r="E4060" s="561">
        <v>0</v>
      </c>
      <c r="F4060" s="561">
        <v>0</v>
      </c>
      <c r="G4060" s="561">
        <v>0</v>
      </c>
      <c r="H4060" s="561">
        <v>0</v>
      </c>
      <c r="I4060" s="561">
        <v>0</v>
      </c>
      <c r="J4060" s="561">
        <v>0</v>
      </c>
      <c r="K4060" s="561">
        <v>0</v>
      </c>
      <c r="L4060" s="561">
        <v>0</v>
      </c>
      <c r="M4060" s="561">
        <v>0</v>
      </c>
      <c r="N4060" s="561">
        <v>0</v>
      </c>
      <c r="O4060" s="561">
        <v>0</v>
      </c>
      <c r="P4060" s="561">
        <v>0</v>
      </c>
      <c r="Q4060" s="561">
        <v>0</v>
      </c>
    </row>
    <row r="4061" spans="1:38">
      <c r="C4061" s="561" t="s">
        <v>1198</v>
      </c>
      <c r="D4061" s="561">
        <v>0</v>
      </c>
      <c r="E4061" s="561">
        <v>0</v>
      </c>
      <c r="F4061" s="561">
        <v>0</v>
      </c>
      <c r="G4061" s="561">
        <v>0</v>
      </c>
      <c r="H4061" s="561">
        <v>0</v>
      </c>
      <c r="I4061" s="561">
        <v>0</v>
      </c>
      <c r="J4061" s="561">
        <v>0</v>
      </c>
      <c r="K4061" s="561">
        <v>0</v>
      </c>
      <c r="L4061" s="561">
        <v>0</v>
      </c>
      <c r="M4061" s="561">
        <v>0</v>
      </c>
      <c r="N4061" s="561">
        <v>0</v>
      </c>
      <c r="O4061" s="561">
        <v>0</v>
      </c>
      <c r="P4061" s="561">
        <v>0</v>
      </c>
      <c r="Q4061" s="561">
        <v>0</v>
      </c>
    </row>
    <row r="4062" spans="1:38">
      <c r="C4062" s="561" t="s">
        <v>1199</v>
      </c>
      <c r="D4062" s="561">
        <v>22052</v>
      </c>
      <c r="E4062" s="561">
        <v>4995.6000000000004</v>
      </c>
      <c r="F4062" s="561">
        <v>17056.400000000001</v>
      </c>
      <c r="G4062" s="561">
        <v>1593</v>
      </c>
      <c r="H4062" s="561">
        <v>26055.844969999998</v>
      </c>
      <c r="I4062" s="561">
        <v>113</v>
      </c>
      <c r="J4062" s="561">
        <v>658.91300000000001</v>
      </c>
      <c r="K4062" s="561">
        <v>1586</v>
      </c>
      <c r="L4062" s="561">
        <v>25600.319</v>
      </c>
      <c r="M4062" s="561">
        <v>22052</v>
      </c>
      <c r="N4062" s="561">
        <v>4995.6000000000013</v>
      </c>
      <c r="O4062" s="561">
        <v>0</v>
      </c>
      <c r="P4062" s="561">
        <v>17056.399999999998</v>
      </c>
      <c r="Q4062" s="561">
        <v>17056.399999999998</v>
      </c>
    </row>
    <row r="4063" spans="1:38">
      <c r="A4063" s="561">
        <v>31</v>
      </c>
      <c r="B4063" s="561" t="s">
        <v>1599</v>
      </c>
      <c r="C4063" s="561" t="s">
        <v>1196</v>
      </c>
      <c r="D4063" s="561">
        <v>386192</v>
      </c>
      <c r="E4063" s="561">
        <v>110457.60000000001</v>
      </c>
      <c r="F4063" s="561">
        <v>275734.40000000002</v>
      </c>
      <c r="G4063" s="561">
        <v>7607</v>
      </c>
      <c r="H4063" s="561">
        <v>407786.04839999991</v>
      </c>
      <c r="I4063" s="561">
        <v>833</v>
      </c>
      <c r="J4063" s="561">
        <v>29782.6214</v>
      </c>
      <c r="K4063" s="561">
        <v>7496</v>
      </c>
      <c r="L4063" s="561">
        <v>386603.46299999999</v>
      </c>
      <c r="M4063" s="561">
        <v>386192</v>
      </c>
      <c r="N4063" s="561">
        <v>110457.60000000001</v>
      </c>
      <c r="O4063" s="561">
        <v>0</v>
      </c>
      <c r="P4063" s="561">
        <v>275734.39999999997</v>
      </c>
      <c r="Q4063" s="561">
        <v>275734.39999999997</v>
      </c>
    </row>
    <row r="4064" spans="1:38">
      <c r="C4064" s="561" t="s">
        <v>1197</v>
      </c>
      <c r="D4064" s="561">
        <v>366486</v>
      </c>
      <c r="E4064" s="561">
        <v>106795.8</v>
      </c>
      <c r="F4064" s="561">
        <v>259690.2</v>
      </c>
      <c r="G4064" s="561">
        <v>6187</v>
      </c>
      <c r="H4064" s="561">
        <v>388271.95199999999</v>
      </c>
      <c r="I4064" s="561">
        <v>766</v>
      </c>
      <c r="J4064" s="561">
        <v>29365.273000000001</v>
      </c>
      <c r="K4064" s="561">
        <v>6080</v>
      </c>
      <c r="L4064" s="561">
        <v>367506.71499999997</v>
      </c>
      <c r="M4064" s="561">
        <v>367095.25199999998</v>
      </c>
      <c r="N4064" s="561">
        <v>106795.80000000002</v>
      </c>
      <c r="O4064" s="561">
        <v>0</v>
      </c>
      <c r="Q4064" s="561">
        <v>260299.45199999999</v>
      </c>
      <c r="AL4064" s="561">
        <v>260299.45199999999</v>
      </c>
    </row>
    <row r="4065" spans="1:38">
      <c r="C4065" s="561" t="s">
        <v>1198</v>
      </c>
      <c r="D4065" s="561">
        <v>0</v>
      </c>
      <c r="E4065" s="561">
        <v>0</v>
      </c>
      <c r="F4065" s="561">
        <v>0</v>
      </c>
      <c r="G4065" s="561">
        <v>0</v>
      </c>
      <c r="H4065" s="561">
        <v>0</v>
      </c>
      <c r="I4065" s="561">
        <v>0</v>
      </c>
      <c r="J4065" s="561">
        <v>0</v>
      </c>
      <c r="K4065" s="561">
        <v>0</v>
      </c>
      <c r="L4065" s="561">
        <v>0</v>
      </c>
      <c r="M4065" s="561">
        <v>0</v>
      </c>
      <c r="N4065" s="561">
        <v>0</v>
      </c>
      <c r="O4065" s="561">
        <v>0</v>
      </c>
      <c r="P4065" s="561">
        <v>0</v>
      </c>
      <c r="Q4065" s="561">
        <v>0</v>
      </c>
    </row>
    <row r="4066" spans="1:38">
      <c r="C4066" s="561" t="s">
        <v>1199</v>
      </c>
      <c r="D4066" s="561">
        <v>19706</v>
      </c>
      <c r="E4066" s="561">
        <v>3661.8000000000029</v>
      </c>
      <c r="F4066" s="561">
        <v>16044.199999999997</v>
      </c>
      <c r="G4066" s="561">
        <v>1420</v>
      </c>
      <c r="H4066" s="561">
        <v>19514.096399999995</v>
      </c>
      <c r="I4066" s="561">
        <v>67</v>
      </c>
      <c r="J4066" s="561">
        <v>417.34839999999997</v>
      </c>
      <c r="K4066" s="561">
        <v>1416</v>
      </c>
      <c r="L4066" s="561">
        <v>19096.747999999996</v>
      </c>
      <c r="M4066" s="561">
        <v>19096.748</v>
      </c>
      <c r="N4066" s="561">
        <v>3661.8000000000011</v>
      </c>
      <c r="O4066" s="561">
        <v>0</v>
      </c>
      <c r="P4066" s="561">
        <v>15434.947999999999</v>
      </c>
      <c r="Q4066" s="561">
        <v>15434.947999999999</v>
      </c>
    </row>
    <row r="4067" spans="1:38">
      <c r="A4067" s="561">
        <v>32</v>
      </c>
      <c r="B4067" s="561" t="s">
        <v>1600</v>
      </c>
      <c r="C4067" s="561" t="s">
        <v>1196</v>
      </c>
      <c r="D4067" s="561">
        <v>23420</v>
      </c>
      <c r="E4067" s="561">
        <v>7026</v>
      </c>
      <c r="F4067" s="561">
        <v>16394</v>
      </c>
      <c r="G4067" s="561">
        <v>1730</v>
      </c>
      <c r="H4067" s="561">
        <v>24509.352800000004</v>
      </c>
      <c r="I4067" s="561">
        <v>58</v>
      </c>
      <c r="J4067" s="561">
        <v>282.73080000000004</v>
      </c>
      <c r="K4067" s="561">
        <v>1730</v>
      </c>
      <c r="L4067" s="561">
        <v>23787.951999999997</v>
      </c>
      <c r="M4067" s="561">
        <v>23419.999999999996</v>
      </c>
      <c r="N4067" s="561">
        <v>7026</v>
      </c>
      <c r="O4067" s="561">
        <v>0</v>
      </c>
      <c r="P4067" s="561">
        <v>16394</v>
      </c>
      <c r="Q4067" s="561">
        <v>16394</v>
      </c>
    </row>
    <row r="4068" spans="1:38">
      <c r="C4068" s="561" t="s">
        <v>1197</v>
      </c>
      <c r="D4068" s="561">
        <v>0</v>
      </c>
      <c r="E4068" s="561">
        <v>0</v>
      </c>
      <c r="F4068" s="561">
        <v>0</v>
      </c>
      <c r="G4068" s="561">
        <v>0</v>
      </c>
      <c r="H4068" s="561">
        <v>0</v>
      </c>
      <c r="I4068" s="561">
        <v>0</v>
      </c>
      <c r="J4068" s="561">
        <v>0</v>
      </c>
      <c r="K4068" s="561">
        <v>0</v>
      </c>
      <c r="L4068" s="561">
        <v>0</v>
      </c>
      <c r="M4068" s="561">
        <v>0</v>
      </c>
      <c r="N4068" s="561">
        <v>0</v>
      </c>
      <c r="O4068" s="561">
        <v>0</v>
      </c>
      <c r="P4068" s="561">
        <v>0</v>
      </c>
      <c r="Q4068" s="561">
        <v>0</v>
      </c>
    </row>
    <row r="4069" spans="1:38">
      <c r="C4069" s="561" t="s">
        <v>1198</v>
      </c>
      <c r="D4069" s="561">
        <v>0</v>
      </c>
      <c r="E4069" s="561">
        <v>0</v>
      </c>
      <c r="F4069" s="561">
        <v>0</v>
      </c>
      <c r="G4069" s="561">
        <v>0</v>
      </c>
      <c r="H4069" s="561">
        <v>0</v>
      </c>
      <c r="I4069" s="561">
        <v>0</v>
      </c>
      <c r="J4069" s="561">
        <v>0</v>
      </c>
      <c r="K4069" s="561">
        <v>0</v>
      </c>
      <c r="L4069" s="561">
        <v>0</v>
      </c>
      <c r="M4069" s="561">
        <v>0</v>
      </c>
      <c r="N4069" s="561">
        <v>0</v>
      </c>
      <c r="O4069" s="561">
        <v>0</v>
      </c>
      <c r="P4069" s="561">
        <v>0</v>
      </c>
      <c r="Q4069" s="561">
        <v>0</v>
      </c>
    </row>
    <row r="4070" spans="1:38">
      <c r="C4070" s="561" t="s">
        <v>1199</v>
      </c>
      <c r="D4070" s="561">
        <v>23420</v>
      </c>
      <c r="E4070" s="561">
        <v>7026</v>
      </c>
      <c r="F4070" s="561">
        <v>16394</v>
      </c>
      <c r="G4070" s="561">
        <v>1730</v>
      </c>
      <c r="H4070" s="561">
        <v>24509.352800000004</v>
      </c>
      <c r="I4070" s="561">
        <v>58</v>
      </c>
      <c r="J4070" s="561">
        <v>282.73080000000004</v>
      </c>
      <c r="K4070" s="561">
        <v>1730</v>
      </c>
      <c r="L4070" s="561">
        <v>23787.951999999997</v>
      </c>
      <c r="M4070" s="561">
        <v>23419.999999999996</v>
      </c>
      <c r="N4070" s="561">
        <v>7026</v>
      </c>
      <c r="O4070" s="561">
        <v>0</v>
      </c>
      <c r="P4070" s="561">
        <v>16394</v>
      </c>
      <c r="Q4070" s="561">
        <v>16394</v>
      </c>
    </row>
    <row r="4071" spans="1:38">
      <c r="A4071" s="561">
        <v>33</v>
      </c>
      <c r="B4071" s="561" t="s">
        <v>1601</v>
      </c>
      <c r="C4071" s="561" t="s">
        <v>1196</v>
      </c>
      <c r="D4071" s="561">
        <v>7485</v>
      </c>
      <c r="E4071" s="561">
        <v>2035.5</v>
      </c>
      <c r="F4071" s="561">
        <v>5449.5</v>
      </c>
      <c r="G4071" s="561">
        <v>634</v>
      </c>
      <c r="H4071" s="561">
        <v>8018.7429999999995</v>
      </c>
      <c r="I4071" s="561">
        <v>32</v>
      </c>
      <c r="J4071" s="561">
        <v>169.108</v>
      </c>
      <c r="K4071" s="561">
        <v>634</v>
      </c>
      <c r="L4071" s="561">
        <v>7509.8950000000004</v>
      </c>
      <c r="M4071" s="561">
        <v>7485</v>
      </c>
      <c r="N4071" s="561">
        <v>2035.4999999999998</v>
      </c>
      <c r="O4071" s="561">
        <v>0</v>
      </c>
      <c r="P4071" s="561">
        <v>5449.5</v>
      </c>
      <c r="Q4071" s="561">
        <v>5449.5</v>
      </c>
    </row>
    <row r="4072" spans="1:38">
      <c r="C4072" s="561" t="s">
        <v>1197</v>
      </c>
      <c r="D4072" s="561">
        <v>0</v>
      </c>
      <c r="E4072" s="561">
        <v>0</v>
      </c>
      <c r="F4072" s="561">
        <v>0</v>
      </c>
      <c r="G4072" s="561">
        <v>0</v>
      </c>
      <c r="H4072" s="561">
        <v>0</v>
      </c>
      <c r="I4072" s="561">
        <v>0</v>
      </c>
      <c r="J4072" s="561">
        <v>0</v>
      </c>
      <c r="K4072" s="561">
        <v>0</v>
      </c>
      <c r="L4072" s="561">
        <v>0</v>
      </c>
      <c r="M4072" s="561">
        <v>0</v>
      </c>
      <c r="N4072" s="561">
        <v>0</v>
      </c>
      <c r="O4072" s="561">
        <v>0</v>
      </c>
      <c r="P4072" s="561">
        <v>0</v>
      </c>
      <c r="Q4072" s="561">
        <v>0</v>
      </c>
    </row>
    <row r="4073" spans="1:38">
      <c r="C4073" s="561" t="s">
        <v>1198</v>
      </c>
      <c r="D4073" s="561">
        <v>0</v>
      </c>
      <c r="E4073" s="561">
        <v>0</v>
      </c>
      <c r="F4073" s="561">
        <v>0</v>
      </c>
      <c r="G4073" s="561">
        <v>0</v>
      </c>
      <c r="H4073" s="561">
        <v>0</v>
      </c>
      <c r="I4073" s="561">
        <v>0</v>
      </c>
      <c r="J4073" s="561">
        <v>0</v>
      </c>
      <c r="K4073" s="561">
        <v>0</v>
      </c>
      <c r="L4073" s="561">
        <v>0</v>
      </c>
      <c r="M4073" s="561">
        <v>0</v>
      </c>
      <c r="N4073" s="561">
        <v>0</v>
      </c>
      <c r="O4073" s="561">
        <v>0</v>
      </c>
      <c r="P4073" s="561">
        <v>0</v>
      </c>
      <c r="Q4073" s="561">
        <v>0</v>
      </c>
    </row>
    <row r="4074" spans="1:38">
      <c r="C4074" s="561" t="s">
        <v>1199</v>
      </c>
      <c r="D4074" s="561">
        <v>7485</v>
      </c>
      <c r="E4074" s="561">
        <v>2035.5</v>
      </c>
      <c r="F4074" s="561">
        <v>5449.5</v>
      </c>
      <c r="G4074" s="561">
        <v>634</v>
      </c>
      <c r="H4074" s="561">
        <v>8018.7429999999995</v>
      </c>
      <c r="I4074" s="561">
        <v>32</v>
      </c>
      <c r="J4074" s="561">
        <v>169.108</v>
      </c>
      <c r="K4074" s="561">
        <v>634</v>
      </c>
      <c r="L4074" s="561">
        <v>7509.8950000000004</v>
      </c>
      <c r="M4074" s="561">
        <v>7485</v>
      </c>
      <c r="N4074" s="561">
        <v>2035.4999999999998</v>
      </c>
      <c r="O4074" s="561">
        <v>0</v>
      </c>
      <c r="P4074" s="561">
        <v>5449.5</v>
      </c>
      <c r="Q4074" s="561">
        <v>5449.5</v>
      </c>
    </row>
    <row r="4075" spans="1:38">
      <c r="A4075" s="561">
        <v>34</v>
      </c>
      <c r="B4075" s="561" t="s">
        <v>1602</v>
      </c>
      <c r="C4075" s="561" t="s">
        <v>1196</v>
      </c>
      <c r="D4075" s="561">
        <v>485832</v>
      </c>
      <c r="E4075" s="561">
        <v>141399.6</v>
      </c>
      <c r="F4075" s="561">
        <v>344432.4</v>
      </c>
      <c r="G4075" s="561">
        <v>8495</v>
      </c>
      <c r="H4075" s="561">
        <v>541679.22479999997</v>
      </c>
      <c r="I4075" s="561">
        <v>1145</v>
      </c>
      <c r="J4075" s="561">
        <v>45835.402800000003</v>
      </c>
      <c r="K4075" s="561">
        <v>8460</v>
      </c>
      <c r="L4075" s="561">
        <v>501333.52999999997</v>
      </c>
      <c r="M4075" s="561">
        <v>485832</v>
      </c>
      <c r="N4075" s="561">
        <v>141399.6</v>
      </c>
      <c r="O4075" s="561">
        <v>0</v>
      </c>
      <c r="P4075" s="561">
        <v>344432.4</v>
      </c>
      <c r="Q4075" s="561">
        <v>344432.4</v>
      </c>
    </row>
    <row r="4076" spans="1:38">
      <c r="C4076" s="561" t="s">
        <v>1197</v>
      </c>
      <c r="D4076" s="561">
        <v>468751</v>
      </c>
      <c r="E4076" s="561">
        <v>137925.29999999999</v>
      </c>
      <c r="F4076" s="561">
        <v>330825.7</v>
      </c>
      <c r="G4076" s="561">
        <v>7342</v>
      </c>
      <c r="H4076" s="561">
        <v>524008.24599999993</v>
      </c>
      <c r="I4076" s="561">
        <v>1082</v>
      </c>
      <c r="J4076" s="561">
        <v>45535.886000000006</v>
      </c>
      <c r="K4076" s="561">
        <v>7308</v>
      </c>
      <c r="L4076" s="561">
        <v>483962.02299999999</v>
      </c>
      <c r="M4076" s="561">
        <v>468460.49300000002</v>
      </c>
      <c r="N4076" s="561">
        <v>137925.30000000002</v>
      </c>
      <c r="O4076" s="561">
        <v>0</v>
      </c>
      <c r="Q4076" s="561">
        <v>330535.19300000003</v>
      </c>
      <c r="AL4076" s="561">
        <v>330535.19300000003</v>
      </c>
    </row>
    <row r="4077" spans="1:38">
      <c r="C4077" s="561" t="s">
        <v>1198</v>
      </c>
      <c r="D4077" s="561">
        <v>0</v>
      </c>
      <c r="E4077" s="561">
        <v>0</v>
      </c>
      <c r="F4077" s="561">
        <v>0</v>
      </c>
      <c r="G4077" s="561">
        <v>0</v>
      </c>
      <c r="H4077" s="561">
        <v>0</v>
      </c>
      <c r="I4077" s="561">
        <v>0</v>
      </c>
      <c r="J4077" s="561">
        <v>0</v>
      </c>
      <c r="K4077" s="561">
        <v>0</v>
      </c>
      <c r="L4077" s="561">
        <v>0</v>
      </c>
      <c r="M4077" s="561">
        <v>0</v>
      </c>
      <c r="N4077" s="561">
        <v>0</v>
      </c>
      <c r="O4077" s="561">
        <v>0</v>
      </c>
      <c r="P4077" s="561">
        <v>0</v>
      </c>
      <c r="Q4077" s="561">
        <v>0</v>
      </c>
    </row>
    <row r="4078" spans="1:38">
      <c r="C4078" s="561" t="s">
        <v>1199</v>
      </c>
      <c r="D4078" s="561">
        <v>17081</v>
      </c>
      <c r="E4078" s="561">
        <v>3474.3000000000175</v>
      </c>
      <c r="F4078" s="561">
        <v>13606.699999999983</v>
      </c>
      <c r="G4078" s="561">
        <v>1153</v>
      </c>
      <c r="H4078" s="561">
        <v>17670.978799999997</v>
      </c>
      <c r="I4078" s="561">
        <v>63</v>
      </c>
      <c r="J4078" s="561">
        <v>299.51680000000005</v>
      </c>
      <c r="K4078" s="561">
        <v>1152</v>
      </c>
      <c r="L4078" s="561">
        <v>17371.506999999998</v>
      </c>
      <c r="M4078" s="561">
        <v>17371.507000000001</v>
      </c>
      <c r="N4078" s="561">
        <v>3474.3000000000011</v>
      </c>
      <c r="O4078" s="561">
        <v>0</v>
      </c>
      <c r="P4078" s="561">
        <v>13897.207</v>
      </c>
      <c r="Q4078" s="561">
        <v>13897.207</v>
      </c>
    </row>
    <row r="4079" spans="1:38">
      <c r="A4079" s="561">
        <v>35</v>
      </c>
      <c r="B4079" s="561" t="s">
        <v>1603</v>
      </c>
      <c r="C4079" s="561" t="s">
        <v>1196</v>
      </c>
      <c r="D4079" s="561">
        <v>114363.098</v>
      </c>
      <c r="E4079" s="561">
        <v>34726.5</v>
      </c>
      <c r="F4079" s="561">
        <v>79636.597999999998</v>
      </c>
      <c r="G4079" s="561">
        <v>2557</v>
      </c>
      <c r="H4079" s="561">
        <v>120146.59804</v>
      </c>
      <c r="I4079" s="561">
        <v>215</v>
      </c>
      <c r="J4079" s="561">
        <v>6138.5020500000001</v>
      </c>
      <c r="K4079" s="561">
        <v>2529</v>
      </c>
      <c r="L4079" s="561">
        <v>114999.17499999999</v>
      </c>
      <c r="M4079" s="561">
        <v>114363.09699999999</v>
      </c>
      <c r="N4079" s="561">
        <v>34726.500000000007</v>
      </c>
      <c r="O4079" s="561">
        <v>0</v>
      </c>
      <c r="P4079" s="561">
        <v>79636.597999999998</v>
      </c>
      <c r="Q4079" s="561">
        <v>79636.597999999998</v>
      </c>
    </row>
    <row r="4080" spans="1:38">
      <c r="C4080" s="561" t="s">
        <v>1197</v>
      </c>
      <c r="D4080" s="561">
        <v>98664</v>
      </c>
      <c r="E4080" s="561">
        <v>31099.200000000001</v>
      </c>
      <c r="F4080" s="561">
        <v>67564.800000000003</v>
      </c>
      <c r="G4080" s="561">
        <v>1408</v>
      </c>
      <c r="H4080" s="561">
        <v>101519.46114</v>
      </c>
      <c r="I4080" s="561">
        <v>141</v>
      </c>
      <c r="J4080" s="561">
        <v>5642.2979999999998</v>
      </c>
      <c r="K4080" s="561">
        <v>1385</v>
      </c>
      <c r="L4080" s="561">
        <v>96867.84599999999</v>
      </c>
      <c r="M4080" s="561">
        <v>96521.609999999986</v>
      </c>
      <c r="N4080" s="561">
        <v>31099.200000000004</v>
      </c>
      <c r="O4080" s="561">
        <v>0</v>
      </c>
      <c r="Q4080" s="561">
        <v>65422.411</v>
      </c>
      <c r="AL4080" s="561">
        <v>65422.411</v>
      </c>
    </row>
    <row r="4081" spans="1:54">
      <c r="C4081" s="561" t="s">
        <v>1198</v>
      </c>
      <c r="D4081" s="561">
        <v>0</v>
      </c>
      <c r="E4081" s="561">
        <v>0</v>
      </c>
      <c r="F4081" s="561">
        <v>0</v>
      </c>
      <c r="G4081" s="561">
        <v>0</v>
      </c>
      <c r="H4081" s="561">
        <v>0</v>
      </c>
      <c r="I4081" s="561">
        <v>0</v>
      </c>
      <c r="J4081" s="561">
        <v>0</v>
      </c>
      <c r="K4081" s="561">
        <v>0</v>
      </c>
      <c r="L4081" s="561">
        <v>0</v>
      </c>
      <c r="M4081" s="561">
        <v>0</v>
      </c>
      <c r="N4081" s="561">
        <v>0</v>
      </c>
      <c r="O4081" s="561">
        <v>0</v>
      </c>
      <c r="P4081" s="561">
        <v>0</v>
      </c>
      <c r="Q4081" s="561">
        <v>0</v>
      </c>
    </row>
    <row r="4082" spans="1:54">
      <c r="C4082" s="561" t="s">
        <v>1199</v>
      </c>
      <c r="D4082" s="561">
        <v>12091</v>
      </c>
      <c r="E4082" s="561">
        <v>3627.2999999999993</v>
      </c>
      <c r="F4082" s="561">
        <v>8463.7000000000007</v>
      </c>
      <c r="G4082" s="561">
        <v>1149</v>
      </c>
      <c r="H4082" s="561">
        <v>15391.296900000001</v>
      </c>
      <c r="I4082" s="561">
        <v>74</v>
      </c>
      <c r="J4082" s="561">
        <v>496.20405</v>
      </c>
      <c r="K4082" s="561">
        <v>1144</v>
      </c>
      <c r="L4082" s="561">
        <v>14895.489</v>
      </c>
      <c r="M4082" s="561">
        <v>14895.489</v>
      </c>
      <c r="N4082" s="561">
        <v>3627.3</v>
      </c>
      <c r="O4082" s="561">
        <v>0</v>
      </c>
      <c r="P4082" s="561">
        <v>11268.189</v>
      </c>
      <c r="Q4082" s="561">
        <v>11268.189</v>
      </c>
    </row>
    <row r="4083" spans="1:54">
      <c r="C4083" s="561" t="s">
        <v>1202</v>
      </c>
      <c r="D4083" s="561">
        <v>3608.098</v>
      </c>
      <c r="F4083" s="561">
        <v>3608.098</v>
      </c>
      <c r="G4083" s="561">
        <v>0</v>
      </c>
      <c r="H4083" s="561">
        <v>3235.84</v>
      </c>
      <c r="I4083" s="561">
        <v>0</v>
      </c>
      <c r="J4083" s="561">
        <v>0</v>
      </c>
      <c r="K4083" s="561">
        <v>0</v>
      </c>
      <c r="L4083" s="561">
        <v>3235.84</v>
      </c>
      <c r="M4083" s="561">
        <v>2945.998</v>
      </c>
      <c r="N4083" s="561">
        <v>0</v>
      </c>
      <c r="O4083" s="561">
        <v>0</v>
      </c>
      <c r="P4083" s="561">
        <v>2945.998</v>
      </c>
      <c r="Q4083" s="561">
        <v>2945.998</v>
      </c>
    </row>
    <row r="4084" spans="1:54">
      <c r="A4084" s="561">
        <v>36</v>
      </c>
      <c r="B4084" s="561" t="s">
        <v>1604</v>
      </c>
      <c r="C4084" s="561" t="s">
        <v>1196</v>
      </c>
      <c r="D4084" s="561">
        <v>258055</v>
      </c>
      <c r="E4084" s="561">
        <v>56164.5</v>
      </c>
      <c r="F4084" s="561">
        <v>201890.5</v>
      </c>
      <c r="G4084" s="561">
        <v>5033</v>
      </c>
      <c r="H4084" s="561">
        <v>280557.97900000005</v>
      </c>
      <c r="I4084" s="561">
        <v>599</v>
      </c>
      <c r="J4084" s="561">
        <v>13933.138000000001</v>
      </c>
      <c r="K4084" s="561">
        <v>5017</v>
      </c>
      <c r="L4084" s="561">
        <v>266891.21388</v>
      </c>
      <c r="M4084" s="561">
        <v>258054.99999999997</v>
      </c>
      <c r="N4084" s="561">
        <v>56164.499999999985</v>
      </c>
      <c r="O4084" s="561">
        <v>0</v>
      </c>
      <c r="P4084" s="561">
        <v>201890.5</v>
      </c>
      <c r="Q4084" s="561">
        <v>201890.5</v>
      </c>
    </row>
    <row r="4085" spans="1:54">
      <c r="C4085" s="561" t="s">
        <v>1197</v>
      </c>
      <c r="D4085" s="561">
        <v>249491</v>
      </c>
      <c r="E4085" s="561">
        <v>54235.199999999997</v>
      </c>
      <c r="F4085" s="561">
        <v>195255.8</v>
      </c>
      <c r="G4085" s="561">
        <v>4335</v>
      </c>
      <c r="H4085" s="561">
        <v>271918.41299999994</v>
      </c>
      <c r="I4085" s="561">
        <v>549</v>
      </c>
      <c r="J4085" s="561">
        <v>13634.741</v>
      </c>
      <c r="K4085" s="561">
        <v>4320</v>
      </c>
      <c r="L4085" s="561">
        <v>258548.04366</v>
      </c>
      <c r="M4085" s="561">
        <v>249711.83000000002</v>
      </c>
      <c r="N4085" s="561">
        <v>54235.199999999997</v>
      </c>
      <c r="O4085" s="561">
        <v>0</v>
      </c>
      <c r="Q4085" s="561">
        <v>195476.63000000003</v>
      </c>
      <c r="BB4085" s="561">
        <v>195476.63000000003</v>
      </c>
    </row>
    <row r="4086" spans="1:54">
      <c r="C4086" s="561" t="s">
        <v>1198</v>
      </c>
      <c r="D4086" s="561">
        <v>0</v>
      </c>
      <c r="E4086" s="561">
        <v>0</v>
      </c>
      <c r="F4086" s="561">
        <v>0</v>
      </c>
      <c r="G4086" s="561">
        <v>0</v>
      </c>
      <c r="H4086" s="561">
        <v>0</v>
      </c>
      <c r="I4086" s="561">
        <v>0</v>
      </c>
      <c r="J4086" s="561">
        <v>0</v>
      </c>
      <c r="K4086" s="561">
        <v>0</v>
      </c>
      <c r="L4086" s="561">
        <v>0</v>
      </c>
      <c r="M4086" s="561">
        <v>0</v>
      </c>
      <c r="N4086" s="561">
        <v>0</v>
      </c>
      <c r="O4086" s="561">
        <v>0</v>
      </c>
      <c r="P4086" s="561">
        <v>0</v>
      </c>
      <c r="Q4086" s="561">
        <v>0</v>
      </c>
    </row>
    <row r="4087" spans="1:54">
      <c r="C4087" s="561" t="s">
        <v>1199</v>
      </c>
      <c r="D4087" s="561">
        <v>8564</v>
      </c>
      <c r="E4087" s="561">
        <v>1929.3000000000029</v>
      </c>
      <c r="F4087" s="561">
        <v>6634.6999999999971</v>
      </c>
      <c r="G4087" s="561">
        <v>698</v>
      </c>
      <c r="H4087" s="561">
        <v>8639.5660000000007</v>
      </c>
      <c r="I4087" s="561">
        <v>50</v>
      </c>
      <c r="J4087" s="561">
        <v>298.39700000000005</v>
      </c>
      <c r="K4087" s="561">
        <v>697</v>
      </c>
      <c r="L4087" s="561">
        <v>8343.17022</v>
      </c>
      <c r="M4087" s="561">
        <v>8343.17</v>
      </c>
      <c r="N4087" s="561">
        <v>1929.3</v>
      </c>
      <c r="O4087" s="561">
        <v>0</v>
      </c>
      <c r="P4087" s="561">
        <v>6413.87</v>
      </c>
      <c r="Q4087" s="561">
        <v>6413.87</v>
      </c>
    </row>
    <row r="4088" spans="1:54">
      <c r="A4088" s="561">
        <v>37</v>
      </c>
      <c r="B4088" s="561" t="s">
        <v>1605</v>
      </c>
      <c r="C4088" s="561" t="s">
        <v>1196</v>
      </c>
      <c r="D4088" s="561">
        <v>36618</v>
      </c>
      <c r="E4088" s="561">
        <v>9335.4</v>
      </c>
      <c r="F4088" s="561">
        <v>27282.6</v>
      </c>
      <c r="G4088" s="561">
        <v>471</v>
      </c>
      <c r="H4088" s="561">
        <v>47472.968999999997</v>
      </c>
      <c r="I4088" s="561">
        <v>65</v>
      </c>
      <c r="J4088" s="561">
        <v>3974.1019999999999</v>
      </c>
      <c r="K4088" s="561">
        <v>468</v>
      </c>
      <c r="L4088" s="561">
        <v>43676.137000000002</v>
      </c>
      <c r="M4088" s="561">
        <v>36618</v>
      </c>
      <c r="N4088" s="561">
        <v>9335.3999999999978</v>
      </c>
      <c r="O4088" s="561">
        <v>0</v>
      </c>
      <c r="P4088" s="561">
        <v>27282.6</v>
      </c>
      <c r="Q4088" s="561">
        <v>27282.6</v>
      </c>
    </row>
    <row r="4089" spans="1:54">
      <c r="C4089" s="561" t="s">
        <v>1197</v>
      </c>
      <c r="D4089" s="561">
        <v>28249</v>
      </c>
      <c r="E4089" s="561">
        <v>8474.7000000000007</v>
      </c>
      <c r="F4089" s="561">
        <v>19774.3</v>
      </c>
      <c r="G4089" s="561">
        <v>442</v>
      </c>
      <c r="H4089" s="561">
        <v>35201.469999999994</v>
      </c>
      <c r="I4089" s="561">
        <v>57</v>
      </c>
      <c r="J4089" s="561">
        <v>2405.0059999999999</v>
      </c>
      <c r="K4089" s="561">
        <v>440</v>
      </c>
      <c r="L4089" s="561">
        <v>32973.735000000001</v>
      </c>
      <c r="M4089" s="561">
        <v>26671.457000000002</v>
      </c>
      <c r="N4089" s="561">
        <v>8474.6999999999989</v>
      </c>
      <c r="O4089" s="561">
        <v>0</v>
      </c>
      <c r="Q4089" s="561">
        <v>18196.757000000001</v>
      </c>
      <c r="AL4089" s="561">
        <v>18196.757000000001</v>
      </c>
    </row>
    <row r="4090" spans="1:54">
      <c r="C4090" s="561" t="s">
        <v>1198</v>
      </c>
      <c r="D4090" s="561">
        <v>8369</v>
      </c>
      <c r="E4090" s="561">
        <v>860.7</v>
      </c>
      <c r="F4090" s="561">
        <v>7508.3</v>
      </c>
      <c r="G4090" s="561">
        <v>29</v>
      </c>
      <c r="H4090" s="561">
        <v>12271.499000000002</v>
      </c>
      <c r="I4090" s="561">
        <v>8</v>
      </c>
      <c r="J4090" s="561">
        <v>1569.096</v>
      </c>
      <c r="K4090" s="561">
        <v>28</v>
      </c>
      <c r="L4090" s="561">
        <v>10702.402</v>
      </c>
      <c r="M4090" s="561">
        <v>9946.5429999999997</v>
      </c>
      <c r="N4090" s="561">
        <v>860.69999999999959</v>
      </c>
      <c r="O4090" s="561">
        <v>0</v>
      </c>
      <c r="P4090" s="561">
        <v>9085.8430000000008</v>
      </c>
      <c r="Q4090" s="561">
        <v>9085.8430000000008</v>
      </c>
    </row>
    <row r="4091" spans="1:54">
      <c r="C4091" s="561" t="s">
        <v>1199</v>
      </c>
      <c r="D4091" s="561">
        <v>0</v>
      </c>
      <c r="E4091" s="561">
        <v>-1.1368683772161603E-12</v>
      </c>
      <c r="F4091" s="561">
        <v>1.1368683772161603E-12</v>
      </c>
      <c r="G4091" s="561">
        <v>0</v>
      </c>
      <c r="H4091" s="561">
        <v>0</v>
      </c>
      <c r="I4091" s="561">
        <v>0</v>
      </c>
      <c r="J4091" s="561">
        <v>0</v>
      </c>
      <c r="K4091" s="561">
        <v>0</v>
      </c>
      <c r="L4091" s="561">
        <v>0</v>
      </c>
      <c r="M4091" s="561">
        <v>0</v>
      </c>
      <c r="N4091" s="561">
        <v>0</v>
      </c>
      <c r="O4091" s="561">
        <v>0</v>
      </c>
      <c r="P4091" s="561">
        <v>0</v>
      </c>
      <c r="Q4091" s="561">
        <v>0</v>
      </c>
    </row>
    <row r="4092" spans="1:54">
      <c r="A4092" s="561">
        <v>38</v>
      </c>
      <c r="B4092" s="561" t="s">
        <v>1606</v>
      </c>
      <c r="C4092" s="561" t="s">
        <v>1196</v>
      </c>
      <c r="D4092" s="561">
        <v>54895</v>
      </c>
      <c r="E4092" s="561">
        <v>15478.5</v>
      </c>
      <c r="F4092" s="561">
        <v>39416.5</v>
      </c>
      <c r="G4092" s="561">
        <v>997</v>
      </c>
      <c r="H4092" s="561">
        <v>55891.425800000005</v>
      </c>
      <c r="I4092" s="561">
        <v>116</v>
      </c>
      <c r="J4092" s="561">
        <v>4406.5716900000007</v>
      </c>
      <c r="K4092" s="561">
        <v>1032</v>
      </c>
      <c r="L4092" s="561">
        <v>55421.058999999994</v>
      </c>
      <c r="M4092" s="561">
        <v>54894.999999999993</v>
      </c>
      <c r="N4092" s="561">
        <v>15478.500000000002</v>
      </c>
      <c r="O4092" s="561">
        <v>0</v>
      </c>
      <c r="P4092" s="561">
        <v>39416.5</v>
      </c>
      <c r="Q4092" s="561">
        <v>39416.5</v>
      </c>
    </row>
    <row r="4093" spans="1:54">
      <c r="C4093" s="561" t="s">
        <v>1197</v>
      </c>
      <c r="D4093" s="561">
        <v>46885</v>
      </c>
      <c r="E4093" s="561">
        <v>13105.5</v>
      </c>
      <c r="F4093" s="561">
        <v>33779.5</v>
      </c>
      <c r="G4093" s="561">
        <v>482</v>
      </c>
      <c r="H4093" s="561">
        <v>48037.258999999998</v>
      </c>
      <c r="I4093" s="561">
        <v>93</v>
      </c>
      <c r="J4093" s="561">
        <v>4302.0918600000005</v>
      </c>
      <c r="K4093" s="561">
        <v>501</v>
      </c>
      <c r="L4093" s="561">
        <v>47360.877999999997</v>
      </c>
      <c r="M4093" s="561">
        <v>47072.219999999994</v>
      </c>
      <c r="N4093" s="561">
        <v>13105.499999999998</v>
      </c>
      <c r="O4093" s="561">
        <v>0</v>
      </c>
      <c r="Q4093" s="561">
        <v>33966.720000000001</v>
      </c>
      <c r="AL4093" s="561">
        <v>33966.720000000001</v>
      </c>
    </row>
    <row r="4094" spans="1:54">
      <c r="C4094" s="561" t="s">
        <v>1198</v>
      </c>
      <c r="D4094" s="561">
        <v>0</v>
      </c>
      <c r="E4094" s="561">
        <v>0</v>
      </c>
      <c r="F4094" s="561">
        <v>0</v>
      </c>
      <c r="G4094" s="561">
        <v>0</v>
      </c>
      <c r="H4094" s="561">
        <v>0</v>
      </c>
      <c r="I4094" s="561">
        <v>0</v>
      </c>
      <c r="J4094" s="561">
        <v>0</v>
      </c>
      <c r="K4094" s="561">
        <v>0</v>
      </c>
      <c r="L4094" s="561">
        <v>0</v>
      </c>
      <c r="M4094" s="561">
        <v>0</v>
      </c>
      <c r="N4094" s="561">
        <v>0</v>
      </c>
      <c r="O4094" s="561">
        <v>0</v>
      </c>
      <c r="P4094" s="561">
        <v>0</v>
      </c>
      <c r="Q4094" s="561">
        <v>0</v>
      </c>
    </row>
    <row r="4095" spans="1:54">
      <c r="C4095" s="561" t="s">
        <v>1199</v>
      </c>
      <c r="D4095" s="561">
        <v>8010</v>
      </c>
      <c r="E4095" s="561">
        <v>2373</v>
      </c>
      <c r="F4095" s="561">
        <v>5637</v>
      </c>
      <c r="G4095" s="561">
        <v>515</v>
      </c>
      <c r="H4095" s="561">
        <v>7854.1667999999991</v>
      </c>
      <c r="I4095" s="561">
        <v>23</v>
      </c>
      <c r="J4095" s="561">
        <v>104.47983000000001</v>
      </c>
      <c r="K4095" s="561">
        <v>531</v>
      </c>
      <c r="L4095" s="561">
        <v>8060.1810000000005</v>
      </c>
      <c r="M4095" s="561">
        <v>7822.7800000000007</v>
      </c>
      <c r="N4095" s="561">
        <v>2372.9999999999995</v>
      </c>
      <c r="O4095" s="561">
        <v>0</v>
      </c>
      <c r="P4095" s="561">
        <v>5449.7800000000007</v>
      </c>
      <c r="Q4095" s="561">
        <v>5449.7800000000007</v>
      </c>
    </row>
    <row r="4096" spans="1:54">
      <c r="A4096" s="561">
        <v>39</v>
      </c>
      <c r="B4096" s="561" t="s">
        <v>1607</v>
      </c>
      <c r="C4096" s="561" t="s">
        <v>1196</v>
      </c>
      <c r="D4096" s="561">
        <v>3294</v>
      </c>
      <c r="E4096" s="561">
        <v>988.2</v>
      </c>
      <c r="F4096" s="561">
        <v>2305.8000000000002</v>
      </c>
      <c r="G4096" s="561">
        <v>260</v>
      </c>
      <c r="H4096" s="561">
        <v>3428.7758599999997</v>
      </c>
      <c r="I4096" s="561">
        <v>24</v>
      </c>
      <c r="J4096" s="561">
        <v>106.62400000000001</v>
      </c>
      <c r="K4096" s="561">
        <v>260</v>
      </c>
      <c r="L4096" s="561">
        <v>3322.1460000000006</v>
      </c>
      <c r="M4096" s="561">
        <v>3294</v>
      </c>
      <c r="N4096" s="561">
        <v>988.19999999999982</v>
      </c>
      <c r="O4096" s="561">
        <v>0</v>
      </c>
      <c r="P4096" s="561">
        <v>2305.8000000000002</v>
      </c>
      <c r="Q4096" s="561">
        <v>2305.8000000000002</v>
      </c>
    </row>
    <row r="4097" spans="1:17">
      <c r="C4097" s="561" t="s">
        <v>1197</v>
      </c>
      <c r="D4097" s="561">
        <v>0</v>
      </c>
      <c r="E4097" s="561">
        <v>0</v>
      </c>
      <c r="F4097" s="561">
        <v>0</v>
      </c>
      <c r="G4097" s="561">
        <v>0</v>
      </c>
      <c r="H4097" s="561">
        <v>0</v>
      </c>
      <c r="I4097" s="561">
        <v>0</v>
      </c>
      <c r="J4097" s="561">
        <v>0</v>
      </c>
      <c r="K4097" s="561">
        <v>0</v>
      </c>
      <c r="L4097" s="561">
        <v>0</v>
      </c>
      <c r="M4097" s="561">
        <v>0</v>
      </c>
      <c r="N4097" s="561">
        <v>0</v>
      </c>
      <c r="O4097" s="561">
        <v>0</v>
      </c>
      <c r="P4097" s="561">
        <v>0</v>
      </c>
      <c r="Q4097" s="561">
        <v>0</v>
      </c>
    </row>
    <row r="4098" spans="1:17">
      <c r="C4098" s="561" t="s">
        <v>1198</v>
      </c>
      <c r="D4098" s="561">
        <v>0</v>
      </c>
      <c r="E4098" s="561">
        <v>0</v>
      </c>
      <c r="F4098" s="561">
        <v>0</v>
      </c>
      <c r="G4098" s="561">
        <v>0</v>
      </c>
      <c r="H4098" s="561">
        <v>0</v>
      </c>
      <c r="I4098" s="561">
        <v>0</v>
      </c>
      <c r="J4098" s="561">
        <v>0</v>
      </c>
      <c r="K4098" s="561">
        <v>0</v>
      </c>
      <c r="L4098" s="561">
        <v>0</v>
      </c>
      <c r="M4098" s="561">
        <v>0</v>
      </c>
      <c r="N4098" s="561">
        <v>0</v>
      </c>
      <c r="O4098" s="561">
        <v>0</v>
      </c>
      <c r="P4098" s="561">
        <v>0</v>
      </c>
      <c r="Q4098" s="561">
        <v>0</v>
      </c>
    </row>
    <row r="4099" spans="1:17">
      <c r="C4099" s="561" t="s">
        <v>1199</v>
      </c>
      <c r="D4099" s="561">
        <v>3294</v>
      </c>
      <c r="E4099" s="561">
        <v>988.2</v>
      </c>
      <c r="F4099" s="561">
        <v>2305.8000000000002</v>
      </c>
      <c r="G4099" s="561">
        <v>260</v>
      </c>
      <c r="H4099" s="561">
        <v>3428.7758599999997</v>
      </c>
      <c r="I4099" s="561">
        <v>24</v>
      </c>
      <c r="J4099" s="561">
        <v>106.62400000000001</v>
      </c>
      <c r="K4099" s="561">
        <v>260</v>
      </c>
      <c r="L4099" s="561">
        <v>3322.1460000000006</v>
      </c>
      <c r="M4099" s="561">
        <v>3294</v>
      </c>
      <c r="N4099" s="561">
        <v>988.19999999999982</v>
      </c>
      <c r="O4099" s="561">
        <v>0</v>
      </c>
      <c r="P4099" s="561">
        <v>2305.8000000000002</v>
      </c>
      <c r="Q4099" s="561">
        <v>2305.8000000000002</v>
      </c>
    </row>
    <row r="4100" spans="1:17">
      <c r="A4100" s="561">
        <v>40</v>
      </c>
      <c r="B4100" s="561" t="s">
        <v>1608</v>
      </c>
      <c r="C4100" s="561" t="s">
        <v>1196</v>
      </c>
      <c r="D4100" s="561">
        <v>5573</v>
      </c>
      <c r="E4100" s="561">
        <v>1671.9</v>
      </c>
      <c r="F4100" s="561">
        <v>3901.1</v>
      </c>
      <c r="G4100" s="561">
        <v>470</v>
      </c>
      <c r="H4100" s="561">
        <v>6460.5769999999993</v>
      </c>
      <c r="I4100" s="561">
        <v>24</v>
      </c>
      <c r="J4100" s="561">
        <v>100.61000000000001</v>
      </c>
      <c r="K4100" s="561">
        <v>426</v>
      </c>
      <c r="L4100" s="561">
        <v>5711.2809999999999</v>
      </c>
      <c r="M4100" s="561">
        <v>5573</v>
      </c>
      <c r="N4100" s="561">
        <v>1671.8999999999996</v>
      </c>
      <c r="O4100" s="561">
        <v>0</v>
      </c>
      <c r="P4100" s="561">
        <v>3901.1</v>
      </c>
      <c r="Q4100" s="561">
        <v>3901.1</v>
      </c>
    </row>
    <row r="4101" spans="1:17">
      <c r="C4101" s="561" t="s">
        <v>1197</v>
      </c>
      <c r="D4101" s="561">
        <v>0</v>
      </c>
      <c r="E4101" s="561">
        <v>0</v>
      </c>
      <c r="F4101" s="561">
        <v>0</v>
      </c>
      <c r="G4101" s="561">
        <v>0</v>
      </c>
      <c r="H4101" s="561">
        <v>0</v>
      </c>
      <c r="I4101" s="561">
        <v>0</v>
      </c>
      <c r="J4101" s="561">
        <v>0</v>
      </c>
      <c r="K4101" s="561">
        <v>0</v>
      </c>
      <c r="L4101" s="561">
        <v>0</v>
      </c>
      <c r="M4101" s="561">
        <v>0</v>
      </c>
      <c r="N4101" s="561">
        <v>0</v>
      </c>
      <c r="O4101" s="561">
        <v>0</v>
      </c>
      <c r="P4101" s="561">
        <v>0</v>
      </c>
      <c r="Q4101" s="561">
        <v>0</v>
      </c>
    </row>
    <row r="4102" spans="1:17">
      <c r="C4102" s="561" t="s">
        <v>1198</v>
      </c>
      <c r="D4102" s="561">
        <v>0</v>
      </c>
      <c r="E4102" s="561">
        <v>0</v>
      </c>
      <c r="F4102" s="561">
        <v>0</v>
      </c>
      <c r="G4102" s="561">
        <v>0</v>
      </c>
      <c r="H4102" s="561">
        <v>0</v>
      </c>
      <c r="I4102" s="561">
        <v>0</v>
      </c>
      <c r="J4102" s="561">
        <v>0</v>
      </c>
      <c r="K4102" s="561">
        <v>0</v>
      </c>
      <c r="L4102" s="561">
        <v>0</v>
      </c>
      <c r="M4102" s="561">
        <v>0</v>
      </c>
      <c r="N4102" s="561">
        <v>0</v>
      </c>
      <c r="O4102" s="561">
        <v>0</v>
      </c>
      <c r="P4102" s="561">
        <v>0</v>
      </c>
      <c r="Q4102" s="561">
        <v>0</v>
      </c>
    </row>
    <row r="4103" spans="1:17">
      <c r="C4103" s="561" t="s">
        <v>1199</v>
      </c>
      <c r="D4103" s="561">
        <v>5573</v>
      </c>
      <c r="E4103" s="561">
        <v>1671.9</v>
      </c>
      <c r="F4103" s="561">
        <v>3901.1</v>
      </c>
      <c r="G4103" s="561">
        <v>470</v>
      </c>
      <c r="H4103" s="561">
        <v>6460.5769999999993</v>
      </c>
      <c r="I4103" s="561">
        <v>24</v>
      </c>
      <c r="J4103" s="561">
        <v>100.61000000000001</v>
      </c>
      <c r="K4103" s="561">
        <v>426</v>
      </c>
      <c r="L4103" s="561">
        <v>5711.2809999999999</v>
      </c>
      <c r="M4103" s="561">
        <v>5573</v>
      </c>
      <c r="N4103" s="561">
        <v>1671.8999999999996</v>
      </c>
      <c r="O4103" s="561">
        <v>0</v>
      </c>
      <c r="P4103" s="561">
        <v>3901.1</v>
      </c>
      <c r="Q4103" s="561">
        <v>3901.1</v>
      </c>
    </row>
    <row r="4104" spans="1:17">
      <c r="A4104" s="561">
        <v>41</v>
      </c>
      <c r="B4104" s="561" t="s">
        <v>1609</v>
      </c>
      <c r="C4104" s="561" t="s">
        <v>1196</v>
      </c>
      <c r="D4104" s="561">
        <v>3652</v>
      </c>
      <c r="E4104" s="561">
        <v>1095.5999999999999</v>
      </c>
      <c r="F4104" s="561">
        <v>2556.4</v>
      </c>
      <c r="G4104" s="561">
        <v>295</v>
      </c>
      <c r="H4104" s="561">
        <v>3952.1559999999999</v>
      </c>
      <c r="I4104" s="561">
        <v>21</v>
      </c>
      <c r="J4104" s="561">
        <v>142.65799999999999</v>
      </c>
      <c r="K4104" s="561">
        <v>295</v>
      </c>
      <c r="L4104" s="561">
        <v>3809.4960000000001</v>
      </c>
      <c r="M4104" s="561">
        <v>3652</v>
      </c>
      <c r="N4104" s="561">
        <v>1095.5999999999999</v>
      </c>
      <c r="O4104" s="561">
        <v>0</v>
      </c>
      <c r="P4104" s="561">
        <v>2556.4</v>
      </c>
      <c r="Q4104" s="561">
        <v>2556.4</v>
      </c>
    </row>
    <row r="4105" spans="1:17">
      <c r="C4105" s="561" t="s">
        <v>1197</v>
      </c>
      <c r="D4105" s="561">
        <v>0</v>
      </c>
      <c r="E4105" s="561">
        <v>0</v>
      </c>
      <c r="F4105" s="561">
        <v>0</v>
      </c>
      <c r="G4105" s="561">
        <v>0</v>
      </c>
      <c r="H4105" s="561">
        <v>0</v>
      </c>
      <c r="I4105" s="561">
        <v>0</v>
      </c>
      <c r="J4105" s="561">
        <v>0</v>
      </c>
      <c r="K4105" s="561">
        <v>0</v>
      </c>
      <c r="L4105" s="561">
        <v>0</v>
      </c>
      <c r="M4105" s="561">
        <v>0</v>
      </c>
      <c r="N4105" s="561">
        <v>0</v>
      </c>
      <c r="O4105" s="561">
        <v>0</v>
      </c>
      <c r="P4105" s="561">
        <v>0</v>
      </c>
      <c r="Q4105" s="561">
        <v>0</v>
      </c>
    </row>
    <row r="4106" spans="1:17">
      <c r="C4106" s="561" t="s">
        <v>1198</v>
      </c>
      <c r="D4106" s="561">
        <v>0</v>
      </c>
      <c r="E4106" s="561">
        <v>0</v>
      </c>
      <c r="F4106" s="561">
        <v>0</v>
      </c>
      <c r="G4106" s="561">
        <v>0</v>
      </c>
      <c r="H4106" s="561">
        <v>0</v>
      </c>
      <c r="I4106" s="561">
        <v>0</v>
      </c>
      <c r="J4106" s="561">
        <v>0</v>
      </c>
      <c r="K4106" s="561">
        <v>0</v>
      </c>
      <c r="L4106" s="561">
        <v>0</v>
      </c>
      <c r="M4106" s="561">
        <v>0</v>
      </c>
      <c r="N4106" s="561">
        <v>0</v>
      </c>
      <c r="O4106" s="561">
        <v>0</v>
      </c>
      <c r="P4106" s="561">
        <v>0</v>
      </c>
      <c r="Q4106" s="561">
        <v>0</v>
      </c>
    </row>
    <row r="4107" spans="1:17">
      <c r="C4107" s="561" t="s">
        <v>1199</v>
      </c>
      <c r="D4107" s="561">
        <v>3652</v>
      </c>
      <c r="E4107" s="561">
        <v>1095.5999999999999</v>
      </c>
      <c r="F4107" s="561">
        <v>2556.4</v>
      </c>
      <c r="G4107" s="561">
        <v>295</v>
      </c>
      <c r="H4107" s="561">
        <v>3952.1559999999999</v>
      </c>
      <c r="I4107" s="561">
        <v>21</v>
      </c>
      <c r="J4107" s="561">
        <v>142.65799999999999</v>
      </c>
      <c r="K4107" s="561">
        <v>295</v>
      </c>
      <c r="L4107" s="561">
        <v>3809.4960000000001</v>
      </c>
      <c r="M4107" s="561">
        <v>3652</v>
      </c>
      <c r="N4107" s="561">
        <v>1095.5999999999999</v>
      </c>
      <c r="O4107" s="561">
        <v>0</v>
      </c>
      <c r="P4107" s="561">
        <v>2556.4</v>
      </c>
      <c r="Q4107" s="561">
        <v>2556.4</v>
      </c>
    </row>
    <row r="4108" spans="1:17">
      <c r="A4108" s="561">
        <v>42</v>
      </c>
      <c r="B4108" s="561" t="s">
        <v>1610</v>
      </c>
      <c r="C4108" s="561" t="s">
        <v>1196</v>
      </c>
      <c r="D4108" s="561">
        <v>2557</v>
      </c>
      <c r="E4108" s="561">
        <v>722.1</v>
      </c>
      <c r="F4108" s="561">
        <v>1834.9</v>
      </c>
      <c r="G4108" s="561">
        <v>222</v>
      </c>
      <c r="H4108" s="561">
        <v>4166.8599999999997</v>
      </c>
      <c r="I4108" s="561">
        <v>20</v>
      </c>
      <c r="J4108" s="561">
        <v>111.392</v>
      </c>
      <c r="K4108" s="561">
        <v>204</v>
      </c>
      <c r="L4108" s="561">
        <v>3287.9740000000006</v>
      </c>
      <c r="M4108" s="561">
        <v>2557.0000000000005</v>
      </c>
      <c r="N4108" s="561">
        <v>722.1</v>
      </c>
      <c r="O4108" s="561">
        <v>0</v>
      </c>
      <c r="P4108" s="561">
        <v>1834.9</v>
      </c>
      <c r="Q4108" s="561">
        <v>1834.9</v>
      </c>
    </row>
    <row r="4109" spans="1:17">
      <c r="C4109" s="561" t="s">
        <v>1197</v>
      </c>
      <c r="D4109" s="561">
        <v>0</v>
      </c>
      <c r="E4109" s="561">
        <v>0</v>
      </c>
      <c r="F4109" s="561">
        <v>0</v>
      </c>
      <c r="G4109" s="561">
        <v>0</v>
      </c>
      <c r="H4109" s="561">
        <v>0</v>
      </c>
      <c r="I4109" s="561">
        <v>0</v>
      </c>
      <c r="J4109" s="561">
        <v>0</v>
      </c>
      <c r="K4109" s="561">
        <v>0</v>
      </c>
      <c r="L4109" s="561">
        <v>0</v>
      </c>
      <c r="M4109" s="561">
        <v>0</v>
      </c>
      <c r="N4109" s="561">
        <v>0</v>
      </c>
      <c r="O4109" s="561">
        <v>0</v>
      </c>
      <c r="P4109" s="561">
        <v>0</v>
      </c>
      <c r="Q4109" s="561">
        <v>0</v>
      </c>
    </row>
    <row r="4110" spans="1:17">
      <c r="C4110" s="561" t="s">
        <v>1198</v>
      </c>
      <c r="D4110" s="561">
        <v>0</v>
      </c>
      <c r="E4110" s="561">
        <v>0</v>
      </c>
      <c r="F4110" s="561">
        <v>0</v>
      </c>
      <c r="G4110" s="561">
        <v>0</v>
      </c>
      <c r="H4110" s="561">
        <v>0</v>
      </c>
      <c r="I4110" s="561">
        <v>0</v>
      </c>
      <c r="J4110" s="561">
        <v>0</v>
      </c>
      <c r="K4110" s="561">
        <v>0</v>
      </c>
      <c r="L4110" s="561">
        <v>0</v>
      </c>
      <c r="M4110" s="561">
        <v>0</v>
      </c>
      <c r="N4110" s="561">
        <v>0</v>
      </c>
      <c r="O4110" s="561">
        <v>0</v>
      </c>
      <c r="P4110" s="561">
        <v>0</v>
      </c>
      <c r="Q4110" s="561">
        <v>0</v>
      </c>
    </row>
    <row r="4111" spans="1:17">
      <c r="C4111" s="561" t="s">
        <v>1199</v>
      </c>
      <c r="D4111" s="561">
        <v>2557</v>
      </c>
      <c r="E4111" s="561">
        <v>722.1</v>
      </c>
      <c r="F4111" s="561">
        <v>1834.9</v>
      </c>
      <c r="G4111" s="561">
        <v>222</v>
      </c>
      <c r="H4111" s="561">
        <v>4166.8599999999997</v>
      </c>
      <c r="I4111" s="561">
        <v>20</v>
      </c>
      <c r="J4111" s="561">
        <v>111.392</v>
      </c>
      <c r="K4111" s="561">
        <v>204</v>
      </c>
      <c r="L4111" s="561">
        <v>3287.9740000000006</v>
      </c>
      <c r="M4111" s="561">
        <v>2557.0000000000005</v>
      </c>
      <c r="N4111" s="561">
        <v>722.1</v>
      </c>
      <c r="O4111" s="561">
        <v>0</v>
      </c>
      <c r="P4111" s="561">
        <v>1834.9</v>
      </c>
      <c r="Q4111" s="561">
        <v>1834.9</v>
      </c>
    </row>
    <row r="4112" spans="1:17">
      <c r="A4112" s="561">
        <v>43</v>
      </c>
      <c r="B4112" s="561" t="s">
        <v>1611</v>
      </c>
      <c r="C4112" s="561" t="s">
        <v>1196</v>
      </c>
      <c r="D4112" s="561">
        <v>10125</v>
      </c>
      <c r="E4112" s="561">
        <v>2947.5</v>
      </c>
      <c r="F4112" s="561">
        <v>7177.5</v>
      </c>
      <c r="G4112" s="561">
        <v>799</v>
      </c>
      <c r="H4112" s="561">
        <v>10720.1643</v>
      </c>
      <c r="I4112" s="561">
        <v>43</v>
      </c>
      <c r="J4112" s="561">
        <v>338.37106999999997</v>
      </c>
      <c r="K4112" s="561">
        <v>792</v>
      </c>
      <c r="L4112" s="561">
        <v>10381.942999999999</v>
      </c>
      <c r="M4112" s="561">
        <v>10125.000000000002</v>
      </c>
      <c r="N4112" s="561">
        <v>2947.5</v>
      </c>
      <c r="O4112" s="561">
        <v>0</v>
      </c>
      <c r="P4112" s="561">
        <v>7177.5</v>
      </c>
      <c r="Q4112" s="561">
        <v>7177.5</v>
      </c>
    </row>
    <row r="4113" spans="1:17">
      <c r="C4113" s="561" t="s">
        <v>1197</v>
      </c>
      <c r="D4113" s="561">
        <v>0</v>
      </c>
      <c r="E4113" s="561">
        <v>0</v>
      </c>
      <c r="F4113" s="561">
        <v>0</v>
      </c>
      <c r="G4113" s="561">
        <v>0</v>
      </c>
      <c r="H4113" s="561">
        <v>0</v>
      </c>
      <c r="I4113" s="561">
        <v>0</v>
      </c>
      <c r="J4113" s="561">
        <v>0</v>
      </c>
      <c r="K4113" s="561">
        <v>0</v>
      </c>
      <c r="L4113" s="561">
        <v>0</v>
      </c>
      <c r="M4113" s="561">
        <v>0</v>
      </c>
      <c r="N4113" s="561">
        <v>0</v>
      </c>
      <c r="O4113" s="561">
        <v>0</v>
      </c>
      <c r="P4113" s="561">
        <v>0</v>
      </c>
      <c r="Q4113" s="561">
        <v>0</v>
      </c>
    </row>
    <row r="4114" spans="1:17">
      <c r="C4114" s="561" t="s">
        <v>1198</v>
      </c>
      <c r="D4114" s="561">
        <v>0</v>
      </c>
      <c r="E4114" s="561">
        <v>0</v>
      </c>
      <c r="F4114" s="561">
        <v>0</v>
      </c>
      <c r="G4114" s="561">
        <v>0</v>
      </c>
      <c r="H4114" s="561">
        <v>0</v>
      </c>
      <c r="I4114" s="561">
        <v>0</v>
      </c>
      <c r="J4114" s="561">
        <v>0</v>
      </c>
      <c r="K4114" s="561">
        <v>0</v>
      </c>
      <c r="L4114" s="561">
        <v>0</v>
      </c>
      <c r="M4114" s="561">
        <v>0</v>
      </c>
      <c r="N4114" s="561">
        <v>0</v>
      </c>
      <c r="O4114" s="561">
        <v>0</v>
      </c>
      <c r="P4114" s="561">
        <v>0</v>
      </c>
      <c r="Q4114" s="561">
        <v>0</v>
      </c>
    </row>
    <row r="4115" spans="1:17">
      <c r="C4115" s="561" t="s">
        <v>1199</v>
      </c>
      <c r="D4115" s="561">
        <v>10125</v>
      </c>
      <c r="E4115" s="561">
        <v>2947.5</v>
      </c>
      <c r="F4115" s="561">
        <v>7177.5</v>
      </c>
      <c r="G4115" s="561">
        <v>799</v>
      </c>
      <c r="H4115" s="561">
        <v>10720.1643</v>
      </c>
      <c r="I4115" s="561">
        <v>43</v>
      </c>
      <c r="J4115" s="561">
        <v>338.37106999999997</v>
      </c>
      <c r="K4115" s="561">
        <v>792</v>
      </c>
      <c r="L4115" s="561">
        <v>10381.942999999999</v>
      </c>
      <c r="M4115" s="561">
        <v>10125.000000000002</v>
      </c>
      <c r="N4115" s="561">
        <v>2947.5</v>
      </c>
      <c r="O4115" s="561">
        <v>0</v>
      </c>
      <c r="P4115" s="561">
        <v>7177.5</v>
      </c>
      <c r="Q4115" s="561">
        <v>7177.5</v>
      </c>
    </row>
    <row r="4116" spans="1:17">
      <c r="A4116" s="561">
        <v>44</v>
      </c>
      <c r="B4116" s="561" t="s">
        <v>1612</v>
      </c>
      <c r="C4116" s="561" t="s">
        <v>1196</v>
      </c>
      <c r="D4116" s="561">
        <v>5020</v>
      </c>
      <c r="E4116" s="561">
        <v>1506</v>
      </c>
      <c r="F4116" s="561">
        <v>3514</v>
      </c>
      <c r="G4116" s="561">
        <v>418</v>
      </c>
      <c r="H4116" s="561">
        <v>5835.5670600000003</v>
      </c>
      <c r="I4116" s="561">
        <v>29</v>
      </c>
      <c r="J4116" s="561">
        <v>144.30199999999996</v>
      </c>
      <c r="K4116" s="561">
        <v>381</v>
      </c>
      <c r="L4116" s="561">
        <v>5230.4560000000001</v>
      </c>
      <c r="M4116" s="561">
        <v>5020</v>
      </c>
      <c r="N4116" s="561">
        <v>1506.0000000000002</v>
      </c>
      <c r="O4116" s="561">
        <v>0</v>
      </c>
      <c r="P4116" s="561">
        <v>3513.9999999999995</v>
      </c>
      <c r="Q4116" s="561">
        <v>3513.9999999999995</v>
      </c>
    </row>
    <row r="4117" spans="1:17">
      <c r="C4117" s="561" t="s">
        <v>1197</v>
      </c>
      <c r="D4117" s="561">
        <v>0</v>
      </c>
      <c r="E4117" s="561">
        <v>0</v>
      </c>
      <c r="F4117" s="561">
        <v>0</v>
      </c>
      <c r="G4117" s="561">
        <v>0</v>
      </c>
      <c r="H4117" s="561">
        <v>0</v>
      </c>
      <c r="I4117" s="561">
        <v>0</v>
      </c>
      <c r="J4117" s="561">
        <v>0</v>
      </c>
      <c r="K4117" s="561">
        <v>0</v>
      </c>
      <c r="L4117" s="561">
        <v>0</v>
      </c>
      <c r="M4117" s="561">
        <v>0</v>
      </c>
      <c r="N4117" s="561">
        <v>0</v>
      </c>
      <c r="O4117" s="561">
        <v>0</v>
      </c>
      <c r="P4117" s="561">
        <v>0</v>
      </c>
      <c r="Q4117" s="561">
        <v>0</v>
      </c>
    </row>
    <row r="4118" spans="1:17">
      <c r="C4118" s="561" t="s">
        <v>1198</v>
      </c>
      <c r="D4118" s="561">
        <v>0</v>
      </c>
      <c r="E4118" s="561">
        <v>0</v>
      </c>
      <c r="F4118" s="561">
        <v>0</v>
      </c>
      <c r="G4118" s="561">
        <v>0</v>
      </c>
      <c r="H4118" s="561">
        <v>0</v>
      </c>
      <c r="I4118" s="561">
        <v>0</v>
      </c>
      <c r="J4118" s="561">
        <v>0</v>
      </c>
      <c r="K4118" s="561">
        <v>0</v>
      </c>
      <c r="L4118" s="561">
        <v>0</v>
      </c>
      <c r="M4118" s="561">
        <v>0</v>
      </c>
      <c r="N4118" s="561">
        <v>0</v>
      </c>
      <c r="O4118" s="561">
        <v>0</v>
      </c>
      <c r="P4118" s="561">
        <v>0</v>
      </c>
      <c r="Q4118" s="561">
        <v>0</v>
      </c>
    </row>
    <row r="4119" spans="1:17">
      <c r="C4119" s="561" t="s">
        <v>1199</v>
      </c>
      <c r="D4119" s="561">
        <v>5020</v>
      </c>
      <c r="E4119" s="561">
        <v>1506</v>
      </c>
      <c r="F4119" s="561">
        <v>3514</v>
      </c>
      <c r="G4119" s="561">
        <v>418</v>
      </c>
      <c r="H4119" s="561">
        <v>5835.5670600000003</v>
      </c>
      <c r="I4119" s="561">
        <v>29</v>
      </c>
      <c r="J4119" s="561">
        <v>144.30199999999996</v>
      </c>
      <c r="K4119" s="561">
        <v>381</v>
      </c>
      <c r="L4119" s="561">
        <v>5230.4560000000001</v>
      </c>
      <c r="M4119" s="561">
        <v>5020</v>
      </c>
      <c r="N4119" s="561">
        <v>1506.0000000000002</v>
      </c>
      <c r="O4119" s="561">
        <v>0</v>
      </c>
      <c r="P4119" s="561">
        <v>3513.9999999999995</v>
      </c>
      <c r="Q4119" s="561">
        <v>3513.9999999999995</v>
      </c>
    </row>
    <row r="4120" spans="1:17">
      <c r="A4120" s="561">
        <v>45</v>
      </c>
      <c r="B4120" s="561" t="s">
        <v>1613</v>
      </c>
      <c r="C4120" s="561" t="s">
        <v>1196</v>
      </c>
      <c r="D4120" s="561">
        <v>5620</v>
      </c>
      <c r="E4120" s="561">
        <v>1566</v>
      </c>
      <c r="F4120" s="561">
        <v>4054</v>
      </c>
      <c r="G4120" s="561">
        <v>397</v>
      </c>
      <c r="H4120" s="561">
        <v>5911.3105600000008</v>
      </c>
      <c r="I4120" s="561">
        <v>55</v>
      </c>
      <c r="J4120" s="561">
        <v>271.84100000000001</v>
      </c>
      <c r="K4120" s="561">
        <v>397</v>
      </c>
      <c r="L4120" s="561">
        <v>5636.4829999999993</v>
      </c>
      <c r="M4120" s="561">
        <v>5620</v>
      </c>
      <c r="N4120" s="561">
        <v>1566</v>
      </c>
      <c r="O4120" s="561">
        <v>0</v>
      </c>
      <c r="P4120" s="561">
        <v>4054</v>
      </c>
      <c r="Q4120" s="561">
        <v>4054</v>
      </c>
    </row>
    <row r="4121" spans="1:17">
      <c r="C4121" s="561" t="s">
        <v>1197</v>
      </c>
      <c r="D4121" s="561">
        <v>0</v>
      </c>
      <c r="E4121" s="561">
        <v>0</v>
      </c>
      <c r="F4121" s="561">
        <v>0</v>
      </c>
      <c r="G4121" s="561">
        <v>0</v>
      </c>
      <c r="H4121" s="561">
        <v>0</v>
      </c>
      <c r="I4121" s="561">
        <v>0</v>
      </c>
      <c r="J4121" s="561">
        <v>0</v>
      </c>
      <c r="K4121" s="561">
        <v>0</v>
      </c>
      <c r="L4121" s="561">
        <v>0</v>
      </c>
      <c r="M4121" s="561">
        <v>0</v>
      </c>
      <c r="N4121" s="561">
        <v>0</v>
      </c>
      <c r="O4121" s="561">
        <v>0</v>
      </c>
      <c r="P4121" s="561">
        <v>0</v>
      </c>
      <c r="Q4121" s="561">
        <v>0</v>
      </c>
    </row>
    <row r="4122" spans="1:17">
      <c r="C4122" s="561" t="s">
        <v>1198</v>
      </c>
      <c r="D4122" s="561">
        <v>0</v>
      </c>
      <c r="E4122" s="561">
        <v>0</v>
      </c>
      <c r="F4122" s="561">
        <v>0</v>
      </c>
      <c r="G4122" s="561">
        <v>0</v>
      </c>
      <c r="H4122" s="561">
        <v>0</v>
      </c>
      <c r="I4122" s="561">
        <v>0</v>
      </c>
      <c r="J4122" s="561">
        <v>0</v>
      </c>
      <c r="K4122" s="561">
        <v>0</v>
      </c>
      <c r="L4122" s="561">
        <v>0</v>
      </c>
      <c r="M4122" s="561">
        <v>0</v>
      </c>
      <c r="N4122" s="561">
        <v>0</v>
      </c>
      <c r="O4122" s="561">
        <v>0</v>
      </c>
      <c r="P4122" s="561">
        <v>0</v>
      </c>
      <c r="Q4122" s="561">
        <v>0</v>
      </c>
    </row>
    <row r="4123" spans="1:17">
      <c r="C4123" s="561" t="s">
        <v>1199</v>
      </c>
      <c r="D4123" s="561">
        <v>5620</v>
      </c>
      <c r="E4123" s="561">
        <v>1566</v>
      </c>
      <c r="F4123" s="561">
        <v>4054</v>
      </c>
      <c r="G4123" s="561">
        <v>397</v>
      </c>
      <c r="H4123" s="561">
        <v>5911.3105600000008</v>
      </c>
      <c r="I4123" s="561">
        <v>55</v>
      </c>
      <c r="J4123" s="561">
        <v>271.84100000000001</v>
      </c>
      <c r="K4123" s="561">
        <v>397</v>
      </c>
      <c r="L4123" s="561">
        <v>5636.4829999999993</v>
      </c>
      <c r="M4123" s="561">
        <v>5620</v>
      </c>
      <c r="N4123" s="561">
        <v>1566</v>
      </c>
      <c r="O4123" s="561">
        <v>0</v>
      </c>
      <c r="P4123" s="561">
        <v>4054</v>
      </c>
      <c r="Q4123" s="561">
        <v>4054</v>
      </c>
    </row>
    <row r="4124" spans="1:17">
      <c r="A4124" s="561">
        <v>46</v>
      </c>
      <c r="B4124" s="561" t="s">
        <v>1614</v>
      </c>
      <c r="C4124" s="561" t="s">
        <v>1196</v>
      </c>
      <c r="D4124" s="561">
        <v>2647</v>
      </c>
      <c r="E4124" s="561">
        <v>734.1</v>
      </c>
      <c r="F4124" s="561">
        <v>1912.9</v>
      </c>
      <c r="G4124" s="561">
        <v>209</v>
      </c>
      <c r="H4124" s="561">
        <v>3035.8172300000001</v>
      </c>
      <c r="I4124" s="561">
        <v>22</v>
      </c>
      <c r="J4124" s="561">
        <v>128.24099999999999</v>
      </c>
      <c r="K4124" s="561">
        <v>192</v>
      </c>
      <c r="L4124" s="561">
        <v>2664.04</v>
      </c>
      <c r="M4124" s="561">
        <v>2647</v>
      </c>
      <c r="N4124" s="561">
        <v>734.101</v>
      </c>
      <c r="O4124" s="561">
        <v>0</v>
      </c>
      <c r="P4124" s="561">
        <v>1912.8989999999997</v>
      </c>
      <c r="Q4124" s="561">
        <v>1912.8989999999997</v>
      </c>
    </row>
    <row r="4125" spans="1:17">
      <c r="C4125" s="561" t="s">
        <v>1197</v>
      </c>
      <c r="D4125" s="561">
        <v>0</v>
      </c>
      <c r="E4125" s="561">
        <v>0</v>
      </c>
      <c r="F4125" s="561">
        <v>0</v>
      </c>
      <c r="G4125" s="561">
        <v>0</v>
      </c>
      <c r="H4125" s="561">
        <v>0</v>
      </c>
      <c r="I4125" s="561">
        <v>0</v>
      </c>
      <c r="J4125" s="561">
        <v>0</v>
      </c>
      <c r="K4125" s="561">
        <v>0</v>
      </c>
      <c r="L4125" s="561">
        <v>0</v>
      </c>
      <c r="M4125" s="561">
        <v>0</v>
      </c>
      <c r="N4125" s="561">
        <v>0</v>
      </c>
      <c r="O4125" s="561">
        <v>0</v>
      </c>
      <c r="P4125" s="561">
        <v>0</v>
      </c>
      <c r="Q4125" s="561">
        <v>0</v>
      </c>
    </row>
    <row r="4126" spans="1:17">
      <c r="C4126" s="561" t="s">
        <v>1198</v>
      </c>
      <c r="D4126" s="561">
        <v>0</v>
      </c>
      <c r="E4126" s="561">
        <v>0</v>
      </c>
      <c r="F4126" s="561">
        <v>0</v>
      </c>
      <c r="G4126" s="561">
        <v>0</v>
      </c>
      <c r="H4126" s="561">
        <v>0</v>
      </c>
      <c r="I4126" s="561">
        <v>0</v>
      </c>
      <c r="J4126" s="561">
        <v>0</v>
      </c>
      <c r="K4126" s="561">
        <v>0</v>
      </c>
      <c r="L4126" s="561">
        <v>0</v>
      </c>
      <c r="M4126" s="561">
        <v>0</v>
      </c>
      <c r="N4126" s="561">
        <v>0</v>
      </c>
      <c r="O4126" s="561">
        <v>0</v>
      </c>
      <c r="P4126" s="561">
        <v>0</v>
      </c>
      <c r="Q4126" s="561">
        <v>0</v>
      </c>
    </row>
    <row r="4127" spans="1:17">
      <c r="C4127" s="561" t="s">
        <v>1199</v>
      </c>
      <c r="D4127" s="561">
        <v>2647</v>
      </c>
      <c r="E4127" s="561">
        <v>734.1</v>
      </c>
      <c r="F4127" s="561">
        <v>1912.9</v>
      </c>
      <c r="G4127" s="561">
        <v>209</v>
      </c>
      <c r="H4127" s="561">
        <v>3035.8172300000001</v>
      </c>
      <c r="I4127" s="561">
        <v>22</v>
      </c>
      <c r="J4127" s="561">
        <v>128.24099999999999</v>
      </c>
      <c r="K4127" s="561">
        <v>192</v>
      </c>
      <c r="L4127" s="561">
        <v>2664.04</v>
      </c>
      <c r="M4127" s="561">
        <v>2647</v>
      </c>
      <c r="N4127" s="561">
        <v>734.101</v>
      </c>
      <c r="O4127" s="561">
        <v>0</v>
      </c>
      <c r="P4127" s="561">
        <v>1912.8989999999997</v>
      </c>
      <c r="Q4127" s="561">
        <v>1912.8989999999997</v>
      </c>
    </row>
    <row r="4128" spans="1:17">
      <c r="A4128" s="561">
        <v>47</v>
      </c>
      <c r="B4128" s="561" t="s">
        <v>1615</v>
      </c>
      <c r="C4128" s="561" t="s">
        <v>1196</v>
      </c>
      <c r="D4128" s="561">
        <v>1393</v>
      </c>
      <c r="E4128" s="561">
        <v>477.9</v>
      </c>
      <c r="F4128" s="561">
        <v>915.1</v>
      </c>
      <c r="G4128" s="561">
        <v>135</v>
      </c>
      <c r="H4128" s="561">
        <v>1759.7949999999996</v>
      </c>
      <c r="I4128" s="561">
        <v>10</v>
      </c>
      <c r="J4128" s="561">
        <v>80.154000000000011</v>
      </c>
      <c r="K4128" s="561">
        <v>135</v>
      </c>
      <c r="L4128" s="561">
        <v>1679.6379999999999</v>
      </c>
      <c r="M4128" s="561">
        <v>1393</v>
      </c>
      <c r="N4128" s="561">
        <v>477.90000000000003</v>
      </c>
      <c r="O4128" s="561">
        <v>0</v>
      </c>
      <c r="P4128" s="561">
        <v>915.10000000000014</v>
      </c>
      <c r="Q4128" s="561">
        <v>915.10000000000014</v>
      </c>
    </row>
    <row r="4129" spans="1:38">
      <c r="C4129" s="561" t="s">
        <v>1197</v>
      </c>
      <c r="D4129" s="561">
        <v>0</v>
      </c>
      <c r="E4129" s="561">
        <v>0</v>
      </c>
      <c r="F4129" s="561">
        <v>0</v>
      </c>
      <c r="G4129" s="561">
        <v>0</v>
      </c>
      <c r="H4129" s="561">
        <v>0</v>
      </c>
      <c r="I4129" s="561">
        <v>0</v>
      </c>
      <c r="J4129" s="561">
        <v>0</v>
      </c>
      <c r="K4129" s="561">
        <v>0</v>
      </c>
      <c r="L4129" s="561">
        <v>0</v>
      </c>
      <c r="M4129" s="561">
        <v>0</v>
      </c>
      <c r="N4129" s="561">
        <v>0</v>
      </c>
      <c r="O4129" s="561">
        <v>0</v>
      </c>
      <c r="P4129" s="561">
        <v>0</v>
      </c>
      <c r="Q4129" s="561">
        <v>0</v>
      </c>
    </row>
    <row r="4130" spans="1:38">
      <c r="C4130" s="561" t="s">
        <v>1198</v>
      </c>
      <c r="D4130" s="561">
        <v>0</v>
      </c>
      <c r="E4130" s="561">
        <v>0</v>
      </c>
      <c r="F4130" s="561">
        <v>0</v>
      </c>
      <c r="G4130" s="561">
        <v>0</v>
      </c>
      <c r="H4130" s="561">
        <v>0</v>
      </c>
      <c r="I4130" s="561">
        <v>0</v>
      </c>
      <c r="J4130" s="561">
        <v>0</v>
      </c>
      <c r="K4130" s="561">
        <v>0</v>
      </c>
      <c r="L4130" s="561">
        <v>0</v>
      </c>
      <c r="M4130" s="561">
        <v>0</v>
      </c>
      <c r="N4130" s="561">
        <v>0</v>
      </c>
      <c r="O4130" s="561">
        <v>0</v>
      </c>
      <c r="P4130" s="561">
        <v>0</v>
      </c>
      <c r="Q4130" s="561">
        <v>0</v>
      </c>
    </row>
    <row r="4131" spans="1:38">
      <c r="C4131" s="561" t="s">
        <v>1199</v>
      </c>
      <c r="D4131" s="561">
        <v>1393</v>
      </c>
      <c r="E4131" s="561">
        <v>477.9</v>
      </c>
      <c r="F4131" s="561">
        <v>915.1</v>
      </c>
      <c r="G4131" s="561">
        <v>135</v>
      </c>
      <c r="H4131" s="561">
        <v>1759.7949999999996</v>
      </c>
      <c r="I4131" s="561">
        <v>10</v>
      </c>
      <c r="J4131" s="561">
        <v>80.154000000000011</v>
      </c>
      <c r="K4131" s="561">
        <v>135</v>
      </c>
      <c r="L4131" s="561">
        <v>1679.6379999999999</v>
      </c>
      <c r="M4131" s="561">
        <v>1393</v>
      </c>
      <c r="N4131" s="561">
        <v>477.90000000000003</v>
      </c>
      <c r="O4131" s="561">
        <v>0</v>
      </c>
      <c r="P4131" s="561">
        <v>915.10000000000014</v>
      </c>
      <c r="Q4131" s="561">
        <v>915.10000000000014</v>
      </c>
    </row>
    <row r="4132" spans="1:38">
      <c r="A4132" s="561">
        <v>48</v>
      </c>
      <c r="B4132" s="561" t="s">
        <v>1616</v>
      </c>
      <c r="C4132" s="561" t="s">
        <v>1196</v>
      </c>
      <c r="D4132" s="561">
        <v>177053</v>
      </c>
      <c r="E4132" s="561">
        <v>57941.1</v>
      </c>
      <c r="F4132" s="561">
        <v>119111.9</v>
      </c>
      <c r="G4132" s="561">
        <v>3589</v>
      </c>
      <c r="H4132" s="561">
        <v>187940.71593999999</v>
      </c>
      <c r="I4132" s="561">
        <v>378</v>
      </c>
      <c r="J4132" s="561">
        <v>12068.053189999999</v>
      </c>
      <c r="K4132" s="561">
        <v>3540</v>
      </c>
      <c r="L4132" s="561">
        <v>178496.61799999999</v>
      </c>
      <c r="M4132" s="561">
        <v>177053</v>
      </c>
      <c r="N4132" s="561">
        <v>57941.100000000006</v>
      </c>
      <c r="O4132" s="561">
        <v>0</v>
      </c>
      <c r="P4132" s="561">
        <v>119111.90000000001</v>
      </c>
      <c r="Q4132" s="561">
        <v>119111.90000000001</v>
      </c>
    </row>
    <row r="4133" spans="1:38">
      <c r="C4133" s="561" t="s">
        <v>1197</v>
      </c>
      <c r="D4133" s="561">
        <v>170258</v>
      </c>
      <c r="E4133" s="561">
        <v>56198.1</v>
      </c>
      <c r="F4133" s="561">
        <v>114059.9</v>
      </c>
      <c r="G4133" s="561">
        <v>3087</v>
      </c>
      <c r="H4133" s="561">
        <v>181033.04249999998</v>
      </c>
      <c r="I4133" s="561">
        <v>342</v>
      </c>
      <c r="J4133" s="561">
        <v>11922.665749999998</v>
      </c>
      <c r="K4133" s="561">
        <v>3038</v>
      </c>
      <c r="L4133" s="561">
        <v>171734.33299999998</v>
      </c>
      <c r="M4133" s="561">
        <v>170301.603</v>
      </c>
      <c r="N4133" s="561">
        <v>56198.1</v>
      </c>
      <c r="O4133" s="561">
        <v>0</v>
      </c>
      <c r="Q4133" s="561">
        <v>114103.503</v>
      </c>
      <c r="AL4133" s="561">
        <v>114103.503</v>
      </c>
    </row>
    <row r="4134" spans="1:38">
      <c r="C4134" s="561" t="s">
        <v>1198</v>
      </c>
      <c r="D4134" s="561">
        <v>0</v>
      </c>
      <c r="E4134" s="561">
        <v>0</v>
      </c>
      <c r="F4134" s="561">
        <v>0</v>
      </c>
      <c r="G4134" s="561">
        <v>0</v>
      </c>
      <c r="H4134" s="561">
        <v>0</v>
      </c>
      <c r="I4134" s="561">
        <v>0</v>
      </c>
      <c r="J4134" s="561">
        <v>0</v>
      </c>
      <c r="K4134" s="561">
        <v>0</v>
      </c>
      <c r="L4134" s="561">
        <v>0</v>
      </c>
      <c r="M4134" s="561">
        <v>0</v>
      </c>
      <c r="N4134" s="561">
        <v>0</v>
      </c>
      <c r="O4134" s="561">
        <v>0</v>
      </c>
      <c r="P4134" s="561">
        <v>0</v>
      </c>
      <c r="Q4134" s="561">
        <v>0</v>
      </c>
    </row>
    <row r="4135" spans="1:38">
      <c r="C4135" s="561" t="s">
        <v>1199</v>
      </c>
      <c r="D4135" s="561">
        <v>6795</v>
      </c>
      <c r="E4135" s="561">
        <v>1743</v>
      </c>
      <c r="F4135" s="561">
        <v>5052</v>
      </c>
      <c r="G4135" s="561">
        <v>502</v>
      </c>
      <c r="H4135" s="561">
        <v>6907.6734400000005</v>
      </c>
      <c r="I4135" s="561">
        <v>36</v>
      </c>
      <c r="J4135" s="561">
        <v>145.38744</v>
      </c>
      <c r="K4135" s="561">
        <v>502</v>
      </c>
      <c r="L4135" s="561">
        <v>6762.2850000000008</v>
      </c>
      <c r="M4135" s="561">
        <v>6751.3969999999999</v>
      </c>
      <c r="N4135" s="561">
        <v>1742.9999999999998</v>
      </c>
      <c r="O4135" s="561">
        <v>0</v>
      </c>
      <c r="P4135" s="561">
        <v>5008.3969999999999</v>
      </c>
      <c r="Q4135" s="561">
        <v>5008.3969999999999</v>
      </c>
    </row>
    <row r="4136" spans="1:38">
      <c r="A4136" s="561">
        <v>49</v>
      </c>
      <c r="B4136" s="561" t="s">
        <v>1617</v>
      </c>
      <c r="C4136" s="561" t="s">
        <v>1196</v>
      </c>
      <c r="D4136" s="561">
        <v>15012</v>
      </c>
      <c r="E4136" s="561">
        <v>4203.6000000000004</v>
      </c>
      <c r="F4136" s="561">
        <v>10808.4</v>
      </c>
      <c r="G4136" s="561">
        <v>269</v>
      </c>
      <c r="H4136" s="561">
        <v>20086.454280000002</v>
      </c>
      <c r="I4136" s="561">
        <v>61</v>
      </c>
      <c r="J4136" s="561">
        <v>1690.7394699999998</v>
      </c>
      <c r="K4136" s="561">
        <v>244</v>
      </c>
      <c r="L4136" s="561">
        <v>16689.833000000002</v>
      </c>
      <c r="M4136" s="561">
        <v>15011.999999999998</v>
      </c>
      <c r="N4136" s="561">
        <v>4203.6000000000004</v>
      </c>
      <c r="O4136" s="561">
        <v>0</v>
      </c>
      <c r="P4136" s="561">
        <v>10808.399999999998</v>
      </c>
      <c r="Q4136" s="561">
        <v>10808.399999999998</v>
      </c>
    </row>
    <row r="4137" spans="1:38">
      <c r="C4137" s="561" t="s">
        <v>1197</v>
      </c>
      <c r="D4137" s="561">
        <v>15012</v>
      </c>
      <c r="E4137" s="561">
        <v>4203.6000000000004</v>
      </c>
      <c r="F4137" s="561">
        <v>10808.4</v>
      </c>
      <c r="G4137" s="561">
        <v>269</v>
      </c>
      <c r="H4137" s="561">
        <v>20086.454280000002</v>
      </c>
      <c r="I4137" s="561">
        <v>61</v>
      </c>
      <c r="J4137" s="561">
        <v>1690.7394699999998</v>
      </c>
      <c r="K4137" s="561">
        <v>244</v>
      </c>
      <c r="L4137" s="561">
        <v>16689.833000000002</v>
      </c>
      <c r="M4137" s="561">
        <v>15011.999999999998</v>
      </c>
      <c r="N4137" s="561">
        <v>4203.6000000000004</v>
      </c>
      <c r="O4137" s="561">
        <v>0</v>
      </c>
      <c r="Q4137" s="561">
        <v>10808.399999999998</v>
      </c>
      <c r="AL4137" s="561">
        <v>10808.399999999998</v>
      </c>
    </row>
    <row r="4138" spans="1:38">
      <c r="C4138" s="561" t="s">
        <v>1198</v>
      </c>
      <c r="D4138" s="561">
        <v>0</v>
      </c>
      <c r="E4138" s="561">
        <v>0</v>
      </c>
      <c r="F4138" s="561">
        <v>0</v>
      </c>
      <c r="G4138" s="561">
        <v>0</v>
      </c>
      <c r="H4138" s="561">
        <v>0</v>
      </c>
      <c r="I4138" s="561">
        <v>0</v>
      </c>
      <c r="J4138" s="561">
        <v>0</v>
      </c>
      <c r="K4138" s="561">
        <v>0</v>
      </c>
      <c r="L4138" s="561">
        <v>0</v>
      </c>
      <c r="M4138" s="561">
        <v>0</v>
      </c>
      <c r="N4138" s="561">
        <v>0</v>
      </c>
      <c r="O4138" s="561">
        <v>0</v>
      </c>
      <c r="P4138" s="561">
        <v>0</v>
      </c>
      <c r="Q4138" s="561">
        <v>0</v>
      </c>
    </row>
    <row r="4139" spans="1:38">
      <c r="C4139" s="561" t="s">
        <v>1199</v>
      </c>
      <c r="D4139" s="561">
        <v>0</v>
      </c>
      <c r="E4139" s="561">
        <v>0</v>
      </c>
      <c r="F4139" s="561">
        <v>0</v>
      </c>
      <c r="G4139" s="561">
        <v>0</v>
      </c>
      <c r="H4139" s="561">
        <v>0</v>
      </c>
      <c r="I4139" s="561">
        <v>0</v>
      </c>
      <c r="J4139" s="561">
        <v>0</v>
      </c>
      <c r="K4139" s="561">
        <v>0</v>
      </c>
      <c r="L4139" s="561">
        <v>0</v>
      </c>
      <c r="M4139" s="561">
        <v>0</v>
      </c>
      <c r="N4139" s="561">
        <v>0</v>
      </c>
      <c r="O4139" s="561">
        <v>0</v>
      </c>
      <c r="P4139" s="561">
        <v>0</v>
      </c>
      <c r="Q4139" s="561">
        <v>0</v>
      </c>
    </row>
    <row r="4140" spans="1:38">
      <c r="A4140" s="561">
        <v>50</v>
      </c>
      <c r="B4140" s="561" t="s">
        <v>1618</v>
      </c>
      <c r="C4140" s="561" t="s">
        <v>1196</v>
      </c>
      <c r="D4140" s="561">
        <v>13763</v>
      </c>
      <c r="E4140" s="561">
        <v>3558.9</v>
      </c>
      <c r="F4140" s="561">
        <v>10204.1</v>
      </c>
      <c r="G4140" s="561">
        <v>1000</v>
      </c>
      <c r="H4140" s="561">
        <v>14912.944000000001</v>
      </c>
      <c r="I4140" s="561">
        <v>42</v>
      </c>
      <c r="J4140" s="561">
        <v>498.55938000000003</v>
      </c>
      <c r="K4140" s="561">
        <v>1000</v>
      </c>
      <c r="L4140" s="561">
        <v>14559.225000000002</v>
      </c>
      <c r="M4140" s="561">
        <v>13763</v>
      </c>
      <c r="N4140" s="561">
        <v>3558.900000000001</v>
      </c>
      <c r="O4140" s="561">
        <v>0</v>
      </c>
      <c r="P4140" s="561">
        <v>10204.099999999999</v>
      </c>
      <c r="Q4140" s="561">
        <v>10204.099999999999</v>
      </c>
    </row>
    <row r="4141" spans="1:38">
      <c r="C4141" s="561" t="s">
        <v>1197</v>
      </c>
      <c r="D4141" s="561">
        <v>0</v>
      </c>
      <c r="E4141" s="561">
        <v>0</v>
      </c>
      <c r="F4141" s="561">
        <v>0</v>
      </c>
      <c r="G4141" s="561">
        <v>0</v>
      </c>
      <c r="H4141" s="561">
        <v>0</v>
      </c>
      <c r="I4141" s="561">
        <v>0</v>
      </c>
      <c r="J4141" s="561">
        <v>0</v>
      </c>
      <c r="K4141" s="561">
        <v>0</v>
      </c>
      <c r="L4141" s="561">
        <v>0</v>
      </c>
      <c r="M4141" s="561">
        <v>0</v>
      </c>
      <c r="N4141" s="561">
        <v>0</v>
      </c>
      <c r="O4141" s="561">
        <v>0</v>
      </c>
      <c r="P4141" s="561">
        <v>0</v>
      </c>
      <c r="Q4141" s="561">
        <v>0</v>
      </c>
    </row>
    <row r="4142" spans="1:38">
      <c r="C4142" s="561" t="s">
        <v>1198</v>
      </c>
      <c r="D4142" s="561">
        <v>0</v>
      </c>
      <c r="E4142" s="561">
        <v>0</v>
      </c>
      <c r="F4142" s="561">
        <v>0</v>
      </c>
      <c r="G4142" s="561">
        <v>0</v>
      </c>
      <c r="H4142" s="561">
        <v>0</v>
      </c>
      <c r="I4142" s="561">
        <v>0</v>
      </c>
      <c r="J4142" s="561">
        <v>0</v>
      </c>
      <c r="K4142" s="561">
        <v>0</v>
      </c>
      <c r="L4142" s="561">
        <v>0</v>
      </c>
      <c r="M4142" s="561">
        <v>0</v>
      </c>
      <c r="N4142" s="561">
        <v>0</v>
      </c>
      <c r="O4142" s="561">
        <v>0</v>
      </c>
      <c r="P4142" s="561">
        <v>0</v>
      </c>
      <c r="Q4142" s="561">
        <v>0</v>
      </c>
    </row>
    <row r="4143" spans="1:38">
      <c r="C4143" s="561" t="s">
        <v>1199</v>
      </c>
      <c r="D4143" s="561">
        <v>13763</v>
      </c>
      <c r="E4143" s="561">
        <v>3558.9</v>
      </c>
      <c r="F4143" s="561">
        <v>10204.1</v>
      </c>
      <c r="G4143" s="561">
        <v>1000</v>
      </c>
      <c r="H4143" s="561">
        <v>14912.944000000001</v>
      </c>
      <c r="I4143" s="561">
        <v>42</v>
      </c>
      <c r="J4143" s="561">
        <v>498.55938000000003</v>
      </c>
      <c r="K4143" s="561">
        <v>1000</v>
      </c>
      <c r="L4143" s="561">
        <v>14559.225000000002</v>
      </c>
      <c r="M4143" s="561">
        <v>13763</v>
      </c>
      <c r="N4143" s="561">
        <v>3558.900000000001</v>
      </c>
      <c r="O4143" s="561">
        <v>0</v>
      </c>
      <c r="P4143" s="561">
        <v>10204.099999999999</v>
      </c>
      <c r="Q4143" s="561">
        <v>10204.099999999999</v>
      </c>
    </row>
    <row r="4144" spans="1:38">
      <c r="A4144" s="561">
        <v>51</v>
      </c>
      <c r="B4144" s="561" t="s">
        <v>1619</v>
      </c>
      <c r="C4144" s="561" t="s">
        <v>1196</v>
      </c>
      <c r="D4144" s="561">
        <v>4548</v>
      </c>
      <c r="E4144" s="561">
        <v>1274.4000000000001</v>
      </c>
      <c r="F4144" s="561">
        <v>3273.6</v>
      </c>
      <c r="G4144" s="561">
        <v>352</v>
      </c>
      <c r="H4144" s="561">
        <v>4760.7900000000009</v>
      </c>
      <c r="I4144" s="561">
        <v>28</v>
      </c>
      <c r="J4144" s="561">
        <v>190.22500000000002</v>
      </c>
      <c r="K4144" s="561">
        <v>352</v>
      </c>
      <c r="L4144" s="561">
        <v>4571.0599999999995</v>
      </c>
      <c r="M4144" s="561">
        <v>4548</v>
      </c>
      <c r="N4144" s="561">
        <v>1274.3999999999999</v>
      </c>
      <c r="O4144" s="561">
        <v>0</v>
      </c>
      <c r="P4144" s="561">
        <v>3273.5999999999995</v>
      </c>
      <c r="Q4144" s="561">
        <v>3273.5999999999995</v>
      </c>
    </row>
    <row r="4145" spans="1:38">
      <c r="C4145" s="561" t="s">
        <v>1197</v>
      </c>
      <c r="D4145" s="561">
        <v>0</v>
      </c>
      <c r="E4145" s="561">
        <v>0</v>
      </c>
      <c r="F4145" s="561">
        <v>0</v>
      </c>
      <c r="G4145" s="561">
        <v>0</v>
      </c>
      <c r="H4145" s="561">
        <v>0</v>
      </c>
      <c r="I4145" s="561">
        <v>0</v>
      </c>
      <c r="J4145" s="561">
        <v>0</v>
      </c>
      <c r="K4145" s="561">
        <v>0</v>
      </c>
      <c r="L4145" s="561">
        <v>0</v>
      </c>
      <c r="M4145" s="561">
        <v>0</v>
      </c>
      <c r="N4145" s="561">
        <v>0</v>
      </c>
      <c r="O4145" s="561">
        <v>0</v>
      </c>
      <c r="P4145" s="561">
        <v>0</v>
      </c>
      <c r="Q4145" s="561">
        <v>0</v>
      </c>
    </row>
    <row r="4146" spans="1:38">
      <c r="C4146" s="561" t="s">
        <v>1198</v>
      </c>
      <c r="D4146" s="561">
        <v>0</v>
      </c>
      <c r="E4146" s="561">
        <v>0</v>
      </c>
      <c r="F4146" s="561">
        <v>0</v>
      </c>
      <c r="G4146" s="561">
        <v>0</v>
      </c>
      <c r="H4146" s="561">
        <v>0</v>
      </c>
      <c r="I4146" s="561">
        <v>0</v>
      </c>
      <c r="J4146" s="561">
        <v>0</v>
      </c>
      <c r="K4146" s="561">
        <v>0</v>
      </c>
      <c r="L4146" s="561">
        <v>0</v>
      </c>
      <c r="M4146" s="561">
        <v>0</v>
      </c>
      <c r="N4146" s="561">
        <v>0</v>
      </c>
      <c r="O4146" s="561">
        <v>0</v>
      </c>
      <c r="P4146" s="561">
        <v>0</v>
      </c>
      <c r="Q4146" s="561">
        <v>0</v>
      </c>
    </row>
    <row r="4147" spans="1:38">
      <c r="C4147" s="561" t="s">
        <v>1199</v>
      </c>
      <c r="D4147" s="561">
        <v>4548</v>
      </c>
      <c r="E4147" s="561">
        <v>1274.4000000000001</v>
      </c>
      <c r="F4147" s="561">
        <v>3273.6</v>
      </c>
      <c r="G4147" s="561">
        <v>352</v>
      </c>
      <c r="H4147" s="561">
        <v>4760.7900000000009</v>
      </c>
      <c r="I4147" s="561">
        <v>28</v>
      </c>
      <c r="J4147" s="561">
        <v>190.22500000000002</v>
      </c>
      <c r="K4147" s="561">
        <v>352</v>
      </c>
      <c r="L4147" s="561">
        <v>4571.0599999999995</v>
      </c>
      <c r="M4147" s="561">
        <v>4548</v>
      </c>
      <c r="N4147" s="561">
        <v>1274.3999999999999</v>
      </c>
      <c r="O4147" s="561">
        <v>0</v>
      </c>
      <c r="P4147" s="561">
        <v>3273.5999999999995</v>
      </c>
      <c r="Q4147" s="561">
        <v>3273.5999999999995</v>
      </c>
    </row>
    <row r="4148" spans="1:38">
      <c r="A4148" s="561">
        <v>52</v>
      </c>
      <c r="B4148" s="561" t="s">
        <v>1620</v>
      </c>
      <c r="C4148" s="561" t="s">
        <v>1196</v>
      </c>
      <c r="D4148" s="561">
        <v>3990</v>
      </c>
      <c r="E4148" s="561">
        <v>1107</v>
      </c>
      <c r="F4148" s="561">
        <v>2883</v>
      </c>
      <c r="G4148" s="561">
        <v>328</v>
      </c>
      <c r="H4148" s="561">
        <v>4795.4429999999993</v>
      </c>
      <c r="I4148" s="561">
        <v>17</v>
      </c>
      <c r="J4148" s="561">
        <v>105.46099999999998</v>
      </c>
      <c r="K4148" s="561">
        <v>303</v>
      </c>
      <c r="L4148" s="561">
        <v>4363.7879999999996</v>
      </c>
      <c r="M4148" s="561">
        <v>3990</v>
      </c>
      <c r="N4148" s="561">
        <v>1107</v>
      </c>
      <c r="O4148" s="561">
        <v>0</v>
      </c>
      <c r="P4148" s="561">
        <v>2883</v>
      </c>
      <c r="Q4148" s="561">
        <v>2883</v>
      </c>
    </row>
    <row r="4149" spans="1:38">
      <c r="C4149" s="561" t="s">
        <v>1197</v>
      </c>
      <c r="D4149" s="561">
        <v>0</v>
      </c>
      <c r="E4149" s="561">
        <v>0</v>
      </c>
      <c r="F4149" s="561">
        <v>0</v>
      </c>
      <c r="G4149" s="561">
        <v>0</v>
      </c>
      <c r="H4149" s="561">
        <v>0</v>
      </c>
      <c r="I4149" s="561">
        <v>0</v>
      </c>
      <c r="J4149" s="561">
        <v>0</v>
      </c>
      <c r="K4149" s="561">
        <v>0</v>
      </c>
      <c r="L4149" s="561">
        <v>0</v>
      </c>
      <c r="M4149" s="561">
        <v>0</v>
      </c>
      <c r="N4149" s="561">
        <v>0</v>
      </c>
      <c r="O4149" s="561">
        <v>0</v>
      </c>
      <c r="P4149" s="561">
        <v>0</v>
      </c>
      <c r="Q4149" s="561">
        <v>0</v>
      </c>
    </row>
    <row r="4150" spans="1:38">
      <c r="C4150" s="561" t="s">
        <v>1198</v>
      </c>
      <c r="D4150" s="561">
        <v>0</v>
      </c>
      <c r="E4150" s="561">
        <v>0</v>
      </c>
      <c r="F4150" s="561">
        <v>0</v>
      </c>
      <c r="G4150" s="561">
        <v>0</v>
      </c>
      <c r="H4150" s="561">
        <v>0</v>
      </c>
      <c r="I4150" s="561">
        <v>0</v>
      </c>
      <c r="J4150" s="561">
        <v>0</v>
      </c>
      <c r="K4150" s="561">
        <v>0</v>
      </c>
      <c r="L4150" s="561">
        <v>0</v>
      </c>
      <c r="M4150" s="561">
        <v>0</v>
      </c>
      <c r="N4150" s="561">
        <v>0</v>
      </c>
      <c r="O4150" s="561">
        <v>0</v>
      </c>
      <c r="P4150" s="561">
        <v>0</v>
      </c>
      <c r="Q4150" s="561">
        <v>0</v>
      </c>
    </row>
    <row r="4151" spans="1:38">
      <c r="C4151" s="561" t="s">
        <v>1199</v>
      </c>
      <c r="D4151" s="561">
        <v>3990</v>
      </c>
      <c r="E4151" s="561">
        <v>1107</v>
      </c>
      <c r="F4151" s="561">
        <v>2883</v>
      </c>
      <c r="G4151" s="561">
        <v>328</v>
      </c>
      <c r="H4151" s="561">
        <v>4795.4429999999993</v>
      </c>
      <c r="I4151" s="561">
        <v>17</v>
      </c>
      <c r="J4151" s="561">
        <v>105.46099999999998</v>
      </c>
      <c r="K4151" s="561">
        <v>303</v>
      </c>
      <c r="L4151" s="561">
        <v>4363.7879999999996</v>
      </c>
      <c r="M4151" s="561">
        <v>3990</v>
      </c>
      <c r="N4151" s="561">
        <v>1107</v>
      </c>
      <c r="O4151" s="561">
        <v>0</v>
      </c>
      <c r="P4151" s="561">
        <v>2883</v>
      </c>
      <c r="Q4151" s="561">
        <v>2883</v>
      </c>
    </row>
    <row r="4152" spans="1:38">
      <c r="A4152" s="561">
        <v>53</v>
      </c>
      <c r="B4152" s="561" t="s">
        <v>1621</v>
      </c>
      <c r="C4152" s="561" t="s">
        <v>1196</v>
      </c>
      <c r="D4152" s="561">
        <v>3874</v>
      </c>
      <c r="E4152" s="561">
        <v>1072.2</v>
      </c>
      <c r="F4152" s="561">
        <v>2801.8</v>
      </c>
      <c r="G4152" s="561">
        <v>350</v>
      </c>
      <c r="H4152" s="561">
        <v>4559.1082699999997</v>
      </c>
      <c r="I4152" s="561">
        <v>25</v>
      </c>
      <c r="J4152" s="561">
        <v>125.90700000000001</v>
      </c>
      <c r="K4152" s="561">
        <v>310</v>
      </c>
      <c r="L4152" s="561">
        <v>4058.9609999999989</v>
      </c>
      <c r="M4152" s="561">
        <v>3874</v>
      </c>
      <c r="N4152" s="561">
        <v>1072.1999999999998</v>
      </c>
      <c r="O4152" s="561">
        <v>0</v>
      </c>
      <c r="P4152" s="561">
        <v>2801.7999999999997</v>
      </c>
      <c r="Q4152" s="561">
        <v>2801.7999999999997</v>
      </c>
    </row>
    <row r="4153" spans="1:38">
      <c r="C4153" s="561" t="s">
        <v>1197</v>
      </c>
      <c r="D4153" s="561">
        <v>0</v>
      </c>
      <c r="E4153" s="561">
        <v>0</v>
      </c>
      <c r="F4153" s="561">
        <v>0</v>
      </c>
      <c r="G4153" s="561">
        <v>0</v>
      </c>
      <c r="H4153" s="561">
        <v>0</v>
      </c>
      <c r="I4153" s="561">
        <v>0</v>
      </c>
      <c r="J4153" s="561">
        <v>0</v>
      </c>
      <c r="K4153" s="561">
        <v>0</v>
      </c>
      <c r="L4153" s="561">
        <v>0</v>
      </c>
      <c r="M4153" s="561">
        <v>0</v>
      </c>
      <c r="N4153" s="561">
        <v>0</v>
      </c>
      <c r="O4153" s="561">
        <v>0</v>
      </c>
      <c r="P4153" s="561">
        <v>0</v>
      </c>
      <c r="Q4153" s="561">
        <v>0</v>
      </c>
    </row>
    <row r="4154" spans="1:38">
      <c r="C4154" s="561" t="s">
        <v>1198</v>
      </c>
      <c r="D4154" s="561">
        <v>0</v>
      </c>
      <c r="E4154" s="561">
        <v>0</v>
      </c>
      <c r="F4154" s="561">
        <v>0</v>
      </c>
      <c r="G4154" s="561">
        <v>0</v>
      </c>
      <c r="H4154" s="561">
        <v>0</v>
      </c>
      <c r="I4154" s="561">
        <v>0</v>
      </c>
      <c r="J4154" s="561">
        <v>0</v>
      </c>
      <c r="K4154" s="561">
        <v>0</v>
      </c>
      <c r="L4154" s="561">
        <v>0</v>
      </c>
      <c r="M4154" s="561">
        <v>0</v>
      </c>
      <c r="N4154" s="561">
        <v>0</v>
      </c>
      <c r="O4154" s="561">
        <v>0</v>
      </c>
      <c r="P4154" s="561">
        <v>0</v>
      </c>
      <c r="Q4154" s="561">
        <v>0</v>
      </c>
    </row>
    <row r="4155" spans="1:38">
      <c r="C4155" s="561" t="s">
        <v>1199</v>
      </c>
      <c r="D4155" s="561">
        <v>3874</v>
      </c>
      <c r="E4155" s="561">
        <v>1072.2</v>
      </c>
      <c r="F4155" s="561">
        <v>2801.8</v>
      </c>
      <c r="G4155" s="561">
        <v>350</v>
      </c>
      <c r="H4155" s="561">
        <v>4559.1082699999997</v>
      </c>
      <c r="I4155" s="561">
        <v>25</v>
      </c>
      <c r="J4155" s="561">
        <v>125.90700000000001</v>
      </c>
      <c r="K4155" s="561">
        <v>310</v>
      </c>
      <c r="L4155" s="561">
        <v>4058.9609999999989</v>
      </c>
      <c r="M4155" s="561">
        <v>3874</v>
      </c>
      <c r="N4155" s="561">
        <v>1072.1999999999998</v>
      </c>
      <c r="O4155" s="561">
        <v>0</v>
      </c>
      <c r="P4155" s="561">
        <v>2801.7999999999997</v>
      </c>
      <c r="Q4155" s="561">
        <v>2801.7999999999997</v>
      </c>
    </row>
    <row r="4156" spans="1:38">
      <c r="A4156" s="561">
        <v>54</v>
      </c>
      <c r="B4156" s="561" t="s">
        <v>1622</v>
      </c>
      <c r="C4156" s="561" t="s">
        <v>1196</v>
      </c>
      <c r="D4156" s="561">
        <v>536108.26599999995</v>
      </c>
      <c r="E4156" s="561">
        <v>146272.5</v>
      </c>
      <c r="F4156" s="561">
        <v>389835.76599999995</v>
      </c>
      <c r="G4156" s="561">
        <v>9297</v>
      </c>
      <c r="H4156" s="561">
        <v>560578.13499999989</v>
      </c>
      <c r="I4156" s="561">
        <v>877</v>
      </c>
      <c r="J4156" s="561">
        <v>29028.167800000003</v>
      </c>
      <c r="K4156" s="561">
        <v>9226</v>
      </c>
      <c r="L4156" s="561">
        <v>538503.96911000006</v>
      </c>
      <c r="M4156" s="561">
        <v>537889.96724000003</v>
      </c>
      <c r="N4156" s="561">
        <v>148054.19999999998</v>
      </c>
      <c r="O4156" s="561">
        <v>0</v>
      </c>
      <c r="P4156" s="561">
        <v>389835.76724000007</v>
      </c>
      <c r="Q4156" s="561">
        <v>389835.76724000007</v>
      </c>
    </row>
    <row r="4157" spans="1:38">
      <c r="C4157" s="561" t="s">
        <v>1197</v>
      </c>
      <c r="D4157" s="561">
        <v>524525.53</v>
      </c>
      <c r="E4157" s="561">
        <v>143557.5</v>
      </c>
      <c r="F4157" s="561">
        <v>380968.03</v>
      </c>
      <c r="G4157" s="561">
        <v>8441</v>
      </c>
      <c r="H4157" s="561">
        <v>548413.19400000002</v>
      </c>
      <c r="I4157" s="561">
        <v>822</v>
      </c>
      <c r="J4157" s="561">
        <v>28789.378800000002</v>
      </c>
      <c r="K4157" s="561">
        <v>8371</v>
      </c>
      <c r="L4157" s="561">
        <v>526577.81824000005</v>
      </c>
      <c r="M4157" s="561">
        <v>526224.06123999995</v>
      </c>
      <c r="N4157" s="561">
        <v>145299.06399999998</v>
      </c>
      <c r="O4157" s="561">
        <v>0</v>
      </c>
      <c r="Q4157" s="561">
        <v>380924.99724000006</v>
      </c>
      <c r="AL4157" s="561">
        <v>380924.99724000006</v>
      </c>
    </row>
    <row r="4158" spans="1:38">
      <c r="C4158" s="561" t="s">
        <v>1198</v>
      </c>
      <c r="D4158" s="561">
        <v>0</v>
      </c>
      <c r="E4158" s="561">
        <v>0</v>
      </c>
      <c r="F4158" s="561">
        <v>0</v>
      </c>
      <c r="G4158" s="561">
        <v>0</v>
      </c>
      <c r="H4158" s="561">
        <v>0</v>
      </c>
      <c r="I4158" s="561">
        <v>0</v>
      </c>
      <c r="J4158" s="561">
        <v>0</v>
      </c>
      <c r="K4158" s="561">
        <v>0</v>
      </c>
      <c r="L4158" s="561">
        <v>0</v>
      </c>
      <c r="M4158" s="561">
        <v>0</v>
      </c>
      <c r="N4158" s="561">
        <v>0</v>
      </c>
      <c r="O4158" s="561">
        <v>0</v>
      </c>
      <c r="P4158" s="561">
        <v>0</v>
      </c>
      <c r="Q4158" s="561">
        <v>0</v>
      </c>
    </row>
    <row r="4159" spans="1:38">
      <c r="C4159" s="561" t="s">
        <v>1199</v>
      </c>
      <c r="D4159" s="561">
        <v>11050</v>
      </c>
      <c r="E4159" s="561">
        <v>2715</v>
      </c>
      <c r="F4159" s="561">
        <v>8335</v>
      </c>
      <c r="G4159" s="561">
        <v>856</v>
      </c>
      <c r="H4159" s="561">
        <v>11503.615000000003</v>
      </c>
      <c r="I4159" s="561">
        <v>55</v>
      </c>
      <c r="J4159" s="561">
        <v>238.78900000000002</v>
      </c>
      <c r="K4159" s="561">
        <v>855</v>
      </c>
      <c r="L4159" s="561">
        <v>11264.82387</v>
      </c>
      <c r="M4159" s="561">
        <v>11264.824000000001</v>
      </c>
      <c r="N4159" s="561">
        <v>2755.1359999999995</v>
      </c>
      <c r="O4159" s="561">
        <v>0</v>
      </c>
      <c r="P4159" s="561">
        <v>8509.6880000000001</v>
      </c>
      <c r="Q4159" s="561">
        <v>8509.6880000000001</v>
      </c>
    </row>
    <row r="4160" spans="1:38">
      <c r="C4160" s="561" t="s">
        <v>1202</v>
      </c>
      <c r="D4160" s="561">
        <v>532.73599999999999</v>
      </c>
      <c r="F4160" s="561">
        <v>532.73599999999999</v>
      </c>
      <c r="G4160" s="561">
        <v>0</v>
      </c>
      <c r="H4160" s="561">
        <v>661.32600000000002</v>
      </c>
      <c r="I4160" s="561">
        <v>0</v>
      </c>
      <c r="J4160" s="561">
        <v>0</v>
      </c>
      <c r="K4160" s="561">
        <v>0</v>
      </c>
      <c r="L4160" s="561">
        <v>661.327</v>
      </c>
      <c r="M4160" s="561">
        <v>401.08199999999999</v>
      </c>
      <c r="N4160" s="561">
        <v>0</v>
      </c>
      <c r="O4160" s="561">
        <v>0</v>
      </c>
      <c r="P4160" s="561">
        <v>401.08199999999999</v>
      </c>
      <c r="Q4160" s="561">
        <v>401.08199999999999</v>
      </c>
    </row>
    <row r="4161" spans="1:38">
      <c r="A4161" s="561">
        <v>55</v>
      </c>
      <c r="B4161" s="561" t="s">
        <v>1623</v>
      </c>
      <c r="C4161" s="561" t="s">
        <v>1196</v>
      </c>
      <c r="D4161" s="561">
        <v>41450.839</v>
      </c>
      <c r="E4161" s="561">
        <v>16035.3</v>
      </c>
      <c r="F4161" s="561">
        <v>25415.539000000001</v>
      </c>
      <c r="G4161" s="561">
        <v>680</v>
      </c>
      <c r="H4161" s="561">
        <v>44398.689599999998</v>
      </c>
      <c r="I4161" s="561">
        <v>96</v>
      </c>
      <c r="J4161" s="561">
        <v>4367.9096</v>
      </c>
      <c r="K4161" s="561">
        <v>679</v>
      </c>
      <c r="L4161" s="561">
        <v>40185.630000000005</v>
      </c>
      <c r="M4161" s="561">
        <v>39669.139000000003</v>
      </c>
      <c r="N4161" s="561">
        <v>14253.599999999999</v>
      </c>
      <c r="O4161" s="561">
        <v>0</v>
      </c>
      <c r="P4161" s="561">
        <v>25415.539000000001</v>
      </c>
      <c r="Q4161" s="561">
        <v>25415.539000000001</v>
      </c>
    </row>
    <row r="4162" spans="1:38">
      <c r="C4162" s="561" t="s">
        <v>1197</v>
      </c>
      <c r="D4162" s="561">
        <v>40246.839</v>
      </c>
      <c r="E4162" s="561">
        <v>15674.1</v>
      </c>
      <c r="F4162" s="561">
        <v>24572.739000000001</v>
      </c>
      <c r="G4162" s="561">
        <v>577</v>
      </c>
      <c r="H4162" s="561">
        <v>42712.365000000005</v>
      </c>
      <c r="I4162" s="561">
        <v>93</v>
      </c>
      <c r="J4162" s="561">
        <v>4345.8599999999997</v>
      </c>
      <c r="K4162" s="561">
        <v>576</v>
      </c>
      <c r="L4162" s="561">
        <v>38521.364000000001</v>
      </c>
      <c r="M4162" s="561">
        <v>38004.873</v>
      </c>
      <c r="N4162" s="561">
        <v>13932.535999999996</v>
      </c>
      <c r="O4162" s="561">
        <v>0</v>
      </c>
      <c r="Q4162" s="561">
        <v>24072.337</v>
      </c>
      <c r="AL4162" s="561">
        <v>24072.337</v>
      </c>
    </row>
    <row r="4163" spans="1:38">
      <c r="C4163" s="561" t="s">
        <v>1198</v>
      </c>
      <c r="D4163" s="561">
        <v>0</v>
      </c>
      <c r="E4163" s="561">
        <v>0</v>
      </c>
      <c r="F4163" s="561">
        <v>0</v>
      </c>
      <c r="G4163" s="561">
        <v>0</v>
      </c>
      <c r="H4163" s="561">
        <v>0</v>
      </c>
      <c r="I4163" s="561">
        <v>0</v>
      </c>
      <c r="J4163" s="561">
        <v>0</v>
      </c>
      <c r="K4163" s="561">
        <v>0</v>
      </c>
      <c r="L4163" s="561">
        <v>0</v>
      </c>
      <c r="M4163" s="561">
        <v>0</v>
      </c>
      <c r="N4163" s="561">
        <v>0</v>
      </c>
      <c r="O4163" s="561">
        <v>0</v>
      </c>
      <c r="P4163" s="561">
        <v>0</v>
      </c>
      <c r="Q4163" s="561">
        <v>0</v>
      </c>
    </row>
    <row r="4164" spans="1:38">
      <c r="C4164" s="561" t="s">
        <v>1199</v>
      </c>
      <c r="D4164" s="561">
        <v>1204</v>
      </c>
      <c r="E4164" s="561">
        <v>361.19999999999891</v>
      </c>
      <c r="F4164" s="561">
        <v>842.80000000000109</v>
      </c>
      <c r="G4164" s="561">
        <v>103</v>
      </c>
      <c r="H4164" s="561">
        <v>1686.3245999999992</v>
      </c>
      <c r="I4164" s="561">
        <v>3</v>
      </c>
      <c r="J4164" s="561">
        <v>22.049599999999984</v>
      </c>
      <c r="K4164" s="561">
        <v>103</v>
      </c>
      <c r="L4164" s="561">
        <v>1664.2660000000001</v>
      </c>
      <c r="M4164" s="561">
        <v>1664.2660000000001</v>
      </c>
      <c r="N4164" s="561">
        <v>321.06400000000002</v>
      </c>
      <c r="O4164" s="561">
        <v>0</v>
      </c>
      <c r="P4164" s="561">
        <v>1343.202</v>
      </c>
      <c r="Q4164" s="561">
        <v>1343.202</v>
      </c>
    </row>
    <row r="4165" spans="1:38">
      <c r="A4165" s="561">
        <v>56</v>
      </c>
      <c r="B4165" s="561" t="s">
        <v>1624</v>
      </c>
      <c r="C4165" s="561" t="s">
        <v>1196</v>
      </c>
      <c r="D4165" s="561">
        <v>15543</v>
      </c>
      <c r="E4165" s="561">
        <v>4332.8999999999996</v>
      </c>
      <c r="F4165" s="561">
        <v>11210.1</v>
      </c>
      <c r="G4165" s="561">
        <v>329</v>
      </c>
      <c r="H4165" s="561">
        <v>16011.605969999999</v>
      </c>
      <c r="I4165" s="561">
        <v>35</v>
      </c>
      <c r="J4165" s="561">
        <v>769.98839999999996</v>
      </c>
      <c r="K4165" s="561">
        <v>326</v>
      </c>
      <c r="L4165" s="561">
        <v>15925.987999999999</v>
      </c>
      <c r="M4165" s="561">
        <v>15543</v>
      </c>
      <c r="N4165" s="561">
        <v>4332.8999999999987</v>
      </c>
      <c r="O4165" s="561">
        <v>0</v>
      </c>
      <c r="P4165" s="561">
        <v>11210.1</v>
      </c>
      <c r="Q4165" s="561">
        <v>11210.1</v>
      </c>
    </row>
    <row r="4166" spans="1:38">
      <c r="C4166" s="561" t="s">
        <v>1197</v>
      </c>
      <c r="D4166" s="561">
        <v>14716</v>
      </c>
      <c r="E4166" s="561">
        <v>4114.8</v>
      </c>
      <c r="F4166" s="561">
        <v>10601.2</v>
      </c>
      <c r="G4166" s="561">
        <v>261</v>
      </c>
      <c r="H4166" s="561">
        <v>15050.496080000001</v>
      </c>
      <c r="I4166" s="561">
        <v>28</v>
      </c>
      <c r="J4166" s="561">
        <v>739.03179999999998</v>
      </c>
      <c r="K4166" s="561">
        <v>258</v>
      </c>
      <c r="L4166" s="561">
        <v>14995.833999999999</v>
      </c>
      <c r="M4166" s="561">
        <v>14780.561999999998</v>
      </c>
      <c r="N4166" s="561">
        <v>4114.8</v>
      </c>
      <c r="O4166" s="561">
        <v>0</v>
      </c>
      <c r="Q4166" s="561">
        <v>10665.761999999999</v>
      </c>
      <c r="AL4166" s="561">
        <v>10665.761999999999</v>
      </c>
    </row>
    <row r="4167" spans="1:38">
      <c r="C4167" s="561" t="s">
        <v>1198</v>
      </c>
      <c r="D4167" s="561">
        <v>0</v>
      </c>
      <c r="E4167" s="561">
        <v>0</v>
      </c>
      <c r="F4167" s="561">
        <v>0</v>
      </c>
      <c r="G4167" s="561">
        <v>0</v>
      </c>
      <c r="H4167" s="561">
        <v>0</v>
      </c>
      <c r="I4167" s="561">
        <v>0</v>
      </c>
      <c r="J4167" s="561">
        <v>0</v>
      </c>
      <c r="K4167" s="561">
        <v>0</v>
      </c>
      <c r="L4167" s="561">
        <v>0</v>
      </c>
      <c r="M4167" s="561">
        <v>0</v>
      </c>
      <c r="N4167" s="561">
        <v>0</v>
      </c>
      <c r="O4167" s="561">
        <v>0</v>
      </c>
      <c r="P4167" s="561">
        <v>0</v>
      </c>
      <c r="Q4167" s="561">
        <v>0</v>
      </c>
    </row>
    <row r="4168" spans="1:38">
      <c r="C4168" s="561" t="s">
        <v>1199</v>
      </c>
      <c r="D4168" s="561">
        <v>827</v>
      </c>
      <c r="E4168" s="561">
        <v>218.09999999999945</v>
      </c>
      <c r="F4168" s="561">
        <v>608.90000000000055</v>
      </c>
      <c r="G4168" s="561">
        <v>68</v>
      </c>
      <c r="H4168" s="561">
        <v>961.10989000000006</v>
      </c>
      <c r="I4168" s="561">
        <v>7</v>
      </c>
      <c r="J4168" s="561">
        <v>30.956600000000002</v>
      </c>
      <c r="K4168" s="561">
        <v>68</v>
      </c>
      <c r="L4168" s="561">
        <v>930.15400000000011</v>
      </c>
      <c r="M4168" s="561">
        <v>762.43799999999999</v>
      </c>
      <c r="N4168" s="561">
        <v>218.09999999999997</v>
      </c>
      <c r="O4168" s="561">
        <v>0</v>
      </c>
      <c r="P4168" s="561">
        <v>544.33799999999997</v>
      </c>
      <c r="Q4168" s="561">
        <v>544.33799999999997</v>
      </c>
    </row>
    <row r="4169" spans="1:38">
      <c r="A4169" s="561">
        <v>57</v>
      </c>
      <c r="B4169" s="561" t="s">
        <v>1625</v>
      </c>
      <c r="C4169" s="561" t="s">
        <v>1196</v>
      </c>
      <c r="D4169" s="561">
        <v>13732</v>
      </c>
      <c r="E4169" s="561">
        <v>3909.6</v>
      </c>
      <c r="F4169" s="561">
        <v>9822.4</v>
      </c>
      <c r="G4169" s="561">
        <v>1080</v>
      </c>
      <c r="H4169" s="561">
        <v>15932.47567</v>
      </c>
      <c r="I4169" s="561">
        <v>63</v>
      </c>
      <c r="J4169" s="561">
        <v>375.82200000000006</v>
      </c>
      <c r="K4169" s="561">
        <v>1080</v>
      </c>
      <c r="L4169" s="561">
        <v>15556.648999999999</v>
      </c>
      <c r="M4169" s="561">
        <v>13732</v>
      </c>
      <c r="N4169" s="561">
        <v>3909.5999999999995</v>
      </c>
      <c r="O4169" s="561">
        <v>0</v>
      </c>
      <c r="P4169" s="561">
        <v>9822.4</v>
      </c>
      <c r="Q4169" s="561">
        <v>9822.4</v>
      </c>
    </row>
    <row r="4170" spans="1:38">
      <c r="C4170" s="561" t="s">
        <v>1197</v>
      </c>
      <c r="D4170" s="561">
        <v>0</v>
      </c>
      <c r="E4170" s="561">
        <v>0</v>
      </c>
      <c r="F4170" s="561">
        <v>0</v>
      </c>
      <c r="G4170" s="561">
        <v>0</v>
      </c>
      <c r="H4170" s="561">
        <v>0</v>
      </c>
      <c r="I4170" s="561">
        <v>0</v>
      </c>
      <c r="J4170" s="561">
        <v>0</v>
      </c>
      <c r="K4170" s="561">
        <v>0</v>
      </c>
      <c r="L4170" s="561">
        <v>0</v>
      </c>
      <c r="M4170" s="561">
        <v>0</v>
      </c>
      <c r="N4170" s="561">
        <v>0</v>
      </c>
      <c r="O4170" s="561">
        <v>0</v>
      </c>
      <c r="P4170" s="561">
        <v>0</v>
      </c>
      <c r="Q4170" s="561">
        <v>0</v>
      </c>
    </row>
    <row r="4171" spans="1:38">
      <c r="C4171" s="561" t="s">
        <v>1198</v>
      </c>
      <c r="D4171" s="561">
        <v>0</v>
      </c>
      <c r="E4171" s="561">
        <v>0</v>
      </c>
      <c r="F4171" s="561">
        <v>0</v>
      </c>
      <c r="G4171" s="561">
        <v>0</v>
      </c>
      <c r="H4171" s="561">
        <v>0</v>
      </c>
      <c r="I4171" s="561">
        <v>0</v>
      </c>
      <c r="J4171" s="561">
        <v>0</v>
      </c>
      <c r="K4171" s="561">
        <v>0</v>
      </c>
      <c r="L4171" s="561">
        <v>0</v>
      </c>
      <c r="M4171" s="561">
        <v>0</v>
      </c>
      <c r="N4171" s="561">
        <v>0</v>
      </c>
      <c r="O4171" s="561">
        <v>0</v>
      </c>
      <c r="P4171" s="561">
        <v>0</v>
      </c>
      <c r="Q4171" s="561">
        <v>0</v>
      </c>
    </row>
    <row r="4172" spans="1:38">
      <c r="C4172" s="561" t="s">
        <v>1199</v>
      </c>
      <c r="D4172" s="561">
        <v>13732</v>
      </c>
      <c r="E4172" s="561">
        <v>3909.6</v>
      </c>
      <c r="F4172" s="561">
        <v>9822.4</v>
      </c>
      <c r="G4172" s="561">
        <v>1080</v>
      </c>
      <c r="H4172" s="561">
        <v>15932.47567</v>
      </c>
      <c r="I4172" s="561">
        <v>63</v>
      </c>
      <c r="J4172" s="561">
        <v>375.82200000000006</v>
      </c>
      <c r="K4172" s="561">
        <v>1080</v>
      </c>
      <c r="L4172" s="561">
        <v>15556.648999999999</v>
      </c>
      <c r="M4172" s="561">
        <v>13732</v>
      </c>
      <c r="N4172" s="561">
        <v>3909.5999999999995</v>
      </c>
      <c r="O4172" s="561">
        <v>0</v>
      </c>
      <c r="P4172" s="561">
        <v>9822.4</v>
      </c>
      <c r="Q4172" s="561">
        <v>9822.4</v>
      </c>
    </row>
    <row r="4173" spans="1:38">
      <c r="A4173" s="561">
        <v>58</v>
      </c>
      <c r="B4173" s="561" t="s">
        <v>1626</v>
      </c>
      <c r="C4173" s="561" t="s">
        <v>1196</v>
      </c>
      <c r="D4173" s="561">
        <v>10160</v>
      </c>
      <c r="E4173" s="561">
        <v>3048</v>
      </c>
      <c r="F4173" s="561">
        <v>7112</v>
      </c>
      <c r="G4173" s="561">
        <v>798</v>
      </c>
      <c r="H4173" s="561">
        <v>11132.422199999999</v>
      </c>
      <c r="I4173" s="561">
        <v>42</v>
      </c>
      <c r="J4173" s="561">
        <v>278.28320000000008</v>
      </c>
      <c r="K4173" s="561">
        <v>798</v>
      </c>
      <c r="L4173" s="561">
        <v>10854.132000000001</v>
      </c>
      <c r="M4173" s="561">
        <v>10160.000000000002</v>
      </c>
      <c r="N4173" s="561">
        <v>3048</v>
      </c>
      <c r="O4173" s="561">
        <v>0</v>
      </c>
      <c r="P4173" s="561">
        <v>7111.9999999999991</v>
      </c>
      <c r="Q4173" s="561">
        <v>7111.9999999999991</v>
      </c>
    </row>
    <row r="4174" spans="1:38">
      <c r="C4174" s="561" t="s">
        <v>1197</v>
      </c>
      <c r="D4174" s="561">
        <v>0</v>
      </c>
      <c r="E4174" s="561">
        <v>0</v>
      </c>
      <c r="F4174" s="561">
        <v>0</v>
      </c>
      <c r="G4174" s="561">
        <v>0</v>
      </c>
      <c r="H4174" s="561">
        <v>0</v>
      </c>
      <c r="I4174" s="561">
        <v>0</v>
      </c>
      <c r="J4174" s="561">
        <v>0</v>
      </c>
      <c r="K4174" s="561">
        <v>0</v>
      </c>
      <c r="L4174" s="561">
        <v>0</v>
      </c>
      <c r="M4174" s="561">
        <v>0</v>
      </c>
      <c r="N4174" s="561">
        <v>0</v>
      </c>
      <c r="O4174" s="561">
        <v>0</v>
      </c>
      <c r="P4174" s="561">
        <v>0</v>
      </c>
      <c r="Q4174" s="561">
        <v>0</v>
      </c>
    </row>
    <row r="4175" spans="1:38">
      <c r="C4175" s="561" t="s">
        <v>1198</v>
      </c>
      <c r="D4175" s="561">
        <v>0</v>
      </c>
      <c r="E4175" s="561">
        <v>0</v>
      </c>
      <c r="F4175" s="561">
        <v>0</v>
      </c>
      <c r="G4175" s="561">
        <v>0</v>
      </c>
      <c r="H4175" s="561">
        <v>0</v>
      </c>
      <c r="I4175" s="561">
        <v>0</v>
      </c>
      <c r="J4175" s="561">
        <v>0</v>
      </c>
      <c r="K4175" s="561">
        <v>0</v>
      </c>
      <c r="L4175" s="561">
        <v>0</v>
      </c>
      <c r="M4175" s="561">
        <v>0</v>
      </c>
      <c r="N4175" s="561">
        <v>0</v>
      </c>
      <c r="O4175" s="561">
        <v>0</v>
      </c>
      <c r="P4175" s="561">
        <v>0</v>
      </c>
      <c r="Q4175" s="561">
        <v>0</v>
      </c>
    </row>
    <row r="4176" spans="1:38">
      <c r="C4176" s="561" t="s">
        <v>1199</v>
      </c>
      <c r="D4176" s="561">
        <v>10160</v>
      </c>
      <c r="E4176" s="561">
        <v>3048</v>
      </c>
      <c r="F4176" s="561">
        <v>7112</v>
      </c>
      <c r="G4176" s="561">
        <v>798</v>
      </c>
      <c r="H4176" s="561">
        <v>11132.422199999999</v>
      </c>
      <c r="I4176" s="561">
        <v>42</v>
      </c>
      <c r="J4176" s="561">
        <v>278.28320000000008</v>
      </c>
      <c r="K4176" s="561">
        <v>798</v>
      </c>
      <c r="L4176" s="561">
        <v>10854.132000000001</v>
      </c>
      <c r="M4176" s="561">
        <v>10160.000000000002</v>
      </c>
      <c r="N4176" s="561">
        <v>3048</v>
      </c>
      <c r="O4176" s="561">
        <v>0</v>
      </c>
      <c r="P4176" s="561">
        <v>7111.9999999999991</v>
      </c>
      <c r="Q4176" s="561">
        <v>7111.9999999999991</v>
      </c>
    </row>
    <row r="4177" spans="1:38">
      <c r="A4177" s="561">
        <v>59</v>
      </c>
      <c r="B4177" s="561" t="s">
        <v>1627</v>
      </c>
      <c r="C4177" s="561" t="s">
        <v>1196</v>
      </c>
      <c r="D4177" s="561">
        <v>11201</v>
      </c>
      <c r="E4177" s="561">
        <v>3360.3</v>
      </c>
      <c r="F4177" s="561">
        <v>7840.7</v>
      </c>
      <c r="G4177" s="561">
        <v>811</v>
      </c>
      <c r="H4177" s="561">
        <v>12041.4498</v>
      </c>
      <c r="I4177" s="561">
        <v>50</v>
      </c>
      <c r="J4177" s="561">
        <v>209.83100000000005</v>
      </c>
      <c r="K4177" s="561">
        <v>811</v>
      </c>
      <c r="L4177" s="561">
        <v>11832.722000000002</v>
      </c>
      <c r="M4177" s="561">
        <v>11201</v>
      </c>
      <c r="N4177" s="561">
        <v>3360.2999999999997</v>
      </c>
      <c r="O4177" s="561">
        <v>0</v>
      </c>
      <c r="P4177" s="561">
        <v>7840.7</v>
      </c>
      <c r="Q4177" s="561">
        <v>7840.7</v>
      </c>
    </row>
    <row r="4178" spans="1:38">
      <c r="C4178" s="561" t="s">
        <v>1197</v>
      </c>
      <c r="D4178" s="561">
        <v>0</v>
      </c>
      <c r="E4178" s="561">
        <v>0</v>
      </c>
      <c r="F4178" s="561">
        <v>0</v>
      </c>
      <c r="G4178" s="561">
        <v>0</v>
      </c>
      <c r="H4178" s="561">
        <v>0</v>
      </c>
      <c r="I4178" s="561">
        <v>0</v>
      </c>
      <c r="J4178" s="561">
        <v>0</v>
      </c>
      <c r="K4178" s="561">
        <v>0</v>
      </c>
      <c r="L4178" s="561">
        <v>0</v>
      </c>
      <c r="M4178" s="561">
        <v>0</v>
      </c>
      <c r="N4178" s="561">
        <v>0</v>
      </c>
      <c r="O4178" s="561">
        <v>0</v>
      </c>
      <c r="P4178" s="561">
        <v>0</v>
      </c>
      <c r="Q4178" s="561">
        <v>0</v>
      </c>
    </row>
    <row r="4179" spans="1:38">
      <c r="C4179" s="561" t="s">
        <v>1198</v>
      </c>
      <c r="D4179" s="561">
        <v>0</v>
      </c>
      <c r="E4179" s="561">
        <v>0</v>
      </c>
      <c r="F4179" s="561">
        <v>0</v>
      </c>
      <c r="G4179" s="561">
        <v>0</v>
      </c>
      <c r="H4179" s="561">
        <v>0</v>
      </c>
      <c r="I4179" s="561">
        <v>0</v>
      </c>
      <c r="J4179" s="561">
        <v>0</v>
      </c>
      <c r="K4179" s="561">
        <v>0</v>
      </c>
      <c r="L4179" s="561">
        <v>0</v>
      </c>
      <c r="M4179" s="561">
        <v>0</v>
      </c>
      <c r="N4179" s="561">
        <v>0</v>
      </c>
      <c r="O4179" s="561">
        <v>0</v>
      </c>
      <c r="P4179" s="561">
        <v>0</v>
      </c>
      <c r="Q4179" s="561">
        <v>0</v>
      </c>
    </row>
    <row r="4180" spans="1:38">
      <c r="C4180" s="561" t="s">
        <v>1199</v>
      </c>
      <c r="D4180" s="561">
        <v>11201</v>
      </c>
      <c r="E4180" s="561">
        <v>3360.3</v>
      </c>
      <c r="F4180" s="561">
        <v>7840.7</v>
      </c>
      <c r="G4180" s="561">
        <v>811</v>
      </c>
      <c r="H4180" s="561">
        <v>12041.4498</v>
      </c>
      <c r="I4180" s="561">
        <v>50</v>
      </c>
      <c r="J4180" s="561">
        <v>209.83100000000005</v>
      </c>
      <c r="K4180" s="561">
        <v>811</v>
      </c>
      <c r="L4180" s="561">
        <v>11832.722000000002</v>
      </c>
      <c r="M4180" s="561">
        <v>11201</v>
      </c>
      <c r="N4180" s="561">
        <v>3360.2999999999997</v>
      </c>
      <c r="O4180" s="561">
        <v>0</v>
      </c>
      <c r="P4180" s="561">
        <v>7840.7</v>
      </c>
      <c r="Q4180" s="561">
        <v>7840.7</v>
      </c>
    </row>
    <row r="4181" spans="1:38">
      <c r="A4181" s="561">
        <v>60</v>
      </c>
      <c r="B4181" s="561" t="s">
        <v>1628</v>
      </c>
      <c r="C4181" s="561" t="s">
        <v>1196</v>
      </c>
      <c r="D4181" s="561">
        <v>189601</v>
      </c>
      <c r="E4181" s="561">
        <v>55830.3</v>
      </c>
      <c r="F4181" s="561">
        <v>133770.70000000001</v>
      </c>
      <c r="G4181" s="561">
        <v>3489</v>
      </c>
      <c r="H4181" s="561">
        <v>199778.90700000001</v>
      </c>
      <c r="I4181" s="561">
        <v>318</v>
      </c>
      <c r="J4181" s="561">
        <v>10903.028000000002</v>
      </c>
      <c r="K4181" s="561">
        <v>3458</v>
      </c>
      <c r="L4181" s="561">
        <v>190415.538</v>
      </c>
      <c r="M4181" s="561">
        <v>189601</v>
      </c>
      <c r="N4181" s="561">
        <v>55830.30000000001</v>
      </c>
      <c r="O4181" s="561">
        <v>0</v>
      </c>
      <c r="P4181" s="561">
        <v>133770.70000000001</v>
      </c>
      <c r="Q4181" s="561">
        <v>133770.70000000001</v>
      </c>
    </row>
    <row r="4182" spans="1:38">
      <c r="C4182" s="561" t="s">
        <v>1197</v>
      </c>
      <c r="D4182" s="561">
        <v>179790</v>
      </c>
      <c r="E4182" s="561">
        <v>54687</v>
      </c>
      <c r="F4182" s="561">
        <v>125103</v>
      </c>
      <c r="G4182" s="561">
        <v>2842</v>
      </c>
      <c r="H4182" s="561">
        <v>190403.25600000002</v>
      </c>
      <c r="I4182" s="561">
        <v>269</v>
      </c>
      <c r="J4182" s="561">
        <v>10660.771000000002</v>
      </c>
      <c r="K4182" s="561">
        <v>2812</v>
      </c>
      <c r="L4182" s="561">
        <v>181282.54500000001</v>
      </c>
      <c r="M4182" s="561">
        <v>180468.00600000002</v>
      </c>
      <c r="N4182" s="561">
        <v>54686.999999999985</v>
      </c>
      <c r="O4182" s="561">
        <v>0</v>
      </c>
      <c r="Q4182" s="561">
        <v>125781.00599999999</v>
      </c>
      <c r="AL4182" s="561">
        <v>125781.00599999999</v>
      </c>
    </row>
    <row r="4183" spans="1:38">
      <c r="C4183" s="561" t="s">
        <v>1198</v>
      </c>
      <c r="D4183" s="561">
        <v>0</v>
      </c>
      <c r="E4183" s="561">
        <v>0</v>
      </c>
      <c r="F4183" s="561">
        <v>0</v>
      </c>
      <c r="G4183" s="561">
        <v>0</v>
      </c>
      <c r="H4183" s="561">
        <v>0</v>
      </c>
      <c r="I4183" s="561">
        <v>0</v>
      </c>
      <c r="J4183" s="561">
        <v>0</v>
      </c>
      <c r="K4183" s="561">
        <v>0</v>
      </c>
      <c r="L4183" s="561">
        <v>0</v>
      </c>
      <c r="M4183" s="561">
        <v>0</v>
      </c>
      <c r="N4183" s="561">
        <v>0</v>
      </c>
      <c r="O4183" s="561">
        <v>0</v>
      </c>
      <c r="P4183" s="561">
        <v>0</v>
      </c>
      <c r="Q4183" s="561">
        <v>0</v>
      </c>
    </row>
    <row r="4184" spans="1:38">
      <c r="C4184" s="561" t="s">
        <v>1199</v>
      </c>
      <c r="D4184" s="561">
        <v>9811</v>
      </c>
      <c r="E4184" s="561">
        <v>1143.3000000000029</v>
      </c>
      <c r="F4184" s="561">
        <v>8667.6999999999971</v>
      </c>
      <c r="G4184" s="561">
        <v>647</v>
      </c>
      <c r="H4184" s="561">
        <v>9375.6509999999998</v>
      </c>
      <c r="I4184" s="561">
        <v>49</v>
      </c>
      <c r="J4184" s="561">
        <v>242.25700000000001</v>
      </c>
      <c r="K4184" s="561">
        <v>646</v>
      </c>
      <c r="L4184" s="561">
        <v>9132.9930000000004</v>
      </c>
      <c r="M4184" s="561">
        <v>9132.9939999999988</v>
      </c>
      <c r="N4184" s="561">
        <v>1143.2999999999997</v>
      </c>
      <c r="O4184" s="561">
        <v>0</v>
      </c>
      <c r="P4184" s="561">
        <v>7989.6940000000004</v>
      </c>
      <c r="Q4184" s="561">
        <v>7989.6940000000004</v>
      </c>
    </row>
    <row r="4185" spans="1:38">
      <c r="A4185" s="561">
        <v>61</v>
      </c>
      <c r="B4185" s="561" t="s">
        <v>1629</v>
      </c>
      <c r="C4185" s="561" t="s">
        <v>1196</v>
      </c>
      <c r="D4185" s="561">
        <v>36347</v>
      </c>
      <c r="E4185" s="561">
        <v>9854.1</v>
      </c>
      <c r="F4185" s="561">
        <v>26492.9</v>
      </c>
      <c r="G4185" s="561">
        <v>2904</v>
      </c>
      <c r="H4185" s="561">
        <v>37999.714999999997</v>
      </c>
      <c r="I4185" s="561">
        <v>154</v>
      </c>
      <c r="J4185" s="561">
        <v>963.32499999999993</v>
      </c>
      <c r="K4185" s="561">
        <v>2887</v>
      </c>
      <c r="L4185" s="561">
        <v>37818.290999999997</v>
      </c>
      <c r="M4185" s="561">
        <v>36347</v>
      </c>
      <c r="N4185" s="561">
        <v>9854.0999999999967</v>
      </c>
      <c r="O4185" s="561">
        <v>0</v>
      </c>
      <c r="P4185" s="561">
        <v>26492.9</v>
      </c>
      <c r="Q4185" s="561">
        <v>26492.9</v>
      </c>
    </row>
    <row r="4186" spans="1:38">
      <c r="C4186" s="561" t="s">
        <v>1197</v>
      </c>
      <c r="D4186" s="561">
        <v>0</v>
      </c>
      <c r="E4186" s="561">
        <v>0</v>
      </c>
      <c r="F4186" s="561">
        <v>0</v>
      </c>
      <c r="G4186" s="561">
        <v>0</v>
      </c>
      <c r="H4186" s="561">
        <v>0</v>
      </c>
      <c r="I4186" s="561">
        <v>0</v>
      </c>
      <c r="J4186" s="561">
        <v>0</v>
      </c>
      <c r="K4186" s="561">
        <v>0</v>
      </c>
      <c r="L4186" s="561">
        <v>0</v>
      </c>
      <c r="M4186" s="561">
        <v>0</v>
      </c>
      <c r="N4186" s="561">
        <v>0</v>
      </c>
      <c r="O4186" s="561">
        <v>0</v>
      </c>
      <c r="P4186" s="561">
        <v>0</v>
      </c>
      <c r="Q4186" s="561">
        <v>0</v>
      </c>
    </row>
    <row r="4187" spans="1:38">
      <c r="C4187" s="561" t="s">
        <v>1198</v>
      </c>
      <c r="D4187" s="561">
        <v>0</v>
      </c>
      <c r="E4187" s="561">
        <v>0</v>
      </c>
      <c r="F4187" s="561">
        <v>0</v>
      </c>
      <c r="G4187" s="561">
        <v>0</v>
      </c>
      <c r="H4187" s="561">
        <v>0</v>
      </c>
      <c r="I4187" s="561">
        <v>0</v>
      </c>
      <c r="J4187" s="561">
        <v>0</v>
      </c>
      <c r="K4187" s="561">
        <v>0</v>
      </c>
      <c r="L4187" s="561">
        <v>0</v>
      </c>
      <c r="M4187" s="561">
        <v>0</v>
      </c>
      <c r="N4187" s="561">
        <v>0</v>
      </c>
      <c r="O4187" s="561">
        <v>0</v>
      </c>
      <c r="P4187" s="561">
        <v>0</v>
      </c>
      <c r="Q4187" s="561">
        <v>0</v>
      </c>
    </row>
    <row r="4188" spans="1:38">
      <c r="C4188" s="561" t="s">
        <v>1199</v>
      </c>
      <c r="D4188" s="561">
        <v>36347</v>
      </c>
      <c r="E4188" s="561">
        <v>9854.1</v>
      </c>
      <c r="F4188" s="561">
        <v>26492.9</v>
      </c>
      <c r="G4188" s="561">
        <v>2904</v>
      </c>
      <c r="H4188" s="561">
        <v>37999.714999999997</v>
      </c>
      <c r="I4188" s="561">
        <v>154</v>
      </c>
      <c r="J4188" s="561">
        <v>963.32499999999993</v>
      </c>
      <c r="K4188" s="561">
        <v>2887</v>
      </c>
      <c r="L4188" s="561">
        <v>37818.290999999997</v>
      </c>
      <c r="M4188" s="561">
        <v>36347</v>
      </c>
      <c r="N4188" s="561">
        <v>9854.0999999999967</v>
      </c>
      <c r="O4188" s="561">
        <v>0</v>
      </c>
      <c r="P4188" s="561">
        <v>26492.9</v>
      </c>
      <c r="Q4188" s="561">
        <v>26492.9</v>
      </c>
    </row>
    <row r="4189" spans="1:38">
      <c r="A4189" s="561">
        <v>62</v>
      </c>
      <c r="B4189" s="561" t="s">
        <v>1630</v>
      </c>
      <c r="C4189" s="561" t="s">
        <v>1196</v>
      </c>
      <c r="D4189" s="561">
        <v>59906</v>
      </c>
      <c r="E4189" s="561">
        <v>16981.8</v>
      </c>
      <c r="F4189" s="561">
        <v>42924.2</v>
      </c>
      <c r="G4189" s="561">
        <v>1536</v>
      </c>
      <c r="H4189" s="561">
        <v>64261.167199999996</v>
      </c>
      <c r="I4189" s="561">
        <v>160</v>
      </c>
      <c r="J4189" s="561">
        <v>4243.3531999999996</v>
      </c>
      <c r="K4189" s="561">
        <v>1519</v>
      </c>
      <c r="L4189" s="561">
        <v>60070.166000000012</v>
      </c>
      <c r="M4189" s="561">
        <v>59906</v>
      </c>
      <c r="N4189" s="561">
        <v>16981.800000000003</v>
      </c>
      <c r="O4189" s="561">
        <v>0</v>
      </c>
      <c r="P4189" s="561">
        <v>42924.200000000004</v>
      </c>
      <c r="Q4189" s="561">
        <v>42924.200000000004</v>
      </c>
    </row>
    <row r="4190" spans="1:38">
      <c r="C4190" s="561" t="s">
        <v>1197</v>
      </c>
      <c r="D4190" s="561">
        <v>53193</v>
      </c>
      <c r="E4190" s="561">
        <v>15327.9</v>
      </c>
      <c r="F4190" s="561">
        <v>37865.1</v>
      </c>
      <c r="G4190" s="561">
        <v>1034</v>
      </c>
      <c r="H4190" s="561">
        <v>57197.789000000004</v>
      </c>
      <c r="I4190" s="561">
        <v>129</v>
      </c>
      <c r="J4190" s="561">
        <v>4090.1129999999994</v>
      </c>
      <c r="K4190" s="561">
        <v>1018</v>
      </c>
      <c r="L4190" s="561">
        <v>53160.026000000013</v>
      </c>
      <c r="M4190" s="561">
        <v>52995.867999999995</v>
      </c>
      <c r="N4190" s="561">
        <v>15327.899999999998</v>
      </c>
      <c r="O4190" s="561">
        <v>0</v>
      </c>
      <c r="Q4190" s="561">
        <v>37667.968000000001</v>
      </c>
      <c r="AL4190" s="561">
        <v>37667.968000000001</v>
      </c>
    </row>
    <row r="4191" spans="1:38">
      <c r="C4191" s="561" t="s">
        <v>1198</v>
      </c>
      <c r="D4191" s="561">
        <v>0</v>
      </c>
      <c r="E4191" s="561">
        <v>0</v>
      </c>
      <c r="F4191" s="561">
        <v>0</v>
      </c>
      <c r="G4191" s="561">
        <v>0</v>
      </c>
      <c r="H4191" s="561">
        <v>0</v>
      </c>
      <c r="I4191" s="561">
        <v>0</v>
      </c>
      <c r="J4191" s="561">
        <v>0</v>
      </c>
      <c r="K4191" s="561">
        <v>0</v>
      </c>
      <c r="L4191" s="561">
        <v>0</v>
      </c>
      <c r="M4191" s="561">
        <v>0</v>
      </c>
      <c r="N4191" s="561">
        <v>0</v>
      </c>
      <c r="O4191" s="561">
        <v>0</v>
      </c>
      <c r="P4191" s="561">
        <v>0</v>
      </c>
      <c r="Q4191" s="561">
        <v>0</v>
      </c>
    </row>
    <row r="4192" spans="1:38">
      <c r="C4192" s="561" t="s">
        <v>1199</v>
      </c>
      <c r="D4192" s="561">
        <v>6713</v>
      </c>
      <c r="E4192" s="561">
        <v>1653.8999999999996</v>
      </c>
      <c r="F4192" s="561">
        <v>5059.1000000000004</v>
      </c>
      <c r="G4192" s="561">
        <v>502</v>
      </c>
      <c r="H4192" s="561">
        <v>7063.3781999999992</v>
      </c>
      <c r="I4192" s="561">
        <v>31</v>
      </c>
      <c r="J4192" s="561">
        <v>153.24020000000002</v>
      </c>
      <c r="K4192" s="561">
        <v>501</v>
      </c>
      <c r="L4192" s="561">
        <v>6910.1399999999994</v>
      </c>
      <c r="M4192" s="561">
        <v>6910.1319999999996</v>
      </c>
      <c r="N4192" s="561">
        <v>1653.8999999999996</v>
      </c>
      <c r="O4192" s="561">
        <v>0</v>
      </c>
      <c r="P4192" s="561">
        <v>5256.232</v>
      </c>
      <c r="Q4192" s="561">
        <v>5256.232</v>
      </c>
    </row>
    <row r="4193" spans="1:38">
      <c r="A4193" s="561">
        <v>63</v>
      </c>
      <c r="B4193" s="561" t="s">
        <v>1631</v>
      </c>
      <c r="C4193" s="561" t="s">
        <v>1196</v>
      </c>
      <c r="D4193" s="561">
        <v>43903</v>
      </c>
      <c r="E4193" s="561">
        <v>11640.9</v>
      </c>
      <c r="F4193" s="561">
        <v>32262.1</v>
      </c>
      <c r="G4193" s="561">
        <v>1065</v>
      </c>
      <c r="H4193" s="561">
        <v>50501.037799999998</v>
      </c>
      <c r="I4193" s="561">
        <v>147</v>
      </c>
      <c r="J4193" s="561">
        <v>4593.2957999999999</v>
      </c>
      <c r="K4193" s="561">
        <v>1055</v>
      </c>
      <c r="L4193" s="561">
        <v>45847.893000000011</v>
      </c>
      <c r="M4193" s="561">
        <v>43903</v>
      </c>
      <c r="N4193" s="561">
        <v>11640.9</v>
      </c>
      <c r="O4193" s="561">
        <v>0</v>
      </c>
      <c r="P4193" s="561">
        <v>32262.1</v>
      </c>
      <c r="Q4193" s="561">
        <v>32262.1</v>
      </c>
    </row>
    <row r="4194" spans="1:38">
      <c r="C4194" s="561" t="s">
        <v>1197</v>
      </c>
      <c r="D4194" s="561">
        <v>39551</v>
      </c>
      <c r="E4194" s="561">
        <v>10965.3</v>
      </c>
      <c r="F4194" s="561">
        <v>28585.7</v>
      </c>
      <c r="G4194" s="561">
        <v>752</v>
      </c>
      <c r="H4194" s="561">
        <v>45754.526999999995</v>
      </c>
      <c r="I4194" s="561">
        <v>128</v>
      </c>
      <c r="J4194" s="561">
        <v>4455.1629999999996</v>
      </c>
      <c r="K4194" s="561">
        <v>743</v>
      </c>
      <c r="L4194" s="561">
        <v>41239.518000000011</v>
      </c>
      <c r="M4194" s="561">
        <v>39515.625000000007</v>
      </c>
      <c r="N4194" s="561">
        <v>10965.3</v>
      </c>
      <c r="O4194" s="561">
        <v>0</v>
      </c>
      <c r="Q4194" s="561">
        <v>28550.325000000001</v>
      </c>
      <c r="AL4194" s="561">
        <v>28550.325000000001</v>
      </c>
    </row>
    <row r="4195" spans="1:38">
      <c r="C4195" s="561" t="s">
        <v>1198</v>
      </c>
      <c r="D4195" s="561">
        <v>0</v>
      </c>
      <c r="E4195" s="561">
        <v>0</v>
      </c>
      <c r="F4195" s="561">
        <v>0</v>
      </c>
      <c r="G4195" s="561">
        <v>0</v>
      </c>
      <c r="H4195" s="561">
        <v>0</v>
      </c>
      <c r="I4195" s="561">
        <v>0</v>
      </c>
      <c r="J4195" s="561">
        <v>0</v>
      </c>
      <c r="K4195" s="561">
        <v>0</v>
      </c>
      <c r="L4195" s="561">
        <v>0</v>
      </c>
      <c r="M4195" s="561">
        <v>0</v>
      </c>
      <c r="N4195" s="561">
        <v>0</v>
      </c>
      <c r="O4195" s="561">
        <v>0</v>
      </c>
      <c r="P4195" s="561">
        <v>0</v>
      </c>
      <c r="Q4195" s="561">
        <v>0</v>
      </c>
    </row>
    <row r="4196" spans="1:38">
      <c r="C4196" s="561" t="s">
        <v>1199</v>
      </c>
      <c r="D4196" s="561">
        <v>4352</v>
      </c>
      <c r="E4196" s="561">
        <v>675.60000000000036</v>
      </c>
      <c r="F4196" s="561">
        <v>3676.3999999999996</v>
      </c>
      <c r="G4196" s="561">
        <v>313</v>
      </c>
      <c r="H4196" s="561">
        <v>4746.5108</v>
      </c>
      <c r="I4196" s="561">
        <v>19</v>
      </c>
      <c r="J4196" s="561">
        <v>138.1328</v>
      </c>
      <c r="K4196" s="561">
        <v>312</v>
      </c>
      <c r="L4196" s="561">
        <v>4608.375</v>
      </c>
      <c r="M4196" s="561">
        <v>4387.375</v>
      </c>
      <c r="N4196" s="561">
        <v>675.6</v>
      </c>
      <c r="O4196" s="561">
        <v>0</v>
      </c>
      <c r="P4196" s="561">
        <v>3711.7750000000001</v>
      </c>
      <c r="Q4196" s="561">
        <v>3711.7750000000001</v>
      </c>
    </row>
    <row r="4197" spans="1:38">
      <c r="A4197" s="561">
        <v>64</v>
      </c>
      <c r="B4197" s="561" t="s">
        <v>1632</v>
      </c>
      <c r="C4197" s="561" t="s">
        <v>1196</v>
      </c>
      <c r="D4197" s="561">
        <v>70409</v>
      </c>
      <c r="E4197" s="561">
        <v>21965.1</v>
      </c>
      <c r="F4197" s="561">
        <v>48443.9</v>
      </c>
      <c r="G4197" s="561">
        <v>1807</v>
      </c>
      <c r="H4197" s="561">
        <v>76310.988800000006</v>
      </c>
      <c r="I4197" s="561">
        <v>189</v>
      </c>
      <c r="J4197" s="561">
        <v>4892.3717999999999</v>
      </c>
      <c r="K4197" s="561">
        <v>1783</v>
      </c>
      <c r="L4197" s="561">
        <v>71470.275000000009</v>
      </c>
      <c r="M4197" s="561">
        <v>70409</v>
      </c>
      <c r="N4197" s="561">
        <v>21965.1</v>
      </c>
      <c r="O4197" s="561">
        <v>0</v>
      </c>
      <c r="P4197" s="561">
        <v>48443.9</v>
      </c>
      <c r="Q4197" s="561">
        <v>48443.9</v>
      </c>
    </row>
    <row r="4198" spans="1:38">
      <c r="C4198" s="561" t="s">
        <v>1197</v>
      </c>
      <c r="D4198" s="561">
        <v>62561</v>
      </c>
      <c r="E4198" s="561">
        <v>19674</v>
      </c>
      <c r="F4198" s="561">
        <v>42887</v>
      </c>
      <c r="G4198" s="561">
        <v>1197</v>
      </c>
      <c r="H4198" s="561">
        <v>68121.929000000004</v>
      </c>
      <c r="I4198" s="561">
        <v>155</v>
      </c>
      <c r="J4198" s="561">
        <v>4635.9189999999999</v>
      </c>
      <c r="K4198" s="561">
        <v>1175</v>
      </c>
      <c r="L4198" s="561">
        <v>63500.693000000007</v>
      </c>
      <c r="M4198" s="561">
        <v>62439.417000000001</v>
      </c>
      <c r="N4198" s="561">
        <v>19674.000000000004</v>
      </c>
      <c r="O4198" s="561">
        <v>0</v>
      </c>
      <c r="Q4198" s="561">
        <v>42765.417000000001</v>
      </c>
      <c r="AL4198" s="561">
        <v>42765.417000000001</v>
      </c>
    </row>
    <row r="4199" spans="1:38">
      <c r="C4199" s="561" t="s">
        <v>1198</v>
      </c>
      <c r="D4199" s="561">
        <v>0</v>
      </c>
      <c r="E4199" s="561">
        <v>0</v>
      </c>
      <c r="F4199" s="561">
        <v>0</v>
      </c>
      <c r="G4199" s="561">
        <v>0</v>
      </c>
      <c r="H4199" s="561">
        <v>0</v>
      </c>
      <c r="I4199" s="561">
        <v>0</v>
      </c>
      <c r="J4199" s="561">
        <v>0</v>
      </c>
      <c r="K4199" s="561">
        <v>0</v>
      </c>
      <c r="L4199" s="561">
        <v>0</v>
      </c>
      <c r="M4199" s="561">
        <v>0</v>
      </c>
      <c r="N4199" s="561">
        <v>0</v>
      </c>
      <c r="O4199" s="561">
        <v>0</v>
      </c>
      <c r="P4199" s="561">
        <v>0</v>
      </c>
      <c r="Q4199" s="561">
        <v>0</v>
      </c>
    </row>
    <row r="4200" spans="1:38">
      <c r="C4200" s="561" t="s">
        <v>1199</v>
      </c>
      <c r="D4200" s="561">
        <v>7848</v>
      </c>
      <c r="E4200" s="561">
        <v>2291.0999999999985</v>
      </c>
      <c r="F4200" s="561">
        <v>5556.9000000000015</v>
      </c>
      <c r="G4200" s="561">
        <v>610</v>
      </c>
      <c r="H4200" s="561">
        <v>8189.0598</v>
      </c>
      <c r="I4200" s="561">
        <v>34</v>
      </c>
      <c r="J4200" s="561">
        <v>256.45280000000002</v>
      </c>
      <c r="K4200" s="561">
        <v>608</v>
      </c>
      <c r="L4200" s="561">
        <v>7969.5820000000003</v>
      </c>
      <c r="M4200" s="561">
        <v>7969.5830000000005</v>
      </c>
      <c r="N4200" s="561">
        <v>2291.1</v>
      </c>
      <c r="O4200" s="561">
        <v>0</v>
      </c>
      <c r="P4200" s="561">
        <v>5678.4830000000002</v>
      </c>
      <c r="Q4200" s="561">
        <v>5678.4830000000002</v>
      </c>
    </row>
    <row r="4201" spans="1:38">
      <c r="A4201" s="561">
        <v>65</v>
      </c>
      <c r="B4201" s="561" t="s">
        <v>1633</v>
      </c>
      <c r="C4201" s="561" t="s">
        <v>1196</v>
      </c>
      <c r="D4201" s="561">
        <v>242785</v>
      </c>
      <c r="E4201" s="561">
        <v>72295.5</v>
      </c>
      <c r="F4201" s="561">
        <v>170489.5</v>
      </c>
      <c r="G4201" s="561">
        <v>5552</v>
      </c>
      <c r="H4201" s="561">
        <v>258891.27419999999</v>
      </c>
      <c r="I4201" s="561">
        <v>676</v>
      </c>
      <c r="J4201" s="561">
        <v>17238.321199999998</v>
      </c>
      <c r="K4201" s="561">
        <v>5498</v>
      </c>
      <c r="L4201" s="561">
        <v>243922.91499999998</v>
      </c>
      <c r="M4201" s="561">
        <v>242785</v>
      </c>
      <c r="N4201" s="561">
        <v>72295.5</v>
      </c>
      <c r="O4201" s="561">
        <v>0</v>
      </c>
      <c r="P4201" s="561">
        <v>170489.5</v>
      </c>
      <c r="Q4201" s="561">
        <v>170489.5</v>
      </c>
    </row>
    <row r="4202" spans="1:38">
      <c r="C4202" s="561" t="s">
        <v>1197</v>
      </c>
      <c r="D4202" s="561">
        <v>209493</v>
      </c>
      <c r="E4202" s="561">
        <v>65157.9</v>
      </c>
      <c r="F4202" s="561">
        <v>144335.1</v>
      </c>
      <c r="G4202" s="561">
        <v>3465</v>
      </c>
      <c r="H4202" s="561">
        <v>224559.53500000006</v>
      </c>
      <c r="I4202" s="561">
        <v>533</v>
      </c>
      <c r="J4202" s="561">
        <v>16177.173999999997</v>
      </c>
      <c r="K4202" s="561">
        <v>3413</v>
      </c>
      <c r="L4202" s="561">
        <v>210652.24</v>
      </c>
      <c r="M4202" s="561">
        <v>209514.32499999998</v>
      </c>
      <c r="N4202" s="561">
        <v>65157.900000000009</v>
      </c>
      <c r="O4202" s="561">
        <v>0</v>
      </c>
      <c r="Q4202" s="561">
        <v>144356.42500000002</v>
      </c>
      <c r="AL4202" s="561">
        <v>144356.42500000002</v>
      </c>
    </row>
    <row r="4203" spans="1:38">
      <c r="C4203" s="561" t="s">
        <v>1198</v>
      </c>
      <c r="D4203" s="561">
        <v>0</v>
      </c>
      <c r="E4203" s="561">
        <v>0</v>
      </c>
      <c r="F4203" s="561">
        <v>0</v>
      </c>
      <c r="G4203" s="561">
        <v>0</v>
      </c>
      <c r="H4203" s="561">
        <v>0</v>
      </c>
      <c r="I4203" s="561">
        <v>0</v>
      </c>
      <c r="J4203" s="561">
        <v>0</v>
      </c>
      <c r="K4203" s="561">
        <v>0</v>
      </c>
      <c r="L4203" s="561">
        <v>0</v>
      </c>
      <c r="M4203" s="561">
        <v>0</v>
      </c>
      <c r="N4203" s="561">
        <v>0</v>
      </c>
      <c r="O4203" s="561">
        <v>0</v>
      </c>
      <c r="P4203" s="561">
        <v>0</v>
      </c>
      <c r="Q4203" s="561">
        <v>0</v>
      </c>
    </row>
    <row r="4204" spans="1:38">
      <c r="C4204" s="561" t="s">
        <v>1199</v>
      </c>
      <c r="D4204" s="561">
        <v>33292</v>
      </c>
      <c r="E4204" s="561">
        <v>7137.5999999999985</v>
      </c>
      <c r="F4204" s="561">
        <v>26154.400000000001</v>
      </c>
      <c r="G4204" s="561">
        <v>2087</v>
      </c>
      <c r="H4204" s="561">
        <v>34331.739199999996</v>
      </c>
      <c r="I4204" s="561">
        <v>143</v>
      </c>
      <c r="J4204" s="561">
        <v>1061.1471999999999</v>
      </c>
      <c r="K4204" s="561">
        <v>2085</v>
      </c>
      <c r="L4204" s="561">
        <v>33270.674999999996</v>
      </c>
      <c r="M4204" s="561">
        <v>33270.675000000003</v>
      </c>
      <c r="N4204" s="561">
        <v>7137.6000000000013</v>
      </c>
      <c r="O4204" s="561">
        <v>0</v>
      </c>
      <c r="P4204" s="561">
        <v>26133.075000000001</v>
      </c>
      <c r="Q4204" s="561">
        <v>26133.075000000001</v>
      </c>
    </row>
    <row r="4205" spans="1:38">
      <c r="A4205" s="561">
        <v>66</v>
      </c>
      <c r="B4205" s="561" t="s">
        <v>1634</v>
      </c>
      <c r="C4205" s="561" t="s">
        <v>1196</v>
      </c>
      <c r="D4205" s="561">
        <v>165758</v>
      </c>
      <c r="E4205" s="561">
        <v>49127.4</v>
      </c>
      <c r="F4205" s="561">
        <v>116630.6</v>
      </c>
      <c r="G4205" s="561">
        <v>3542</v>
      </c>
      <c r="H4205" s="561">
        <v>171407.63476000002</v>
      </c>
      <c r="I4205" s="561">
        <v>192</v>
      </c>
      <c r="J4205" s="561">
        <v>7020.0620499999995</v>
      </c>
      <c r="K4205" s="561">
        <v>3535</v>
      </c>
      <c r="L4205" s="561">
        <v>167626.72099999999</v>
      </c>
      <c r="M4205" s="561">
        <v>165758</v>
      </c>
      <c r="N4205" s="561">
        <v>49127.399999999994</v>
      </c>
      <c r="O4205" s="561">
        <v>0</v>
      </c>
      <c r="P4205" s="561">
        <v>116630.6</v>
      </c>
      <c r="Q4205" s="561">
        <v>116630.6</v>
      </c>
    </row>
    <row r="4206" spans="1:38">
      <c r="C4206" s="561" t="s">
        <v>1197</v>
      </c>
      <c r="D4206" s="561">
        <v>147101</v>
      </c>
      <c r="E4206" s="561">
        <v>44130.3</v>
      </c>
      <c r="F4206" s="561">
        <v>102970.7</v>
      </c>
      <c r="G4206" s="561">
        <v>2209</v>
      </c>
      <c r="H4206" s="561">
        <v>150801.27271000002</v>
      </c>
      <c r="I4206" s="561">
        <v>150</v>
      </c>
      <c r="J4206" s="561">
        <v>6786.1379999999999</v>
      </c>
      <c r="K4206" s="561">
        <v>2202</v>
      </c>
      <c r="L4206" s="561">
        <v>147260.28699999998</v>
      </c>
      <c r="M4206" s="561">
        <v>148099.32999999999</v>
      </c>
      <c r="N4206" s="561">
        <v>44130.299999999996</v>
      </c>
      <c r="O4206" s="561">
        <v>0</v>
      </c>
      <c r="Q4206" s="561">
        <v>103969.03000000001</v>
      </c>
      <c r="AL4206" s="561">
        <v>103969.03000000001</v>
      </c>
    </row>
    <row r="4207" spans="1:38">
      <c r="C4207" s="561" t="s">
        <v>1198</v>
      </c>
      <c r="D4207" s="561">
        <v>0</v>
      </c>
      <c r="E4207" s="561">
        <v>0</v>
      </c>
      <c r="F4207" s="561">
        <v>0</v>
      </c>
      <c r="G4207" s="561">
        <v>0</v>
      </c>
      <c r="H4207" s="561">
        <v>0</v>
      </c>
      <c r="I4207" s="561">
        <v>0</v>
      </c>
      <c r="J4207" s="561">
        <v>0</v>
      </c>
      <c r="K4207" s="561">
        <v>0</v>
      </c>
      <c r="L4207" s="561">
        <v>0</v>
      </c>
      <c r="M4207" s="561">
        <v>0</v>
      </c>
      <c r="N4207" s="561">
        <v>0</v>
      </c>
      <c r="O4207" s="561">
        <v>0</v>
      </c>
      <c r="P4207" s="561">
        <v>0</v>
      </c>
      <c r="Q4207" s="561">
        <v>0</v>
      </c>
    </row>
    <row r="4208" spans="1:38">
      <c r="C4208" s="561" t="s">
        <v>1199</v>
      </c>
      <c r="D4208" s="561">
        <v>18657</v>
      </c>
      <c r="E4208" s="561">
        <v>4997.0999999999985</v>
      </c>
      <c r="F4208" s="561">
        <v>13659.900000000001</v>
      </c>
      <c r="G4208" s="561">
        <v>1333</v>
      </c>
      <c r="H4208" s="561">
        <v>20606.362049999996</v>
      </c>
      <c r="I4208" s="561">
        <v>42</v>
      </c>
      <c r="J4208" s="561">
        <v>233.92405000000002</v>
      </c>
      <c r="K4208" s="561">
        <v>1333</v>
      </c>
      <c r="L4208" s="561">
        <v>20366.433999999997</v>
      </c>
      <c r="M4208" s="561">
        <v>17658.670000000002</v>
      </c>
      <c r="N4208" s="561">
        <v>4997.1000000000004</v>
      </c>
      <c r="O4208" s="561">
        <v>0</v>
      </c>
      <c r="P4208" s="561">
        <v>12661.57</v>
      </c>
      <c r="Q4208" s="561">
        <v>12661.57</v>
      </c>
    </row>
    <row r="4209" spans="1:38">
      <c r="A4209" s="561">
        <v>67</v>
      </c>
      <c r="B4209" s="561" t="s">
        <v>1635</v>
      </c>
      <c r="C4209" s="561" t="s">
        <v>1196</v>
      </c>
      <c r="D4209" s="561">
        <v>65797</v>
      </c>
      <c r="E4209" s="561">
        <v>19289.099999999999</v>
      </c>
      <c r="F4209" s="561">
        <v>46507.9</v>
      </c>
      <c r="G4209" s="561">
        <v>1536</v>
      </c>
      <c r="H4209" s="561">
        <v>71974.312939999989</v>
      </c>
      <c r="I4209" s="561">
        <v>170</v>
      </c>
      <c r="J4209" s="561">
        <v>4624.6855999999998</v>
      </c>
      <c r="K4209" s="561">
        <v>1530</v>
      </c>
      <c r="L4209" s="561">
        <v>67349.620999999999</v>
      </c>
      <c r="M4209" s="561">
        <v>65797</v>
      </c>
      <c r="N4209" s="561">
        <v>19289.100000000002</v>
      </c>
      <c r="O4209" s="561">
        <v>0</v>
      </c>
      <c r="P4209" s="561">
        <v>46507.9</v>
      </c>
      <c r="Q4209" s="561">
        <v>46507.9</v>
      </c>
    </row>
    <row r="4210" spans="1:38">
      <c r="C4210" s="561" t="s">
        <v>1197</v>
      </c>
      <c r="D4210" s="561">
        <v>58694</v>
      </c>
      <c r="E4210" s="561">
        <v>17608.2</v>
      </c>
      <c r="F4210" s="561">
        <v>41085.800000000003</v>
      </c>
      <c r="G4210" s="561">
        <v>1030</v>
      </c>
      <c r="H4210" s="561">
        <v>64885.125899999999</v>
      </c>
      <c r="I4210" s="561">
        <v>133</v>
      </c>
      <c r="J4210" s="561">
        <v>4438.7820000000002</v>
      </c>
      <c r="K4210" s="561">
        <v>1024</v>
      </c>
      <c r="L4210" s="561">
        <v>60446.340000000004</v>
      </c>
      <c r="M4210" s="561">
        <v>58915.097000000002</v>
      </c>
      <c r="N4210" s="561">
        <v>17608.2</v>
      </c>
      <c r="O4210" s="561">
        <v>0</v>
      </c>
      <c r="Q4210" s="561">
        <v>41306.897000000004</v>
      </c>
      <c r="AL4210" s="561">
        <v>41306.897000000004</v>
      </c>
    </row>
    <row r="4211" spans="1:38">
      <c r="C4211" s="561" t="s">
        <v>1198</v>
      </c>
      <c r="D4211" s="561">
        <v>0</v>
      </c>
      <c r="E4211" s="561">
        <v>0</v>
      </c>
      <c r="F4211" s="561">
        <v>0</v>
      </c>
      <c r="G4211" s="561">
        <v>0</v>
      </c>
      <c r="H4211" s="561">
        <v>0</v>
      </c>
      <c r="I4211" s="561">
        <v>0</v>
      </c>
      <c r="J4211" s="561">
        <v>0</v>
      </c>
      <c r="K4211" s="561">
        <v>0</v>
      </c>
      <c r="L4211" s="561">
        <v>0</v>
      </c>
      <c r="M4211" s="561">
        <v>0</v>
      </c>
      <c r="N4211" s="561">
        <v>0</v>
      </c>
      <c r="O4211" s="561">
        <v>0</v>
      </c>
      <c r="P4211" s="561">
        <v>0</v>
      </c>
      <c r="Q4211" s="561">
        <v>0</v>
      </c>
    </row>
    <row r="4212" spans="1:38">
      <c r="C4212" s="561" t="s">
        <v>1199</v>
      </c>
      <c r="D4212" s="561">
        <v>7103</v>
      </c>
      <c r="E4212" s="561">
        <v>1680.8999999999978</v>
      </c>
      <c r="F4212" s="561">
        <v>5422.1000000000022</v>
      </c>
      <c r="G4212" s="561">
        <v>506</v>
      </c>
      <c r="H4212" s="561">
        <v>7089.1870400000007</v>
      </c>
      <c r="I4212" s="561">
        <v>37</v>
      </c>
      <c r="J4212" s="561">
        <v>185.90359999999998</v>
      </c>
      <c r="K4212" s="561">
        <v>506</v>
      </c>
      <c r="L4212" s="561">
        <v>6903.280999999999</v>
      </c>
      <c r="M4212" s="561">
        <v>6881.9030000000002</v>
      </c>
      <c r="N4212" s="561">
        <v>1680.9000000000005</v>
      </c>
      <c r="O4212" s="561">
        <v>0</v>
      </c>
      <c r="P4212" s="561">
        <v>5201.0030000000006</v>
      </c>
      <c r="Q4212" s="561">
        <v>5201.0030000000006</v>
      </c>
    </row>
    <row r="4213" spans="1:38">
      <c r="A4213" s="561">
        <v>68</v>
      </c>
      <c r="B4213" s="561" t="s">
        <v>1636</v>
      </c>
      <c r="C4213" s="561" t="s">
        <v>1196</v>
      </c>
      <c r="D4213" s="561">
        <v>170450</v>
      </c>
      <c r="E4213" s="561">
        <v>51135</v>
      </c>
      <c r="F4213" s="561">
        <v>119315</v>
      </c>
      <c r="G4213" s="561">
        <v>3855</v>
      </c>
      <c r="H4213" s="561">
        <v>187287.46420000002</v>
      </c>
      <c r="I4213" s="561">
        <v>504</v>
      </c>
      <c r="J4213" s="561">
        <v>15038.333200000001</v>
      </c>
      <c r="K4213" s="561">
        <v>3807</v>
      </c>
      <c r="L4213" s="561">
        <v>173325.98500000002</v>
      </c>
      <c r="M4213" s="561">
        <v>170450</v>
      </c>
      <c r="N4213" s="561">
        <v>51135</v>
      </c>
      <c r="O4213" s="561">
        <v>0</v>
      </c>
      <c r="P4213" s="561">
        <v>119314.99999999999</v>
      </c>
      <c r="Q4213" s="561">
        <v>119314.99999999999</v>
      </c>
    </row>
    <row r="4214" spans="1:38">
      <c r="C4214" s="561" t="s">
        <v>1197</v>
      </c>
      <c r="D4214" s="561">
        <v>157846</v>
      </c>
      <c r="E4214" s="561">
        <v>47353.8</v>
      </c>
      <c r="F4214" s="561">
        <v>110492.2</v>
      </c>
      <c r="G4214" s="561">
        <v>2645</v>
      </c>
      <c r="H4214" s="561">
        <v>168257.66310999999</v>
      </c>
      <c r="I4214" s="561">
        <v>466</v>
      </c>
      <c r="J4214" s="561">
        <v>14729.662</v>
      </c>
      <c r="K4214" s="561">
        <v>2596</v>
      </c>
      <c r="L4214" s="561">
        <v>154604.85800000001</v>
      </c>
      <c r="M4214" s="561">
        <v>156055.26</v>
      </c>
      <c r="N4214" s="561">
        <v>47353.80000000001</v>
      </c>
      <c r="O4214" s="561">
        <v>0</v>
      </c>
      <c r="Q4214" s="561">
        <v>108701.45999999999</v>
      </c>
      <c r="AL4214" s="561">
        <v>108701.45999999999</v>
      </c>
    </row>
    <row r="4215" spans="1:38">
      <c r="C4215" s="561" t="s">
        <v>1198</v>
      </c>
      <c r="D4215" s="561">
        <v>0</v>
      </c>
      <c r="E4215" s="561">
        <v>0</v>
      </c>
      <c r="F4215" s="561">
        <v>0</v>
      </c>
      <c r="G4215" s="561">
        <v>0</v>
      </c>
      <c r="H4215" s="561">
        <v>0</v>
      </c>
      <c r="I4215" s="561">
        <v>0</v>
      </c>
      <c r="J4215" s="561">
        <v>0</v>
      </c>
      <c r="K4215" s="561">
        <v>0</v>
      </c>
      <c r="L4215" s="561">
        <v>0</v>
      </c>
      <c r="M4215" s="561">
        <v>0</v>
      </c>
      <c r="N4215" s="561">
        <v>0</v>
      </c>
      <c r="O4215" s="561">
        <v>0</v>
      </c>
      <c r="P4215" s="561">
        <v>0</v>
      </c>
      <c r="Q4215" s="561">
        <v>0</v>
      </c>
    </row>
    <row r="4216" spans="1:38">
      <c r="C4216" s="561" t="s">
        <v>1199</v>
      </c>
      <c r="D4216" s="561">
        <v>12604</v>
      </c>
      <c r="E4216" s="561">
        <v>3781.1999999999971</v>
      </c>
      <c r="F4216" s="561">
        <v>8822.8000000000029</v>
      </c>
      <c r="G4216" s="561">
        <v>1210</v>
      </c>
      <c r="H4216" s="561">
        <v>19029.801090000001</v>
      </c>
      <c r="I4216" s="561">
        <v>38</v>
      </c>
      <c r="J4216" s="561">
        <v>308.6712</v>
      </c>
      <c r="K4216" s="561">
        <v>1211</v>
      </c>
      <c r="L4216" s="561">
        <v>18721.127</v>
      </c>
      <c r="M4216" s="561">
        <v>14394.74</v>
      </c>
      <c r="N4216" s="561">
        <v>3781.2000000000003</v>
      </c>
      <c r="O4216" s="561">
        <v>0</v>
      </c>
      <c r="P4216" s="561">
        <v>10613.539999999999</v>
      </c>
      <c r="Q4216" s="561">
        <v>10613.539999999999</v>
      </c>
    </row>
    <row r="4217" spans="1:38">
      <c r="A4217" s="561">
        <v>69</v>
      </c>
      <c r="B4217" s="561" t="s">
        <v>1637</v>
      </c>
      <c r="C4217" s="561" t="s">
        <v>1196</v>
      </c>
      <c r="D4217" s="561">
        <v>111629</v>
      </c>
      <c r="E4217" s="561">
        <v>29633.7</v>
      </c>
      <c r="F4217" s="561">
        <v>81995.3</v>
      </c>
      <c r="G4217" s="561">
        <v>2363</v>
      </c>
      <c r="H4217" s="561">
        <v>116715.13712</v>
      </c>
      <c r="I4217" s="561">
        <v>186</v>
      </c>
      <c r="J4217" s="561">
        <v>4247.9709399999992</v>
      </c>
      <c r="K4217" s="561">
        <v>2353</v>
      </c>
      <c r="L4217" s="561">
        <v>113137.389</v>
      </c>
      <c r="M4217" s="561">
        <v>111629</v>
      </c>
      <c r="N4217" s="561">
        <v>29633.699999999997</v>
      </c>
      <c r="O4217" s="561">
        <v>0</v>
      </c>
      <c r="P4217" s="561">
        <v>81995.299999999988</v>
      </c>
      <c r="Q4217" s="561">
        <v>81995.299999999988</v>
      </c>
    </row>
    <row r="4218" spans="1:38">
      <c r="C4218" s="561" t="s">
        <v>1197</v>
      </c>
      <c r="D4218" s="561">
        <v>100850</v>
      </c>
      <c r="E4218" s="561">
        <v>27180</v>
      </c>
      <c r="F4218" s="561">
        <v>73670</v>
      </c>
      <c r="G4218" s="561">
        <v>1669</v>
      </c>
      <c r="H4218" s="561">
        <v>105820.44379999999</v>
      </c>
      <c r="I4218" s="561">
        <v>134</v>
      </c>
      <c r="J4218" s="561">
        <v>3953.4537499999992</v>
      </c>
      <c r="K4218" s="561">
        <v>1663</v>
      </c>
      <c r="L4218" s="561">
        <v>102537.27899999999</v>
      </c>
      <c r="M4218" s="561">
        <v>101028.89</v>
      </c>
      <c r="N4218" s="561">
        <v>27180</v>
      </c>
      <c r="O4218" s="561">
        <v>0</v>
      </c>
      <c r="Q4218" s="561">
        <v>73848.89</v>
      </c>
      <c r="AL4218" s="561">
        <v>73848.89</v>
      </c>
    </row>
    <row r="4219" spans="1:38">
      <c r="C4219" s="561" t="s">
        <v>1198</v>
      </c>
      <c r="D4219" s="561">
        <v>0</v>
      </c>
      <c r="E4219" s="561">
        <v>0</v>
      </c>
      <c r="F4219" s="561">
        <v>0</v>
      </c>
      <c r="G4219" s="561">
        <v>0</v>
      </c>
      <c r="H4219" s="561">
        <v>0</v>
      </c>
      <c r="I4219" s="561">
        <v>0</v>
      </c>
      <c r="J4219" s="561">
        <v>0</v>
      </c>
      <c r="K4219" s="561">
        <v>0</v>
      </c>
      <c r="L4219" s="561">
        <v>0</v>
      </c>
      <c r="M4219" s="561">
        <v>0</v>
      </c>
      <c r="N4219" s="561">
        <v>0</v>
      </c>
      <c r="O4219" s="561">
        <v>0</v>
      </c>
      <c r="P4219" s="561">
        <v>0</v>
      </c>
      <c r="Q4219" s="561">
        <v>0</v>
      </c>
    </row>
    <row r="4220" spans="1:38">
      <c r="C4220" s="561" t="s">
        <v>1199</v>
      </c>
      <c r="D4220" s="561">
        <v>10779</v>
      </c>
      <c r="E4220" s="561">
        <v>2453.7000000000007</v>
      </c>
      <c r="F4220" s="561">
        <v>8325.2999999999993</v>
      </c>
      <c r="G4220" s="561">
        <v>694</v>
      </c>
      <c r="H4220" s="561">
        <v>10894.69332</v>
      </c>
      <c r="I4220" s="561">
        <v>52</v>
      </c>
      <c r="J4220" s="561">
        <v>294.51718999999991</v>
      </c>
      <c r="K4220" s="561">
        <v>690</v>
      </c>
      <c r="L4220" s="561">
        <v>10600.11</v>
      </c>
      <c r="M4220" s="561">
        <v>10600.11</v>
      </c>
      <c r="N4220" s="561">
        <v>2453.6999999999994</v>
      </c>
      <c r="O4220" s="561">
        <v>0</v>
      </c>
      <c r="P4220" s="561">
        <v>8146.4100000000008</v>
      </c>
      <c r="Q4220" s="561">
        <v>8146.4100000000008</v>
      </c>
    </row>
    <row r="4221" spans="1:38">
      <c r="A4221" s="561">
        <v>70</v>
      </c>
      <c r="B4221" s="561" t="s">
        <v>1638</v>
      </c>
      <c r="C4221" s="561" t="s">
        <v>1196</v>
      </c>
      <c r="D4221" s="561">
        <v>118845</v>
      </c>
      <c r="E4221" s="561">
        <v>34303.5</v>
      </c>
      <c r="F4221" s="561">
        <v>84541.5</v>
      </c>
      <c r="G4221" s="561">
        <v>2402</v>
      </c>
      <c r="H4221" s="561">
        <v>115031.07946000001</v>
      </c>
      <c r="I4221" s="561">
        <v>198</v>
      </c>
      <c r="J4221" s="561">
        <v>5426.3837700000004</v>
      </c>
      <c r="K4221" s="561">
        <v>2388</v>
      </c>
      <c r="L4221" s="561">
        <v>119047.30800000002</v>
      </c>
      <c r="M4221" s="561">
        <v>118845.00000000001</v>
      </c>
      <c r="N4221" s="561">
        <v>34303.500000000007</v>
      </c>
      <c r="O4221" s="561">
        <v>0</v>
      </c>
      <c r="P4221" s="561">
        <v>84541.500000000015</v>
      </c>
      <c r="Q4221" s="561">
        <v>84541.500000000015</v>
      </c>
    </row>
    <row r="4222" spans="1:38">
      <c r="C4222" s="561" t="s">
        <v>1197</v>
      </c>
      <c r="D4222" s="561">
        <v>110337</v>
      </c>
      <c r="E4222" s="561">
        <v>32801.1</v>
      </c>
      <c r="F4222" s="561">
        <v>77535.899999999994</v>
      </c>
      <c r="G4222" s="561">
        <v>1780</v>
      </c>
      <c r="H4222" s="561">
        <v>105921.12410000002</v>
      </c>
      <c r="I4222" s="561">
        <v>150</v>
      </c>
      <c r="J4222" s="561">
        <v>5118.1272000000008</v>
      </c>
      <c r="K4222" s="561">
        <v>1770</v>
      </c>
      <c r="L4222" s="561">
        <v>110245.61100000002</v>
      </c>
      <c r="M4222" s="561">
        <v>110043.303</v>
      </c>
      <c r="N4222" s="561">
        <v>32801.100000000006</v>
      </c>
      <c r="O4222" s="561">
        <v>0</v>
      </c>
      <c r="Q4222" s="561">
        <v>77242.202999999994</v>
      </c>
      <c r="AL4222" s="561">
        <v>77242.202999999994</v>
      </c>
    </row>
    <row r="4223" spans="1:38">
      <c r="C4223" s="561" t="s">
        <v>1198</v>
      </c>
      <c r="D4223" s="561">
        <v>0</v>
      </c>
      <c r="E4223" s="561">
        <v>0</v>
      </c>
      <c r="F4223" s="561">
        <v>0</v>
      </c>
      <c r="G4223" s="561">
        <v>0</v>
      </c>
      <c r="H4223" s="561">
        <v>0</v>
      </c>
      <c r="I4223" s="561">
        <v>0</v>
      </c>
      <c r="J4223" s="561">
        <v>0</v>
      </c>
      <c r="K4223" s="561">
        <v>0</v>
      </c>
      <c r="L4223" s="561">
        <v>0</v>
      </c>
      <c r="M4223" s="561">
        <v>0</v>
      </c>
      <c r="N4223" s="561">
        <v>0</v>
      </c>
      <c r="O4223" s="561">
        <v>0</v>
      </c>
      <c r="P4223" s="561">
        <v>0</v>
      </c>
      <c r="Q4223" s="561">
        <v>0</v>
      </c>
    </row>
    <row r="4224" spans="1:38">
      <c r="C4224" s="561" t="s">
        <v>1199</v>
      </c>
      <c r="D4224" s="561">
        <v>8508</v>
      </c>
      <c r="E4224" s="561">
        <v>1502.4000000000015</v>
      </c>
      <c r="F4224" s="561">
        <v>7005.5999999999985</v>
      </c>
      <c r="G4224" s="561">
        <v>622</v>
      </c>
      <c r="H4224" s="561">
        <v>9109.9553599999981</v>
      </c>
      <c r="I4224" s="561">
        <v>48</v>
      </c>
      <c r="J4224" s="561">
        <v>308.25657000000001</v>
      </c>
      <c r="K4224" s="561">
        <v>618</v>
      </c>
      <c r="L4224" s="561">
        <v>8801.6969999999983</v>
      </c>
      <c r="M4224" s="561">
        <v>8801.6970000000001</v>
      </c>
      <c r="N4224" s="561">
        <v>1502.3999999999999</v>
      </c>
      <c r="O4224" s="561">
        <v>0</v>
      </c>
      <c r="P4224" s="561">
        <v>7299.2970000000014</v>
      </c>
      <c r="Q4224" s="561">
        <v>7299.2970000000014</v>
      </c>
    </row>
    <row r="4225" spans="1:38">
      <c r="A4225" s="561">
        <v>71</v>
      </c>
      <c r="B4225" s="561" t="s">
        <v>1639</v>
      </c>
      <c r="C4225" s="561" t="s">
        <v>1196</v>
      </c>
      <c r="D4225" s="561">
        <v>214991</v>
      </c>
      <c r="E4225" s="561">
        <v>60897.3</v>
      </c>
      <c r="F4225" s="561">
        <v>154093.70000000001</v>
      </c>
      <c r="G4225" s="561">
        <v>5218</v>
      </c>
      <c r="H4225" s="561">
        <v>235371.31959999999</v>
      </c>
      <c r="I4225" s="561">
        <v>705</v>
      </c>
      <c r="J4225" s="561">
        <v>16942.0566</v>
      </c>
      <c r="K4225" s="561">
        <v>5057</v>
      </c>
      <c r="L4225" s="561">
        <v>216860.291</v>
      </c>
      <c r="M4225" s="561">
        <v>214990.99999999997</v>
      </c>
      <c r="N4225" s="561">
        <v>60897.299999999988</v>
      </c>
      <c r="O4225" s="561">
        <v>0</v>
      </c>
      <c r="P4225" s="561">
        <v>154093.69999999998</v>
      </c>
      <c r="Q4225" s="561">
        <v>154093.69999999998</v>
      </c>
    </row>
    <row r="4226" spans="1:38">
      <c r="C4226" s="561" t="s">
        <v>1197</v>
      </c>
      <c r="D4226" s="561">
        <v>181365</v>
      </c>
      <c r="E4226" s="561">
        <v>52009.5</v>
      </c>
      <c r="F4226" s="561">
        <v>129355.5</v>
      </c>
      <c r="G4226" s="561">
        <v>2944</v>
      </c>
      <c r="H4226" s="561">
        <v>198936.516</v>
      </c>
      <c r="I4226" s="561">
        <v>395</v>
      </c>
      <c r="J4226" s="561">
        <v>13706.9066</v>
      </c>
      <c r="K4226" s="561">
        <v>2902</v>
      </c>
      <c r="L4226" s="561">
        <v>183660.63999999998</v>
      </c>
      <c r="M4226" s="561">
        <v>181791.34899999999</v>
      </c>
      <c r="N4226" s="561">
        <v>52009.500000000007</v>
      </c>
      <c r="O4226" s="561">
        <v>0</v>
      </c>
      <c r="Q4226" s="561">
        <v>129781.84899999999</v>
      </c>
      <c r="AL4226" s="561">
        <v>129781.84899999999</v>
      </c>
    </row>
    <row r="4227" spans="1:38">
      <c r="C4227" s="561" t="s">
        <v>1198</v>
      </c>
      <c r="D4227" s="561">
        <v>0</v>
      </c>
      <c r="E4227" s="561">
        <v>0</v>
      </c>
      <c r="F4227" s="561">
        <v>0</v>
      </c>
      <c r="G4227" s="561">
        <v>0</v>
      </c>
      <c r="H4227" s="561">
        <v>0</v>
      </c>
      <c r="I4227" s="561">
        <v>0</v>
      </c>
      <c r="J4227" s="561">
        <v>0</v>
      </c>
      <c r="K4227" s="561">
        <v>0</v>
      </c>
      <c r="L4227" s="561">
        <v>0</v>
      </c>
      <c r="M4227" s="561">
        <v>0</v>
      </c>
      <c r="N4227" s="561">
        <v>0</v>
      </c>
      <c r="O4227" s="561">
        <v>0</v>
      </c>
      <c r="P4227" s="561">
        <v>0</v>
      </c>
      <c r="Q4227" s="561">
        <v>0</v>
      </c>
    </row>
    <row r="4228" spans="1:38">
      <c r="C4228" s="561" t="s">
        <v>1199</v>
      </c>
      <c r="D4228" s="561">
        <v>33626</v>
      </c>
      <c r="E4228" s="561">
        <v>8887.8000000000029</v>
      </c>
      <c r="F4228" s="561">
        <v>24738.199999999997</v>
      </c>
      <c r="G4228" s="561">
        <v>2274</v>
      </c>
      <c r="H4228" s="561">
        <v>36434.803599999999</v>
      </c>
      <c r="I4228" s="561">
        <v>310</v>
      </c>
      <c r="J4228" s="561">
        <v>3235.15</v>
      </c>
      <c r="K4228" s="561">
        <v>2155</v>
      </c>
      <c r="L4228" s="561">
        <v>33199.651000000005</v>
      </c>
      <c r="M4228" s="561">
        <v>33199.650999999998</v>
      </c>
      <c r="N4228" s="561">
        <v>8887.7999999999993</v>
      </c>
      <c r="O4228" s="561">
        <v>0</v>
      </c>
      <c r="P4228" s="561">
        <v>24311.850999999999</v>
      </c>
      <c r="Q4228" s="561">
        <v>24311.850999999999</v>
      </c>
    </row>
    <row r="4229" spans="1:38">
      <c r="A4229" s="561">
        <v>72</v>
      </c>
      <c r="B4229" s="561" t="s">
        <v>1640</v>
      </c>
      <c r="C4229" s="561" t="s">
        <v>1196</v>
      </c>
      <c r="D4229" s="561">
        <v>162205</v>
      </c>
      <c r="E4229" s="561">
        <v>45811.5</v>
      </c>
      <c r="F4229" s="561">
        <v>116393.5</v>
      </c>
      <c r="G4229" s="561">
        <v>4281</v>
      </c>
      <c r="H4229" s="561">
        <v>175938.0828</v>
      </c>
      <c r="I4229" s="561">
        <v>512</v>
      </c>
      <c r="J4229" s="561">
        <v>14262.543600000001</v>
      </c>
      <c r="K4229" s="561">
        <v>4250</v>
      </c>
      <c r="L4229" s="561">
        <v>162520.78499999997</v>
      </c>
      <c r="M4229" s="561">
        <v>162205</v>
      </c>
      <c r="N4229" s="561">
        <v>45811.499999999993</v>
      </c>
      <c r="O4229" s="561">
        <v>0</v>
      </c>
      <c r="P4229" s="561">
        <v>116393.5</v>
      </c>
      <c r="Q4229" s="561">
        <v>116393.5</v>
      </c>
    </row>
    <row r="4230" spans="1:38">
      <c r="C4230" s="561" t="s">
        <v>1197</v>
      </c>
      <c r="D4230" s="561">
        <v>133322</v>
      </c>
      <c r="E4230" s="561">
        <v>39996.6</v>
      </c>
      <c r="F4230" s="561">
        <v>93325.4</v>
      </c>
      <c r="G4230" s="561">
        <v>2376</v>
      </c>
      <c r="H4230" s="561">
        <v>147178.821</v>
      </c>
      <c r="I4230" s="561">
        <v>397</v>
      </c>
      <c r="J4230" s="561">
        <v>13502.332</v>
      </c>
      <c r="K4230" s="561">
        <v>2354</v>
      </c>
      <c r="L4230" s="561">
        <v>134532.40899999999</v>
      </c>
      <c r="M4230" s="561">
        <v>134216.62400000001</v>
      </c>
      <c r="N4230" s="561">
        <v>39996.600000000006</v>
      </c>
      <c r="O4230" s="561">
        <v>0</v>
      </c>
      <c r="Q4230" s="561">
        <v>94220.024000000005</v>
      </c>
      <c r="AL4230" s="561">
        <v>94220.024000000005</v>
      </c>
    </row>
    <row r="4231" spans="1:38">
      <c r="C4231" s="561" t="s">
        <v>1198</v>
      </c>
      <c r="D4231" s="561">
        <v>0</v>
      </c>
      <c r="E4231" s="561">
        <v>0</v>
      </c>
      <c r="F4231" s="561">
        <v>0</v>
      </c>
      <c r="G4231" s="561">
        <v>0</v>
      </c>
      <c r="H4231" s="561">
        <v>0</v>
      </c>
      <c r="I4231" s="561">
        <v>0</v>
      </c>
      <c r="J4231" s="561">
        <v>0</v>
      </c>
      <c r="K4231" s="561">
        <v>0</v>
      </c>
      <c r="L4231" s="561">
        <v>0</v>
      </c>
      <c r="M4231" s="561">
        <v>0</v>
      </c>
      <c r="N4231" s="561">
        <v>0</v>
      </c>
      <c r="O4231" s="561">
        <v>0</v>
      </c>
      <c r="P4231" s="561">
        <v>0</v>
      </c>
      <c r="Q4231" s="561">
        <v>0</v>
      </c>
    </row>
    <row r="4232" spans="1:38">
      <c r="C4232" s="561" t="s">
        <v>1199</v>
      </c>
      <c r="D4232" s="561">
        <v>28883</v>
      </c>
      <c r="E4232" s="561">
        <v>5814.9000000000015</v>
      </c>
      <c r="F4232" s="561">
        <v>23068.1</v>
      </c>
      <c r="G4232" s="561">
        <v>1905</v>
      </c>
      <c r="H4232" s="561">
        <v>28759.261799999997</v>
      </c>
      <c r="I4232" s="561">
        <v>115</v>
      </c>
      <c r="J4232" s="561">
        <v>760.21159999999998</v>
      </c>
      <c r="K4232" s="561">
        <v>1896</v>
      </c>
      <c r="L4232" s="561">
        <v>27988.376</v>
      </c>
      <c r="M4232" s="561">
        <v>27988.375999999997</v>
      </c>
      <c r="N4232" s="561">
        <v>5814.9000000000015</v>
      </c>
      <c r="O4232" s="561">
        <v>0</v>
      </c>
      <c r="P4232" s="561">
        <v>22173.475999999999</v>
      </c>
      <c r="Q4232" s="561">
        <v>22173.475999999999</v>
      </c>
    </row>
    <row r="4233" spans="1:38">
      <c r="A4233" s="561">
        <v>73</v>
      </c>
      <c r="B4233" s="561" t="s">
        <v>1641</v>
      </c>
      <c r="C4233" s="561" t="s">
        <v>1196</v>
      </c>
      <c r="D4233" s="561">
        <v>77924</v>
      </c>
      <c r="E4233" s="561">
        <v>22777.200000000001</v>
      </c>
      <c r="F4233" s="561">
        <v>55146.8</v>
      </c>
      <c r="G4233" s="561">
        <v>2573</v>
      </c>
      <c r="H4233" s="561">
        <v>89508.574000000008</v>
      </c>
      <c r="I4233" s="561">
        <v>369</v>
      </c>
      <c r="J4233" s="561">
        <v>8320.602560000003</v>
      </c>
      <c r="K4233" s="561">
        <v>2530</v>
      </c>
      <c r="L4233" s="561">
        <v>81179.846999999994</v>
      </c>
      <c r="M4233" s="561">
        <v>77924</v>
      </c>
      <c r="N4233" s="561">
        <v>22777.200000000001</v>
      </c>
      <c r="O4233" s="561">
        <v>0</v>
      </c>
      <c r="P4233" s="561">
        <v>55146.799999999996</v>
      </c>
      <c r="Q4233" s="561">
        <v>55146.799999999996</v>
      </c>
    </row>
    <row r="4234" spans="1:38">
      <c r="C4234" s="561" t="s">
        <v>1197</v>
      </c>
      <c r="D4234" s="561">
        <v>55543</v>
      </c>
      <c r="E4234" s="561">
        <v>18462.900000000001</v>
      </c>
      <c r="F4234" s="561">
        <v>37080.1</v>
      </c>
      <c r="G4234" s="561">
        <v>994</v>
      </c>
      <c r="H4234" s="561">
        <v>65054.065900000001</v>
      </c>
      <c r="I4234" s="561">
        <v>221</v>
      </c>
      <c r="J4234" s="561">
        <v>7472.3779000000022</v>
      </c>
      <c r="K4234" s="561">
        <v>958</v>
      </c>
      <c r="L4234" s="561">
        <v>57573.576999999997</v>
      </c>
      <c r="M4234" s="561">
        <v>55154.195</v>
      </c>
      <c r="N4234" s="561">
        <v>18462.900000000001</v>
      </c>
      <c r="O4234" s="561">
        <v>0</v>
      </c>
      <c r="Q4234" s="561">
        <v>36691.294999999998</v>
      </c>
      <c r="AL4234" s="561">
        <v>36691.294999999998</v>
      </c>
    </row>
    <row r="4235" spans="1:38">
      <c r="C4235" s="561" t="s">
        <v>1198</v>
      </c>
      <c r="D4235" s="561">
        <v>0</v>
      </c>
      <c r="E4235" s="561">
        <v>0</v>
      </c>
      <c r="F4235" s="561">
        <v>0</v>
      </c>
      <c r="G4235" s="561">
        <v>0</v>
      </c>
      <c r="H4235" s="561">
        <v>0</v>
      </c>
      <c r="I4235" s="561">
        <v>0</v>
      </c>
      <c r="J4235" s="561">
        <v>0</v>
      </c>
      <c r="K4235" s="561">
        <v>0</v>
      </c>
      <c r="L4235" s="561">
        <v>0</v>
      </c>
      <c r="M4235" s="561">
        <v>0</v>
      </c>
      <c r="N4235" s="561">
        <v>0</v>
      </c>
      <c r="O4235" s="561">
        <v>0</v>
      </c>
      <c r="P4235" s="561">
        <v>0</v>
      </c>
      <c r="Q4235" s="561">
        <v>0</v>
      </c>
    </row>
    <row r="4236" spans="1:38">
      <c r="C4236" s="561" t="s">
        <v>1199</v>
      </c>
      <c r="D4236" s="561">
        <v>22381</v>
      </c>
      <c r="E4236" s="561">
        <v>4314.2999999999993</v>
      </c>
      <c r="F4236" s="561">
        <v>18066.7</v>
      </c>
      <c r="G4236" s="561">
        <v>1579</v>
      </c>
      <c r="H4236" s="561">
        <v>24454.508100000003</v>
      </c>
      <c r="I4236" s="561">
        <v>148</v>
      </c>
      <c r="J4236" s="561">
        <v>848.22465999999997</v>
      </c>
      <c r="K4236" s="561">
        <v>1572</v>
      </c>
      <c r="L4236" s="561">
        <v>23606.27</v>
      </c>
      <c r="M4236" s="561">
        <v>22769.805</v>
      </c>
      <c r="N4236" s="561">
        <v>4314.2999999999993</v>
      </c>
      <c r="O4236" s="561">
        <v>0</v>
      </c>
      <c r="P4236" s="561">
        <v>18455.504999999997</v>
      </c>
      <c r="Q4236" s="561">
        <v>18455.504999999997</v>
      </c>
    </row>
    <row r="4237" spans="1:38">
      <c r="A4237" s="561">
        <v>74</v>
      </c>
      <c r="B4237" s="561" t="s">
        <v>1642</v>
      </c>
      <c r="C4237" s="561" t="s">
        <v>1196</v>
      </c>
      <c r="D4237" s="561">
        <v>142939</v>
      </c>
      <c r="E4237" s="561">
        <v>38531.699999999997</v>
      </c>
      <c r="F4237" s="561">
        <v>104407.3</v>
      </c>
      <c r="G4237" s="561">
        <v>3529</v>
      </c>
      <c r="H4237" s="561">
        <v>153241.9222</v>
      </c>
      <c r="I4237" s="561">
        <v>331</v>
      </c>
      <c r="J4237" s="561">
        <v>7859.3876399999999</v>
      </c>
      <c r="K4237" s="561">
        <v>3519</v>
      </c>
      <c r="L4237" s="561">
        <v>145328.859</v>
      </c>
      <c r="M4237" s="561">
        <v>142939</v>
      </c>
      <c r="N4237" s="561">
        <v>38531.700000000004</v>
      </c>
      <c r="O4237" s="561">
        <v>0</v>
      </c>
      <c r="P4237" s="561">
        <v>104407.3</v>
      </c>
      <c r="Q4237" s="561">
        <v>104407.3</v>
      </c>
    </row>
    <row r="4238" spans="1:38">
      <c r="C4238" s="561" t="s">
        <v>1197</v>
      </c>
      <c r="D4238" s="561">
        <v>118832</v>
      </c>
      <c r="E4238" s="561">
        <v>34299.599999999999</v>
      </c>
      <c r="F4238" s="561">
        <v>84532.4</v>
      </c>
      <c r="G4238" s="561">
        <v>1922</v>
      </c>
      <c r="H4238" s="561">
        <v>128879.57500000001</v>
      </c>
      <c r="I4238" s="561">
        <v>252</v>
      </c>
      <c r="J4238" s="561">
        <v>7407.50443</v>
      </c>
      <c r="K4238" s="561">
        <v>1913</v>
      </c>
      <c r="L4238" s="561">
        <v>121418.387</v>
      </c>
      <c r="M4238" s="561">
        <v>119194.33200000001</v>
      </c>
      <c r="N4238" s="561">
        <v>34299.600000000006</v>
      </c>
      <c r="O4238" s="561">
        <v>0</v>
      </c>
      <c r="Q4238" s="561">
        <v>84894.732000000004</v>
      </c>
      <c r="AL4238" s="561">
        <v>84894.732000000004</v>
      </c>
    </row>
    <row r="4239" spans="1:38">
      <c r="C4239" s="561" t="s">
        <v>1198</v>
      </c>
      <c r="D4239" s="561">
        <v>0</v>
      </c>
      <c r="E4239" s="561">
        <v>0</v>
      </c>
      <c r="F4239" s="561">
        <v>0</v>
      </c>
      <c r="G4239" s="561">
        <v>0</v>
      </c>
      <c r="H4239" s="561">
        <v>0</v>
      </c>
      <c r="I4239" s="561">
        <v>0</v>
      </c>
      <c r="J4239" s="561">
        <v>0</v>
      </c>
      <c r="K4239" s="561">
        <v>0</v>
      </c>
      <c r="L4239" s="561">
        <v>0</v>
      </c>
      <c r="M4239" s="561">
        <v>0</v>
      </c>
      <c r="N4239" s="561">
        <v>0</v>
      </c>
      <c r="O4239" s="561">
        <v>0</v>
      </c>
      <c r="P4239" s="561">
        <v>0</v>
      </c>
      <c r="Q4239" s="561">
        <v>0</v>
      </c>
    </row>
    <row r="4240" spans="1:38">
      <c r="C4240" s="561" t="s">
        <v>1199</v>
      </c>
      <c r="D4240" s="561">
        <v>24107</v>
      </c>
      <c r="E4240" s="561">
        <v>4232.0999999999985</v>
      </c>
      <c r="F4240" s="561">
        <v>19874.900000000001</v>
      </c>
      <c r="G4240" s="561">
        <v>1607</v>
      </c>
      <c r="H4240" s="561">
        <v>24362.347200000004</v>
      </c>
      <c r="I4240" s="561">
        <v>79</v>
      </c>
      <c r="J4240" s="561">
        <v>451.88321000000008</v>
      </c>
      <c r="K4240" s="561">
        <v>1606</v>
      </c>
      <c r="L4240" s="561">
        <v>23910.472000000002</v>
      </c>
      <c r="M4240" s="561">
        <v>23744.667999999998</v>
      </c>
      <c r="N4240" s="561">
        <v>4232.0999999999995</v>
      </c>
      <c r="O4240" s="561">
        <v>0</v>
      </c>
      <c r="P4240" s="561">
        <v>19512.567999999999</v>
      </c>
      <c r="Q4240" s="561">
        <v>19512.567999999999</v>
      </c>
    </row>
    <row r="4241" spans="1:56">
      <c r="A4241" s="561">
        <v>75</v>
      </c>
      <c r="B4241" s="561" t="s">
        <v>1643</v>
      </c>
      <c r="C4241" s="561" t="s">
        <v>1196</v>
      </c>
      <c r="D4241" s="561">
        <v>239280</v>
      </c>
      <c r="E4241" s="561">
        <v>71184</v>
      </c>
      <c r="F4241" s="561">
        <v>168096</v>
      </c>
      <c r="G4241" s="561">
        <v>14778</v>
      </c>
      <c r="H4241" s="561">
        <v>242505.06419000003</v>
      </c>
      <c r="I4241" s="561">
        <v>124</v>
      </c>
      <c r="J4241" s="561">
        <v>2129.1500000000005</v>
      </c>
      <c r="K4241" s="561">
        <v>14525</v>
      </c>
      <c r="L4241" s="561">
        <v>239986.31200000001</v>
      </c>
      <c r="M4241" s="561">
        <v>239279.99999999997</v>
      </c>
      <c r="N4241" s="561">
        <v>71184.000000000015</v>
      </c>
      <c r="O4241" s="561">
        <v>0</v>
      </c>
      <c r="P4241" s="561">
        <v>168096</v>
      </c>
      <c r="Q4241" s="561">
        <v>168096</v>
      </c>
    </row>
    <row r="4242" spans="1:56">
      <c r="C4242" s="561" t="s">
        <v>1197</v>
      </c>
      <c r="D4242" s="561">
        <v>223704</v>
      </c>
      <c r="E4242" s="561">
        <v>66511.199999999997</v>
      </c>
      <c r="F4242" s="561">
        <v>157192.79999999999</v>
      </c>
      <c r="G4242" s="561">
        <v>3435</v>
      </c>
      <c r="H4242" s="561">
        <v>226590.70499999999</v>
      </c>
      <c r="I4242" s="561">
        <v>124</v>
      </c>
      <c r="J4242" s="561">
        <v>2129.1500000000005</v>
      </c>
      <c r="K4242" s="561">
        <v>3433</v>
      </c>
      <c r="L4242" s="561">
        <v>224409.76300000001</v>
      </c>
      <c r="M4242" s="561">
        <v>223703.45100000003</v>
      </c>
      <c r="N4242" s="561">
        <v>66511.199999999983</v>
      </c>
      <c r="O4242" s="561">
        <v>0</v>
      </c>
      <c r="Q4242" s="561">
        <v>157192.25100000002</v>
      </c>
      <c r="BD4242" s="561">
        <v>157192.25100000002</v>
      </c>
    </row>
    <row r="4243" spans="1:56">
      <c r="C4243" s="561" t="s">
        <v>1198</v>
      </c>
      <c r="D4243" s="561">
        <v>0</v>
      </c>
      <c r="E4243" s="561">
        <v>0</v>
      </c>
      <c r="F4243" s="561">
        <v>0</v>
      </c>
      <c r="G4243" s="561">
        <v>0</v>
      </c>
      <c r="H4243" s="561">
        <v>0</v>
      </c>
      <c r="I4243" s="561">
        <v>0</v>
      </c>
      <c r="J4243" s="561">
        <v>0</v>
      </c>
      <c r="K4243" s="561">
        <v>0</v>
      </c>
      <c r="L4243" s="561">
        <v>0</v>
      </c>
      <c r="M4243" s="561">
        <v>0</v>
      </c>
      <c r="N4243" s="561">
        <v>0</v>
      </c>
      <c r="O4243" s="561">
        <v>0</v>
      </c>
      <c r="P4243" s="561">
        <v>0</v>
      </c>
      <c r="Q4243" s="561">
        <v>0</v>
      </c>
    </row>
    <row r="4244" spans="1:56">
      <c r="C4244" s="561" t="s">
        <v>1199</v>
      </c>
      <c r="D4244" s="561">
        <v>0</v>
      </c>
      <c r="F4244" s="561">
        <v>0</v>
      </c>
      <c r="G4244" s="561">
        <v>0</v>
      </c>
      <c r="H4244" s="561">
        <v>0</v>
      </c>
      <c r="I4244" s="561">
        <v>0</v>
      </c>
      <c r="J4244" s="561">
        <v>0</v>
      </c>
      <c r="K4244" s="561">
        <v>0</v>
      </c>
      <c r="L4244" s="561">
        <v>0</v>
      </c>
      <c r="M4244" s="561">
        <v>0</v>
      </c>
      <c r="N4244" s="561">
        <v>0</v>
      </c>
      <c r="O4244" s="561">
        <v>0</v>
      </c>
      <c r="P4244" s="561">
        <v>0</v>
      </c>
      <c r="Q4244" s="561">
        <v>0</v>
      </c>
    </row>
    <row r="4245" spans="1:56">
      <c r="C4245" s="561" t="s">
        <v>1200</v>
      </c>
      <c r="D4245" s="561">
        <v>15576</v>
      </c>
      <c r="E4245" s="561">
        <v>4672.8000000000029</v>
      </c>
      <c r="F4245" s="561">
        <v>10903.199999999997</v>
      </c>
      <c r="G4245" s="561">
        <v>11343</v>
      </c>
      <c r="H4245" s="561">
        <v>15914.359189999997</v>
      </c>
      <c r="I4245" s="561">
        <v>0</v>
      </c>
      <c r="J4245" s="561">
        <v>0</v>
      </c>
      <c r="K4245" s="561">
        <v>11092</v>
      </c>
      <c r="L4245" s="561">
        <v>15576.548999999999</v>
      </c>
      <c r="M4245" s="561">
        <v>15576.548999999999</v>
      </c>
      <c r="N4245" s="561">
        <v>4672.8</v>
      </c>
      <c r="O4245" s="561">
        <v>0</v>
      </c>
      <c r="P4245" s="561">
        <v>10903.749</v>
      </c>
      <c r="Q4245" s="561">
        <v>10903.749</v>
      </c>
    </row>
    <row r="4246" spans="1:56">
      <c r="A4246" s="561">
        <v>76</v>
      </c>
      <c r="B4246" s="561" t="s">
        <v>1644</v>
      </c>
      <c r="C4246" s="561" t="s">
        <v>1196</v>
      </c>
      <c r="D4246" s="561">
        <v>193670.76</v>
      </c>
      <c r="E4246" s="561">
        <v>0</v>
      </c>
      <c r="F4246" s="561">
        <v>193670.76</v>
      </c>
      <c r="G4246" s="561">
        <v>684</v>
      </c>
      <c r="H4246" s="561">
        <v>180016.49494000003</v>
      </c>
      <c r="I4246" s="561">
        <v>7</v>
      </c>
      <c r="J4246" s="561">
        <v>586.87899999999991</v>
      </c>
      <c r="K4246" s="561">
        <v>683</v>
      </c>
      <c r="L4246" s="561">
        <v>179457.58500000002</v>
      </c>
      <c r="M4246" s="561">
        <v>193670.76</v>
      </c>
      <c r="N4246" s="561">
        <v>0</v>
      </c>
      <c r="O4246" s="561">
        <v>0</v>
      </c>
      <c r="P4246" s="561">
        <v>193670.76</v>
      </c>
      <c r="Q4246" s="561">
        <v>193670.76</v>
      </c>
    </row>
    <row r="4247" spans="1:56">
      <c r="C4247" s="561" t="s">
        <v>1197</v>
      </c>
      <c r="D4247" s="561">
        <v>0</v>
      </c>
      <c r="E4247" s="561">
        <v>0</v>
      </c>
      <c r="F4247" s="561">
        <v>0</v>
      </c>
      <c r="G4247" s="561">
        <v>0</v>
      </c>
      <c r="H4247" s="561">
        <v>0</v>
      </c>
      <c r="I4247" s="561">
        <v>0</v>
      </c>
      <c r="J4247" s="561">
        <v>0</v>
      </c>
      <c r="K4247" s="561">
        <v>0</v>
      </c>
      <c r="L4247" s="561">
        <v>0</v>
      </c>
      <c r="M4247" s="561">
        <v>0</v>
      </c>
      <c r="N4247" s="561">
        <v>0</v>
      </c>
      <c r="O4247" s="561">
        <v>0</v>
      </c>
      <c r="P4247" s="561">
        <v>0</v>
      </c>
      <c r="Q4247" s="561">
        <v>0</v>
      </c>
    </row>
    <row r="4248" spans="1:56">
      <c r="C4248" s="561" t="s">
        <v>1198</v>
      </c>
      <c r="D4248" s="561">
        <v>0</v>
      </c>
      <c r="E4248" s="561">
        <v>0</v>
      </c>
      <c r="F4248" s="561">
        <v>0</v>
      </c>
      <c r="G4248" s="561">
        <v>0</v>
      </c>
      <c r="H4248" s="561">
        <v>0</v>
      </c>
      <c r="I4248" s="561">
        <v>0</v>
      </c>
      <c r="J4248" s="561">
        <v>0</v>
      </c>
      <c r="K4248" s="561">
        <v>0</v>
      </c>
      <c r="L4248" s="561">
        <v>0</v>
      </c>
      <c r="M4248" s="561">
        <v>0</v>
      </c>
      <c r="N4248" s="561">
        <v>0</v>
      </c>
      <c r="O4248" s="561">
        <v>0</v>
      </c>
      <c r="P4248" s="561">
        <v>0</v>
      </c>
      <c r="Q4248" s="561">
        <v>0</v>
      </c>
    </row>
    <row r="4249" spans="1:56">
      <c r="C4249" s="561" t="s">
        <v>1199</v>
      </c>
      <c r="D4249" s="561">
        <v>193670.76</v>
      </c>
      <c r="E4249" s="561">
        <v>0</v>
      </c>
      <c r="F4249" s="561">
        <v>193670.76</v>
      </c>
      <c r="G4249" s="561">
        <v>684</v>
      </c>
      <c r="H4249" s="561">
        <v>180016.49494000003</v>
      </c>
      <c r="I4249" s="561">
        <v>7</v>
      </c>
      <c r="J4249" s="561">
        <v>586.87899999999991</v>
      </c>
      <c r="K4249" s="561">
        <v>683</v>
      </c>
      <c r="L4249" s="561">
        <v>179457.58500000002</v>
      </c>
      <c r="M4249" s="561">
        <v>193670.76</v>
      </c>
      <c r="N4249" s="561">
        <v>0</v>
      </c>
      <c r="O4249" s="561">
        <v>0</v>
      </c>
      <c r="P4249" s="561">
        <v>193670.76</v>
      </c>
      <c r="Q4249" s="561">
        <v>193670.76</v>
      </c>
    </row>
    <row r="4250" spans="1:56">
      <c r="A4250" s="561">
        <v>77</v>
      </c>
      <c r="B4250" s="561" t="s">
        <v>1645</v>
      </c>
      <c r="C4250" s="561" t="s">
        <v>1196</v>
      </c>
      <c r="D4250" s="561">
        <v>162889</v>
      </c>
      <c r="E4250" s="561">
        <v>50666.7</v>
      </c>
      <c r="F4250" s="561">
        <v>112222.3</v>
      </c>
      <c r="G4250" s="561">
        <v>600</v>
      </c>
      <c r="H4250" s="561">
        <v>163398.93599999999</v>
      </c>
      <c r="I4250" s="561">
        <v>41</v>
      </c>
      <c r="J4250" s="561">
        <v>483.62280000000004</v>
      </c>
      <c r="K4250" s="561">
        <v>600</v>
      </c>
      <c r="L4250" s="561">
        <v>162915.31299999999</v>
      </c>
      <c r="M4250" s="561">
        <v>162889</v>
      </c>
      <c r="N4250" s="561">
        <v>50666.700000000012</v>
      </c>
      <c r="O4250" s="561">
        <v>0</v>
      </c>
      <c r="P4250" s="561">
        <v>112222.29999999999</v>
      </c>
      <c r="Q4250" s="561">
        <v>112222.29999999999</v>
      </c>
    </row>
    <row r="4251" spans="1:56">
      <c r="C4251" s="561" t="s">
        <v>1197</v>
      </c>
      <c r="D4251" s="561">
        <v>0</v>
      </c>
      <c r="E4251" s="561">
        <v>0</v>
      </c>
      <c r="F4251" s="561">
        <v>0</v>
      </c>
      <c r="G4251" s="561">
        <v>0</v>
      </c>
      <c r="H4251" s="561">
        <v>0</v>
      </c>
      <c r="I4251" s="561">
        <v>0</v>
      </c>
      <c r="J4251" s="561">
        <v>8.0000000002655725E-4</v>
      </c>
      <c r="K4251" s="561">
        <v>0</v>
      </c>
      <c r="L4251" s="561">
        <v>0</v>
      </c>
      <c r="M4251" s="561">
        <v>0</v>
      </c>
      <c r="N4251" s="561">
        <v>0</v>
      </c>
      <c r="O4251" s="561">
        <v>0</v>
      </c>
      <c r="P4251" s="561">
        <v>0</v>
      </c>
      <c r="Q4251" s="561">
        <v>0</v>
      </c>
    </row>
    <row r="4252" spans="1:56">
      <c r="C4252" s="561" t="s">
        <v>1198</v>
      </c>
      <c r="D4252" s="561">
        <v>0</v>
      </c>
      <c r="E4252" s="561">
        <v>0</v>
      </c>
      <c r="F4252" s="561">
        <v>0</v>
      </c>
      <c r="G4252" s="561">
        <v>0</v>
      </c>
      <c r="H4252" s="561">
        <v>0</v>
      </c>
      <c r="I4252" s="561">
        <v>0</v>
      </c>
      <c r="J4252" s="561">
        <v>0</v>
      </c>
      <c r="K4252" s="561">
        <v>0</v>
      </c>
      <c r="L4252" s="561">
        <v>0</v>
      </c>
      <c r="M4252" s="561">
        <v>0</v>
      </c>
      <c r="N4252" s="561">
        <v>0</v>
      </c>
      <c r="O4252" s="561">
        <v>0</v>
      </c>
      <c r="P4252" s="561">
        <v>0</v>
      </c>
      <c r="Q4252" s="561">
        <v>0</v>
      </c>
    </row>
    <row r="4253" spans="1:56">
      <c r="C4253" s="561" t="s">
        <v>1199</v>
      </c>
      <c r="D4253" s="561">
        <v>162889</v>
      </c>
      <c r="E4253" s="561">
        <v>50666.7</v>
      </c>
      <c r="F4253" s="561">
        <v>112222.3</v>
      </c>
      <c r="G4253" s="561">
        <v>600</v>
      </c>
      <c r="H4253" s="561">
        <v>163398.93599999999</v>
      </c>
      <c r="I4253" s="561">
        <v>41</v>
      </c>
      <c r="J4253" s="561">
        <v>483.62200000000001</v>
      </c>
      <c r="K4253" s="561">
        <v>600</v>
      </c>
      <c r="L4253" s="561">
        <v>162915.31299999999</v>
      </c>
      <c r="M4253" s="561">
        <v>162889</v>
      </c>
      <c r="N4253" s="561">
        <v>50666.700000000012</v>
      </c>
      <c r="O4253" s="561">
        <v>0</v>
      </c>
      <c r="P4253" s="561">
        <v>112222.29999999999</v>
      </c>
      <c r="Q4253" s="561">
        <v>112222.29999999999</v>
      </c>
    </row>
    <row r="4254" spans="1:56">
      <c r="A4254" s="561">
        <v>78</v>
      </c>
      <c r="B4254" s="561" t="s">
        <v>1646</v>
      </c>
      <c r="C4254" s="561" t="s">
        <v>1196</v>
      </c>
      <c r="D4254" s="561">
        <v>45560</v>
      </c>
      <c r="E4254" s="561">
        <v>16375.8</v>
      </c>
      <c r="F4254" s="561">
        <v>29184.2</v>
      </c>
      <c r="G4254" s="561">
        <v>270</v>
      </c>
      <c r="H4254" s="561">
        <v>46076.927310000006</v>
      </c>
      <c r="I4254" s="561">
        <v>40</v>
      </c>
      <c r="J4254" s="561">
        <v>1405.63231</v>
      </c>
      <c r="K4254" s="561">
        <v>270</v>
      </c>
      <c r="L4254" s="561">
        <v>45714.278999999995</v>
      </c>
      <c r="M4254" s="561">
        <v>45560.000000000007</v>
      </c>
      <c r="N4254" s="561">
        <v>16375.8</v>
      </c>
      <c r="O4254" s="561">
        <v>0</v>
      </c>
      <c r="P4254" s="561">
        <v>29184.2</v>
      </c>
      <c r="Q4254" s="561">
        <v>29184.2</v>
      </c>
    </row>
    <row r="4255" spans="1:56">
      <c r="C4255" s="561" t="s">
        <v>1197</v>
      </c>
      <c r="D4255" s="561">
        <v>16767</v>
      </c>
      <c r="E4255" s="561">
        <v>8338.5</v>
      </c>
      <c r="F4255" s="561">
        <v>8428.5</v>
      </c>
      <c r="G4255" s="561">
        <v>183</v>
      </c>
      <c r="H4255" s="561">
        <v>17106.035800000005</v>
      </c>
      <c r="I4255" s="561">
        <v>27</v>
      </c>
      <c r="J4255" s="561">
        <v>633.89399999999989</v>
      </c>
      <c r="K4255" s="561">
        <v>183</v>
      </c>
      <c r="L4255" s="561">
        <v>16515.126</v>
      </c>
      <c r="M4255" s="561">
        <v>16360.846999999998</v>
      </c>
      <c r="N4255" s="561">
        <v>8338.5</v>
      </c>
      <c r="O4255" s="561">
        <v>0</v>
      </c>
      <c r="Q4255" s="561">
        <v>8022.3469999999998</v>
      </c>
      <c r="BD4255" s="561">
        <v>8022.3469999999998</v>
      </c>
    </row>
    <row r="4256" spans="1:56">
      <c r="C4256" s="561" t="s">
        <v>1198</v>
      </c>
      <c r="D4256" s="561">
        <v>28793</v>
      </c>
      <c r="E4256" s="561">
        <v>8037.3</v>
      </c>
      <c r="F4256" s="561">
        <v>20755.7</v>
      </c>
      <c r="G4256" s="561">
        <v>87</v>
      </c>
      <c r="H4256" s="561">
        <v>28970.891510000001</v>
      </c>
      <c r="I4256" s="561">
        <v>13</v>
      </c>
      <c r="J4256" s="561">
        <v>771.73800000000006</v>
      </c>
      <c r="K4256" s="561">
        <v>87</v>
      </c>
      <c r="L4256" s="561">
        <v>29199.152999999998</v>
      </c>
      <c r="M4256" s="561">
        <v>29199.153000000002</v>
      </c>
      <c r="N4256" s="561">
        <v>8037.3000000000011</v>
      </c>
      <c r="O4256" s="561">
        <v>0</v>
      </c>
      <c r="P4256" s="561">
        <v>21161.852999999999</v>
      </c>
      <c r="Q4256" s="561">
        <v>21161.852999999999</v>
      </c>
    </row>
    <row r="4257" spans="1:111">
      <c r="C4257" s="561" t="s">
        <v>1199</v>
      </c>
      <c r="D4257" s="561">
        <v>0</v>
      </c>
      <c r="E4257" s="561">
        <v>0</v>
      </c>
      <c r="F4257" s="561">
        <v>0</v>
      </c>
      <c r="G4257" s="561">
        <v>0</v>
      </c>
      <c r="H4257" s="561">
        <v>0</v>
      </c>
      <c r="I4257" s="561">
        <v>0</v>
      </c>
      <c r="J4257" s="561">
        <v>3.0999999998471139E-4</v>
      </c>
      <c r="K4257" s="561">
        <v>0</v>
      </c>
      <c r="L4257" s="561">
        <v>0</v>
      </c>
      <c r="M4257" s="561">
        <v>0</v>
      </c>
      <c r="N4257" s="561">
        <v>0</v>
      </c>
      <c r="O4257" s="561">
        <v>0</v>
      </c>
      <c r="P4257" s="561">
        <v>0</v>
      </c>
      <c r="Q4257" s="561">
        <v>0</v>
      </c>
    </row>
    <row r="4258" spans="1:111">
      <c r="A4258" s="561">
        <v>79</v>
      </c>
      <c r="B4258" s="561" t="s">
        <v>1647</v>
      </c>
      <c r="C4258" s="561" t="s">
        <v>1196</v>
      </c>
      <c r="D4258" s="561">
        <v>3319</v>
      </c>
      <c r="E4258" s="561">
        <v>0</v>
      </c>
      <c r="F4258" s="561">
        <v>3319</v>
      </c>
      <c r="G4258" s="561">
        <v>100</v>
      </c>
      <c r="H4258" s="561">
        <v>3619.07809</v>
      </c>
      <c r="I4258" s="561">
        <v>7</v>
      </c>
      <c r="J4258" s="561">
        <v>152.11699999999999</v>
      </c>
      <c r="K4258" s="561">
        <v>101</v>
      </c>
      <c r="L4258" s="561">
        <v>3324.473</v>
      </c>
      <c r="M4258" s="561">
        <v>3319</v>
      </c>
      <c r="N4258" s="561">
        <v>0</v>
      </c>
      <c r="O4258" s="561">
        <v>0</v>
      </c>
      <c r="P4258" s="561">
        <v>3319</v>
      </c>
      <c r="Q4258" s="561">
        <v>3319</v>
      </c>
    </row>
    <row r="4259" spans="1:111">
      <c r="C4259" s="561" t="s">
        <v>1197</v>
      </c>
      <c r="D4259" s="561">
        <v>2318</v>
      </c>
      <c r="E4259" s="561">
        <v>0</v>
      </c>
      <c r="F4259" s="561">
        <v>2318</v>
      </c>
      <c r="G4259" s="561">
        <v>35</v>
      </c>
      <c r="H4259" s="561">
        <v>2645.2357799999995</v>
      </c>
      <c r="I4259" s="561">
        <v>4</v>
      </c>
      <c r="J4259" s="561">
        <v>125.181</v>
      </c>
      <c r="K4259" s="561">
        <v>34</v>
      </c>
      <c r="L4259" s="561">
        <v>2315.723</v>
      </c>
      <c r="M4259" s="561">
        <v>2315.723</v>
      </c>
      <c r="N4259" s="561">
        <v>0</v>
      </c>
      <c r="O4259" s="561">
        <v>0</v>
      </c>
      <c r="P4259" s="561">
        <v>2315.723</v>
      </c>
      <c r="Q4259" s="561">
        <v>2315.723</v>
      </c>
    </row>
    <row r="4260" spans="1:111">
      <c r="C4260" s="561" t="s">
        <v>1198</v>
      </c>
      <c r="D4260" s="561">
        <v>0</v>
      </c>
      <c r="E4260" s="561">
        <v>0</v>
      </c>
      <c r="F4260" s="561">
        <v>0</v>
      </c>
      <c r="G4260" s="561">
        <v>0</v>
      </c>
      <c r="H4260" s="561">
        <v>0</v>
      </c>
      <c r="I4260" s="561">
        <v>0</v>
      </c>
      <c r="J4260" s="561">
        <v>0</v>
      </c>
      <c r="K4260" s="561">
        <v>0</v>
      </c>
      <c r="L4260" s="561">
        <v>0</v>
      </c>
      <c r="M4260" s="561">
        <v>0</v>
      </c>
      <c r="N4260" s="561">
        <v>0</v>
      </c>
      <c r="O4260" s="561">
        <v>0</v>
      </c>
      <c r="P4260" s="561">
        <v>0</v>
      </c>
      <c r="Q4260" s="561">
        <v>0</v>
      </c>
    </row>
    <row r="4261" spans="1:111">
      <c r="C4261" s="561" t="s">
        <v>1199</v>
      </c>
      <c r="D4261" s="561">
        <v>1001</v>
      </c>
      <c r="E4261" s="561">
        <v>0</v>
      </c>
      <c r="F4261" s="561">
        <v>1001</v>
      </c>
      <c r="G4261" s="561">
        <v>65</v>
      </c>
      <c r="H4261" s="561">
        <v>973.84230999999988</v>
      </c>
      <c r="I4261" s="561">
        <v>3</v>
      </c>
      <c r="J4261" s="561">
        <v>26.936</v>
      </c>
      <c r="K4261" s="561">
        <v>67</v>
      </c>
      <c r="L4261" s="561">
        <v>1008.75</v>
      </c>
      <c r="M4261" s="561">
        <v>1003.2769999999999</v>
      </c>
      <c r="N4261" s="561">
        <v>0</v>
      </c>
      <c r="O4261" s="561">
        <v>0</v>
      </c>
      <c r="P4261" s="561">
        <v>1003.2769999999999</v>
      </c>
      <c r="Q4261" s="561">
        <v>1003.2769999999999</v>
      </c>
    </row>
    <row r="4262" spans="1:111">
      <c r="A4262" s="561">
        <v>80</v>
      </c>
      <c r="B4262" s="561" t="s">
        <v>1648</v>
      </c>
      <c r="C4262" s="561" t="s">
        <v>1196</v>
      </c>
      <c r="D4262" s="561">
        <v>33186</v>
      </c>
      <c r="E4262" s="561">
        <v>0</v>
      </c>
      <c r="F4262" s="561">
        <v>33186</v>
      </c>
      <c r="G4262" s="561">
        <v>165</v>
      </c>
      <c r="H4262" s="561">
        <v>41690.665849999998</v>
      </c>
      <c r="I4262" s="561">
        <v>5</v>
      </c>
      <c r="J4262" s="561">
        <v>399.88800000000003</v>
      </c>
      <c r="K4262" s="561">
        <v>164</v>
      </c>
      <c r="L4262" s="561">
        <v>41290.774999999994</v>
      </c>
      <c r="M4262" s="561">
        <v>33186</v>
      </c>
      <c r="N4262" s="561">
        <v>0</v>
      </c>
      <c r="O4262" s="561">
        <v>0</v>
      </c>
      <c r="P4262" s="561">
        <v>33186</v>
      </c>
      <c r="Q4262" s="561">
        <v>33186</v>
      </c>
    </row>
    <row r="4263" spans="1:111">
      <c r="C4263" s="561" t="s">
        <v>1197</v>
      </c>
      <c r="D4263" s="561">
        <v>0</v>
      </c>
      <c r="E4263" s="561">
        <v>0</v>
      </c>
      <c r="F4263" s="561">
        <v>0</v>
      </c>
      <c r="G4263" s="561">
        <v>0</v>
      </c>
      <c r="H4263" s="561">
        <v>0</v>
      </c>
      <c r="I4263" s="561">
        <v>0</v>
      </c>
      <c r="J4263" s="561">
        <v>0</v>
      </c>
      <c r="K4263" s="561">
        <v>0</v>
      </c>
      <c r="L4263" s="561">
        <v>0</v>
      </c>
      <c r="M4263" s="561">
        <v>0</v>
      </c>
      <c r="N4263" s="561">
        <v>0</v>
      </c>
      <c r="O4263" s="561">
        <v>0</v>
      </c>
      <c r="P4263" s="561">
        <v>0</v>
      </c>
      <c r="Q4263" s="561">
        <v>0</v>
      </c>
    </row>
    <row r="4264" spans="1:111">
      <c r="C4264" s="561" t="s">
        <v>1198</v>
      </c>
      <c r="D4264" s="561">
        <v>0</v>
      </c>
      <c r="E4264" s="561">
        <v>0</v>
      </c>
      <c r="F4264" s="561">
        <v>0</v>
      </c>
      <c r="G4264" s="561">
        <v>0</v>
      </c>
      <c r="H4264" s="561">
        <v>0</v>
      </c>
      <c r="I4264" s="561">
        <v>0</v>
      </c>
      <c r="J4264" s="561">
        <v>0</v>
      </c>
      <c r="K4264" s="561">
        <v>0</v>
      </c>
      <c r="L4264" s="561">
        <v>0</v>
      </c>
      <c r="M4264" s="561">
        <v>0</v>
      </c>
      <c r="N4264" s="561">
        <v>0</v>
      </c>
      <c r="O4264" s="561">
        <v>0</v>
      </c>
      <c r="P4264" s="561">
        <v>0</v>
      </c>
      <c r="Q4264" s="561">
        <v>0</v>
      </c>
    </row>
    <row r="4265" spans="1:111">
      <c r="C4265" s="561" t="s">
        <v>1199</v>
      </c>
      <c r="D4265" s="561">
        <v>33186</v>
      </c>
      <c r="E4265" s="561">
        <v>0</v>
      </c>
      <c r="F4265" s="561">
        <v>33186</v>
      </c>
      <c r="G4265" s="561">
        <v>165</v>
      </c>
      <c r="H4265" s="561">
        <v>41690.665849999998</v>
      </c>
      <c r="I4265" s="561">
        <v>5</v>
      </c>
      <c r="J4265" s="561">
        <v>399.88800000000003</v>
      </c>
      <c r="K4265" s="561">
        <v>164</v>
      </c>
      <c r="L4265" s="561">
        <v>41290.774999999994</v>
      </c>
      <c r="M4265" s="561">
        <v>33186</v>
      </c>
      <c r="N4265" s="561">
        <v>0</v>
      </c>
      <c r="O4265" s="561">
        <v>0</v>
      </c>
      <c r="P4265" s="561">
        <v>33186</v>
      </c>
      <c r="Q4265" s="561">
        <v>33186</v>
      </c>
    </row>
    <row r="4266" spans="1:111">
      <c r="A4266" s="561">
        <v>81</v>
      </c>
      <c r="B4266" s="561" t="s">
        <v>1649</v>
      </c>
      <c r="C4266" s="561" t="s">
        <v>1196</v>
      </c>
      <c r="D4266" s="561">
        <v>17179</v>
      </c>
      <c r="F4266" s="561">
        <v>17179</v>
      </c>
      <c r="G4266" s="561">
        <v>74</v>
      </c>
      <c r="H4266" s="561">
        <v>19286.205000000002</v>
      </c>
      <c r="I4266" s="561">
        <v>0</v>
      </c>
      <c r="J4266" s="561">
        <v>5.7290000000000001</v>
      </c>
      <c r="K4266" s="561">
        <v>74</v>
      </c>
      <c r="L4266" s="561">
        <v>19286.205000000002</v>
      </c>
      <c r="M4266" s="561">
        <v>17179</v>
      </c>
      <c r="N4266" s="561">
        <v>0</v>
      </c>
      <c r="O4266" s="561">
        <v>0</v>
      </c>
      <c r="P4266" s="561">
        <v>17179</v>
      </c>
      <c r="Q4266" s="561">
        <v>17179</v>
      </c>
    </row>
    <row r="4267" spans="1:111">
      <c r="C4267" s="561" t="s">
        <v>1197</v>
      </c>
      <c r="D4267" s="561">
        <v>0</v>
      </c>
      <c r="F4267" s="561">
        <v>0</v>
      </c>
      <c r="G4267" s="561">
        <v>0</v>
      </c>
      <c r="H4267" s="561">
        <v>0</v>
      </c>
      <c r="I4267" s="561">
        <v>0</v>
      </c>
      <c r="J4267" s="561">
        <v>0</v>
      </c>
      <c r="K4267" s="561">
        <v>0</v>
      </c>
      <c r="L4267" s="561">
        <v>0</v>
      </c>
      <c r="M4267" s="561">
        <v>0</v>
      </c>
      <c r="N4267" s="561">
        <v>0</v>
      </c>
      <c r="O4267" s="561">
        <v>0</v>
      </c>
      <c r="P4267" s="561">
        <v>0</v>
      </c>
      <c r="Q4267" s="561">
        <v>0</v>
      </c>
    </row>
    <row r="4268" spans="1:111">
      <c r="C4268" s="561" t="s">
        <v>1198</v>
      </c>
      <c r="D4268" s="561">
        <v>0</v>
      </c>
      <c r="F4268" s="561">
        <v>0</v>
      </c>
      <c r="G4268" s="561">
        <v>0</v>
      </c>
      <c r="H4268" s="561">
        <v>0</v>
      </c>
      <c r="I4268" s="561">
        <v>0</v>
      </c>
      <c r="J4268" s="561">
        <v>0</v>
      </c>
      <c r="K4268" s="561">
        <v>0</v>
      </c>
      <c r="L4268" s="561">
        <v>0</v>
      </c>
      <c r="M4268" s="561">
        <v>0</v>
      </c>
      <c r="N4268" s="561">
        <v>0</v>
      </c>
      <c r="O4268" s="561">
        <v>0</v>
      </c>
      <c r="P4268" s="561">
        <v>0</v>
      </c>
      <c r="Q4268" s="561">
        <v>0</v>
      </c>
    </row>
    <row r="4269" spans="1:111">
      <c r="C4269" s="561" t="s">
        <v>1199</v>
      </c>
      <c r="D4269" s="561">
        <v>17179</v>
      </c>
      <c r="F4269" s="561">
        <v>17179</v>
      </c>
      <c r="G4269" s="561">
        <v>74</v>
      </c>
      <c r="H4269" s="561">
        <v>19286.205000000002</v>
      </c>
      <c r="I4269" s="561">
        <v>0</v>
      </c>
      <c r="J4269" s="561">
        <v>5.7290000000000001</v>
      </c>
      <c r="K4269" s="561">
        <v>74</v>
      </c>
      <c r="L4269" s="561">
        <v>19286.205000000002</v>
      </c>
      <c r="M4269" s="561">
        <v>17179</v>
      </c>
      <c r="N4269" s="561">
        <v>0</v>
      </c>
      <c r="O4269" s="561">
        <v>0</v>
      </c>
      <c r="P4269" s="561">
        <v>17179</v>
      </c>
      <c r="Q4269" s="561">
        <v>17179</v>
      </c>
    </row>
    <row r="4270" spans="1:111">
      <c r="A4270" s="1735" t="s">
        <v>1198</v>
      </c>
      <c r="B4270" s="1735"/>
      <c r="C4270" s="1735"/>
      <c r="D4270" s="1735"/>
      <c r="E4270" s="1735"/>
      <c r="F4270" s="1735"/>
      <c r="G4270" s="1735"/>
      <c r="H4270" s="1735"/>
      <c r="I4270" s="1735"/>
      <c r="J4270" s="1735"/>
      <c r="K4270" s="1735"/>
      <c r="L4270" s="1735"/>
      <c r="M4270" s="1735"/>
      <c r="N4270" s="1735"/>
      <c r="O4270" s="1735"/>
      <c r="P4270" s="1735"/>
      <c r="AL4270" s="561">
        <f>SUM(AL4271:AL4601)</f>
        <v>222967.06399999998</v>
      </c>
      <c r="AM4270" s="561">
        <f t="shared" ref="AM4270:CX4270" si="116">SUM(AM4271:AM4601)</f>
        <v>0</v>
      </c>
      <c r="AN4270" s="561">
        <f t="shared" si="116"/>
        <v>0</v>
      </c>
      <c r="AO4270" s="561">
        <f t="shared" si="116"/>
        <v>0</v>
      </c>
      <c r="AP4270" s="561">
        <f t="shared" si="116"/>
        <v>0</v>
      </c>
      <c r="AQ4270" s="561">
        <f t="shared" si="116"/>
        <v>0</v>
      </c>
      <c r="AR4270" s="561">
        <f t="shared" si="116"/>
        <v>716189.348</v>
      </c>
      <c r="AS4270" s="561">
        <f t="shared" si="116"/>
        <v>0</v>
      </c>
      <c r="AT4270" s="561">
        <f t="shared" si="116"/>
        <v>0</v>
      </c>
      <c r="AU4270" s="561">
        <f t="shared" si="116"/>
        <v>0</v>
      </c>
      <c r="AV4270" s="561">
        <f t="shared" si="116"/>
        <v>0</v>
      </c>
      <c r="AW4270" s="561">
        <f t="shared" si="116"/>
        <v>0</v>
      </c>
      <c r="AX4270" s="561">
        <f t="shared" si="116"/>
        <v>1553237.054</v>
      </c>
      <c r="AY4270" s="561">
        <f t="shared" si="116"/>
        <v>0</v>
      </c>
      <c r="AZ4270" s="561">
        <f t="shared" si="116"/>
        <v>0</v>
      </c>
      <c r="BA4270" s="561">
        <f t="shared" si="116"/>
        <v>0</v>
      </c>
      <c r="BB4270" s="561">
        <f t="shared" si="116"/>
        <v>0</v>
      </c>
      <c r="BC4270" s="561">
        <f t="shared" si="116"/>
        <v>0</v>
      </c>
      <c r="BD4270" s="561">
        <f t="shared" si="116"/>
        <v>21161.852999999999</v>
      </c>
      <c r="BE4270" s="561">
        <f t="shared" si="116"/>
        <v>0</v>
      </c>
      <c r="BF4270" s="561">
        <f t="shared" si="116"/>
        <v>0</v>
      </c>
      <c r="BG4270" s="561">
        <f t="shared" si="116"/>
        <v>0</v>
      </c>
      <c r="BH4270" s="561">
        <f t="shared" si="116"/>
        <v>0</v>
      </c>
      <c r="BI4270" s="561">
        <f t="shared" si="116"/>
        <v>0</v>
      </c>
      <c r="BJ4270" s="561">
        <f t="shared" si="116"/>
        <v>0</v>
      </c>
      <c r="BK4270" s="561">
        <f t="shared" si="116"/>
        <v>0</v>
      </c>
      <c r="BL4270" s="561">
        <f t="shared" si="116"/>
        <v>0</v>
      </c>
      <c r="BM4270" s="561">
        <f t="shared" si="116"/>
        <v>0</v>
      </c>
      <c r="BN4270" s="561">
        <f t="shared" si="116"/>
        <v>0</v>
      </c>
      <c r="BO4270" s="561">
        <f t="shared" si="116"/>
        <v>0</v>
      </c>
      <c r="BP4270" s="561">
        <f t="shared" si="116"/>
        <v>0</v>
      </c>
      <c r="BQ4270" s="561">
        <f t="shared" si="116"/>
        <v>0</v>
      </c>
      <c r="BR4270" s="561">
        <f t="shared" si="116"/>
        <v>0</v>
      </c>
      <c r="BS4270" s="561">
        <f t="shared" si="116"/>
        <v>0</v>
      </c>
      <c r="BT4270" s="561">
        <f t="shared" si="116"/>
        <v>0</v>
      </c>
      <c r="BU4270" s="561">
        <f t="shared" si="116"/>
        <v>0</v>
      </c>
      <c r="BV4270" s="561">
        <f t="shared" si="116"/>
        <v>0</v>
      </c>
      <c r="BW4270" s="561">
        <f t="shared" si="116"/>
        <v>0</v>
      </c>
      <c r="BX4270" s="561">
        <f t="shared" si="116"/>
        <v>0</v>
      </c>
      <c r="BY4270" s="561">
        <f t="shared" si="116"/>
        <v>0</v>
      </c>
      <c r="BZ4270" s="561">
        <f t="shared" si="116"/>
        <v>0</v>
      </c>
      <c r="CA4270" s="561">
        <f t="shared" si="116"/>
        <v>0</v>
      </c>
      <c r="CB4270" s="561">
        <f t="shared" si="116"/>
        <v>0</v>
      </c>
      <c r="CC4270" s="561">
        <f t="shared" si="116"/>
        <v>0</v>
      </c>
      <c r="CD4270" s="561">
        <f t="shared" si="116"/>
        <v>0</v>
      </c>
      <c r="CE4270" s="561">
        <f t="shared" si="116"/>
        <v>0</v>
      </c>
      <c r="CF4270" s="561">
        <f t="shared" si="116"/>
        <v>0</v>
      </c>
      <c r="CG4270" s="561">
        <f t="shared" si="116"/>
        <v>0</v>
      </c>
      <c r="CH4270" s="561">
        <f t="shared" si="116"/>
        <v>0</v>
      </c>
      <c r="CI4270" s="561">
        <f t="shared" si="116"/>
        <v>0</v>
      </c>
      <c r="CJ4270" s="561">
        <f t="shared" si="116"/>
        <v>0</v>
      </c>
      <c r="CK4270" s="561">
        <f t="shared" si="116"/>
        <v>0</v>
      </c>
      <c r="CL4270" s="561">
        <f t="shared" si="116"/>
        <v>0</v>
      </c>
      <c r="CM4270" s="561">
        <f t="shared" si="116"/>
        <v>0</v>
      </c>
      <c r="CN4270" s="561">
        <f t="shared" si="116"/>
        <v>0</v>
      </c>
      <c r="CO4270" s="561">
        <f t="shared" si="116"/>
        <v>0</v>
      </c>
      <c r="CP4270" s="561">
        <f t="shared" si="116"/>
        <v>0</v>
      </c>
      <c r="CQ4270" s="561">
        <f t="shared" si="116"/>
        <v>0</v>
      </c>
      <c r="CR4270" s="561">
        <f t="shared" si="116"/>
        <v>0</v>
      </c>
      <c r="CS4270" s="561">
        <f t="shared" si="116"/>
        <v>0</v>
      </c>
      <c r="CT4270" s="561">
        <f t="shared" si="116"/>
        <v>0</v>
      </c>
      <c r="CU4270" s="561">
        <f t="shared" si="116"/>
        <v>0</v>
      </c>
      <c r="CV4270" s="561">
        <f t="shared" si="116"/>
        <v>0</v>
      </c>
      <c r="CW4270" s="561">
        <f t="shared" si="116"/>
        <v>0</v>
      </c>
      <c r="CX4270" s="561">
        <f t="shared" si="116"/>
        <v>0</v>
      </c>
      <c r="CY4270" s="561">
        <f t="shared" ref="CY4270:DG4270" si="117">SUM(CY4271:CY4601)</f>
        <v>0</v>
      </c>
      <c r="CZ4270" s="561">
        <f t="shared" si="117"/>
        <v>0</v>
      </c>
      <c r="DA4270" s="561">
        <f t="shared" si="117"/>
        <v>0</v>
      </c>
      <c r="DB4270" s="561">
        <f t="shared" si="117"/>
        <v>0</v>
      </c>
      <c r="DC4270" s="561">
        <f t="shared" si="117"/>
        <v>0</v>
      </c>
      <c r="DD4270" s="561">
        <f t="shared" si="117"/>
        <v>0</v>
      </c>
      <c r="DE4270" s="561">
        <f t="shared" si="117"/>
        <v>0</v>
      </c>
      <c r="DF4270" s="561">
        <f t="shared" si="117"/>
        <v>0</v>
      </c>
      <c r="DG4270" s="561">
        <f t="shared" si="117"/>
        <v>0</v>
      </c>
    </row>
    <row r="4271" spans="1:111">
      <c r="A4271" s="561">
        <v>1</v>
      </c>
      <c r="B4271" s="561" t="s">
        <v>1569</v>
      </c>
      <c r="C4271" s="561" t="s">
        <v>1196</v>
      </c>
      <c r="D4271" s="561">
        <v>1589717.074</v>
      </c>
      <c r="E4271" s="561">
        <v>404944.5</v>
      </c>
      <c r="F4271" s="561">
        <v>1184772.574</v>
      </c>
      <c r="G4271" s="561">
        <v>19826</v>
      </c>
      <c r="H4271" s="561">
        <v>1860229.6590500004</v>
      </c>
      <c r="I4271" s="561">
        <v>2390</v>
      </c>
      <c r="J4271" s="561">
        <v>110222.85062</v>
      </c>
      <c r="K4271" s="561">
        <v>19247</v>
      </c>
      <c r="L4271" s="561">
        <v>1775731.7860000001</v>
      </c>
      <c r="M4271" s="561">
        <v>1589717.0740000003</v>
      </c>
      <c r="N4271" s="561">
        <v>404944.50000000006</v>
      </c>
      <c r="O4271" s="561">
        <v>0</v>
      </c>
      <c r="P4271" s="561">
        <v>1184772.574</v>
      </c>
      <c r="Q4271" s="561">
        <v>1184772.574</v>
      </c>
    </row>
    <row r="4272" spans="1:111">
      <c r="C4272" s="561" t="s">
        <v>1197</v>
      </c>
      <c r="D4272" s="561">
        <v>1181374</v>
      </c>
      <c r="E4272" s="561">
        <v>310072.5</v>
      </c>
      <c r="F4272" s="561">
        <v>871301.5</v>
      </c>
      <c r="G4272" s="561">
        <v>17347</v>
      </c>
      <c r="H4272" s="561">
        <v>1446322.74679</v>
      </c>
      <c r="I4272" s="561">
        <v>2153</v>
      </c>
      <c r="J4272" s="561">
        <v>100603.67817</v>
      </c>
      <c r="K4272" s="561">
        <v>16778</v>
      </c>
      <c r="L4272" s="561">
        <v>1369424.5959999999</v>
      </c>
      <c r="M4272" s="561">
        <v>1187136.4569999999</v>
      </c>
      <c r="N4272" s="561">
        <v>311163.20899999997</v>
      </c>
      <c r="O4272" s="561">
        <v>0</v>
      </c>
      <c r="Q4272" s="561">
        <v>875973.24800000002</v>
      </c>
    </row>
    <row r="4273" spans="1:38">
      <c r="C4273" s="561" t="s">
        <v>1198</v>
      </c>
      <c r="D4273" s="561">
        <v>92881</v>
      </c>
      <c r="E4273" s="561">
        <v>14964.3</v>
      </c>
      <c r="F4273" s="561">
        <v>77916.7</v>
      </c>
      <c r="G4273" s="561">
        <v>295</v>
      </c>
      <c r="H4273" s="561">
        <v>98861.61626000001</v>
      </c>
      <c r="I4273" s="561">
        <v>51</v>
      </c>
      <c r="J4273" s="561">
        <v>8586.4409999999989</v>
      </c>
      <c r="K4273" s="561">
        <v>294</v>
      </c>
      <c r="L4273" s="561">
        <v>91118.186000000016</v>
      </c>
      <c r="M4273" s="561">
        <v>90595.578999999998</v>
      </c>
      <c r="N4273" s="561">
        <v>14964.300000000003</v>
      </c>
      <c r="O4273" s="561">
        <v>0</v>
      </c>
      <c r="Q4273" s="561">
        <v>75631.278999999995</v>
      </c>
      <c r="AL4273" s="561">
        <v>75631.278999999995</v>
      </c>
    </row>
    <row r="4274" spans="1:38">
      <c r="C4274" s="561" t="s">
        <v>1199</v>
      </c>
      <c r="D4274" s="561">
        <v>300440.24</v>
      </c>
      <c r="E4274" s="561">
        <v>79907.7</v>
      </c>
      <c r="F4274" s="561">
        <v>220532.53999999998</v>
      </c>
      <c r="G4274" s="561">
        <v>2184</v>
      </c>
      <c r="H4274" s="561">
        <v>298511.01500000001</v>
      </c>
      <c r="I4274" s="561">
        <v>186</v>
      </c>
      <c r="J4274" s="561">
        <v>693.1284500000005</v>
      </c>
      <c r="K4274" s="561">
        <v>2175</v>
      </c>
      <c r="L4274" s="561">
        <v>298994.326</v>
      </c>
      <c r="M4274" s="561">
        <v>297903.54800000001</v>
      </c>
      <c r="N4274" s="561">
        <v>78816.990999999965</v>
      </c>
      <c r="O4274" s="561">
        <v>0</v>
      </c>
      <c r="P4274" s="561">
        <v>219086.557</v>
      </c>
      <c r="Q4274" s="561">
        <v>219086.557</v>
      </c>
    </row>
    <row r="4275" spans="1:38">
      <c r="C4275" s="561" t="s">
        <v>1202</v>
      </c>
      <c r="D4275" s="561">
        <v>15021.834000000001</v>
      </c>
      <c r="F4275" s="561">
        <v>15021.834000000001</v>
      </c>
      <c r="G4275" s="561">
        <v>0</v>
      </c>
      <c r="H4275" s="561">
        <v>16534.280999999999</v>
      </c>
      <c r="I4275" s="561">
        <v>0</v>
      </c>
      <c r="J4275" s="561">
        <v>339.60300000000001</v>
      </c>
      <c r="K4275" s="561">
        <v>0</v>
      </c>
      <c r="L4275" s="561">
        <v>16194.677999999998</v>
      </c>
      <c r="M4275" s="561">
        <v>14081.489999999998</v>
      </c>
      <c r="N4275" s="561">
        <v>0</v>
      </c>
      <c r="O4275" s="561">
        <v>0</v>
      </c>
      <c r="P4275" s="561">
        <v>14081.489999999998</v>
      </c>
      <c r="Q4275" s="561">
        <v>14081.489999999998</v>
      </c>
    </row>
    <row r="4276" spans="1:38">
      <c r="A4276" s="561">
        <v>2</v>
      </c>
      <c r="B4276" s="561" t="s">
        <v>1570</v>
      </c>
      <c r="C4276" s="561" t="s">
        <v>1196</v>
      </c>
      <c r="D4276" s="561">
        <v>980526</v>
      </c>
      <c r="E4276" s="561">
        <v>280657.8</v>
      </c>
      <c r="F4276" s="561">
        <v>699868.2</v>
      </c>
      <c r="G4276" s="561">
        <v>14191</v>
      </c>
      <c r="H4276" s="561">
        <v>1055925.6250000002</v>
      </c>
      <c r="I4276" s="561">
        <v>1641</v>
      </c>
      <c r="J4276" s="561">
        <v>89662.722000000009</v>
      </c>
      <c r="K4276" s="561">
        <v>14079</v>
      </c>
      <c r="L4276" s="561">
        <v>992240.7200000002</v>
      </c>
      <c r="M4276" s="561">
        <v>980526</v>
      </c>
      <c r="N4276" s="561">
        <v>280657.79999999993</v>
      </c>
      <c r="O4276" s="561">
        <v>0</v>
      </c>
      <c r="P4276" s="561">
        <v>699868.2</v>
      </c>
      <c r="Q4276" s="561">
        <v>699868.2</v>
      </c>
    </row>
    <row r="4277" spans="1:38">
      <c r="C4277" s="561" t="s">
        <v>1197</v>
      </c>
      <c r="D4277" s="561">
        <v>842527</v>
      </c>
      <c r="E4277" s="561">
        <v>251258.1</v>
      </c>
      <c r="F4277" s="561">
        <v>591268.9</v>
      </c>
      <c r="G4277" s="561">
        <v>12714</v>
      </c>
      <c r="H4277" s="561">
        <v>911459.08500000008</v>
      </c>
      <c r="I4277" s="561">
        <v>1530</v>
      </c>
      <c r="J4277" s="561">
        <v>74285.100999999995</v>
      </c>
      <c r="K4277" s="561">
        <v>12605</v>
      </c>
      <c r="L4277" s="561">
        <v>859263.27500000014</v>
      </c>
      <c r="M4277" s="561">
        <v>847548.55400000012</v>
      </c>
      <c r="N4277" s="561">
        <v>251258.10100000005</v>
      </c>
      <c r="O4277" s="561">
        <v>0</v>
      </c>
      <c r="Q4277" s="561">
        <v>596290.45299999998</v>
      </c>
    </row>
    <row r="4278" spans="1:38">
      <c r="C4278" s="561" t="s">
        <v>1198</v>
      </c>
      <c r="D4278" s="561">
        <v>122928</v>
      </c>
      <c r="E4278" s="561">
        <v>24878.400000000001</v>
      </c>
      <c r="F4278" s="561">
        <v>98049.600000000006</v>
      </c>
      <c r="G4278" s="561">
        <v>243</v>
      </c>
      <c r="H4278" s="561">
        <v>128934.857</v>
      </c>
      <c r="I4278" s="561">
        <v>40</v>
      </c>
      <c r="J4278" s="561">
        <v>14864.252</v>
      </c>
      <c r="K4278" s="561">
        <v>241</v>
      </c>
      <c r="L4278" s="561">
        <v>117955.48599999999</v>
      </c>
      <c r="M4278" s="561">
        <v>117955.48599999999</v>
      </c>
      <c r="N4278" s="561">
        <v>24878.399999999998</v>
      </c>
      <c r="O4278" s="561">
        <v>0</v>
      </c>
      <c r="Q4278" s="561">
        <v>93077.085999999996</v>
      </c>
      <c r="AL4278" s="561">
        <v>93077.085999999996</v>
      </c>
    </row>
    <row r="4279" spans="1:38">
      <c r="C4279" s="561" t="s">
        <v>1199</v>
      </c>
      <c r="D4279" s="561">
        <v>15071</v>
      </c>
      <c r="E4279" s="561">
        <v>4521.2999999999811</v>
      </c>
      <c r="F4279" s="561">
        <v>10549.700000000019</v>
      </c>
      <c r="G4279" s="561">
        <v>1234</v>
      </c>
      <c r="H4279" s="561">
        <v>15531.683000000012</v>
      </c>
      <c r="I4279" s="561">
        <v>71</v>
      </c>
      <c r="J4279" s="561">
        <v>513.36900000000048</v>
      </c>
      <c r="K4279" s="561">
        <v>1233</v>
      </c>
      <c r="L4279" s="561">
        <v>15021.958999999999</v>
      </c>
      <c r="M4279" s="561">
        <v>15021.96</v>
      </c>
      <c r="N4279" s="561">
        <v>4521.2989999999991</v>
      </c>
      <c r="O4279" s="561">
        <v>0</v>
      </c>
      <c r="P4279" s="561">
        <v>10500.661</v>
      </c>
      <c r="Q4279" s="561">
        <v>10500.661</v>
      </c>
    </row>
    <row r="4280" spans="1:38">
      <c r="A4280" s="561">
        <v>3</v>
      </c>
      <c r="B4280" s="561" t="s">
        <v>1571</v>
      </c>
      <c r="C4280" s="561" t="s">
        <v>1196</v>
      </c>
      <c r="D4280" s="561">
        <v>627458</v>
      </c>
      <c r="E4280" s="561">
        <v>188627.4</v>
      </c>
      <c r="F4280" s="561">
        <v>438830.6</v>
      </c>
      <c r="G4280" s="561">
        <v>10374</v>
      </c>
      <c r="H4280" s="561">
        <v>663088.85123000003</v>
      </c>
      <c r="I4280" s="561">
        <v>989</v>
      </c>
      <c r="J4280" s="561">
        <v>35025.348670000007</v>
      </c>
      <c r="K4280" s="561">
        <v>10333</v>
      </c>
      <c r="L4280" s="561">
        <v>632701.59314999997</v>
      </c>
      <c r="M4280" s="561">
        <v>627458</v>
      </c>
      <c r="N4280" s="561">
        <v>188627.40000000002</v>
      </c>
      <c r="O4280" s="561">
        <v>0</v>
      </c>
      <c r="P4280" s="561">
        <v>438830.60000000003</v>
      </c>
      <c r="Q4280" s="561">
        <v>438830.60000000003</v>
      </c>
    </row>
    <row r="4281" spans="1:38">
      <c r="C4281" s="561" t="s">
        <v>1197</v>
      </c>
      <c r="D4281" s="561">
        <v>607615</v>
      </c>
      <c r="E4281" s="561">
        <v>185734.5</v>
      </c>
      <c r="F4281" s="561">
        <v>421880.5</v>
      </c>
      <c r="G4281" s="561">
        <v>9736</v>
      </c>
      <c r="H4281" s="561">
        <v>640607.36100000003</v>
      </c>
      <c r="I4281" s="561">
        <v>937</v>
      </c>
      <c r="J4281" s="561">
        <v>32290.072000000004</v>
      </c>
      <c r="K4281" s="561">
        <v>9701</v>
      </c>
      <c r="L4281" s="561">
        <v>612157.92000000004</v>
      </c>
      <c r="M4281" s="561">
        <v>606914.32699999993</v>
      </c>
      <c r="N4281" s="561">
        <v>185734.50000000003</v>
      </c>
      <c r="O4281" s="561">
        <v>0</v>
      </c>
      <c r="Q4281" s="561">
        <v>421179.82700000005</v>
      </c>
    </row>
    <row r="4282" spans="1:38">
      <c r="C4282" s="561" t="s">
        <v>1198</v>
      </c>
      <c r="D4282" s="561">
        <v>12466</v>
      </c>
      <c r="E4282" s="561">
        <v>1189.8</v>
      </c>
      <c r="F4282" s="561">
        <v>11276.2</v>
      </c>
      <c r="G4282" s="561">
        <v>36</v>
      </c>
      <c r="H4282" s="561">
        <v>14733.450750000002</v>
      </c>
      <c r="I4282" s="561">
        <v>7</v>
      </c>
      <c r="J4282" s="561">
        <v>2554.0370000000003</v>
      </c>
      <c r="K4282" s="561">
        <v>32</v>
      </c>
      <c r="L4282" s="561">
        <v>12976.379000000001</v>
      </c>
      <c r="M4282" s="561">
        <v>12976.379000000001</v>
      </c>
      <c r="N4282" s="561">
        <v>1189.8000000000004</v>
      </c>
      <c r="O4282" s="561">
        <v>0</v>
      </c>
      <c r="Q4282" s="561">
        <v>11786.579</v>
      </c>
      <c r="AL4282" s="561">
        <v>11786.579</v>
      </c>
    </row>
    <row r="4283" spans="1:38">
      <c r="C4283" s="561" t="s">
        <v>1199</v>
      </c>
      <c r="D4283" s="561">
        <v>7377</v>
      </c>
      <c r="E4283" s="561">
        <v>1703.0999999999942</v>
      </c>
      <c r="F4283" s="561">
        <v>5673.900000000006</v>
      </c>
      <c r="G4283" s="561">
        <v>602</v>
      </c>
      <c r="H4283" s="561">
        <v>7748.0394800000131</v>
      </c>
      <c r="I4283" s="561">
        <v>45</v>
      </c>
      <c r="J4283" s="561">
        <v>181.23967000000025</v>
      </c>
      <c r="K4283" s="561">
        <v>600</v>
      </c>
      <c r="L4283" s="561">
        <v>7567.2941499999997</v>
      </c>
      <c r="M4283" s="561">
        <v>7567.2939999999999</v>
      </c>
      <c r="N4283" s="561">
        <v>1703.0999999999997</v>
      </c>
      <c r="O4283" s="561">
        <v>0</v>
      </c>
      <c r="P4283" s="561">
        <v>5864.1939999999995</v>
      </c>
      <c r="Q4283" s="561">
        <v>5864.1939999999995</v>
      </c>
    </row>
    <row r="4284" spans="1:38">
      <c r="A4284" s="561">
        <v>4</v>
      </c>
      <c r="B4284" s="561" t="s">
        <v>1572</v>
      </c>
      <c r="C4284" s="561" t="s">
        <v>1196</v>
      </c>
      <c r="D4284" s="561">
        <v>100587</v>
      </c>
      <c r="E4284" s="561">
        <v>29576.1</v>
      </c>
      <c r="F4284" s="561">
        <v>71010.899999999994</v>
      </c>
      <c r="G4284" s="561">
        <v>2629</v>
      </c>
      <c r="H4284" s="561">
        <v>102437.74519999999</v>
      </c>
      <c r="I4284" s="561">
        <v>78</v>
      </c>
      <c r="J4284" s="561">
        <v>980.71146999999996</v>
      </c>
      <c r="K4284" s="561">
        <v>2629</v>
      </c>
      <c r="L4284" s="561">
        <v>101457.02800000001</v>
      </c>
      <c r="M4284" s="561">
        <v>100587.00000000001</v>
      </c>
      <c r="N4284" s="561">
        <v>29576.100000000002</v>
      </c>
      <c r="O4284" s="561">
        <v>0</v>
      </c>
      <c r="P4284" s="561">
        <v>71010.900000000009</v>
      </c>
      <c r="Q4284" s="561">
        <v>71010.900000000009</v>
      </c>
    </row>
    <row r="4285" spans="1:38">
      <c r="C4285" s="561" t="s">
        <v>1197</v>
      </c>
      <c r="D4285" s="561">
        <v>82576</v>
      </c>
      <c r="E4285" s="561">
        <v>24772.799999999999</v>
      </c>
      <c r="F4285" s="561">
        <v>57803.199999999997</v>
      </c>
      <c r="G4285" s="561">
        <v>1291</v>
      </c>
      <c r="H4285" s="561">
        <v>84147.65300000002</v>
      </c>
      <c r="I4285" s="561">
        <v>33</v>
      </c>
      <c r="J4285" s="561">
        <v>700.72699999999986</v>
      </c>
      <c r="K4285" s="561">
        <v>1291</v>
      </c>
      <c r="L4285" s="561">
        <v>83446.92300000001</v>
      </c>
      <c r="M4285" s="561">
        <v>82576.895000000004</v>
      </c>
      <c r="N4285" s="561">
        <v>24772.799999999999</v>
      </c>
      <c r="O4285" s="561">
        <v>0</v>
      </c>
      <c r="Q4285" s="561">
        <v>57804.094999999994</v>
      </c>
    </row>
    <row r="4286" spans="1:38">
      <c r="C4286" s="561" t="s">
        <v>1198</v>
      </c>
      <c r="D4286" s="561">
        <v>0</v>
      </c>
      <c r="E4286" s="561">
        <v>0</v>
      </c>
      <c r="F4286" s="561">
        <v>0</v>
      </c>
      <c r="G4286" s="561">
        <v>0</v>
      </c>
      <c r="H4286" s="561">
        <v>0</v>
      </c>
      <c r="I4286" s="561">
        <v>0</v>
      </c>
      <c r="J4286" s="561">
        <v>0</v>
      </c>
      <c r="K4286" s="561">
        <v>0</v>
      </c>
      <c r="L4286" s="561">
        <v>0</v>
      </c>
      <c r="M4286" s="561">
        <v>0</v>
      </c>
      <c r="N4286" s="561">
        <v>0</v>
      </c>
      <c r="O4286" s="561">
        <v>0</v>
      </c>
      <c r="P4286" s="561">
        <v>0</v>
      </c>
      <c r="Q4286" s="561">
        <v>0</v>
      </c>
    </row>
    <row r="4287" spans="1:38">
      <c r="C4287" s="561" t="s">
        <v>1199</v>
      </c>
      <c r="D4287" s="561">
        <v>18011</v>
      </c>
      <c r="E4287" s="561">
        <v>4803.2999999999993</v>
      </c>
      <c r="F4287" s="561">
        <v>13207.7</v>
      </c>
      <c r="G4287" s="561">
        <v>1338</v>
      </c>
      <c r="H4287" s="561">
        <v>18290.092199999999</v>
      </c>
      <c r="I4287" s="561">
        <v>45</v>
      </c>
      <c r="J4287" s="561">
        <v>279.9844700000001</v>
      </c>
      <c r="K4287" s="561">
        <v>1338</v>
      </c>
      <c r="L4287" s="561">
        <v>18010.105</v>
      </c>
      <c r="M4287" s="561">
        <v>18010.105</v>
      </c>
      <c r="N4287" s="561">
        <v>4803.2999999999993</v>
      </c>
      <c r="O4287" s="561">
        <v>0</v>
      </c>
      <c r="P4287" s="561">
        <v>13206.805</v>
      </c>
      <c r="Q4287" s="561">
        <v>13206.805</v>
      </c>
    </row>
    <row r="4288" spans="1:38">
      <c r="A4288" s="561">
        <v>5</v>
      </c>
      <c r="B4288" s="561" t="s">
        <v>1573</v>
      </c>
      <c r="C4288" s="561" t="s">
        <v>1196</v>
      </c>
      <c r="D4288" s="561">
        <v>624340</v>
      </c>
      <c r="E4288" s="561">
        <v>167802</v>
      </c>
      <c r="F4288" s="561">
        <v>456538</v>
      </c>
      <c r="G4288" s="561">
        <v>9272</v>
      </c>
      <c r="H4288" s="561">
        <v>661263.65083000006</v>
      </c>
      <c r="I4288" s="561">
        <v>1086</v>
      </c>
      <c r="J4288" s="561">
        <v>52184.990830000002</v>
      </c>
      <c r="K4288" s="561">
        <v>9203</v>
      </c>
      <c r="L4288" s="561">
        <v>627612.2570000001</v>
      </c>
      <c r="M4288" s="561">
        <v>624340</v>
      </c>
      <c r="N4288" s="561">
        <v>167801.99999999997</v>
      </c>
      <c r="O4288" s="561">
        <v>0</v>
      </c>
      <c r="P4288" s="561">
        <v>456538</v>
      </c>
      <c r="Q4288" s="561">
        <v>456538</v>
      </c>
    </row>
    <row r="4289" spans="1:50">
      <c r="C4289" s="561" t="s">
        <v>1197</v>
      </c>
      <c r="D4289" s="561">
        <v>617624</v>
      </c>
      <c r="E4289" s="561">
        <v>166087.20000000001</v>
      </c>
      <c r="F4289" s="561">
        <v>451536.8</v>
      </c>
      <c r="G4289" s="561">
        <v>8653</v>
      </c>
      <c r="H4289" s="561">
        <v>653979.77400000009</v>
      </c>
      <c r="I4289" s="561">
        <v>945</v>
      </c>
      <c r="J4289" s="561">
        <v>39509.51</v>
      </c>
      <c r="K4289" s="561">
        <v>8586</v>
      </c>
      <c r="L4289" s="561">
        <v>620701.17600000009</v>
      </c>
      <c r="M4289" s="561">
        <v>617428.91899999999</v>
      </c>
      <c r="N4289" s="561">
        <v>166087.19999999998</v>
      </c>
      <c r="O4289" s="561">
        <v>0</v>
      </c>
      <c r="Q4289" s="561">
        <v>451341.71899999998</v>
      </c>
    </row>
    <row r="4290" spans="1:50">
      <c r="C4290" s="561" t="s">
        <v>1198</v>
      </c>
      <c r="D4290" s="561">
        <v>0</v>
      </c>
      <c r="E4290" s="561">
        <v>0</v>
      </c>
      <c r="F4290" s="561">
        <v>0</v>
      </c>
      <c r="G4290" s="561">
        <v>0</v>
      </c>
      <c r="H4290" s="561">
        <v>0</v>
      </c>
      <c r="I4290" s="561">
        <v>0</v>
      </c>
      <c r="J4290" s="561">
        <v>0</v>
      </c>
      <c r="K4290" s="561">
        <v>0</v>
      </c>
      <c r="L4290" s="561">
        <v>0</v>
      </c>
      <c r="M4290" s="561">
        <v>0</v>
      </c>
      <c r="N4290" s="561">
        <v>0</v>
      </c>
      <c r="O4290" s="561">
        <v>0</v>
      </c>
      <c r="P4290" s="561">
        <v>0</v>
      </c>
      <c r="Q4290" s="561">
        <v>0</v>
      </c>
    </row>
    <row r="4291" spans="1:50">
      <c r="C4291" s="561" t="s">
        <v>1199</v>
      </c>
      <c r="D4291" s="561">
        <v>6716</v>
      </c>
      <c r="E4291" s="561">
        <v>1714.7999999999884</v>
      </c>
      <c r="F4291" s="561">
        <v>5001.2000000000116</v>
      </c>
      <c r="G4291" s="561">
        <v>619</v>
      </c>
      <c r="H4291" s="561">
        <v>7283.8768299999929</v>
      </c>
      <c r="I4291" s="561">
        <v>141</v>
      </c>
      <c r="J4291" s="561">
        <v>12675.48083</v>
      </c>
      <c r="K4291" s="561">
        <v>617</v>
      </c>
      <c r="L4291" s="561">
        <v>6911.0810000000001</v>
      </c>
      <c r="M4291" s="561">
        <v>6911.0809999999992</v>
      </c>
      <c r="N4291" s="561">
        <v>1714.8</v>
      </c>
      <c r="O4291" s="561">
        <v>0</v>
      </c>
      <c r="P4291" s="561">
        <v>5196.2809999999999</v>
      </c>
      <c r="Q4291" s="561">
        <v>5196.2809999999999</v>
      </c>
    </row>
    <row r="4292" spans="1:50">
      <c r="A4292" s="561">
        <v>6</v>
      </c>
      <c r="B4292" s="561" t="s">
        <v>1574</v>
      </c>
      <c r="C4292" s="561" t="s">
        <v>1196</v>
      </c>
      <c r="D4292" s="561">
        <v>1227444.845</v>
      </c>
      <c r="E4292" s="561">
        <v>236550</v>
      </c>
      <c r="F4292" s="561">
        <v>990894.84499999997</v>
      </c>
      <c r="G4292" s="561">
        <v>7251</v>
      </c>
      <c r="H4292" s="561">
        <v>1271160.5670799999</v>
      </c>
      <c r="I4292" s="561">
        <v>534</v>
      </c>
      <c r="J4292" s="561">
        <v>28588.721599999997</v>
      </c>
      <c r="K4292" s="561">
        <v>7229</v>
      </c>
      <c r="L4292" s="561">
        <v>1237722.686</v>
      </c>
      <c r="M4292" s="561">
        <v>1227444.845</v>
      </c>
      <c r="N4292" s="561">
        <v>236550</v>
      </c>
      <c r="O4292" s="561">
        <v>0</v>
      </c>
      <c r="P4292" s="561">
        <v>990894.84499999997</v>
      </c>
      <c r="Q4292" s="561">
        <v>990894.84499999997</v>
      </c>
    </row>
    <row r="4293" spans="1:50">
      <c r="C4293" s="561" t="s">
        <v>1197</v>
      </c>
      <c r="D4293" s="561">
        <v>393845</v>
      </c>
      <c r="E4293" s="561">
        <v>175476</v>
      </c>
      <c r="F4293" s="561">
        <v>218369</v>
      </c>
      <c r="G4293" s="561">
        <v>4112</v>
      </c>
      <c r="H4293" s="561">
        <v>420108.49601000006</v>
      </c>
      <c r="I4293" s="561">
        <v>345</v>
      </c>
      <c r="J4293" s="561">
        <v>16087.271999999997</v>
      </c>
      <c r="K4293" s="561">
        <v>4097</v>
      </c>
      <c r="L4293" s="561">
        <v>407481.33299999998</v>
      </c>
      <c r="M4293" s="561">
        <v>398491.41700000002</v>
      </c>
      <c r="N4293" s="561">
        <v>175476</v>
      </c>
      <c r="O4293" s="561">
        <v>0</v>
      </c>
      <c r="Q4293" s="561">
        <v>223015.41700000002</v>
      </c>
    </row>
    <row r="4294" spans="1:50">
      <c r="C4294" s="561" t="s">
        <v>1198</v>
      </c>
      <c r="D4294" s="561">
        <v>777073</v>
      </c>
      <c r="E4294" s="561">
        <v>56721.599999999999</v>
      </c>
      <c r="F4294" s="561">
        <v>720351.4</v>
      </c>
      <c r="G4294" s="561">
        <v>1580</v>
      </c>
      <c r="H4294" s="561">
        <v>779757.52361000003</v>
      </c>
      <c r="I4294" s="561">
        <v>108</v>
      </c>
      <c r="J4294" s="561">
        <v>11537.310000000001</v>
      </c>
      <c r="K4294" s="561">
        <v>1577</v>
      </c>
      <c r="L4294" s="561">
        <v>772910.94799999997</v>
      </c>
      <c r="M4294" s="561">
        <v>772910.94800000009</v>
      </c>
      <c r="N4294" s="561">
        <v>56721.599999999962</v>
      </c>
      <c r="O4294" s="561">
        <v>0</v>
      </c>
      <c r="Q4294" s="561">
        <v>716189.348</v>
      </c>
      <c r="AR4294" s="561">
        <v>716189.348</v>
      </c>
    </row>
    <row r="4295" spans="1:50">
      <c r="C4295" s="561" t="s">
        <v>1199</v>
      </c>
      <c r="D4295" s="561">
        <v>47508</v>
      </c>
      <c r="E4295" s="561">
        <v>4352.4000000000015</v>
      </c>
      <c r="F4295" s="561">
        <v>43155.6</v>
      </c>
      <c r="G4295" s="561">
        <v>1559</v>
      </c>
      <c r="H4295" s="561">
        <v>49252.058460000007</v>
      </c>
      <c r="I4295" s="561">
        <v>81</v>
      </c>
      <c r="J4295" s="561">
        <v>790.93160000000023</v>
      </c>
      <c r="K4295" s="561">
        <v>1555</v>
      </c>
      <c r="L4295" s="561">
        <v>48461.123999999996</v>
      </c>
      <c r="M4295" s="561">
        <v>48461.123999999996</v>
      </c>
      <c r="N4295" s="561">
        <v>4352.3999999999978</v>
      </c>
      <c r="O4295" s="561">
        <v>0</v>
      </c>
      <c r="P4295" s="561">
        <v>44108.723999999995</v>
      </c>
      <c r="Q4295" s="561">
        <v>44108.723999999995</v>
      </c>
    </row>
    <row r="4296" spans="1:50">
      <c r="C4296" s="561" t="s">
        <v>1202</v>
      </c>
      <c r="D4296" s="561">
        <v>9018.8449999999993</v>
      </c>
      <c r="F4296" s="561">
        <v>9018.8449999999993</v>
      </c>
      <c r="G4296" s="561">
        <v>0</v>
      </c>
      <c r="H4296" s="561">
        <v>22042.489000000001</v>
      </c>
      <c r="I4296" s="561">
        <v>0</v>
      </c>
      <c r="J4296" s="561">
        <v>173.208</v>
      </c>
      <c r="L4296" s="561">
        <v>8869.280999999999</v>
      </c>
      <c r="M4296" s="561">
        <v>7581.3559999999998</v>
      </c>
      <c r="N4296" s="561">
        <v>0</v>
      </c>
      <c r="O4296" s="561">
        <v>0</v>
      </c>
      <c r="P4296" s="561">
        <v>7581.3559999999998</v>
      </c>
      <c r="Q4296" s="561">
        <v>7581.3559999999998</v>
      </c>
    </row>
    <row r="4297" spans="1:50">
      <c r="A4297" s="561">
        <v>7</v>
      </c>
      <c r="B4297" s="561" t="s">
        <v>1575</v>
      </c>
      <c r="C4297" s="561" t="s">
        <v>1196</v>
      </c>
      <c r="D4297" s="561">
        <v>2375135</v>
      </c>
      <c r="E4297" s="561">
        <v>551642.69999999995</v>
      </c>
      <c r="F4297" s="561">
        <v>1823492.3</v>
      </c>
      <c r="G4297" s="561">
        <v>4906</v>
      </c>
      <c r="H4297" s="561">
        <v>2473717.1323399995</v>
      </c>
      <c r="I4297" s="561">
        <v>798</v>
      </c>
      <c r="J4297" s="561">
        <v>206145.92672000002</v>
      </c>
      <c r="K4297" s="561">
        <v>4879</v>
      </c>
      <c r="L4297" s="561">
        <v>2386649.3560199998</v>
      </c>
      <c r="M4297" s="561">
        <v>2375134.9999999995</v>
      </c>
      <c r="N4297" s="561">
        <v>551642.70100000012</v>
      </c>
      <c r="O4297" s="561">
        <v>0</v>
      </c>
      <c r="P4297" s="561">
        <v>1823492.2990000001</v>
      </c>
      <c r="Q4297" s="561">
        <v>1823492.2990000001</v>
      </c>
    </row>
    <row r="4298" spans="1:50">
      <c r="C4298" s="561" t="s">
        <v>1197</v>
      </c>
      <c r="D4298" s="561">
        <v>601448</v>
      </c>
      <c r="E4298" s="561">
        <v>334634.40000000002</v>
      </c>
      <c r="F4298" s="561">
        <v>266813.59999999998</v>
      </c>
      <c r="G4298" s="561">
        <v>3069</v>
      </c>
      <c r="H4298" s="561">
        <v>656457.26494999987</v>
      </c>
      <c r="I4298" s="561">
        <v>556</v>
      </c>
      <c r="J4298" s="561">
        <v>62633.14</v>
      </c>
      <c r="K4298" s="561">
        <v>3041</v>
      </c>
      <c r="L4298" s="561">
        <v>613969.58928000019</v>
      </c>
      <c r="M4298" s="561">
        <v>603322.32999999996</v>
      </c>
      <c r="N4298" s="561">
        <v>334634.39999999997</v>
      </c>
      <c r="O4298" s="561">
        <v>0</v>
      </c>
      <c r="Q4298" s="561">
        <v>268687.93</v>
      </c>
    </row>
    <row r="4299" spans="1:50">
      <c r="C4299" s="561" t="s">
        <v>1198</v>
      </c>
      <c r="D4299" s="561">
        <v>1770625</v>
      </c>
      <c r="E4299" s="561">
        <v>215459.7</v>
      </c>
      <c r="F4299" s="561">
        <v>1555165.3</v>
      </c>
      <c r="G4299" s="561">
        <v>1671</v>
      </c>
      <c r="H4299" s="561">
        <v>1814078.3208299996</v>
      </c>
      <c r="I4299" s="561">
        <v>233</v>
      </c>
      <c r="J4299" s="561">
        <v>143447.15700000001</v>
      </c>
      <c r="K4299" s="561">
        <v>1673</v>
      </c>
      <c r="L4299" s="561">
        <v>1769563.8507399997</v>
      </c>
      <c r="M4299" s="561">
        <v>1768696.754</v>
      </c>
      <c r="N4299" s="561">
        <v>215459.7</v>
      </c>
      <c r="O4299" s="561">
        <v>0</v>
      </c>
      <c r="Q4299" s="561">
        <v>1553237.054</v>
      </c>
      <c r="AX4299" s="561">
        <v>1553237.054</v>
      </c>
    </row>
    <row r="4300" spans="1:50">
      <c r="C4300" s="561" t="s">
        <v>1199</v>
      </c>
      <c r="D4300" s="561">
        <v>3062</v>
      </c>
      <c r="E4300" s="561">
        <v>1548.5999999999185</v>
      </c>
      <c r="F4300" s="561">
        <v>1513.4000000000815</v>
      </c>
      <c r="G4300" s="561">
        <v>166</v>
      </c>
      <c r="H4300" s="561">
        <v>3181.546559999962</v>
      </c>
      <c r="I4300" s="561">
        <v>9</v>
      </c>
      <c r="J4300" s="561">
        <v>65.629719999997377</v>
      </c>
      <c r="K4300" s="561">
        <v>165</v>
      </c>
      <c r="L4300" s="561">
        <v>3115.9159999999997</v>
      </c>
      <c r="M4300" s="561">
        <v>3115.9160000000002</v>
      </c>
      <c r="N4300" s="561">
        <v>1548.6010000000001</v>
      </c>
      <c r="O4300" s="561">
        <v>0</v>
      </c>
      <c r="P4300" s="561">
        <v>1567.3150000000001</v>
      </c>
      <c r="Q4300" s="561">
        <v>1567.3150000000001</v>
      </c>
    </row>
    <row r="4301" spans="1:50">
      <c r="A4301" s="561">
        <v>8</v>
      </c>
      <c r="B4301" s="561" t="s">
        <v>1576</v>
      </c>
      <c r="C4301" s="561" t="s">
        <v>1196</v>
      </c>
      <c r="D4301" s="561">
        <v>105094</v>
      </c>
      <c r="E4301" s="561">
        <v>31528.2</v>
      </c>
      <c r="F4301" s="561">
        <v>73565.8</v>
      </c>
      <c r="G4301" s="561">
        <v>2025</v>
      </c>
      <c r="H4301" s="561">
        <v>106278.95319000001</v>
      </c>
      <c r="I4301" s="561">
        <v>83</v>
      </c>
      <c r="J4301" s="561">
        <v>1070.4378099999994</v>
      </c>
      <c r="K4301" s="561">
        <v>2024</v>
      </c>
      <c r="L4301" s="561">
        <v>105273.37300000001</v>
      </c>
      <c r="M4301" s="561">
        <v>105094</v>
      </c>
      <c r="N4301" s="561">
        <v>31528.200000000004</v>
      </c>
      <c r="O4301" s="561">
        <v>0</v>
      </c>
      <c r="P4301" s="561">
        <v>73565.8</v>
      </c>
      <c r="Q4301" s="561">
        <v>73565.8</v>
      </c>
    </row>
    <row r="4302" spans="1:50">
      <c r="C4302" s="561" t="s">
        <v>1197</v>
      </c>
      <c r="D4302" s="561">
        <v>93779</v>
      </c>
      <c r="E4302" s="561">
        <v>28493.7</v>
      </c>
      <c r="F4302" s="561">
        <v>65285.3</v>
      </c>
      <c r="G4302" s="561">
        <v>1341</v>
      </c>
      <c r="H4302" s="561">
        <v>94510.32680000001</v>
      </c>
      <c r="I4302" s="561">
        <v>23</v>
      </c>
      <c r="J4302" s="561">
        <v>755.46999999999935</v>
      </c>
      <c r="K4302" s="561">
        <v>1340</v>
      </c>
      <c r="L4302" s="561">
        <v>93819.716</v>
      </c>
      <c r="M4302" s="561">
        <v>93640.343000000008</v>
      </c>
      <c r="N4302" s="561">
        <v>28493.7</v>
      </c>
      <c r="O4302" s="561">
        <v>0</v>
      </c>
      <c r="Q4302" s="561">
        <v>65146.642999999996</v>
      </c>
    </row>
    <row r="4303" spans="1:50">
      <c r="C4303" s="561" t="s">
        <v>1198</v>
      </c>
      <c r="D4303" s="561">
        <v>0</v>
      </c>
      <c r="E4303" s="561">
        <v>0</v>
      </c>
      <c r="F4303" s="561">
        <v>0</v>
      </c>
      <c r="G4303" s="561">
        <v>0</v>
      </c>
      <c r="H4303" s="561">
        <v>0</v>
      </c>
      <c r="I4303" s="561">
        <v>0</v>
      </c>
      <c r="J4303" s="561">
        <v>0</v>
      </c>
      <c r="K4303" s="561">
        <v>0</v>
      </c>
      <c r="L4303" s="561">
        <v>0</v>
      </c>
      <c r="M4303" s="561">
        <v>0</v>
      </c>
      <c r="N4303" s="561">
        <v>0</v>
      </c>
      <c r="O4303" s="561">
        <v>0</v>
      </c>
      <c r="P4303" s="561">
        <v>0</v>
      </c>
      <c r="Q4303" s="561">
        <v>0</v>
      </c>
    </row>
    <row r="4304" spans="1:50">
      <c r="C4304" s="561" t="s">
        <v>1199</v>
      </c>
      <c r="D4304" s="561">
        <v>11315</v>
      </c>
      <c r="E4304" s="561">
        <v>3034.5</v>
      </c>
      <c r="F4304" s="561">
        <v>8280.5</v>
      </c>
      <c r="G4304" s="561">
        <v>684</v>
      </c>
      <c r="H4304" s="561">
        <v>11768.626390000001</v>
      </c>
      <c r="I4304" s="561">
        <v>60</v>
      </c>
      <c r="J4304" s="561">
        <v>314.96780999999999</v>
      </c>
      <c r="K4304" s="561">
        <v>684</v>
      </c>
      <c r="L4304" s="561">
        <v>11453.657000000001</v>
      </c>
      <c r="M4304" s="561">
        <v>11453.657000000001</v>
      </c>
      <c r="N4304" s="561">
        <v>3034.5</v>
      </c>
      <c r="O4304" s="561">
        <v>0</v>
      </c>
      <c r="P4304" s="561">
        <v>8419.1570000000011</v>
      </c>
      <c r="Q4304" s="561">
        <v>8419.1570000000011</v>
      </c>
    </row>
    <row r="4305" spans="1:38">
      <c r="A4305" s="561">
        <v>9</v>
      </c>
      <c r="B4305" s="561" t="s">
        <v>1577</v>
      </c>
      <c r="C4305" s="561" t="s">
        <v>1196</v>
      </c>
      <c r="D4305" s="561">
        <v>596862.16399999999</v>
      </c>
      <c r="E4305" s="561">
        <v>172059</v>
      </c>
      <c r="F4305" s="561">
        <v>424803.16399999999</v>
      </c>
      <c r="G4305" s="561">
        <v>11525</v>
      </c>
      <c r="H4305" s="561">
        <v>621615.98739999998</v>
      </c>
      <c r="I4305" s="561">
        <v>998</v>
      </c>
      <c r="J4305" s="561">
        <v>61563.191940000004</v>
      </c>
      <c r="K4305" s="561">
        <v>11448</v>
      </c>
      <c r="L4305" s="561">
        <v>597745.38955999992</v>
      </c>
      <c r="M4305" s="561">
        <v>596862.16399999999</v>
      </c>
      <c r="N4305" s="561">
        <v>172059</v>
      </c>
      <c r="O4305" s="561">
        <v>0</v>
      </c>
      <c r="P4305" s="561">
        <v>424803.16399999999</v>
      </c>
      <c r="Q4305" s="561">
        <v>424803.16399999999</v>
      </c>
    </row>
    <row r="4306" spans="1:38">
      <c r="C4306" s="561" t="s">
        <v>1197</v>
      </c>
      <c r="D4306" s="561">
        <v>479208</v>
      </c>
      <c r="E4306" s="561">
        <v>149162.4</v>
      </c>
      <c r="F4306" s="561">
        <v>330045.59999999998</v>
      </c>
      <c r="G4306" s="561">
        <v>6683</v>
      </c>
      <c r="H4306" s="561">
        <v>500936.13999999996</v>
      </c>
      <c r="I4306" s="561">
        <v>857</v>
      </c>
      <c r="J4306" s="561">
        <v>57665.001000000004</v>
      </c>
      <c r="K4306" s="561">
        <v>6611</v>
      </c>
      <c r="L4306" s="561">
        <v>480071.02048000001</v>
      </c>
      <c r="M4306" s="561">
        <v>479978.51699999999</v>
      </c>
      <c r="N4306" s="561">
        <v>149162.4</v>
      </c>
      <c r="O4306" s="561">
        <v>0</v>
      </c>
      <c r="Q4306" s="561">
        <v>330816.11699999997</v>
      </c>
    </row>
    <row r="4307" spans="1:38">
      <c r="C4307" s="561" t="s">
        <v>1198</v>
      </c>
      <c r="D4307" s="561">
        <v>42575</v>
      </c>
      <c r="E4307" s="561">
        <v>9172.5</v>
      </c>
      <c r="F4307" s="561">
        <v>33402.5</v>
      </c>
      <c r="G4307" s="561">
        <v>92</v>
      </c>
      <c r="H4307" s="561">
        <v>44684.731</v>
      </c>
      <c r="I4307" s="561">
        <v>5</v>
      </c>
      <c r="J4307" s="561">
        <v>2701.1865399999997</v>
      </c>
      <c r="K4307" s="561">
        <v>91</v>
      </c>
      <c r="L4307" s="561">
        <v>42876.262620000001</v>
      </c>
      <c r="M4307" s="561">
        <v>42876.262999999999</v>
      </c>
      <c r="N4307" s="561">
        <v>9172.4999999999982</v>
      </c>
      <c r="O4307" s="561">
        <v>0</v>
      </c>
      <c r="Q4307" s="561">
        <v>33703.762999999999</v>
      </c>
      <c r="AL4307" s="561">
        <v>33703.762999999999</v>
      </c>
    </row>
    <row r="4308" spans="1:38">
      <c r="C4308" s="561" t="s">
        <v>1199</v>
      </c>
      <c r="D4308" s="561">
        <v>62747</v>
      </c>
      <c r="E4308" s="561">
        <v>13724.100000000006</v>
      </c>
      <c r="F4308" s="561">
        <v>49022.899999999994</v>
      </c>
      <c r="G4308" s="561">
        <v>4750</v>
      </c>
      <c r="H4308" s="561">
        <v>65298.7114</v>
      </c>
      <c r="I4308" s="561">
        <v>136</v>
      </c>
      <c r="J4308" s="561">
        <v>1197.0044</v>
      </c>
      <c r="K4308" s="561">
        <v>4746</v>
      </c>
      <c r="L4308" s="561">
        <v>64101.700459999993</v>
      </c>
      <c r="M4308" s="561">
        <v>64101.7</v>
      </c>
      <c r="N4308" s="561">
        <v>13724.099999999995</v>
      </c>
      <c r="O4308" s="561">
        <v>0</v>
      </c>
      <c r="P4308" s="561">
        <v>50377.599999999999</v>
      </c>
      <c r="Q4308" s="561">
        <v>50377.599999999999</v>
      </c>
    </row>
    <row r="4309" spans="1:38">
      <c r="C4309" s="561" t="s">
        <v>1202</v>
      </c>
      <c r="D4309" s="561">
        <v>12332.164000000001</v>
      </c>
      <c r="F4309" s="561">
        <v>12332.164000000001</v>
      </c>
      <c r="G4309" s="561">
        <v>0</v>
      </c>
      <c r="H4309" s="561">
        <v>10696.404999999999</v>
      </c>
      <c r="I4309" s="561">
        <v>0</v>
      </c>
      <c r="J4309" s="561">
        <v>0</v>
      </c>
      <c r="K4309" s="561">
        <v>0</v>
      </c>
      <c r="L4309" s="561">
        <v>10696.405999999999</v>
      </c>
      <c r="M4309" s="561">
        <v>9905.6839999999993</v>
      </c>
      <c r="N4309" s="561">
        <v>0</v>
      </c>
      <c r="O4309" s="561">
        <v>0</v>
      </c>
      <c r="P4309" s="561">
        <v>9905.6839999999993</v>
      </c>
      <c r="Q4309" s="561">
        <v>9905.6839999999993</v>
      </c>
    </row>
    <row r="4310" spans="1:38">
      <c r="A4310" s="561">
        <v>10</v>
      </c>
      <c r="B4310" s="561" t="s">
        <v>1578</v>
      </c>
      <c r="C4310" s="561" t="s">
        <v>1196</v>
      </c>
      <c r="D4310" s="561">
        <v>332246</v>
      </c>
      <c r="E4310" s="561">
        <v>98023.8</v>
      </c>
      <c r="F4310" s="561">
        <v>234222.2</v>
      </c>
      <c r="G4310" s="561">
        <v>6719</v>
      </c>
      <c r="H4310" s="561">
        <v>340393.56698</v>
      </c>
      <c r="I4310" s="561">
        <v>316</v>
      </c>
      <c r="J4310" s="561">
        <v>7066.6890600000006</v>
      </c>
      <c r="K4310" s="561">
        <v>6706</v>
      </c>
      <c r="L4310" s="561">
        <v>333548.53399999993</v>
      </c>
      <c r="M4310" s="561">
        <v>332246</v>
      </c>
      <c r="N4310" s="561">
        <v>98023.799999999988</v>
      </c>
      <c r="O4310" s="561">
        <v>0</v>
      </c>
      <c r="P4310" s="561">
        <v>234222.19999999998</v>
      </c>
      <c r="Q4310" s="561">
        <v>234222.19999999998</v>
      </c>
    </row>
    <row r="4311" spans="1:38">
      <c r="C4311" s="561" t="s">
        <v>1197</v>
      </c>
      <c r="D4311" s="561">
        <v>327478</v>
      </c>
      <c r="E4311" s="561">
        <v>96593.4</v>
      </c>
      <c r="F4311" s="561">
        <v>230884.6</v>
      </c>
      <c r="G4311" s="561">
        <v>6295</v>
      </c>
      <c r="H4311" s="561">
        <v>335625.94100000005</v>
      </c>
      <c r="I4311" s="561">
        <v>312</v>
      </c>
      <c r="J4311" s="561">
        <v>7053.2936800000007</v>
      </c>
      <c r="K4311" s="561">
        <v>6282</v>
      </c>
      <c r="L4311" s="561">
        <v>328793.43499999994</v>
      </c>
      <c r="M4311" s="561">
        <v>327490.90000000002</v>
      </c>
      <c r="N4311" s="561">
        <v>96593.400000000009</v>
      </c>
      <c r="O4311" s="561">
        <v>0</v>
      </c>
      <c r="Q4311" s="561">
        <v>230897.49999999997</v>
      </c>
    </row>
    <row r="4312" spans="1:38">
      <c r="C4312" s="561" t="s">
        <v>1198</v>
      </c>
      <c r="D4312" s="561">
        <v>0</v>
      </c>
      <c r="E4312" s="561">
        <v>0</v>
      </c>
      <c r="F4312" s="561">
        <v>0</v>
      </c>
      <c r="G4312" s="561">
        <v>0</v>
      </c>
      <c r="H4312" s="561">
        <v>0</v>
      </c>
      <c r="I4312" s="561">
        <v>0</v>
      </c>
      <c r="J4312" s="561">
        <v>0</v>
      </c>
      <c r="K4312" s="561">
        <v>0</v>
      </c>
      <c r="L4312" s="561">
        <v>0</v>
      </c>
      <c r="M4312" s="561">
        <v>0</v>
      </c>
      <c r="N4312" s="561">
        <v>0</v>
      </c>
      <c r="O4312" s="561">
        <v>0</v>
      </c>
      <c r="P4312" s="561">
        <v>0</v>
      </c>
      <c r="Q4312" s="561">
        <v>0</v>
      </c>
    </row>
    <row r="4313" spans="1:38">
      <c r="C4313" s="561" t="s">
        <v>1199</v>
      </c>
      <c r="D4313" s="561">
        <v>4768</v>
      </c>
      <c r="E4313" s="561">
        <v>1430.4000000000087</v>
      </c>
      <c r="F4313" s="561">
        <v>3337.5999999999913</v>
      </c>
      <c r="G4313" s="561">
        <v>424</v>
      </c>
      <c r="H4313" s="561">
        <v>4767.6259799999971</v>
      </c>
      <c r="I4313" s="561">
        <v>4</v>
      </c>
      <c r="J4313" s="561">
        <v>13.39537999999995</v>
      </c>
      <c r="K4313" s="561">
        <v>424</v>
      </c>
      <c r="L4313" s="561">
        <v>4755.0989999999993</v>
      </c>
      <c r="M4313" s="561">
        <v>4755.0999999999995</v>
      </c>
      <c r="N4313" s="561">
        <v>1430.3999999999996</v>
      </c>
      <c r="O4313" s="561">
        <v>0</v>
      </c>
      <c r="P4313" s="561">
        <v>3324.7000000000003</v>
      </c>
      <c r="Q4313" s="561">
        <v>3324.7000000000003</v>
      </c>
    </row>
    <row r="4314" spans="1:38">
      <c r="A4314" s="561">
        <v>11</v>
      </c>
      <c r="B4314" s="561" t="s">
        <v>1579</v>
      </c>
      <c r="C4314" s="561" t="s">
        <v>1196</v>
      </c>
      <c r="D4314" s="561">
        <v>233286</v>
      </c>
      <c r="E4314" s="561">
        <v>69985.8</v>
      </c>
      <c r="F4314" s="561">
        <v>163300.20000000001</v>
      </c>
      <c r="G4314" s="561">
        <v>4612</v>
      </c>
      <c r="H4314" s="561">
        <v>243355.32100000003</v>
      </c>
      <c r="I4314" s="561">
        <v>396</v>
      </c>
      <c r="J4314" s="561">
        <v>9807.8529999999992</v>
      </c>
      <c r="K4314" s="561">
        <v>4599</v>
      </c>
      <c r="L4314" s="561">
        <v>233918.96602999998</v>
      </c>
      <c r="M4314" s="561">
        <v>233286.00000000003</v>
      </c>
      <c r="N4314" s="561">
        <v>69985.799999999988</v>
      </c>
      <c r="O4314" s="561">
        <v>0</v>
      </c>
      <c r="P4314" s="561">
        <v>163300.20000000001</v>
      </c>
      <c r="Q4314" s="561">
        <v>163300.20000000001</v>
      </c>
    </row>
    <row r="4315" spans="1:38">
      <c r="C4315" s="561" t="s">
        <v>1197</v>
      </c>
      <c r="D4315" s="561">
        <v>219106</v>
      </c>
      <c r="E4315" s="561">
        <v>66481.8</v>
      </c>
      <c r="F4315" s="561">
        <v>152624.20000000001</v>
      </c>
      <c r="G4315" s="561">
        <v>3553</v>
      </c>
      <c r="H4315" s="561">
        <v>228405.114</v>
      </c>
      <c r="I4315" s="561">
        <v>372</v>
      </c>
      <c r="J4315" s="561">
        <v>9664.0319999999992</v>
      </c>
      <c r="K4315" s="561">
        <v>3541</v>
      </c>
      <c r="L4315" s="561">
        <v>219112.57731999998</v>
      </c>
      <c r="M4315" s="561">
        <v>218479.61099999998</v>
      </c>
      <c r="N4315" s="561">
        <v>66481.799999999988</v>
      </c>
      <c r="O4315" s="561">
        <v>0</v>
      </c>
      <c r="Q4315" s="561">
        <v>151997.81100000002</v>
      </c>
    </row>
    <row r="4316" spans="1:38">
      <c r="C4316" s="561" t="s">
        <v>1198</v>
      </c>
      <c r="D4316" s="561">
        <v>0</v>
      </c>
      <c r="E4316" s="561">
        <v>0</v>
      </c>
      <c r="F4316" s="561">
        <v>0</v>
      </c>
      <c r="G4316" s="561">
        <v>0</v>
      </c>
      <c r="H4316" s="561">
        <v>0</v>
      </c>
      <c r="I4316" s="561">
        <v>0</v>
      </c>
      <c r="J4316" s="561">
        <v>0</v>
      </c>
      <c r="K4316" s="561">
        <v>0</v>
      </c>
      <c r="L4316" s="561">
        <v>0</v>
      </c>
      <c r="M4316" s="561">
        <v>0</v>
      </c>
      <c r="N4316" s="561">
        <v>0</v>
      </c>
      <c r="O4316" s="561">
        <v>0</v>
      </c>
      <c r="P4316" s="561">
        <v>0</v>
      </c>
      <c r="Q4316" s="561">
        <v>0</v>
      </c>
    </row>
    <row r="4317" spans="1:38">
      <c r="C4317" s="561" t="s">
        <v>1199</v>
      </c>
      <c r="D4317" s="561">
        <v>14180</v>
      </c>
      <c r="E4317" s="561">
        <v>3504</v>
      </c>
      <c r="F4317" s="561">
        <v>10676</v>
      </c>
      <c r="G4317" s="561">
        <v>1059</v>
      </c>
      <c r="H4317" s="561">
        <v>14950.206999999995</v>
      </c>
      <c r="I4317" s="561">
        <v>24</v>
      </c>
      <c r="J4317" s="561">
        <v>143.82099999999988</v>
      </c>
      <c r="K4317" s="561">
        <v>1058</v>
      </c>
      <c r="L4317" s="561">
        <v>14806.388710000001</v>
      </c>
      <c r="M4317" s="561">
        <v>14806.389000000001</v>
      </c>
      <c r="N4317" s="561">
        <v>3504</v>
      </c>
      <c r="O4317" s="561">
        <v>0</v>
      </c>
      <c r="P4317" s="561">
        <v>11302.389000000001</v>
      </c>
      <c r="Q4317" s="561">
        <v>11302.389000000001</v>
      </c>
    </row>
    <row r="4318" spans="1:38">
      <c r="A4318" s="561">
        <v>12</v>
      </c>
      <c r="B4318" s="561" t="s">
        <v>1580</v>
      </c>
      <c r="C4318" s="561" t="s">
        <v>1196</v>
      </c>
      <c r="D4318" s="561">
        <v>118872</v>
      </c>
      <c r="E4318" s="561">
        <v>33261.599999999999</v>
      </c>
      <c r="F4318" s="561">
        <v>85610.4</v>
      </c>
      <c r="G4318" s="561">
        <v>2185</v>
      </c>
      <c r="H4318" s="561">
        <v>123282.99740000001</v>
      </c>
      <c r="I4318" s="561">
        <v>122</v>
      </c>
      <c r="J4318" s="561">
        <v>3144.1023999999989</v>
      </c>
      <c r="K4318" s="561">
        <v>2176</v>
      </c>
      <c r="L4318" s="561">
        <v>120612.652</v>
      </c>
      <c r="M4318" s="561">
        <v>118872</v>
      </c>
      <c r="N4318" s="561">
        <v>33261.599999999999</v>
      </c>
      <c r="O4318" s="561">
        <v>0</v>
      </c>
      <c r="P4318" s="561">
        <v>85610.400000000009</v>
      </c>
      <c r="Q4318" s="561">
        <v>85610.400000000009</v>
      </c>
    </row>
    <row r="4319" spans="1:38">
      <c r="C4319" s="561" t="s">
        <v>1197</v>
      </c>
      <c r="D4319" s="561">
        <v>110225</v>
      </c>
      <c r="E4319" s="561">
        <v>30967.5</v>
      </c>
      <c r="F4319" s="561">
        <v>79257.5</v>
      </c>
      <c r="G4319" s="561">
        <v>1613</v>
      </c>
      <c r="H4319" s="561">
        <v>114630.454</v>
      </c>
      <c r="I4319" s="561">
        <v>64</v>
      </c>
      <c r="J4319" s="561">
        <v>2828.3999999999987</v>
      </c>
      <c r="K4319" s="561">
        <v>1609</v>
      </c>
      <c r="L4319" s="561">
        <v>112275.81300000001</v>
      </c>
      <c r="M4319" s="561">
        <v>110535.16100000001</v>
      </c>
      <c r="N4319" s="561">
        <v>30967.499999999996</v>
      </c>
      <c r="O4319" s="561">
        <v>0</v>
      </c>
      <c r="Q4319" s="561">
        <v>79567.661000000007</v>
      </c>
    </row>
    <row r="4320" spans="1:38">
      <c r="C4320" s="561" t="s">
        <v>1198</v>
      </c>
      <c r="D4320" s="561">
        <v>0</v>
      </c>
      <c r="E4320" s="561">
        <v>0</v>
      </c>
      <c r="F4320" s="561">
        <v>0</v>
      </c>
      <c r="G4320" s="561">
        <v>0</v>
      </c>
      <c r="H4320" s="561">
        <v>0</v>
      </c>
      <c r="I4320" s="561">
        <v>0</v>
      </c>
      <c r="J4320" s="561">
        <v>0</v>
      </c>
      <c r="K4320" s="561">
        <v>0</v>
      </c>
      <c r="L4320" s="561">
        <v>0</v>
      </c>
      <c r="M4320" s="561">
        <v>0</v>
      </c>
      <c r="N4320" s="561">
        <v>0</v>
      </c>
      <c r="O4320" s="561">
        <v>0</v>
      </c>
      <c r="P4320" s="561">
        <v>0</v>
      </c>
      <c r="Q4320" s="561">
        <v>0</v>
      </c>
    </row>
    <row r="4321" spans="1:38">
      <c r="C4321" s="561" t="s">
        <v>1199</v>
      </c>
      <c r="D4321" s="561">
        <v>8647</v>
      </c>
      <c r="E4321" s="561">
        <v>2294.0999999999985</v>
      </c>
      <c r="F4321" s="561">
        <v>6352.9000000000015</v>
      </c>
      <c r="G4321" s="561">
        <v>572</v>
      </c>
      <c r="H4321" s="561">
        <v>8652.5433999999987</v>
      </c>
      <c r="I4321" s="561">
        <v>58</v>
      </c>
      <c r="J4321" s="561">
        <v>315.70240000000007</v>
      </c>
      <c r="K4321" s="561">
        <v>567</v>
      </c>
      <c r="L4321" s="561">
        <v>8336.8389999999999</v>
      </c>
      <c r="M4321" s="561">
        <v>8336.8389999999999</v>
      </c>
      <c r="N4321" s="561">
        <v>2294.1000000000004</v>
      </c>
      <c r="O4321" s="561">
        <v>0</v>
      </c>
      <c r="P4321" s="561">
        <v>6042.7390000000005</v>
      </c>
      <c r="Q4321" s="561">
        <v>6042.7390000000005</v>
      </c>
    </row>
    <row r="4322" spans="1:38">
      <c r="A4322" s="561">
        <v>13</v>
      </c>
      <c r="B4322" s="561" t="s">
        <v>1581</v>
      </c>
      <c r="C4322" s="561" t="s">
        <v>1196</v>
      </c>
      <c r="D4322" s="561">
        <v>179807</v>
      </c>
      <c r="E4322" s="561">
        <v>51242.1</v>
      </c>
      <c r="F4322" s="561">
        <v>128564.9</v>
      </c>
      <c r="G4322" s="561">
        <v>4470</v>
      </c>
      <c r="H4322" s="561">
        <v>192739.16960000002</v>
      </c>
      <c r="I4322" s="561">
        <v>444</v>
      </c>
      <c r="J4322" s="561">
        <v>12193.875600000001</v>
      </c>
      <c r="K4322" s="561">
        <v>4389</v>
      </c>
      <c r="L4322" s="561">
        <v>180939.61235000001</v>
      </c>
      <c r="M4322" s="561">
        <v>179807.00000000003</v>
      </c>
      <c r="N4322" s="561">
        <v>51242.1</v>
      </c>
      <c r="O4322" s="561">
        <v>0</v>
      </c>
      <c r="P4322" s="561">
        <v>128564.89999999998</v>
      </c>
      <c r="Q4322" s="561">
        <v>128564.89999999998</v>
      </c>
    </row>
    <row r="4323" spans="1:38">
      <c r="C4323" s="561" t="s">
        <v>1197</v>
      </c>
      <c r="D4323" s="561">
        <v>140415</v>
      </c>
      <c r="E4323" s="561">
        <v>42124.5</v>
      </c>
      <c r="F4323" s="561">
        <v>98290.5</v>
      </c>
      <c r="G4323" s="561">
        <v>2494</v>
      </c>
      <c r="H4323" s="561">
        <v>151778.06</v>
      </c>
      <c r="I4323" s="561">
        <v>335</v>
      </c>
      <c r="J4323" s="561">
        <v>10648.056</v>
      </c>
      <c r="K4323" s="561">
        <v>2414</v>
      </c>
      <c r="L4323" s="561">
        <v>141521.32376</v>
      </c>
      <c r="M4323" s="561">
        <v>140388.71100000001</v>
      </c>
      <c r="N4323" s="561">
        <v>42124.500000000007</v>
      </c>
      <c r="O4323" s="561">
        <v>0</v>
      </c>
      <c r="Q4323" s="561">
        <v>98264.210999999996</v>
      </c>
    </row>
    <row r="4324" spans="1:38">
      <c r="C4324" s="561" t="s">
        <v>1198</v>
      </c>
      <c r="D4324" s="561">
        <v>11573</v>
      </c>
      <c r="E4324" s="561">
        <v>2751.9</v>
      </c>
      <c r="F4324" s="561">
        <v>8821.1</v>
      </c>
      <c r="G4324" s="561">
        <v>15</v>
      </c>
      <c r="H4324" s="561">
        <v>12526.711000000001</v>
      </c>
      <c r="I4324" s="561">
        <v>4</v>
      </c>
      <c r="J4324" s="561">
        <v>1006.4570000000001</v>
      </c>
      <c r="K4324" s="561">
        <v>15</v>
      </c>
      <c r="L4324" s="561">
        <v>11520.257000000001</v>
      </c>
      <c r="M4324" s="561">
        <v>11520.257</v>
      </c>
      <c r="N4324" s="561">
        <v>2751.9000000000005</v>
      </c>
      <c r="O4324" s="561">
        <v>0</v>
      </c>
      <c r="Q4324" s="561">
        <v>8768.357</v>
      </c>
      <c r="AL4324" s="561">
        <v>8768.357</v>
      </c>
    </row>
    <row r="4325" spans="1:38">
      <c r="C4325" s="561" t="s">
        <v>1199</v>
      </c>
      <c r="D4325" s="561">
        <v>27819</v>
      </c>
      <c r="E4325" s="561">
        <v>6365.6999999999989</v>
      </c>
      <c r="F4325" s="561">
        <v>21453.300000000003</v>
      </c>
      <c r="G4325" s="561">
        <v>1961</v>
      </c>
      <c r="H4325" s="561">
        <v>28434.3986</v>
      </c>
      <c r="I4325" s="561">
        <v>105</v>
      </c>
      <c r="J4325" s="561">
        <v>539.36259999999993</v>
      </c>
      <c r="K4325" s="561">
        <v>1960</v>
      </c>
      <c r="L4325" s="561">
        <v>27898.031589999999</v>
      </c>
      <c r="M4325" s="561">
        <v>27898.031999999999</v>
      </c>
      <c r="N4325" s="561">
        <v>6365.7000000000007</v>
      </c>
      <c r="O4325" s="561">
        <v>0</v>
      </c>
      <c r="P4325" s="561">
        <v>21532.331999999999</v>
      </c>
      <c r="Q4325" s="561">
        <v>21532.331999999999</v>
      </c>
    </row>
    <row r="4326" spans="1:38">
      <c r="A4326" s="561">
        <v>14</v>
      </c>
      <c r="B4326" s="561" t="s">
        <v>1582</v>
      </c>
      <c r="C4326" s="561" t="s">
        <v>1196</v>
      </c>
      <c r="D4326" s="561">
        <v>247247</v>
      </c>
      <c r="E4326" s="561">
        <v>31117.832999999999</v>
      </c>
      <c r="F4326" s="561">
        <v>216129.16700000002</v>
      </c>
      <c r="G4326" s="561">
        <v>4952</v>
      </c>
      <c r="H4326" s="561">
        <v>258938.26930000001</v>
      </c>
      <c r="I4326" s="561">
        <v>440</v>
      </c>
      <c r="J4326" s="561">
        <v>12109.278200000002</v>
      </c>
      <c r="K4326" s="561">
        <v>4935</v>
      </c>
      <c r="L4326" s="561">
        <v>248494.37300000002</v>
      </c>
      <c r="M4326" s="561">
        <v>247247</v>
      </c>
      <c r="N4326" s="561">
        <v>31117.833000000021</v>
      </c>
      <c r="O4326" s="561">
        <v>0</v>
      </c>
      <c r="P4326" s="561">
        <v>216129.16700000002</v>
      </c>
      <c r="Q4326" s="561">
        <v>216129.16700000002</v>
      </c>
    </row>
    <row r="4327" spans="1:38">
      <c r="C4327" s="561" t="s">
        <v>1197</v>
      </c>
      <c r="D4327" s="561">
        <v>229907</v>
      </c>
      <c r="E4327" s="561">
        <v>29231.075000000001</v>
      </c>
      <c r="F4327" s="561">
        <v>200675.92499999999</v>
      </c>
      <c r="G4327" s="561">
        <v>3587</v>
      </c>
      <c r="H4327" s="561">
        <v>241413.16400000002</v>
      </c>
      <c r="I4327" s="561">
        <v>408</v>
      </c>
      <c r="J4327" s="561">
        <v>11889.737000000003</v>
      </c>
      <c r="K4327" s="561">
        <v>3571</v>
      </c>
      <c r="L4327" s="561">
        <v>231114.44500000001</v>
      </c>
      <c r="M4327" s="561">
        <v>229867.07199999999</v>
      </c>
      <c r="N4327" s="561">
        <v>29231.075000000012</v>
      </c>
      <c r="O4327" s="561">
        <v>0</v>
      </c>
      <c r="Q4327" s="561">
        <v>200635.997</v>
      </c>
    </row>
    <row r="4328" spans="1:38">
      <c r="C4328" s="561" t="s">
        <v>1198</v>
      </c>
      <c r="D4328" s="561">
        <v>0</v>
      </c>
      <c r="E4328" s="561">
        <v>0</v>
      </c>
      <c r="F4328" s="561">
        <v>0</v>
      </c>
      <c r="G4328" s="561">
        <v>0</v>
      </c>
      <c r="H4328" s="561">
        <v>0</v>
      </c>
      <c r="I4328" s="561">
        <v>0</v>
      </c>
      <c r="J4328" s="561">
        <v>0</v>
      </c>
      <c r="K4328" s="561">
        <v>0</v>
      </c>
      <c r="L4328" s="561">
        <v>0</v>
      </c>
      <c r="M4328" s="561">
        <v>0</v>
      </c>
      <c r="N4328" s="561">
        <v>0</v>
      </c>
      <c r="O4328" s="561">
        <v>0</v>
      </c>
      <c r="P4328" s="561">
        <v>0</v>
      </c>
      <c r="Q4328" s="561">
        <v>0</v>
      </c>
    </row>
    <row r="4329" spans="1:38">
      <c r="C4329" s="561" t="s">
        <v>1199</v>
      </c>
      <c r="D4329" s="561">
        <v>17340</v>
      </c>
      <c r="E4329" s="561">
        <v>1886.757999999998</v>
      </c>
      <c r="F4329" s="561">
        <v>15453.242000000002</v>
      </c>
      <c r="G4329" s="561">
        <v>1365</v>
      </c>
      <c r="H4329" s="561">
        <v>17525.105299999996</v>
      </c>
      <c r="I4329" s="561">
        <v>32</v>
      </c>
      <c r="J4329" s="561">
        <v>219.54120000000006</v>
      </c>
      <c r="K4329" s="561">
        <v>1364</v>
      </c>
      <c r="L4329" s="561">
        <v>17379.928</v>
      </c>
      <c r="M4329" s="561">
        <v>17379.927999999996</v>
      </c>
      <c r="N4329" s="561">
        <v>1886.7580000000012</v>
      </c>
      <c r="O4329" s="561">
        <v>0</v>
      </c>
      <c r="P4329" s="561">
        <v>15493.169999999998</v>
      </c>
      <c r="Q4329" s="561">
        <v>15493.169999999998</v>
      </c>
    </row>
    <row r="4330" spans="1:38">
      <c r="A4330" s="561">
        <v>15</v>
      </c>
      <c r="B4330" s="561" t="s">
        <v>1583</v>
      </c>
      <c r="C4330" s="561" t="s">
        <v>1196</v>
      </c>
      <c r="D4330" s="561">
        <v>346819.054</v>
      </c>
      <c r="E4330" s="561">
        <v>97079.4</v>
      </c>
      <c r="F4330" s="561">
        <v>249739.65400000001</v>
      </c>
      <c r="G4330" s="561">
        <v>8833</v>
      </c>
      <c r="H4330" s="561">
        <v>367635.01299999998</v>
      </c>
      <c r="I4330" s="561">
        <v>721</v>
      </c>
      <c r="J4330" s="561">
        <v>13114.127</v>
      </c>
      <c r="K4330" s="561">
        <v>8813</v>
      </c>
      <c r="L4330" s="561">
        <v>353508.66876999999</v>
      </c>
      <c r="M4330" s="561">
        <v>346819.05736999999</v>
      </c>
      <c r="N4330" s="561">
        <v>97079.400000000009</v>
      </c>
      <c r="O4330" s="561">
        <v>0</v>
      </c>
      <c r="P4330" s="561">
        <v>249739.65736999997</v>
      </c>
      <c r="Q4330" s="561">
        <v>249739.65736999997</v>
      </c>
    </row>
    <row r="4331" spans="1:38">
      <c r="C4331" s="561" t="s">
        <v>1197</v>
      </c>
      <c r="D4331" s="561">
        <v>307379</v>
      </c>
      <c r="E4331" s="561">
        <v>89813.7</v>
      </c>
      <c r="F4331" s="561">
        <v>217565.3</v>
      </c>
      <c r="G4331" s="561">
        <v>6228</v>
      </c>
      <c r="H4331" s="561">
        <v>327590.375</v>
      </c>
      <c r="I4331" s="561">
        <v>643</v>
      </c>
      <c r="J4331" s="561">
        <v>12767.166999999999</v>
      </c>
      <c r="K4331" s="561">
        <v>6210</v>
      </c>
      <c r="L4331" s="561">
        <v>313789.45048</v>
      </c>
      <c r="M4331" s="561">
        <v>308071.67637</v>
      </c>
      <c r="N4331" s="561">
        <v>89813.700000000012</v>
      </c>
      <c r="O4331" s="561">
        <v>0</v>
      </c>
      <c r="Q4331" s="561">
        <v>218257.97637000002</v>
      </c>
    </row>
    <row r="4332" spans="1:38">
      <c r="C4332" s="561" t="s">
        <v>1198</v>
      </c>
      <c r="D4332" s="561">
        <v>0</v>
      </c>
      <c r="E4332" s="561">
        <v>0</v>
      </c>
      <c r="F4332" s="561">
        <v>0</v>
      </c>
      <c r="G4332" s="561">
        <v>0</v>
      </c>
      <c r="H4332" s="561">
        <v>0</v>
      </c>
      <c r="I4332" s="561">
        <v>0</v>
      </c>
      <c r="J4332" s="561">
        <v>0</v>
      </c>
      <c r="K4332" s="561">
        <v>0</v>
      </c>
      <c r="L4332" s="561">
        <v>0</v>
      </c>
      <c r="M4332" s="561">
        <v>0</v>
      </c>
      <c r="N4332" s="561">
        <v>0</v>
      </c>
      <c r="O4332" s="561">
        <v>0</v>
      </c>
      <c r="P4332" s="561">
        <v>0</v>
      </c>
      <c r="Q4332" s="561">
        <v>0</v>
      </c>
    </row>
    <row r="4333" spans="1:38">
      <c r="C4333" s="561" t="s">
        <v>1199</v>
      </c>
      <c r="D4333" s="561">
        <v>32719</v>
      </c>
      <c r="E4333" s="561">
        <v>7265.6999999999971</v>
      </c>
      <c r="F4333" s="561">
        <v>25453.300000000003</v>
      </c>
      <c r="G4333" s="561">
        <v>2605</v>
      </c>
      <c r="H4333" s="561">
        <v>32312.15</v>
      </c>
      <c r="I4333" s="561">
        <v>78</v>
      </c>
      <c r="J4333" s="561">
        <v>303.46500000000009</v>
      </c>
      <c r="K4333" s="561">
        <v>2603</v>
      </c>
      <c r="L4333" s="561">
        <v>32030.225290000002</v>
      </c>
      <c r="M4333" s="561">
        <v>32030.225999999999</v>
      </c>
      <c r="N4333" s="561">
        <v>7265.7000000000007</v>
      </c>
      <c r="O4333" s="561">
        <v>0</v>
      </c>
      <c r="P4333" s="561">
        <v>24764.526000000002</v>
      </c>
      <c r="Q4333" s="561">
        <v>24764.526000000002</v>
      </c>
    </row>
    <row r="4334" spans="1:38">
      <c r="C4334" s="561" t="s">
        <v>1202</v>
      </c>
      <c r="D4334" s="561">
        <v>6721.0540000000001</v>
      </c>
      <c r="F4334" s="561">
        <v>6721.0540000000001</v>
      </c>
      <c r="G4334" s="561">
        <v>0</v>
      </c>
      <c r="H4334" s="561">
        <v>7732.4879999999994</v>
      </c>
      <c r="J4334" s="561">
        <v>43.494999999999997</v>
      </c>
      <c r="K4334" s="561">
        <v>0</v>
      </c>
      <c r="L4334" s="561">
        <v>7688.9929999999995</v>
      </c>
      <c r="M4334" s="561">
        <v>6717.1549999999997</v>
      </c>
      <c r="N4334" s="561">
        <v>0</v>
      </c>
      <c r="O4334" s="561">
        <v>0</v>
      </c>
      <c r="P4334" s="561">
        <v>6717.1549999999997</v>
      </c>
      <c r="Q4334" s="561">
        <v>6717.1549999999997</v>
      </c>
    </row>
    <row r="4335" spans="1:38">
      <c r="A4335" s="561">
        <v>16</v>
      </c>
      <c r="B4335" s="561" t="s">
        <v>1584</v>
      </c>
      <c r="C4335" s="561" t="s">
        <v>1196</v>
      </c>
      <c r="D4335" s="561">
        <v>43724</v>
      </c>
      <c r="E4335" s="561">
        <v>11917.2</v>
      </c>
      <c r="F4335" s="561">
        <v>31806.799999999999</v>
      </c>
      <c r="G4335" s="561">
        <v>3216</v>
      </c>
      <c r="H4335" s="561">
        <v>45771.009599999998</v>
      </c>
      <c r="I4335" s="561">
        <v>48</v>
      </c>
      <c r="J4335" s="561">
        <v>402.71859999999975</v>
      </c>
      <c r="K4335" s="561">
        <v>3214</v>
      </c>
      <c r="L4335" s="561">
        <v>44177.663000000008</v>
      </c>
      <c r="M4335" s="561">
        <v>43724</v>
      </c>
      <c r="N4335" s="561">
        <v>11917.2</v>
      </c>
      <c r="O4335" s="561">
        <v>0</v>
      </c>
      <c r="P4335" s="561">
        <v>31806.799999999999</v>
      </c>
      <c r="Q4335" s="561">
        <v>31806.799999999999</v>
      </c>
    </row>
    <row r="4336" spans="1:38">
      <c r="C4336" s="561" t="s">
        <v>1197</v>
      </c>
      <c r="D4336" s="561">
        <v>0</v>
      </c>
      <c r="E4336" s="561">
        <v>0</v>
      </c>
      <c r="F4336" s="561">
        <v>0</v>
      </c>
      <c r="G4336" s="561">
        <v>0</v>
      </c>
      <c r="H4336" s="561">
        <v>0</v>
      </c>
      <c r="I4336" s="561">
        <v>0</v>
      </c>
      <c r="J4336" s="561">
        <v>0</v>
      </c>
      <c r="K4336" s="561">
        <v>0</v>
      </c>
      <c r="L4336" s="561">
        <v>0</v>
      </c>
      <c r="M4336" s="561">
        <v>0</v>
      </c>
      <c r="N4336" s="561">
        <v>0</v>
      </c>
      <c r="O4336" s="561">
        <v>0</v>
      </c>
      <c r="P4336" s="561">
        <v>0</v>
      </c>
      <c r="Q4336" s="561">
        <v>0</v>
      </c>
    </row>
    <row r="4337" spans="1:17">
      <c r="C4337" s="561" t="s">
        <v>1198</v>
      </c>
      <c r="D4337" s="561">
        <v>0</v>
      </c>
      <c r="E4337" s="561">
        <v>0</v>
      </c>
      <c r="F4337" s="561">
        <v>0</v>
      </c>
      <c r="G4337" s="561">
        <v>0</v>
      </c>
      <c r="H4337" s="561">
        <v>0</v>
      </c>
      <c r="I4337" s="561">
        <v>0</v>
      </c>
      <c r="J4337" s="561">
        <v>0</v>
      </c>
      <c r="K4337" s="561">
        <v>0</v>
      </c>
      <c r="L4337" s="561">
        <v>0</v>
      </c>
      <c r="M4337" s="561">
        <v>0</v>
      </c>
      <c r="N4337" s="561">
        <v>0</v>
      </c>
      <c r="O4337" s="561">
        <v>0</v>
      </c>
      <c r="P4337" s="561">
        <v>0</v>
      </c>
      <c r="Q4337" s="561">
        <v>0</v>
      </c>
    </row>
    <row r="4338" spans="1:17">
      <c r="C4338" s="561" t="s">
        <v>1199</v>
      </c>
      <c r="D4338" s="561">
        <v>43724</v>
      </c>
      <c r="E4338" s="561">
        <v>11917.2</v>
      </c>
      <c r="F4338" s="561">
        <v>31806.799999999999</v>
      </c>
      <c r="G4338" s="561">
        <v>3216</v>
      </c>
      <c r="H4338" s="561">
        <v>45771.009599999998</v>
      </c>
      <c r="I4338" s="561">
        <v>48</v>
      </c>
      <c r="J4338" s="561">
        <v>402.71859999999975</v>
      </c>
      <c r="K4338" s="561">
        <v>3214</v>
      </c>
      <c r="L4338" s="561">
        <v>44177.663000000008</v>
      </c>
      <c r="M4338" s="561">
        <v>43724</v>
      </c>
      <c r="N4338" s="561">
        <v>11917.2</v>
      </c>
      <c r="O4338" s="561">
        <v>0</v>
      </c>
      <c r="P4338" s="561">
        <v>31806.799999999999</v>
      </c>
      <c r="Q4338" s="561">
        <v>31806.799999999999</v>
      </c>
    </row>
    <row r="4339" spans="1:17">
      <c r="A4339" s="561">
        <v>17</v>
      </c>
      <c r="B4339" s="561" t="s">
        <v>1585</v>
      </c>
      <c r="C4339" s="561" t="s">
        <v>1196</v>
      </c>
      <c r="D4339" s="561">
        <v>29799</v>
      </c>
      <c r="E4339" s="561">
        <v>8489.7000000000007</v>
      </c>
      <c r="F4339" s="561">
        <v>21309.3</v>
      </c>
      <c r="G4339" s="561">
        <v>2250</v>
      </c>
      <c r="H4339" s="561">
        <v>30429.508600000005</v>
      </c>
      <c r="I4339" s="561">
        <v>68</v>
      </c>
      <c r="J4339" s="561">
        <v>532.08860000000004</v>
      </c>
      <c r="K4339" s="561">
        <v>2250</v>
      </c>
      <c r="L4339" s="561">
        <v>29897.415000000001</v>
      </c>
      <c r="M4339" s="561">
        <v>29798.999999999996</v>
      </c>
      <c r="N4339" s="561">
        <v>8489.7000000000007</v>
      </c>
      <c r="O4339" s="561">
        <v>0</v>
      </c>
      <c r="P4339" s="561">
        <v>21309.299999999996</v>
      </c>
      <c r="Q4339" s="561">
        <v>21309.299999999996</v>
      </c>
    </row>
    <row r="4340" spans="1:17">
      <c r="C4340" s="561" t="s">
        <v>1197</v>
      </c>
      <c r="D4340" s="561">
        <v>0</v>
      </c>
      <c r="E4340" s="561">
        <v>0</v>
      </c>
      <c r="F4340" s="561">
        <v>0</v>
      </c>
      <c r="G4340" s="561">
        <v>0</v>
      </c>
      <c r="H4340" s="561">
        <v>0</v>
      </c>
      <c r="I4340" s="561">
        <v>0</v>
      </c>
      <c r="J4340" s="561">
        <v>0</v>
      </c>
      <c r="K4340" s="561">
        <v>0</v>
      </c>
      <c r="L4340" s="561">
        <v>0</v>
      </c>
      <c r="M4340" s="561">
        <v>0</v>
      </c>
      <c r="N4340" s="561">
        <v>0</v>
      </c>
      <c r="O4340" s="561">
        <v>0</v>
      </c>
      <c r="P4340" s="561">
        <v>0</v>
      </c>
      <c r="Q4340" s="561">
        <v>0</v>
      </c>
    </row>
    <row r="4341" spans="1:17">
      <c r="C4341" s="561" t="s">
        <v>1198</v>
      </c>
      <c r="D4341" s="561">
        <v>0</v>
      </c>
      <c r="E4341" s="561">
        <v>0</v>
      </c>
      <c r="F4341" s="561">
        <v>0</v>
      </c>
      <c r="G4341" s="561">
        <v>0</v>
      </c>
      <c r="H4341" s="561">
        <v>0</v>
      </c>
      <c r="I4341" s="561">
        <v>0</v>
      </c>
      <c r="J4341" s="561">
        <v>0</v>
      </c>
      <c r="K4341" s="561">
        <v>0</v>
      </c>
      <c r="L4341" s="561">
        <v>0</v>
      </c>
      <c r="M4341" s="561">
        <v>0</v>
      </c>
      <c r="N4341" s="561">
        <v>0</v>
      </c>
      <c r="O4341" s="561">
        <v>0</v>
      </c>
      <c r="P4341" s="561">
        <v>0</v>
      </c>
      <c r="Q4341" s="561">
        <v>0</v>
      </c>
    </row>
    <row r="4342" spans="1:17">
      <c r="C4342" s="561" t="s">
        <v>1199</v>
      </c>
      <c r="D4342" s="561">
        <v>29799</v>
      </c>
      <c r="E4342" s="561">
        <v>8489.7000000000007</v>
      </c>
      <c r="F4342" s="561">
        <v>21309.3</v>
      </c>
      <c r="G4342" s="561">
        <v>2250</v>
      </c>
      <c r="H4342" s="561">
        <v>30429.508600000005</v>
      </c>
      <c r="I4342" s="561">
        <v>68</v>
      </c>
      <c r="J4342" s="561">
        <v>532.08860000000004</v>
      </c>
      <c r="K4342" s="561">
        <v>2250</v>
      </c>
      <c r="L4342" s="561">
        <v>29897.415000000001</v>
      </c>
      <c r="M4342" s="561">
        <v>29798.998999999996</v>
      </c>
      <c r="N4342" s="561">
        <v>8489.7000000000007</v>
      </c>
      <c r="O4342" s="561">
        <v>0</v>
      </c>
      <c r="P4342" s="561">
        <v>21309.299999999996</v>
      </c>
      <c r="Q4342" s="561">
        <v>21309.299999999996</v>
      </c>
    </row>
    <row r="4343" spans="1:17">
      <c r="A4343" s="561">
        <v>18</v>
      </c>
      <c r="B4343" s="561" t="s">
        <v>1586</v>
      </c>
      <c r="C4343" s="561" t="s">
        <v>1196</v>
      </c>
      <c r="D4343" s="561">
        <v>85218</v>
      </c>
      <c r="E4343" s="561">
        <v>24965.4</v>
      </c>
      <c r="F4343" s="561">
        <v>60252.6</v>
      </c>
      <c r="G4343" s="561">
        <v>6782</v>
      </c>
      <c r="H4343" s="561">
        <v>88385.329700000002</v>
      </c>
      <c r="I4343" s="561">
        <v>311</v>
      </c>
      <c r="J4343" s="561">
        <v>1880.6858</v>
      </c>
      <c r="K4343" s="561">
        <v>6780</v>
      </c>
      <c r="L4343" s="561">
        <v>86383.257000000012</v>
      </c>
      <c r="M4343" s="561">
        <v>85218</v>
      </c>
      <c r="N4343" s="561">
        <v>24965.400000000005</v>
      </c>
      <c r="O4343" s="561">
        <v>0</v>
      </c>
      <c r="P4343" s="561">
        <v>60252.600000000006</v>
      </c>
      <c r="Q4343" s="561">
        <v>60252.600000000006</v>
      </c>
    </row>
    <row r="4344" spans="1:17">
      <c r="C4344" s="561" t="s">
        <v>1197</v>
      </c>
      <c r="D4344" s="561">
        <v>0</v>
      </c>
      <c r="E4344" s="561">
        <v>0</v>
      </c>
      <c r="F4344" s="561">
        <v>0</v>
      </c>
      <c r="G4344" s="561">
        <v>0</v>
      </c>
      <c r="H4344" s="561">
        <v>0</v>
      </c>
      <c r="I4344" s="561">
        <v>0</v>
      </c>
      <c r="J4344" s="561">
        <v>0</v>
      </c>
      <c r="K4344" s="561">
        <v>0</v>
      </c>
      <c r="L4344" s="561">
        <v>0</v>
      </c>
      <c r="M4344" s="561">
        <v>0</v>
      </c>
      <c r="N4344" s="561">
        <v>0</v>
      </c>
      <c r="O4344" s="561">
        <v>0</v>
      </c>
      <c r="P4344" s="561">
        <v>0</v>
      </c>
      <c r="Q4344" s="561">
        <v>0</v>
      </c>
    </row>
    <row r="4345" spans="1:17">
      <c r="C4345" s="561" t="s">
        <v>1198</v>
      </c>
      <c r="D4345" s="561">
        <v>0</v>
      </c>
      <c r="E4345" s="561">
        <v>0</v>
      </c>
      <c r="F4345" s="561">
        <v>0</v>
      </c>
      <c r="G4345" s="561">
        <v>0</v>
      </c>
      <c r="H4345" s="561">
        <v>0</v>
      </c>
      <c r="I4345" s="561">
        <v>0</v>
      </c>
      <c r="J4345" s="561">
        <v>0</v>
      </c>
      <c r="K4345" s="561">
        <v>0</v>
      </c>
      <c r="L4345" s="561">
        <v>0</v>
      </c>
      <c r="M4345" s="561">
        <v>0</v>
      </c>
      <c r="N4345" s="561">
        <v>0</v>
      </c>
      <c r="O4345" s="561">
        <v>0</v>
      </c>
      <c r="P4345" s="561">
        <v>0</v>
      </c>
      <c r="Q4345" s="561">
        <v>0</v>
      </c>
    </row>
    <row r="4346" spans="1:17">
      <c r="C4346" s="561" t="s">
        <v>1199</v>
      </c>
      <c r="D4346" s="561">
        <v>85218</v>
      </c>
      <c r="E4346" s="561">
        <v>24965.4</v>
      </c>
      <c r="F4346" s="561">
        <v>60252.6</v>
      </c>
      <c r="G4346" s="561">
        <v>6782</v>
      </c>
      <c r="H4346" s="561">
        <v>88385.329700000002</v>
      </c>
      <c r="I4346" s="561">
        <v>311</v>
      </c>
      <c r="J4346" s="561">
        <v>1880.6858</v>
      </c>
      <c r="K4346" s="561">
        <v>6780</v>
      </c>
      <c r="L4346" s="561">
        <v>86383.257000000012</v>
      </c>
      <c r="M4346" s="561">
        <v>85218</v>
      </c>
      <c r="N4346" s="561">
        <v>24965.400000000005</v>
      </c>
      <c r="O4346" s="561">
        <v>0</v>
      </c>
      <c r="P4346" s="561">
        <v>60252.600000000006</v>
      </c>
      <c r="Q4346" s="561">
        <v>60252.600000000006</v>
      </c>
    </row>
    <row r="4347" spans="1:17">
      <c r="A4347" s="561">
        <v>19</v>
      </c>
      <c r="B4347" s="561" t="s">
        <v>1587</v>
      </c>
      <c r="C4347" s="561" t="s">
        <v>1196</v>
      </c>
      <c r="D4347" s="561">
        <v>61342</v>
      </c>
      <c r="E4347" s="561">
        <v>16302.6</v>
      </c>
      <c r="F4347" s="561">
        <v>45039.4</v>
      </c>
      <c r="G4347" s="561">
        <v>5203</v>
      </c>
      <c r="H4347" s="561">
        <v>69934.620720000006</v>
      </c>
      <c r="I4347" s="561">
        <v>239</v>
      </c>
      <c r="J4347" s="561">
        <v>1255.4376000000002</v>
      </c>
      <c r="K4347" s="561">
        <v>4936</v>
      </c>
      <c r="L4347" s="561">
        <v>65189.595999999998</v>
      </c>
      <c r="M4347" s="561">
        <v>61342</v>
      </c>
      <c r="N4347" s="561">
        <v>16302.599999999999</v>
      </c>
      <c r="O4347" s="561">
        <v>0</v>
      </c>
      <c r="P4347" s="561">
        <v>45039.399999999994</v>
      </c>
      <c r="Q4347" s="561">
        <v>45039.399999999994</v>
      </c>
    </row>
    <row r="4348" spans="1:17">
      <c r="C4348" s="561" t="s">
        <v>1197</v>
      </c>
      <c r="D4348" s="561">
        <v>0</v>
      </c>
      <c r="E4348" s="561">
        <v>0</v>
      </c>
      <c r="F4348" s="561">
        <v>0</v>
      </c>
      <c r="G4348" s="561">
        <v>0</v>
      </c>
      <c r="H4348" s="561">
        <v>0</v>
      </c>
      <c r="I4348" s="561">
        <v>0</v>
      </c>
      <c r="J4348" s="561">
        <v>0</v>
      </c>
      <c r="K4348" s="561">
        <v>0</v>
      </c>
      <c r="L4348" s="561">
        <v>0</v>
      </c>
      <c r="M4348" s="561">
        <v>0</v>
      </c>
      <c r="N4348" s="561">
        <v>0</v>
      </c>
      <c r="O4348" s="561">
        <v>0</v>
      </c>
      <c r="P4348" s="561">
        <v>0</v>
      </c>
      <c r="Q4348" s="561">
        <v>0</v>
      </c>
    </row>
    <row r="4349" spans="1:17">
      <c r="C4349" s="561" t="s">
        <v>1198</v>
      </c>
      <c r="D4349" s="561">
        <v>0</v>
      </c>
      <c r="E4349" s="561">
        <v>0</v>
      </c>
      <c r="F4349" s="561">
        <v>0</v>
      </c>
      <c r="G4349" s="561">
        <v>0</v>
      </c>
      <c r="H4349" s="561">
        <v>0</v>
      </c>
      <c r="I4349" s="561">
        <v>0</v>
      </c>
      <c r="J4349" s="561">
        <v>0</v>
      </c>
      <c r="K4349" s="561">
        <v>0</v>
      </c>
      <c r="L4349" s="561">
        <v>0</v>
      </c>
      <c r="M4349" s="561">
        <v>0</v>
      </c>
      <c r="N4349" s="561">
        <v>0</v>
      </c>
      <c r="O4349" s="561">
        <v>0</v>
      </c>
      <c r="P4349" s="561">
        <v>0</v>
      </c>
      <c r="Q4349" s="561">
        <v>0</v>
      </c>
    </row>
    <row r="4350" spans="1:17">
      <c r="C4350" s="561" t="s">
        <v>1199</v>
      </c>
      <c r="D4350" s="561">
        <v>61342</v>
      </c>
      <c r="E4350" s="561">
        <v>16302.6</v>
      </c>
      <c r="F4350" s="561">
        <v>45039.4</v>
      </c>
      <c r="G4350" s="561">
        <v>5203</v>
      </c>
      <c r="H4350" s="561">
        <v>69934.620720000006</v>
      </c>
      <c r="I4350" s="561">
        <v>239</v>
      </c>
      <c r="J4350" s="561">
        <v>1255.4376000000002</v>
      </c>
      <c r="K4350" s="561">
        <v>4936</v>
      </c>
      <c r="L4350" s="561">
        <v>65189.595999999998</v>
      </c>
      <c r="M4350" s="561">
        <v>61342</v>
      </c>
      <c r="N4350" s="561">
        <v>16302.599999999999</v>
      </c>
      <c r="O4350" s="561">
        <v>0</v>
      </c>
      <c r="P4350" s="561">
        <v>45039.399999999994</v>
      </c>
      <c r="Q4350" s="561">
        <v>45039.399999999994</v>
      </c>
    </row>
    <row r="4351" spans="1:17">
      <c r="A4351" s="561">
        <v>20</v>
      </c>
      <c r="B4351" s="561" t="s">
        <v>1588</v>
      </c>
      <c r="C4351" s="561" t="s">
        <v>1196</v>
      </c>
      <c r="D4351" s="561">
        <v>22694</v>
      </c>
      <c r="E4351" s="561">
        <v>5556.6</v>
      </c>
      <c r="F4351" s="561">
        <v>17137.400000000001</v>
      </c>
      <c r="G4351" s="561">
        <v>1867</v>
      </c>
      <c r="H4351" s="561">
        <v>24703.278200000004</v>
      </c>
      <c r="I4351" s="561">
        <v>50</v>
      </c>
      <c r="J4351" s="561">
        <v>266.38800000000003</v>
      </c>
      <c r="K4351" s="561">
        <v>1863</v>
      </c>
      <c r="L4351" s="561">
        <v>24437.963</v>
      </c>
      <c r="M4351" s="561">
        <v>22694</v>
      </c>
      <c r="N4351" s="561">
        <v>5556.5999999999985</v>
      </c>
      <c r="O4351" s="561">
        <v>0</v>
      </c>
      <c r="P4351" s="561">
        <v>17137.400000000001</v>
      </c>
      <c r="Q4351" s="561">
        <v>17137.400000000001</v>
      </c>
    </row>
    <row r="4352" spans="1:17">
      <c r="C4352" s="561" t="s">
        <v>1197</v>
      </c>
      <c r="D4352" s="561">
        <v>0</v>
      </c>
      <c r="E4352" s="561">
        <v>0</v>
      </c>
      <c r="F4352" s="561">
        <v>0</v>
      </c>
      <c r="G4352" s="561">
        <v>0</v>
      </c>
      <c r="H4352" s="561">
        <v>0</v>
      </c>
      <c r="I4352" s="561">
        <v>0</v>
      </c>
      <c r="J4352" s="561">
        <v>0</v>
      </c>
      <c r="K4352" s="561">
        <v>0</v>
      </c>
      <c r="L4352" s="561">
        <v>0</v>
      </c>
      <c r="M4352" s="561">
        <v>0</v>
      </c>
      <c r="N4352" s="561">
        <v>0</v>
      </c>
      <c r="O4352" s="561">
        <v>0</v>
      </c>
      <c r="P4352" s="561">
        <v>0</v>
      </c>
      <c r="Q4352" s="561">
        <v>0</v>
      </c>
    </row>
    <row r="4353" spans="1:17">
      <c r="C4353" s="561" t="s">
        <v>1198</v>
      </c>
      <c r="D4353" s="561">
        <v>0</v>
      </c>
      <c r="E4353" s="561">
        <v>0</v>
      </c>
      <c r="F4353" s="561">
        <v>0</v>
      </c>
      <c r="G4353" s="561">
        <v>0</v>
      </c>
      <c r="H4353" s="561">
        <v>0</v>
      </c>
      <c r="I4353" s="561">
        <v>0</v>
      </c>
      <c r="J4353" s="561">
        <v>0</v>
      </c>
      <c r="K4353" s="561">
        <v>0</v>
      </c>
      <c r="L4353" s="561">
        <v>0</v>
      </c>
      <c r="M4353" s="561">
        <v>0</v>
      </c>
      <c r="N4353" s="561">
        <v>0</v>
      </c>
      <c r="O4353" s="561">
        <v>0</v>
      </c>
      <c r="P4353" s="561">
        <v>0</v>
      </c>
      <c r="Q4353" s="561">
        <v>0</v>
      </c>
    </row>
    <row r="4354" spans="1:17">
      <c r="C4354" s="561" t="s">
        <v>1199</v>
      </c>
      <c r="D4354" s="561">
        <v>22694</v>
      </c>
      <c r="E4354" s="561">
        <v>5556.6</v>
      </c>
      <c r="F4354" s="561">
        <v>17137.400000000001</v>
      </c>
      <c r="G4354" s="561">
        <v>1867</v>
      </c>
      <c r="H4354" s="561">
        <v>24703.278200000004</v>
      </c>
      <c r="I4354" s="561">
        <v>50</v>
      </c>
      <c r="J4354" s="561">
        <v>266.38800000000003</v>
      </c>
      <c r="K4354" s="561">
        <v>1863</v>
      </c>
      <c r="L4354" s="561">
        <v>24437.963</v>
      </c>
      <c r="M4354" s="561">
        <v>22694</v>
      </c>
      <c r="N4354" s="561">
        <v>5556.5999999999985</v>
      </c>
      <c r="O4354" s="561">
        <v>0</v>
      </c>
      <c r="P4354" s="561">
        <v>17137.400000000001</v>
      </c>
      <c r="Q4354" s="561">
        <v>17137.400000000001</v>
      </c>
    </row>
    <row r="4355" spans="1:17">
      <c r="A4355" s="561">
        <v>21</v>
      </c>
      <c r="B4355" s="561" t="s">
        <v>1589</v>
      </c>
      <c r="C4355" s="561" t="s">
        <v>1196</v>
      </c>
      <c r="D4355" s="561">
        <v>17029</v>
      </c>
      <c r="E4355" s="561">
        <v>0</v>
      </c>
      <c r="F4355" s="561">
        <v>17029</v>
      </c>
      <c r="G4355" s="561">
        <v>1001</v>
      </c>
      <c r="H4355" s="561">
        <v>14412.273410000002</v>
      </c>
      <c r="I4355" s="561">
        <v>14</v>
      </c>
      <c r="J4355" s="561">
        <v>65.772000000000006</v>
      </c>
      <c r="K4355" s="561">
        <v>1088</v>
      </c>
      <c r="L4355" s="561">
        <v>14346.499059999998</v>
      </c>
      <c r="M4355" s="561">
        <v>17029</v>
      </c>
      <c r="N4355" s="561">
        <v>0</v>
      </c>
      <c r="O4355" s="561">
        <v>0</v>
      </c>
      <c r="P4355" s="561">
        <v>17029</v>
      </c>
      <c r="Q4355" s="561">
        <v>17029</v>
      </c>
    </row>
    <row r="4356" spans="1:17">
      <c r="C4356" s="561" t="s">
        <v>1197</v>
      </c>
      <c r="D4356" s="561">
        <v>0</v>
      </c>
      <c r="E4356" s="561">
        <v>0</v>
      </c>
      <c r="F4356" s="561">
        <v>0</v>
      </c>
      <c r="G4356" s="561">
        <v>0</v>
      </c>
      <c r="H4356" s="561">
        <v>0</v>
      </c>
      <c r="I4356" s="561">
        <v>0</v>
      </c>
      <c r="J4356" s="561">
        <v>0</v>
      </c>
      <c r="K4356" s="561">
        <v>0</v>
      </c>
      <c r="L4356" s="561">
        <v>0</v>
      </c>
      <c r="M4356" s="561">
        <v>0</v>
      </c>
      <c r="N4356" s="561">
        <v>0</v>
      </c>
      <c r="O4356" s="561">
        <v>0</v>
      </c>
      <c r="P4356" s="561">
        <v>0</v>
      </c>
      <c r="Q4356" s="561">
        <v>0</v>
      </c>
    </row>
    <row r="4357" spans="1:17">
      <c r="C4357" s="561" t="s">
        <v>1198</v>
      </c>
      <c r="D4357" s="561">
        <v>0</v>
      </c>
      <c r="E4357" s="561">
        <v>0</v>
      </c>
      <c r="F4357" s="561">
        <v>0</v>
      </c>
      <c r="G4357" s="561">
        <v>0</v>
      </c>
      <c r="H4357" s="561">
        <v>0</v>
      </c>
      <c r="I4357" s="561">
        <v>0</v>
      </c>
      <c r="J4357" s="561">
        <v>0</v>
      </c>
      <c r="K4357" s="561">
        <v>0</v>
      </c>
      <c r="L4357" s="561">
        <v>0</v>
      </c>
      <c r="M4357" s="561">
        <v>0</v>
      </c>
      <c r="N4357" s="561">
        <v>0</v>
      </c>
      <c r="O4357" s="561">
        <v>0</v>
      </c>
      <c r="P4357" s="561">
        <v>0</v>
      </c>
      <c r="Q4357" s="561">
        <v>0</v>
      </c>
    </row>
    <row r="4358" spans="1:17">
      <c r="C4358" s="561" t="s">
        <v>1199</v>
      </c>
      <c r="D4358" s="561">
        <v>17029</v>
      </c>
      <c r="E4358" s="561">
        <v>0</v>
      </c>
      <c r="F4358" s="561">
        <v>17029</v>
      </c>
      <c r="G4358" s="561">
        <v>1001</v>
      </c>
      <c r="H4358" s="561">
        <v>14412.273410000002</v>
      </c>
      <c r="I4358" s="561">
        <v>14</v>
      </c>
      <c r="J4358" s="561">
        <v>65.772000000000006</v>
      </c>
      <c r="K4358" s="561">
        <v>1088</v>
      </c>
      <c r="L4358" s="561">
        <v>14346.499059999998</v>
      </c>
      <c r="M4358" s="561">
        <v>17029</v>
      </c>
      <c r="N4358" s="561">
        <v>0</v>
      </c>
      <c r="O4358" s="561">
        <v>0</v>
      </c>
      <c r="P4358" s="561">
        <v>17029</v>
      </c>
      <c r="Q4358" s="561">
        <v>17029</v>
      </c>
    </row>
    <row r="4359" spans="1:17">
      <c r="A4359" s="561">
        <v>22</v>
      </c>
      <c r="B4359" s="561" t="s">
        <v>1590</v>
      </c>
      <c r="C4359" s="561" t="s">
        <v>1196</v>
      </c>
      <c r="D4359" s="561">
        <v>606024</v>
      </c>
      <c r="E4359" s="561">
        <v>173107.20000000001</v>
      </c>
      <c r="F4359" s="561">
        <v>432916.8</v>
      </c>
      <c r="G4359" s="561">
        <v>9600</v>
      </c>
      <c r="H4359" s="561">
        <v>638113.54602000001</v>
      </c>
      <c r="I4359" s="561">
        <v>1392</v>
      </c>
      <c r="J4359" s="561">
        <v>47844.635919999993</v>
      </c>
      <c r="K4359" s="561">
        <v>9516</v>
      </c>
      <c r="L4359" s="561">
        <v>607139.30700000003</v>
      </c>
      <c r="M4359" s="561">
        <v>606024</v>
      </c>
      <c r="N4359" s="561">
        <v>173107.20000000001</v>
      </c>
      <c r="O4359" s="561">
        <v>0</v>
      </c>
      <c r="P4359" s="561">
        <v>432916.80000000005</v>
      </c>
      <c r="Q4359" s="561">
        <v>432916.80000000005</v>
      </c>
    </row>
    <row r="4360" spans="1:17">
      <c r="C4360" s="561" t="s">
        <v>1197</v>
      </c>
      <c r="D4360" s="561">
        <v>582782</v>
      </c>
      <c r="E4360" s="561">
        <v>170334.6</v>
      </c>
      <c r="F4360" s="561">
        <v>412447.4</v>
      </c>
      <c r="G4360" s="561">
        <v>8176</v>
      </c>
      <c r="H4360" s="561">
        <v>613549.46300000011</v>
      </c>
      <c r="I4360" s="561">
        <v>1253</v>
      </c>
      <c r="J4360" s="561">
        <v>46874.395999999993</v>
      </c>
      <c r="K4360" s="561">
        <v>8104</v>
      </c>
      <c r="L4360" s="561">
        <v>583545.46600000001</v>
      </c>
      <c r="M4360" s="561">
        <v>582430.15800000005</v>
      </c>
      <c r="N4360" s="561">
        <v>170334.59999999998</v>
      </c>
      <c r="O4360" s="561">
        <v>0</v>
      </c>
      <c r="Q4360" s="561">
        <v>412095.55800000002</v>
      </c>
    </row>
    <row r="4361" spans="1:17">
      <c r="C4361" s="561" t="s">
        <v>1198</v>
      </c>
      <c r="D4361" s="561">
        <v>0</v>
      </c>
      <c r="E4361" s="561">
        <v>0</v>
      </c>
      <c r="F4361" s="561">
        <v>0</v>
      </c>
      <c r="G4361" s="561">
        <v>0</v>
      </c>
      <c r="H4361" s="561">
        <v>0</v>
      </c>
      <c r="I4361" s="561">
        <v>0</v>
      </c>
      <c r="J4361" s="561">
        <v>0</v>
      </c>
      <c r="K4361" s="561">
        <v>0</v>
      </c>
      <c r="L4361" s="561">
        <v>0</v>
      </c>
      <c r="M4361" s="561">
        <v>0</v>
      </c>
      <c r="N4361" s="561">
        <v>0</v>
      </c>
      <c r="O4361" s="561">
        <v>0</v>
      </c>
      <c r="P4361" s="561">
        <v>0</v>
      </c>
      <c r="Q4361" s="561">
        <v>0</v>
      </c>
    </row>
    <row r="4362" spans="1:17">
      <c r="C4362" s="561" t="s">
        <v>1199</v>
      </c>
      <c r="D4362" s="561">
        <v>23242</v>
      </c>
      <c r="E4362" s="561">
        <v>2772.6000000000058</v>
      </c>
      <c r="F4362" s="561">
        <v>20469.399999999994</v>
      </c>
      <c r="G4362" s="561">
        <v>1424</v>
      </c>
      <c r="H4362" s="561">
        <v>24564.083019999995</v>
      </c>
      <c r="I4362" s="561">
        <v>139</v>
      </c>
      <c r="J4362" s="561">
        <v>970.23991999999976</v>
      </c>
      <c r="K4362" s="561">
        <v>1412</v>
      </c>
      <c r="L4362" s="561">
        <v>23593.840999999997</v>
      </c>
      <c r="M4362" s="561">
        <v>23593.841999999997</v>
      </c>
      <c r="N4362" s="561">
        <v>2772.6000000000004</v>
      </c>
      <c r="O4362" s="561">
        <v>0</v>
      </c>
      <c r="P4362" s="561">
        <v>20821.241999999998</v>
      </c>
      <c r="Q4362" s="561">
        <v>20821.241999999998</v>
      </c>
    </row>
    <row r="4363" spans="1:17">
      <c r="A4363" s="561">
        <v>23</v>
      </c>
      <c r="B4363" s="561" t="s">
        <v>1591</v>
      </c>
      <c r="C4363" s="561" t="s">
        <v>1196</v>
      </c>
      <c r="D4363" s="561">
        <v>179933</v>
      </c>
      <c r="E4363" s="561">
        <v>55959.9</v>
      </c>
      <c r="F4363" s="561">
        <v>123973.1</v>
      </c>
      <c r="G4363" s="561">
        <v>3043</v>
      </c>
      <c r="H4363" s="561">
        <v>189498.22322000004</v>
      </c>
      <c r="I4363" s="561">
        <v>212</v>
      </c>
      <c r="J4363" s="561">
        <v>8761.0983999999989</v>
      </c>
      <c r="K4363" s="561">
        <v>3018</v>
      </c>
      <c r="L4363" s="561">
        <v>180952.63199999998</v>
      </c>
      <c r="M4363" s="561">
        <v>179933</v>
      </c>
      <c r="N4363" s="561">
        <v>55959.899999999994</v>
      </c>
      <c r="O4363" s="561">
        <v>0</v>
      </c>
      <c r="P4363" s="561">
        <v>123973.1</v>
      </c>
      <c r="Q4363" s="561">
        <v>123973.1</v>
      </c>
    </row>
    <row r="4364" spans="1:17">
      <c r="C4364" s="561" t="s">
        <v>1197</v>
      </c>
      <c r="D4364" s="561">
        <v>171746</v>
      </c>
      <c r="E4364" s="561">
        <v>53773.8</v>
      </c>
      <c r="F4364" s="561">
        <v>117972.2</v>
      </c>
      <c r="G4364" s="561">
        <v>2392</v>
      </c>
      <c r="H4364" s="561">
        <v>181138.73239000005</v>
      </c>
      <c r="I4364" s="561">
        <v>185</v>
      </c>
      <c r="J4364" s="561">
        <v>8593.3169999999991</v>
      </c>
      <c r="K4364" s="561">
        <v>2372</v>
      </c>
      <c r="L4364" s="561">
        <v>172760.92399999997</v>
      </c>
      <c r="M4364" s="561">
        <v>171765.32700000002</v>
      </c>
      <c r="N4364" s="561">
        <v>53773.8</v>
      </c>
      <c r="O4364" s="561">
        <v>0</v>
      </c>
      <c r="Q4364" s="561">
        <v>117991.527</v>
      </c>
    </row>
    <row r="4365" spans="1:17">
      <c r="C4365" s="561" t="s">
        <v>1198</v>
      </c>
      <c r="D4365" s="561">
        <v>0</v>
      </c>
      <c r="E4365" s="561">
        <v>0</v>
      </c>
      <c r="F4365" s="561">
        <v>0</v>
      </c>
      <c r="G4365" s="561">
        <v>0</v>
      </c>
      <c r="H4365" s="561">
        <v>0</v>
      </c>
      <c r="I4365" s="561">
        <v>0</v>
      </c>
      <c r="J4365" s="561">
        <v>0</v>
      </c>
      <c r="K4365" s="561">
        <v>0</v>
      </c>
      <c r="L4365" s="561">
        <v>0</v>
      </c>
      <c r="M4365" s="561">
        <v>0</v>
      </c>
      <c r="N4365" s="561">
        <v>0</v>
      </c>
      <c r="O4365" s="561">
        <v>0</v>
      </c>
      <c r="P4365" s="561">
        <v>0</v>
      </c>
      <c r="Q4365" s="561">
        <v>0</v>
      </c>
    </row>
    <row r="4366" spans="1:17">
      <c r="C4366" s="561" t="s">
        <v>1199</v>
      </c>
      <c r="D4366" s="561">
        <v>8187</v>
      </c>
      <c r="E4366" s="561">
        <v>2186.0999999999985</v>
      </c>
      <c r="F4366" s="561">
        <v>6000.9000000000015</v>
      </c>
      <c r="G4366" s="561">
        <v>651</v>
      </c>
      <c r="H4366" s="561">
        <v>8359.4908299999988</v>
      </c>
      <c r="I4366" s="561">
        <v>27</v>
      </c>
      <c r="J4366" s="561">
        <v>167.78140000000008</v>
      </c>
      <c r="K4366" s="561">
        <v>646</v>
      </c>
      <c r="L4366" s="561">
        <v>8191.7079999999996</v>
      </c>
      <c r="M4366" s="561">
        <v>8167.6729999999989</v>
      </c>
      <c r="N4366" s="561">
        <v>2186.1</v>
      </c>
      <c r="O4366" s="561">
        <v>0</v>
      </c>
      <c r="P4366" s="561">
        <v>5981.5730000000003</v>
      </c>
      <c r="Q4366" s="561">
        <v>5981.5730000000003</v>
      </c>
    </row>
    <row r="4367" spans="1:17">
      <c r="A4367" s="561">
        <v>24</v>
      </c>
      <c r="B4367" s="561" t="s">
        <v>1592</v>
      </c>
      <c r="C4367" s="561" t="s">
        <v>1196</v>
      </c>
      <c r="D4367" s="561">
        <v>294847</v>
      </c>
      <c r="E4367" s="561">
        <v>88454.1</v>
      </c>
      <c r="F4367" s="561">
        <v>206392.9</v>
      </c>
      <c r="G4367" s="561">
        <v>6351</v>
      </c>
      <c r="H4367" s="561">
        <v>306168.10141999996</v>
      </c>
      <c r="I4367" s="561">
        <v>602</v>
      </c>
      <c r="J4367" s="561">
        <v>11026.16713</v>
      </c>
      <c r="K4367" s="561">
        <v>6323</v>
      </c>
      <c r="L4367" s="561">
        <v>295531.84499999997</v>
      </c>
      <c r="M4367" s="561">
        <v>294847</v>
      </c>
      <c r="N4367" s="561">
        <v>88454.1</v>
      </c>
      <c r="O4367" s="561">
        <v>0</v>
      </c>
      <c r="P4367" s="561">
        <v>206392.89999999997</v>
      </c>
      <c r="Q4367" s="561">
        <v>206392.89999999997</v>
      </c>
    </row>
    <row r="4368" spans="1:17">
      <c r="C4368" s="561" t="s">
        <v>1197</v>
      </c>
      <c r="D4368" s="561">
        <v>290005</v>
      </c>
      <c r="E4368" s="561">
        <v>87001.5</v>
      </c>
      <c r="F4368" s="561">
        <v>203003.5</v>
      </c>
      <c r="G4368" s="561">
        <v>5892</v>
      </c>
      <c r="H4368" s="561">
        <v>300855.88</v>
      </c>
      <c r="I4368" s="561">
        <v>506</v>
      </c>
      <c r="J4368" s="561">
        <v>10624.503709999999</v>
      </c>
      <c r="K4368" s="561">
        <v>5871</v>
      </c>
      <c r="L4368" s="561">
        <v>290621.28999999998</v>
      </c>
      <c r="M4368" s="561">
        <v>289936.44399999996</v>
      </c>
      <c r="N4368" s="561">
        <v>87001.5</v>
      </c>
      <c r="O4368" s="561">
        <v>0</v>
      </c>
      <c r="Q4368" s="561">
        <v>202934.94399999999</v>
      </c>
    </row>
    <row r="4369" spans="1:17">
      <c r="C4369" s="561" t="s">
        <v>1198</v>
      </c>
      <c r="D4369" s="561">
        <v>0</v>
      </c>
      <c r="E4369" s="561">
        <v>0</v>
      </c>
      <c r="F4369" s="561">
        <v>0</v>
      </c>
      <c r="G4369" s="561">
        <v>0</v>
      </c>
      <c r="H4369" s="561">
        <v>0</v>
      </c>
      <c r="I4369" s="561">
        <v>0</v>
      </c>
      <c r="J4369" s="561">
        <v>0</v>
      </c>
      <c r="K4369" s="561">
        <v>0</v>
      </c>
      <c r="L4369" s="561">
        <v>0</v>
      </c>
      <c r="M4369" s="561">
        <v>0</v>
      </c>
      <c r="N4369" s="561">
        <v>0</v>
      </c>
      <c r="O4369" s="561">
        <v>0</v>
      </c>
      <c r="P4369" s="561">
        <v>0</v>
      </c>
      <c r="Q4369" s="561">
        <v>0</v>
      </c>
    </row>
    <row r="4370" spans="1:17">
      <c r="C4370" s="561" t="s">
        <v>1199</v>
      </c>
      <c r="D4370" s="561">
        <v>4842</v>
      </c>
      <c r="E4370" s="561">
        <v>1452.6000000000058</v>
      </c>
      <c r="F4370" s="561">
        <v>3389.3999999999942</v>
      </c>
      <c r="G4370" s="561">
        <v>459</v>
      </c>
      <c r="H4370" s="561">
        <v>5312.221419999998</v>
      </c>
      <c r="I4370" s="561">
        <v>96</v>
      </c>
      <c r="J4370" s="561">
        <v>401.66341999999997</v>
      </c>
      <c r="K4370" s="561">
        <v>452</v>
      </c>
      <c r="L4370" s="561">
        <v>4910.5550000000003</v>
      </c>
      <c r="M4370" s="561">
        <v>4910.5560000000005</v>
      </c>
      <c r="N4370" s="561">
        <v>1452.6000000000004</v>
      </c>
      <c r="O4370" s="561">
        <v>0</v>
      </c>
      <c r="P4370" s="561">
        <v>3457.9560000000001</v>
      </c>
      <c r="Q4370" s="561">
        <v>3457.9560000000001</v>
      </c>
    </row>
    <row r="4371" spans="1:17">
      <c r="A4371" s="561">
        <v>25</v>
      </c>
      <c r="B4371" s="561" t="s">
        <v>1593</v>
      </c>
      <c r="C4371" s="561" t="s">
        <v>1196</v>
      </c>
      <c r="D4371" s="561">
        <v>25082</v>
      </c>
      <c r="E4371" s="561">
        <v>7524.6</v>
      </c>
      <c r="F4371" s="561">
        <v>17557.400000000001</v>
      </c>
      <c r="G4371" s="561">
        <v>883</v>
      </c>
      <c r="H4371" s="561">
        <v>27909.467479999999</v>
      </c>
      <c r="I4371" s="561">
        <v>98</v>
      </c>
      <c r="J4371" s="561">
        <v>1496.3521500000002</v>
      </c>
      <c r="K4371" s="561">
        <v>877</v>
      </c>
      <c r="L4371" s="561">
        <v>26413.076929999999</v>
      </c>
      <c r="M4371" s="561">
        <v>25081.999999999996</v>
      </c>
      <c r="N4371" s="561">
        <v>7524.5999999999995</v>
      </c>
      <c r="O4371" s="561">
        <v>0</v>
      </c>
      <c r="P4371" s="561">
        <v>17557.400000000001</v>
      </c>
      <c r="Q4371" s="561">
        <v>17557.400000000001</v>
      </c>
    </row>
    <row r="4372" spans="1:17">
      <c r="C4372" s="561" t="s">
        <v>1197</v>
      </c>
      <c r="D4372" s="561">
        <v>19099</v>
      </c>
      <c r="E4372" s="561">
        <v>5729.7</v>
      </c>
      <c r="F4372" s="561">
        <v>13369.3</v>
      </c>
      <c r="G4372" s="561">
        <v>374</v>
      </c>
      <c r="H4372" s="561">
        <v>21444.72653</v>
      </c>
      <c r="I4372" s="561">
        <v>55</v>
      </c>
      <c r="J4372" s="561">
        <v>1229.1055100000001</v>
      </c>
      <c r="K4372" s="561">
        <v>372</v>
      </c>
      <c r="L4372" s="561">
        <v>20215.616999999998</v>
      </c>
      <c r="M4372" s="561">
        <v>19028.646999999997</v>
      </c>
      <c r="N4372" s="561">
        <v>5729.7000000000007</v>
      </c>
      <c r="O4372" s="561">
        <v>0</v>
      </c>
      <c r="Q4372" s="561">
        <v>13298.947</v>
      </c>
    </row>
    <row r="4373" spans="1:17">
      <c r="C4373" s="561" t="s">
        <v>1198</v>
      </c>
      <c r="D4373" s="561">
        <v>0</v>
      </c>
      <c r="E4373" s="561">
        <v>0</v>
      </c>
      <c r="F4373" s="561">
        <v>0</v>
      </c>
      <c r="G4373" s="561">
        <v>0</v>
      </c>
      <c r="H4373" s="561">
        <v>0</v>
      </c>
      <c r="I4373" s="561">
        <v>0</v>
      </c>
      <c r="J4373" s="561">
        <v>0</v>
      </c>
      <c r="K4373" s="561">
        <v>0</v>
      </c>
      <c r="L4373" s="561">
        <v>0</v>
      </c>
      <c r="M4373" s="561">
        <v>0</v>
      </c>
      <c r="N4373" s="561">
        <v>0</v>
      </c>
      <c r="O4373" s="561">
        <v>0</v>
      </c>
      <c r="P4373" s="561">
        <v>0</v>
      </c>
      <c r="Q4373" s="561">
        <v>0</v>
      </c>
    </row>
    <row r="4374" spans="1:17">
      <c r="C4374" s="561" t="s">
        <v>1199</v>
      </c>
      <c r="D4374" s="561">
        <v>5983</v>
      </c>
      <c r="E4374" s="561">
        <v>1794.9000000000005</v>
      </c>
      <c r="F4374" s="561">
        <v>4188.0999999999995</v>
      </c>
      <c r="G4374" s="561">
        <v>509</v>
      </c>
      <c r="H4374" s="561">
        <v>6464.7409500000003</v>
      </c>
      <c r="I4374" s="561">
        <v>43</v>
      </c>
      <c r="J4374" s="561">
        <v>267.24663999999996</v>
      </c>
      <c r="K4374" s="561">
        <v>505</v>
      </c>
      <c r="L4374" s="561">
        <v>6197.45993</v>
      </c>
      <c r="M4374" s="561">
        <v>6053.3530000000001</v>
      </c>
      <c r="N4374" s="561">
        <v>1794.9</v>
      </c>
      <c r="O4374" s="561">
        <v>0</v>
      </c>
      <c r="P4374" s="561">
        <v>4258.4530000000004</v>
      </c>
      <c r="Q4374" s="561">
        <v>4258.4530000000004</v>
      </c>
    </row>
    <row r="4375" spans="1:17">
      <c r="A4375" s="561">
        <v>26</v>
      </c>
      <c r="B4375" s="561" t="s">
        <v>1594</v>
      </c>
      <c r="C4375" s="561" t="s">
        <v>1196</v>
      </c>
      <c r="D4375" s="561">
        <v>28900</v>
      </c>
      <c r="E4375" s="561">
        <v>8670</v>
      </c>
      <c r="F4375" s="561">
        <v>20230</v>
      </c>
      <c r="G4375" s="561">
        <v>507</v>
      </c>
      <c r="H4375" s="561">
        <v>29580.678190000002</v>
      </c>
      <c r="I4375" s="561">
        <v>34</v>
      </c>
      <c r="J4375" s="561">
        <v>579.59799999999996</v>
      </c>
      <c r="K4375" s="561">
        <v>507</v>
      </c>
      <c r="L4375" s="561">
        <v>29002.273000000001</v>
      </c>
      <c r="M4375" s="561">
        <v>28899.999999999996</v>
      </c>
      <c r="N4375" s="561">
        <v>8669.9999999999982</v>
      </c>
      <c r="O4375" s="561">
        <v>0</v>
      </c>
      <c r="P4375" s="561">
        <v>20230</v>
      </c>
      <c r="Q4375" s="561">
        <v>20230</v>
      </c>
    </row>
    <row r="4376" spans="1:17">
      <c r="C4376" s="561" t="s">
        <v>1197</v>
      </c>
      <c r="D4376" s="561">
        <v>28900</v>
      </c>
      <c r="E4376" s="561">
        <v>8670</v>
      </c>
      <c r="F4376" s="561">
        <v>20230</v>
      </c>
      <c r="G4376" s="561">
        <v>507</v>
      </c>
      <c r="H4376" s="561">
        <v>29580.678190000002</v>
      </c>
      <c r="I4376" s="561">
        <v>34</v>
      </c>
      <c r="J4376" s="561">
        <v>579.59799999999996</v>
      </c>
      <c r="K4376" s="561">
        <v>507</v>
      </c>
      <c r="L4376" s="561">
        <v>29002.273000000001</v>
      </c>
      <c r="M4376" s="561">
        <v>28899.999999999996</v>
      </c>
      <c r="N4376" s="561">
        <v>8669.9999999999982</v>
      </c>
      <c r="O4376" s="561">
        <v>0</v>
      </c>
      <c r="Q4376" s="561">
        <v>20230</v>
      </c>
    </row>
    <row r="4377" spans="1:17">
      <c r="C4377" s="561" t="s">
        <v>1198</v>
      </c>
      <c r="D4377" s="561">
        <v>0</v>
      </c>
      <c r="E4377" s="561">
        <v>0</v>
      </c>
      <c r="F4377" s="561">
        <v>0</v>
      </c>
      <c r="G4377" s="561">
        <v>0</v>
      </c>
      <c r="H4377" s="561">
        <v>0</v>
      </c>
      <c r="I4377" s="561">
        <v>0</v>
      </c>
      <c r="J4377" s="561">
        <v>0</v>
      </c>
      <c r="K4377" s="561">
        <v>0</v>
      </c>
      <c r="L4377" s="561">
        <v>0</v>
      </c>
      <c r="M4377" s="561">
        <v>0</v>
      </c>
      <c r="N4377" s="561">
        <v>0</v>
      </c>
      <c r="O4377" s="561">
        <v>0</v>
      </c>
      <c r="P4377" s="561">
        <v>0</v>
      </c>
      <c r="Q4377" s="561">
        <v>0</v>
      </c>
    </row>
    <row r="4378" spans="1:17">
      <c r="C4378" s="561" t="s">
        <v>1199</v>
      </c>
      <c r="D4378" s="561">
        <v>0</v>
      </c>
      <c r="E4378" s="561">
        <v>0</v>
      </c>
      <c r="F4378" s="561">
        <v>0</v>
      </c>
      <c r="G4378" s="561">
        <v>0</v>
      </c>
      <c r="H4378" s="561">
        <v>0</v>
      </c>
      <c r="I4378" s="561">
        <v>0</v>
      </c>
      <c r="J4378" s="561">
        <v>0</v>
      </c>
      <c r="K4378" s="561">
        <v>0</v>
      </c>
      <c r="L4378" s="561">
        <v>0</v>
      </c>
      <c r="M4378" s="561">
        <v>0</v>
      </c>
      <c r="N4378" s="561">
        <v>0</v>
      </c>
      <c r="O4378" s="561">
        <v>0</v>
      </c>
      <c r="P4378" s="561">
        <v>0</v>
      </c>
      <c r="Q4378" s="561">
        <v>0</v>
      </c>
    </row>
    <row r="4379" spans="1:17">
      <c r="A4379" s="561">
        <v>27</v>
      </c>
      <c r="B4379" s="561" t="s">
        <v>1595</v>
      </c>
      <c r="C4379" s="561" t="s">
        <v>1196</v>
      </c>
      <c r="D4379" s="561">
        <v>24245</v>
      </c>
      <c r="E4379" s="561">
        <v>6973.5</v>
      </c>
      <c r="F4379" s="561">
        <v>17271.5</v>
      </c>
      <c r="G4379" s="561">
        <v>1586</v>
      </c>
      <c r="H4379" s="561">
        <v>24956.02072</v>
      </c>
      <c r="I4379" s="561">
        <v>146</v>
      </c>
      <c r="J4379" s="561">
        <v>527.4559999999999</v>
      </c>
      <c r="K4379" s="561">
        <v>1585</v>
      </c>
      <c r="L4379" s="561">
        <v>24428.559999999998</v>
      </c>
      <c r="M4379" s="561">
        <v>24245.000000000004</v>
      </c>
      <c r="N4379" s="561">
        <v>6973.5</v>
      </c>
      <c r="O4379" s="561">
        <v>0</v>
      </c>
      <c r="P4379" s="561">
        <v>17271.5</v>
      </c>
      <c r="Q4379" s="561">
        <v>17271.5</v>
      </c>
    </row>
    <row r="4380" spans="1:17">
      <c r="C4380" s="561" t="s">
        <v>1197</v>
      </c>
      <c r="D4380" s="561">
        <v>0</v>
      </c>
      <c r="E4380" s="561">
        <v>0</v>
      </c>
      <c r="F4380" s="561">
        <v>0</v>
      </c>
      <c r="G4380" s="561">
        <v>0</v>
      </c>
      <c r="H4380" s="561">
        <v>0</v>
      </c>
      <c r="I4380" s="561">
        <v>0</v>
      </c>
      <c r="J4380" s="561">
        <v>0</v>
      </c>
      <c r="K4380" s="561">
        <v>0</v>
      </c>
      <c r="L4380" s="561">
        <v>0</v>
      </c>
      <c r="M4380" s="561">
        <v>0</v>
      </c>
      <c r="N4380" s="561">
        <v>0</v>
      </c>
      <c r="O4380" s="561">
        <v>0</v>
      </c>
      <c r="P4380" s="561">
        <v>0</v>
      </c>
      <c r="Q4380" s="561">
        <v>0</v>
      </c>
    </row>
    <row r="4381" spans="1:17">
      <c r="C4381" s="561" t="s">
        <v>1198</v>
      </c>
      <c r="D4381" s="561">
        <v>0</v>
      </c>
      <c r="E4381" s="561">
        <v>0</v>
      </c>
      <c r="F4381" s="561">
        <v>0</v>
      </c>
      <c r="G4381" s="561">
        <v>0</v>
      </c>
      <c r="H4381" s="561">
        <v>0</v>
      </c>
      <c r="I4381" s="561">
        <v>0</v>
      </c>
      <c r="J4381" s="561">
        <v>0</v>
      </c>
      <c r="K4381" s="561">
        <v>0</v>
      </c>
      <c r="L4381" s="561">
        <v>0</v>
      </c>
      <c r="M4381" s="561">
        <v>0</v>
      </c>
      <c r="N4381" s="561">
        <v>0</v>
      </c>
      <c r="O4381" s="561">
        <v>0</v>
      </c>
      <c r="P4381" s="561">
        <v>0</v>
      </c>
      <c r="Q4381" s="561">
        <v>0</v>
      </c>
    </row>
    <row r="4382" spans="1:17">
      <c r="C4382" s="561" t="s">
        <v>1199</v>
      </c>
      <c r="D4382" s="561">
        <v>24245</v>
      </c>
      <c r="E4382" s="561">
        <v>6973.5</v>
      </c>
      <c r="F4382" s="561">
        <v>17271.5</v>
      </c>
      <c r="G4382" s="561">
        <v>1586</v>
      </c>
      <c r="H4382" s="561">
        <v>24956.02072</v>
      </c>
      <c r="I4382" s="561">
        <v>146</v>
      </c>
      <c r="J4382" s="561">
        <v>527.4559999999999</v>
      </c>
      <c r="K4382" s="561">
        <v>1585</v>
      </c>
      <c r="L4382" s="561">
        <v>24428.559999999998</v>
      </c>
      <c r="M4382" s="561">
        <v>24245.000000000004</v>
      </c>
      <c r="N4382" s="561">
        <v>6973.5</v>
      </c>
      <c r="O4382" s="561">
        <v>0</v>
      </c>
      <c r="P4382" s="561">
        <v>17271.5</v>
      </c>
      <c r="Q4382" s="561">
        <v>17271.5</v>
      </c>
    </row>
    <row r="4383" spans="1:17">
      <c r="A4383" s="561">
        <v>28</v>
      </c>
      <c r="B4383" s="561" t="s">
        <v>1596</v>
      </c>
      <c r="C4383" s="561" t="s">
        <v>1196</v>
      </c>
      <c r="D4383" s="561">
        <v>18847</v>
      </c>
      <c r="E4383" s="561">
        <v>5504.1</v>
      </c>
      <c r="F4383" s="561">
        <v>13342.9</v>
      </c>
      <c r="G4383" s="561">
        <v>1398</v>
      </c>
      <c r="H4383" s="561">
        <v>20873.8344</v>
      </c>
      <c r="I4383" s="561">
        <v>218</v>
      </c>
      <c r="J4383" s="561">
        <v>777.66920000000016</v>
      </c>
      <c r="K4383" s="561">
        <v>1398</v>
      </c>
      <c r="L4383" s="561">
        <v>20096.100999999999</v>
      </c>
      <c r="M4383" s="561">
        <v>18847</v>
      </c>
      <c r="N4383" s="561">
        <v>5504.0999999999995</v>
      </c>
      <c r="O4383" s="561">
        <v>0</v>
      </c>
      <c r="P4383" s="561">
        <v>13342.9</v>
      </c>
      <c r="Q4383" s="561">
        <v>13342.9</v>
      </c>
    </row>
    <row r="4384" spans="1:17">
      <c r="C4384" s="561" t="s">
        <v>1197</v>
      </c>
      <c r="D4384" s="561">
        <v>0</v>
      </c>
      <c r="E4384" s="561">
        <v>0</v>
      </c>
      <c r="F4384" s="561">
        <v>0</v>
      </c>
      <c r="G4384" s="561">
        <v>0</v>
      </c>
      <c r="H4384" s="561">
        <v>0</v>
      </c>
      <c r="I4384" s="561">
        <v>0</v>
      </c>
      <c r="J4384" s="561">
        <v>0</v>
      </c>
      <c r="K4384" s="561">
        <v>0</v>
      </c>
      <c r="L4384" s="561">
        <v>0</v>
      </c>
      <c r="M4384" s="561">
        <v>0</v>
      </c>
      <c r="N4384" s="561">
        <v>0</v>
      </c>
      <c r="O4384" s="561">
        <v>0</v>
      </c>
      <c r="P4384" s="561">
        <v>0</v>
      </c>
      <c r="Q4384" s="561">
        <v>0</v>
      </c>
    </row>
    <row r="4385" spans="1:17">
      <c r="C4385" s="561" t="s">
        <v>1198</v>
      </c>
      <c r="D4385" s="561">
        <v>0</v>
      </c>
      <c r="E4385" s="561">
        <v>0</v>
      </c>
      <c r="F4385" s="561">
        <v>0</v>
      </c>
      <c r="G4385" s="561">
        <v>0</v>
      </c>
      <c r="H4385" s="561">
        <v>0</v>
      </c>
      <c r="I4385" s="561">
        <v>0</v>
      </c>
      <c r="J4385" s="561">
        <v>0</v>
      </c>
      <c r="K4385" s="561">
        <v>0</v>
      </c>
      <c r="L4385" s="561">
        <v>0</v>
      </c>
      <c r="M4385" s="561">
        <v>0</v>
      </c>
      <c r="N4385" s="561">
        <v>0</v>
      </c>
      <c r="O4385" s="561">
        <v>0</v>
      </c>
      <c r="P4385" s="561">
        <v>0</v>
      </c>
      <c r="Q4385" s="561">
        <v>0</v>
      </c>
    </row>
    <row r="4386" spans="1:17">
      <c r="C4386" s="561" t="s">
        <v>1199</v>
      </c>
      <c r="D4386" s="561">
        <v>18847</v>
      </c>
      <c r="E4386" s="561">
        <v>5504.1</v>
      </c>
      <c r="F4386" s="561">
        <v>13342.9</v>
      </c>
      <c r="G4386" s="561">
        <v>1398</v>
      </c>
      <c r="H4386" s="561">
        <v>20873.8344</v>
      </c>
      <c r="I4386" s="561">
        <v>218</v>
      </c>
      <c r="J4386" s="561">
        <v>777.66920000000016</v>
      </c>
      <c r="K4386" s="561">
        <v>1398</v>
      </c>
      <c r="L4386" s="561">
        <v>20096.100999999999</v>
      </c>
      <c r="M4386" s="561">
        <v>18847</v>
      </c>
      <c r="N4386" s="561">
        <v>5504.0999999999995</v>
      </c>
      <c r="O4386" s="561">
        <v>0</v>
      </c>
      <c r="P4386" s="561">
        <v>13342.9</v>
      </c>
      <c r="Q4386" s="561">
        <v>13342.9</v>
      </c>
    </row>
    <row r="4387" spans="1:17">
      <c r="A4387" s="561">
        <v>29</v>
      </c>
      <c r="B4387" s="561" t="s">
        <v>1597</v>
      </c>
      <c r="C4387" s="561" t="s">
        <v>1196</v>
      </c>
      <c r="D4387" s="561">
        <v>5000</v>
      </c>
      <c r="E4387" s="561">
        <v>1410</v>
      </c>
      <c r="F4387" s="561">
        <v>3590</v>
      </c>
      <c r="G4387" s="561">
        <v>376</v>
      </c>
      <c r="H4387" s="561">
        <v>5969.7694499999998</v>
      </c>
      <c r="I4387" s="561">
        <v>44</v>
      </c>
      <c r="J4387" s="561">
        <v>324.75765000000001</v>
      </c>
      <c r="K4387" s="561">
        <v>374</v>
      </c>
      <c r="L4387" s="561">
        <v>5645.0050000000001</v>
      </c>
      <c r="M4387" s="561">
        <v>5000</v>
      </c>
      <c r="N4387" s="561">
        <v>1409.9999999999998</v>
      </c>
      <c r="O4387" s="561">
        <v>0</v>
      </c>
      <c r="P4387" s="561">
        <v>3590</v>
      </c>
      <c r="Q4387" s="561">
        <v>3590</v>
      </c>
    </row>
    <row r="4388" spans="1:17">
      <c r="C4388" s="561" t="s">
        <v>1197</v>
      </c>
      <c r="D4388" s="561">
        <v>0</v>
      </c>
      <c r="E4388" s="561">
        <v>0</v>
      </c>
      <c r="F4388" s="561">
        <v>0</v>
      </c>
      <c r="G4388" s="561">
        <v>0</v>
      </c>
      <c r="H4388" s="561">
        <v>0</v>
      </c>
      <c r="I4388" s="561">
        <v>0</v>
      </c>
      <c r="J4388" s="561">
        <v>0</v>
      </c>
      <c r="K4388" s="561">
        <v>0</v>
      </c>
      <c r="L4388" s="561">
        <v>0</v>
      </c>
      <c r="M4388" s="561">
        <v>0</v>
      </c>
      <c r="N4388" s="561">
        <v>0</v>
      </c>
      <c r="O4388" s="561">
        <v>0</v>
      </c>
      <c r="P4388" s="561">
        <v>0</v>
      </c>
      <c r="Q4388" s="561">
        <v>0</v>
      </c>
    </row>
    <row r="4389" spans="1:17">
      <c r="C4389" s="561" t="s">
        <v>1198</v>
      </c>
      <c r="D4389" s="561">
        <v>0</v>
      </c>
      <c r="E4389" s="561">
        <v>0</v>
      </c>
      <c r="F4389" s="561">
        <v>0</v>
      </c>
      <c r="G4389" s="561">
        <v>0</v>
      </c>
      <c r="H4389" s="561">
        <v>0</v>
      </c>
      <c r="I4389" s="561">
        <v>0</v>
      </c>
      <c r="J4389" s="561">
        <v>0</v>
      </c>
      <c r="K4389" s="561">
        <v>0</v>
      </c>
      <c r="L4389" s="561">
        <v>0</v>
      </c>
      <c r="M4389" s="561">
        <v>0</v>
      </c>
      <c r="N4389" s="561">
        <v>0</v>
      </c>
      <c r="O4389" s="561">
        <v>0</v>
      </c>
      <c r="P4389" s="561">
        <v>0</v>
      </c>
      <c r="Q4389" s="561">
        <v>0</v>
      </c>
    </row>
    <row r="4390" spans="1:17">
      <c r="C4390" s="561" t="s">
        <v>1199</v>
      </c>
      <c r="D4390" s="561">
        <v>5000</v>
      </c>
      <c r="E4390" s="561">
        <v>1410</v>
      </c>
      <c r="F4390" s="561">
        <v>3590</v>
      </c>
      <c r="G4390" s="561">
        <v>376</v>
      </c>
      <c r="H4390" s="561">
        <v>5969.7694499999998</v>
      </c>
      <c r="I4390" s="561">
        <v>44</v>
      </c>
      <c r="J4390" s="561">
        <v>324.75765000000001</v>
      </c>
      <c r="K4390" s="561">
        <v>374</v>
      </c>
      <c r="L4390" s="561">
        <v>5645.0050000000001</v>
      </c>
      <c r="M4390" s="561">
        <v>5000</v>
      </c>
      <c r="N4390" s="561">
        <v>1409.9999999999998</v>
      </c>
      <c r="O4390" s="561">
        <v>0</v>
      </c>
      <c r="P4390" s="561">
        <v>3590</v>
      </c>
      <c r="Q4390" s="561">
        <v>3590</v>
      </c>
    </row>
    <row r="4391" spans="1:17">
      <c r="A4391" s="561">
        <v>30</v>
      </c>
      <c r="B4391" s="561" t="s">
        <v>1598</v>
      </c>
      <c r="C4391" s="561" t="s">
        <v>1196</v>
      </c>
      <c r="D4391" s="561">
        <v>22052</v>
      </c>
      <c r="E4391" s="561">
        <v>4995.6000000000004</v>
      </c>
      <c r="F4391" s="561">
        <v>17056.400000000001</v>
      </c>
      <c r="G4391" s="561">
        <v>1593</v>
      </c>
      <c r="H4391" s="561">
        <v>26055.844969999998</v>
      </c>
      <c r="I4391" s="561">
        <v>113</v>
      </c>
      <c r="J4391" s="561">
        <v>658.91300000000001</v>
      </c>
      <c r="K4391" s="561">
        <v>1586</v>
      </c>
      <c r="L4391" s="561">
        <v>25600.319</v>
      </c>
      <c r="M4391" s="561">
        <v>22052</v>
      </c>
      <c r="N4391" s="561">
        <v>4995.6000000000013</v>
      </c>
      <c r="O4391" s="561">
        <v>0</v>
      </c>
      <c r="P4391" s="561">
        <v>17056.399999999998</v>
      </c>
      <c r="Q4391" s="561">
        <v>17056.399999999998</v>
      </c>
    </row>
    <row r="4392" spans="1:17">
      <c r="C4392" s="561" t="s">
        <v>1197</v>
      </c>
      <c r="D4392" s="561">
        <v>0</v>
      </c>
      <c r="E4392" s="561">
        <v>0</v>
      </c>
      <c r="F4392" s="561">
        <v>0</v>
      </c>
      <c r="G4392" s="561">
        <v>0</v>
      </c>
      <c r="H4392" s="561">
        <v>0</v>
      </c>
      <c r="I4392" s="561">
        <v>0</v>
      </c>
      <c r="J4392" s="561">
        <v>0</v>
      </c>
      <c r="K4392" s="561">
        <v>0</v>
      </c>
      <c r="L4392" s="561">
        <v>0</v>
      </c>
      <c r="M4392" s="561">
        <v>0</v>
      </c>
      <c r="N4392" s="561">
        <v>0</v>
      </c>
      <c r="O4392" s="561">
        <v>0</v>
      </c>
      <c r="P4392" s="561">
        <v>0</v>
      </c>
      <c r="Q4392" s="561">
        <v>0</v>
      </c>
    </row>
    <row r="4393" spans="1:17">
      <c r="C4393" s="561" t="s">
        <v>1198</v>
      </c>
      <c r="D4393" s="561">
        <v>0</v>
      </c>
      <c r="E4393" s="561">
        <v>0</v>
      </c>
      <c r="F4393" s="561">
        <v>0</v>
      </c>
      <c r="G4393" s="561">
        <v>0</v>
      </c>
      <c r="H4393" s="561">
        <v>0</v>
      </c>
      <c r="I4393" s="561">
        <v>0</v>
      </c>
      <c r="J4393" s="561">
        <v>0</v>
      </c>
      <c r="K4393" s="561">
        <v>0</v>
      </c>
      <c r="L4393" s="561">
        <v>0</v>
      </c>
      <c r="M4393" s="561">
        <v>0</v>
      </c>
      <c r="N4393" s="561">
        <v>0</v>
      </c>
      <c r="O4393" s="561">
        <v>0</v>
      </c>
      <c r="P4393" s="561">
        <v>0</v>
      </c>
      <c r="Q4393" s="561">
        <v>0</v>
      </c>
    </row>
    <row r="4394" spans="1:17">
      <c r="C4394" s="561" t="s">
        <v>1199</v>
      </c>
      <c r="D4394" s="561">
        <v>22052</v>
      </c>
      <c r="E4394" s="561">
        <v>4995.6000000000004</v>
      </c>
      <c r="F4394" s="561">
        <v>17056.400000000001</v>
      </c>
      <c r="G4394" s="561">
        <v>1593</v>
      </c>
      <c r="H4394" s="561">
        <v>26055.844969999998</v>
      </c>
      <c r="I4394" s="561">
        <v>113</v>
      </c>
      <c r="J4394" s="561">
        <v>658.91300000000001</v>
      </c>
      <c r="K4394" s="561">
        <v>1586</v>
      </c>
      <c r="L4394" s="561">
        <v>25600.319</v>
      </c>
      <c r="M4394" s="561">
        <v>22052</v>
      </c>
      <c r="N4394" s="561">
        <v>4995.6000000000013</v>
      </c>
      <c r="O4394" s="561">
        <v>0</v>
      </c>
      <c r="P4394" s="561">
        <v>17056.399999999998</v>
      </c>
      <c r="Q4394" s="561">
        <v>17056.399999999998</v>
      </c>
    </row>
    <row r="4395" spans="1:17">
      <c r="A4395" s="561">
        <v>31</v>
      </c>
      <c r="B4395" s="561" t="s">
        <v>1599</v>
      </c>
      <c r="C4395" s="561" t="s">
        <v>1196</v>
      </c>
      <c r="D4395" s="561">
        <v>386192</v>
      </c>
      <c r="E4395" s="561">
        <v>110457.60000000001</v>
      </c>
      <c r="F4395" s="561">
        <v>275734.40000000002</v>
      </c>
      <c r="G4395" s="561">
        <v>7607</v>
      </c>
      <c r="H4395" s="561">
        <v>407786.04839999991</v>
      </c>
      <c r="I4395" s="561">
        <v>833</v>
      </c>
      <c r="J4395" s="561">
        <v>29782.6214</v>
      </c>
      <c r="K4395" s="561">
        <v>7496</v>
      </c>
      <c r="L4395" s="561">
        <v>386603.46299999999</v>
      </c>
      <c r="M4395" s="561">
        <v>386192</v>
      </c>
      <c r="N4395" s="561">
        <v>110457.60000000001</v>
      </c>
      <c r="O4395" s="561">
        <v>0</v>
      </c>
      <c r="P4395" s="561">
        <v>275734.39999999997</v>
      </c>
      <c r="Q4395" s="561">
        <v>275734.39999999997</v>
      </c>
    </row>
    <row r="4396" spans="1:17">
      <c r="C4396" s="561" t="s">
        <v>1197</v>
      </c>
      <c r="D4396" s="561">
        <v>366486</v>
      </c>
      <c r="E4396" s="561">
        <v>106795.8</v>
      </c>
      <c r="F4396" s="561">
        <v>259690.2</v>
      </c>
      <c r="G4396" s="561">
        <v>6187</v>
      </c>
      <c r="H4396" s="561">
        <v>388271.95199999999</v>
      </c>
      <c r="I4396" s="561">
        <v>766</v>
      </c>
      <c r="J4396" s="561">
        <v>29365.273000000001</v>
      </c>
      <c r="K4396" s="561">
        <v>6080</v>
      </c>
      <c r="L4396" s="561">
        <v>367506.71499999997</v>
      </c>
      <c r="M4396" s="561">
        <v>367095.25199999998</v>
      </c>
      <c r="N4396" s="561">
        <v>106795.80000000002</v>
      </c>
      <c r="O4396" s="561">
        <v>0</v>
      </c>
      <c r="Q4396" s="561">
        <v>260299.45199999999</v>
      </c>
    </row>
    <row r="4397" spans="1:17">
      <c r="C4397" s="561" t="s">
        <v>1198</v>
      </c>
      <c r="D4397" s="561">
        <v>0</v>
      </c>
      <c r="E4397" s="561">
        <v>0</v>
      </c>
      <c r="F4397" s="561">
        <v>0</v>
      </c>
      <c r="G4397" s="561">
        <v>0</v>
      </c>
      <c r="H4397" s="561">
        <v>0</v>
      </c>
      <c r="I4397" s="561">
        <v>0</v>
      </c>
      <c r="J4397" s="561">
        <v>0</v>
      </c>
      <c r="K4397" s="561">
        <v>0</v>
      </c>
      <c r="L4397" s="561">
        <v>0</v>
      </c>
      <c r="M4397" s="561">
        <v>0</v>
      </c>
      <c r="N4397" s="561">
        <v>0</v>
      </c>
      <c r="O4397" s="561">
        <v>0</v>
      </c>
      <c r="P4397" s="561">
        <v>0</v>
      </c>
      <c r="Q4397" s="561">
        <v>0</v>
      </c>
    </row>
    <row r="4398" spans="1:17">
      <c r="C4398" s="561" t="s">
        <v>1199</v>
      </c>
      <c r="D4398" s="561">
        <v>19706</v>
      </c>
      <c r="E4398" s="561">
        <v>3661.8000000000029</v>
      </c>
      <c r="F4398" s="561">
        <v>16044.199999999997</v>
      </c>
      <c r="G4398" s="561">
        <v>1420</v>
      </c>
      <c r="H4398" s="561">
        <v>19514.096399999995</v>
      </c>
      <c r="I4398" s="561">
        <v>67</v>
      </c>
      <c r="J4398" s="561">
        <v>417.34839999999997</v>
      </c>
      <c r="K4398" s="561">
        <v>1416</v>
      </c>
      <c r="L4398" s="561">
        <v>19096.747999999996</v>
      </c>
      <c r="M4398" s="561">
        <v>19096.748</v>
      </c>
      <c r="N4398" s="561">
        <v>3661.8000000000011</v>
      </c>
      <c r="O4398" s="561">
        <v>0</v>
      </c>
      <c r="P4398" s="561">
        <v>15434.947999999999</v>
      </c>
      <c r="Q4398" s="561">
        <v>15434.947999999999</v>
      </c>
    </row>
    <row r="4399" spans="1:17">
      <c r="A4399" s="561">
        <v>32</v>
      </c>
      <c r="B4399" s="561" t="s">
        <v>1600</v>
      </c>
      <c r="C4399" s="561" t="s">
        <v>1196</v>
      </c>
      <c r="D4399" s="561">
        <v>23420</v>
      </c>
      <c r="E4399" s="561">
        <v>7026</v>
      </c>
      <c r="F4399" s="561">
        <v>16394</v>
      </c>
      <c r="G4399" s="561">
        <v>1730</v>
      </c>
      <c r="H4399" s="561">
        <v>24509.352800000004</v>
      </c>
      <c r="I4399" s="561">
        <v>58</v>
      </c>
      <c r="J4399" s="561">
        <v>282.73080000000004</v>
      </c>
      <c r="K4399" s="561">
        <v>1730</v>
      </c>
      <c r="L4399" s="561">
        <v>23787.951999999997</v>
      </c>
      <c r="M4399" s="561">
        <v>23419.999999999996</v>
      </c>
      <c r="N4399" s="561">
        <v>7026</v>
      </c>
      <c r="O4399" s="561">
        <v>0</v>
      </c>
      <c r="P4399" s="561">
        <v>16394</v>
      </c>
      <c r="Q4399" s="561">
        <v>16394</v>
      </c>
    </row>
    <row r="4400" spans="1:17">
      <c r="C4400" s="561" t="s">
        <v>1197</v>
      </c>
      <c r="D4400" s="561">
        <v>0</v>
      </c>
      <c r="E4400" s="561">
        <v>0</v>
      </c>
      <c r="F4400" s="561">
        <v>0</v>
      </c>
      <c r="G4400" s="561">
        <v>0</v>
      </c>
      <c r="H4400" s="561">
        <v>0</v>
      </c>
      <c r="I4400" s="561">
        <v>0</v>
      </c>
      <c r="J4400" s="561">
        <v>0</v>
      </c>
      <c r="K4400" s="561">
        <v>0</v>
      </c>
      <c r="L4400" s="561">
        <v>0</v>
      </c>
      <c r="M4400" s="561">
        <v>0</v>
      </c>
      <c r="N4400" s="561">
        <v>0</v>
      </c>
      <c r="O4400" s="561">
        <v>0</v>
      </c>
      <c r="P4400" s="561">
        <v>0</v>
      </c>
      <c r="Q4400" s="561">
        <v>0</v>
      </c>
    </row>
    <row r="4401" spans="1:17">
      <c r="C4401" s="561" t="s">
        <v>1198</v>
      </c>
      <c r="D4401" s="561">
        <v>0</v>
      </c>
      <c r="E4401" s="561">
        <v>0</v>
      </c>
      <c r="F4401" s="561">
        <v>0</v>
      </c>
      <c r="G4401" s="561">
        <v>0</v>
      </c>
      <c r="H4401" s="561">
        <v>0</v>
      </c>
      <c r="I4401" s="561">
        <v>0</v>
      </c>
      <c r="J4401" s="561">
        <v>0</v>
      </c>
      <c r="K4401" s="561">
        <v>0</v>
      </c>
      <c r="L4401" s="561">
        <v>0</v>
      </c>
      <c r="M4401" s="561">
        <v>0</v>
      </c>
      <c r="N4401" s="561">
        <v>0</v>
      </c>
      <c r="O4401" s="561">
        <v>0</v>
      </c>
      <c r="P4401" s="561">
        <v>0</v>
      </c>
      <c r="Q4401" s="561">
        <v>0</v>
      </c>
    </row>
    <row r="4402" spans="1:17">
      <c r="C4402" s="561" t="s">
        <v>1199</v>
      </c>
      <c r="D4402" s="561">
        <v>23420</v>
      </c>
      <c r="E4402" s="561">
        <v>7026</v>
      </c>
      <c r="F4402" s="561">
        <v>16394</v>
      </c>
      <c r="G4402" s="561">
        <v>1730</v>
      </c>
      <c r="H4402" s="561">
        <v>24509.352800000004</v>
      </c>
      <c r="I4402" s="561">
        <v>58</v>
      </c>
      <c r="J4402" s="561">
        <v>282.73080000000004</v>
      </c>
      <c r="K4402" s="561">
        <v>1730</v>
      </c>
      <c r="L4402" s="561">
        <v>23787.951999999997</v>
      </c>
      <c r="M4402" s="561">
        <v>23419.999999999996</v>
      </c>
      <c r="N4402" s="561">
        <v>7026</v>
      </c>
      <c r="O4402" s="561">
        <v>0</v>
      </c>
      <c r="P4402" s="561">
        <v>16394</v>
      </c>
      <c r="Q4402" s="561">
        <v>16394</v>
      </c>
    </row>
    <row r="4403" spans="1:17">
      <c r="A4403" s="561">
        <v>33</v>
      </c>
      <c r="B4403" s="561" t="s">
        <v>1601</v>
      </c>
      <c r="C4403" s="561" t="s">
        <v>1196</v>
      </c>
      <c r="D4403" s="561">
        <v>7485</v>
      </c>
      <c r="E4403" s="561">
        <v>2035.5</v>
      </c>
      <c r="F4403" s="561">
        <v>5449.5</v>
      </c>
      <c r="G4403" s="561">
        <v>634</v>
      </c>
      <c r="H4403" s="561">
        <v>8018.7429999999995</v>
      </c>
      <c r="I4403" s="561">
        <v>32</v>
      </c>
      <c r="J4403" s="561">
        <v>169.108</v>
      </c>
      <c r="K4403" s="561">
        <v>634</v>
      </c>
      <c r="L4403" s="561">
        <v>7509.8950000000004</v>
      </c>
      <c r="M4403" s="561">
        <v>7485</v>
      </c>
      <c r="N4403" s="561">
        <v>2035.4999999999998</v>
      </c>
      <c r="O4403" s="561">
        <v>0</v>
      </c>
      <c r="P4403" s="561">
        <v>5449.5</v>
      </c>
      <c r="Q4403" s="561">
        <v>5449.5</v>
      </c>
    </row>
    <row r="4404" spans="1:17">
      <c r="C4404" s="561" t="s">
        <v>1197</v>
      </c>
      <c r="D4404" s="561">
        <v>0</v>
      </c>
      <c r="E4404" s="561">
        <v>0</v>
      </c>
      <c r="F4404" s="561">
        <v>0</v>
      </c>
      <c r="G4404" s="561">
        <v>0</v>
      </c>
      <c r="H4404" s="561">
        <v>0</v>
      </c>
      <c r="I4404" s="561">
        <v>0</v>
      </c>
      <c r="J4404" s="561">
        <v>0</v>
      </c>
      <c r="K4404" s="561">
        <v>0</v>
      </c>
      <c r="L4404" s="561">
        <v>0</v>
      </c>
      <c r="M4404" s="561">
        <v>0</v>
      </c>
      <c r="N4404" s="561">
        <v>0</v>
      </c>
      <c r="O4404" s="561">
        <v>0</v>
      </c>
      <c r="P4404" s="561">
        <v>0</v>
      </c>
      <c r="Q4404" s="561">
        <v>0</v>
      </c>
    </row>
    <row r="4405" spans="1:17">
      <c r="C4405" s="561" t="s">
        <v>1198</v>
      </c>
      <c r="D4405" s="561">
        <v>0</v>
      </c>
      <c r="E4405" s="561">
        <v>0</v>
      </c>
      <c r="F4405" s="561">
        <v>0</v>
      </c>
      <c r="G4405" s="561">
        <v>0</v>
      </c>
      <c r="H4405" s="561">
        <v>0</v>
      </c>
      <c r="I4405" s="561">
        <v>0</v>
      </c>
      <c r="J4405" s="561">
        <v>0</v>
      </c>
      <c r="K4405" s="561">
        <v>0</v>
      </c>
      <c r="L4405" s="561">
        <v>0</v>
      </c>
      <c r="M4405" s="561">
        <v>0</v>
      </c>
      <c r="N4405" s="561">
        <v>0</v>
      </c>
      <c r="O4405" s="561">
        <v>0</v>
      </c>
      <c r="P4405" s="561">
        <v>0</v>
      </c>
      <c r="Q4405" s="561">
        <v>0</v>
      </c>
    </row>
    <row r="4406" spans="1:17">
      <c r="C4406" s="561" t="s">
        <v>1199</v>
      </c>
      <c r="D4406" s="561">
        <v>7485</v>
      </c>
      <c r="E4406" s="561">
        <v>2035.5</v>
      </c>
      <c r="F4406" s="561">
        <v>5449.5</v>
      </c>
      <c r="G4406" s="561">
        <v>634</v>
      </c>
      <c r="H4406" s="561">
        <v>8018.7429999999995</v>
      </c>
      <c r="I4406" s="561">
        <v>32</v>
      </c>
      <c r="J4406" s="561">
        <v>169.108</v>
      </c>
      <c r="K4406" s="561">
        <v>634</v>
      </c>
      <c r="L4406" s="561">
        <v>7509.8950000000004</v>
      </c>
      <c r="M4406" s="561">
        <v>7485</v>
      </c>
      <c r="N4406" s="561">
        <v>2035.4999999999998</v>
      </c>
      <c r="O4406" s="561">
        <v>0</v>
      </c>
      <c r="P4406" s="561">
        <v>5449.5</v>
      </c>
      <c r="Q4406" s="561">
        <v>5449.5</v>
      </c>
    </row>
    <row r="4407" spans="1:17">
      <c r="A4407" s="561">
        <v>34</v>
      </c>
      <c r="B4407" s="561" t="s">
        <v>1602</v>
      </c>
      <c r="C4407" s="561" t="s">
        <v>1196</v>
      </c>
      <c r="D4407" s="561">
        <v>485832</v>
      </c>
      <c r="E4407" s="561">
        <v>141399.6</v>
      </c>
      <c r="F4407" s="561">
        <v>344432.4</v>
      </c>
      <c r="G4407" s="561">
        <v>8495</v>
      </c>
      <c r="H4407" s="561">
        <v>541679.22479999997</v>
      </c>
      <c r="I4407" s="561">
        <v>1145</v>
      </c>
      <c r="J4407" s="561">
        <v>45835.402800000003</v>
      </c>
      <c r="K4407" s="561">
        <v>8460</v>
      </c>
      <c r="L4407" s="561">
        <v>501333.52999999997</v>
      </c>
      <c r="M4407" s="561">
        <v>485832</v>
      </c>
      <c r="N4407" s="561">
        <v>141399.6</v>
      </c>
      <c r="O4407" s="561">
        <v>0</v>
      </c>
      <c r="P4407" s="561">
        <v>344432.4</v>
      </c>
      <c r="Q4407" s="561">
        <v>344432.4</v>
      </c>
    </row>
    <row r="4408" spans="1:17">
      <c r="C4408" s="561" t="s">
        <v>1197</v>
      </c>
      <c r="D4408" s="561">
        <v>468751</v>
      </c>
      <c r="E4408" s="561">
        <v>137925.29999999999</v>
      </c>
      <c r="F4408" s="561">
        <v>330825.7</v>
      </c>
      <c r="G4408" s="561">
        <v>7342</v>
      </c>
      <c r="H4408" s="561">
        <v>524008.24599999993</v>
      </c>
      <c r="I4408" s="561">
        <v>1082</v>
      </c>
      <c r="J4408" s="561">
        <v>45535.886000000006</v>
      </c>
      <c r="K4408" s="561">
        <v>7308</v>
      </c>
      <c r="L4408" s="561">
        <v>483962.02299999999</v>
      </c>
      <c r="M4408" s="561">
        <v>468460.49300000002</v>
      </c>
      <c r="N4408" s="561">
        <v>137925.30000000002</v>
      </c>
      <c r="O4408" s="561">
        <v>0</v>
      </c>
      <c r="Q4408" s="561">
        <v>330535.19300000003</v>
      </c>
    </row>
    <row r="4409" spans="1:17">
      <c r="C4409" s="561" t="s">
        <v>1198</v>
      </c>
      <c r="D4409" s="561">
        <v>0</v>
      </c>
      <c r="E4409" s="561">
        <v>0</v>
      </c>
      <c r="F4409" s="561">
        <v>0</v>
      </c>
      <c r="G4409" s="561">
        <v>0</v>
      </c>
      <c r="H4409" s="561">
        <v>0</v>
      </c>
      <c r="I4409" s="561">
        <v>0</v>
      </c>
      <c r="J4409" s="561">
        <v>0</v>
      </c>
      <c r="K4409" s="561">
        <v>0</v>
      </c>
      <c r="L4409" s="561">
        <v>0</v>
      </c>
      <c r="M4409" s="561">
        <v>0</v>
      </c>
      <c r="N4409" s="561">
        <v>0</v>
      </c>
      <c r="O4409" s="561">
        <v>0</v>
      </c>
      <c r="P4409" s="561">
        <v>0</v>
      </c>
      <c r="Q4409" s="561">
        <v>0</v>
      </c>
    </row>
    <row r="4410" spans="1:17">
      <c r="C4410" s="561" t="s">
        <v>1199</v>
      </c>
      <c r="D4410" s="561">
        <v>17081</v>
      </c>
      <c r="E4410" s="561">
        <v>3474.3000000000175</v>
      </c>
      <c r="F4410" s="561">
        <v>13606.699999999983</v>
      </c>
      <c r="G4410" s="561">
        <v>1153</v>
      </c>
      <c r="H4410" s="561">
        <v>17670.978799999997</v>
      </c>
      <c r="I4410" s="561">
        <v>63</v>
      </c>
      <c r="J4410" s="561">
        <v>299.51680000000005</v>
      </c>
      <c r="K4410" s="561">
        <v>1152</v>
      </c>
      <c r="L4410" s="561">
        <v>17371.506999999998</v>
      </c>
      <c r="M4410" s="561">
        <v>17371.507000000001</v>
      </c>
      <c r="N4410" s="561">
        <v>3474.3000000000011</v>
      </c>
      <c r="O4410" s="561">
        <v>0</v>
      </c>
      <c r="P4410" s="561">
        <v>13897.207</v>
      </c>
      <c r="Q4410" s="561">
        <v>13897.207</v>
      </c>
    </row>
    <row r="4411" spans="1:17">
      <c r="A4411" s="561">
        <v>35</v>
      </c>
      <c r="B4411" s="561" t="s">
        <v>1603</v>
      </c>
      <c r="C4411" s="561" t="s">
        <v>1196</v>
      </c>
      <c r="D4411" s="561">
        <v>114363.098</v>
      </c>
      <c r="E4411" s="561">
        <v>34726.5</v>
      </c>
      <c r="F4411" s="561">
        <v>79636.597999999998</v>
      </c>
      <c r="G4411" s="561">
        <v>2557</v>
      </c>
      <c r="H4411" s="561">
        <v>120146.59804</v>
      </c>
      <c r="I4411" s="561">
        <v>215</v>
      </c>
      <c r="J4411" s="561">
        <v>6138.5020500000001</v>
      </c>
      <c r="K4411" s="561">
        <v>2529</v>
      </c>
      <c r="L4411" s="561">
        <v>114999.17499999999</v>
      </c>
      <c r="M4411" s="561">
        <v>114363.09699999999</v>
      </c>
      <c r="N4411" s="561">
        <v>34726.500000000007</v>
      </c>
      <c r="O4411" s="561">
        <v>0</v>
      </c>
      <c r="P4411" s="561">
        <v>79636.597999999998</v>
      </c>
      <c r="Q4411" s="561">
        <v>79636.597999999998</v>
      </c>
    </row>
    <row r="4412" spans="1:17">
      <c r="C4412" s="561" t="s">
        <v>1197</v>
      </c>
      <c r="D4412" s="561">
        <v>98664</v>
      </c>
      <c r="E4412" s="561">
        <v>31099.200000000001</v>
      </c>
      <c r="F4412" s="561">
        <v>67564.800000000003</v>
      </c>
      <c r="G4412" s="561">
        <v>1408</v>
      </c>
      <c r="H4412" s="561">
        <v>101519.46114</v>
      </c>
      <c r="I4412" s="561">
        <v>141</v>
      </c>
      <c r="J4412" s="561">
        <v>5642.2979999999998</v>
      </c>
      <c r="K4412" s="561">
        <v>1385</v>
      </c>
      <c r="L4412" s="561">
        <v>96867.84599999999</v>
      </c>
      <c r="M4412" s="561">
        <v>96521.609999999986</v>
      </c>
      <c r="N4412" s="561">
        <v>31099.200000000004</v>
      </c>
      <c r="O4412" s="561">
        <v>0</v>
      </c>
      <c r="Q4412" s="561">
        <v>65422.411</v>
      </c>
    </row>
    <row r="4413" spans="1:17">
      <c r="C4413" s="561" t="s">
        <v>1198</v>
      </c>
      <c r="D4413" s="561">
        <v>0</v>
      </c>
      <c r="E4413" s="561">
        <v>0</v>
      </c>
      <c r="F4413" s="561">
        <v>0</v>
      </c>
      <c r="G4413" s="561">
        <v>0</v>
      </c>
      <c r="H4413" s="561">
        <v>0</v>
      </c>
      <c r="I4413" s="561">
        <v>0</v>
      </c>
      <c r="J4413" s="561">
        <v>0</v>
      </c>
      <c r="K4413" s="561">
        <v>0</v>
      </c>
      <c r="L4413" s="561">
        <v>0</v>
      </c>
      <c r="M4413" s="561">
        <v>0</v>
      </c>
      <c r="N4413" s="561">
        <v>0</v>
      </c>
      <c r="O4413" s="561">
        <v>0</v>
      </c>
      <c r="P4413" s="561">
        <v>0</v>
      </c>
      <c r="Q4413" s="561">
        <v>0</v>
      </c>
    </row>
    <row r="4414" spans="1:17">
      <c r="C4414" s="561" t="s">
        <v>1199</v>
      </c>
      <c r="D4414" s="561">
        <v>12091</v>
      </c>
      <c r="E4414" s="561">
        <v>3627.2999999999993</v>
      </c>
      <c r="F4414" s="561">
        <v>8463.7000000000007</v>
      </c>
      <c r="G4414" s="561">
        <v>1149</v>
      </c>
      <c r="H4414" s="561">
        <v>15391.296900000001</v>
      </c>
      <c r="I4414" s="561">
        <v>74</v>
      </c>
      <c r="J4414" s="561">
        <v>496.20405</v>
      </c>
      <c r="K4414" s="561">
        <v>1144</v>
      </c>
      <c r="L4414" s="561">
        <v>14895.489</v>
      </c>
      <c r="M4414" s="561">
        <v>14895.489</v>
      </c>
      <c r="N4414" s="561">
        <v>3627.3</v>
      </c>
      <c r="O4414" s="561">
        <v>0</v>
      </c>
      <c r="P4414" s="561">
        <v>11268.189</v>
      </c>
      <c r="Q4414" s="561">
        <v>11268.189</v>
      </c>
    </row>
    <row r="4415" spans="1:17">
      <c r="C4415" s="561" t="s">
        <v>1202</v>
      </c>
      <c r="D4415" s="561">
        <v>3608.098</v>
      </c>
      <c r="F4415" s="561">
        <v>3608.098</v>
      </c>
      <c r="G4415" s="561">
        <v>0</v>
      </c>
      <c r="H4415" s="561">
        <v>3235.84</v>
      </c>
      <c r="I4415" s="561">
        <v>0</v>
      </c>
      <c r="J4415" s="561">
        <v>0</v>
      </c>
      <c r="K4415" s="561">
        <v>0</v>
      </c>
      <c r="L4415" s="561">
        <v>3235.84</v>
      </c>
      <c r="M4415" s="561">
        <v>2945.998</v>
      </c>
      <c r="N4415" s="561">
        <v>0</v>
      </c>
      <c r="O4415" s="561">
        <v>0</v>
      </c>
      <c r="P4415" s="561">
        <v>2945.998</v>
      </c>
      <c r="Q4415" s="561">
        <v>2945.998</v>
      </c>
    </row>
    <row r="4416" spans="1:17">
      <c r="A4416" s="561">
        <v>36</v>
      </c>
      <c r="B4416" s="561" t="s">
        <v>1604</v>
      </c>
      <c r="C4416" s="561" t="s">
        <v>1196</v>
      </c>
      <c r="D4416" s="561">
        <v>258055</v>
      </c>
      <c r="E4416" s="561">
        <v>56164.5</v>
      </c>
      <c r="F4416" s="561">
        <v>201890.5</v>
      </c>
      <c r="G4416" s="561">
        <v>5033</v>
      </c>
      <c r="H4416" s="561">
        <v>280557.97900000005</v>
      </c>
      <c r="I4416" s="561">
        <v>599</v>
      </c>
      <c r="J4416" s="561">
        <v>13933.138000000001</v>
      </c>
      <c r="K4416" s="561">
        <v>5017</v>
      </c>
      <c r="L4416" s="561">
        <v>266891.21388</v>
      </c>
      <c r="M4416" s="561">
        <v>258054.99999999997</v>
      </c>
      <c r="N4416" s="561">
        <v>56164.499999999985</v>
      </c>
      <c r="O4416" s="561">
        <v>0</v>
      </c>
      <c r="P4416" s="561">
        <v>201890.5</v>
      </c>
      <c r="Q4416" s="561">
        <v>201890.5</v>
      </c>
    </row>
    <row r="4417" spans="1:17">
      <c r="C4417" s="561" t="s">
        <v>1197</v>
      </c>
      <c r="D4417" s="561">
        <v>249491</v>
      </c>
      <c r="E4417" s="561">
        <v>54235.199999999997</v>
      </c>
      <c r="F4417" s="561">
        <v>195255.8</v>
      </c>
      <c r="G4417" s="561">
        <v>4335</v>
      </c>
      <c r="H4417" s="561">
        <v>271918.41299999994</v>
      </c>
      <c r="I4417" s="561">
        <v>549</v>
      </c>
      <c r="J4417" s="561">
        <v>13634.741</v>
      </c>
      <c r="K4417" s="561">
        <v>4320</v>
      </c>
      <c r="L4417" s="561">
        <v>258548.04366</v>
      </c>
      <c r="M4417" s="561">
        <v>249711.83000000002</v>
      </c>
      <c r="N4417" s="561">
        <v>54235.199999999997</v>
      </c>
      <c r="O4417" s="561">
        <v>0</v>
      </c>
      <c r="Q4417" s="561">
        <v>195476.63000000003</v>
      </c>
    </row>
    <row r="4418" spans="1:17">
      <c r="C4418" s="561" t="s">
        <v>1198</v>
      </c>
      <c r="D4418" s="561">
        <v>0</v>
      </c>
      <c r="E4418" s="561">
        <v>0</v>
      </c>
      <c r="F4418" s="561">
        <v>0</v>
      </c>
      <c r="G4418" s="561">
        <v>0</v>
      </c>
      <c r="H4418" s="561">
        <v>0</v>
      </c>
      <c r="I4418" s="561">
        <v>0</v>
      </c>
      <c r="J4418" s="561">
        <v>0</v>
      </c>
      <c r="K4418" s="561">
        <v>0</v>
      </c>
      <c r="L4418" s="561">
        <v>0</v>
      </c>
      <c r="M4418" s="561">
        <v>0</v>
      </c>
      <c r="N4418" s="561">
        <v>0</v>
      </c>
      <c r="O4418" s="561">
        <v>0</v>
      </c>
      <c r="P4418" s="561">
        <v>0</v>
      </c>
      <c r="Q4418" s="561">
        <v>0</v>
      </c>
    </row>
    <row r="4419" spans="1:17">
      <c r="C4419" s="561" t="s">
        <v>1199</v>
      </c>
      <c r="D4419" s="561">
        <v>8564</v>
      </c>
      <c r="E4419" s="561">
        <v>1929.3000000000029</v>
      </c>
      <c r="F4419" s="561">
        <v>6634.6999999999971</v>
      </c>
      <c r="G4419" s="561">
        <v>698</v>
      </c>
      <c r="H4419" s="561">
        <v>8639.5660000000007</v>
      </c>
      <c r="I4419" s="561">
        <v>50</v>
      </c>
      <c r="J4419" s="561">
        <v>298.39700000000005</v>
      </c>
      <c r="K4419" s="561">
        <v>697</v>
      </c>
      <c r="L4419" s="561">
        <v>8343.17022</v>
      </c>
      <c r="M4419" s="561">
        <v>8343.17</v>
      </c>
      <c r="N4419" s="561">
        <v>1929.3</v>
      </c>
      <c r="O4419" s="561">
        <v>0</v>
      </c>
      <c r="P4419" s="561">
        <v>6413.87</v>
      </c>
      <c r="Q4419" s="561">
        <v>6413.87</v>
      </c>
    </row>
    <row r="4420" spans="1:17">
      <c r="A4420" s="561">
        <v>37</v>
      </c>
      <c r="B4420" s="561" t="s">
        <v>1605</v>
      </c>
      <c r="C4420" s="561" t="s">
        <v>1196</v>
      </c>
      <c r="D4420" s="561">
        <v>36618</v>
      </c>
      <c r="E4420" s="561">
        <v>9335.4</v>
      </c>
      <c r="F4420" s="561">
        <v>27282.6</v>
      </c>
      <c r="G4420" s="561">
        <v>471</v>
      </c>
      <c r="H4420" s="561">
        <v>47472.968999999997</v>
      </c>
      <c r="I4420" s="561">
        <v>65</v>
      </c>
      <c r="J4420" s="561">
        <v>3974.1019999999999</v>
      </c>
      <c r="K4420" s="561">
        <v>468</v>
      </c>
      <c r="L4420" s="561">
        <v>43676.137000000002</v>
      </c>
      <c r="M4420" s="561">
        <v>36618</v>
      </c>
      <c r="N4420" s="561">
        <v>9335.3999999999978</v>
      </c>
      <c r="O4420" s="561">
        <v>0</v>
      </c>
      <c r="P4420" s="561">
        <v>27282.6</v>
      </c>
      <c r="Q4420" s="561">
        <v>27282.6</v>
      </c>
    </row>
    <row r="4421" spans="1:17">
      <c r="C4421" s="561" t="s">
        <v>1197</v>
      </c>
      <c r="D4421" s="561">
        <v>28249</v>
      </c>
      <c r="E4421" s="561">
        <v>8474.7000000000007</v>
      </c>
      <c r="F4421" s="561">
        <v>19774.3</v>
      </c>
      <c r="G4421" s="561">
        <v>442</v>
      </c>
      <c r="H4421" s="561">
        <v>35201.469999999994</v>
      </c>
      <c r="I4421" s="561">
        <v>57</v>
      </c>
      <c r="J4421" s="561">
        <v>2405.0059999999999</v>
      </c>
      <c r="K4421" s="561">
        <v>440</v>
      </c>
      <c r="L4421" s="561">
        <v>32973.735000000001</v>
      </c>
      <c r="M4421" s="561">
        <v>26671.457000000002</v>
      </c>
      <c r="N4421" s="561">
        <v>8474.6999999999989</v>
      </c>
      <c r="O4421" s="561">
        <v>0</v>
      </c>
      <c r="Q4421" s="561">
        <v>18196.757000000001</v>
      </c>
    </row>
    <row r="4422" spans="1:17">
      <c r="C4422" s="561" t="s">
        <v>1198</v>
      </c>
      <c r="D4422" s="561">
        <v>8369</v>
      </c>
      <c r="E4422" s="561">
        <v>860.7</v>
      </c>
      <c r="F4422" s="561">
        <v>7508.3</v>
      </c>
      <c r="G4422" s="561">
        <v>29</v>
      </c>
      <c r="H4422" s="561">
        <v>12271.499000000002</v>
      </c>
      <c r="I4422" s="561">
        <v>8</v>
      </c>
      <c r="J4422" s="561">
        <v>1569.096</v>
      </c>
      <c r="K4422" s="561">
        <v>28</v>
      </c>
      <c r="L4422" s="561">
        <v>10702.402</v>
      </c>
      <c r="M4422" s="561">
        <v>9946.5429999999997</v>
      </c>
      <c r="N4422" s="561">
        <v>860.69999999999959</v>
      </c>
      <c r="O4422" s="561">
        <v>0</v>
      </c>
      <c r="P4422" s="561">
        <v>9085.8430000000008</v>
      </c>
      <c r="Q4422" s="561">
        <v>9085.8430000000008</v>
      </c>
    </row>
    <row r="4423" spans="1:17">
      <c r="C4423" s="561" t="s">
        <v>1199</v>
      </c>
      <c r="D4423" s="561">
        <v>0</v>
      </c>
      <c r="E4423" s="561">
        <v>-1.1368683772161603E-12</v>
      </c>
      <c r="F4423" s="561">
        <v>1.1368683772161603E-12</v>
      </c>
      <c r="G4423" s="561">
        <v>0</v>
      </c>
      <c r="H4423" s="561">
        <v>0</v>
      </c>
      <c r="I4423" s="561">
        <v>0</v>
      </c>
      <c r="J4423" s="561">
        <v>0</v>
      </c>
      <c r="K4423" s="561">
        <v>0</v>
      </c>
      <c r="L4423" s="561">
        <v>0</v>
      </c>
      <c r="M4423" s="561">
        <v>0</v>
      </c>
      <c r="N4423" s="561">
        <v>0</v>
      </c>
      <c r="O4423" s="561">
        <v>0</v>
      </c>
      <c r="P4423" s="561">
        <v>0</v>
      </c>
      <c r="Q4423" s="561">
        <v>0</v>
      </c>
    </row>
    <row r="4424" spans="1:17">
      <c r="A4424" s="561">
        <v>38</v>
      </c>
      <c r="B4424" s="561" t="s">
        <v>1606</v>
      </c>
      <c r="C4424" s="561" t="s">
        <v>1196</v>
      </c>
      <c r="D4424" s="561">
        <v>54895</v>
      </c>
      <c r="E4424" s="561">
        <v>15478.5</v>
      </c>
      <c r="F4424" s="561">
        <v>39416.5</v>
      </c>
      <c r="G4424" s="561">
        <v>997</v>
      </c>
      <c r="H4424" s="561">
        <v>55891.425800000005</v>
      </c>
      <c r="I4424" s="561">
        <v>116</v>
      </c>
      <c r="J4424" s="561">
        <v>4406.5716900000007</v>
      </c>
      <c r="K4424" s="561">
        <v>1032</v>
      </c>
      <c r="L4424" s="561">
        <v>55421.058999999994</v>
      </c>
      <c r="M4424" s="561">
        <v>54894.999999999993</v>
      </c>
      <c r="N4424" s="561">
        <v>15478.500000000002</v>
      </c>
      <c r="O4424" s="561">
        <v>0</v>
      </c>
      <c r="P4424" s="561">
        <v>39416.5</v>
      </c>
      <c r="Q4424" s="561">
        <v>39416.5</v>
      </c>
    </row>
    <row r="4425" spans="1:17">
      <c r="C4425" s="561" t="s">
        <v>1197</v>
      </c>
      <c r="D4425" s="561">
        <v>46885</v>
      </c>
      <c r="E4425" s="561">
        <v>13105.5</v>
      </c>
      <c r="F4425" s="561">
        <v>33779.5</v>
      </c>
      <c r="G4425" s="561">
        <v>482</v>
      </c>
      <c r="H4425" s="561">
        <v>48037.258999999998</v>
      </c>
      <c r="I4425" s="561">
        <v>93</v>
      </c>
      <c r="J4425" s="561">
        <v>4302.0918600000005</v>
      </c>
      <c r="K4425" s="561">
        <v>501</v>
      </c>
      <c r="L4425" s="561">
        <v>47360.877999999997</v>
      </c>
      <c r="M4425" s="561">
        <v>47072.219999999994</v>
      </c>
      <c r="N4425" s="561">
        <v>13105.499999999998</v>
      </c>
      <c r="O4425" s="561">
        <v>0</v>
      </c>
      <c r="Q4425" s="561">
        <v>33966.720000000001</v>
      </c>
    </row>
    <row r="4426" spans="1:17">
      <c r="C4426" s="561" t="s">
        <v>1198</v>
      </c>
      <c r="D4426" s="561">
        <v>0</v>
      </c>
      <c r="E4426" s="561">
        <v>0</v>
      </c>
      <c r="F4426" s="561">
        <v>0</v>
      </c>
      <c r="G4426" s="561">
        <v>0</v>
      </c>
      <c r="H4426" s="561">
        <v>0</v>
      </c>
      <c r="I4426" s="561">
        <v>0</v>
      </c>
      <c r="J4426" s="561">
        <v>0</v>
      </c>
      <c r="K4426" s="561">
        <v>0</v>
      </c>
      <c r="L4426" s="561">
        <v>0</v>
      </c>
      <c r="M4426" s="561">
        <v>0</v>
      </c>
      <c r="N4426" s="561">
        <v>0</v>
      </c>
      <c r="O4426" s="561">
        <v>0</v>
      </c>
      <c r="P4426" s="561">
        <v>0</v>
      </c>
      <c r="Q4426" s="561">
        <v>0</v>
      </c>
    </row>
    <row r="4427" spans="1:17">
      <c r="C4427" s="561" t="s">
        <v>1199</v>
      </c>
      <c r="D4427" s="561">
        <v>8010</v>
      </c>
      <c r="E4427" s="561">
        <v>2373</v>
      </c>
      <c r="F4427" s="561">
        <v>5637</v>
      </c>
      <c r="G4427" s="561">
        <v>515</v>
      </c>
      <c r="H4427" s="561">
        <v>7854.1667999999991</v>
      </c>
      <c r="I4427" s="561">
        <v>23</v>
      </c>
      <c r="J4427" s="561">
        <v>104.47983000000001</v>
      </c>
      <c r="K4427" s="561">
        <v>531</v>
      </c>
      <c r="L4427" s="561">
        <v>8060.1810000000005</v>
      </c>
      <c r="M4427" s="561">
        <v>7822.7800000000007</v>
      </c>
      <c r="N4427" s="561">
        <v>2372.9999999999995</v>
      </c>
      <c r="O4427" s="561">
        <v>0</v>
      </c>
      <c r="P4427" s="561">
        <v>5449.7800000000007</v>
      </c>
      <c r="Q4427" s="561">
        <v>5449.7800000000007</v>
      </c>
    </row>
    <row r="4428" spans="1:17">
      <c r="A4428" s="561">
        <v>39</v>
      </c>
      <c r="B4428" s="561" t="s">
        <v>1607</v>
      </c>
      <c r="C4428" s="561" t="s">
        <v>1196</v>
      </c>
      <c r="D4428" s="561">
        <v>3294</v>
      </c>
      <c r="E4428" s="561">
        <v>988.2</v>
      </c>
      <c r="F4428" s="561">
        <v>2305.8000000000002</v>
      </c>
      <c r="G4428" s="561">
        <v>260</v>
      </c>
      <c r="H4428" s="561">
        <v>3428.7758599999997</v>
      </c>
      <c r="I4428" s="561">
        <v>24</v>
      </c>
      <c r="J4428" s="561">
        <v>106.62400000000001</v>
      </c>
      <c r="K4428" s="561">
        <v>260</v>
      </c>
      <c r="L4428" s="561">
        <v>3322.1460000000006</v>
      </c>
      <c r="M4428" s="561">
        <v>3294</v>
      </c>
      <c r="N4428" s="561">
        <v>988.19999999999982</v>
      </c>
      <c r="O4428" s="561">
        <v>0</v>
      </c>
      <c r="P4428" s="561">
        <v>2305.8000000000002</v>
      </c>
      <c r="Q4428" s="561">
        <v>2305.8000000000002</v>
      </c>
    </row>
    <row r="4429" spans="1:17">
      <c r="C4429" s="561" t="s">
        <v>1197</v>
      </c>
      <c r="D4429" s="561">
        <v>0</v>
      </c>
      <c r="E4429" s="561">
        <v>0</v>
      </c>
      <c r="F4429" s="561">
        <v>0</v>
      </c>
      <c r="G4429" s="561">
        <v>0</v>
      </c>
      <c r="H4429" s="561">
        <v>0</v>
      </c>
      <c r="I4429" s="561">
        <v>0</v>
      </c>
      <c r="J4429" s="561">
        <v>0</v>
      </c>
      <c r="K4429" s="561">
        <v>0</v>
      </c>
      <c r="L4429" s="561">
        <v>0</v>
      </c>
      <c r="M4429" s="561">
        <v>0</v>
      </c>
      <c r="N4429" s="561">
        <v>0</v>
      </c>
      <c r="O4429" s="561">
        <v>0</v>
      </c>
      <c r="P4429" s="561">
        <v>0</v>
      </c>
      <c r="Q4429" s="561">
        <v>0</v>
      </c>
    </row>
    <row r="4430" spans="1:17">
      <c r="C4430" s="561" t="s">
        <v>1198</v>
      </c>
      <c r="D4430" s="561">
        <v>0</v>
      </c>
      <c r="E4430" s="561">
        <v>0</v>
      </c>
      <c r="F4430" s="561">
        <v>0</v>
      </c>
      <c r="G4430" s="561">
        <v>0</v>
      </c>
      <c r="H4430" s="561">
        <v>0</v>
      </c>
      <c r="I4430" s="561">
        <v>0</v>
      </c>
      <c r="J4430" s="561">
        <v>0</v>
      </c>
      <c r="K4430" s="561">
        <v>0</v>
      </c>
      <c r="L4430" s="561">
        <v>0</v>
      </c>
      <c r="M4430" s="561">
        <v>0</v>
      </c>
      <c r="N4430" s="561">
        <v>0</v>
      </c>
      <c r="O4430" s="561">
        <v>0</v>
      </c>
      <c r="P4430" s="561">
        <v>0</v>
      </c>
      <c r="Q4430" s="561">
        <v>0</v>
      </c>
    </row>
    <row r="4431" spans="1:17">
      <c r="C4431" s="561" t="s">
        <v>1199</v>
      </c>
      <c r="D4431" s="561">
        <v>3294</v>
      </c>
      <c r="E4431" s="561">
        <v>988.2</v>
      </c>
      <c r="F4431" s="561">
        <v>2305.8000000000002</v>
      </c>
      <c r="G4431" s="561">
        <v>260</v>
      </c>
      <c r="H4431" s="561">
        <v>3428.7758599999997</v>
      </c>
      <c r="I4431" s="561">
        <v>24</v>
      </c>
      <c r="J4431" s="561">
        <v>106.62400000000001</v>
      </c>
      <c r="K4431" s="561">
        <v>260</v>
      </c>
      <c r="L4431" s="561">
        <v>3322.1460000000006</v>
      </c>
      <c r="M4431" s="561">
        <v>3294</v>
      </c>
      <c r="N4431" s="561">
        <v>988.19999999999982</v>
      </c>
      <c r="O4431" s="561">
        <v>0</v>
      </c>
      <c r="P4431" s="561">
        <v>2305.8000000000002</v>
      </c>
      <c r="Q4431" s="561">
        <v>2305.8000000000002</v>
      </c>
    </row>
    <row r="4432" spans="1:17">
      <c r="A4432" s="561">
        <v>40</v>
      </c>
      <c r="B4432" s="561" t="s">
        <v>1608</v>
      </c>
      <c r="C4432" s="561" t="s">
        <v>1196</v>
      </c>
      <c r="D4432" s="561">
        <v>5573</v>
      </c>
      <c r="E4432" s="561">
        <v>1671.9</v>
      </c>
      <c r="F4432" s="561">
        <v>3901.1</v>
      </c>
      <c r="G4432" s="561">
        <v>470</v>
      </c>
      <c r="H4432" s="561">
        <v>6460.5769999999993</v>
      </c>
      <c r="I4432" s="561">
        <v>24</v>
      </c>
      <c r="J4432" s="561">
        <v>100.61000000000001</v>
      </c>
      <c r="K4432" s="561">
        <v>426</v>
      </c>
      <c r="L4432" s="561">
        <v>5711.2809999999999</v>
      </c>
      <c r="M4432" s="561">
        <v>5573</v>
      </c>
      <c r="N4432" s="561">
        <v>1671.8999999999996</v>
      </c>
      <c r="O4432" s="561">
        <v>0</v>
      </c>
      <c r="P4432" s="561">
        <v>3901.1</v>
      </c>
      <c r="Q4432" s="561">
        <v>3901.1</v>
      </c>
    </row>
    <row r="4433" spans="1:17">
      <c r="C4433" s="561" t="s">
        <v>1197</v>
      </c>
      <c r="D4433" s="561">
        <v>0</v>
      </c>
      <c r="E4433" s="561">
        <v>0</v>
      </c>
      <c r="F4433" s="561">
        <v>0</v>
      </c>
      <c r="G4433" s="561">
        <v>0</v>
      </c>
      <c r="H4433" s="561">
        <v>0</v>
      </c>
      <c r="I4433" s="561">
        <v>0</v>
      </c>
      <c r="J4433" s="561">
        <v>0</v>
      </c>
      <c r="K4433" s="561">
        <v>0</v>
      </c>
      <c r="L4433" s="561">
        <v>0</v>
      </c>
      <c r="M4433" s="561">
        <v>0</v>
      </c>
      <c r="N4433" s="561">
        <v>0</v>
      </c>
      <c r="O4433" s="561">
        <v>0</v>
      </c>
      <c r="P4433" s="561">
        <v>0</v>
      </c>
      <c r="Q4433" s="561">
        <v>0</v>
      </c>
    </row>
    <row r="4434" spans="1:17">
      <c r="C4434" s="561" t="s">
        <v>1198</v>
      </c>
      <c r="D4434" s="561">
        <v>0</v>
      </c>
      <c r="E4434" s="561">
        <v>0</v>
      </c>
      <c r="F4434" s="561">
        <v>0</v>
      </c>
      <c r="G4434" s="561">
        <v>0</v>
      </c>
      <c r="H4434" s="561">
        <v>0</v>
      </c>
      <c r="I4434" s="561">
        <v>0</v>
      </c>
      <c r="J4434" s="561">
        <v>0</v>
      </c>
      <c r="K4434" s="561">
        <v>0</v>
      </c>
      <c r="L4434" s="561">
        <v>0</v>
      </c>
      <c r="M4434" s="561">
        <v>0</v>
      </c>
      <c r="N4434" s="561">
        <v>0</v>
      </c>
      <c r="O4434" s="561">
        <v>0</v>
      </c>
      <c r="P4434" s="561">
        <v>0</v>
      </c>
      <c r="Q4434" s="561">
        <v>0</v>
      </c>
    </row>
    <row r="4435" spans="1:17">
      <c r="C4435" s="561" t="s">
        <v>1199</v>
      </c>
      <c r="D4435" s="561">
        <v>5573</v>
      </c>
      <c r="E4435" s="561">
        <v>1671.9</v>
      </c>
      <c r="F4435" s="561">
        <v>3901.1</v>
      </c>
      <c r="G4435" s="561">
        <v>470</v>
      </c>
      <c r="H4435" s="561">
        <v>6460.5769999999993</v>
      </c>
      <c r="I4435" s="561">
        <v>24</v>
      </c>
      <c r="J4435" s="561">
        <v>100.61000000000001</v>
      </c>
      <c r="K4435" s="561">
        <v>426</v>
      </c>
      <c r="L4435" s="561">
        <v>5711.2809999999999</v>
      </c>
      <c r="M4435" s="561">
        <v>5573</v>
      </c>
      <c r="N4435" s="561">
        <v>1671.8999999999996</v>
      </c>
      <c r="O4435" s="561">
        <v>0</v>
      </c>
      <c r="P4435" s="561">
        <v>3901.1</v>
      </c>
      <c r="Q4435" s="561">
        <v>3901.1</v>
      </c>
    </row>
    <row r="4436" spans="1:17">
      <c r="A4436" s="561">
        <v>41</v>
      </c>
      <c r="B4436" s="561" t="s">
        <v>1609</v>
      </c>
      <c r="C4436" s="561" t="s">
        <v>1196</v>
      </c>
      <c r="D4436" s="561">
        <v>3652</v>
      </c>
      <c r="E4436" s="561">
        <v>1095.5999999999999</v>
      </c>
      <c r="F4436" s="561">
        <v>2556.4</v>
      </c>
      <c r="G4436" s="561">
        <v>295</v>
      </c>
      <c r="H4436" s="561">
        <v>3952.1559999999999</v>
      </c>
      <c r="I4436" s="561">
        <v>21</v>
      </c>
      <c r="J4436" s="561">
        <v>142.65799999999999</v>
      </c>
      <c r="K4436" s="561">
        <v>295</v>
      </c>
      <c r="L4436" s="561">
        <v>3809.4960000000001</v>
      </c>
      <c r="M4436" s="561">
        <v>3652</v>
      </c>
      <c r="N4436" s="561">
        <v>1095.5999999999999</v>
      </c>
      <c r="O4436" s="561">
        <v>0</v>
      </c>
      <c r="P4436" s="561">
        <v>2556.4</v>
      </c>
      <c r="Q4436" s="561">
        <v>2556.4</v>
      </c>
    </row>
    <row r="4437" spans="1:17">
      <c r="C4437" s="561" t="s">
        <v>1197</v>
      </c>
      <c r="D4437" s="561">
        <v>0</v>
      </c>
      <c r="E4437" s="561">
        <v>0</v>
      </c>
      <c r="F4437" s="561">
        <v>0</v>
      </c>
      <c r="G4437" s="561">
        <v>0</v>
      </c>
      <c r="H4437" s="561">
        <v>0</v>
      </c>
      <c r="I4437" s="561">
        <v>0</v>
      </c>
      <c r="J4437" s="561">
        <v>0</v>
      </c>
      <c r="K4437" s="561">
        <v>0</v>
      </c>
      <c r="L4437" s="561">
        <v>0</v>
      </c>
      <c r="M4437" s="561">
        <v>0</v>
      </c>
      <c r="N4437" s="561">
        <v>0</v>
      </c>
      <c r="O4437" s="561">
        <v>0</v>
      </c>
      <c r="P4437" s="561">
        <v>0</v>
      </c>
      <c r="Q4437" s="561">
        <v>0</v>
      </c>
    </row>
    <row r="4438" spans="1:17">
      <c r="C4438" s="561" t="s">
        <v>1198</v>
      </c>
      <c r="D4438" s="561">
        <v>0</v>
      </c>
      <c r="E4438" s="561">
        <v>0</v>
      </c>
      <c r="F4438" s="561">
        <v>0</v>
      </c>
      <c r="G4438" s="561">
        <v>0</v>
      </c>
      <c r="H4438" s="561">
        <v>0</v>
      </c>
      <c r="I4438" s="561">
        <v>0</v>
      </c>
      <c r="J4438" s="561">
        <v>0</v>
      </c>
      <c r="K4438" s="561">
        <v>0</v>
      </c>
      <c r="L4438" s="561">
        <v>0</v>
      </c>
      <c r="M4438" s="561">
        <v>0</v>
      </c>
      <c r="N4438" s="561">
        <v>0</v>
      </c>
      <c r="O4438" s="561">
        <v>0</v>
      </c>
      <c r="P4438" s="561">
        <v>0</v>
      </c>
      <c r="Q4438" s="561">
        <v>0</v>
      </c>
    </row>
    <row r="4439" spans="1:17">
      <c r="C4439" s="561" t="s">
        <v>1199</v>
      </c>
      <c r="D4439" s="561">
        <v>3652</v>
      </c>
      <c r="E4439" s="561">
        <v>1095.5999999999999</v>
      </c>
      <c r="F4439" s="561">
        <v>2556.4</v>
      </c>
      <c r="G4439" s="561">
        <v>295</v>
      </c>
      <c r="H4439" s="561">
        <v>3952.1559999999999</v>
      </c>
      <c r="I4439" s="561">
        <v>21</v>
      </c>
      <c r="J4439" s="561">
        <v>142.65799999999999</v>
      </c>
      <c r="K4439" s="561">
        <v>295</v>
      </c>
      <c r="L4439" s="561">
        <v>3809.4960000000001</v>
      </c>
      <c r="M4439" s="561">
        <v>3652</v>
      </c>
      <c r="N4439" s="561">
        <v>1095.5999999999999</v>
      </c>
      <c r="O4439" s="561">
        <v>0</v>
      </c>
      <c r="P4439" s="561">
        <v>2556.4</v>
      </c>
      <c r="Q4439" s="561">
        <v>2556.4</v>
      </c>
    </row>
    <row r="4440" spans="1:17">
      <c r="A4440" s="561">
        <v>42</v>
      </c>
      <c r="B4440" s="561" t="s">
        <v>1610</v>
      </c>
      <c r="C4440" s="561" t="s">
        <v>1196</v>
      </c>
      <c r="D4440" s="561">
        <v>2557</v>
      </c>
      <c r="E4440" s="561">
        <v>722.1</v>
      </c>
      <c r="F4440" s="561">
        <v>1834.9</v>
      </c>
      <c r="G4440" s="561">
        <v>222</v>
      </c>
      <c r="H4440" s="561">
        <v>4166.8599999999997</v>
      </c>
      <c r="I4440" s="561">
        <v>20</v>
      </c>
      <c r="J4440" s="561">
        <v>111.392</v>
      </c>
      <c r="K4440" s="561">
        <v>204</v>
      </c>
      <c r="L4440" s="561">
        <v>3287.9740000000006</v>
      </c>
      <c r="M4440" s="561">
        <v>2557.0000000000005</v>
      </c>
      <c r="N4440" s="561">
        <v>722.1</v>
      </c>
      <c r="O4440" s="561">
        <v>0</v>
      </c>
      <c r="P4440" s="561">
        <v>1834.9</v>
      </c>
      <c r="Q4440" s="561">
        <v>1834.9</v>
      </c>
    </row>
    <row r="4441" spans="1:17">
      <c r="C4441" s="561" t="s">
        <v>1197</v>
      </c>
      <c r="D4441" s="561">
        <v>0</v>
      </c>
      <c r="E4441" s="561">
        <v>0</v>
      </c>
      <c r="F4441" s="561">
        <v>0</v>
      </c>
      <c r="G4441" s="561">
        <v>0</v>
      </c>
      <c r="H4441" s="561">
        <v>0</v>
      </c>
      <c r="I4441" s="561">
        <v>0</v>
      </c>
      <c r="J4441" s="561">
        <v>0</v>
      </c>
      <c r="K4441" s="561">
        <v>0</v>
      </c>
      <c r="L4441" s="561">
        <v>0</v>
      </c>
      <c r="M4441" s="561">
        <v>0</v>
      </c>
      <c r="N4441" s="561">
        <v>0</v>
      </c>
      <c r="O4441" s="561">
        <v>0</v>
      </c>
      <c r="P4441" s="561">
        <v>0</v>
      </c>
      <c r="Q4441" s="561">
        <v>0</v>
      </c>
    </row>
    <row r="4442" spans="1:17">
      <c r="C4442" s="561" t="s">
        <v>1198</v>
      </c>
      <c r="D4442" s="561">
        <v>0</v>
      </c>
      <c r="E4442" s="561">
        <v>0</v>
      </c>
      <c r="F4442" s="561">
        <v>0</v>
      </c>
      <c r="G4442" s="561">
        <v>0</v>
      </c>
      <c r="H4442" s="561">
        <v>0</v>
      </c>
      <c r="I4442" s="561">
        <v>0</v>
      </c>
      <c r="J4442" s="561">
        <v>0</v>
      </c>
      <c r="K4442" s="561">
        <v>0</v>
      </c>
      <c r="L4442" s="561">
        <v>0</v>
      </c>
      <c r="M4442" s="561">
        <v>0</v>
      </c>
      <c r="N4442" s="561">
        <v>0</v>
      </c>
      <c r="O4442" s="561">
        <v>0</v>
      </c>
      <c r="P4442" s="561">
        <v>0</v>
      </c>
      <c r="Q4442" s="561">
        <v>0</v>
      </c>
    </row>
    <row r="4443" spans="1:17">
      <c r="C4443" s="561" t="s">
        <v>1199</v>
      </c>
      <c r="D4443" s="561">
        <v>2557</v>
      </c>
      <c r="E4443" s="561">
        <v>722.1</v>
      </c>
      <c r="F4443" s="561">
        <v>1834.9</v>
      </c>
      <c r="G4443" s="561">
        <v>222</v>
      </c>
      <c r="H4443" s="561">
        <v>4166.8599999999997</v>
      </c>
      <c r="I4443" s="561">
        <v>20</v>
      </c>
      <c r="J4443" s="561">
        <v>111.392</v>
      </c>
      <c r="K4443" s="561">
        <v>204</v>
      </c>
      <c r="L4443" s="561">
        <v>3287.9740000000006</v>
      </c>
      <c r="M4443" s="561">
        <v>2557.0000000000005</v>
      </c>
      <c r="N4443" s="561">
        <v>722.1</v>
      </c>
      <c r="O4443" s="561">
        <v>0</v>
      </c>
      <c r="P4443" s="561">
        <v>1834.9</v>
      </c>
      <c r="Q4443" s="561">
        <v>1834.9</v>
      </c>
    </row>
    <row r="4444" spans="1:17">
      <c r="A4444" s="561">
        <v>43</v>
      </c>
      <c r="B4444" s="561" t="s">
        <v>1611</v>
      </c>
      <c r="C4444" s="561" t="s">
        <v>1196</v>
      </c>
      <c r="D4444" s="561">
        <v>10125</v>
      </c>
      <c r="E4444" s="561">
        <v>2947.5</v>
      </c>
      <c r="F4444" s="561">
        <v>7177.5</v>
      </c>
      <c r="G4444" s="561">
        <v>799</v>
      </c>
      <c r="H4444" s="561">
        <v>10720.1643</v>
      </c>
      <c r="I4444" s="561">
        <v>43</v>
      </c>
      <c r="J4444" s="561">
        <v>338.37106999999997</v>
      </c>
      <c r="K4444" s="561">
        <v>792</v>
      </c>
      <c r="L4444" s="561">
        <v>10381.942999999999</v>
      </c>
      <c r="M4444" s="561">
        <v>10125.000000000002</v>
      </c>
      <c r="N4444" s="561">
        <v>2947.5</v>
      </c>
      <c r="O4444" s="561">
        <v>0</v>
      </c>
      <c r="P4444" s="561">
        <v>7177.5</v>
      </c>
      <c r="Q4444" s="561">
        <v>7177.5</v>
      </c>
    </row>
    <row r="4445" spans="1:17">
      <c r="C4445" s="561" t="s">
        <v>1197</v>
      </c>
      <c r="D4445" s="561">
        <v>0</v>
      </c>
      <c r="E4445" s="561">
        <v>0</v>
      </c>
      <c r="F4445" s="561">
        <v>0</v>
      </c>
      <c r="G4445" s="561">
        <v>0</v>
      </c>
      <c r="H4445" s="561">
        <v>0</v>
      </c>
      <c r="I4445" s="561">
        <v>0</v>
      </c>
      <c r="J4445" s="561">
        <v>0</v>
      </c>
      <c r="K4445" s="561">
        <v>0</v>
      </c>
      <c r="L4445" s="561">
        <v>0</v>
      </c>
      <c r="M4445" s="561">
        <v>0</v>
      </c>
      <c r="N4445" s="561">
        <v>0</v>
      </c>
      <c r="O4445" s="561">
        <v>0</v>
      </c>
      <c r="P4445" s="561">
        <v>0</v>
      </c>
      <c r="Q4445" s="561">
        <v>0</v>
      </c>
    </row>
    <row r="4446" spans="1:17">
      <c r="C4446" s="561" t="s">
        <v>1198</v>
      </c>
      <c r="D4446" s="561">
        <v>0</v>
      </c>
      <c r="E4446" s="561">
        <v>0</v>
      </c>
      <c r="F4446" s="561">
        <v>0</v>
      </c>
      <c r="G4446" s="561">
        <v>0</v>
      </c>
      <c r="H4446" s="561">
        <v>0</v>
      </c>
      <c r="I4446" s="561">
        <v>0</v>
      </c>
      <c r="J4446" s="561">
        <v>0</v>
      </c>
      <c r="K4446" s="561">
        <v>0</v>
      </c>
      <c r="L4446" s="561">
        <v>0</v>
      </c>
      <c r="M4446" s="561">
        <v>0</v>
      </c>
      <c r="N4446" s="561">
        <v>0</v>
      </c>
      <c r="O4446" s="561">
        <v>0</v>
      </c>
      <c r="P4446" s="561">
        <v>0</v>
      </c>
      <c r="Q4446" s="561">
        <v>0</v>
      </c>
    </row>
    <row r="4447" spans="1:17">
      <c r="C4447" s="561" t="s">
        <v>1199</v>
      </c>
      <c r="D4447" s="561">
        <v>10125</v>
      </c>
      <c r="E4447" s="561">
        <v>2947.5</v>
      </c>
      <c r="F4447" s="561">
        <v>7177.5</v>
      </c>
      <c r="G4447" s="561">
        <v>799</v>
      </c>
      <c r="H4447" s="561">
        <v>10720.1643</v>
      </c>
      <c r="I4447" s="561">
        <v>43</v>
      </c>
      <c r="J4447" s="561">
        <v>338.37106999999997</v>
      </c>
      <c r="K4447" s="561">
        <v>792</v>
      </c>
      <c r="L4447" s="561">
        <v>10381.942999999999</v>
      </c>
      <c r="M4447" s="561">
        <v>10125.000000000002</v>
      </c>
      <c r="N4447" s="561">
        <v>2947.5</v>
      </c>
      <c r="O4447" s="561">
        <v>0</v>
      </c>
      <c r="P4447" s="561">
        <v>7177.5</v>
      </c>
      <c r="Q4447" s="561">
        <v>7177.5</v>
      </c>
    </row>
    <row r="4448" spans="1:17">
      <c r="A4448" s="561">
        <v>44</v>
      </c>
      <c r="B4448" s="561" t="s">
        <v>1612</v>
      </c>
      <c r="C4448" s="561" t="s">
        <v>1196</v>
      </c>
      <c r="D4448" s="561">
        <v>5020</v>
      </c>
      <c r="E4448" s="561">
        <v>1506</v>
      </c>
      <c r="F4448" s="561">
        <v>3514</v>
      </c>
      <c r="G4448" s="561">
        <v>418</v>
      </c>
      <c r="H4448" s="561">
        <v>5835.5670600000003</v>
      </c>
      <c r="I4448" s="561">
        <v>29</v>
      </c>
      <c r="J4448" s="561">
        <v>144.30199999999996</v>
      </c>
      <c r="K4448" s="561">
        <v>381</v>
      </c>
      <c r="L4448" s="561">
        <v>5230.4560000000001</v>
      </c>
      <c r="M4448" s="561">
        <v>5020</v>
      </c>
      <c r="N4448" s="561">
        <v>1506.0000000000002</v>
      </c>
      <c r="O4448" s="561">
        <v>0</v>
      </c>
      <c r="P4448" s="561">
        <v>3513.9999999999995</v>
      </c>
      <c r="Q4448" s="561">
        <v>3513.9999999999995</v>
      </c>
    </row>
    <row r="4449" spans="1:17">
      <c r="C4449" s="561" t="s">
        <v>1197</v>
      </c>
      <c r="D4449" s="561">
        <v>0</v>
      </c>
      <c r="E4449" s="561">
        <v>0</v>
      </c>
      <c r="F4449" s="561">
        <v>0</v>
      </c>
      <c r="G4449" s="561">
        <v>0</v>
      </c>
      <c r="H4449" s="561">
        <v>0</v>
      </c>
      <c r="I4449" s="561">
        <v>0</v>
      </c>
      <c r="J4449" s="561">
        <v>0</v>
      </c>
      <c r="K4449" s="561">
        <v>0</v>
      </c>
      <c r="L4449" s="561">
        <v>0</v>
      </c>
      <c r="M4449" s="561">
        <v>0</v>
      </c>
      <c r="N4449" s="561">
        <v>0</v>
      </c>
      <c r="O4449" s="561">
        <v>0</v>
      </c>
      <c r="P4449" s="561">
        <v>0</v>
      </c>
      <c r="Q4449" s="561">
        <v>0</v>
      </c>
    </row>
    <row r="4450" spans="1:17">
      <c r="C4450" s="561" t="s">
        <v>1198</v>
      </c>
      <c r="D4450" s="561">
        <v>0</v>
      </c>
      <c r="E4450" s="561">
        <v>0</v>
      </c>
      <c r="F4450" s="561">
        <v>0</v>
      </c>
      <c r="G4450" s="561">
        <v>0</v>
      </c>
      <c r="H4450" s="561">
        <v>0</v>
      </c>
      <c r="I4450" s="561">
        <v>0</v>
      </c>
      <c r="J4450" s="561">
        <v>0</v>
      </c>
      <c r="K4450" s="561">
        <v>0</v>
      </c>
      <c r="L4450" s="561">
        <v>0</v>
      </c>
      <c r="M4450" s="561">
        <v>0</v>
      </c>
      <c r="N4450" s="561">
        <v>0</v>
      </c>
      <c r="O4450" s="561">
        <v>0</v>
      </c>
      <c r="P4450" s="561">
        <v>0</v>
      </c>
      <c r="Q4450" s="561">
        <v>0</v>
      </c>
    </row>
    <row r="4451" spans="1:17">
      <c r="C4451" s="561" t="s">
        <v>1199</v>
      </c>
      <c r="D4451" s="561">
        <v>5020</v>
      </c>
      <c r="E4451" s="561">
        <v>1506</v>
      </c>
      <c r="F4451" s="561">
        <v>3514</v>
      </c>
      <c r="G4451" s="561">
        <v>418</v>
      </c>
      <c r="H4451" s="561">
        <v>5835.5670600000003</v>
      </c>
      <c r="I4451" s="561">
        <v>29</v>
      </c>
      <c r="J4451" s="561">
        <v>144.30199999999996</v>
      </c>
      <c r="K4451" s="561">
        <v>381</v>
      </c>
      <c r="L4451" s="561">
        <v>5230.4560000000001</v>
      </c>
      <c r="M4451" s="561">
        <v>5020</v>
      </c>
      <c r="N4451" s="561">
        <v>1506.0000000000002</v>
      </c>
      <c r="O4451" s="561">
        <v>0</v>
      </c>
      <c r="P4451" s="561">
        <v>3513.9999999999995</v>
      </c>
      <c r="Q4451" s="561">
        <v>3513.9999999999995</v>
      </c>
    </row>
    <row r="4452" spans="1:17">
      <c r="A4452" s="561">
        <v>45</v>
      </c>
      <c r="B4452" s="561" t="s">
        <v>1613</v>
      </c>
      <c r="C4452" s="561" t="s">
        <v>1196</v>
      </c>
      <c r="D4452" s="561">
        <v>5620</v>
      </c>
      <c r="E4452" s="561">
        <v>1566</v>
      </c>
      <c r="F4452" s="561">
        <v>4054</v>
      </c>
      <c r="G4452" s="561">
        <v>397</v>
      </c>
      <c r="H4452" s="561">
        <v>5911.3105600000008</v>
      </c>
      <c r="I4452" s="561">
        <v>55</v>
      </c>
      <c r="J4452" s="561">
        <v>271.84100000000001</v>
      </c>
      <c r="K4452" s="561">
        <v>397</v>
      </c>
      <c r="L4452" s="561">
        <v>5636.4829999999993</v>
      </c>
      <c r="M4452" s="561">
        <v>5620</v>
      </c>
      <c r="N4452" s="561">
        <v>1566</v>
      </c>
      <c r="O4452" s="561">
        <v>0</v>
      </c>
      <c r="P4452" s="561">
        <v>4054</v>
      </c>
      <c r="Q4452" s="561">
        <v>4054</v>
      </c>
    </row>
    <row r="4453" spans="1:17">
      <c r="C4453" s="561" t="s">
        <v>1197</v>
      </c>
      <c r="D4453" s="561">
        <v>0</v>
      </c>
      <c r="E4453" s="561">
        <v>0</v>
      </c>
      <c r="F4453" s="561">
        <v>0</v>
      </c>
      <c r="G4453" s="561">
        <v>0</v>
      </c>
      <c r="H4453" s="561">
        <v>0</v>
      </c>
      <c r="I4453" s="561">
        <v>0</v>
      </c>
      <c r="J4453" s="561">
        <v>0</v>
      </c>
      <c r="K4453" s="561">
        <v>0</v>
      </c>
      <c r="L4453" s="561">
        <v>0</v>
      </c>
      <c r="M4453" s="561">
        <v>0</v>
      </c>
      <c r="N4453" s="561">
        <v>0</v>
      </c>
      <c r="O4453" s="561">
        <v>0</v>
      </c>
      <c r="P4453" s="561">
        <v>0</v>
      </c>
      <c r="Q4453" s="561">
        <v>0</v>
      </c>
    </row>
    <row r="4454" spans="1:17">
      <c r="C4454" s="561" t="s">
        <v>1198</v>
      </c>
      <c r="D4454" s="561">
        <v>0</v>
      </c>
      <c r="E4454" s="561">
        <v>0</v>
      </c>
      <c r="F4454" s="561">
        <v>0</v>
      </c>
      <c r="G4454" s="561">
        <v>0</v>
      </c>
      <c r="H4454" s="561">
        <v>0</v>
      </c>
      <c r="I4454" s="561">
        <v>0</v>
      </c>
      <c r="J4454" s="561">
        <v>0</v>
      </c>
      <c r="K4454" s="561">
        <v>0</v>
      </c>
      <c r="L4454" s="561">
        <v>0</v>
      </c>
      <c r="M4454" s="561">
        <v>0</v>
      </c>
      <c r="N4454" s="561">
        <v>0</v>
      </c>
      <c r="O4454" s="561">
        <v>0</v>
      </c>
      <c r="P4454" s="561">
        <v>0</v>
      </c>
      <c r="Q4454" s="561">
        <v>0</v>
      </c>
    </row>
    <row r="4455" spans="1:17">
      <c r="C4455" s="561" t="s">
        <v>1199</v>
      </c>
      <c r="D4455" s="561">
        <v>5620</v>
      </c>
      <c r="E4455" s="561">
        <v>1566</v>
      </c>
      <c r="F4455" s="561">
        <v>4054</v>
      </c>
      <c r="G4455" s="561">
        <v>397</v>
      </c>
      <c r="H4455" s="561">
        <v>5911.3105600000008</v>
      </c>
      <c r="I4455" s="561">
        <v>55</v>
      </c>
      <c r="J4455" s="561">
        <v>271.84100000000001</v>
      </c>
      <c r="K4455" s="561">
        <v>397</v>
      </c>
      <c r="L4455" s="561">
        <v>5636.4829999999993</v>
      </c>
      <c r="M4455" s="561">
        <v>5620</v>
      </c>
      <c r="N4455" s="561">
        <v>1566</v>
      </c>
      <c r="O4455" s="561">
        <v>0</v>
      </c>
      <c r="P4455" s="561">
        <v>4054</v>
      </c>
      <c r="Q4455" s="561">
        <v>4054</v>
      </c>
    </row>
    <row r="4456" spans="1:17">
      <c r="A4456" s="561">
        <v>46</v>
      </c>
      <c r="B4456" s="561" t="s">
        <v>1614</v>
      </c>
      <c r="C4456" s="561" t="s">
        <v>1196</v>
      </c>
      <c r="D4456" s="561">
        <v>2647</v>
      </c>
      <c r="E4456" s="561">
        <v>734.1</v>
      </c>
      <c r="F4456" s="561">
        <v>1912.9</v>
      </c>
      <c r="G4456" s="561">
        <v>209</v>
      </c>
      <c r="H4456" s="561">
        <v>3035.8172300000001</v>
      </c>
      <c r="I4456" s="561">
        <v>22</v>
      </c>
      <c r="J4456" s="561">
        <v>128.24099999999999</v>
      </c>
      <c r="K4456" s="561">
        <v>192</v>
      </c>
      <c r="L4456" s="561">
        <v>2664.04</v>
      </c>
      <c r="M4456" s="561">
        <v>2647</v>
      </c>
      <c r="N4456" s="561">
        <v>734.101</v>
      </c>
      <c r="O4456" s="561">
        <v>0</v>
      </c>
      <c r="P4456" s="561">
        <v>1912.8989999999997</v>
      </c>
      <c r="Q4456" s="561">
        <v>1912.8989999999997</v>
      </c>
    </row>
    <row r="4457" spans="1:17">
      <c r="C4457" s="561" t="s">
        <v>1197</v>
      </c>
      <c r="D4457" s="561">
        <v>0</v>
      </c>
      <c r="E4457" s="561">
        <v>0</v>
      </c>
      <c r="F4457" s="561">
        <v>0</v>
      </c>
      <c r="G4457" s="561">
        <v>0</v>
      </c>
      <c r="H4457" s="561">
        <v>0</v>
      </c>
      <c r="I4457" s="561">
        <v>0</v>
      </c>
      <c r="J4457" s="561">
        <v>0</v>
      </c>
      <c r="K4457" s="561">
        <v>0</v>
      </c>
      <c r="L4457" s="561">
        <v>0</v>
      </c>
      <c r="M4457" s="561">
        <v>0</v>
      </c>
      <c r="N4457" s="561">
        <v>0</v>
      </c>
      <c r="O4457" s="561">
        <v>0</v>
      </c>
      <c r="P4457" s="561">
        <v>0</v>
      </c>
      <c r="Q4457" s="561">
        <v>0</v>
      </c>
    </row>
    <row r="4458" spans="1:17">
      <c r="C4458" s="561" t="s">
        <v>1198</v>
      </c>
      <c r="D4458" s="561">
        <v>0</v>
      </c>
      <c r="E4458" s="561">
        <v>0</v>
      </c>
      <c r="F4458" s="561">
        <v>0</v>
      </c>
      <c r="G4458" s="561">
        <v>0</v>
      </c>
      <c r="H4458" s="561">
        <v>0</v>
      </c>
      <c r="I4458" s="561">
        <v>0</v>
      </c>
      <c r="J4458" s="561">
        <v>0</v>
      </c>
      <c r="K4458" s="561">
        <v>0</v>
      </c>
      <c r="L4458" s="561">
        <v>0</v>
      </c>
      <c r="M4458" s="561">
        <v>0</v>
      </c>
      <c r="N4458" s="561">
        <v>0</v>
      </c>
      <c r="O4458" s="561">
        <v>0</v>
      </c>
      <c r="P4458" s="561">
        <v>0</v>
      </c>
      <c r="Q4458" s="561">
        <v>0</v>
      </c>
    </row>
    <row r="4459" spans="1:17">
      <c r="C4459" s="561" t="s">
        <v>1199</v>
      </c>
      <c r="D4459" s="561">
        <v>2647</v>
      </c>
      <c r="E4459" s="561">
        <v>734.1</v>
      </c>
      <c r="F4459" s="561">
        <v>1912.9</v>
      </c>
      <c r="G4459" s="561">
        <v>209</v>
      </c>
      <c r="H4459" s="561">
        <v>3035.8172300000001</v>
      </c>
      <c r="I4459" s="561">
        <v>22</v>
      </c>
      <c r="J4459" s="561">
        <v>128.24099999999999</v>
      </c>
      <c r="K4459" s="561">
        <v>192</v>
      </c>
      <c r="L4459" s="561">
        <v>2664.04</v>
      </c>
      <c r="M4459" s="561">
        <v>2647</v>
      </c>
      <c r="N4459" s="561">
        <v>734.101</v>
      </c>
      <c r="O4459" s="561">
        <v>0</v>
      </c>
      <c r="P4459" s="561">
        <v>1912.8989999999997</v>
      </c>
      <c r="Q4459" s="561">
        <v>1912.8989999999997</v>
      </c>
    </row>
    <row r="4460" spans="1:17">
      <c r="A4460" s="561">
        <v>47</v>
      </c>
      <c r="B4460" s="561" t="s">
        <v>1615</v>
      </c>
      <c r="C4460" s="561" t="s">
        <v>1196</v>
      </c>
      <c r="D4460" s="561">
        <v>1393</v>
      </c>
      <c r="E4460" s="561">
        <v>477.9</v>
      </c>
      <c r="F4460" s="561">
        <v>915.1</v>
      </c>
      <c r="G4460" s="561">
        <v>135</v>
      </c>
      <c r="H4460" s="561">
        <v>1759.7949999999996</v>
      </c>
      <c r="I4460" s="561">
        <v>10</v>
      </c>
      <c r="J4460" s="561">
        <v>80.154000000000011</v>
      </c>
      <c r="K4460" s="561">
        <v>135</v>
      </c>
      <c r="L4460" s="561">
        <v>1679.6379999999999</v>
      </c>
      <c r="M4460" s="561">
        <v>1393</v>
      </c>
      <c r="N4460" s="561">
        <v>477.90000000000003</v>
      </c>
      <c r="O4460" s="561">
        <v>0</v>
      </c>
      <c r="P4460" s="561">
        <v>915.10000000000014</v>
      </c>
      <c r="Q4460" s="561">
        <v>915.10000000000014</v>
      </c>
    </row>
    <row r="4461" spans="1:17">
      <c r="C4461" s="561" t="s">
        <v>1197</v>
      </c>
      <c r="D4461" s="561">
        <v>0</v>
      </c>
      <c r="E4461" s="561">
        <v>0</v>
      </c>
      <c r="F4461" s="561">
        <v>0</v>
      </c>
      <c r="G4461" s="561">
        <v>0</v>
      </c>
      <c r="H4461" s="561">
        <v>0</v>
      </c>
      <c r="I4461" s="561">
        <v>0</v>
      </c>
      <c r="J4461" s="561">
        <v>0</v>
      </c>
      <c r="K4461" s="561">
        <v>0</v>
      </c>
      <c r="L4461" s="561">
        <v>0</v>
      </c>
      <c r="M4461" s="561">
        <v>0</v>
      </c>
      <c r="N4461" s="561">
        <v>0</v>
      </c>
      <c r="O4461" s="561">
        <v>0</v>
      </c>
      <c r="P4461" s="561">
        <v>0</v>
      </c>
      <c r="Q4461" s="561">
        <v>0</v>
      </c>
    </row>
    <row r="4462" spans="1:17">
      <c r="C4462" s="561" t="s">
        <v>1198</v>
      </c>
      <c r="D4462" s="561">
        <v>0</v>
      </c>
      <c r="E4462" s="561">
        <v>0</v>
      </c>
      <c r="F4462" s="561">
        <v>0</v>
      </c>
      <c r="G4462" s="561">
        <v>0</v>
      </c>
      <c r="H4462" s="561">
        <v>0</v>
      </c>
      <c r="I4462" s="561">
        <v>0</v>
      </c>
      <c r="J4462" s="561">
        <v>0</v>
      </c>
      <c r="K4462" s="561">
        <v>0</v>
      </c>
      <c r="L4462" s="561">
        <v>0</v>
      </c>
      <c r="M4462" s="561">
        <v>0</v>
      </c>
      <c r="N4462" s="561">
        <v>0</v>
      </c>
      <c r="O4462" s="561">
        <v>0</v>
      </c>
      <c r="P4462" s="561">
        <v>0</v>
      </c>
      <c r="Q4462" s="561">
        <v>0</v>
      </c>
    </row>
    <row r="4463" spans="1:17">
      <c r="C4463" s="561" t="s">
        <v>1199</v>
      </c>
      <c r="D4463" s="561">
        <v>1393</v>
      </c>
      <c r="E4463" s="561">
        <v>477.9</v>
      </c>
      <c r="F4463" s="561">
        <v>915.1</v>
      </c>
      <c r="G4463" s="561">
        <v>135</v>
      </c>
      <c r="H4463" s="561">
        <v>1759.7949999999996</v>
      </c>
      <c r="I4463" s="561">
        <v>10</v>
      </c>
      <c r="J4463" s="561">
        <v>80.154000000000011</v>
      </c>
      <c r="K4463" s="561">
        <v>135</v>
      </c>
      <c r="L4463" s="561">
        <v>1679.6379999999999</v>
      </c>
      <c r="M4463" s="561">
        <v>1393</v>
      </c>
      <c r="N4463" s="561">
        <v>477.90000000000003</v>
      </c>
      <c r="O4463" s="561">
        <v>0</v>
      </c>
      <c r="P4463" s="561">
        <v>915.10000000000014</v>
      </c>
      <c r="Q4463" s="561">
        <v>915.10000000000014</v>
      </c>
    </row>
    <row r="4464" spans="1:17">
      <c r="A4464" s="561">
        <v>48</v>
      </c>
      <c r="B4464" s="561" t="s">
        <v>1616</v>
      </c>
      <c r="C4464" s="561" t="s">
        <v>1196</v>
      </c>
      <c r="D4464" s="561">
        <v>177053</v>
      </c>
      <c r="E4464" s="561">
        <v>57941.1</v>
      </c>
      <c r="F4464" s="561">
        <v>119111.9</v>
      </c>
      <c r="G4464" s="561">
        <v>3589</v>
      </c>
      <c r="H4464" s="561">
        <v>187940.71593999999</v>
      </c>
      <c r="I4464" s="561">
        <v>378</v>
      </c>
      <c r="J4464" s="561">
        <v>12068.053189999999</v>
      </c>
      <c r="K4464" s="561">
        <v>3540</v>
      </c>
      <c r="L4464" s="561">
        <v>178496.61799999999</v>
      </c>
      <c r="M4464" s="561">
        <v>177053</v>
      </c>
      <c r="N4464" s="561">
        <v>57941.100000000006</v>
      </c>
      <c r="O4464" s="561">
        <v>0</v>
      </c>
      <c r="P4464" s="561">
        <v>119111.90000000001</v>
      </c>
      <c r="Q4464" s="561">
        <v>119111.90000000001</v>
      </c>
    </row>
    <row r="4465" spans="1:17">
      <c r="C4465" s="561" t="s">
        <v>1197</v>
      </c>
      <c r="D4465" s="561">
        <v>170258</v>
      </c>
      <c r="E4465" s="561">
        <v>56198.1</v>
      </c>
      <c r="F4465" s="561">
        <v>114059.9</v>
      </c>
      <c r="G4465" s="561">
        <v>3087</v>
      </c>
      <c r="H4465" s="561">
        <v>181033.04249999998</v>
      </c>
      <c r="I4465" s="561">
        <v>342</v>
      </c>
      <c r="J4465" s="561">
        <v>11922.665749999998</v>
      </c>
      <c r="K4465" s="561">
        <v>3038</v>
      </c>
      <c r="L4465" s="561">
        <v>171734.33299999998</v>
      </c>
      <c r="M4465" s="561">
        <v>170301.603</v>
      </c>
      <c r="N4465" s="561">
        <v>56198.1</v>
      </c>
      <c r="O4465" s="561">
        <v>0</v>
      </c>
      <c r="Q4465" s="561">
        <v>114103.503</v>
      </c>
    </row>
    <row r="4466" spans="1:17">
      <c r="C4466" s="561" t="s">
        <v>1198</v>
      </c>
      <c r="D4466" s="561">
        <v>0</v>
      </c>
      <c r="E4466" s="561">
        <v>0</v>
      </c>
      <c r="F4466" s="561">
        <v>0</v>
      </c>
      <c r="G4466" s="561">
        <v>0</v>
      </c>
      <c r="H4466" s="561">
        <v>0</v>
      </c>
      <c r="I4466" s="561">
        <v>0</v>
      </c>
      <c r="J4466" s="561">
        <v>0</v>
      </c>
      <c r="K4466" s="561">
        <v>0</v>
      </c>
      <c r="L4466" s="561">
        <v>0</v>
      </c>
      <c r="M4466" s="561">
        <v>0</v>
      </c>
      <c r="N4466" s="561">
        <v>0</v>
      </c>
      <c r="O4466" s="561">
        <v>0</v>
      </c>
      <c r="P4466" s="561">
        <v>0</v>
      </c>
      <c r="Q4466" s="561">
        <v>0</v>
      </c>
    </row>
    <row r="4467" spans="1:17">
      <c r="C4467" s="561" t="s">
        <v>1199</v>
      </c>
      <c r="D4467" s="561">
        <v>6795</v>
      </c>
      <c r="E4467" s="561">
        <v>1743</v>
      </c>
      <c r="F4467" s="561">
        <v>5052</v>
      </c>
      <c r="G4467" s="561">
        <v>502</v>
      </c>
      <c r="H4467" s="561">
        <v>6907.6734400000005</v>
      </c>
      <c r="I4467" s="561">
        <v>36</v>
      </c>
      <c r="J4467" s="561">
        <v>145.38744</v>
      </c>
      <c r="K4467" s="561">
        <v>502</v>
      </c>
      <c r="L4467" s="561">
        <v>6762.2850000000008</v>
      </c>
      <c r="M4467" s="561">
        <v>6751.3969999999999</v>
      </c>
      <c r="N4467" s="561">
        <v>1742.9999999999998</v>
      </c>
      <c r="O4467" s="561">
        <v>0</v>
      </c>
      <c r="P4467" s="561">
        <v>5008.3969999999999</v>
      </c>
      <c r="Q4467" s="561">
        <v>5008.3969999999999</v>
      </c>
    </row>
    <row r="4468" spans="1:17">
      <c r="A4468" s="561">
        <v>49</v>
      </c>
      <c r="B4468" s="561" t="s">
        <v>1617</v>
      </c>
      <c r="C4468" s="561" t="s">
        <v>1196</v>
      </c>
      <c r="D4468" s="561">
        <v>15012</v>
      </c>
      <c r="E4468" s="561">
        <v>4203.6000000000004</v>
      </c>
      <c r="F4468" s="561">
        <v>10808.4</v>
      </c>
      <c r="G4468" s="561">
        <v>269</v>
      </c>
      <c r="H4468" s="561">
        <v>20086.454280000002</v>
      </c>
      <c r="I4468" s="561">
        <v>61</v>
      </c>
      <c r="J4468" s="561">
        <v>1690.7394699999998</v>
      </c>
      <c r="K4468" s="561">
        <v>244</v>
      </c>
      <c r="L4468" s="561">
        <v>16689.833000000002</v>
      </c>
      <c r="M4468" s="561">
        <v>15011.999999999998</v>
      </c>
      <c r="N4468" s="561">
        <v>4203.6000000000004</v>
      </c>
      <c r="O4468" s="561">
        <v>0</v>
      </c>
      <c r="P4468" s="561">
        <v>10808.399999999998</v>
      </c>
      <c r="Q4468" s="561">
        <v>10808.399999999998</v>
      </c>
    </row>
    <row r="4469" spans="1:17">
      <c r="C4469" s="561" t="s">
        <v>1197</v>
      </c>
      <c r="D4469" s="561">
        <v>15012</v>
      </c>
      <c r="E4469" s="561">
        <v>4203.6000000000004</v>
      </c>
      <c r="F4469" s="561">
        <v>10808.4</v>
      </c>
      <c r="G4469" s="561">
        <v>269</v>
      </c>
      <c r="H4469" s="561">
        <v>20086.454280000002</v>
      </c>
      <c r="I4469" s="561">
        <v>61</v>
      </c>
      <c r="J4469" s="561">
        <v>1690.7394699999998</v>
      </c>
      <c r="K4469" s="561">
        <v>244</v>
      </c>
      <c r="L4469" s="561">
        <v>16689.833000000002</v>
      </c>
      <c r="M4469" s="561">
        <v>15011.999999999998</v>
      </c>
      <c r="N4469" s="561">
        <v>4203.6000000000004</v>
      </c>
      <c r="O4469" s="561">
        <v>0</v>
      </c>
      <c r="Q4469" s="561">
        <v>10808.399999999998</v>
      </c>
    </row>
    <row r="4470" spans="1:17">
      <c r="C4470" s="561" t="s">
        <v>1198</v>
      </c>
      <c r="D4470" s="561">
        <v>0</v>
      </c>
      <c r="E4470" s="561">
        <v>0</v>
      </c>
      <c r="F4470" s="561">
        <v>0</v>
      </c>
      <c r="G4470" s="561">
        <v>0</v>
      </c>
      <c r="H4470" s="561">
        <v>0</v>
      </c>
      <c r="I4470" s="561">
        <v>0</v>
      </c>
      <c r="J4470" s="561">
        <v>0</v>
      </c>
      <c r="K4470" s="561">
        <v>0</v>
      </c>
      <c r="L4470" s="561">
        <v>0</v>
      </c>
      <c r="M4470" s="561">
        <v>0</v>
      </c>
      <c r="N4470" s="561">
        <v>0</v>
      </c>
      <c r="O4470" s="561">
        <v>0</v>
      </c>
      <c r="P4470" s="561">
        <v>0</v>
      </c>
      <c r="Q4470" s="561">
        <v>0</v>
      </c>
    </row>
    <row r="4471" spans="1:17">
      <c r="C4471" s="561" t="s">
        <v>1199</v>
      </c>
      <c r="D4471" s="561">
        <v>0</v>
      </c>
      <c r="E4471" s="561">
        <v>0</v>
      </c>
      <c r="F4471" s="561">
        <v>0</v>
      </c>
      <c r="G4471" s="561">
        <v>0</v>
      </c>
      <c r="H4471" s="561">
        <v>0</v>
      </c>
      <c r="I4471" s="561">
        <v>0</v>
      </c>
      <c r="J4471" s="561">
        <v>0</v>
      </c>
      <c r="K4471" s="561">
        <v>0</v>
      </c>
      <c r="L4471" s="561">
        <v>0</v>
      </c>
      <c r="M4471" s="561">
        <v>0</v>
      </c>
      <c r="N4471" s="561">
        <v>0</v>
      </c>
      <c r="O4471" s="561">
        <v>0</v>
      </c>
      <c r="P4471" s="561">
        <v>0</v>
      </c>
      <c r="Q4471" s="561">
        <v>0</v>
      </c>
    </row>
    <row r="4472" spans="1:17">
      <c r="A4472" s="561">
        <v>50</v>
      </c>
      <c r="B4472" s="561" t="s">
        <v>1618</v>
      </c>
      <c r="C4472" s="561" t="s">
        <v>1196</v>
      </c>
      <c r="D4472" s="561">
        <v>13763</v>
      </c>
      <c r="E4472" s="561">
        <v>3558.9</v>
      </c>
      <c r="F4472" s="561">
        <v>10204.1</v>
      </c>
      <c r="G4472" s="561">
        <v>1000</v>
      </c>
      <c r="H4472" s="561">
        <v>14912.944000000001</v>
      </c>
      <c r="I4472" s="561">
        <v>42</v>
      </c>
      <c r="J4472" s="561">
        <v>498.55938000000003</v>
      </c>
      <c r="K4472" s="561">
        <v>1000</v>
      </c>
      <c r="L4472" s="561">
        <v>14559.225000000002</v>
      </c>
      <c r="M4472" s="561">
        <v>13763</v>
      </c>
      <c r="N4472" s="561">
        <v>3558.900000000001</v>
      </c>
      <c r="O4472" s="561">
        <v>0</v>
      </c>
      <c r="P4472" s="561">
        <v>10204.099999999999</v>
      </c>
      <c r="Q4472" s="561">
        <v>10204.099999999999</v>
      </c>
    </row>
    <row r="4473" spans="1:17">
      <c r="C4473" s="561" t="s">
        <v>1197</v>
      </c>
      <c r="D4473" s="561">
        <v>0</v>
      </c>
      <c r="E4473" s="561">
        <v>0</v>
      </c>
      <c r="F4473" s="561">
        <v>0</v>
      </c>
      <c r="G4473" s="561">
        <v>0</v>
      </c>
      <c r="H4473" s="561">
        <v>0</v>
      </c>
      <c r="I4473" s="561">
        <v>0</v>
      </c>
      <c r="J4473" s="561">
        <v>0</v>
      </c>
      <c r="K4473" s="561">
        <v>0</v>
      </c>
      <c r="L4473" s="561">
        <v>0</v>
      </c>
      <c r="M4473" s="561">
        <v>0</v>
      </c>
      <c r="N4473" s="561">
        <v>0</v>
      </c>
      <c r="O4473" s="561">
        <v>0</v>
      </c>
      <c r="P4473" s="561">
        <v>0</v>
      </c>
      <c r="Q4473" s="561">
        <v>0</v>
      </c>
    </row>
    <row r="4474" spans="1:17">
      <c r="C4474" s="561" t="s">
        <v>1198</v>
      </c>
      <c r="D4474" s="561">
        <v>0</v>
      </c>
      <c r="E4474" s="561">
        <v>0</v>
      </c>
      <c r="F4474" s="561">
        <v>0</v>
      </c>
      <c r="G4474" s="561">
        <v>0</v>
      </c>
      <c r="H4474" s="561">
        <v>0</v>
      </c>
      <c r="I4474" s="561">
        <v>0</v>
      </c>
      <c r="J4474" s="561">
        <v>0</v>
      </c>
      <c r="K4474" s="561">
        <v>0</v>
      </c>
      <c r="L4474" s="561">
        <v>0</v>
      </c>
      <c r="M4474" s="561">
        <v>0</v>
      </c>
      <c r="N4474" s="561">
        <v>0</v>
      </c>
      <c r="O4474" s="561">
        <v>0</v>
      </c>
      <c r="P4474" s="561">
        <v>0</v>
      </c>
      <c r="Q4474" s="561">
        <v>0</v>
      </c>
    </row>
    <row r="4475" spans="1:17">
      <c r="C4475" s="561" t="s">
        <v>1199</v>
      </c>
      <c r="D4475" s="561">
        <v>13763</v>
      </c>
      <c r="E4475" s="561">
        <v>3558.9</v>
      </c>
      <c r="F4475" s="561">
        <v>10204.1</v>
      </c>
      <c r="G4475" s="561">
        <v>1000</v>
      </c>
      <c r="H4475" s="561">
        <v>14912.944000000001</v>
      </c>
      <c r="I4475" s="561">
        <v>42</v>
      </c>
      <c r="J4475" s="561">
        <v>498.55938000000003</v>
      </c>
      <c r="K4475" s="561">
        <v>1000</v>
      </c>
      <c r="L4475" s="561">
        <v>14559.225000000002</v>
      </c>
      <c r="M4475" s="561">
        <v>13763</v>
      </c>
      <c r="N4475" s="561">
        <v>3558.900000000001</v>
      </c>
      <c r="O4475" s="561">
        <v>0</v>
      </c>
      <c r="P4475" s="561">
        <v>10204.099999999999</v>
      </c>
      <c r="Q4475" s="561">
        <v>10204.099999999999</v>
      </c>
    </row>
    <row r="4476" spans="1:17">
      <c r="A4476" s="561">
        <v>51</v>
      </c>
      <c r="B4476" s="561" t="s">
        <v>1619</v>
      </c>
      <c r="C4476" s="561" t="s">
        <v>1196</v>
      </c>
      <c r="D4476" s="561">
        <v>4548</v>
      </c>
      <c r="E4476" s="561">
        <v>1274.4000000000001</v>
      </c>
      <c r="F4476" s="561">
        <v>3273.6</v>
      </c>
      <c r="G4476" s="561">
        <v>352</v>
      </c>
      <c r="H4476" s="561">
        <v>4760.7900000000009</v>
      </c>
      <c r="I4476" s="561">
        <v>28</v>
      </c>
      <c r="J4476" s="561">
        <v>190.22500000000002</v>
      </c>
      <c r="K4476" s="561">
        <v>352</v>
      </c>
      <c r="L4476" s="561">
        <v>4571.0599999999995</v>
      </c>
      <c r="M4476" s="561">
        <v>4548</v>
      </c>
      <c r="N4476" s="561">
        <v>1274.3999999999999</v>
      </c>
      <c r="O4476" s="561">
        <v>0</v>
      </c>
      <c r="P4476" s="561">
        <v>3273.5999999999995</v>
      </c>
      <c r="Q4476" s="561">
        <v>3273.5999999999995</v>
      </c>
    </row>
    <row r="4477" spans="1:17">
      <c r="C4477" s="561" t="s">
        <v>1197</v>
      </c>
      <c r="D4477" s="561">
        <v>0</v>
      </c>
      <c r="E4477" s="561">
        <v>0</v>
      </c>
      <c r="F4477" s="561">
        <v>0</v>
      </c>
      <c r="G4477" s="561">
        <v>0</v>
      </c>
      <c r="H4477" s="561">
        <v>0</v>
      </c>
      <c r="I4477" s="561">
        <v>0</v>
      </c>
      <c r="J4477" s="561">
        <v>0</v>
      </c>
      <c r="K4477" s="561">
        <v>0</v>
      </c>
      <c r="L4477" s="561">
        <v>0</v>
      </c>
      <c r="M4477" s="561">
        <v>0</v>
      </c>
      <c r="N4477" s="561">
        <v>0</v>
      </c>
      <c r="O4477" s="561">
        <v>0</v>
      </c>
      <c r="P4477" s="561">
        <v>0</v>
      </c>
      <c r="Q4477" s="561">
        <v>0</v>
      </c>
    </row>
    <row r="4478" spans="1:17">
      <c r="C4478" s="561" t="s">
        <v>1198</v>
      </c>
      <c r="D4478" s="561">
        <v>0</v>
      </c>
      <c r="E4478" s="561">
        <v>0</v>
      </c>
      <c r="F4478" s="561">
        <v>0</v>
      </c>
      <c r="G4478" s="561">
        <v>0</v>
      </c>
      <c r="H4478" s="561">
        <v>0</v>
      </c>
      <c r="I4478" s="561">
        <v>0</v>
      </c>
      <c r="J4478" s="561">
        <v>0</v>
      </c>
      <c r="K4478" s="561">
        <v>0</v>
      </c>
      <c r="L4478" s="561">
        <v>0</v>
      </c>
      <c r="M4478" s="561">
        <v>0</v>
      </c>
      <c r="N4478" s="561">
        <v>0</v>
      </c>
      <c r="O4478" s="561">
        <v>0</v>
      </c>
      <c r="P4478" s="561">
        <v>0</v>
      </c>
      <c r="Q4478" s="561">
        <v>0</v>
      </c>
    </row>
    <row r="4479" spans="1:17">
      <c r="C4479" s="561" t="s">
        <v>1199</v>
      </c>
      <c r="D4479" s="561">
        <v>4548</v>
      </c>
      <c r="E4479" s="561">
        <v>1274.4000000000001</v>
      </c>
      <c r="F4479" s="561">
        <v>3273.6</v>
      </c>
      <c r="G4479" s="561">
        <v>352</v>
      </c>
      <c r="H4479" s="561">
        <v>4760.7900000000009</v>
      </c>
      <c r="I4479" s="561">
        <v>28</v>
      </c>
      <c r="J4479" s="561">
        <v>190.22500000000002</v>
      </c>
      <c r="K4479" s="561">
        <v>352</v>
      </c>
      <c r="L4479" s="561">
        <v>4571.0599999999995</v>
      </c>
      <c r="M4479" s="561">
        <v>4548</v>
      </c>
      <c r="N4479" s="561">
        <v>1274.3999999999999</v>
      </c>
      <c r="O4479" s="561">
        <v>0</v>
      </c>
      <c r="P4479" s="561">
        <v>3273.5999999999995</v>
      </c>
      <c r="Q4479" s="561">
        <v>3273.5999999999995</v>
      </c>
    </row>
    <row r="4480" spans="1:17">
      <c r="A4480" s="561">
        <v>52</v>
      </c>
      <c r="B4480" s="561" t="s">
        <v>1620</v>
      </c>
      <c r="C4480" s="561" t="s">
        <v>1196</v>
      </c>
      <c r="D4480" s="561">
        <v>3990</v>
      </c>
      <c r="E4480" s="561">
        <v>1107</v>
      </c>
      <c r="F4480" s="561">
        <v>2883</v>
      </c>
      <c r="G4480" s="561">
        <v>328</v>
      </c>
      <c r="H4480" s="561">
        <v>4795.4429999999993</v>
      </c>
      <c r="I4480" s="561">
        <v>17</v>
      </c>
      <c r="J4480" s="561">
        <v>105.46099999999998</v>
      </c>
      <c r="K4480" s="561">
        <v>303</v>
      </c>
      <c r="L4480" s="561">
        <v>4363.7879999999996</v>
      </c>
      <c r="M4480" s="561">
        <v>3990</v>
      </c>
      <c r="N4480" s="561">
        <v>1107</v>
      </c>
      <c r="O4480" s="561">
        <v>0</v>
      </c>
      <c r="P4480" s="561">
        <v>2883</v>
      </c>
      <c r="Q4480" s="561">
        <v>2883</v>
      </c>
    </row>
    <row r="4481" spans="1:17">
      <c r="C4481" s="561" t="s">
        <v>1197</v>
      </c>
      <c r="D4481" s="561">
        <v>0</v>
      </c>
      <c r="E4481" s="561">
        <v>0</v>
      </c>
      <c r="F4481" s="561">
        <v>0</v>
      </c>
      <c r="G4481" s="561">
        <v>0</v>
      </c>
      <c r="H4481" s="561">
        <v>0</v>
      </c>
      <c r="I4481" s="561">
        <v>0</v>
      </c>
      <c r="J4481" s="561">
        <v>0</v>
      </c>
      <c r="K4481" s="561">
        <v>0</v>
      </c>
      <c r="L4481" s="561">
        <v>0</v>
      </c>
      <c r="M4481" s="561">
        <v>0</v>
      </c>
      <c r="N4481" s="561">
        <v>0</v>
      </c>
      <c r="O4481" s="561">
        <v>0</v>
      </c>
      <c r="P4481" s="561">
        <v>0</v>
      </c>
      <c r="Q4481" s="561">
        <v>0</v>
      </c>
    </row>
    <row r="4482" spans="1:17">
      <c r="C4482" s="561" t="s">
        <v>1198</v>
      </c>
      <c r="D4482" s="561">
        <v>0</v>
      </c>
      <c r="E4482" s="561">
        <v>0</v>
      </c>
      <c r="F4482" s="561">
        <v>0</v>
      </c>
      <c r="G4482" s="561">
        <v>0</v>
      </c>
      <c r="H4482" s="561">
        <v>0</v>
      </c>
      <c r="I4482" s="561">
        <v>0</v>
      </c>
      <c r="J4482" s="561">
        <v>0</v>
      </c>
      <c r="K4482" s="561">
        <v>0</v>
      </c>
      <c r="L4482" s="561">
        <v>0</v>
      </c>
      <c r="M4482" s="561">
        <v>0</v>
      </c>
      <c r="N4482" s="561">
        <v>0</v>
      </c>
      <c r="O4482" s="561">
        <v>0</v>
      </c>
      <c r="P4482" s="561">
        <v>0</v>
      </c>
      <c r="Q4482" s="561">
        <v>0</v>
      </c>
    </row>
    <row r="4483" spans="1:17">
      <c r="C4483" s="561" t="s">
        <v>1199</v>
      </c>
      <c r="D4483" s="561">
        <v>3990</v>
      </c>
      <c r="E4483" s="561">
        <v>1107</v>
      </c>
      <c r="F4483" s="561">
        <v>2883</v>
      </c>
      <c r="G4483" s="561">
        <v>328</v>
      </c>
      <c r="H4483" s="561">
        <v>4795.4429999999993</v>
      </c>
      <c r="I4483" s="561">
        <v>17</v>
      </c>
      <c r="J4483" s="561">
        <v>105.46099999999998</v>
      </c>
      <c r="K4483" s="561">
        <v>303</v>
      </c>
      <c r="L4483" s="561">
        <v>4363.7879999999996</v>
      </c>
      <c r="M4483" s="561">
        <v>3990</v>
      </c>
      <c r="N4483" s="561">
        <v>1107</v>
      </c>
      <c r="O4483" s="561">
        <v>0</v>
      </c>
      <c r="P4483" s="561">
        <v>2883</v>
      </c>
      <c r="Q4483" s="561">
        <v>2883</v>
      </c>
    </row>
    <row r="4484" spans="1:17">
      <c r="A4484" s="561">
        <v>53</v>
      </c>
      <c r="B4484" s="561" t="s">
        <v>1621</v>
      </c>
      <c r="C4484" s="561" t="s">
        <v>1196</v>
      </c>
      <c r="D4484" s="561">
        <v>3874</v>
      </c>
      <c r="E4484" s="561">
        <v>1072.2</v>
      </c>
      <c r="F4484" s="561">
        <v>2801.8</v>
      </c>
      <c r="G4484" s="561">
        <v>350</v>
      </c>
      <c r="H4484" s="561">
        <v>4559.1082699999997</v>
      </c>
      <c r="I4484" s="561">
        <v>25</v>
      </c>
      <c r="J4484" s="561">
        <v>125.90700000000001</v>
      </c>
      <c r="K4484" s="561">
        <v>310</v>
      </c>
      <c r="L4484" s="561">
        <v>4058.9609999999989</v>
      </c>
      <c r="M4484" s="561">
        <v>3874</v>
      </c>
      <c r="N4484" s="561">
        <v>1072.1999999999998</v>
      </c>
      <c r="O4484" s="561">
        <v>0</v>
      </c>
      <c r="P4484" s="561">
        <v>2801.7999999999997</v>
      </c>
      <c r="Q4484" s="561">
        <v>2801.7999999999997</v>
      </c>
    </row>
    <row r="4485" spans="1:17">
      <c r="C4485" s="561" t="s">
        <v>1197</v>
      </c>
      <c r="D4485" s="561">
        <v>0</v>
      </c>
      <c r="E4485" s="561">
        <v>0</v>
      </c>
      <c r="F4485" s="561">
        <v>0</v>
      </c>
      <c r="G4485" s="561">
        <v>0</v>
      </c>
      <c r="H4485" s="561">
        <v>0</v>
      </c>
      <c r="I4485" s="561">
        <v>0</v>
      </c>
      <c r="J4485" s="561">
        <v>0</v>
      </c>
      <c r="K4485" s="561">
        <v>0</v>
      </c>
      <c r="L4485" s="561">
        <v>0</v>
      </c>
      <c r="M4485" s="561">
        <v>0</v>
      </c>
      <c r="N4485" s="561">
        <v>0</v>
      </c>
      <c r="O4485" s="561">
        <v>0</v>
      </c>
      <c r="P4485" s="561">
        <v>0</v>
      </c>
      <c r="Q4485" s="561">
        <v>0</v>
      </c>
    </row>
    <row r="4486" spans="1:17">
      <c r="C4486" s="561" t="s">
        <v>1198</v>
      </c>
      <c r="D4486" s="561">
        <v>0</v>
      </c>
      <c r="E4486" s="561">
        <v>0</v>
      </c>
      <c r="F4486" s="561">
        <v>0</v>
      </c>
      <c r="G4486" s="561">
        <v>0</v>
      </c>
      <c r="H4486" s="561">
        <v>0</v>
      </c>
      <c r="I4486" s="561">
        <v>0</v>
      </c>
      <c r="J4486" s="561">
        <v>0</v>
      </c>
      <c r="K4486" s="561">
        <v>0</v>
      </c>
      <c r="L4486" s="561">
        <v>0</v>
      </c>
      <c r="M4486" s="561">
        <v>0</v>
      </c>
      <c r="N4486" s="561">
        <v>0</v>
      </c>
      <c r="O4486" s="561">
        <v>0</v>
      </c>
      <c r="P4486" s="561">
        <v>0</v>
      </c>
      <c r="Q4486" s="561">
        <v>0</v>
      </c>
    </row>
    <row r="4487" spans="1:17">
      <c r="C4487" s="561" t="s">
        <v>1199</v>
      </c>
      <c r="D4487" s="561">
        <v>3874</v>
      </c>
      <c r="E4487" s="561">
        <v>1072.2</v>
      </c>
      <c r="F4487" s="561">
        <v>2801.8</v>
      </c>
      <c r="G4487" s="561">
        <v>350</v>
      </c>
      <c r="H4487" s="561">
        <v>4559.1082699999997</v>
      </c>
      <c r="I4487" s="561">
        <v>25</v>
      </c>
      <c r="J4487" s="561">
        <v>125.90700000000001</v>
      </c>
      <c r="K4487" s="561">
        <v>310</v>
      </c>
      <c r="L4487" s="561">
        <v>4058.9609999999989</v>
      </c>
      <c r="M4487" s="561">
        <v>3874</v>
      </c>
      <c r="N4487" s="561">
        <v>1072.1999999999998</v>
      </c>
      <c r="O4487" s="561">
        <v>0</v>
      </c>
      <c r="P4487" s="561">
        <v>2801.7999999999997</v>
      </c>
      <c r="Q4487" s="561">
        <v>2801.7999999999997</v>
      </c>
    </row>
    <row r="4488" spans="1:17">
      <c r="A4488" s="561">
        <v>54</v>
      </c>
      <c r="B4488" s="561" t="s">
        <v>1622</v>
      </c>
      <c r="C4488" s="561" t="s">
        <v>1196</v>
      </c>
      <c r="D4488" s="561">
        <v>536108.26599999995</v>
      </c>
      <c r="E4488" s="561">
        <v>146272.5</v>
      </c>
      <c r="F4488" s="561">
        <v>389835.76599999995</v>
      </c>
      <c r="G4488" s="561">
        <v>9297</v>
      </c>
      <c r="H4488" s="561">
        <v>560578.13499999989</v>
      </c>
      <c r="I4488" s="561">
        <v>877</v>
      </c>
      <c r="J4488" s="561">
        <v>29028.167800000003</v>
      </c>
      <c r="K4488" s="561">
        <v>9226</v>
      </c>
      <c r="L4488" s="561">
        <v>538503.96911000006</v>
      </c>
      <c r="M4488" s="561">
        <v>537889.96724000003</v>
      </c>
      <c r="N4488" s="561">
        <v>148054.19999999998</v>
      </c>
      <c r="O4488" s="561">
        <v>0</v>
      </c>
      <c r="P4488" s="561">
        <v>389835.76724000007</v>
      </c>
      <c r="Q4488" s="561">
        <v>389835.76724000007</v>
      </c>
    </row>
    <row r="4489" spans="1:17">
      <c r="C4489" s="561" t="s">
        <v>1197</v>
      </c>
      <c r="D4489" s="561">
        <v>524525.53</v>
      </c>
      <c r="E4489" s="561">
        <v>143557.5</v>
      </c>
      <c r="F4489" s="561">
        <v>380968.03</v>
      </c>
      <c r="G4489" s="561">
        <v>8441</v>
      </c>
      <c r="H4489" s="561">
        <v>548413.19400000002</v>
      </c>
      <c r="I4489" s="561">
        <v>822</v>
      </c>
      <c r="J4489" s="561">
        <v>28789.378800000002</v>
      </c>
      <c r="K4489" s="561">
        <v>8371</v>
      </c>
      <c r="L4489" s="561">
        <v>526577.81824000005</v>
      </c>
      <c r="M4489" s="561">
        <v>526224.06123999995</v>
      </c>
      <c r="N4489" s="561">
        <v>145299.06399999998</v>
      </c>
      <c r="O4489" s="561">
        <v>0</v>
      </c>
      <c r="Q4489" s="561">
        <v>380924.99724000006</v>
      </c>
    </row>
    <row r="4490" spans="1:17">
      <c r="C4490" s="561" t="s">
        <v>1198</v>
      </c>
      <c r="D4490" s="561">
        <v>0</v>
      </c>
      <c r="E4490" s="561">
        <v>0</v>
      </c>
      <c r="F4490" s="561">
        <v>0</v>
      </c>
      <c r="G4490" s="561">
        <v>0</v>
      </c>
      <c r="H4490" s="561">
        <v>0</v>
      </c>
      <c r="I4490" s="561">
        <v>0</v>
      </c>
      <c r="J4490" s="561">
        <v>0</v>
      </c>
      <c r="K4490" s="561">
        <v>0</v>
      </c>
      <c r="L4490" s="561">
        <v>0</v>
      </c>
      <c r="M4490" s="561">
        <v>0</v>
      </c>
      <c r="N4490" s="561">
        <v>0</v>
      </c>
      <c r="O4490" s="561">
        <v>0</v>
      </c>
      <c r="P4490" s="561">
        <v>0</v>
      </c>
      <c r="Q4490" s="561">
        <v>0</v>
      </c>
    </row>
    <row r="4491" spans="1:17">
      <c r="C4491" s="561" t="s">
        <v>1199</v>
      </c>
      <c r="D4491" s="561">
        <v>11050</v>
      </c>
      <c r="E4491" s="561">
        <v>2715</v>
      </c>
      <c r="F4491" s="561">
        <v>8335</v>
      </c>
      <c r="G4491" s="561">
        <v>856</v>
      </c>
      <c r="H4491" s="561">
        <v>11503.615000000003</v>
      </c>
      <c r="I4491" s="561">
        <v>55</v>
      </c>
      <c r="J4491" s="561">
        <v>238.78900000000002</v>
      </c>
      <c r="K4491" s="561">
        <v>855</v>
      </c>
      <c r="L4491" s="561">
        <v>11264.82387</v>
      </c>
      <c r="M4491" s="561">
        <v>11264.824000000001</v>
      </c>
      <c r="N4491" s="561">
        <v>2755.1359999999995</v>
      </c>
      <c r="O4491" s="561">
        <v>0</v>
      </c>
      <c r="P4491" s="561">
        <v>8509.6880000000001</v>
      </c>
      <c r="Q4491" s="561">
        <v>8509.6880000000001</v>
      </c>
    </row>
    <row r="4492" spans="1:17">
      <c r="C4492" s="561" t="s">
        <v>1202</v>
      </c>
      <c r="D4492" s="561">
        <v>532.73599999999999</v>
      </c>
      <c r="F4492" s="561">
        <v>532.73599999999999</v>
      </c>
      <c r="G4492" s="561">
        <v>0</v>
      </c>
      <c r="H4492" s="561">
        <v>661.32600000000002</v>
      </c>
      <c r="I4492" s="561">
        <v>0</v>
      </c>
      <c r="J4492" s="561">
        <v>0</v>
      </c>
      <c r="K4492" s="561">
        <v>0</v>
      </c>
      <c r="L4492" s="561">
        <v>661.327</v>
      </c>
      <c r="M4492" s="561">
        <v>401.08199999999999</v>
      </c>
      <c r="N4492" s="561">
        <v>0</v>
      </c>
      <c r="O4492" s="561">
        <v>0</v>
      </c>
      <c r="P4492" s="561">
        <v>401.08199999999999</v>
      </c>
      <c r="Q4492" s="561">
        <v>401.08199999999999</v>
      </c>
    </row>
    <row r="4493" spans="1:17">
      <c r="A4493" s="561">
        <v>55</v>
      </c>
      <c r="B4493" s="561" t="s">
        <v>1623</v>
      </c>
      <c r="C4493" s="561" t="s">
        <v>1196</v>
      </c>
      <c r="D4493" s="561">
        <v>41450.839</v>
      </c>
      <c r="E4493" s="561">
        <v>16035.3</v>
      </c>
      <c r="F4493" s="561">
        <v>25415.539000000001</v>
      </c>
      <c r="G4493" s="561">
        <v>680</v>
      </c>
      <c r="H4493" s="561">
        <v>44398.689599999998</v>
      </c>
      <c r="I4493" s="561">
        <v>96</v>
      </c>
      <c r="J4493" s="561">
        <v>4367.9096</v>
      </c>
      <c r="K4493" s="561">
        <v>679</v>
      </c>
      <c r="L4493" s="561">
        <v>40185.630000000005</v>
      </c>
      <c r="M4493" s="561">
        <v>39669.139000000003</v>
      </c>
      <c r="N4493" s="561">
        <v>14253.599999999999</v>
      </c>
      <c r="O4493" s="561">
        <v>0</v>
      </c>
      <c r="P4493" s="561">
        <v>25415.539000000001</v>
      </c>
      <c r="Q4493" s="561">
        <v>25415.539000000001</v>
      </c>
    </row>
    <row r="4494" spans="1:17">
      <c r="C4494" s="561" t="s">
        <v>1197</v>
      </c>
      <c r="D4494" s="561">
        <v>40246.839</v>
      </c>
      <c r="E4494" s="561">
        <v>15674.1</v>
      </c>
      <c r="F4494" s="561">
        <v>24572.739000000001</v>
      </c>
      <c r="G4494" s="561">
        <v>577</v>
      </c>
      <c r="H4494" s="561">
        <v>42712.365000000005</v>
      </c>
      <c r="I4494" s="561">
        <v>93</v>
      </c>
      <c r="J4494" s="561">
        <v>4345.8599999999997</v>
      </c>
      <c r="K4494" s="561">
        <v>576</v>
      </c>
      <c r="L4494" s="561">
        <v>38521.364000000001</v>
      </c>
      <c r="M4494" s="561">
        <v>38004.873</v>
      </c>
      <c r="N4494" s="561">
        <v>13932.535999999996</v>
      </c>
      <c r="O4494" s="561">
        <v>0</v>
      </c>
      <c r="Q4494" s="561">
        <v>24072.337</v>
      </c>
    </row>
    <row r="4495" spans="1:17">
      <c r="C4495" s="561" t="s">
        <v>1198</v>
      </c>
      <c r="D4495" s="561">
        <v>0</v>
      </c>
      <c r="E4495" s="561">
        <v>0</v>
      </c>
      <c r="F4495" s="561">
        <v>0</v>
      </c>
      <c r="G4495" s="561">
        <v>0</v>
      </c>
      <c r="H4495" s="561">
        <v>0</v>
      </c>
      <c r="I4495" s="561">
        <v>0</v>
      </c>
      <c r="J4495" s="561">
        <v>0</v>
      </c>
      <c r="K4495" s="561">
        <v>0</v>
      </c>
      <c r="L4495" s="561">
        <v>0</v>
      </c>
      <c r="M4495" s="561">
        <v>0</v>
      </c>
      <c r="N4495" s="561">
        <v>0</v>
      </c>
      <c r="O4495" s="561">
        <v>0</v>
      </c>
      <c r="P4495" s="561">
        <v>0</v>
      </c>
      <c r="Q4495" s="561">
        <v>0</v>
      </c>
    </row>
    <row r="4496" spans="1:17">
      <c r="C4496" s="561" t="s">
        <v>1199</v>
      </c>
      <c r="D4496" s="561">
        <v>1204</v>
      </c>
      <c r="E4496" s="561">
        <v>361.19999999999891</v>
      </c>
      <c r="F4496" s="561">
        <v>842.80000000000109</v>
      </c>
      <c r="G4496" s="561">
        <v>103</v>
      </c>
      <c r="H4496" s="561">
        <v>1686.3245999999992</v>
      </c>
      <c r="I4496" s="561">
        <v>3</v>
      </c>
      <c r="J4496" s="561">
        <v>22.049599999999984</v>
      </c>
      <c r="K4496" s="561">
        <v>103</v>
      </c>
      <c r="L4496" s="561">
        <v>1664.2660000000001</v>
      </c>
      <c r="M4496" s="561">
        <v>1664.2660000000001</v>
      </c>
      <c r="N4496" s="561">
        <v>321.06400000000002</v>
      </c>
      <c r="O4496" s="561">
        <v>0</v>
      </c>
      <c r="P4496" s="561">
        <v>1343.202</v>
      </c>
      <c r="Q4496" s="561">
        <v>1343.202</v>
      </c>
    </row>
    <row r="4497" spans="1:17">
      <c r="A4497" s="561">
        <v>56</v>
      </c>
      <c r="B4497" s="561" t="s">
        <v>1624</v>
      </c>
      <c r="C4497" s="561" t="s">
        <v>1196</v>
      </c>
      <c r="D4497" s="561">
        <v>15543</v>
      </c>
      <c r="E4497" s="561">
        <v>4332.8999999999996</v>
      </c>
      <c r="F4497" s="561">
        <v>11210.1</v>
      </c>
      <c r="G4497" s="561">
        <v>329</v>
      </c>
      <c r="H4497" s="561">
        <v>16011.605969999999</v>
      </c>
      <c r="I4497" s="561">
        <v>35</v>
      </c>
      <c r="J4497" s="561">
        <v>769.98839999999996</v>
      </c>
      <c r="K4497" s="561">
        <v>326</v>
      </c>
      <c r="L4497" s="561">
        <v>15925.987999999999</v>
      </c>
      <c r="M4497" s="561">
        <v>15543</v>
      </c>
      <c r="N4497" s="561">
        <v>4332.8999999999987</v>
      </c>
      <c r="O4497" s="561">
        <v>0</v>
      </c>
      <c r="P4497" s="561">
        <v>11210.1</v>
      </c>
      <c r="Q4497" s="561">
        <v>11210.1</v>
      </c>
    </row>
    <row r="4498" spans="1:17">
      <c r="C4498" s="561" t="s">
        <v>1197</v>
      </c>
      <c r="D4498" s="561">
        <v>14716</v>
      </c>
      <c r="E4498" s="561">
        <v>4114.8</v>
      </c>
      <c r="F4498" s="561">
        <v>10601.2</v>
      </c>
      <c r="G4498" s="561">
        <v>261</v>
      </c>
      <c r="H4498" s="561">
        <v>15050.496080000001</v>
      </c>
      <c r="I4498" s="561">
        <v>28</v>
      </c>
      <c r="J4498" s="561">
        <v>739.03179999999998</v>
      </c>
      <c r="K4498" s="561">
        <v>258</v>
      </c>
      <c r="L4498" s="561">
        <v>14995.833999999999</v>
      </c>
      <c r="M4498" s="561">
        <v>14780.561999999998</v>
      </c>
      <c r="N4498" s="561">
        <v>4114.8</v>
      </c>
      <c r="O4498" s="561">
        <v>0</v>
      </c>
      <c r="Q4498" s="561">
        <v>10665.761999999999</v>
      </c>
    </row>
    <row r="4499" spans="1:17">
      <c r="C4499" s="561" t="s">
        <v>1198</v>
      </c>
      <c r="D4499" s="561">
        <v>0</v>
      </c>
      <c r="E4499" s="561">
        <v>0</v>
      </c>
      <c r="F4499" s="561">
        <v>0</v>
      </c>
      <c r="G4499" s="561">
        <v>0</v>
      </c>
      <c r="H4499" s="561">
        <v>0</v>
      </c>
      <c r="I4499" s="561">
        <v>0</v>
      </c>
      <c r="J4499" s="561">
        <v>0</v>
      </c>
      <c r="K4499" s="561">
        <v>0</v>
      </c>
      <c r="L4499" s="561">
        <v>0</v>
      </c>
      <c r="M4499" s="561">
        <v>0</v>
      </c>
      <c r="N4499" s="561">
        <v>0</v>
      </c>
      <c r="O4499" s="561">
        <v>0</v>
      </c>
      <c r="P4499" s="561">
        <v>0</v>
      </c>
      <c r="Q4499" s="561">
        <v>0</v>
      </c>
    </row>
    <row r="4500" spans="1:17">
      <c r="C4500" s="561" t="s">
        <v>1199</v>
      </c>
      <c r="D4500" s="561">
        <v>827</v>
      </c>
      <c r="E4500" s="561">
        <v>218.09999999999945</v>
      </c>
      <c r="F4500" s="561">
        <v>608.90000000000055</v>
      </c>
      <c r="G4500" s="561">
        <v>68</v>
      </c>
      <c r="H4500" s="561">
        <v>961.10989000000006</v>
      </c>
      <c r="I4500" s="561">
        <v>7</v>
      </c>
      <c r="J4500" s="561">
        <v>30.956600000000002</v>
      </c>
      <c r="K4500" s="561">
        <v>68</v>
      </c>
      <c r="L4500" s="561">
        <v>930.15400000000011</v>
      </c>
      <c r="M4500" s="561">
        <v>762.43799999999999</v>
      </c>
      <c r="N4500" s="561">
        <v>218.09999999999997</v>
      </c>
      <c r="O4500" s="561">
        <v>0</v>
      </c>
      <c r="P4500" s="561">
        <v>544.33799999999997</v>
      </c>
      <c r="Q4500" s="561">
        <v>544.33799999999997</v>
      </c>
    </row>
    <row r="4501" spans="1:17">
      <c r="A4501" s="561">
        <v>57</v>
      </c>
      <c r="B4501" s="561" t="s">
        <v>1625</v>
      </c>
      <c r="C4501" s="561" t="s">
        <v>1196</v>
      </c>
      <c r="D4501" s="561">
        <v>13732</v>
      </c>
      <c r="E4501" s="561">
        <v>3909.6</v>
      </c>
      <c r="F4501" s="561">
        <v>9822.4</v>
      </c>
      <c r="G4501" s="561">
        <v>1080</v>
      </c>
      <c r="H4501" s="561">
        <v>15932.47567</v>
      </c>
      <c r="I4501" s="561">
        <v>63</v>
      </c>
      <c r="J4501" s="561">
        <v>375.82200000000006</v>
      </c>
      <c r="K4501" s="561">
        <v>1080</v>
      </c>
      <c r="L4501" s="561">
        <v>15556.648999999999</v>
      </c>
      <c r="M4501" s="561">
        <v>13732</v>
      </c>
      <c r="N4501" s="561">
        <v>3909.5999999999995</v>
      </c>
      <c r="O4501" s="561">
        <v>0</v>
      </c>
      <c r="P4501" s="561">
        <v>9822.4</v>
      </c>
      <c r="Q4501" s="561">
        <v>9822.4</v>
      </c>
    </row>
    <row r="4502" spans="1:17">
      <c r="C4502" s="561" t="s">
        <v>1197</v>
      </c>
      <c r="D4502" s="561">
        <v>0</v>
      </c>
      <c r="E4502" s="561">
        <v>0</v>
      </c>
      <c r="F4502" s="561">
        <v>0</v>
      </c>
      <c r="G4502" s="561">
        <v>0</v>
      </c>
      <c r="H4502" s="561">
        <v>0</v>
      </c>
      <c r="I4502" s="561">
        <v>0</v>
      </c>
      <c r="J4502" s="561">
        <v>0</v>
      </c>
      <c r="K4502" s="561">
        <v>0</v>
      </c>
      <c r="L4502" s="561">
        <v>0</v>
      </c>
      <c r="M4502" s="561">
        <v>0</v>
      </c>
      <c r="N4502" s="561">
        <v>0</v>
      </c>
      <c r="O4502" s="561">
        <v>0</v>
      </c>
      <c r="P4502" s="561">
        <v>0</v>
      </c>
      <c r="Q4502" s="561">
        <v>0</v>
      </c>
    </row>
    <row r="4503" spans="1:17">
      <c r="C4503" s="561" t="s">
        <v>1198</v>
      </c>
      <c r="D4503" s="561">
        <v>0</v>
      </c>
      <c r="E4503" s="561">
        <v>0</v>
      </c>
      <c r="F4503" s="561">
        <v>0</v>
      </c>
      <c r="G4503" s="561">
        <v>0</v>
      </c>
      <c r="H4503" s="561">
        <v>0</v>
      </c>
      <c r="I4503" s="561">
        <v>0</v>
      </c>
      <c r="J4503" s="561">
        <v>0</v>
      </c>
      <c r="K4503" s="561">
        <v>0</v>
      </c>
      <c r="L4503" s="561">
        <v>0</v>
      </c>
      <c r="M4503" s="561">
        <v>0</v>
      </c>
      <c r="N4503" s="561">
        <v>0</v>
      </c>
      <c r="O4503" s="561">
        <v>0</v>
      </c>
      <c r="P4503" s="561">
        <v>0</v>
      </c>
      <c r="Q4503" s="561">
        <v>0</v>
      </c>
    </row>
    <row r="4504" spans="1:17">
      <c r="C4504" s="561" t="s">
        <v>1199</v>
      </c>
      <c r="D4504" s="561">
        <v>13732</v>
      </c>
      <c r="E4504" s="561">
        <v>3909.6</v>
      </c>
      <c r="F4504" s="561">
        <v>9822.4</v>
      </c>
      <c r="G4504" s="561">
        <v>1080</v>
      </c>
      <c r="H4504" s="561">
        <v>15932.47567</v>
      </c>
      <c r="I4504" s="561">
        <v>63</v>
      </c>
      <c r="J4504" s="561">
        <v>375.82200000000006</v>
      </c>
      <c r="K4504" s="561">
        <v>1080</v>
      </c>
      <c r="L4504" s="561">
        <v>15556.648999999999</v>
      </c>
      <c r="M4504" s="561">
        <v>13732</v>
      </c>
      <c r="N4504" s="561">
        <v>3909.5999999999995</v>
      </c>
      <c r="O4504" s="561">
        <v>0</v>
      </c>
      <c r="P4504" s="561">
        <v>9822.4</v>
      </c>
      <c r="Q4504" s="561">
        <v>9822.4</v>
      </c>
    </row>
    <row r="4505" spans="1:17">
      <c r="A4505" s="561">
        <v>58</v>
      </c>
      <c r="B4505" s="561" t="s">
        <v>1626</v>
      </c>
      <c r="C4505" s="561" t="s">
        <v>1196</v>
      </c>
      <c r="D4505" s="561">
        <v>10160</v>
      </c>
      <c r="E4505" s="561">
        <v>3048</v>
      </c>
      <c r="F4505" s="561">
        <v>7112</v>
      </c>
      <c r="G4505" s="561">
        <v>798</v>
      </c>
      <c r="H4505" s="561">
        <v>11132.422199999999</v>
      </c>
      <c r="I4505" s="561">
        <v>42</v>
      </c>
      <c r="J4505" s="561">
        <v>278.28320000000008</v>
      </c>
      <c r="K4505" s="561">
        <v>798</v>
      </c>
      <c r="L4505" s="561">
        <v>10854.132000000001</v>
      </c>
      <c r="M4505" s="561">
        <v>10160.000000000002</v>
      </c>
      <c r="N4505" s="561">
        <v>3048</v>
      </c>
      <c r="O4505" s="561">
        <v>0</v>
      </c>
      <c r="P4505" s="561">
        <v>7111.9999999999991</v>
      </c>
      <c r="Q4505" s="561">
        <v>7111.9999999999991</v>
      </c>
    </row>
    <row r="4506" spans="1:17">
      <c r="C4506" s="561" t="s">
        <v>1197</v>
      </c>
      <c r="D4506" s="561">
        <v>0</v>
      </c>
      <c r="E4506" s="561">
        <v>0</v>
      </c>
      <c r="F4506" s="561">
        <v>0</v>
      </c>
      <c r="G4506" s="561">
        <v>0</v>
      </c>
      <c r="H4506" s="561">
        <v>0</v>
      </c>
      <c r="I4506" s="561">
        <v>0</v>
      </c>
      <c r="J4506" s="561">
        <v>0</v>
      </c>
      <c r="K4506" s="561">
        <v>0</v>
      </c>
      <c r="L4506" s="561">
        <v>0</v>
      </c>
      <c r="M4506" s="561">
        <v>0</v>
      </c>
      <c r="N4506" s="561">
        <v>0</v>
      </c>
      <c r="O4506" s="561">
        <v>0</v>
      </c>
      <c r="P4506" s="561">
        <v>0</v>
      </c>
      <c r="Q4506" s="561">
        <v>0</v>
      </c>
    </row>
    <row r="4507" spans="1:17">
      <c r="C4507" s="561" t="s">
        <v>1198</v>
      </c>
      <c r="D4507" s="561">
        <v>0</v>
      </c>
      <c r="E4507" s="561">
        <v>0</v>
      </c>
      <c r="F4507" s="561">
        <v>0</v>
      </c>
      <c r="G4507" s="561">
        <v>0</v>
      </c>
      <c r="H4507" s="561">
        <v>0</v>
      </c>
      <c r="I4507" s="561">
        <v>0</v>
      </c>
      <c r="J4507" s="561">
        <v>0</v>
      </c>
      <c r="K4507" s="561">
        <v>0</v>
      </c>
      <c r="L4507" s="561">
        <v>0</v>
      </c>
      <c r="M4507" s="561">
        <v>0</v>
      </c>
      <c r="N4507" s="561">
        <v>0</v>
      </c>
      <c r="O4507" s="561">
        <v>0</v>
      </c>
      <c r="P4507" s="561">
        <v>0</v>
      </c>
      <c r="Q4507" s="561">
        <v>0</v>
      </c>
    </row>
    <row r="4508" spans="1:17">
      <c r="C4508" s="561" t="s">
        <v>1199</v>
      </c>
      <c r="D4508" s="561">
        <v>10160</v>
      </c>
      <c r="E4508" s="561">
        <v>3048</v>
      </c>
      <c r="F4508" s="561">
        <v>7112</v>
      </c>
      <c r="G4508" s="561">
        <v>798</v>
      </c>
      <c r="H4508" s="561">
        <v>11132.422199999999</v>
      </c>
      <c r="I4508" s="561">
        <v>42</v>
      </c>
      <c r="J4508" s="561">
        <v>278.28320000000008</v>
      </c>
      <c r="K4508" s="561">
        <v>798</v>
      </c>
      <c r="L4508" s="561">
        <v>10854.132000000001</v>
      </c>
      <c r="M4508" s="561">
        <v>10160.000000000002</v>
      </c>
      <c r="N4508" s="561">
        <v>3048</v>
      </c>
      <c r="O4508" s="561">
        <v>0</v>
      </c>
      <c r="P4508" s="561">
        <v>7111.9999999999991</v>
      </c>
      <c r="Q4508" s="561">
        <v>7111.9999999999991</v>
      </c>
    </row>
    <row r="4509" spans="1:17">
      <c r="A4509" s="561">
        <v>59</v>
      </c>
      <c r="B4509" s="561" t="s">
        <v>1627</v>
      </c>
      <c r="C4509" s="561" t="s">
        <v>1196</v>
      </c>
      <c r="D4509" s="561">
        <v>11201</v>
      </c>
      <c r="E4509" s="561">
        <v>3360.3</v>
      </c>
      <c r="F4509" s="561">
        <v>7840.7</v>
      </c>
      <c r="G4509" s="561">
        <v>811</v>
      </c>
      <c r="H4509" s="561">
        <v>12041.4498</v>
      </c>
      <c r="I4509" s="561">
        <v>50</v>
      </c>
      <c r="J4509" s="561">
        <v>209.83100000000005</v>
      </c>
      <c r="K4509" s="561">
        <v>811</v>
      </c>
      <c r="L4509" s="561">
        <v>11832.722000000002</v>
      </c>
      <c r="M4509" s="561">
        <v>11201</v>
      </c>
      <c r="N4509" s="561">
        <v>3360.2999999999997</v>
      </c>
      <c r="O4509" s="561">
        <v>0</v>
      </c>
      <c r="P4509" s="561">
        <v>7840.7</v>
      </c>
      <c r="Q4509" s="561">
        <v>7840.7</v>
      </c>
    </row>
    <row r="4510" spans="1:17">
      <c r="C4510" s="561" t="s">
        <v>1197</v>
      </c>
      <c r="D4510" s="561">
        <v>0</v>
      </c>
      <c r="E4510" s="561">
        <v>0</v>
      </c>
      <c r="F4510" s="561">
        <v>0</v>
      </c>
      <c r="G4510" s="561">
        <v>0</v>
      </c>
      <c r="H4510" s="561">
        <v>0</v>
      </c>
      <c r="I4510" s="561">
        <v>0</v>
      </c>
      <c r="J4510" s="561">
        <v>0</v>
      </c>
      <c r="K4510" s="561">
        <v>0</v>
      </c>
      <c r="L4510" s="561">
        <v>0</v>
      </c>
      <c r="M4510" s="561">
        <v>0</v>
      </c>
      <c r="N4510" s="561">
        <v>0</v>
      </c>
      <c r="O4510" s="561">
        <v>0</v>
      </c>
      <c r="P4510" s="561">
        <v>0</v>
      </c>
      <c r="Q4510" s="561">
        <v>0</v>
      </c>
    </row>
    <row r="4511" spans="1:17">
      <c r="C4511" s="561" t="s">
        <v>1198</v>
      </c>
      <c r="D4511" s="561">
        <v>0</v>
      </c>
      <c r="E4511" s="561">
        <v>0</v>
      </c>
      <c r="F4511" s="561">
        <v>0</v>
      </c>
      <c r="G4511" s="561">
        <v>0</v>
      </c>
      <c r="H4511" s="561">
        <v>0</v>
      </c>
      <c r="I4511" s="561">
        <v>0</v>
      </c>
      <c r="J4511" s="561">
        <v>0</v>
      </c>
      <c r="K4511" s="561">
        <v>0</v>
      </c>
      <c r="L4511" s="561">
        <v>0</v>
      </c>
      <c r="M4511" s="561">
        <v>0</v>
      </c>
      <c r="N4511" s="561">
        <v>0</v>
      </c>
      <c r="O4511" s="561">
        <v>0</v>
      </c>
      <c r="P4511" s="561">
        <v>0</v>
      </c>
      <c r="Q4511" s="561">
        <v>0</v>
      </c>
    </row>
    <row r="4512" spans="1:17">
      <c r="C4512" s="561" t="s">
        <v>1199</v>
      </c>
      <c r="D4512" s="561">
        <v>11201</v>
      </c>
      <c r="E4512" s="561">
        <v>3360.3</v>
      </c>
      <c r="F4512" s="561">
        <v>7840.7</v>
      </c>
      <c r="G4512" s="561">
        <v>811</v>
      </c>
      <c r="H4512" s="561">
        <v>12041.4498</v>
      </c>
      <c r="I4512" s="561">
        <v>50</v>
      </c>
      <c r="J4512" s="561">
        <v>209.83100000000005</v>
      </c>
      <c r="K4512" s="561">
        <v>811</v>
      </c>
      <c r="L4512" s="561">
        <v>11832.722000000002</v>
      </c>
      <c r="M4512" s="561">
        <v>11201</v>
      </c>
      <c r="N4512" s="561">
        <v>3360.2999999999997</v>
      </c>
      <c r="O4512" s="561">
        <v>0</v>
      </c>
      <c r="P4512" s="561">
        <v>7840.7</v>
      </c>
      <c r="Q4512" s="561">
        <v>7840.7</v>
      </c>
    </row>
    <row r="4513" spans="1:17">
      <c r="A4513" s="561">
        <v>60</v>
      </c>
      <c r="B4513" s="561" t="s">
        <v>1628</v>
      </c>
      <c r="C4513" s="561" t="s">
        <v>1196</v>
      </c>
      <c r="D4513" s="561">
        <v>189601</v>
      </c>
      <c r="E4513" s="561">
        <v>55830.3</v>
      </c>
      <c r="F4513" s="561">
        <v>133770.70000000001</v>
      </c>
      <c r="G4513" s="561">
        <v>3489</v>
      </c>
      <c r="H4513" s="561">
        <v>199778.90700000001</v>
      </c>
      <c r="I4513" s="561">
        <v>318</v>
      </c>
      <c r="J4513" s="561">
        <v>10903.028000000002</v>
      </c>
      <c r="K4513" s="561">
        <v>3458</v>
      </c>
      <c r="L4513" s="561">
        <v>190415.538</v>
      </c>
      <c r="M4513" s="561">
        <v>189601</v>
      </c>
      <c r="N4513" s="561">
        <v>55830.30000000001</v>
      </c>
      <c r="O4513" s="561">
        <v>0</v>
      </c>
      <c r="P4513" s="561">
        <v>133770.70000000001</v>
      </c>
      <c r="Q4513" s="561">
        <v>133770.70000000001</v>
      </c>
    </row>
    <row r="4514" spans="1:17">
      <c r="C4514" s="561" t="s">
        <v>1197</v>
      </c>
      <c r="D4514" s="561">
        <v>179790</v>
      </c>
      <c r="E4514" s="561">
        <v>54687</v>
      </c>
      <c r="F4514" s="561">
        <v>125103</v>
      </c>
      <c r="G4514" s="561">
        <v>2842</v>
      </c>
      <c r="H4514" s="561">
        <v>190403.25600000002</v>
      </c>
      <c r="I4514" s="561">
        <v>269</v>
      </c>
      <c r="J4514" s="561">
        <v>10660.771000000002</v>
      </c>
      <c r="K4514" s="561">
        <v>2812</v>
      </c>
      <c r="L4514" s="561">
        <v>181282.54500000001</v>
      </c>
      <c r="M4514" s="561">
        <v>180468.00600000002</v>
      </c>
      <c r="N4514" s="561">
        <v>54686.999999999985</v>
      </c>
      <c r="O4514" s="561">
        <v>0</v>
      </c>
      <c r="Q4514" s="561">
        <v>125781.00599999999</v>
      </c>
    </row>
    <row r="4515" spans="1:17">
      <c r="C4515" s="561" t="s">
        <v>1198</v>
      </c>
      <c r="D4515" s="561">
        <v>0</v>
      </c>
      <c r="E4515" s="561">
        <v>0</v>
      </c>
      <c r="F4515" s="561">
        <v>0</v>
      </c>
      <c r="G4515" s="561">
        <v>0</v>
      </c>
      <c r="H4515" s="561">
        <v>0</v>
      </c>
      <c r="I4515" s="561">
        <v>0</v>
      </c>
      <c r="J4515" s="561">
        <v>0</v>
      </c>
      <c r="K4515" s="561">
        <v>0</v>
      </c>
      <c r="L4515" s="561">
        <v>0</v>
      </c>
      <c r="M4515" s="561">
        <v>0</v>
      </c>
      <c r="N4515" s="561">
        <v>0</v>
      </c>
      <c r="O4515" s="561">
        <v>0</v>
      </c>
      <c r="P4515" s="561">
        <v>0</v>
      </c>
      <c r="Q4515" s="561">
        <v>0</v>
      </c>
    </row>
    <row r="4516" spans="1:17">
      <c r="C4516" s="561" t="s">
        <v>1199</v>
      </c>
      <c r="D4516" s="561">
        <v>9811</v>
      </c>
      <c r="E4516" s="561">
        <v>1143.3000000000029</v>
      </c>
      <c r="F4516" s="561">
        <v>8667.6999999999971</v>
      </c>
      <c r="G4516" s="561">
        <v>647</v>
      </c>
      <c r="H4516" s="561">
        <v>9375.6509999999998</v>
      </c>
      <c r="I4516" s="561">
        <v>49</v>
      </c>
      <c r="J4516" s="561">
        <v>242.25700000000001</v>
      </c>
      <c r="K4516" s="561">
        <v>646</v>
      </c>
      <c r="L4516" s="561">
        <v>9132.9930000000004</v>
      </c>
      <c r="M4516" s="561">
        <v>9132.9939999999988</v>
      </c>
      <c r="N4516" s="561">
        <v>1143.2999999999997</v>
      </c>
      <c r="O4516" s="561">
        <v>0</v>
      </c>
      <c r="P4516" s="561">
        <v>7989.6940000000004</v>
      </c>
      <c r="Q4516" s="561">
        <v>7989.6940000000004</v>
      </c>
    </row>
    <row r="4517" spans="1:17">
      <c r="A4517" s="561">
        <v>61</v>
      </c>
      <c r="B4517" s="561" t="s">
        <v>1629</v>
      </c>
      <c r="C4517" s="561" t="s">
        <v>1196</v>
      </c>
      <c r="D4517" s="561">
        <v>36347</v>
      </c>
      <c r="E4517" s="561">
        <v>9854.1</v>
      </c>
      <c r="F4517" s="561">
        <v>26492.9</v>
      </c>
      <c r="G4517" s="561">
        <v>2904</v>
      </c>
      <c r="H4517" s="561">
        <v>37999.714999999997</v>
      </c>
      <c r="I4517" s="561">
        <v>154</v>
      </c>
      <c r="J4517" s="561">
        <v>963.32499999999993</v>
      </c>
      <c r="K4517" s="561">
        <v>2887</v>
      </c>
      <c r="L4517" s="561">
        <v>37818.290999999997</v>
      </c>
      <c r="M4517" s="561">
        <v>36347</v>
      </c>
      <c r="N4517" s="561">
        <v>9854.0999999999967</v>
      </c>
      <c r="O4517" s="561">
        <v>0</v>
      </c>
      <c r="P4517" s="561">
        <v>26492.9</v>
      </c>
      <c r="Q4517" s="561">
        <v>26492.9</v>
      </c>
    </row>
    <row r="4518" spans="1:17">
      <c r="C4518" s="561" t="s">
        <v>1197</v>
      </c>
      <c r="D4518" s="561">
        <v>0</v>
      </c>
      <c r="E4518" s="561">
        <v>0</v>
      </c>
      <c r="F4518" s="561">
        <v>0</v>
      </c>
      <c r="G4518" s="561">
        <v>0</v>
      </c>
      <c r="H4518" s="561">
        <v>0</v>
      </c>
      <c r="I4518" s="561">
        <v>0</v>
      </c>
      <c r="J4518" s="561">
        <v>0</v>
      </c>
      <c r="K4518" s="561">
        <v>0</v>
      </c>
      <c r="L4518" s="561">
        <v>0</v>
      </c>
      <c r="M4518" s="561">
        <v>0</v>
      </c>
      <c r="N4518" s="561">
        <v>0</v>
      </c>
      <c r="O4518" s="561">
        <v>0</v>
      </c>
      <c r="P4518" s="561">
        <v>0</v>
      </c>
      <c r="Q4518" s="561">
        <v>0</v>
      </c>
    </row>
    <row r="4519" spans="1:17">
      <c r="C4519" s="561" t="s">
        <v>1198</v>
      </c>
      <c r="D4519" s="561">
        <v>0</v>
      </c>
      <c r="E4519" s="561">
        <v>0</v>
      </c>
      <c r="F4519" s="561">
        <v>0</v>
      </c>
      <c r="G4519" s="561">
        <v>0</v>
      </c>
      <c r="H4519" s="561">
        <v>0</v>
      </c>
      <c r="I4519" s="561">
        <v>0</v>
      </c>
      <c r="J4519" s="561">
        <v>0</v>
      </c>
      <c r="K4519" s="561">
        <v>0</v>
      </c>
      <c r="L4519" s="561">
        <v>0</v>
      </c>
      <c r="M4519" s="561">
        <v>0</v>
      </c>
      <c r="N4519" s="561">
        <v>0</v>
      </c>
      <c r="O4519" s="561">
        <v>0</v>
      </c>
      <c r="P4519" s="561">
        <v>0</v>
      </c>
      <c r="Q4519" s="561">
        <v>0</v>
      </c>
    </row>
    <row r="4520" spans="1:17">
      <c r="C4520" s="561" t="s">
        <v>1199</v>
      </c>
      <c r="D4520" s="561">
        <v>36347</v>
      </c>
      <c r="E4520" s="561">
        <v>9854.1</v>
      </c>
      <c r="F4520" s="561">
        <v>26492.9</v>
      </c>
      <c r="G4520" s="561">
        <v>2904</v>
      </c>
      <c r="H4520" s="561">
        <v>37999.714999999997</v>
      </c>
      <c r="I4520" s="561">
        <v>154</v>
      </c>
      <c r="J4520" s="561">
        <v>963.32499999999993</v>
      </c>
      <c r="K4520" s="561">
        <v>2887</v>
      </c>
      <c r="L4520" s="561">
        <v>37818.290999999997</v>
      </c>
      <c r="M4520" s="561">
        <v>36347</v>
      </c>
      <c r="N4520" s="561">
        <v>9854.0999999999967</v>
      </c>
      <c r="O4520" s="561">
        <v>0</v>
      </c>
      <c r="P4520" s="561">
        <v>26492.9</v>
      </c>
      <c r="Q4520" s="561">
        <v>26492.9</v>
      </c>
    </row>
    <row r="4521" spans="1:17">
      <c r="A4521" s="561">
        <v>62</v>
      </c>
      <c r="B4521" s="561" t="s">
        <v>1630</v>
      </c>
      <c r="C4521" s="561" t="s">
        <v>1196</v>
      </c>
      <c r="D4521" s="561">
        <v>59906</v>
      </c>
      <c r="E4521" s="561">
        <v>16981.8</v>
      </c>
      <c r="F4521" s="561">
        <v>42924.2</v>
      </c>
      <c r="G4521" s="561">
        <v>1536</v>
      </c>
      <c r="H4521" s="561">
        <v>64261.167199999996</v>
      </c>
      <c r="I4521" s="561">
        <v>160</v>
      </c>
      <c r="J4521" s="561">
        <v>4243.3531999999996</v>
      </c>
      <c r="K4521" s="561">
        <v>1519</v>
      </c>
      <c r="L4521" s="561">
        <v>60070.166000000012</v>
      </c>
      <c r="M4521" s="561">
        <v>59906</v>
      </c>
      <c r="N4521" s="561">
        <v>16981.800000000003</v>
      </c>
      <c r="O4521" s="561">
        <v>0</v>
      </c>
      <c r="P4521" s="561">
        <v>42924.200000000004</v>
      </c>
      <c r="Q4521" s="561">
        <v>42924.200000000004</v>
      </c>
    </row>
    <row r="4522" spans="1:17">
      <c r="C4522" s="561" t="s">
        <v>1197</v>
      </c>
      <c r="D4522" s="561">
        <v>53193</v>
      </c>
      <c r="E4522" s="561">
        <v>15327.9</v>
      </c>
      <c r="F4522" s="561">
        <v>37865.1</v>
      </c>
      <c r="G4522" s="561">
        <v>1034</v>
      </c>
      <c r="H4522" s="561">
        <v>57197.789000000004</v>
      </c>
      <c r="I4522" s="561">
        <v>129</v>
      </c>
      <c r="J4522" s="561">
        <v>4090.1129999999994</v>
      </c>
      <c r="K4522" s="561">
        <v>1018</v>
      </c>
      <c r="L4522" s="561">
        <v>53160.026000000013</v>
      </c>
      <c r="M4522" s="561">
        <v>52995.867999999995</v>
      </c>
      <c r="N4522" s="561">
        <v>15327.899999999998</v>
      </c>
      <c r="O4522" s="561">
        <v>0</v>
      </c>
      <c r="Q4522" s="561">
        <v>37667.968000000001</v>
      </c>
    </row>
    <row r="4523" spans="1:17">
      <c r="C4523" s="561" t="s">
        <v>1198</v>
      </c>
      <c r="D4523" s="561">
        <v>0</v>
      </c>
      <c r="E4523" s="561">
        <v>0</v>
      </c>
      <c r="F4523" s="561">
        <v>0</v>
      </c>
      <c r="G4523" s="561">
        <v>0</v>
      </c>
      <c r="H4523" s="561">
        <v>0</v>
      </c>
      <c r="I4523" s="561">
        <v>0</v>
      </c>
      <c r="J4523" s="561">
        <v>0</v>
      </c>
      <c r="K4523" s="561">
        <v>0</v>
      </c>
      <c r="L4523" s="561">
        <v>0</v>
      </c>
      <c r="M4523" s="561">
        <v>0</v>
      </c>
      <c r="N4523" s="561">
        <v>0</v>
      </c>
      <c r="O4523" s="561">
        <v>0</v>
      </c>
      <c r="P4523" s="561">
        <v>0</v>
      </c>
      <c r="Q4523" s="561">
        <v>0</v>
      </c>
    </row>
    <row r="4524" spans="1:17">
      <c r="C4524" s="561" t="s">
        <v>1199</v>
      </c>
      <c r="D4524" s="561">
        <v>6713</v>
      </c>
      <c r="E4524" s="561">
        <v>1653.8999999999996</v>
      </c>
      <c r="F4524" s="561">
        <v>5059.1000000000004</v>
      </c>
      <c r="G4524" s="561">
        <v>502</v>
      </c>
      <c r="H4524" s="561">
        <v>7063.3781999999992</v>
      </c>
      <c r="I4524" s="561">
        <v>31</v>
      </c>
      <c r="J4524" s="561">
        <v>153.24020000000002</v>
      </c>
      <c r="K4524" s="561">
        <v>501</v>
      </c>
      <c r="L4524" s="561">
        <v>6910.1399999999994</v>
      </c>
      <c r="M4524" s="561">
        <v>6910.1319999999996</v>
      </c>
      <c r="N4524" s="561">
        <v>1653.8999999999996</v>
      </c>
      <c r="O4524" s="561">
        <v>0</v>
      </c>
      <c r="P4524" s="561">
        <v>5256.232</v>
      </c>
      <c r="Q4524" s="561">
        <v>5256.232</v>
      </c>
    </row>
    <row r="4525" spans="1:17">
      <c r="A4525" s="561">
        <v>63</v>
      </c>
      <c r="B4525" s="561" t="s">
        <v>1631</v>
      </c>
      <c r="C4525" s="561" t="s">
        <v>1196</v>
      </c>
      <c r="D4525" s="561">
        <v>43903</v>
      </c>
      <c r="E4525" s="561">
        <v>11640.9</v>
      </c>
      <c r="F4525" s="561">
        <v>32262.1</v>
      </c>
      <c r="G4525" s="561">
        <v>1065</v>
      </c>
      <c r="H4525" s="561">
        <v>50501.037799999998</v>
      </c>
      <c r="I4525" s="561">
        <v>147</v>
      </c>
      <c r="J4525" s="561">
        <v>4593.2957999999999</v>
      </c>
      <c r="K4525" s="561">
        <v>1055</v>
      </c>
      <c r="L4525" s="561">
        <v>45847.893000000011</v>
      </c>
      <c r="M4525" s="561">
        <v>43903</v>
      </c>
      <c r="N4525" s="561">
        <v>11640.9</v>
      </c>
      <c r="O4525" s="561">
        <v>0</v>
      </c>
      <c r="P4525" s="561">
        <v>32262.1</v>
      </c>
      <c r="Q4525" s="561">
        <v>32262.1</v>
      </c>
    </row>
    <row r="4526" spans="1:17">
      <c r="C4526" s="561" t="s">
        <v>1197</v>
      </c>
      <c r="D4526" s="561">
        <v>39551</v>
      </c>
      <c r="E4526" s="561">
        <v>10965.3</v>
      </c>
      <c r="F4526" s="561">
        <v>28585.7</v>
      </c>
      <c r="G4526" s="561">
        <v>752</v>
      </c>
      <c r="H4526" s="561">
        <v>45754.526999999995</v>
      </c>
      <c r="I4526" s="561">
        <v>128</v>
      </c>
      <c r="J4526" s="561">
        <v>4455.1629999999996</v>
      </c>
      <c r="K4526" s="561">
        <v>743</v>
      </c>
      <c r="L4526" s="561">
        <v>41239.518000000011</v>
      </c>
      <c r="M4526" s="561">
        <v>39515.625000000007</v>
      </c>
      <c r="N4526" s="561">
        <v>10965.3</v>
      </c>
      <c r="O4526" s="561">
        <v>0</v>
      </c>
      <c r="Q4526" s="561">
        <v>28550.325000000001</v>
      </c>
    </row>
    <row r="4527" spans="1:17">
      <c r="C4527" s="561" t="s">
        <v>1198</v>
      </c>
      <c r="D4527" s="561">
        <v>0</v>
      </c>
      <c r="E4527" s="561">
        <v>0</v>
      </c>
      <c r="F4527" s="561">
        <v>0</v>
      </c>
      <c r="G4527" s="561">
        <v>0</v>
      </c>
      <c r="H4527" s="561">
        <v>0</v>
      </c>
      <c r="I4527" s="561">
        <v>0</v>
      </c>
      <c r="J4527" s="561">
        <v>0</v>
      </c>
      <c r="K4527" s="561">
        <v>0</v>
      </c>
      <c r="L4527" s="561">
        <v>0</v>
      </c>
      <c r="M4527" s="561">
        <v>0</v>
      </c>
      <c r="N4527" s="561">
        <v>0</v>
      </c>
      <c r="O4527" s="561">
        <v>0</v>
      </c>
      <c r="P4527" s="561">
        <v>0</v>
      </c>
      <c r="Q4527" s="561">
        <v>0</v>
      </c>
    </row>
    <row r="4528" spans="1:17">
      <c r="C4528" s="561" t="s">
        <v>1199</v>
      </c>
      <c r="D4528" s="561">
        <v>4352</v>
      </c>
      <c r="E4528" s="561">
        <v>675.60000000000036</v>
      </c>
      <c r="F4528" s="561">
        <v>3676.3999999999996</v>
      </c>
      <c r="G4528" s="561">
        <v>313</v>
      </c>
      <c r="H4528" s="561">
        <v>4746.5108</v>
      </c>
      <c r="I4528" s="561">
        <v>19</v>
      </c>
      <c r="J4528" s="561">
        <v>138.1328</v>
      </c>
      <c r="K4528" s="561">
        <v>312</v>
      </c>
      <c r="L4528" s="561">
        <v>4608.375</v>
      </c>
      <c r="M4528" s="561">
        <v>4387.375</v>
      </c>
      <c r="N4528" s="561">
        <v>675.6</v>
      </c>
      <c r="O4528" s="561">
        <v>0</v>
      </c>
      <c r="P4528" s="561">
        <v>3711.7750000000001</v>
      </c>
      <c r="Q4528" s="561">
        <v>3711.7750000000001</v>
      </c>
    </row>
    <row r="4529" spans="1:17">
      <c r="A4529" s="561">
        <v>64</v>
      </c>
      <c r="B4529" s="561" t="s">
        <v>1632</v>
      </c>
      <c r="C4529" s="561" t="s">
        <v>1196</v>
      </c>
      <c r="D4529" s="561">
        <v>70409</v>
      </c>
      <c r="E4529" s="561">
        <v>21965.1</v>
      </c>
      <c r="F4529" s="561">
        <v>48443.9</v>
      </c>
      <c r="G4529" s="561">
        <v>1807</v>
      </c>
      <c r="H4529" s="561">
        <v>76310.988800000006</v>
      </c>
      <c r="I4529" s="561">
        <v>189</v>
      </c>
      <c r="J4529" s="561">
        <v>4892.3717999999999</v>
      </c>
      <c r="K4529" s="561">
        <v>1783</v>
      </c>
      <c r="L4529" s="561">
        <v>71470.275000000009</v>
      </c>
      <c r="M4529" s="561">
        <v>70409</v>
      </c>
      <c r="N4529" s="561">
        <v>21965.1</v>
      </c>
      <c r="O4529" s="561">
        <v>0</v>
      </c>
      <c r="P4529" s="561">
        <v>48443.9</v>
      </c>
      <c r="Q4529" s="561">
        <v>48443.9</v>
      </c>
    </row>
    <row r="4530" spans="1:17">
      <c r="C4530" s="561" t="s">
        <v>1197</v>
      </c>
      <c r="D4530" s="561">
        <v>62561</v>
      </c>
      <c r="E4530" s="561">
        <v>19674</v>
      </c>
      <c r="F4530" s="561">
        <v>42887</v>
      </c>
      <c r="G4530" s="561">
        <v>1197</v>
      </c>
      <c r="H4530" s="561">
        <v>68121.929000000004</v>
      </c>
      <c r="I4530" s="561">
        <v>155</v>
      </c>
      <c r="J4530" s="561">
        <v>4635.9189999999999</v>
      </c>
      <c r="K4530" s="561">
        <v>1175</v>
      </c>
      <c r="L4530" s="561">
        <v>63500.693000000007</v>
      </c>
      <c r="M4530" s="561">
        <v>62439.417000000001</v>
      </c>
      <c r="N4530" s="561">
        <v>19674.000000000004</v>
      </c>
      <c r="O4530" s="561">
        <v>0</v>
      </c>
      <c r="Q4530" s="561">
        <v>42765.417000000001</v>
      </c>
    </row>
    <row r="4531" spans="1:17">
      <c r="C4531" s="561" t="s">
        <v>1198</v>
      </c>
      <c r="D4531" s="561">
        <v>0</v>
      </c>
      <c r="E4531" s="561">
        <v>0</v>
      </c>
      <c r="F4531" s="561">
        <v>0</v>
      </c>
      <c r="G4531" s="561">
        <v>0</v>
      </c>
      <c r="H4531" s="561">
        <v>0</v>
      </c>
      <c r="I4531" s="561">
        <v>0</v>
      </c>
      <c r="J4531" s="561">
        <v>0</v>
      </c>
      <c r="K4531" s="561">
        <v>0</v>
      </c>
      <c r="L4531" s="561">
        <v>0</v>
      </c>
      <c r="M4531" s="561">
        <v>0</v>
      </c>
      <c r="N4531" s="561">
        <v>0</v>
      </c>
      <c r="O4531" s="561">
        <v>0</v>
      </c>
      <c r="P4531" s="561">
        <v>0</v>
      </c>
      <c r="Q4531" s="561">
        <v>0</v>
      </c>
    </row>
    <row r="4532" spans="1:17">
      <c r="C4532" s="561" t="s">
        <v>1199</v>
      </c>
      <c r="D4532" s="561">
        <v>7848</v>
      </c>
      <c r="E4532" s="561">
        <v>2291.0999999999985</v>
      </c>
      <c r="F4532" s="561">
        <v>5556.9000000000015</v>
      </c>
      <c r="G4532" s="561">
        <v>610</v>
      </c>
      <c r="H4532" s="561">
        <v>8189.0598</v>
      </c>
      <c r="I4532" s="561">
        <v>34</v>
      </c>
      <c r="J4532" s="561">
        <v>256.45280000000002</v>
      </c>
      <c r="K4532" s="561">
        <v>608</v>
      </c>
      <c r="L4532" s="561">
        <v>7969.5820000000003</v>
      </c>
      <c r="M4532" s="561">
        <v>7969.5830000000005</v>
      </c>
      <c r="N4532" s="561">
        <v>2291.1</v>
      </c>
      <c r="O4532" s="561">
        <v>0</v>
      </c>
      <c r="P4532" s="561">
        <v>5678.4830000000002</v>
      </c>
      <c r="Q4532" s="561">
        <v>5678.4830000000002</v>
      </c>
    </row>
    <row r="4533" spans="1:17">
      <c r="A4533" s="561">
        <v>65</v>
      </c>
      <c r="B4533" s="561" t="s">
        <v>1633</v>
      </c>
      <c r="C4533" s="561" t="s">
        <v>1196</v>
      </c>
      <c r="D4533" s="561">
        <v>242785</v>
      </c>
      <c r="E4533" s="561">
        <v>72295.5</v>
      </c>
      <c r="F4533" s="561">
        <v>170489.5</v>
      </c>
      <c r="G4533" s="561">
        <v>5552</v>
      </c>
      <c r="H4533" s="561">
        <v>258891.27419999999</v>
      </c>
      <c r="I4533" s="561">
        <v>676</v>
      </c>
      <c r="J4533" s="561">
        <v>17238.321199999998</v>
      </c>
      <c r="K4533" s="561">
        <v>5498</v>
      </c>
      <c r="L4533" s="561">
        <v>243922.91499999998</v>
      </c>
      <c r="M4533" s="561">
        <v>242785</v>
      </c>
      <c r="N4533" s="561">
        <v>72295.5</v>
      </c>
      <c r="O4533" s="561">
        <v>0</v>
      </c>
      <c r="P4533" s="561">
        <v>170489.5</v>
      </c>
      <c r="Q4533" s="561">
        <v>170489.5</v>
      </c>
    </row>
    <row r="4534" spans="1:17">
      <c r="C4534" s="561" t="s">
        <v>1197</v>
      </c>
      <c r="D4534" s="561">
        <v>209493</v>
      </c>
      <c r="E4534" s="561">
        <v>65157.9</v>
      </c>
      <c r="F4534" s="561">
        <v>144335.1</v>
      </c>
      <c r="G4534" s="561">
        <v>3465</v>
      </c>
      <c r="H4534" s="561">
        <v>224559.53500000006</v>
      </c>
      <c r="I4534" s="561">
        <v>533</v>
      </c>
      <c r="J4534" s="561">
        <v>16177.173999999997</v>
      </c>
      <c r="K4534" s="561">
        <v>3413</v>
      </c>
      <c r="L4534" s="561">
        <v>210652.24</v>
      </c>
      <c r="M4534" s="561">
        <v>209514.32499999998</v>
      </c>
      <c r="N4534" s="561">
        <v>65157.900000000009</v>
      </c>
      <c r="O4534" s="561">
        <v>0</v>
      </c>
      <c r="Q4534" s="561">
        <v>144356.42500000002</v>
      </c>
    </row>
    <row r="4535" spans="1:17">
      <c r="C4535" s="561" t="s">
        <v>1198</v>
      </c>
      <c r="D4535" s="561">
        <v>0</v>
      </c>
      <c r="E4535" s="561">
        <v>0</v>
      </c>
      <c r="F4535" s="561">
        <v>0</v>
      </c>
      <c r="G4535" s="561">
        <v>0</v>
      </c>
      <c r="H4535" s="561">
        <v>0</v>
      </c>
      <c r="I4535" s="561">
        <v>0</v>
      </c>
      <c r="J4535" s="561">
        <v>0</v>
      </c>
      <c r="K4535" s="561">
        <v>0</v>
      </c>
      <c r="L4535" s="561">
        <v>0</v>
      </c>
      <c r="M4535" s="561">
        <v>0</v>
      </c>
      <c r="N4535" s="561">
        <v>0</v>
      </c>
      <c r="O4535" s="561">
        <v>0</v>
      </c>
      <c r="P4535" s="561">
        <v>0</v>
      </c>
      <c r="Q4535" s="561">
        <v>0</v>
      </c>
    </row>
    <row r="4536" spans="1:17">
      <c r="C4536" s="561" t="s">
        <v>1199</v>
      </c>
      <c r="D4536" s="561">
        <v>33292</v>
      </c>
      <c r="E4536" s="561">
        <v>7137.5999999999985</v>
      </c>
      <c r="F4536" s="561">
        <v>26154.400000000001</v>
      </c>
      <c r="G4536" s="561">
        <v>2087</v>
      </c>
      <c r="H4536" s="561">
        <v>34331.739199999996</v>
      </c>
      <c r="I4536" s="561">
        <v>143</v>
      </c>
      <c r="J4536" s="561">
        <v>1061.1471999999999</v>
      </c>
      <c r="K4536" s="561">
        <v>2085</v>
      </c>
      <c r="L4536" s="561">
        <v>33270.674999999996</v>
      </c>
      <c r="M4536" s="561">
        <v>33270.675000000003</v>
      </c>
      <c r="N4536" s="561">
        <v>7137.6000000000013</v>
      </c>
      <c r="O4536" s="561">
        <v>0</v>
      </c>
      <c r="P4536" s="561">
        <v>26133.075000000001</v>
      </c>
      <c r="Q4536" s="561">
        <v>26133.075000000001</v>
      </c>
    </row>
    <row r="4537" spans="1:17">
      <c r="A4537" s="561">
        <v>66</v>
      </c>
      <c r="B4537" s="561" t="s">
        <v>1634</v>
      </c>
      <c r="C4537" s="561" t="s">
        <v>1196</v>
      </c>
      <c r="D4537" s="561">
        <v>165758</v>
      </c>
      <c r="E4537" s="561">
        <v>49127.4</v>
      </c>
      <c r="F4537" s="561">
        <v>116630.6</v>
      </c>
      <c r="G4537" s="561">
        <v>3542</v>
      </c>
      <c r="H4537" s="561">
        <v>171407.63476000002</v>
      </c>
      <c r="I4537" s="561">
        <v>192</v>
      </c>
      <c r="J4537" s="561">
        <v>7020.0620499999995</v>
      </c>
      <c r="K4537" s="561">
        <v>3535</v>
      </c>
      <c r="L4537" s="561">
        <v>167626.72099999999</v>
      </c>
      <c r="M4537" s="561">
        <v>165758</v>
      </c>
      <c r="N4537" s="561">
        <v>49127.399999999994</v>
      </c>
      <c r="O4537" s="561">
        <v>0</v>
      </c>
      <c r="P4537" s="561">
        <v>116630.6</v>
      </c>
      <c r="Q4537" s="561">
        <v>116630.6</v>
      </c>
    </row>
    <row r="4538" spans="1:17">
      <c r="C4538" s="561" t="s">
        <v>1197</v>
      </c>
      <c r="D4538" s="561">
        <v>147101</v>
      </c>
      <c r="E4538" s="561">
        <v>44130.3</v>
      </c>
      <c r="F4538" s="561">
        <v>102970.7</v>
      </c>
      <c r="G4538" s="561">
        <v>2209</v>
      </c>
      <c r="H4538" s="561">
        <v>150801.27271000002</v>
      </c>
      <c r="I4538" s="561">
        <v>150</v>
      </c>
      <c r="J4538" s="561">
        <v>6786.1379999999999</v>
      </c>
      <c r="K4538" s="561">
        <v>2202</v>
      </c>
      <c r="L4538" s="561">
        <v>147260.28699999998</v>
      </c>
      <c r="M4538" s="561">
        <v>148099.32999999999</v>
      </c>
      <c r="N4538" s="561">
        <v>44130.299999999996</v>
      </c>
      <c r="O4538" s="561">
        <v>0</v>
      </c>
      <c r="Q4538" s="561">
        <v>103969.03000000001</v>
      </c>
    </row>
    <row r="4539" spans="1:17">
      <c r="C4539" s="561" t="s">
        <v>1198</v>
      </c>
      <c r="D4539" s="561">
        <v>0</v>
      </c>
      <c r="E4539" s="561">
        <v>0</v>
      </c>
      <c r="F4539" s="561">
        <v>0</v>
      </c>
      <c r="G4539" s="561">
        <v>0</v>
      </c>
      <c r="H4539" s="561">
        <v>0</v>
      </c>
      <c r="I4539" s="561">
        <v>0</v>
      </c>
      <c r="J4539" s="561">
        <v>0</v>
      </c>
      <c r="K4539" s="561">
        <v>0</v>
      </c>
      <c r="L4539" s="561">
        <v>0</v>
      </c>
      <c r="M4539" s="561">
        <v>0</v>
      </c>
      <c r="N4539" s="561">
        <v>0</v>
      </c>
      <c r="O4539" s="561">
        <v>0</v>
      </c>
      <c r="P4539" s="561">
        <v>0</v>
      </c>
      <c r="Q4539" s="561">
        <v>0</v>
      </c>
    </row>
    <row r="4540" spans="1:17">
      <c r="C4540" s="561" t="s">
        <v>1199</v>
      </c>
      <c r="D4540" s="561">
        <v>18657</v>
      </c>
      <c r="E4540" s="561">
        <v>4997.0999999999985</v>
      </c>
      <c r="F4540" s="561">
        <v>13659.900000000001</v>
      </c>
      <c r="G4540" s="561">
        <v>1333</v>
      </c>
      <c r="H4540" s="561">
        <v>20606.362049999996</v>
      </c>
      <c r="I4540" s="561">
        <v>42</v>
      </c>
      <c r="J4540" s="561">
        <v>233.92405000000002</v>
      </c>
      <c r="K4540" s="561">
        <v>1333</v>
      </c>
      <c r="L4540" s="561">
        <v>20366.433999999997</v>
      </c>
      <c r="M4540" s="561">
        <v>17658.670000000002</v>
      </c>
      <c r="N4540" s="561">
        <v>4997.1000000000004</v>
      </c>
      <c r="O4540" s="561">
        <v>0</v>
      </c>
      <c r="P4540" s="561">
        <v>12661.57</v>
      </c>
      <c r="Q4540" s="561">
        <v>12661.57</v>
      </c>
    </row>
    <row r="4541" spans="1:17">
      <c r="A4541" s="561">
        <v>67</v>
      </c>
      <c r="B4541" s="561" t="s">
        <v>1635</v>
      </c>
      <c r="C4541" s="561" t="s">
        <v>1196</v>
      </c>
      <c r="D4541" s="561">
        <v>65797</v>
      </c>
      <c r="E4541" s="561">
        <v>19289.099999999999</v>
      </c>
      <c r="F4541" s="561">
        <v>46507.9</v>
      </c>
      <c r="G4541" s="561">
        <v>1536</v>
      </c>
      <c r="H4541" s="561">
        <v>71974.312939999989</v>
      </c>
      <c r="I4541" s="561">
        <v>170</v>
      </c>
      <c r="J4541" s="561">
        <v>4624.6855999999998</v>
      </c>
      <c r="K4541" s="561">
        <v>1530</v>
      </c>
      <c r="L4541" s="561">
        <v>67349.620999999999</v>
      </c>
      <c r="M4541" s="561">
        <v>65797</v>
      </c>
      <c r="N4541" s="561">
        <v>19289.100000000002</v>
      </c>
      <c r="O4541" s="561">
        <v>0</v>
      </c>
      <c r="P4541" s="561">
        <v>46507.9</v>
      </c>
      <c r="Q4541" s="561">
        <v>46507.9</v>
      </c>
    </row>
    <row r="4542" spans="1:17">
      <c r="C4542" s="561" t="s">
        <v>1197</v>
      </c>
      <c r="D4542" s="561">
        <v>58694</v>
      </c>
      <c r="E4542" s="561">
        <v>17608.2</v>
      </c>
      <c r="F4542" s="561">
        <v>41085.800000000003</v>
      </c>
      <c r="G4542" s="561">
        <v>1030</v>
      </c>
      <c r="H4542" s="561">
        <v>64885.125899999999</v>
      </c>
      <c r="I4542" s="561">
        <v>133</v>
      </c>
      <c r="J4542" s="561">
        <v>4438.7820000000002</v>
      </c>
      <c r="K4542" s="561">
        <v>1024</v>
      </c>
      <c r="L4542" s="561">
        <v>60446.340000000004</v>
      </c>
      <c r="M4542" s="561">
        <v>58915.097000000002</v>
      </c>
      <c r="N4542" s="561">
        <v>17608.2</v>
      </c>
      <c r="O4542" s="561">
        <v>0</v>
      </c>
      <c r="Q4542" s="561">
        <v>41306.897000000004</v>
      </c>
    </row>
    <row r="4543" spans="1:17">
      <c r="C4543" s="561" t="s">
        <v>1198</v>
      </c>
      <c r="D4543" s="561">
        <v>0</v>
      </c>
      <c r="E4543" s="561">
        <v>0</v>
      </c>
      <c r="F4543" s="561">
        <v>0</v>
      </c>
      <c r="G4543" s="561">
        <v>0</v>
      </c>
      <c r="H4543" s="561">
        <v>0</v>
      </c>
      <c r="I4543" s="561">
        <v>0</v>
      </c>
      <c r="J4543" s="561">
        <v>0</v>
      </c>
      <c r="K4543" s="561">
        <v>0</v>
      </c>
      <c r="L4543" s="561">
        <v>0</v>
      </c>
      <c r="M4543" s="561">
        <v>0</v>
      </c>
      <c r="N4543" s="561">
        <v>0</v>
      </c>
      <c r="O4543" s="561">
        <v>0</v>
      </c>
      <c r="P4543" s="561">
        <v>0</v>
      </c>
      <c r="Q4543" s="561">
        <v>0</v>
      </c>
    </row>
    <row r="4544" spans="1:17">
      <c r="C4544" s="561" t="s">
        <v>1199</v>
      </c>
      <c r="D4544" s="561">
        <v>7103</v>
      </c>
      <c r="E4544" s="561">
        <v>1680.8999999999978</v>
      </c>
      <c r="F4544" s="561">
        <v>5422.1000000000022</v>
      </c>
      <c r="G4544" s="561">
        <v>506</v>
      </c>
      <c r="H4544" s="561">
        <v>7089.1870400000007</v>
      </c>
      <c r="I4544" s="561">
        <v>37</v>
      </c>
      <c r="J4544" s="561">
        <v>185.90359999999998</v>
      </c>
      <c r="K4544" s="561">
        <v>506</v>
      </c>
      <c r="L4544" s="561">
        <v>6903.280999999999</v>
      </c>
      <c r="M4544" s="561">
        <v>6881.9030000000002</v>
      </c>
      <c r="N4544" s="561">
        <v>1680.9000000000005</v>
      </c>
      <c r="O4544" s="561">
        <v>0</v>
      </c>
      <c r="P4544" s="561">
        <v>5201.0030000000006</v>
      </c>
      <c r="Q4544" s="561">
        <v>5201.0030000000006</v>
      </c>
    </row>
    <row r="4545" spans="1:17">
      <c r="A4545" s="561">
        <v>68</v>
      </c>
      <c r="B4545" s="561" t="s">
        <v>1636</v>
      </c>
      <c r="C4545" s="561" t="s">
        <v>1196</v>
      </c>
      <c r="D4545" s="561">
        <v>170450</v>
      </c>
      <c r="E4545" s="561">
        <v>51135</v>
      </c>
      <c r="F4545" s="561">
        <v>119315</v>
      </c>
      <c r="G4545" s="561">
        <v>3855</v>
      </c>
      <c r="H4545" s="561">
        <v>187287.46420000002</v>
      </c>
      <c r="I4545" s="561">
        <v>504</v>
      </c>
      <c r="J4545" s="561">
        <v>15038.333200000001</v>
      </c>
      <c r="K4545" s="561">
        <v>3807</v>
      </c>
      <c r="L4545" s="561">
        <v>173325.98500000002</v>
      </c>
      <c r="M4545" s="561">
        <v>170450</v>
      </c>
      <c r="N4545" s="561">
        <v>51135</v>
      </c>
      <c r="O4545" s="561">
        <v>0</v>
      </c>
      <c r="P4545" s="561">
        <v>119314.99999999999</v>
      </c>
      <c r="Q4545" s="561">
        <v>119314.99999999999</v>
      </c>
    </row>
    <row r="4546" spans="1:17">
      <c r="C4546" s="561" t="s">
        <v>1197</v>
      </c>
      <c r="D4546" s="561">
        <v>157846</v>
      </c>
      <c r="E4546" s="561">
        <v>47353.8</v>
      </c>
      <c r="F4546" s="561">
        <v>110492.2</v>
      </c>
      <c r="G4546" s="561">
        <v>2645</v>
      </c>
      <c r="H4546" s="561">
        <v>168257.66310999999</v>
      </c>
      <c r="I4546" s="561">
        <v>466</v>
      </c>
      <c r="J4546" s="561">
        <v>14729.662</v>
      </c>
      <c r="K4546" s="561">
        <v>2596</v>
      </c>
      <c r="L4546" s="561">
        <v>154604.85800000001</v>
      </c>
      <c r="M4546" s="561">
        <v>156055.26</v>
      </c>
      <c r="N4546" s="561">
        <v>47353.80000000001</v>
      </c>
      <c r="O4546" s="561">
        <v>0</v>
      </c>
      <c r="Q4546" s="561">
        <v>108701.45999999999</v>
      </c>
    </row>
    <row r="4547" spans="1:17">
      <c r="C4547" s="561" t="s">
        <v>1198</v>
      </c>
      <c r="D4547" s="561">
        <v>0</v>
      </c>
      <c r="E4547" s="561">
        <v>0</v>
      </c>
      <c r="F4547" s="561">
        <v>0</v>
      </c>
      <c r="G4547" s="561">
        <v>0</v>
      </c>
      <c r="H4547" s="561">
        <v>0</v>
      </c>
      <c r="I4547" s="561">
        <v>0</v>
      </c>
      <c r="J4547" s="561">
        <v>0</v>
      </c>
      <c r="K4547" s="561">
        <v>0</v>
      </c>
      <c r="L4547" s="561">
        <v>0</v>
      </c>
      <c r="M4547" s="561">
        <v>0</v>
      </c>
      <c r="N4547" s="561">
        <v>0</v>
      </c>
      <c r="O4547" s="561">
        <v>0</v>
      </c>
      <c r="P4547" s="561">
        <v>0</v>
      </c>
      <c r="Q4547" s="561">
        <v>0</v>
      </c>
    </row>
    <row r="4548" spans="1:17">
      <c r="C4548" s="561" t="s">
        <v>1199</v>
      </c>
      <c r="D4548" s="561">
        <v>12604</v>
      </c>
      <c r="E4548" s="561">
        <v>3781.1999999999971</v>
      </c>
      <c r="F4548" s="561">
        <v>8822.8000000000029</v>
      </c>
      <c r="G4548" s="561">
        <v>1210</v>
      </c>
      <c r="H4548" s="561">
        <v>19029.801090000001</v>
      </c>
      <c r="I4548" s="561">
        <v>38</v>
      </c>
      <c r="J4548" s="561">
        <v>308.6712</v>
      </c>
      <c r="K4548" s="561">
        <v>1211</v>
      </c>
      <c r="L4548" s="561">
        <v>18721.127</v>
      </c>
      <c r="M4548" s="561">
        <v>14394.74</v>
      </c>
      <c r="N4548" s="561">
        <v>3781.2000000000003</v>
      </c>
      <c r="O4548" s="561">
        <v>0</v>
      </c>
      <c r="P4548" s="561">
        <v>10613.539999999999</v>
      </c>
      <c r="Q4548" s="561">
        <v>10613.539999999999</v>
      </c>
    </row>
    <row r="4549" spans="1:17">
      <c r="A4549" s="561">
        <v>69</v>
      </c>
      <c r="B4549" s="561" t="s">
        <v>1637</v>
      </c>
      <c r="C4549" s="561" t="s">
        <v>1196</v>
      </c>
      <c r="D4549" s="561">
        <v>111629</v>
      </c>
      <c r="E4549" s="561">
        <v>29633.7</v>
      </c>
      <c r="F4549" s="561">
        <v>81995.3</v>
      </c>
      <c r="G4549" s="561">
        <v>2363</v>
      </c>
      <c r="H4549" s="561">
        <v>116715.13712</v>
      </c>
      <c r="I4549" s="561">
        <v>186</v>
      </c>
      <c r="J4549" s="561">
        <v>4247.9709399999992</v>
      </c>
      <c r="K4549" s="561">
        <v>2353</v>
      </c>
      <c r="L4549" s="561">
        <v>113137.389</v>
      </c>
      <c r="M4549" s="561">
        <v>111629</v>
      </c>
      <c r="N4549" s="561">
        <v>29633.699999999997</v>
      </c>
      <c r="O4549" s="561">
        <v>0</v>
      </c>
      <c r="P4549" s="561">
        <v>81995.299999999988</v>
      </c>
      <c r="Q4549" s="561">
        <v>81995.299999999988</v>
      </c>
    </row>
    <row r="4550" spans="1:17">
      <c r="C4550" s="561" t="s">
        <v>1197</v>
      </c>
      <c r="D4550" s="561">
        <v>100850</v>
      </c>
      <c r="E4550" s="561">
        <v>27180</v>
      </c>
      <c r="F4550" s="561">
        <v>73670</v>
      </c>
      <c r="G4550" s="561">
        <v>1669</v>
      </c>
      <c r="H4550" s="561">
        <v>105820.44379999999</v>
      </c>
      <c r="I4550" s="561">
        <v>134</v>
      </c>
      <c r="J4550" s="561">
        <v>3953.4537499999992</v>
      </c>
      <c r="K4550" s="561">
        <v>1663</v>
      </c>
      <c r="L4550" s="561">
        <v>102537.27899999999</v>
      </c>
      <c r="M4550" s="561">
        <v>101028.89</v>
      </c>
      <c r="N4550" s="561">
        <v>27180</v>
      </c>
      <c r="O4550" s="561">
        <v>0</v>
      </c>
      <c r="Q4550" s="561">
        <v>73848.89</v>
      </c>
    </row>
    <row r="4551" spans="1:17">
      <c r="C4551" s="561" t="s">
        <v>1198</v>
      </c>
      <c r="D4551" s="561">
        <v>0</v>
      </c>
      <c r="E4551" s="561">
        <v>0</v>
      </c>
      <c r="F4551" s="561">
        <v>0</v>
      </c>
      <c r="G4551" s="561">
        <v>0</v>
      </c>
      <c r="H4551" s="561">
        <v>0</v>
      </c>
      <c r="I4551" s="561">
        <v>0</v>
      </c>
      <c r="J4551" s="561">
        <v>0</v>
      </c>
      <c r="K4551" s="561">
        <v>0</v>
      </c>
      <c r="L4551" s="561">
        <v>0</v>
      </c>
      <c r="M4551" s="561">
        <v>0</v>
      </c>
      <c r="N4551" s="561">
        <v>0</v>
      </c>
      <c r="O4551" s="561">
        <v>0</v>
      </c>
      <c r="P4551" s="561">
        <v>0</v>
      </c>
      <c r="Q4551" s="561">
        <v>0</v>
      </c>
    </row>
    <row r="4552" spans="1:17">
      <c r="C4552" s="561" t="s">
        <v>1199</v>
      </c>
      <c r="D4552" s="561">
        <v>10779</v>
      </c>
      <c r="E4552" s="561">
        <v>2453.7000000000007</v>
      </c>
      <c r="F4552" s="561">
        <v>8325.2999999999993</v>
      </c>
      <c r="G4552" s="561">
        <v>694</v>
      </c>
      <c r="H4552" s="561">
        <v>10894.69332</v>
      </c>
      <c r="I4552" s="561">
        <v>52</v>
      </c>
      <c r="J4552" s="561">
        <v>294.51718999999991</v>
      </c>
      <c r="K4552" s="561">
        <v>690</v>
      </c>
      <c r="L4552" s="561">
        <v>10600.11</v>
      </c>
      <c r="M4552" s="561">
        <v>10600.11</v>
      </c>
      <c r="N4552" s="561">
        <v>2453.6999999999994</v>
      </c>
      <c r="O4552" s="561">
        <v>0</v>
      </c>
      <c r="P4552" s="561">
        <v>8146.4100000000008</v>
      </c>
      <c r="Q4552" s="561">
        <v>8146.4100000000008</v>
      </c>
    </row>
    <row r="4553" spans="1:17">
      <c r="A4553" s="561">
        <v>70</v>
      </c>
      <c r="B4553" s="561" t="s">
        <v>1638</v>
      </c>
      <c r="C4553" s="561" t="s">
        <v>1196</v>
      </c>
      <c r="D4553" s="561">
        <v>118845</v>
      </c>
      <c r="E4553" s="561">
        <v>34303.5</v>
      </c>
      <c r="F4553" s="561">
        <v>84541.5</v>
      </c>
      <c r="G4553" s="561">
        <v>2402</v>
      </c>
      <c r="H4553" s="561">
        <v>115031.07946000001</v>
      </c>
      <c r="I4553" s="561">
        <v>198</v>
      </c>
      <c r="J4553" s="561">
        <v>5426.3837700000004</v>
      </c>
      <c r="K4553" s="561">
        <v>2388</v>
      </c>
      <c r="L4553" s="561">
        <v>119047.30800000002</v>
      </c>
      <c r="M4553" s="561">
        <v>118845.00000000001</v>
      </c>
      <c r="N4553" s="561">
        <v>34303.500000000007</v>
      </c>
      <c r="O4553" s="561">
        <v>0</v>
      </c>
      <c r="P4553" s="561">
        <v>84541.500000000015</v>
      </c>
      <c r="Q4553" s="561">
        <v>84541.500000000015</v>
      </c>
    </row>
    <row r="4554" spans="1:17">
      <c r="C4554" s="561" t="s">
        <v>1197</v>
      </c>
      <c r="D4554" s="561">
        <v>110337</v>
      </c>
      <c r="E4554" s="561">
        <v>32801.1</v>
      </c>
      <c r="F4554" s="561">
        <v>77535.899999999994</v>
      </c>
      <c r="G4554" s="561">
        <v>1780</v>
      </c>
      <c r="H4554" s="561">
        <v>105921.12410000002</v>
      </c>
      <c r="I4554" s="561">
        <v>150</v>
      </c>
      <c r="J4554" s="561">
        <v>5118.1272000000008</v>
      </c>
      <c r="K4554" s="561">
        <v>1770</v>
      </c>
      <c r="L4554" s="561">
        <v>110245.61100000002</v>
      </c>
      <c r="M4554" s="561">
        <v>110043.303</v>
      </c>
      <c r="N4554" s="561">
        <v>32801.100000000006</v>
      </c>
      <c r="O4554" s="561">
        <v>0</v>
      </c>
      <c r="Q4554" s="561">
        <v>77242.202999999994</v>
      </c>
    </row>
    <row r="4555" spans="1:17">
      <c r="C4555" s="561" t="s">
        <v>1198</v>
      </c>
      <c r="D4555" s="561">
        <v>0</v>
      </c>
      <c r="E4555" s="561">
        <v>0</v>
      </c>
      <c r="F4555" s="561">
        <v>0</v>
      </c>
      <c r="G4555" s="561">
        <v>0</v>
      </c>
      <c r="H4555" s="561">
        <v>0</v>
      </c>
      <c r="I4555" s="561">
        <v>0</v>
      </c>
      <c r="J4555" s="561">
        <v>0</v>
      </c>
      <c r="K4555" s="561">
        <v>0</v>
      </c>
      <c r="L4555" s="561">
        <v>0</v>
      </c>
      <c r="M4555" s="561">
        <v>0</v>
      </c>
      <c r="N4555" s="561">
        <v>0</v>
      </c>
      <c r="O4555" s="561">
        <v>0</v>
      </c>
      <c r="P4555" s="561">
        <v>0</v>
      </c>
      <c r="Q4555" s="561">
        <v>0</v>
      </c>
    </row>
    <row r="4556" spans="1:17">
      <c r="C4556" s="561" t="s">
        <v>1199</v>
      </c>
      <c r="D4556" s="561">
        <v>8508</v>
      </c>
      <c r="E4556" s="561">
        <v>1502.4000000000015</v>
      </c>
      <c r="F4556" s="561">
        <v>7005.5999999999985</v>
      </c>
      <c r="G4556" s="561">
        <v>622</v>
      </c>
      <c r="H4556" s="561">
        <v>9109.9553599999981</v>
      </c>
      <c r="I4556" s="561">
        <v>48</v>
      </c>
      <c r="J4556" s="561">
        <v>308.25657000000001</v>
      </c>
      <c r="K4556" s="561">
        <v>618</v>
      </c>
      <c r="L4556" s="561">
        <v>8801.6969999999983</v>
      </c>
      <c r="M4556" s="561">
        <v>8801.6970000000001</v>
      </c>
      <c r="N4556" s="561">
        <v>1502.3999999999999</v>
      </c>
      <c r="O4556" s="561">
        <v>0</v>
      </c>
      <c r="P4556" s="561">
        <v>7299.2970000000014</v>
      </c>
      <c r="Q4556" s="561">
        <v>7299.2970000000014</v>
      </c>
    </row>
    <row r="4557" spans="1:17">
      <c r="A4557" s="561">
        <v>71</v>
      </c>
      <c r="B4557" s="561" t="s">
        <v>1639</v>
      </c>
      <c r="C4557" s="561" t="s">
        <v>1196</v>
      </c>
      <c r="D4557" s="561">
        <v>214991</v>
      </c>
      <c r="E4557" s="561">
        <v>60897.3</v>
      </c>
      <c r="F4557" s="561">
        <v>154093.70000000001</v>
      </c>
      <c r="G4557" s="561">
        <v>5218</v>
      </c>
      <c r="H4557" s="561">
        <v>235371.31959999999</v>
      </c>
      <c r="I4557" s="561">
        <v>705</v>
      </c>
      <c r="J4557" s="561">
        <v>16942.0566</v>
      </c>
      <c r="K4557" s="561">
        <v>5057</v>
      </c>
      <c r="L4557" s="561">
        <v>216860.291</v>
      </c>
      <c r="M4557" s="561">
        <v>214990.99999999997</v>
      </c>
      <c r="N4557" s="561">
        <v>60897.299999999988</v>
      </c>
      <c r="O4557" s="561">
        <v>0</v>
      </c>
      <c r="P4557" s="561">
        <v>154093.69999999998</v>
      </c>
      <c r="Q4557" s="561">
        <v>154093.69999999998</v>
      </c>
    </row>
    <row r="4558" spans="1:17">
      <c r="C4558" s="561" t="s">
        <v>1197</v>
      </c>
      <c r="D4558" s="561">
        <v>181365</v>
      </c>
      <c r="E4558" s="561">
        <v>52009.5</v>
      </c>
      <c r="F4558" s="561">
        <v>129355.5</v>
      </c>
      <c r="G4558" s="561">
        <v>2944</v>
      </c>
      <c r="H4558" s="561">
        <v>198936.516</v>
      </c>
      <c r="I4558" s="561">
        <v>395</v>
      </c>
      <c r="J4558" s="561">
        <v>13706.9066</v>
      </c>
      <c r="K4558" s="561">
        <v>2902</v>
      </c>
      <c r="L4558" s="561">
        <v>183660.63999999998</v>
      </c>
      <c r="M4558" s="561">
        <v>181791.34899999999</v>
      </c>
      <c r="N4558" s="561">
        <v>52009.500000000007</v>
      </c>
      <c r="O4558" s="561">
        <v>0</v>
      </c>
      <c r="Q4558" s="561">
        <v>129781.84899999999</v>
      </c>
    </row>
    <row r="4559" spans="1:17">
      <c r="C4559" s="561" t="s">
        <v>1198</v>
      </c>
      <c r="D4559" s="561">
        <v>0</v>
      </c>
      <c r="E4559" s="561">
        <v>0</v>
      </c>
      <c r="F4559" s="561">
        <v>0</v>
      </c>
      <c r="G4559" s="561">
        <v>0</v>
      </c>
      <c r="H4559" s="561">
        <v>0</v>
      </c>
      <c r="I4559" s="561">
        <v>0</v>
      </c>
      <c r="J4559" s="561">
        <v>0</v>
      </c>
      <c r="K4559" s="561">
        <v>0</v>
      </c>
      <c r="L4559" s="561">
        <v>0</v>
      </c>
      <c r="M4559" s="561">
        <v>0</v>
      </c>
      <c r="N4559" s="561">
        <v>0</v>
      </c>
      <c r="O4559" s="561">
        <v>0</v>
      </c>
      <c r="P4559" s="561">
        <v>0</v>
      </c>
      <c r="Q4559" s="561">
        <v>0</v>
      </c>
    </row>
    <row r="4560" spans="1:17">
      <c r="C4560" s="561" t="s">
        <v>1199</v>
      </c>
      <c r="D4560" s="561">
        <v>33626</v>
      </c>
      <c r="E4560" s="561">
        <v>8887.8000000000029</v>
      </c>
      <c r="F4560" s="561">
        <v>24738.199999999997</v>
      </c>
      <c r="G4560" s="561">
        <v>2274</v>
      </c>
      <c r="H4560" s="561">
        <v>36434.803599999999</v>
      </c>
      <c r="I4560" s="561">
        <v>310</v>
      </c>
      <c r="J4560" s="561">
        <v>3235.15</v>
      </c>
      <c r="K4560" s="561">
        <v>2155</v>
      </c>
      <c r="L4560" s="561">
        <v>33199.651000000005</v>
      </c>
      <c r="M4560" s="561">
        <v>33199.650999999998</v>
      </c>
      <c r="N4560" s="561">
        <v>8887.7999999999993</v>
      </c>
      <c r="O4560" s="561">
        <v>0</v>
      </c>
      <c r="P4560" s="561">
        <v>24311.850999999999</v>
      </c>
      <c r="Q4560" s="561">
        <v>24311.850999999999</v>
      </c>
    </row>
    <row r="4561" spans="1:17">
      <c r="A4561" s="561">
        <v>72</v>
      </c>
      <c r="B4561" s="561" t="s">
        <v>1640</v>
      </c>
      <c r="C4561" s="561" t="s">
        <v>1196</v>
      </c>
      <c r="D4561" s="561">
        <v>162205</v>
      </c>
      <c r="E4561" s="561">
        <v>45811.5</v>
      </c>
      <c r="F4561" s="561">
        <v>116393.5</v>
      </c>
      <c r="G4561" s="561">
        <v>4281</v>
      </c>
      <c r="H4561" s="561">
        <v>175938.0828</v>
      </c>
      <c r="I4561" s="561">
        <v>512</v>
      </c>
      <c r="J4561" s="561">
        <v>14262.543600000001</v>
      </c>
      <c r="K4561" s="561">
        <v>4250</v>
      </c>
      <c r="L4561" s="561">
        <v>162520.78499999997</v>
      </c>
      <c r="M4561" s="561">
        <v>162205</v>
      </c>
      <c r="N4561" s="561">
        <v>45811.499999999993</v>
      </c>
      <c r="O4561" s="561">
        <v>0</v>
      </c>
      <c r="P4561" s="561">
        <v>116393.5</v>
      </c>
      <c r="Q4561" s="561">
        <v>116393.5</v>
      </c>
    </row>
    <row r="4562" spans="1:17">
      <c r="C4562" s="561" t="s">
        <v>1197</v>
      </c>
      <c r="D4562" s="561">
        <v>133322</v>
      </c>
      <c r="E4562" s="561">
        <v>39996.6</v>
      </c>
      <c r="F4562" s="561">
        <v>93325.4</v>
      </c>
      <c r="G4562" s="561">
        <v>2376</v>
      </c>
      <c r="H4562" s="561">
        <v>147178.821</v>
      </c>
      <c r="I4562" s="561">
        <v>397</v>
      </c>
      <c r="J4562" s="561">
        <v>13502.332</v>
      </c>
      <c r="K4562" s="561">
        <v>2354</v>
      </c>
      <c r="L4562" s="561">
        <v>134532.40899999999</v>
      </c>
      <c r="M4562" s="561">
        <v>134216.62400000001</v>
      </c>
      <c r="N4562" s="561">
        <v>39996.600000000006</v>
      </c>
      <c r="O4562" s="561">
        <v>0</v>
      </c>
      <c r="Q4562" s="561">
        <v>94220.024000000005</v>
      </c>
    </row>
    <row r="4563" spans="1:17">
      <c r="C4563" s="561" t="s">
        <v>1198</v>
      </c>
      <c r="D4563" s="561">
        <v>0</v>
      </c>
      <c r="E4563" s="561">
        <v>0</v>
      </c>
      <c r="F4563" s="561">
        <v>0</v>
      </c>
      <c r="G4563" s="561">
        <v>0</v>
      </c>
      <c r="H4563" s="561">
        <v>0</v>
      </c>
      <c r="I4563" s="561">
        <v>0</v>
      </c>
      <c r="J4563" s="561">
        <v>0</v>
      </c>
      <c r="K4563" s="561">
        <v>0</v>
      </c>
      <c r="L4563" s="561">
        <v>0</v>
      </c>
      <c r="M4563" s="561">
        <v>0</v>
      </c>
      <c r="N4563" s="561">
        <v>0</v>
      </c>
      <c r="O4563" s="561">
        <v>0</v>
      </c>
      <c r="P4563" s="561">
        <v>0</v>
      </c>
      <c r="Q4563" s="561">
        <v>0</v>
      </c>
    </row>
    <row r="4564" spans="1:17">
      <c r="C4564" s="561" t="s">
        <v>1199</v>
      </c>
      <c r="D4564" s="561">
        <v>28883</v>
      </c>
      <c r="E4564" s="561">
        <v>5814.9000000000015</v>
      </c>
      <c r="F4564" s="561">
        <v>23068.1</v>
      </c>
      <c r="G4564" s="561">
        <v>1905</v>
      </c>
      <c r="H4564" s="561">
        <v>28759.261799999997</v>
      </c>
      <c r="I4564" s="561">
        <v>115</v>
      </c>
      <c r="J4564" s="561">
        <v>760.21159999999998</v>
      </c>
      <c r="K4564" s="561">
        <v>1896</v>
      </c>
      <c r="L4564" s="561">
        <v>27988.376</v>
      </c>
      <c r="M4564" s="561">
        <v>27988.375999999997</v>
      </c>
      <c r="N4564" s="561">
        <v>5814.9000000000015</v>
      </c>
      <c r="O4564" s="561">
        <v>0</v>
      </c>
      <c r="P4564" s="561">
        <v>22173.475999999999</v>
      </c>
      <c r="Q4564" s="561">
        <v>22173.475999999999</v>
      </c>
    </row>
    <row r="4565" spans="1:17">
      <c r="A4565" s="561">
        <v>73</v>
      </c>
      <c r="B4565" s="561" t="s">
        <v>1641</v>
      </c>
      <c r="C4565" s="561" t="s">
        <v>1196</v>
      </c>
      <c r="D4565" s="561">
        <v>77924</v>
      </c>
      <c r="E4565" s="561">
        <v>22777.200000000001</v>
      </c>
      <c r="F4565" s="561">
        <v>55146.8</v>
      </c>
      <c r="G4565" s="561">
        <v>2573</v>
      </c>
      <c r="H4565" s="561">
        <v>89508.574000000008</v>
      </c>
      <c r="I4565" s="561">
        <v>369</v>
      </c>
      <c r="J4565" s="561">
        <v>8320.602560000003</v>
      </c>
      <c r="K4565" s="561">
        <v>2530</v>
      </c>
      <c r="L4565" s="561">
        <v>81179.846999999994</v>
      </c>
      <c r="M4565" s="561">
        <v>77924</v>
      </c>
      <c r="N4565" s="561">
        <v>22777.200000000001</v>
      </c>
      <c r="O4565" s="561">
        <v>0</v>
      </c>
      <c r="P4565" s="561">
        <v>55146.799999999996</v>
      </c>
      <c r="Q4565" s="561">
        <v>55146.799999999996</v>
      </c>
    </row>
    <row r="4566" spans="1:17">
      <c r="C4566" s="561" t="s">
        <v>1197</v>
      </c>
      <c r="D4566" s="561">
        <v>55543</v>
      </c>
      <c r="E4566" s="561">
        <v>18462.900000000001</v>
      </c>
      <c r="F4566" s="561">
        <v>37080.1</v>
      </c>
      <c r="G4566" s="561">
        <v>994</v>
      </c>
      <c r="H4566" s="561">
        <v>65054.065900000001</v>
      </c>
      <c r="I4566" s="561">
        <v>221</v>
      </c>
      <c r="J4566" s="561">
        <v>7472.3779000000022</v>
      </c>
      <c r="K4566" s="561">
        <v>958</v>
      </c>
      <c r="L4566" s="561">
        <v>57573.576999999997</v>
      </c>
      <c r="M4566" s="561">
        <v>55154.195</v>
      </c>
      <c r="N4566" s="561">
        <v>18462.900000000001</v>
      </c>
      <c r="O4566" s="561">
        <v>0</v>
      </c>
      <c r="Q4566" s="561">
        <v>36691.294999999998</v>
      </c>
    </row>
    <row r="4567" spans="1:17">
      <c r="C4567" s="561" t="s">
        <v>1198</v>
      </c>
      <c r="D4567" s="561">
        <v>0</v>
      </c>
      <c r="E4567" s="561">
        <v>0</v>
      </c>
      <c r="F4567" s="561">
        <v>0</v>
      </c>
      <c r="G4567" s="561">
        <v>0</v>
      </c>
      <c r="H4567" s="561">
        <v>0</v>
      </c>
      <c r="I4567" s="561">
        <v>0</v>
      </c>
      <c r="J4567" s="561">
        <v>0</v>
      </c>
      <c r="K4567" s="561">
        <v>0</v>
      </c>
      <c r="L4567" s="561">
        <v>0</v>
      </c>
      <c r="M4567" s="561">
        <v>0</v>
      </c>
      <c r="N4567" s="561">
        <v>0</v>
      </c>
      <c r="O4567" s="561">
        <v>0</v>
      </c>
      <c r="P4567" s="561">
        <v>0</v>
      </c>
      <c r="Q4567" s="561">
        <v>0</v>
      </c>
    </row>
    <row r="4568" spans="1:17">
      <c r="C4568" s="561" t="s">
        <v>1199</v>
      </c>
      <c r="D4568" s="561">
        <v>22381</v>
      </c>
      <c r="E4568" s="561">
        <v>4314.2999999999993</v>
      </c>
      <c r="F4568" s="561">
        <v>18066.7</v>
      </c>
      <c r="G4568" s="561">
        <v>1579</v>
      </c>
      <c r="H4568" s="561">
        <v>24454.508100000003</v>
      </c>
      <c r="I4568" s="561">
        <v>148</v>
      </c>
      <c r="J4568" s="561">
        <v>848.22465999999997</v>
      </c>
      <c r="K4568" s="561">
        <v>1572</v>
      </c>
      <c r="L4568" s="561">
        <v>23606.27</v>
      </c>
      <c r="M4568" s="561">
        <v>22769.805</v>
      </c>
      <c r="N4568" s="561">
        <v>4314.2999999999993</v>
      </c>
      <c r="O4568" s="561">
        <v>0</v>
      </c>
      <c r="P4568" s="561">
        <v>18455.504999999997</v>
      </c>
      <c r="Q4568" s="561">
        <v>18455.504999999997</v>
      </c>
    </row>
    <row r="4569" spans="1:17">
      <c r="A4569" s="561">
        <v>74</v>
      </c>
      <c r="B4569" s="561" t="s">
        <v>1642</v>
      </c>
      <c r="C4569" s="561" t="s">
        <v>1196</v>
      </c>
      <c r="D4569" s="561">
        <v>142939</v>
      </c>
      <c r="E4569" s="561">
        <v>38531.699999999997</v>
      </c>
      <c r="F4569" s="561">
        <v>104407.3</v>
      </c>
      <c r="G4569" s="561">
        <v>3529</v>
      </c>
      <c r="H4569" s="561">
        <v>153241.9222</v>
      </c>
      <c r="I4569" s="561">
        <v>331</v>
      </c>
      <c r="J4569" s="561">
        <v>7859.3876399999999</v>
      </c>
      <c r="K4569" s="561">
        <v>3519</v>
      </c>
      <c r="L4569" s="561">
        <v>145328.859</v>
      </c>
      <c r="M4569" s="561">
        <v>142939</v>
      </c>
      <c r="N4569" s="561">
        <v>38531.700000000004</v>
      </c>
      <c r="O4569" s="561">
        <v>0</v>
      </c>
      <c r="P4569" s="561">
        <v>104407.3</v>
      </c>
      <c r="Q4569" s="561">
        <v>104407.3</v>
      </c>
    </row>
    <row r="4570" spans="1:17">
      <c r="C4570" s="561" t="s">
        <v>1197</v>
      </c>
      <c r="D4570" s="561">
        <v>118832</v>
      </c>
      <c r="E4570" s="561">
        <v>34299.599999999999</v>
      </c>
      <c r="F4570" s="561">
        <v>84532.4</v>
      </c>
      <c r="G4570" s="561">
        <v>1922</v>
      </c>
      <c r="H4570" s="561">
        <v>128879.57500000001</v>
      </c>
      <c r="I4570" s="561">
        <v>252</v>
      </c>
      <c r="J4570" s="561">
        <v>7407.50443</v>
      </c>
      <c r="K4570" s="561">
        <v>1913</v>
      </c>
      <c r="L4570" s="561">
        <v>121418.387</v>
      </c>
      <c r="M4570" s="561">
        <v>119194.33200000001</v>
      </c>
      <c r="N4570" s="561">
        <v>34299.600000000006</v>
      </c>
      <c r="O4570" s="561">
        <v>0</v>
      </c>
      <c r="Q4570" s="561">
        <v>84894.732000000004</v>
      </c>
    </row>
    <row r="4571" spans="1:17">
      <c r="C4571" s="561" t="s">
        <v>1198</v>
      </c>
      <c r="D4571" s="561">
        <v>0</v>
      </c>
      <c r="E4571" s="561">
        <v>0</v>
      </c>
      <c r="F4571" s="561">
        <v>0</v>
      </c>
      <c r="G4571" s="561">
        <v>0</v>
      </c>
      <c r="H4571" s="561">
        <v>0</v>
      </c>
      <c r="I4571" s="561">
        <v>0</v>
      </c>
      <c r="J4571" s="561">
        <v>0</v>
      </c>
      <c r="K4571" s="561">
        <v>0</v>
      </c>
      <c r="L4571" s="561">
        <v>0</v>
      </c>
      <c r="M4571" s="561">
        <v>0</v>
      </c>
      <c r="N4571" s="561">
        <v>0</v>
      </c>
      <c r="O4571" s="561">
        <v>0</v>
      </c>
      <c r="P4571" s="561">
        <v>0</v>
      </c>
      <c r="Q4571" s="561">
        <v>0</v>
      </c>
    </row>
    <row r="4572" spans="1:17">
      <c r="C4572" s="561" t="s">
        <v>1199</v>
      </c>
      <c r="D4572" s="561">
        <v>24107</v>
      </c>
      <c r="E4572" s="561">
        <v>4232.0999999999985</v>
      </c>
      <c r="F4572" s="561">
        <v>19874.900000000001</v>
      </c>
      <c r="G4572" s="561">
        <v>1607</v>
      </c>
      <c r="H4572" s="561">
        <v>24362.347200000004</v>
      </c>
      <c r="I4572" s="561">
        <v>79</v>
      </c>
      <c r="J4572" s="561">
        <v>451.88321000000008</v>
      </c>
      <c r="K4572" s="561">
        <v>1606</v>
      </c>
      <c r="L4572" s="561">
        <v>23910.472000000002</v>
      </c>
      <c r="M4572" s="561">
        <v>23744.667999999998</v>
      </c>
      <c r="N4572" s="561">
        <v>4232.0999999999995</v>
      </c>
      <c r="O4572" s="561">
        <v>0</v>
      </c>
      <c r="P4572" s="561">
        <v>19512.567999999999</v>
      </c>
      <c r="Q4572" s="561">
        <v>19512.567999999999</v>
      </c>
    </row>
    <row r="4573" spans="1:17">
      <c r="A4573" s="561">
        <v>75</v>
      </c>
      <c r="B4573" s="561" t="s">
        <v>1643</v>
      </c>
      <c r="C4573" s="561" t="s">
        <v>1196</v>
      </c>
      <c r="D4573" s="561">
        <v>239280</v>
      </c>
      <c r="E4573" s="561">
        <v>71184</v>
      </c>
      <c r="F4573" s="561">
        <v>168096</v>
      </c>
      <c r="G4573" s="561">
        <v>14778</v>
      </c>
      <c r="H4573" s="561">
        <v>242505.06419000003</v>
      </c>
      <c r="I4573" s="561">
        <v>124</v>
      </c>
      <c r="J4573" s="561">
        <v>2129.1500000000005</v>
      </c>
      <c r="K4573" s="561">
        <v>14525</v>
      </c>
      <c r="L4573" s="561">
        <v>239986.31200000001</v>
      </c>
      <c r="M4573" s="561">
        <v>239279.99999999997</v>
      </c>
      <c r="N4573" s="561">
        <v>71184.000000000015</v>
      </c>
      <c r="O4573" s="561">
        <v>0</v>
      </c>
      <c r="P4573" s="561">
        <v>168096</v>
      </c>
      <c r="Q4573" s="561">
        <v>168096</v>
      </c>
    </row>
    <row r="4574" spans="1:17">
      <c r="C4574" s="561" t="s">
        <v>1197</v>
      </c>
      <c r="D4574" s="561">
        <v>223704</v>
      </c>
      <c r="E4574" s="561">
        <v>66511.199999999997</v>
      </c>
      <c r="F4574" s="561">
        <v>157192.79999999999</v>
      </c>
      <c r="G4574" s="561">
        <v>3435</v>
      </c>
      <c r="H4574" s="561">
        <v>226590.70499999999</v>
      </c>
      <c r="I4574" s="561">
        <v>124</v>
      </c>
      <c r="J4574" s="561">
        <v>2129.1500000000005</v>
      </c>
      <c r="K4574" s="561">
        <v>3433</v>
      </c>
      <c r="L4574" s="561">
        <v>224409.76300000001</v>
      </c>
      <c r="M4574" s="561">
        <v>223703.45100000003</v>
      </c>
      <c r="N4574" s="561">
        <v>66511.199999999983</v>
      </c>
      <c r="O4574" s="561">
        <v>0</v>
      </c>
      <c r="Q4574" s="561">
        <v>157192.25100000002</v>
      </c>
    </row>
    <row r="4575" spans="1:17">
      <c r="C4575" s="561" t="s">
        <v>1198</v>
      </c>
      <c r="D4575" s="561">
        <v>0</v>
      </c>
      <c r="E4575" s="561">
        <v>0</v>
      </c>
      <c r="F4575" s="561">
        <v>0</v>
      </c>
      <c r="G4575" s="561">
        <v>0</v>
      </c>
      <c r="H4575" s="561">
        <v>0</v>
      </c>
      <c r="I4575" s="561">
        <v>0</v>
      </c>
      <c r="J4575" s="561">
        <v>0</v>
      </c>
      <c r="K4575" s="561">
        <v>0</v>
      </c>
      <c r="L4575" s="561">
        <v>0</v>
      </c>
      <c r="M4575" s="561">
        <v>0</v>
      </c>
      <c r="N4575" s="561">
        <v>0</v>
      </c>
      <c r="O4575" s="561">
        <v>0</v>
      </c>
      <c r="P4575" s="561">
        <v>0</v>
      </c>
      <c r="Q4575" s="561">
        <v>0</v>
      </c>
    </row>
    <row r="4576" spans="1:17">
      <c r="C4576" s="561" t="s">
        <v>1199</v>
      </c>
      <c r="D4576" s="561">
        <v>0</v>
      </c>
      <c r="F4576" s="561">
        <v>0</v>
      </c>
      <c r="G4576" s="561">
        <v>0</v>
      </c>
      <c r="H4576" s="561">
        <v>0</v>
      </c>
      <c r="I4576" s="561">
        <v>0</v>
      </c>
      <c r="J4576" s="561">
        <v>0</v>
      </c>
      <c r="K4576" s="561">
        <v>0</v>
      </c>
      <c r="L4576" s="561">
        <v>0</v>
      </c>
      <c r="M4576" s="561">
        <v>0</v>
      </c>
      <c r="N4576" s="561">
        <v>0</v>
      </c>
      <c r="O4576" s="561">
        <v>0</v>
      </c>
      <c r="P4576" s="561">
        <v>0</v>
      </c>
      <c r="Q4576" s="561">
        <v>0</v>
      </c>
    </row>
    <row r="4577" spans="1:56">
      <c r="C4577" s="561" t="s">
        <v>1200</v>
      </c>
      <c r="D4577" s="561">
        <v>15576</v>
      </c>
      <c r="E4577" s="561">
        <v>4672.8000000000029</v>
      </c>
      <c r="F4577" s="561">
        <v>10903.199999999997</v>
      </c>
      <c r="G4577" s="561">
        <v>11343</v>
      </c>
      <c r="H4577" s="561">
        <v>15914.359189999997</v>
      </c>
      <c r="I4577" s="561">
        <v>0</v>
      </c>
      <c r="J4577" s="561">
        <v>0</v>
      </c>
      <c r="K4577" s="561">
        <v>11092</v>
      </c>
      <c r="L4577" s="561">
        <v>15576.548999999999</v>
      </c>
      <c r="M4577" s="561">
        <v>15576.548999999999</v>
      </c>
      <c r="N4577" s="561">
        <v>4672.8</v>
      </c>
      <c r="O4577" s="561">
        <v>0</v>
      </c>
      <c r="P4577" s="561">
        <v>10903.749</v>
      </c>
      <c r="Q4577" s="561">
        <v>10903.749</v>
      </c>
    </row>
    <row r="4578" spans="1:56">
      <c r="A4578" s="561">
        <v>76</v>
      </c>
      <c r="B4578" s="561" t="s">
        <v>1644</v>
      </c>
      <c r="C4578" s="561" t="s">
        <v>1196</v>
      </c>
      <c r="D4578" s="561">
        <v>193670.76</v>
      </c>
      <c r="E4578" s="561">
        <v>0</v>
      </c>
      <c r="F4578" s="561">
        <v>193670.76</v>
      </c>
      <c r="G4578" s="561">
        <v>684</v>
      </c>
      <c r="H4578" s="561">
        <v>180016.49494000003</v>
      </c>
      <c r="I4578" s="561">
        <v>7</v>
      </c>
      <c r="J4578" s="561">
        <v>586.87899999999991</v>
      </c>
      <c r="K4578" s="561">
        <v>683</v>
      </c>
      <c r="L4578" s="561">
        <v>179457.58500000002</v>
      </c>
      <c r="M4578" s="561">
        <v>193670.76</v>
      </c>
      <c r="N4578" s="561">
        <v>0</v>
      </c>
      <c r="O4578" s="561">
        <v>0</v>
      </c>
      <c r="P4578" s="561">
        <v>193670.76</v>
      </c>
      <c r="Q4578" s="561">
        <v>193670.76</v>
      </c>
    </row>
    <row r="4579" spans="1:56">
      <c r="C4579" s="561" t="s">
        <v>1197</v>
      </c>
      <c r="D4579" s="561">
        <v>0</v>
      </c>
      <c r="E4579" s="561">
        <v>0</v>
      </c>
      <c r="F4579" s="561">
        <v>0</v>
      </c>
      <c r="G4579" s="561">
        <v>0</v>
      </c>
      <c r="H4579" s="561">
        <v>0</v>
      </c>
      <c r="I4579" s="561">
        <v>0</v>
      </c>
      <c r="J4579" s="561">
        <v>0</v>
      </c>
      <c r="K4579" s="561">
        <v>0</v>
      </c>
      <c r="L4579" s="561">
        <v>0</v>
      </c>
      <c r="M4579" s="561">
        <v>0</v>
      </c>
      <c r="N4579" s="561">
        <v>0</v>
      </c>
      <c r="O4579" s="561">
        <v>0</v>
      </c>
      <c r="P4579" s="561">
        <v>0</v>
      </c>
      <c r="Q4579" s="561">
        <v>0</v>
      </c>
    </row>
    <row r="4580" spans="1:56">
      <c r="C4580" s="561" t="s">
        <v>1198</v>
      </c>
      <c r="D4580" s="561">
        <v>0</v>
      </c>
      <c r="E4580" s="561">
        <v>0</v>
      </c>
      <c r="F4580" s="561">
        <v>0</v>
      </c>
      <c r="G4580" s="561">
        <v>0</v>
      </c>
      <c r="H4580" s="561">
        <v>0</v>
      </c>
      <c r="I4580" s="561">
        <v>0</v>
      </c>
      <c r="J4580" s="561">
        <v>0</v>
      </c>
      <c r="K4580" s="561">
        <v>0</v>
      </c>
      <c r="L4580" s="561">
        <v>0</v>
      </c>
      <c r="M4580" s="561">
        <v>0</v>
      </c>
      <c r="N4580" s="561">
        <v>0</v>
      </c>
      <c r="O4580" s="561">
        <v>0</v>
      </c>
      <c r="P4580" s="561">
        <v>0</v>
      </c>
      <c r="Q4580" s="561">
        <v>0</v>
      </c>
    </row>
    <row r="4581" spans="1:56">
      <c r="C4581" s="561" t="s">
        <v>1199</v>
      </c>
      <c r="D4581" s="561">
        <v>193670.76</v>
      </c>
      <c r="E4581" s="561">
        <v>0</v>
      </c>
      <c r="F4581" s="561">
        <v>193670.76</v>
      </c>
      <c r="G4581" s="561">
        <v>684</v>
      </c>
      <c r="H4581" s="561">
        <v>180016.49494000003</v>
      </c>
      <c r="I4581" s="561">
        <v>7</v>
      </c>
      <c r="J4581" s="561">
        <v>586.87899999999991</v>
      </c>
      <c r="K4581" s="561">
        <v>683</v>
      </c>
      <c r="L4581" s="561">
        <v>179457.58500000002</v>
      </c>
      <c r="M4581" s="561">
        <v>193670.76</v>
      </c>
      <c r="N4581" s="561">
        <v>0</v>
      </c>
      <c r="O4581" s="561">
        <v>0</v>
      </c>
      <c r="P4581" s="561">
        <v>193670.76</v>
      </c>
      <c r="Q4581" s="561">
        <v>193670.76</v>
      </c>
    </row>
    <row r="4582" spans="1:56">
      <c r="A4582" s="561">
        <v>77</v>
      </c>
      <c r="B4582" s="561" t="s">
        <v>1645</v>
      </c>
      <c r="C4582" s="561" t="s">
        <v>1196</v>
      </c>
      <c r="D4582" s="561">
        <v>162889</v>
      </c>
      <c r="E4582" s="561">
        <v>50666.7</v>
      </c>
      <c r="F4582" s="561">
        <v>112222.3</v>
      </c>
      <c r="G4582" s="561">
        <v>600</v>
      </c>
      <c r="H4582" s="561">
        <v>163398.93599999999</v>
      </c>
      <c r="I4582" s="561">
        <v>41</v>
      </c>
      <c r="J4582" s="561">
        <v>483.62280000000004</v>
      </c>
      <c r="K4582" s="561">
        <v>600</v>
      </c>
      <c r="L4582" s="561">
        <v>162915.31299999999</v>
      </c>
      <c r="M4582" s="561">
        <v>162889</v>
      </c>
      <c r="N4582" s="561">
        <v>50666.700000000012</v>
      </c>
      <c r="O4582" s="561">
        <v>0</v>
      </c>
      <c r="P4582" s="561">
        <v>112222.29999999999</v>
      </c>
      <c r="Q4582" s="561">
        <v>112222.29999999999</v>
      </c>
    </row>
    <row r="4583" spans="1:56">
      <c r="C4583" s="561" t="s">
        <v>1197</v>
      </c>
      <c r="D4583" s="561">
        <v>0</v>
      </c>
      <c r="E4583" s="561">
        <v>0</v>
      </c>
      <c r="F4583" s="561">
        <v>0</v>
      </c>
      <c r="G4583" s="561">
        <v>0</v>
      </c>
      <c r="H4583" s="561">
        <v>0</v>
      </c>
      <c r="I4583" s="561">
        <v>0</v>
      </c>
      <c r="J4583" s="561">
        <v>8.0000000002655725E-4</v>
      </c>
      <c r="K4583" s="561">
        <v>0</v>
      </c>
      <c r="L4583" s="561">
        <v>0</v>
      </c>
      <c r="M4583" s="561">
        <v>0</v>
      </c>
      <c r="N4583" s="561">
        <v>0</v>
      </c>
      <c r="O4583" s="561">
        <v>0</v>
      </c>
      <c r="P4583" s="561">
        <v>0</v>
      </c>
      <c r="Q4583" s="561">
        <v>0</v>
      </c>
    </row>
    <row r="4584" spans="1:56">
      <c r="C4584" s="561" t="s">
        <v>1198</v>
      </c>
      <c r="D4584" s="561">
        <v>0</v>
      </c>
      <c r="E4584" s="561">
        <v>0</v>
      </c>
      <c r="F4584" s="561">
        <v>0</v>
      </c>
      <c r="G4584" s="561">
        <v>0</v>
      </c>
      <c r="H4584" s="561">
        <v>0</v>
      </c>
      <c r="I4584" s="561">
        <v>0</v>
      </c>
      <c r="J4584" s="561">
        <v>0</v>
      </c>
      <c r="K4584" s="561">
        <v>0</v>
      </c>
      <c r="L4584" s="561">
        <v>0</v>
      </c>
      <c r="M4584" s="561">
        <v>0</v>
      </c>
      <c r="N4584" s="561">
        <v>0</v>
      </c>
      <c r="O4584" s="561">
        <v>0</v>
      </c>
      <c r="P4584" s="561">
        <v>0</v>
      </c>
      <c r="Q4584" s="561">
        <v>0</v>
      </c>
    </row>
    <row r="4585" spans="1:56">
      <c r="C4585" s="561" t="s">
        <v>1199</v>
      </c>
      <c r="D4585" s="561">
        <v>162889</v>
      </c>
      <c r="E4585" s="561">
        <v>50666.7</v>
      </c>
      <c r="F4585" s="561">
        <v>112222.3</v>
      </c>
      <c r="G4585" s="561">
        <v>600</v>
      </c>
      <c r="H4585" s="561">
        <v>163398.93599999999</v>
      </c>
      <c r="I4585" s="561">
        <v>41</v>
      </c>
      <c r="J4585" s="561">
        <v>483.62200000000001</v>
      </c>
      <c r="K4585" s="561">
        <v>600</v>
      </c>
      <c r="L4585" s="561">
        <v>162915.31299999999</v>
      </c>
      <c r="M4585" s="561">
        <v>162889</v>
      </c>
      <c r="N4585" s="561">
        <v>50666.700000000012</v>
      </c>
      <c r="O4585" s="561">
        <v>0</v>
      </c>
      <c r="P4585" s="561">
        <v>112222.29999999999</v>
      </c>
      <c r="Q4585" s="561">
        <v>112222.29999999999</v>
      </c>
    </row>
    <row r="4586" spans="1:56">
      <c r="A4586" s="561">
        <v>78</v>
      </c>
      <c r="B4586" s="561" t="s">
        <v>1646</v>
      </c>
      <c r="C4586" s="561" t="s">
        <v>1196</v>
      </c>
      <c r="D4586" s="561">
        <v>45560</v>
      </c>
      <c r="E4586" s="561">
        <v>16375.8</v>
      </c>
      <c r="F4586" s="561">
        <v>29184.2</v>
      </c>
      <c r="G4586" s="561">
        <v>270</v>
      </c>
      <c r="H4586" s="561">
        <v>46076.927310000006</v>
      </c>
      <c r="I4586" s="561">
        <v>40</v>
      </c>
      <c r="J4586" s="561">
        <v>1405.63231</v>
      </c>
      <c r="K4586" s="561">
        <v>270</v>
      </c>
      <c r="L4586" s="561">
        <v>45714.278999999995</v>
      </c>
      <c r="M4586" s="561">
        <v>45560.000000000007</v>
      </c>
      <c r="N4586" s="561">
        <v>16375.8</v>
      </c>
      <c r="O4586" s="561">
        <v>0</v>
      </c>
      <c r="P4586" s="561">
        <v>29184.2</v>
      </c>
      <c r="Q4586" s="561">
        <v>29184.2</v>
      </c>
    </row>
    <row r="4587" spans="1:56">
      <c r="C4587" s="561" t="s">
        <v>1197</v>
      </c>
      <c r="D4587" s="561">
        <v>16767</v>
      </c>
      <c r="E4587" s="561">
        <v>8338.5</v>
      </c>
      <c r="F4587" s="561">
        <v>8428.5</v>
      </c>
      <c r="G4587" s="561">
        <v>183</v>
      </c>
      <c r="H4587" s="561">
        <v>17106.035800000005</v>
      </c>
      <c r="I4587" s="561">
        <v>27</v>
      </c>
      <c r="J4587" s="561">
        <v>633.89399999999989</v>
      </c>
      <c r="K4587" s="561">
        <v>183</v>
      </c>
      <c r="L4587" s="561">
        <v>16515.126</v>
      </c>
      <c r="M4587" s="561">
        <v>16360.846999999998</v>
      </c>
      <c r="N4587" s="561">
        <v>8338.5</v>
      </c>
      <c r="O4587" s="561">
        <v>0</v>
      </c>
      <c r="Q4587" s="561">
        <v>8022.3469999999998</v>
      </c>
    </row>
    <row r="4588" spans="1:56">
      <c r="C4588" s="561" t="s">
        <v>1198</v>
      </c>
      <c r="D4588" s="561">
        <v>28793</v>
      </c>
      <c r="E4588" s="561">
        <v>8037.3</v>
      </c>
      <c r="F4588" s="561">
        <v>20755.7</v>
      </c>
      <c r="G4588" s="561">
        <v>87</v>
      </c>
      <c r="H4588" s="561">
        <v>28970.891510000001</v>
      </c>
      <c r="I4588" s="561">
        <v>13</v>
      </c>
      <c r="J4588" s="561">
        <v>771.73800000000006</v>
      </c>
      <c r="K4588" s="561">
        <v>87</v>
      </c>
      <c r="L4588" s="561">
        <v>29199.152999999998</v>
      </c>
      <c r="M4588" s="561">
        <v>29199.153000000002</v>
      </c>
      <c r="N4588" s="561">
        <v>8037.3000000000011</v>
      </c>
      <c r="O4588" s="561">
        <v>0</v>
      </c>
      <c r="Q4588" s="561">
        <v>21161.852999999999</v>
      </c>
      <c r="BD4588" s="561">
        <v>21161.852999999999</v>
      </c>
    </row>
    <row r="4589" spans="1:56">
      <c r="C4589" s="561" t="s">
        <v>1199</v>
      </c>
      <c r="D4589" s="561">
        <v>0</v>
      </c>
      <c r="E4589" s="561">
        <v>0</v>
      </c>
      <c r="F4589" s="561">
        <v>0</v>
      </c>
      <c r="G4589" s="561">
        <v>0</v>
      </c>
      <c r="H4589" s="561">
        <v>0</v>
      </c>
      <c r="I4589" s="561">
        <v>0</v>
      </c>
      <c r="J4589" s="561">
        <v>3.0999999998471139E-4</v>
      </c>
      <c r="K4589" s="561">
        <v>0</v>
      </c>
      <c r="L4589" s="561">
        <v>0</v>
      </c>
      <c r="M4589" s="561">
        <v>0</v>
      </c>
      <c r="N4589" s="561">
        <v>0</v>
      </c>
      <c r="O4589" s="561">
        <v>0</v>
      </c>
      <c r="P4589" s="561">
        <v>0</v>
      </c>
      <c r="Q4589" s="561">
        <v>0</v>
      </c>
    </row>
    <row r="4590" spans="1:56">
      <c r="A4590" s="561">
        <v>79</v>
      </c>
      <c r="B4590" s="561" t="s">
        <v>1647</v>
      </c>
      <c r="C4590" s="561" t="s">
        <v>1196</v>
      </c>
      <c r="D4590" s="561">
        <v>3319</v>
      </c>
      <c r="E4590" s="561">
        <v>0</v>
      </c>
      <c r="F4590" s="561">
        <v>3319</v>
      </c>
      <c r="G4590" s="561">
        <v>100</v>
      </c>
      <c r="H4590" s="561">
        <v>3619.07809</v>
      </c>
      <c r="I4590" s="561">
        <v>7</v>
      </c>
      <c r="J4590" s="561">
        <v>152.11699999999999</v>
      </c>
      <c r="K4590" s="561">
        <v>101</v>
      </c>
      <c r="L4590" s="561">
        <v>3324.473</v>
      </c>
      <c r="M4590" s="561">
        <v>3319</v>
      </c>
      <c r="N4590" s="561">
        <v>0</v>
      </c>
      <c r="O4590" s="561">
        <v>0</v>
      </c>
      <c r="P4590" s="561">
        <v>3319</v>
      </c>
      <c r="Q4590" s="561">
        <v>3319</v>
      </c>
    </row>
    <row r="4591" spans="1:56">
      <c r="C4591" s="561" t="s">
        <v>1197</v>
      </c>
      <c r="D4591" s="561">
        <v>2318</v>
      </c>
      <c r="E4591" s="561">
        <v>0</v>
      </c>
      <c r="F4591" s="561">
        <v>2318</v>
      </c>
      <c r="G4591" s="561">
        <v>35</v>
      </c>
      <c r="H4591" s="561">
        <v>2645.2357799999995</v>
      </c>
      <c r="I4591" s="561">
        <v>4</v>
      </c>
      <c r="J4591" s="561">
        <v>125.181</v>
      </c>
      <c r="K4591" s="561">
        <v>34</v>
      </c>
      <c r="L4591" s="561">
        <v>2315.723</v>
      </c>
      <c r="M4591" s="561">
        <v>2315.723</v>
      </c>
      <c r="N4591" s="561">
        <v>0</v>
      </c>
      <c r="O4591" s="561">
        <v>0</v>
      </c>
      <c r="P4591" s="561">
        <v>2315.723</v>
      </c>
      <c r="Q4591" s="561">
        <v>2315.723</v>
      </c>
    </row>
    <row r="4592" spans="1:56">
      <c r="C4592" s="561" t="s">
        <v>1198</v>
      </c>
      <c r="D4592" s="561">
        <v>0</v>
      </c>
      <c r="E4592" s="561">
        <v>0</v>
      </c>
      <c r="F4592" s="561">
        <v>0</v>
      </c>
      <c r="G4592" s="561">
        <v>0</v>
      </c>
      <c r="H4592" s="561">
        <v>0</v>
      </c>
      <c r="I4592" s="561">
        <v>0</v>
      </c>
      <c r="J4592" s="561">
        <v>0</v>
      </c>
      <c r="K4592" s="561">
        <v>0</v>
      </c>
      <c r="L4592" s="561">
        <v>0</v>
      </c>
      <c r="M4592" s="561">
        <v>0</v>
      </c>
      <c r="N4592" s="561">
        <v>0</v>
      </c>
      <c r="O4592" s="561">
        <v>0</v>
      </c>
      <c r="P4592" s="561">
        <v>0</v>
      </c>
      <c r="Q4592" s="561">
        <v>0</v>
      </c>
    </row>
    <row r="4593" spans="1:111">
      <c r="C4593" s="561" t="s">
        <v>1199</v>
      </c>
      <c r="D4593" s="561">
        <v>1001</v>
      </c>
      <c r="E4593" s="561">
        <v>0</v>
      </c>
      <c r="F4593" s="561">
        <v>1001</v>
      </c>
      <c r="G4593" s="561">
        <v>65</v>
      </c>
      <c r="H4593" s="561">
        <v>973.84230999999988</v>
      </c>
      <c r="I4593" s="561">
        <v>3</v>
      </c>
      <c r="J4593" s="561">
        <v>26.936</v>
      </c>
      <c r="K4593" s="561">
        <v>67</v>
      </c>
      <c r="L4593" s="561">
        <v>1008.75</v>
      </c>
      <c r="M4593" s="561">
        <v>1003.2769999999999</v>
      </c>
      <c r="N4593" s="561">
        <v>0</v>
      </c>
      <c r="O4593" s="561">
        <v>0</v>
      </c>
      <c r="P4593" s="561">
        <v>1003.2769999999999</v>
      </c>
      <c r="Q4593" s="561">
        <v>1003.2769999999999</v>
      </c>
    </row>
    <row r="4594" spans="1:111">
      <c r="A4594" s="561">
        <v>80</v>
      </c>
      <c r="B4594" s="561" t="s">
        <v>1648</v>
      </c>
      <c r="C4594" s="561" t="s">
        <v>1196</v>
      </c>
      <c r="D4594" s="561">
        <v>33186</v>
      </c>
      <c r="E4594" s="561">
        <v>0</v>
      </c>
      <c r="F4594" s="561">
        <v>33186</v>
      </c>
      <c r="G4594" s="561">
        <v>165</v>
      </c>
      <c r="H4594" s="561">
        <v>41690.665849999998</v>
      </c>
      <c r="I4594" s="561">
        <v>5</v>
      </c>
      <c r="J4594" s="561">
        <v>399.88800000000003</v>
      </c>
      <c r="K4594" s="561">
        <v>164</v>
      </c>
      <c r="L4594" s="561">
        <v>41290.774999999994</v>
      </c>
      <c r="M4594" s="561">
        <v>33186</v>
      </c>
      <c r="N4594" s="561">
        <v>0</v>
      </c>
      <c r="O4594" s="561">
        <v>0</v>
      </c>
      <c r="P4594" s="561">
        <v>33186</v>
      </c>
      <c r="Q4594" s="561">
        <v>33186</v>
      </c>
    </row>
    <row r="4595" spans="1:111">
      <c r="C4595" s="561" t="s">
        <v>1197</v>
      </c>
      <c r="D4595" s="561">
        <v>0</v>
      </c>
      <c r="E4595" s="561">
        <v>0</v>
      </c>
      <c r="F4595" s="561">
        <v>0</v>
      </c>
      <c r="G4595" s="561">
        <v>0</v>
      </c>
      <c r="H4595" s="561">
        <v>0</v>
      </c>
      <c r="I4595" s="561">
        <v>0</v>
      </c>
      <c r="J4595" s="561">
        <v>0</v>
      </c>
      <c r="K4595" s="561">
        <v>0</v>
      </c>
      <c r="L4595" s="561">
        <v>0</v>
      </c>
      <c r="M4595" s="561">
        <v>0</v>
      </c>
      <c r="N4595" s="561">
        <v>0</v>
      </c>
      <c r="O4595" s="561">
        <v>0</v>
      </c>
      <c r="P4595" s="561">
        <v>0</v>
      </c>
      <c r="Q4595" s="561">
        <v>0</v>
      </c>
    </row>
    <row r="4596" spans="1:111">
      <c r="C4596" s="561" t="s">
        <v>1198</v>
      </c>
      <c r="D4596" s="561">
        <v>0</v>
      </c>
      <c r="E4596" s="561">
        <v>0</v>
      </c>
      <c r="F4596" s="561">
        <v>0</v>
      </c>
      <c r="G4596" s="561">
        <v>0</v>
      </c>
      <c r="H4596" s="561">
        <v>0</v>
      </c>
      <c r="I4596" s="561">
        <v>0</v>
      </c>
      <c r="J4596" s="561">
        <v>0</v>
      </c>
      <c r="K4596" s="561">
        <v>0</v>
      </c>
      <c r="L4596" s="561">
        <v>0</v>
      </c>
      <c r="M4596" s="561">
        <v>0</v>
      </c>
      <c r="N4596" s="561">
        <v>0</v>
      </c>
      <c r="O4596" s="561">
        <v>0</v>
      </c>
      <c r="P4596" s="561">
        <v>0</v>
      </c>
      <c r="Q4596" s="561">
        <v>0</v>
      </c>
    </row>
    <row r="4597" spans="1:111">
      <c r="C4597" s="561" t="s">
        <v>1199</v>
      </c>
      <c r="D4597" s="561">
        <v>33186</v>
      </c>
      <c r="E4597" s="561">
        <v>0</v>
      </c>
      <c r="F4597" s="561">
        <v>33186</v>
      </c>
      <c r="G4597" s="561">
        <v>165</v>
      </c>
      <c r="H4597" s="561">
        <v>41690.665849999998</v>
      </c>
      <c r="I4597" s="561">
        <v>5</v>
      </c>
      <c r="J4597" s="561">
        <v>399.88800000000003</v>
      </c>
      <c r="K4597" s="561">
        <v>164</v>
      </c>
      <c r="L4597" s="561">
        <v>41290.774999999994</v>
      </c>
      <c r="M4597" s="561">
        <v>33186</v>
      </c>
      <c r="N4597" s="561">
        <v>0</v>
      </c>
      <c r="O4597" s="561">
        <v>0</v>
      </c>
      <c r="P4597" s="561">
        <v>33186</v>
      </c>
      <c r="Q4597" s="561">
        <v>33186</v>
      </c>
    </row>
    <row r="4598" spans="1:111">
      <c r="A4598" s="561">
        <v>81</v>
      </c>
      <c r="B4598" s="561" t="s">
        <v>1649</v>
      </c>
      <c r="C4598" s="561" t="s">
        <v>1196</v>
      </c>
      <c r="D4598" s="561">
        <v>17179</v>
      </c>
      <c r="F4598" s="561">
        <v>17179</v>
      </c>
      <c r="G4598" s="561">
        <v>74</v>
      </c>
      <c r="H4598" s="561">
        <v>19286.205000000002</v>
      </c>
      <c r="I4598" s="561">
        <v>0</v>
      </c>
      <c r="J4598" s="561">
        <v>5.7290000000000001</v>
      </c>
      <c r="K4598" s="561">
        <v>74</v>
      </c>
      <c r="L4598" s="561">
        <v>19286.205000000002</v>
      </c>
      <c r="M4598" s="561">
        <v>17179</v>
      </c>
      <c r="N4598" s="561">
        <v>0</v>
      </c>
      <c r="O4598" s="561">
        <v>0</v>
      </c>
      <c r="P4598" s="561">
        <v>17179</v>
      </c>
      <c r="Q4598" s="561">
        <v>17179</v>
      </c>
    </row>
    <row r="4599" spans="1:111">
      <c r="C4599" s="561" t="s">
        <v>1197</v>
      </c>
      <c r="D4599" s="561">
        <v>0</v>
      </c>
      <c r="F4599" s="561">
        <v>0</v>
      </c>
      <c r="G4599" s="561">
        <v>0</v>
      </c>
      <c r="H4599" s="561">
        <v>0</v>
      </c>
      <c r="I4599" s="561">
        <v>0</v>
      </c>
      <c r="J4599" s="561">
        <v>0</v>
      </c>
      <c r="K4599" s="561">
        <v>0</v>
      </c>
      <c r="L4599" s="561">
        <v>0</v>
      </c>
      <c r="M4599" s="561">
        <v>0</v>
      </c>
      <c r="N4599" s="561">
        <v>0</v>
      </c>
      <c r="O4599" s="561">
        <v>0</v>
      </c>
      <c r="P4599" s="561">
        <v>0</v>
      </c>
      <c r="Q4599" s="561">
        <v>0</v>
      </c>
    </row>
    <row r="4600" spans="1:111">
      <c r="C4600" s="561" t="s">
        <v>1198</v>
      </c>
      <c r="D4600" s="561">
        <v>0</v>
      </c>
      <c r="F4600" s="561">
        <v>0</v>
      </c>
      <c r="G4600" s="561">
        <v>0</v>
      </c>
      <c r="H4600" s="561">
        <v>0</v>
      </c>
      <c r="I4600" s="561">
        <v>0</v>
      </c>
      <c r="J4600" s="561">
        <v>0</v>
      </c>
      <c r="K4600" s="561">
        <v>0</v>
      </c>
      <c r="L4600" s="561">
        <v>0</v>
      </c>
      <c r="M4600" s="561">
        <v>0</v>
      </c>
      <c r="N4600" s="561">
        <v>0</v>
      </c>
      <c r="O4600" s="561">
        <v>0</v>
      </c>
      <c r="P4600" s="561">
        <v>0</v>
      </c>
      <c r="Q4600" s="561">
        <v>0</v>
      </c>
    </row>
    <row r="4601" spans="1:111">
      <c r="C4601" s="561" t="s">
        <v>1199</v>
      </c>
      <c r="D4601" s="561">
        <v>17179</v>
      </c>
      <c r="F4601" s="561">
        <v>17179</v>
      </c>
      <c r="G4601" s="561">
        <v>74</v>
      </c>
      <c r="H4601" s="561">
        <v>19286.205000000002</v>
      </c>
      <c r="I4601" s="561">
        <v>0</v>
      </c>
      <c r="J4601" s="561">
        <v>5.7290000000000001</v>
      </c>
      <c r="K4601" s="561">
        <v>74</v>
      </c>
      <c r="L4601" s="561">
        <v>19286.205000000002</v>
      </c>
      <c r="M4601" s="561">
        <v>17179</v>
      </c>
      <c r="N4601" s="561">
        <v>0</v>
      </c>
      <c r="O4601" s="561">
        <v>0</v>
      </c>
      <c r="P4601" s="561">
        <v>17179</v>
      </c>
      <c r="Q4601" s="561">
        <v>17179</v>
      </c>
    </row>
    <row r="4602" spans="1:111">
      <c r="A4602" s="1735" t="s">
        <v>1199</v>
      </c>
      <c r="B4602" s="1735"/>
      <c r="C4602" s="1735"/>
      <c r="D4602" s="1735"/>
      <c r="E4602" s="1735"/>
      <c r="F4602" s="1735"/>
      <c r="G4602" s="1735"/>
      <c r="H4602" s="1735"/>
      <c r="I4602" s="1735"/>
      <c r="J4602" s="1735"/>
      <c r="K4602" s="1735"/>
      <c r="L4602" s="1735"/>
      <c r="M4602" s="1735"/>
      <c r="N4602" s="1735"/>
      <c r="O4602" s="1735"/>
      <c r="P4602" s="1735"/>
      <c r="AL4602" s="561">
        <f>SUM(AL4603:AL4933)</f>
        <v>966845.25499999989</v>
      </c>
      <c r="AM4602" s="561">
        <f t="shared" ref="AM4602:CX4602" si="118">SUM(AM4603:AM4933)</f>
        <v>0</v>
      </c>
      <c r="AN4602" s="561">
        <f t="shared" si="118"/>
        <v>0</v>
      </c>
      <c r="AO4602" s="561">
        <f t="shared" si="118"/>
        <v>0</v>
      </c>
      <c r="AP4602" s="561">
        <f t="shared" si="118"/>
        <v>0</v>
      </c>
      <c r="AQ4602" s="561">
        <f t="shared" si="118"/>
        <v>0</v>
      </c>
      <c r="AR4602" s="561">
        <f t="shared" si="118"/>
        <v>44108.723999999995</v>
      </c>
      <c r="AS4602" s="561">
        <f t="shared" si="118"/>
        <v>0</v>
      </c>
      <c r="AT4602" s="561">
        <f t="shared" si="118"/>
        <v>0</v>
      </c>
      <c r="AU4602" s="561">
        <f t="shared" si="118"/>
        <v>0</v>
      </c>
      <c r="AV4602" s="561">
        <f t="shared" si="118"/>
        <v>0</v>
      </c>
      <c r="AW4602" s="561">
        <f t="shared" si="118"/>
        <v>0</v>
      </c>
      <c r="AX4602" s="561">
        <f t="shared" si="118"/>
        <v>1567.3150000000001</v>
      </c>
      <c r="AY4602" s="561">
        <f t="shared" si="118"/>
        <v>13206.805</v>
      </c>
      <c r="AZ4602" s="561">
        <f t="shared" si="118"/>
        <v>0</v>
      </c>
      <c r="BA4602" s="561">
        <f t="shared" si="118"/>
        <v>0</v>
      </c>
      <c r="BB4602" s="561">
        <f t="shared" si="118"/>
        <v>43157.332999999999</v>
      </c>
      <c r="BC4602" s="561">
        <f t="shared" si="118"/>
        <v>0</v>
      </c>
      <c r="BD4602" s="561">
        <f t="shared" si="118"/>
        <v>0</v>
      </c>
      <c r="BE4602" s="561">
        <f t="shared" si="118"/>
        <v>0</v>
      </c>
      <c r="BF4602" s="561">
        <f t="shared" si="118"/>
        <v>0</v>
      </c>
      <c r="BG4602" s="561">
        <f t="shared" si="118"/>
        <v>0</v>
      </c>
      <c r="BH4602" s="561">
        <f t="shared" si="118"/>
        <v>0</v>
      </c>
      <c r="BI4602" s="561">
        <f t="shared" si="118"/>
        <v>0</v>
      </c>
      <c r="BJ4602" s="561">
        <f t="shared" si="118"/>
        <v>0</v>
      </c>
      <c r="BK4602" s="561">
        <f t="shared" si="118"/>
        <v>0</v>
      </c>
      <c r="BL4602" s="561">
        <f t="shared" si="118"/>
        <v>0</v>
      </c>
      <c r="BM4602" s="561">
        <f t="shared" si="118"/>
        <v>17029</v>
      </c>
      <c r="BN4602" s="561">
        <f t="shared" si="118"/>
        <v>0</v>
      </c>
      <c r="BO4602" s="561">
        <f t="shared" si="118"/>
        <v>0</v>
      </c>
      <c r="BP4602" s="561">
        <f t="shared" si="118"/>
        <v>0</v>
      </c>
      <c r="BQ4602" s="561">
        <f t="shared" si="118"/>
        <v>0</v>
      </c>
      <c r="BR4602" s="561">
        <f t="shared" si="118"/>
        <v>0</v>
      </c>
      <c r="BS4602" s="561">
        <f t="shared" si="118"/>
        <v>0</v>
      </c>
      <c r="BT4602" s="561">
        <f t="shared" si="118"/>
        <v>0</v>
      </c>
      <c r="BU4602" s="561">
        <f t="shared" si="118"/>
        <v>0</v>
      </c>
      <c r="BV4602" s="561">
        <f t="shared" si="118"/>
        <v>0</v>
      </c>
      <c r="BW4602" s="561">
        <f t="shared" si="118"/>
        <v>0</v>
      </c>
      <c r="BX4602" s="561">
        <f t="shared" si="118"/>
        <v>0</v>
      </c>
      <c r="BY4602" s="561">
        <f t="shared" si="118"/>
        <v>0</v>
      </c>
      <c r="BZ4602" s="561">
        <f t="shared" si="118"/>
        <v>325556.848</v>
      </c>
      <c r="CA4602" s="561">
        <f t="shared" si="118"/>
        <v>0</v>
      </c>
      <c r="CB4602" s="561">
        <f t="shared" si="118"/>
        <v>0</v>
      </c>
      <c r="CC4602" s="561">
        <f t="shared" si="118"/>
        <v>0</v>
      </c>
      <c r="CD4602" s="561">
        <f t="shared" si="118"/>
        <v>0</v>
      </c>
      <c r="CE4602" s="561">
        <f t="shared" si="118"/>
        <v>0</v>
      </c>
      <c r="CF4602" s="561">
        <f t="shared" si="118"/>
        <v>0</v>
      </c>
      <c r="CG4602" s="561">
        <f t="shared" si="118"/>
        <v>0</v>
      </c>
      <c r="CH4602" s="561">
        <f t="shared" si="118"/>
        <v>0</v>
      </c>
      <c r="CI4602" s="561">
        <f t="shared" si="118"/>
        <v>0</v>
      </c>
      <c r="CJ4602" s="561">
        <f t="shared" si="118"/>
        <v>0</v>
      </c>
      <c r="CK4602" s="561">
        <f t="shared" si="118"/>
        <v>0</v>
      </c>
      <c r="CL4602" s="561">
        <f t="shared" si="118"/>
        <v>0</v>
      </c>
      <c r="CM4602" s="561">
        <f t="shared" si="118"/>
        <v>0</v>
      </c>
      <c r="CN4602" s="561">
        <f t="shared" si="118"/>
        <v>0</v>
      </c>
      <c r="CO4602" s="561">
        <f t="shared" si="118"/>
        <v>0</v>
      </c>
      <c r="CP4602" s="561">
        <f t="shared" si="118"/>
        <v>0</v>
      </c>
      <c r="CQ4602" s="561">
        <f t="shared" si="118"/>
        <v>0</v>
      </c>
      <c r="CR4602" s="561">
        <f t="shared" si="118"/>
        <v>0</v>
      </c>
      <c r="CS4602" s="561">
        <f t="shared" si="118"/>
        <v>0</v>
      </c>
      <c r="CT4602" s="561">
        <f t="shared" si="118"/>
        <v>0</v>
      </c>
      <c r="CU4602" s="561">
        <f t="shared" si="118"/>
        <v>0</v>
      </c>
      <c r="CV4602" s="561">
        <f t="shared" si="118"/>
        <v>0</v>
      </c>
      <c r="CW4602" s="561">
        <f t="shared" si="118"/>
        <v>0</v>
      </c>
      <c r="CX4602" s="561">
        <f t="shared" si="118"/>
        <v>0</v>
      </c>
      <c r="CY4602" s="561">
        <f t="shared" ref="CY4602:DG4602" si="119">SUM(CY4603:CY4933)</f>
        <v>0</v>
      </c>
      <c r="CZ4602" s="561">
        <f t="shared" si="119"/>
        <v>0</v>
      </c>
      <c r="DA4602" s="561">
        <f t="shared" si="119"/>
        <v>0</v>
      </c>
      <c r="DB4602" s="561">
        <f t="shared" si="119"/>
        <v>0</v>
      </c>
      <c r="DC4602" s="561">
        <f t="shared" si="119"/>
        <v>0</v>
      </c>
      <c r="DD4602" s="561">
        <f t="shared" si="119"/>
        <v>0</v>
      </c>
      <c r="DE4602" s="561">
        <f t="shared" si="119"/>
        <v>0</v>
      </c>
      <c r="DF4602" s="561">
        <f t="shared" si="119"/>
        <v>0</v>
      </c>
      <c r="DG4602" s="561">
        <f t="shared" si="119"/>
        <v>0</v>
      </c>
    </row>
    <row r="4603" spans="1:111">
      <c r="A4603" s="561">
        <v>1</v>
      </c>
      <c r="B4603" s="561" t="s">
        <v>1569</v>
      </c>
      <c r="C4603" s="561" t="s">
        <v>1196</v>
      </c>
      <c r="D4603" s="561">
        <v>1589717.074</v>
      </c>
      <c r="E4603" s="561">
        <v>404944.5</v>
      </c>
      <c r="F4603" s="561">
        <v>1184772.574</v>
      </c>
      <c r="G4603" s="561">
        <v>19826</v>
      </c>
      <c r="H4603" s="561">
        <v>1860229.6590500004</v>
      </c>
      <c r="I4603" s="561">
        <v>2390</v>
      </c>
      <c r="J4603" s="561">
        <v>110222.85062</v>
      </c>
      <c r="K4603" s="561">
        <v>19247</v>
      </c>
      <c r="L4603" s="561">
        <v>1775731.7860000001</v>
      </c>
      <c r="M4603" s="561">
        <v>1589717.0740000003</v>
      </c>
      <c r="N4603" s="561">
        <v>404944.50000000006</v>
      </c>
      <c r="O4603" s="561">
        <v>0</v>
      </c>
      <c r="P4603" s="561">
        <v>1184772.574</v>
      </c>
    </row>
    <row r="4604" spans="1:111">
      <c r="C4604" s="561" t="s">
        <v>1197</v>
      </c>
      <c r="D4604" s="561">
        <v>1181374</v>
      </c>
      <c r="E4604" s="561">
        <v>310072.5</v>
      </c>
      <c r="F4604" s="561">
        <v>871301.5</v>
      </c>
      <c r="G4604" s="561">
        <v>17347</v>
      </c>
      <c r="H4604" s="561">
        <v>1446322.74679</v>
      </c>
      <c r="I4604" s="561">
        <v>2153</v>
      </c>
      <c r="J4604" s="561">
        <v>100603.67817</v>
      </c>
      <c r="K4604" s="561">
        <v>16778</v>
      </c>
      <c r="L4604" s="561">
        <v>1369424.5959999999</v>
      </c>
      <c r="M4604" s="561">
        <v>1187136.4569999999</v>
      </c>
      <c r="N4604" s="561">
        <v>311163.20899999997</v>
      </c>
      <c r="O4604" s="561">
        <v>0</v>
      </c>
    </row>
    <row r="4605" spans="1:111">
      <c r="C4605" s="561" t="s">
        <v>1198</v>
      </c>
      <c r="D4605" s="561">
        <v>92881</v>
      </c>
      <c r="E4605" s="561">
        <v>14964.3</v>
      </c>
      <c r="F4605" s="561">
        <v>77916.7</v>
      </c>
      <c r="G4605" s="561">
        <v>295</v>
      </c>
      <c r="H4605" s="561">
        <v>98861.61626000001</v>
      </c>
      <c r="I4605" s="561">
        <v>51</v>
      </c>
      <c r="J4605" s="561">
        <v>8586.4409999999989</v>
      </c>
      <c r="K4605" s="561">
        <v>294</v>
      </c>
      <c r="L4605" s="561">
        <v>91118.186000000016</v>
      </c>
      <c r="M4605" s="561">
        <v>90595.578999999998</v>
      </c>
      <c r="N4605" s="561">
        <v>14964.300000000003</v>
      </c>
      <c r="O4605" s="561">
        <v>0</v>
      </c>
    </row>
    <row r="4606" spans="1:111">
      <c r="C4606" s="561" t="s">
        <v>1199</v>
      </c>
      <c r="D4606" s="561">
        <v>300440.24</v>
      </c>
      <c r="E4606" s="561">
        <v>79907.7</v>
      </c>
      <c r="F4606" s="561">
        <v>220532.53999999998</v>
      </c>
      <c r="G4606" s="561">
        <v>2184</v>
      </c>
      <c r="H4606" s="561">
        <v>298511.01500000001</v>
      </c>
      <c r="I4606" s="561">
        <v>186</v>
      </c>
      <c r="J4606" s="561">
        <v>693.1284500000005</v>
      </c>
      <c r="K4606" s="561">
        <v>2175</v>
      </c>
      <c r="L4606" s="561">
        <v>298994.326</v>
      </c>
      <c r="M4606" s="561">
        <v>297903.54800000001</v>
      </c>
      <c r="N4606" s="561">
        <v>78816.990999999965</v>
      </c>
      <c r="O4606" s="561">
        <v>0</v>
      </c>
      <c r="AL4606" s="561">
        <v>219086.557</v>
      </c>
    </row>
    <row r="4607" spans="1:111">
      <c r="C4607" s="561" t="s">
        <v>1202</v>
      </c>
      <c r="D4607" s="561">
        <v>15021.834000000001</v>
      </c>
      <c r="F4607" s="561">
        <v>15021.834000000001</v>
      </c>
      <c r="G4607" s="561">
        <v>0</v>
      </c>
      <c r="H4607" s="561">
        <v>16534.280999999999</v>
      </c>
      <c r="I4607" s="561">
        <v>0</v>
      </c>
      <c r="J4607" s="561">
        <v>339.60300000000001</v>
      </c>
      <c r="K4607" s="561">
        <v>0</v>
      </c>
      <c r="L4607" s="561">
        <v>16194.677999999998</v>
      </c>
      <c r="M4607" s="561">
        <v>14081.489999999998</v>
      </c>
      <c r="N4607" s="561">
        <v>0</v>
      </c>
      <c r="O4607" s="561">
        <v>0</v>
      </c>
      <c r="P4607" s="561">
        <v>14081.489999999998</v>
      </c>
    </row>
    <row r="4608" spans="1:111">
      <c r="A4608" s="561">
        <v>2</v>
      </c>
      <c r="B4608" s="561" t="s">
        <v>1570</v>
      </c>
      <c r="C4608" s="561" t="s">
        <v>1196</v>
      </c>
      <c r="D4608" s="561">
        <v>980526</v>
      </c>
      <c r="E4608" s="561">
        <v>280657.8</v>
      </c>
      <c r="F4608" s="561">
        <v>699868.2</v>
      </c>
      <c r="G4608" s="561">
        <v>14191</v>
      </c>
      <c r="H4608" s="561">
        <v>1055925.6250000002</v>
      </c>
      <c r="I4608" s="561">
        <v>1641</v>
      </c>
      <c r="J4608" s="561">
        <v>89662.722000000009</v>
      </c>
      <c r="K4608" s="561">
        <v>14079</v>
      </c>
      <c r="L4608" s="561">
        <v>992240.7200000002</v>
      </c>
      <c r="M4608" s="561">
        <v>980526</v>
      </c>
      <c r="N4608" s="561">
        <v>280657.79999999993</v>
      </c>
      <c r="O4608" s="561">
        <v>0</v>
      </c>
      <c r="P4608" s="561">
        <v>699868.2</v>
      </c>
    </row>
    <row r="4609" spans="1:54">
      <c r="C4609" s="561" t="s">
        <v>1197</v>
      </c>
      <c r="D4609" s="561">
        <v>842527</v>
      </c>
      <c r="E4609" s="561">
        <v>251258.1</v>
      </c>
      <c r="F4609" s="561">
        <v>591268.9</v>
      </c>
      <c r="G4609" s="561">
        <v>12714</v>
      </c>
      <c r="H4609" s="561">
        <v>911459.08500000008</v>
      </c>
      <c r="I4609" s="561">
        <v>1530</v>
      </c>
      <c r="J4609" s="561">
        <v>74285.100999999995</v>
      </c>
      <c r="K4609" s="561">
        <v>12605</v>
      </c>
      <c r="L4609" s="561">
        <v>859263.27500000014</v>
      </c>
      <c r="M4609" s="561">
        <v>847548.55400000012</v>
      </c>
      <c r="N4609" s="561">
        <v>251258.10100000005</v>
      </c>
      <c r="O4609" s="561">
        <v>0</v>
      </c>
    </row>
    <row r="4610" spans="1:54">
      <c r="C4610" s="561" t="s">
        <v>1198</v>
      </c>
      <c r="D4610" s="561">
        <v>122928</v>
      </c>
      <c r="E4610" s="561">
        <v>24878.400000000001</v>
      </c>
      <c r="F4610" s="561">
        <v>98049.600000000006</v>
      </c>
      <c r="G4610" s="561">
        <v>243</v>
      </c>
      <c r="H4610" s="561">
        <v>128934.857</v>
      </c>
      <c r="I4610" s="561">
        <v>40</v>
      </c>
      <c r="J4610" s="561">
        <v>14864.252</v>
      </c>
      <c r="K4610" s="561">
        <v>241</v>
      </c>
      <c r="L4610" s="561">
        <v>117955.48599999999</v>
      </c>
      <c r="M4610" s="561">
        <v>117955.48599999999</v>
      </c>
      <c r="N4610" s="561">
        <v>24878.399999999998</v>
      </c>
      <c r="O4610" s="561">
        <v>0</v>
      </c>
    </row>
    <row r="4611" spans="1:54">
      <c r="C4611" s="561" t="s">
        <v>1199</v>
      </c>
      <c r="D4611" s="561">
        <v>15071</v>
      </c>
      <c r="E4611" s="561">
        <v>4521.2999999999811</v>
      </c>
      <c r="F4611" s="561">
        <v>10549.700000000019</v>
      </c>
      <c r="G4611" s="561">
        <v>1234</v>
      </c>
      <c r="H4611" s="561">
        <v>15531.683000000012</v>
      </c>
      <c r="I4611" s="561">
        <v>71</v>
      </c>
      <c r="J4611" s="561">
        <v>513.36900000000048</v>
      </c>
      <c r="K4611" s="561">
        <v>1233</v>
      </c>
      <c r="L4611" s="561">
        <v>15021.958999999999</v>
      </c>
      <c r="M4611" s="561">
        <v>15021.96</v>
      </c>
      <c r="N4611" s="561">
        <v>4521.2989999999991</v>
      </c>
      <c r="O4611" s="561">
        <v>0</v>
      </c>
      <c r="AL4611" s="561">
        <v>10500.661</v>
      </c>
    </row>
    <row r="4612" spans="1:54">
      <c r="A4612" s="561">
        <v>3</v>
      </c>
      <c r="B4612" s="561" t="s">
        <v>1571</v>
      </c>
      <c r="C4612" s="561" t="s">
        <v>1196</v>
      </c>
      <c r="D4612" s="561">
        <v>627458</v>
      </c>
      <c r="E4612" s="561">
        <v>188627.4</v>
      </c>
      <c r="F4612" s="561">
        <v>438830.6</v>
      </c>
      <c r="G4612" s="561">
        <v>10374</v>
      </c>
      <c r="H4612" s="561">
        <v>663088.85123000003</v>
      </c>
      <c r="I4612" s="561">
        <v>989</v>
      </c>
      <c r="J4612" s="561">
        <v>35025.348670000007</v>
      </c>
      <c r="K4612" s="561">
        <v>10333</v>
      </c>
      <c r="L4612" s="561">
        <v>632701.59314999997</v>
      </c>
      <c r="M4612" s="561">
        <v>627458</v>
      </c>
      <c r="N4612" s="561">
        <v>188627.40000000002</v>
      </c>
      <c r="O4612" s="561">
        <v>0</v>
      </c>
      <c r="P4612" s="561">
        <v>438830.60000000003</v>
      </c>
    </row>
    <row r="4613" spans="1:54">
      <c r="C4613" s="561" t="s">
        <v>1197</v>
      </c>
      <c r="D4613" s="561">
        <v>607615</v>
      </c>
      <c r="E4613" s="561">
        <v>185734.5</v>
      </c>
      <c r="F4613" s="561">
        <v>421880.5</v>
      </c>
      <c r="G4613" s="561">
        <v>9736</v>
      </c>
      <c r="H4613" s="561">
        <v>640607.36100000003</v>
      </c>
      <c r="I4613" s="561">
        <v>937</v>
      </c>
      <c r="J4613" s="561">
        <v>32290.072000000004</v>
      </c>
      <c r="K4613" s="561">
        <v>9701</v>
      </c>
      <c r="L4613" s="561">
        <v>612157.92000000004</v>
      </c>
      <c r="M4613" s="561">
        <v>606914.32699999993</v>
      </c>
      <c r="N4613" s="561">
        <v>185734.50000000003</v>
      </c>
      <c r="O4613" s="561">
        <v>0</v>
      </c>
    </row>
    <row r="4614" spans="1:54">
      <c r="C4614" s="561" t="s">
        <v>1198</v>
      </c>
      <c r="D4614" s="561">
        <v>12466</v>
      </c>
      <c r="E4614" s="561">
        <v>1189.8</v>
      </c>
      <c r="F4614" s="561">
        <v>11276.2</v>
      </c>
      <c r="G4614" s="561">
        <v>36</v>
      </c>
      <c r="H4614" s="561">
        <v>14733.450750000002</v>
      </c>
      <c r="I4614" s="561">
        <v>7</v>
      </c>
      <c r="J4614" s="561">
        <v>2554.0370000000003</v>
      </c>
      <c r="K4614" s="561">
        <v>32</v>
      </c>
      <c r="L4614" s="561">
        <v>12976.379000000001</v>
      </c>
      <c r="M4614" s="561">
        <v>12976.379000000001</v>
      </c>
      <c r="N4614" s="561">
        <v>1189.8000000000004</v>
      </c>
      <c r="O4614" s="561">
        <v>0</v>
      </c>
    </row>
    <row r="4615" spans="1:54">
      <c r="C4615" s="561" t="s">
        <v>1199</v>
      </c>
      <c r="D4615" s="561">
        <v>7377</v>
      </c>
      <c r="E4615" s="561">
        <v>1703.0999999999942</v>
      </c>
      <c r="F4615" s="561">
        <v>5673.900000000006</v>
      </c>
      <c r="G4615" s="561">
        <v>602</v>
      </c>
      <c r="H4615" s="561">
        <v>7748.0394800000131</v>
      </c>
      <c r="I4615" s="561">
        <v>45</v>
      </c>
      <c r="J4615" s="561">
        <v>181.23967000000025</v>
      </c>
      <c r="K4615" s="561">
        <v>600</v>
      </c>
      <c r="L4615" s="561">
        <v>7567.2941499999997</v>
      </c>
      <c r="M4615" s="561">
        <v>7567.2939999999999</v>
      </c>
      <c r="N4615" s="561">
        <v>1703.0999999999997</v>
      </c>
      <c r="O4615" s="561">
        <v>0</v>
      </c>
      <c r="AL4615" s="561">
        <v>5864.1939999999995</v>
      </c>
    </row>
    <row r="4616" spans="1:54">
      <c r="A4616" s="561">
        <v>4</v>
      </c>
      <c r="B4616" s="561" t="s">
        <v>1572</v>
      </c>
      <c r="C4616" s="561" t="s">
        <v>1196</v>
      </c>
      <c r="D4616" s="561">
        <v>100587</v>
      </c>
      <c r="E4616" s="561">
        <v>29576.1</v>
      </c>
      <c r="F4616" s="561">
        <v>71010.899999999994</v>
      </c>
      <c r="G4616" s="561">
        <v>2629</v>
      </c>
      <c r="H4616" s="561">
        <v>102437.74519999999</v>
      </c>
      <c r="I4616" s="561">
        <v>78</v>
      </c>
      <c r="J4616" s="561">
        <v>980.71146999999996</v>
      </c>
      <c r="K4616" s="561">
        <v>2629</v>
      </c>
      <c r="L4616" s="561">
        <v>101457.02800000001</v>
      </c>
      <c r="M4616" s="561">
        <v>100587.00000000001</v>
      </c>
      <c r="N4616" s="561">
        <v>29576.100000000002</v>
      </c>
      <c r="O4616" s="561">
        <v>0</v>
      </c>
      <c r="P4616" s="561">
        <v>71010.900000000009</v>
      </c>
    </row>
    <row r="4617" spans="1:54">
      <c r="C4617" s="561" t="s">
        <v>1197</v>
      </c>
      <c r="D4617" s="561">
        <v>82576</v>
      </c>
      <c r="E4617" s="561">
        <v>24772.799999999999</v>
      </c>
      <c r="F4617" s="561">
        <v>57803.199999999997</v>
      </c>
      <c r="G4617" s="561">
        <v>1291</v>
      </c>
      <c r="H4617" s="561">
        <v>84147.65300000002</v>
      </c>
      <c r="I4617" s="561">
        <v>33</v>
      </c>
      <c r="J4617" s="561">
        <v>700.72699999999986</v>
      </c>
      <c r="K4617" s="561">
        <v>1291</v>
      </c>
      <c r="L4617" s="561">
        <v>83446.92300000001</v>
      </c>
      <c r="M4617" s="561">
        <v>82576.895000000004</v>
      </c>
      <c r="N4617" s="561">
        <v>24772.799999999999</v>
      </c>
      <c r="O4617" s="561">
        <v>0</v>
      </c>
    </row>
    <row r="4618" spans="1:54">
      <c r="C4618" s="561" t="s">
        <v>1198</v>
      </c>
      <c r="D4618" s="561">
        <v>0</v>
      </c>
      <c r="E4618" s="561">
        <v>0</v>
      </c>
      <c r="F4618" s="561">
        <v>0</v>
      </c>
      <c r="G4618" s="561">
        <v>0</v>
      </c>
      <c r="H4618" s="561">
        <v>0</v>
      </c>
      <c r="I4618" s="561">
        <v>0</v>
      </c>
      <c r="J4618" s="561">
        <v>0</v>
      </c>
      <c r="K4618" s="561">
        <v>0</v>
      </c>
      <c r="L4618" s="561">
        <v>0</v>
      </c>
      <c r="M4618" s="561">
        <v>0</v>
      </c>
      <c r="N4618" s="561">
        <v>0</v>
      </c>
      <c r="O4618" s="561">
        <v>0</v>
      </c>
      <c r="P4618" s="561">
        <v>0</v>
      </c>
    </row>
    <row r="4619" spans="1:54">
      <c r="C4619" s="561" t="s">
        <v>1199</v>
      </c>
      <c r="D4619" s="561">
        <v>18011</v>
      </c>
      <c r="E4619" s="561">
        <v>4803.2999999999993</v>
      </c>
      <c r="F4619" s="561">
        <v>13207.7</v>
      </c>
      <c r="G4619" s="561">
        <v>1338</v>
      </c>
      <c r="H4619" s="561">
        <v>18290.092199999999</v>
      </c>
      <c r="I4619" s="561">
        <v>45</v>
      </c>
      <c r="J4619" s="561">
        <v>279.9844700000001</v>
      </c>
      <c r="K4619" s="561">
        <v>1338</v>
      </c>
      <c r="L4619" s="561">
        <v>18010.105</v>
      </c>
      <c r="M4619" s="561">
        <v>18010.105</v>
      </c>
      <c r="N4619" s="561">
        <v>4803.2999999999993</v>
      </c>
      <c r="O4619" s="561">
        <v>0</v>
      </c>
      <c r="AY4619" s="561">
        <v>13206.805</v>
      </c>
    </row>
    <row r="4620" spans="1:54">
      <c r="A4620" s="561">
        <v>5</v>
      </c>
      <c r="B4620" s="561" t="s">
        <v>1573</v>
      </c>
      <c r="C4620" s="561" t="s">
        <v>1196</v>
      </c>
      <c r="D4620" s="561">
        <v>624340</v>
      </c>
      <c r="E4620" s="561">
        <v>167802</v>
      </c>
      <c r="F4620" s="561">
        <v>456538</v>
      </c>
      <c r="G4620" s="561">
        <v>9272</v>
      </c>
      <c r="H4620" s="561">
        <v>661263.65083000006</v>
      </c>
      <c r="I4620" s="561">
        <v>1086</v>
      </c>
      <c r="J4620" s="561">
        <v>52184.990830000002</v>
      </c>
      <c r="K4620" s="561">
        <v>9203</v>
      </c>
      <c r="L4620" s="561">
        <v>627612.2570000001</v>
      </c>
      <c r="M4620" s="561">
        <v>624340</v>
      </c>
      <c r="N4620" s="561">
        <v>167801.99999999997</v>
      </c>
      <c r="O4620" s="561">
        <v>0</v>
      </c>
      <c r="P4620" s="561">
        <v>456538</v>
      </c>
    </row>
    <row r="4621" spans="1:54">
      <c r="C4621" s="561" t="s">
        <v>1197</v>
      </c>
      <c r="D4621" s="561">
        <v>617624</v>
      </c>
      <c r="E4621" s="561">
        <v>166087.20000000001</v>
      </c>
      <c r="F4621" s="561">
        <v>451536.8</v>
      </c>
      <c r="G4621" s="561">
        <v>8653</v>
      </c>
      <c r="H4621" s="561">
        <v>653979.77400000009</v>
      </c>
      <c r="I4621" s="561">
        <v>945</v>
      </c>
      <c r="J4621" s="561">
        <v>39509.51</v>
      </c>
      <c r="K4621" s="561">
        <v>8586</v>
      </c>
      <c r="L4621" s="561">
        <v>620701.17600000009</v>
      </c>
      <c r="M4621" s="561">
        <v>617428.91899999999</v>
      </c>
      <c r="N4621" s="561">
        <v>166087.19999999998</v>
      </c>
      <c r="O4621" s="561">
        <v>0</v>
      </c>
    </row>
    <row r="4622" spans="1:54">
      <c r="C4622" s="561" t="s">
        <v>1198</v>
      </c>
      <c r="D4622" s="561">
        <v>0</v>
      </c>
      <c r="E4622" s="561">
        <v>0</v>
      </c>
      <c r="F4622" s="561">
        <v>0</v>
      </c>
      <c r="G4622" s="561">
        <v>0</v>
      </c>
      <c r="H4622" s="561">
        <v>0</v>
      </c>
      <c r="I4622" s="561">
        <v>0</v>
      </c>
      <c r="J4622" s="561">
        <v>0</v>
      </c>
      <c r="K4622" s="561">
        <v>0</v>
      </c>
      <c r="L4622" s="561">
        <v>0</v>
      </c>
      <c r="M4622" s="561">
        <v>0</v>
      </c>
      <c r="N4622" s="561">
        <v>0</v>
      </c>
      <c r="O4622" s="561">
        <v>0</v>
      </c>
      <c r="P4622" s="561">
        <v>0</v>
      </c>
    </row>
    <row r="4623" spans="1:54">
      <c r="C4623" s="561" t="s">
        <v>1199</v>
      </c>
      <c r="D4623" s="561">
        <v>6716</v>
      </c>
      <c r="E4623" s="561">
        <v>1714.7999999999884</v>
      </c>
      <c r="F4623" s="561">
        <v>5001.2000000000116</v>
      </c>
      <c r="G4623" s="561">
        <v>619</v>
      </c>
      <c r="H4623" s="561">
        <v>7283.8768299999929</v>
      </c>
      <c r="I4623" s="561">
        <v>141</v>
      </c>
      <c r="J4623" s="561">
        <v>12675.48083</v>
      </c>
      <c r="K4623" s="561">
        <v>617</v>
      </c>
      <c r="L4623" s="561">
        <v>6911.0810000000001</v>
      </c>
      <c r="M4623" s="561">
        <v>6911.0809999999992</v>
      </c>
      <c r="N4623" s="561">
        <v>1714.8</v>
      </c>
      <c r="O4623" s="561">
        <v>0</v>
      </c>
      <c r="BB4623" s="561">
        <v>5196.2809999999999</v>
      </c>
    </row>
    <row r="4624" spans="1:54">
      <c r="A4624" s="561">
        <v>6</v>
      </c>
      <c r="B4624" s="561" t="s">
        <v>1574</v>
      </c>
      <c r="C4624" s="561" t="s">
        <v>1196</v>
      </c>
      <c r="D4624" s="561">
        <v>1227444.845</v>
      </c>
      <c r="E4624" s="561">
        <v>236550</v>
      </c>
      <c r="F4624" s="561">
        <v>990894.84499999997</v>
      </c>
      <c r="G4624" s="561">
        <v>7251</v>
      </c>
      <c r="H4624" s="561">
        <v>1271160.5670799999</v>
      </c>
      <c r="I4624" s="561">
        <v>534</v>
      </c>
      <c r="J4624" s="561">
        <v>28588.721599999997</v>
      </c>
      <c r="K4624" s="561">
        <v>7229</v>
      </c>
      <c r="L4624" s="561">
        <v>1237722.686</v>
      </c>
      <c r="M4624" s="561">
        <v>1227444.845</v>
      </c>
      <c r="N4624" s="561">
        <v>236550</v>
      </c>
      <c r="O4624" s="561">
        <v>0</v>
      </c>
      <c r="P4624" s="561">
        <v>990894.84499999997</v>
      </c>
    </row>
    <row r="4625" spans="1:50">
      <c r="C4625" s="561" t="s">
        <v>1197</v>
      </c>
      <c r="D4625" s="561">
        <v>393845</v>
      </c>
      <c r="E4625" s="561">
        <v>175476</v>
      </c>
      <c r="F4625" s="561">
        <v>218369</v>
      </c>
      <c r="G4625" s="561">
        <v>4112</v>
      </c>
      <c r="H4625" s="561">
        <v>420108.49601000006</v>
      </c>
      <c r="I4625" s="561">
        <v>345</v>
      </c>
      <c r="J4625" s="561">
        <v>16087.271999999997</v>
      </c>
      <c r="K4625" s="561">
        <v>4097</v>
      </c>
      <c r="L4625" s="561">
        <v>407481.33299999998</v>
      </c>
      <c r="M4625" s="561">
        <v>398491.41700000002</v>
      </c>
      <c r="N4625" s="561">
        <v>175476</v>
      </c>
      <c r="O4625" s="561">
        <v>0</v>
      </c>
    </row>
    <row r="4626" spans="1:50">
      <c r="C4626" s="561" t="s">
        <v>1198</v>
      </c>
      <c r="D4626" s="561">
        <v>777073</v>
      </c>
      <c r="E4626" s="561">
        <v>56721.599999999999</v>
      </c>
      <c r="F4626" s="561">
        <v>720351.4</v>
      </c>
      <c r="G4626" s="561">
        <v>1580</v>
      </c>
      <c r="H4626" s="561">
        <v>779757.52361000003</v>
      </c>
      <c r="I4626" s="561">
        <v>108</v>
      </c>
      <c r="J4626" s="561">
        <v>11537.310000000001</v>
      </c>
      <c r="K4626" s="561">
        <v>1577</v>
      </c>
      <c r="L4626" s="561">
        <v>772910.94799999997</v>
      </c>
      <c r="M4626" s="561">
        <v>772910.94800000009</v>
      </c>
      <c r="N4626" s="561">
        <v>56721.599999999962</v>
      </c>
      <c r="O4626" s="561">
        <v>0</v>
      </c>
    </row>
    <row r="4627" spans="1:50">
      <c r="C4627" s="561" t="s">
        <v>1199</v>
      </c>
      <c r="D4627" s="561">
        <v>47508</v>
      </c>
      <c r="E4627" s="561">
        <v>4352.4000000000015</v>
      </c>
      <c r="F4627" s="561">
        <v>43155.6</v>
      </c>
      <c r="G4627" s="561">
        <v>1559</v>
      </c>
      <c r="H4627" s="561">
        <v>49252.058460000007</v>
      </c>
      <c r="I4627" s="561">
        <v>81</v>
      </c>
      <c r="J4627" s="561">
        <v>790.93160000000023</v>
      </c>
      <c r="K4627" s="561">
        <v>1555</v>
      </c>
      <c r="L4627" s="561">
        <v>48461.123999999996</v>
      </c>
      <c r="M4627" s="561">
        <v>48461.123999999996</v>
      </c>
      <c r="N4627" s="561">
        <v>4352.3999999999978</v>
      </c>
      <c r="O4627" s="561">
        <v>0</v>
      </c>
      <c r="AR4627" s="561">
        <v>44108.723999999995</v>
      </c>
    </row>
    <row r="4628" spans="1:50">
      <c r="C4628" s="561" t="s">
        <v>1202</v>
      </c>
      <c r="D4628" s="561">
        <v>9018.8449999999993</v>
      </c>
      <c r="F4628" s="561">
        <v>9018.8449999999993</v>
      </c>
      <c r="G4628" s="561">
        <v>0</v>
      </c>
      <c r="H4628" s="561">
        <v>22042.489000000001</v>
      </c>
      <c r="I4628" s="561">
        <v>0</v>
      </c>
      <c r="J4628" s="561">
        <v>173.208</v>
      </c>
      <c r="L4628" s="561">
        <v>8869.280999999999</v>
      </c>
      <c r="M4628" s="561">
        <v>7581.3559999999998</v>
      </c>
      <c r="N4628" s="561">
        <v>0</v>
      </c>
      <c r="O4628" s="561">
        <v>0</v>
      </c>
      <c r="P4628" s="561">
        <v>7581.3559999999998</v>
      </c>
    </row>
    <row r="4629" spans="1:50">
      <c r="A4629" s="561">
        <v>7</v>
      </c>
      <c r="B4629" s="561" t="s">
        <v>1575</v>
      </c>
      <c r="C4629" s="561" t="s">
        <v>1196</v>
      </c>
      <c r="D4629" s="561">
        <v>2375135</v>
      </c>
      <c r="E4629" s="561">
        <v>551642.69999999995</v>
      </c>
      <c r="F4629" s="561">
        <v>1823492.3</v>
      </c>
      <c r="G4629" s="561">
        <v>4906</v>
      </c>
      <c r="H4629" s="561">
        <v>2473717.1323399995</v>
      </c>
      <c r="I4629" s="561">
        <v>798</v>
      </c>
      <c r="J4629" s="561">
        <v>206145.92672000002</v>
      </c>
      <c r="K4629" s="561">
        <v>4879</v>
      </c>
      <c r="L4629" s="561">
        <v>2386649.3560199998</v>
      </c>
      <c r="M4629" s="561">
        <v>2375134.9999999995</v>
      </c>
      <c r="N4629" s="561">
        <v>551642.70100000012</v>
      </c>
      <c r="O4629" s="561">
        <v>0</v>
      </c>
      <c r="P4629" s="561">
        <v>1823492.2990000001</v>
      </c>
    </row>
    <row r="4630" spans="1:50">
      <c r="C4630" s="561" t="s">
        <v>1197</v>
      </c>
      <c r="D4630" s="561">
        <v>601448</v>
      </c>
      <c r="E4630" s="561">
        <v>334634.40000000002</v>
      </c>
      <c r="F4630" s="561">
        <v>266813.59999999998</v>
      </c>
      <c r="G4630" s="561">
        <v>3069</v>
      </c>
      <c r="H4630" s="561">
        <v>656457.26494999987</v>
      </c>
      <c r="I4630" s="561">
        <v>556</v>
      </c>
      <c r="J4630" s="561">
        <v>62633.14</v>
      </c>
      <c r="K4630" s="561">
        <v>3041</v>
      </c>
      <c r="L4630" s="561">
        <v>613969.58928000019</v>
      </c>
      <c r="M4630" s="561">
        <v>603322.32999999996</v>
      </c>
      <c r="N4630" s="561">
        <v>334634.39999999997</v>
      </c>
      <c r="O4630" s="561">
        <v>0</v>
      </c>
    </row>
    <row r="4631" spans="1:50">
      <c r="C4631" s="561" t="s">
        <v>1198</v>
      </c>
      <c r="D4631" s="561">
        <v>1770625</v>
      </c>
      <c r="E4631" s="561">
        <v>215459.7</v>
      </c>
      <c r="F4631" s="561">
        <v>1555165.3</v>
      </c>
      <c r="G4631" s="561">
        <v>1671</v>
      </c>
      <c r="H4631" s="561">
        <v>1814078.3208299996</v>
      </c>
      <c r="I4631" s="561">
        <v>233</v>
      </c>
      <c r="J4631" s="561">
        <v>143447.15700000001</v>
      </c>
      <c r="K4631" s="561">
        <v>1673</v>
      </c>
      <c r="L4631" s="561">
        <v>1769563.8507399997</v>
      </c>
      <c r="M4631" s="561">
        <v>1768696.754</v>
      </c>
      <c r="N4631" s="561">
        <v>215459.7</v>
      </c>
      <c r="O4631" s="561">
        <v>0</v>
      </c>
    </row>
    <row r="4632" spans="1:50">
      <c r="C4632" s="561" t="s">
        <v>1199</v>
      </c>
      <c r="D4632" s="561">
        <v>3062</v>
      </c>
      <c r="E4632" s="561">
        <v>1548.5999999999185</v>
      </c>
      <c r="F4632" s="561">
        <v>1513.4000000000815</v>
      </c>
      <c r="G4632" s="561">
        <v>166</v>
      </c>
      <c r="H4632" s="561">
        <v>3181.546559999962</v>
      </c>
      <c r="I4632" s="561">
        <v>9</v>
      </c>
      <c r="J4632" s="561">
        <v>65.629719999997377</v>
      </c>
      <c r="K4632" s="561">
        <v>165</v>
      </c>
      <c r="L4632" s="561">
        <v>3115.9159999999997</v>
      </c>
      <c r="M4632" s="561">
        <v>3115.9160000000002</v>
      </c>
      <c r="N4632" s="561">
        <v>1548.6010000000001</v>
      </c>
      <c r="O4632" s="561">
        <v>0</v>
      </c>
      <c r="AX4632" s="561">
        <v>1567.3150000000001</v>
      </c>
    </row>
    <row r="4633" spans="1:50">
      <c r="A4633" s="561">
        <v>8</v>
      </c>
      <c r="B4633" s="561" t="s">
        <v>1576</v>
      </c>
      <c r="C4633" s="561" t="s">
        <v>1196</v>
      </c>
      <c r="D4633" s="561">
        <v>105094</v>
      </c>
      <c r="E4633" s="561">
        <v>31528.2</v>
      </c>
      <c r="F4633" s="561">
        <v>73565.8</v>
      </c>
      <c r="G4633" s="561">
        <v>2025</v>
      </c>
      <c r="H4633" s="561">
        <v>106278.95319000001</v>
      </c>
      <c r="I4633" s="561">
        <v>83</v>
      </c>
      <c r="J4633" s="561">
        <v>1070.4378099999994</v>
      </c>
      <c r="K4633" s="561">
        <v>2024</v>
      </c>
      <c r="L4633" s="561">
        <v>105273.37300000001</v>
      </c>
      <c r="M4633" s="561">
        <v>105094</v>
      </c>
      <c r="N4633" s="561">
        <v>31528.200000000004</v>
      </c>
      <c r="O4633" s="561">
        <v>0</v>
      </c>
      <c r="P4633" s="561">
        <v>73565.8</v>
      </c>
    </row>
    <row r="4634" spans="1:50">
      <c r="C4634" s="561" t="s">
        <v>1197</v>
      </c>
      <c r="D4634" s="561">
        <v>93779</v>
      </c>
      <c r="E4634" s="561">
        <v>28493.7</v>
      </c>
      <c r="F4634" s="561">
        <v>65285.3</v>
      </c>
      <c r="G4634" s="561">
        <v>1341</v>
      </c>
      <c r="H4634" s="561">
        <v>94510.32680000001</v>
      </c>
      <c r="I4634" s="561">
        <v>23</v>
      </c>
      <c r="J4634" s="561">
        <v>755.46999999999935</v>
      </c>
      <c r="K4634" s="561">
        <v>1340</v>
      </c>
      <c r="L4634" s="561">
        <v>93819.716</v>
      </c>
      <c r="M4634" s="561">
        <v>93640.343000000008</v>
      </c>
      <c r="N4634" s="561">
        <v>28493.7</v>
      </c>
      <c r="O4634" s="561">
        <v>0</v>
      </c>
    </row>
    <row r="4635" spans="1:50">
      <c r="C4635" s="561" t="s">
        <v>1198</v>
      </c>
      <c r="D4635" s="561">
        <v>0</v>
      </c>
      <c r="E4635" s="561">
        <v>0</v>
      </c>
      <c r="F4635" s="561">
        <v>0</v>
      </c>
      <c r="G4635" s="561">
        <v>0</v>
      </c>
      <c r="H4635" s="561">
        <v>0</v>
      </c>
      <c r="I4635" s="561">
        <v>0</v>
      </c>
      <c r="J4635" s="561">
        <v>0</v>
      </c>
      <c r="K4635" s="561">
        <v>0</v>
      </c>
      <c r="L4635" s="561">
        <v>0</v>
      </c>
      <c r="M4635" s="561">
        <v>0</v>
      </c>
      <c r="N4635" s="561">
        <v>0</v>
      </c>
      <c r="O4635" s="561">
        <v>0</v>
      </c>
      <c r="P4635" s="561">
        <v>0</v>
      </c>
    </row>
    <row r="4636" spans="1:50">
      <c r="C4636" s="561" t="s">
        <v>1199</v>
      </c>
      <c r="D4636" s="561">
        <v>11315</v>
      </c>
      <c r="E4636" s="561">
        <v>3034.5</v>
      </c>
      <c r="F4636" s="561">
        <v>8280.5</v>
      </c>
      <c r="G4636" s="561">
        <v>684</v>
      </c>
      <c r="H4636" s="561">
        <v>11768.626390000001</v>
      </c>
      <c r="I4636" s="561">
        <v>60</v>
      </c>
      <c r="J4636" s="561">
        <v>314.96780999999999</v>
      </c>
      <c r="K4636" s="561">
        <v>684</v>
      </c>
      <c r="L4636" s="561">
        <v>11453.657000000001</v>
      </c>
      <c r="M4636" s="561">
        <v>11453.657000000001</v>
      </c>
      <c r="N4636" s="561">
        <v>3034.5</v>
      </c>
      <c r="O4636" s="561">
        <v>0</v>
      </c>
      <c r="AL4636" s="561">
        <v>8419.1570000000011</v>
      </c>
    </row>
    <row r="4637" spans="1:50">
      <c r="A4637" s="561">
        <v>9</v>
      </c>
      <c r="B4637" s="561" t="s">
        <v>1577</v>
      </c>
      <c r="C4637" s="561" t="s">
        <v>1196</v>
      </c>
      <c r="D4637" s="561">
        <v>596862.16399999999</v>
      </c>
      <c r="E4637" s="561">
        <v>172059</v>
      </c>
      <c r="F4637" s="561">
        <v>424803.16399999999</v>
      </c>
      <c r="G4637" s="561">
        <v>11525</v>
      </c>
      <c r="H4637" s="561">
        <v>621615.98739999998</v>
      </c>
      <c r="I4637" s="561">
        <v>998</v>
      </c>
      <c r="J4637" s="561">
        <v>61563.191940000004</v>
      </c>
      <c r="K4637" s="561">
        <v>11448</v>
      </c>
      <c r="L4637" s="561">
        <v>597745.38955999992</v>
      </c>
      <c r="M4637" s="561">
        <v>596862.16399999999</v>
      </c>
      <c r="N4637" s="561">
        <v>172059</v>
      </c>
      <c r="O4637" s="561">
        <v>0</v>
      </c>
      <c r="P4637" s="561">
        <v>424803.16399999999</v>
      </c>
    </row>
    <row r="4638" spans="1:50">
      <c r="C4638" s="561" t="s">
        <v>1197</v>
      </c>
      <c r="D4638" s="561">
        <v>479208</v>
      </c>
      <c r="E4638" s="561">
        <v>149162.4</v>
      </c>
      <c r="F4638" s="561">
        <v>330045.59999999998</v>
      </c>
      <c r="G4638" s="561">
        <v>6683</v>
      </c>
      <c r="H4638" s="561">
        <v>500936.13999999996</v>
      </c>
      <c r="I4638" s="561">
        <v>857</v>
      </c>
      <c r="J4638" s="561">
        <v>57665.001000000004</v>
      </c>
      <c r="K4638" s="561">
        <v>6611</v>
      </c>
      <c r="L4638" s="561">
        <v>480071.02048000001</v>
      </c>
      <c r="M4638" s="561">
        <v>479978.51699999999</v>
      </c>
      <c r="N4638" s="561">
        <v>149162.4</v>
      </c>
      <c r="O4638" s="561">
        <v>0</v>
      </c>
    </row>
    <row r="4639" spans="1:50">
      <c r="C4639" s="561" t="s">
        <v>1198</v>
      </c>
      <c r="D4639" s="561">
        <v>42575</v>
      </c>
      <c r="E4639" s="561">
        <v>9172.5</v>
      </c>
      <c r="F4639" s="561">
        <v>33402.5</v>
      </c>
      <c r="G4639" s="561">
        <v>92</v>
      </c>
      <c r="H4639" s="561">
        <v>44684.731</v>
      </c>
      <c r="I4639" s="561">
        <v>5</v>
      </c>
      <c r="J4639" s="561">
        <v>2701.1865399999997</v>
      </c>
      <c r="K4639" s="561">
        <v>91</v>
      </c>
      <c r="L4639" s="561">
        <v>42876.262620000001</v>
      </c>
      <c r="M4639" s="561">
        <v>42876.262999999999</v>
      </c>
      <c r="N4639" s="561">
        <v>9172.4999999999982</v>
      </c>
      <c r="O4639" s="561">
        <v>0</v>
      </c>
    </row>
    <row r="4640" spans="1:50">
      <c r="C4640" s="561" t="s">
        <v>1199</v>
      </c>
      <c r="D4640" s="561">
        <v>62747</v>
      </c>
      <c r="E4640" s="561">
        <v>13724.100000000006</v>
      </c>
      <c r="F4640" s="561">
        <v>49022.899999999994</v>
      </c>
      <c r="G4640" s="561">
        <v>4750</v>
      </c>
      <c r="H4640" s="561">
        <v>65298.7114</v>
      </c>
      <c r="I4640" s="561">
        <v>136</v>
      </c>
      <c r="J4640" s="561">
        <v>1197.0044</v>
      </c>
      <c r="K4640" s="561">
        <v>4746</v>
      </c>
      <c r="L4640" s="561">
        <v>64101.700459999993</v>
      </c>
      <c r="M4640" s="561">
        <v>64101.7</v>
      </c>
      <c r="N4640" s="561">
        <v>13724.099999999995</v>
      </c>
      <c r="O4640" s="561">
        <v>0</v>
      </c>
      <c r="AL4640" s="561">
        <v>50377.599999999999</v>
      </c>
    </row>
    <row r="4641" spans="1:54">
      <c r="C4641" s="561" t="s">
        <v>1202</v>
      </c>
      <c r="D4641" s="561">
        <v>12332.164000000001</v>
      </c>
      <c r="F4641" s="561">
        <v>12332.164000000001</v>
      </c>
      <c r="G4641" s="561">
        <v>0</v>
      </c>
      <c r="H4641" s="561">
        <v>10696.404999999999</v>
      </c>
      <c r="I4641" s="561">
        <v>0</v>
      </c>
      <c r="J4641" s="561">
        <v>0</v>
      </c>
      <c r="K4641" s="561">
        <v>0</v>
      </c>
      <c r="L4641" s="561">
        <v>10696.405999999999</v>
      </c>
      <c r="M4641" s="561">
        <v>9905.6839999999993</v>
      </c>
      <c r="N4641" s="561">
        <v>0</v>
      </c>
      <c r="O4641" s="561">
        <v>0</v>
      </c>
      <c r="P4641" s="561">
        <v>9905.6839999999993</v>
      </c>
    </row>
    <row r="4642" spans="1:54">
      <c r="A4642" s="561">
        <v>10</v>
      </c>
      <c r="B4642" s="561" t="s">
        <v>1578</v>
      </c>
      <c r="C4642" s="561" t="s">
        <v>1196</v>
      </c>
      <c r="D4642" s="561">
        <v>332246</v>
      </c>
      <c r="E4642" s="561">
        <v>98023.8</v>
      </c>
      <c r="F4642" s="561">
        <v>234222.2</v>
      </c>
      <c r="G4642" s="561">
        <v>6719</v>
      </c>
      <c r="H4642" s="561">
        <v>340393.56698</v>
      </c>
      <c r="I4642" s="561">
        <v>316</v>
      </c>
      <c r="J4642" s="561">
        <v>7066.6890600000006</v>
      </c>
      <c r="K4642" s="561">
        <v>6706</v>
      </c>
      <c r="L4642" s="561">
        <v>333548.53399999993</v>
      </c>
      <c r="M4642" s="561">
        <v>332246</v>
      </c>
      <c r="N4642" s="561">
        <v>98023.799999999988</v>
      </c>
      <c r="O4642" s="561">
        <v>0</v>
      </c>
      <c r="P4642" s="561">
        <v>234222.19999999998</v>
      </c>
    </row>
    <row r="4643" spans="1:54">
      <c r="C4643" s="561" t="s">
        <v>1197</v>
      </c>
      <c r="D4643" s="561">
        <v>327478</v>
      </c>
      <c r="E4643" s="561">
        <v>96593.4</v>
      </c>
      <c r="F4643" s="561">
        <v>230884.6</v>
      </c>
      <c r="G4643" s="561">
        <v>6295</v>
      </c>
      <c r="H4643" s="561">
        <v>335625.94100000005</v>
      </c>
      <c r="I4643" s="561">
        <v>312</v>
      </c>
      <c r="J4643" s="561">
        <v>7053.2936800000007</v>
      </c>
      <c r="K4643" s="561">
        <v>6282</v>
      </c>
      <c r="L4643" s="561">
        <v>328793.43499999994</v>
      </c>
      <c r="M4643" s="561">
        <v>327490.90000000002</v>
      </c>
      <c r="N4643" s="561">
        <v>96593.400000000009</v>
      </c>
      <c r="O4643" s="561">
        <v>0</v>
      </c>
    </row>
    <row r="4644" spans="1:54">
      <c r="C4644" s="561" t="s">
        <v>1198</v>
      </c>
      <c r="D4644" s="561">
        <v>0</v>
      </c>
      <c r="E4644" s="561">
        <v>0</v>
      </c>
      <c r="F4644" s="561">
        <v>0</v>
      </c>
      <c r="G4644" s="561">
        <v>0</v>
      </c>
      <c r="H4644" s="561">
        <v>0</v>
      </c>
      <c r="I4644" s="561">
        <v>0</v>
      </c>
      <c r="J4644" s="561">
        <v>0</v>
      </c>
      <c r="K4644" s="561">
        <v>0</v>
      </c>
      <c r="L4644" s="561">
        <v>0</v>
      </c>
      <c r="M4644" s="561">
        <v>0</v>
      </c>
      <c r="N4644" s="561">
        <v>0</v>
      </c>
      <c r="O4644" s="561">
        <v>0</v>
      </c>
      <c r="P4644" s="561">
        <v>0</v>
      </c>
      <c r="BB4644" s="561">
        <v>3324.7000000000003</v>
      </c>
    </row>
    <row r="4645" spans="1:54">
      <c r="C4645" s="561" t="s">
        <v>1199</v>
      </c>
      <c r="D4645" s="561">
        <v>4768</v>
      </c>
      <c r="E4645" s="561">
        <v>1430.4000000000087</v>
      </c>
      <c r="F4645" s="561">
        <v>3337.5999999999913</v>
      </c>
      <c r="G4645" s="561">
        <v>424</v>
      </c>
      <c r="H4645" s="561">
        <v>4767.6259799999971</v>
      </c>
      <c r="I4645" s="561">
        <v>4</v>
      </c>
      <c r="J4645" s="561">
        <v>13.39537999999995</v>
      </c>
      <c r="K4645" s="561">
        <v>424</v>
      </c>
      <c r="L4645" s="561">
        <v>4755.0989999999993</v>
      </c>
      <c r="M4645" s="561">
        <v>4755.0999999999995</v>
      </c>
      <c r="N4645" s="561">
        <v>1430.3999999999996</v>
      </c>
      <c r="O4645" s="561">
        <v>0</v>
      </c>
    </row>
    <row r="4646" spans="1:54">
      <c r="A4646" s="561">
        <v>11</v>
      </c>
      <c r="B4646" s="561" t="s">
        <v>1579</v>
      </c>
      <c r="C4646" s="561" t="s">
        <v>1196</v>
      </c>
      <c r="D4646" s="561">
        <v>233286</v>
      </c>
      <c r="E4646" s="561">
        <v>69985.8</v>
      </c>
      <c r="F4646" s="561">
        <v>163300.20000000001</v>
      </c>
      <c r="G4646" s="561">
        <v>4612</v>
      </c>
      <c r="H4646" s="561">
        <v>243355.32100000003</v>
      </c>
      <c r="I4646" s="561">
        <v>396</v>
      </c>
      <c r="J4646" s="561">
        <v>9807.8529999999992</v>
      </c>
      <c r="K4646" s="561">
        <v>4599</v>
      </c>
      <c r="L4646" s="561">
        <v>233918.96602999998</v>
      </c>
      <c r="M4646" s="561">
        <v>233286.00000000003</v>
      </c>
      <c r="N4646" s="561">
        <v>69985.799999999988</v>
      </c>
      <c r="O4646" s="561">
        <v>0</v>
      </c>
      <c r="P4646" s="561">
        <v>163300.20000000001</v>
      </c>
    </row>
    <row r="4647" spans="1:54">
      <c r="C4647" s="561" t="s">
        <v>1197</v>
      </c>
      <c r="D4647" s="561">
        <v>219106</v>
      </c>
      <c r="E4647" s="561">
        <v>66481.8</v>
      </c>
      <c r="F4647" s="561">
        <v>152624.20000000001</v>
      </c>
      <c r="G4647" s="561">
        <v>3553</v>
      </c>
      <c r="H4647" s="561">
        <v>228405.114</v>
      </c>
      <c r="I4647" s="561">
        <v>372</v>
      </c>
      <c r="J4647" s="561">
        <v>9664.0319999999992</v>
      </c>
      <c r="K4647" s="561">
        <v>3541</v>
      </c>
      <c r="L4647" s="561">
        <v>219112.57731999998</v>
      </c>
      <c r="M4647" s="561">
        <v>218479.61099999998</v>
      </c>
      <c r="N4647" s="561">
        <v>66481.799999999988</v>
      </c>
      <c r="O4647" s="561">
        <v>0</v>
      </c>
    </row>
    <row r="4648" spans="1:54">
      <c r="C4648" s="561" t="s">
        <v>1198</v>
      </c>
      <c r="D4648" s="561">
        <v>0</v>
      </c>
      <c r="E4648" s="561">
        <v>0</v>
      </c>
      <c r="F4648" s="561">
        <v>0</v>
      </c>
      <c r="G4648" s="561">
        <v>0</v>
      </c>
      <c r="H4648" s="561">
        <v>0</v>
      </c>
      <c r="I4648" s="561">
        <v>0</v>
      </c>
      <c r="J4648" s="561">
        <v>0</v>
      </c>
      <c r="K4648" s="561">
        <v>0</v>
      </c>
      <c r="L4648" s="561">
        <v>0</v>
      </c>
      <c r="M4648" s="561">
        <v>0</v>
      </c>
      <c r="N4648" s="561">
        <v>0</v>
      </c>
      <c r="O4648" s="561">
        <v>0</v>
      </c>
      <c r="P4648" s="561">
        <v>0</v>
      </c>
    </row>
    <row r="4649" spans="1:54">
      <c r="C4649" s="561" t="s">
        <v>1199</v>
      </c>
      <c r="D4649" s="561">
        <v>14180</v>
      </c>
      <c r="E4649" s="561">
        <v>3504</v>
      </c>
      <c r="F4649" s="561">
        <v>10676</v>
      </c>
      <c r="G4649" s="561">
        <v>1059</v>
      </c>
      <c r="H4649" s="561">
        <v>14950.206999999995</v>
      </c>
      <c r="I4649" s="561">
        <v>24</v>
      </c>
      <c r="J4649" s="561">
        <v>143.82099999999988</v>
      </c>
      <c r="K4649" s="561">
        <v>1058</v>
      </c>
      <c r="L4649" s="561">
        <v>14806.388710000001</v>
      </c>
      <c r="M4649" s="561">
        <v>14806.389000000001</v>
      </c>
      <c r="N4649" s="561">
        <v>3504</v>
      </c>
      <c r="O4649" s="561">
        <v>0</v>
      </c>
      <c r="AL4649" s="561">
        <v>11302.389000000001</v>
      </c>
    </row>
    <row r="4650" spans="1:54">
      <c r="A4650" s="561">
        <v>12</v>
      </c>
      <c r="B4650" s="561" t="s">
        <v>1580</v>
      </c>
      <c r="C4650" s="561" t="s">
        <v>1196</v>
      </c>
      <c r="D4650" s="561">
        <v>118872</v>
      </c>
      <c r="E4650" s="561">
        <v>33261.599999999999</v>
      </c>
      <c r="F4650" s="561">
        <v>85610.4</v>
      </c>
      <c r="G4650" s="561">
        <v>2185</v>
      </c>
      <c r="H4650" s="561">
        <v>123282.99740000001</v>
      </c>
      <c r="I4650" s="561">
        <v>122</v>
      </c>
      <c r="J4650" s="561">
        <v>3144.1023999999989</v>
      </c>
      <c r="K4650" s="561">
        <v>2176</v>
      </c>
      <c r="L4650" s="561">
        <v>120612.652</v>
      </c>
      <c r="M4650" s="561">
        <v>118872</v>
      </c>
      <c r="N4650" s="561">
        <v>33261.599999999999</v>
      </c>
      <c r="O4650" s="561">
        <v>0</v>
      </c>
      <c r="P4650" s="561">
        <v>85610.400000000009</v>
      </c>
    </row>
    <row r="4651" spans="1:54">
      <c r="C4651" s="561" t="s">
        <v>1197</v>
      </c>
      <c r="D4651" s="561">
        <v>110225</v>
      </c>
      <c r="E4651" s="561">
        <v>30967.5</v>
      </c>
      <c r="F4651" s="561">
        <v>79257.5</v>
      </c>
      <c r="G4651" s="561">
        <v>1613</v>
      </c>
      <c r="H4651" s="561">
        <v>114630.454</v>
      </c>
      <c r="I4651" s="561">
        <v>64</v>
      </c>
      <c r="J4651" s="561">
        <v>2828.3999999999987</v>
      </c>
      <c r="K4651" s="561">
        <v>1609</v>
      </c>
      <c r="L4651" s="561">
        <v>112275.81300000001</v>
      </c>
      <c r="M4651" s="561">
        <v>110535.16100000001</v>
      </c>
      <c r="N4651" s="561">
        <v>30967.499999999996</v>
      </c>
      <c r="O4651" s="561">
        <v>0</v>
      </c>
    </row>
    <row r="4652" spans="1:54">
      <c r="C4652" s="561" t="s">
        <v>1198</v>
      </c>
      <c r="D4652" s="561">
        <v>0</v>
      </c>
      <c r="E4652" s="561">
        <v>0</v>
      </c>
      <c r="F4652" s="561">
        <v>0</v>
      </c>
      <c r="G4652" s="561">
        <v>0</v>
      </c>
      <c r="H4652" s="561">
        <v>0</v>
      </c>
      <c r="I4652" s="561">
        <v>0</v>
      </c>
      <c r="J4652" s="561">
        <v>0</v>
      </c>
      <c r="K4652" s="561">
        <v>0</v>
      </c>
      <c r="L4652" s="561">
        <v>0</v>
      </c>
      <c r="M4652" s="561">
        <v>0</v>
      </c>
      <c r="N4652" s="561">
        <v>0</v>
      </c>
      <c r="O4652" s="561">
        <v>0</v>
      </c>
      <c r="P4652" s="561">
        <v>0</v>
      </c>
    </row>
    <row r="4653" spans="1:54">
      <c r="C4653" s="561" t="s">
        <v>1199</v>
      </c>
      <c r="D4653" s="561">
        <v>8647</v>
      </c>
      <c r="E4653" s="561">
        <v>2294.0999999999985</v>
      </c>
      <c r="F4653" s="561">
        <v>6352.9000000000015</v>
      </c>
      <c r="G4653" s="561">
        <v>572</v>
      </c>
      <c r="H4653" s="561">
        <v>8652.5433999999987</v>
      </c>
      <c r="I4653" s="561">
        <v>58</v>
      </c>
      <c r="J4653" s="561">
        <v>315.70240000000007</v>
      </c>
      <c r="K4653" s="561">
        <v>567</v>
      </c>
      <c r="L4653" s="561">
        <v>8336.8389999999999</v>
      </c>
      <c r="M4653" s="561">
        <v>8336.8389999999999</v>
      </c>
      <c r="N4653" s="561">
        <v>2294.1000000000004</v>
      </c>
      <c r="O4653" s="561">
        <v>0</v>
      </c>
      <c r="AL4653" s="561">
        <v>6042.7390000000005</v>
      </c>
    </row>
    <row r="4654" spans="1:54">
      <c r="A4654" s="561">
        <v>13</v>
      </c>
      <c r="B4654" s="561" t="s">
        <v>1581</v>
      </c>
      <c r="C4654" s="561" t="s">
        <v>1196</v>
      </c>
      <c r="D4654" s="561">
        <v>179807</v>
      </c>
      <c r="E4654" s="561">
        <v>51242.1</v>
      </c>
      <c r="F4654" s="561">
        <v>128564.9</v>
      </c>
      <c r="G4654" s="561">
        <v>4470</v>
      </c>
      <c r="H4654" s="561">
        <v>192739.16960000002</v>
      </c>
      <c r="I4654" s="561">
        <v>444</v>
      </c>
      <c r="J4654" s="561">
        <v>12193.875600000001</v>
      </c>
      <c r="K4654" s="561">
        <v>4389</v>
      </c>
      <c r="L4654" s="561">
        <v>180939.61235000001</v>
      </c>
      <c r="M4654" s="561">
        <v>179807.00000000003</v>
      </c>
      <c r="N4654" s="561">
        <v>51242.1</v>
      </c>
      <c r="O4654" s="561">
        <v>0</v>
      </c>
      <c r="P4654" s="561">
        <v>128564.89999999998</v>
      </c>
    </row>
    <row r="4655" spans="1:54">
      <c r="C4655" s="561" t="s">
        <v>1197</v>
      </c>
      <c r="D4655" s="561">
        <v>140415</v>
      </c>
      <c r="E4655" s="561">
        <v>42124.5</v>
      </c>
      <c r="F4655" s="561">
        <v>98290.5</v>
      </c>
      <c r="G4655" s="561">
        <v>2494</v>
      </c>
      <c r="H4655" s="561">
        <v>151778.06</v>
      </c>
      <c r="I4655" s="561">
        <v>335</v>
      </c>
      <c r="J4655" s="561">
        <v>10648.056</v>
      </c>
      <c r="K4655" s="561">
        <v>2414</v>
      </c>
      <c r="L4655" s="561">
        <v>141521.32376</v>
      </c>
      <c r="M4655" s="561">
        <v>140388.71100000001</v>
      </c>
      <c r="N4655" s="561">
        <v>42124.500000000007</v>
      </c>
      <c r="O4655" s="561">
        <v>0</v>
      </c>
    </row>
    <row r="4656" spans="1:54">
      <c r="C4656" s="561" t="s">
        <v>1198</v>
      </c>
      <c r="D4656" s="561">
        <v>11573</v>
      </c>
      <c r="E4656" s="561">
        <v>2751.9</v>
      </c>
      <c r="F4656" s="561">
        <v>8821.1</v>
      </c>
      <c r="G4656" s="561">
        <v>15</v>
      </c>
      <c r="H4656" s="561">
        <v>12526.711000000001</v>
      </c>
      <c r="I4656" s="561">
        <v>4</v>
      </c>
      <c r="J4656" s="561">
        <v>1006.4570000000001</v>
      </c>
      <c r="K4656" s="561">
        <v>15</v>
      </c>
      <c r="L4656" s="561">
        <v>11520.257000000001</v>
      </c>
      <c r="M4656" s="561">
        <v>11520.257</v>
      </c>
      <c r="N4656" s="561">
        <v>2751.9000000000005</v>
      </c>
      <c r="O4656" s="561">
        <v>0</v>
      </c>
    </row>
    <row r="4657" spans="1:78">
      <c r="C4657" s="561" t="s">
        <v>1199</v>
      </c>
      <c r="D4657" s="561">
        <v>27819</v>
      </c>
      <c r="E4657" s="561">
        <v>6365.6999999999989</v>
      </c>
      <c r="F4657" s="561">
        <v>21453.300000000003</v>
      </c>
      <c r="G4657" s="561">
        <v>1961</v>
      </c>
      <c r="H4657" s="561">
        <v>28434.3986</v>
      </c>
      <c r="I4657" s="561">
        <v>105</v>
      </c>
      <c r="J4657" s="561">
        <v>539.36259999999993</v>
      </c>
      <c r="K4657" s="561">
        <v>1960</v>
      </c>
      <c r="L4657" s="561">
        <v>27898.031589999999</v>
      </c>
      <c r="M4657" s="561">
        <v>27898.031999999999</v>
      </c>
      <c r="N4657" s="561">
        <v>6365.7000000000007</v>
      </c>
      <c r="O4657" s="561">
        <v>0</v>
      </c>
      <c r="AL4657" s="561">
        <v>21532.331999999999</v>
      </c>
    </row>
    <row r="4658" spans="1:78">
      <c r="A4658" s="561">
        <v>14</v>
      </c>
      <c r="B4658" s="561" t="s">
        <v>1582</v>
      </c>
      <c r="C4658" s="561" t="s">
        <v>1196</v>
      </c>
      <c r="D4658" s="561">
        <v>247247</v>
      </c>
      <c r="E4658" s="561">
        <v>31117.832999999999</v>
      </c>
      <c r="F4658" s="561">
        <v>216129.16700000002</v>
      </c>
      <c r="G4658" s="561">
        <v>4952</v>
      </c>
      <c r="H4658" s="561">
        <v>258938.26930000001</v>
      </c>
      <c r="I4658" s="561">
        <v>440</v>
      </c>
      <c r="J4658" s="561">
        <v>12109.278200000002</v>
      </c>
      <c r="K4658" s="561">
        <v>4935</v>
      </c>
      <c r="L4658" s="561">
        <v>248494.37300000002</v>
      </c>
      <c r="M4658" s="561">
        <v>247247</v>
      </c>
      <c r="N4658" s="561">
        <v>31117.833000000021</v>
      </c>
      <c r="O4658" s="561">
        <v>0</v>
      </c>
      <c r="P4658" s="561">
        <v>216129.16700000002</v>
      </c>
    </row>
    <row r="4659" spans="1:78">
      <c r="C4659" s="561" t="s">
        <v>1197</v>
      </c>
      <c r="D4659" s="561">
        <v>229907</v>
      </c>
      <c r="E4659" s="561">
        <v>29231.075000000001</v>
      </c>
      <c r="F4659" s="561">
        <v>200675.92499999999</v>
      </c>
      <c r="G4659" s="561">
        <v>3587</v>
      </c>
      <c r="H4659" s="561">
        <v>241413.16400000002</v>
      </c>
      <c r="I4659" s="561">
        <v>408</v>
      </c>
      <c r="J4659" s="561">
        <v>11889.737000000003</v>
      </c>
      <c r="K4659" s="561">
        <v>3571</v>
      </c>
      <c r="L4659" s="561">
        <v>231114.44500000001</v>
      </c>
      <c r="M4659" s="561">
        <v>229867.07199999999</v>
      </c>
      <c r="N4659" s="561">
        <v>29231.075000000012</v>
      </c>
      <c r="O4659" s="561">
        <v>0</v>
      </c>
    </row>
    <row r="4660" spans="1:78">
      <c r="C4660" s="561" t="s">
        <v>1198</v>
      </c>
      <c r="D4660" s="561">
        <v>0</v>
      </c>
      <c r="E4660" s="561">
        <v>0</v>
      </c>
      <c r="F4660" s="561">
        <v>0</v>
      </c>
      <c r="G4660" s="561">
        <v>0</v>
      </c>
      <c r="H4660" s="561">
        <v>0</v>
      </c>
      <c r="I4660" s="561">
        <v>0</v>
      </c>
      <c r="J4660" s="561">
        <v>0</v>
      </c>
      <c r="K4660" s="561">
        <v>0</v>
      </c>
      <c r="L4660" s="561">
        <v>0</v>
      </c>
      <c r="M4660" s="561">
        <v>0</v>
      </c>
      <c r="N4660" s="561">
        <v>0</v>
      </c>
      <c r="O4660" s="561">
        <v>0</v>
      </c>
      <c r="P4660" s="561">
        <v>0</v>
      </c>
    </row>
    <row r="4661" spans="1:78">
      <c r="C4661" s="561" t="s">
        <v>1199</v>
      </c>
      <c r="D4661" s="561">
        <v>17340</v>
      </c>
      <c r="E4661" s="561">
        <v>1886.757999999998</v>
      </c>
      <c r="F4661" s="561">
        <v>15453.242000000002</v>
      </c>
      <c r="G4661" s="561">
        <v>1365</v>
      </c>
      <c r="H4661" s="561">
        <v>17525.105299999996</v>
      </c>
      <c r="I4661" s="561">
        <v>32</v>
      </c>
      <c r="J4661" s="561">
        <v>219.54120000000006</v>
      </c>
      <c r="K4661" s="561">
        <v>1364</v>
      </c>
      <c r="L4661" s="561">
        <v>17379.928</v>
      </c>
      <c r="M4661" s="561">
        <v>17379.927999999996</v>
      </c>
      <c r="N4661" s="561">
        <v>1886.7580000000012</v>
      </c>
      <c r="O4661" s="561">
        <v>0</v>
      </c>
      <c r="AL4661" s="561">
        <v>15493.169999999998</v>
      </c>
    </row>
    <row r="4662" spans="1:78">
      <c r="A4662" s="561">
        <v>15</v>
      </c>
      <c r="B4662" s="561" t="s">
        <v>1583</v>
      </c>
      <c r="C4662" s="561" t="s">
        <v>1196</v>
      </c>
      <c r="D4662" s="561">
        <v>346819.054</v>
      </c>
      <c r="E4662" s="561">
        <v>97079.4</v>
      </c>
      <c r="F4662" s="561">
        <v>249739.65400000001</v>
      </c>
      <c r="G4662" s="561">
        <v>8833</v>
      </c>
      <c r="H4662" s="561">
        <v>367635.01299999998</v>
      </c>
      <c r="I4662" s="561">
        <v>721</v>
      </c>
      <c r="J4662" s="561">
        <v>13114.127</v>
      </c>
      <c r="K4662" s="561">
        <v>8813</v>
      </c>
      <c r="L4662" s="561">
        <v>353508.66876999999</v>
      </c>
      <c r="M4662" s="561">
        <v>346819.05736999999</v>
      </c>
      <c r="N4662" s="561">
        <v>97079.400000000009</v>
      </c>
      <c r="O4662" s="561">
        <v>0</v>
      </c>
      <c r="P4662" s="561">
        <v>249739.65736999997</v>
      </c>
    </row>
    <row r="4663" spans="1:78">
      <c r="C4663" s="561" t="s">
        <v>1197</v>
      </c>
      <c r="D4663" s="561">
        <v>307379</v>
      </c>
      <c r="E4663" s="561">
        <v>89813.7</v>
      </c>
      <c r="F4663" s="561">
        <v>217565.3</v>
      </c>
      <c r="G4663" s="561">
        <v>6228</v>
      </c>
      <c r="H4663" s="561">
        <v>327590.375</v>
      </c>
      <c r="I4663" s="561">
        <v>643</v>
      </c>
      <c r="J4663" s="561">
        <v>12767.166999999999</v>
      </c>
      <c r="K4663" s="561">
        <v>6210</v>
      </c>
      <c r="L4663" s="561">
        <v>313789.45048</v>
      </c>
      <c r="M4663" s="561">
        <v>308071.67637</v>
      </c>
      <c r="N4663" s="561">
        <v>89813.700000000012</v>
      </c>
      <c r="O4663" s="561">
        <v>0</v>
      </c>
    </row>
    <row r="4664" spans="1:78">
      <c r="C4664" s="561" t="s">
        <v>1198</v>
      </c>
      <c r="D4664" s="561">
        <v>0</v>
      </c>
      <c r="E4664" s="561">
        <v>0</v>
      </c>
      <c r="F4664" s="561">
        <v>0</v>
      </c>
      <c r="G4664" s="561">
        <v>0</v>
      </c>
      <c r="H4664" s="561">
        <v>0</v>
      </c>
      <c r="I4664" s="561">
        <v>0</v>
      </c>
      <c r="J4664" s="561">
        <v>0</v>
      </c>
      <c r="K4664" s="561">
        <v>0</v>
      </c>
      <c r="L4664" s="561">
        <v>0</v>
      </c>
      <c r="M4664" s="561">
        <v>0</v>
      </c>
      <c r="N4664" s="561">
        <v>0</v>
      </c>
      <c r="O4664" s="561">
        <v>0</v>
      </c>
      <c r="P4664" s="561">
        <v>0</v>
      </c>
    </row>
    <row r="4665" spans="1:78">
      <c r="C4665" s="561" t="s">
        <v>1199</v>
      </c>
      <c r="D4665" s="561">
        <v>32719</v>
      </c>
      <c r="E4665" s="561">
        <v>7265.6999999999971</v>
      </c>
      <c r="F4665" s="561">
        <v>25453.300000000003</v>
      </c>
      <c r="G4665" s="561">
        <v>2605</v>
      </c>
      <c r="H4665" s="561">
        <v>32312.15</v>
      </c>
      <c r="I4665" s="561">
        <v>78</v>
      </c>
      <c r="J4665" s="561">
        <v>303.46500000000009</v>
      </c>
      <c r="K4665" s="561">
        <v>2603</v>
      </c>
      <c r="L4665" s="561">
        <v>32030.225290000002</v>
      </c>
      <c r="M4665" s="561">
        <v>32030.225999999999</v>
      </c>
      <c r="N4665" s="561">
        <v>7265.7000000000007</v>
      </c>
      <c r="O4665" s="561">
        <v>0</v>
      </c>
      <c r="BB4665" s="561">
        <v>24764.526000000002</v>
      </c>
    </row>
    <row r="4666" spans="1:78">
      <c r="C4666" s="561" t="s">
        <v>1202</v>
      </c>
      <c r="D4666" s="561">
        <v>6721.0540000000001</v>
      </c>
      <c r="F4666" s="561">
        <v>6721.0540000000001</v>
      </c>
      <c r="G4666" s="561">
        <v>0</v>
      </c>
      <c r="H4666" s="561">
        <v>7732.4879999999994</v>
      </c>
      <c r="J4666" s="561">
        <v>43.494999999999997</v>
      </c>
      <c r="K4666" s="561">
        <v>0</v>
      </c>
      <c r="L4666" s="561">
        <v>7688.9929999999995</v>
      </c>
      <c r="M4666" s="561">
        <v>6717.1549999999997</v>
      </c>
      <c r="N4666" s="561">
        <v>0</v>
      </c>
      <c r="O4666" s="561">
        <v>0</v>
      </c>
      <c r="P4666" s="561">
        <v>6717.1549999999997</v>
      </c>
    </row>
    <row r="4667" spans="1:78">
      <c r="A4667" s="561">
        <v>16</v>
      </c>
      <c r="B4667" s="561" t="s">
        <v>1584</v>
      </c>
      <c r="C4667" s="561" t="s">
        <v>1196</v>
      </c>
      <c r="D4667" s="561">
        <v>43724</v>
      </c>
      <c r="E4667" s="561">
        <v>11917.2</v>
      </c>
      <c r="F4667" s="561">
        <v>31806.799999999999</v>
      </c>
      <c r="G4667" s="561">
        <v>3216</v>
      </c>
      <c r="H4667" s="561">
        <v>45771.009599999998</v>
      </c>
      <c r="I4667" s="561">
        <v>48</v>
      </c>
      <c r="J4667" s="561">
        <v>402.71859999999975</v>
      </c>
      <c r="K4667" s="561">
        <v>3214</v>
      </c>
      <c r="L4667" s="561">
        <v>44177.663000000008</v>
      </c>
      <c r="M4667" s="561">
        <v>43724</v>
      </c>
      <c r="N4667" s="561">
        <v>11917.2</v>
      </c>
      <c r="O4667" s="561">
        <v>0</v>
      </c>
      <c r="P4667" s="561">
        <v>31806.799999999999</v>
      </c>
    </row>
    <row r="4668" spans="1:78">
      <c r="C4668" s="561" t="s">
        <v>1197</v>
      </c>
      <c r="D4668" s="561">
        <v>0</v>
      </c>
      <c r="E4668" s="561">
        <v>0</v>
      </c>
      <c r="F4668" s="561">
        <v>0</v>
      </c>
      <c r="G4668" s="561">
        <v>0</v>
      </c>
      <c r="H4668" s="561">
        <v>0</v>
      </c>
      <c r="I4668" s="561">
        <v>0</v>
      </c>
      <c r="J4668" s="561">
        <v>0</v>
      </c>
      <c r="K4668" s="561">
        <v>0</v>
      </c>
      <c r="L4668" s="561">
        <v>0</v>
      </c>
      <c r="M4668" s="561">
        <v>0</v>
      </c>
      <c r="N4668" s="561">
        <v>0</v>
      </c>
      <c r="O4668" s="561">
        <v>0</v>
      </c>
      <c r="P4668" s="561">
        <v>0</v>
      </c>
    </row>
    <row r="4669" spans="1:78">
      <c r="C4669" s="561" t="s">
        <v>1198</v>
      </c>
      <c r="D4669" s="561">
        <v>0</v>
      </c>
      <c r="E4669" s="561">
        <v>0</v>
      </c>
      <c r="F4669" s="561">
        <v>0</v>
      </c>
      <c r="G4669" s="561">
        <v>0</v>
      </c>
      <c r="H4669" s="561">
        <v>0</v>
      </c>
      <c r="I4669" s="561">
        <v>0</v>
      </c>
      <c r="J4669" s="561">
        <v>0</v>
      </c>
      <c r="K4669" s="561">
        <v>0</v>
      </c>
      <c r="L4669" s="561">
        <v>0</v>
      </c>
      <c r="M4669" s="561">
        <v>0</v>
      </c>
      <c r="N4669" s="561">
        <v>0</v>
      </c>
      <c r="O4669" s="561">
        <v>0</v>
      </c>
      <c r="P4669" s="561">
        <v>0</v>
      </c>
    </row>
    <row r="4670" spans="1:78">
      <c r="C4670" s="561" t="s">
        <v>1199</v>
      </c>
      <c r="D4670" s="561">
        <v>43724</v>
      </c>
      <c r="E4670" s="561">
        <v>11917.2</v>
      </c>
      <c r="F4670" s="561">
        <v>31806.799999999999</v>
      </c>
      <c r="G4670" s="561">
        <v>3216</v>
      </c>
      <c r="H4670" s="561">
        <v>45771.009599999998</v>
      </c>
      <c r="I4670" s="561">
        <v>48</v>
      </c>
      <c r="J4670" s="561">
        <v>402.71859999999975</v>
      </c>
      <c r="K4670" s="561">
        <v>3214</v>
      </c>
      <c r="L4670" s="561">
        <v>44177.663000000008</v>
      </c>
      <c r="M4670" s="561">
        <v>43724</v>
      </c>
      <c r="N4670" s="561">
        <v>11917.2</v>
      </c>
      <c r="O4670" s="561">
        <v>0</v>
      </c>
      <c r="BZ4670" s="561">
        <v>31806.799999999999</v>
      </c>
    </row>
    <row r="4671" spans="1:78">
      <c r="A4671" s="561">
        <v>17</v>
      </c>
      <c r="B4671" s="561" t="s">
        <v>1585</v>
      </c>
      <c r="C4671" s="561" t="s">
        <v>1196</v>
      </c>
      <c r="D4671" s="561">
        <v>29799</v>
      </c>
      <c r="E4671" s="561">
        <v>8489.7000000000007</v>
      </c>
      <c r="F4671" s="561">
        <v>21309.3</v>
      </c>
      <c r="G4671" s="561">
        <v>2250</v>
      </c>
      <c r="H4671" s="561">
        <v>30429.508600000005</v>
      </c>
      <c r="I4671" s="561">
        <v>68</v>
      </c>
      <c r="J4671" s="561">
        <v>532.08860000000004</v>
      </c>
      <c r="K4671" s="561">
        <v>2250</v>
      </c>
      <c r="L4671" s="561">
        <v>29897.415000000001</v>
      </c>
      <c r="M4671" s="561">
        <v>29798.999999999996</v>
      </c>
      <c r="N4671" s="561">
        <v>8489.7000000000007</v>
      </c>
      <c r="O4671" s="561">
        <v>0</v>
      </c>
      <c r="P4671" s="561">
        <v>21309.299999999996</v>
      </c>
    </row>
    <row r="4672" spans="1:78">
      <c r="C4672" s="561" t="s">
        <v>1197</v>
      </c>
      <c r="D4672" s="561">
        <v>0</v>
      </c>
      <c r="E4672" s="561">
        <v>0</v>
      </c>
      <c r="F4672" s="561">
        <v>0</v>
      </c>
      <c r="G4672" s="561">
        <v>0</v>
      </c>
      <c r="H4672" s="561">
        <v>0</v>
      </c>
      <c r="I4672" s="561">
        <v>0</v>
      </c>
      <c r="J4672" s="561">
        <v>0</v>
      </c>
      <c r="K4672" s="561">
        <v>0</v>
      </c>
      <c r="L4672" s="561">
        <v>0</v>
      </c>
      <c r="M4672" s="561">
        <v>0</v>
      </c>
      <c r="N4672" s="561">
        <v>0</v>
      </c>
      <c r="O4672" s="561">
        <v>0</v>
      </c>
      <c r="P4672" s="561">
        <v>0</v>
      </c>
    </row>
    <row r="4673" spans="1:78">
      <c r="C4673" s="561" t="s">
        <v>1198</v>
      </c>
      <c r="D4673" s="561">
        <v>0</v>
      </c>
      <c r="E4673" s="561">
        <v>0</v>
      </c>
      <c r="F4673" s="561">
        <v>0</v>
      </c>
      <c r="G4673" s="561">
        <v>0</v>
      </c>
      <c r="H4673" s="561">
        <v>0</v>
      </c>
      <c r="I4673" s="561">
        <v>0</v>
      </c>
      <c r="J4673" s="561">
        <v>0</v>
      </c>
      <c r="K4673" s="561">
        <v>0</v>
      </c>
      <c r="L4673" s="561">
        <v>0</v>
      </c>
      <c r="M4673" s="561">
        <v>0</v>
      </c>
      <c r="N4673" s="561">
        <v>0</v>
      </c>
      <c r="O4673" s="561">
        <v>0</v>
      </c>
      <c r="P4673" s="561">
        <v>0</v>
      </c>
    </row>
    <row r="4674" spans="1:78">
      <c r="C4674" s="561" t="s">
        <v>1199</v>
      </c>
      <c r="D4674" s="561">
        <v>29799</v>
      </c>
      <c r="E4674" s="561">
        <v>8489.7000000000007</v>
      </c>
      <c r="F4674" s="561">
        <v>21309.3</v>
      </c>
      <c r="G4674" s="561">
        <v>2250</v>
      </c>
      <c r="H4674" s="561">
        <v>30429.508600000005</v>
      </c>
      <c r="I4674" s="561">
        <v>68</v>
      </c>
      <c r="J4674" s="561">
        <v>532.08860000000004</v>
      </c>
      <c r="K4674" s="561">
        <v>2250</v>
      </c>
      <c r="L4674" s="561">
        <v>29897.415000000001</v>
      </c>
      <c r="M4674" s="561">
        <v>29798.998999999996</v>
      </c>
      <c r="N4674" s="561">
        <v>8489.7000000000007</v>
      </c>
      <c r="O4674" s="561">
        <v>0</v>
      </c>
      <c r="BZ4674" s="561">
        <v>21309.299999999996</v>
      </c>
    </row>
    <row r="4675" spans="1:78">
      <c r="A4675" s="561">
        <v>18</v>
      </c>
      <c r="B4675" s="561" t="s">
        <v>1586</v>
      </c>
      <c r="C4675" s="561" t="s">
        <v>1196</v>
      </c>
      <c r="D4675" s="561">
        <v>85218</v>
      </c>
      <c r="E4675" s="561">
        <v>24965.4</v>
      </c>
      <c r="F4675" s="561">
        <v>60252.6</v>
      </c>
      <c r="G4675" s="561">
        <v>6782</v>
      </c>
      <c r="H4675" s="561">
        <v>88385.329700000002</v>
      </c>
      <c r="I4675" s="561">
        <v>311</v>
      </c>
      <c r="J4675" s="561">
        <v>1880.6858</v>
      </c>
      <c r="K4675" s="561">
        <v>6780</v>
      </c>
      <c r="L4675" s="561">
        <v>86383.257000000012</v>
      </c>
      <c r="M4675" s="561">
        <v>85218</v>
      </c>
      <c r="N4675" s="561">
        <v>24965.400000000005</v>
      </c>
      <c r="O4675" s="561">
        <v>0</v>
      </c>
      <c r="P4675" s="561">
        <v>60252.600000000006</v>
      </c>
    </row>
    <row r="4676" spans="1:78">
      <c r="C4676" s="561" t="s">
        <v>1197</v>
      </c>
      <c r="D4676" s="561">
        <v>0</v>
      </c>
      <c r="E4676" s="561">
        <v>0</v>
      </c>
      <c r="F4676" s="561">
        <v>0</v>
      </c>
      <c r="G4676" s="561">
        <v>0</v>
      </c>
      <c r="H4676" s="561">
        <v>0</v>
      </c>
      <c r="I4676" s="561">
        <v>0</v>
      </c>
      <c r="J4676" s="561">
        <v>0</v>
      </c>
      <c r="K4676" s="561">
        <v>0</v>
      </c>
      <c r="L4676" s="561">
        <v>0</v>
      </c>
      <c r="M4676" s="561">
        <v>0</v>
      </c>
      <c r="N4676" s="561">
        <v>0</v>
      </c>
      <c r="O4676" s="561">
        <v>0</v>
      </c>
      <c r="P4676" s="561">
        <v>0</v>
      </c>
    </row>
    <row r="4677" spans="1:78">
      <c r="C4677" s="561" t="s">
        <v>1198</v>
      </c>
      <c r="D4677" s="561">
        <v>0</v>
      </c>
      <c r="E4677" s="561">
        <v>0</v>
      </c>
      <c r="F4677" s="561">
        <v>0</v>
      </c>
      <c r="G4677" s="561">
        <v>0</v>
      </c>
      <c r="H4677" s="561">
        <v>0</v>
      </c>
      <c r="I4677" s="561">
        <v>0</v>
      </c>
      <c r="J4677" s="561">
        <v>0</v>
      </c>
      <c r="K4677" s="561">
        <v>0</v>
      </c>
      <c r="L4677" s="561">
        <v>0</v>
      </c>
      <c r="M4677" s="561">
        <v>0</v>
      </c>
      <c r="N4677" s="561">
        <v>0</v>
      </c>
      <c r="O4677" s="561">
        <v>0</v>
      </c>
      <c r="P4677" s="561">
        <v>0</v>
      </c>
    </row>
    <row r="4678" spans="1:78">
      <c r="C4678" s="561" t="s">
        <v>1199</v>
      </c>
      <c r="D4678" s="561">
        <v>85218</v>
      </c>
      <c r="E4678" s="561">
        <v>24965.4</v>
      </c>
      <c r="F4678" s="561">
        <v>60252.6</v>
      </c>
      <c r="G4678" s="561">
        <v>6782</v>
      </c>
      <c r="H4678" s="561">
        <v>88385.329700000002</v>
      </c>
      <c r="I4678" s="561">
        <v>311</v>
      </c>
      <c r="J4678" s="561">
        <v>1880.6858</v>
      </c>
      <c r="K4678" s="561">
        <v>6780</v>
      </c>
      <c r="L4678" s="561">
        <v>86383.257000000012</v>
      </c>
      <c r="M4678" s="561">
        <v>85218</v>
      </c>
      <c r="N4678" s="561">
        <v>24965.400000000005</v>
      </c>
      <c r="O4678" s="561">
        <v>0</v>
      </c>
      <c r="BZ4678" s="561">
        <v>60252.600000000006</v>
      </c>
    </row>
    <row r="4679" spans="1:78">
      <c r="A4679" s="561">
        <v>19</v>
      </c>
      <c r="B4679" s="561" t="s">
        <v>1587</v>
      </c>
      <c r="C4679" s="561" t="s">
        <v>1196</v>
      </c>
      <c r="D4679" s="561">
        <v>61342</v>
      </c>
      <c r="E4679" s="561">
        <v>16302.6</v>
      </c>
      <c r="F4679" s="561">
        <v>45039.4</v>
      </c>
      <c r="G4679" s="561">
        <v>5203</v>
      </c>
      <c r="H4679" s="561">
        <v>69934.620720000006</v>
      </c>
      <c r="I4679" s="561">
        <v>239</v>
      </c>
      <c r="J4679" s="561">
        <v>1255.4376000000002</v>
      </c>
      <c r="K4679" s="561">
        <v>4936</v>
      </c>
      <c r="L4679" s="561">
        <v>65189.595999999998</v>
      </c>
      <c r="M4679" s="561">
        <v>61342</v>
      </c>
      <c r="N4679" s="561">
        <v>16302.599999999999</v>
      </c>
      <c r="O4679" s="561">
        <v>0</v>
      </c>
      <c r="P4679" s="561">
        <v>45039.399999999994</v>
      </c>
    </row>
    <row r="4680" spans="1:78">
      <c r="C4680" s="561" t="s">
        <v>1197</v>
      </c>
      <c r="D4680" s="561">
        <v>0</v>
      </c>
      <c r="E4680" s="561">
        <v>0</v>
      </c>
      <c r="F4680" s="561">
        <v>0</v>
      </c>
      <c r="G4680" s="561">
        <v>0</v>
      </c>
      <c r="H4680" s="561">
        <v>0</v>
      </c>
      <c r="I4680" s="561">
        <v>0</v>
      </c>
      <c r="J4680" s="561">
        <v>0</v>
      </c>
      <c r="K4680" s="561">
        <v>0</v>
      </c>
      <c r="L4680" s="561">
        <v>0</v>
      </c>
      <c r="M4680" s="561">
        <v>0</v>
      </c>
      <c r="N4680" s="561">
        <v>0</v>
      </c>
      <c r="O4680" s="561">
        <v>0</v>
      </c>
      <c r="P4680" s="561">
        <v>0</v>
      </c>
    </row>
    <row r="4681" spans="1:78">
      <c r="C4681" s="561" t="s">
        <v>1198</v>
      </c>
      <c r="D4681" s="561">
        <v>0</v>
      </c>
      <c r="E4681" s="561">
        <v>0</v>
      </c>
      <c r="F4681" s="561">
        <v>0</v>
      </c>
      <c r="G4681" s="561">
        <v>0</v>
      </c>
      <c r="H4681" s="561">
        <v>0</v>
      </c>
      <c r="I4681" s="561">
        <v>0</v>
      </c>
      <c r="J4681" s="561">
        <v>0</v>
      </c>
      <c r="K4681" s="561">
        <v>0</v>
      </c>
      <c r="L4681" s="561">
        <v>0</v>
      </c>
      <c r="M4681" s="561">
        <v>0</v>
      </c>
      <c r="N4681" s="561">
        <v>0</v>
      </c>
      <c r="O4681" s="561">
        <v>0</v>
      </c>
      <c r="P4681" s="561">
        <v>0</v>
      </c>
    </row>
    <row r="4682" spans="1:78">
      <c r="C4682" s="561" t="s">
        <v>1199</v>
      </c>
      <c r="D4682" s="561">
        <v>61342</v>
      </c>
      <c r="E4682" s="561">
        <v>16302.6</v>
      </c>
      <c r="F4682" s="561">
        <v>45039.4</v>
      </c>
      <c r="G4682" s="561">
        <v>5203</v>
      </c>
      <c r="H4682" s="561">
        <v>69934.620720000006</v>
      </c>
      <c r="I4682" s="561">
        <v>239</v>
      </c>
      <c r="J4682" s="561">
        <v>1255.4376000000002</v>
      </c>
      <c r="K4682" s="561">
        <v>4936</v>
      </c>
      <c r="L4682" s="561">
        <v>65189.595999999998</v>
      </c>
      <c r="M4682" s="561">
        <v>61342</v>
      </c>
      <c r="N4682" s="561">
        <v>16302.599999999999</v>
      </c>
      <c r="O4682" s="561">
        <v>0</v>
      </c>
      <c r="BZ4682" s="561">
        <v>45039.399999999994</v>
      </c>
    </row>
    <row r="4683" spans="1:78">
      <c r="A4683" s="561">
        <v>20</v>
      </c>
      <c r="B4683" s="561" t="s">
        <v>1588</v>
      </c>
      <c r="C4683" s="561" t="s">
        <v>1196</v>
      </c>
      <c r="D4683" s="561">
        <v>22694</v>
      </c>
      <c r="E4683" s="561">
        <v>5556.6</v>
      </c>
      <c r="F4683" s="561">
        <v>17137.400000000001</v>
      </c>
      <c r="G4683" s="561">
        <v>1867</v>
      </c>
      <c r="H4683" s="561">
        <v>24703.278200000004</v>
      </c>
      <c r="I4683" s="561">
        <v>50</v>
      </c>
      <c r="J4683" s="561">
        <v>266.38800000000003</v>
      </c>
      <c r="K4683" s="561">
        <v>1863</v>
      </c>
      <c r="L4683" s="561">
        <v>24437.963</v>
      </c>
      <c r="M4683" s="561">
        <v>22694</v>
      </c>
      <c r="N4683" s="561">
        <v>5556.5999999999985</v>
      </c>
      <c r="O4683" s="561">
        <v>0</v>
      </c>
      <c r="P4683" s="561">
        <v>17137.400000000001</v>
      </c>
    </row>
    <row r="4684" spans="1:78">
      <c r="C4684" s="561" t="s">
        <v>1197</v>
      </c>
      <c r="D4684" s="561">
        <v>0</v>
      </c>
      <c r="E4684" s="561">
        <v>0</v>
      </c>
      <c r="F4684" s="561">
        <v>0</v>
      </c>
      <c r="G4684" s="561">
        <v>0</v>
      </c>
      <c r="H4684" s="561">
        <v>0</v>
      </c>
      <c r="I4684" s="561">
        <v>0</v>
      </c>
      <c r="J4684" s="561">
        <v>0</v>
      </c>
      <c r="K4684" s="561">
        <v>0</v>
      </c>
      <c r="L4684" s="561">
        <v>0</v>
      </c>
      <c r="M4684" s="561">
        <v>0</v>
      </c>
      <c r="N4684" s="561">
        <v>0</v>
      </c>
      <c r="O4684" s="561">
        <v>0</v>
      </c>
      <c r="P4684" s="561">
        <v>0</v>
      </c>
    </row>
    <row r="4685" spans="1:78">
      <c r="C4685" s="561" t="s">
        <v>1198</v>
      </c>
      <c r="D4685" s="561">
        <v>0</v>
      </c>
      <c r="E4685" s="561">
        <v>0</v>
      </c>
      <c r="F4685" s="561">
        <v>0</v>
      </c>
      <c r="G4685" s="561">
        <v>0</v>
      </c>
      <c r="H4685" s="561">
        <v>0</v>
      </c>
      <c r="I4685" s="561">
        <v>0</v>
      </c>
      <c r="J4685" s="561">
        <v>0</v>
      </c>
      <c r="K4685" s="561">
        <v>0</v>
      </c>
      <c r="L4685" s="561">
        <v>0</v>
      </c>
      <c r="M4685" s="561">
        <v>0</v>
      </c>
      <c r="N4685" s="561">
        <v>0</v>
      </c>
      <c r="O4685" s="561">
        <v>0</v>
      </c>
      <c r="P4685" s="561">
        <v>0</v>
      </c>
    </row>
    <row r="4686" spans="1:78">
      <c r="C4686" s="561" t="s">
        <v>1199</v>
      </c>
      <c r="D4686" s="561">
        <v>22694</v>
      </c>
      <c r="E4686" s="561">
        <v>5556.6</v>
      </c>
      <c r="F4686" s="561">
        <v>17137.400000000001</v>
      </c>
      <c r="G4686" s="561">
        <v>1867</v>
      </c>
      <c r="H4686" s="561">
        <v>24703.278200000004</v>
      </c>
      <c r="I4686" s="561">
        <v>50</v>
      </c>
      <c r="J4686" s="561">
        <v>266.38800000000003</v>
      </c>
      <c r="K4686" s="561">
        <v>1863</v>
      </c>
      <c r="L4686" s="561">
        <v>24437.963</v>
      </c>
      <c r="M4686" s="561">
        <v>22694</v>
      </c>
      <c r="N4686" s="561">
        <v>5556.5999999999985</v>
      </c>
      <c r="O4686" s="561">
        <v>0</v>
      </c>
      <c r="BZ4686" s="561">
        <v>17137.400000000001</v>
      </c>
    </row>
    <row r="4687" spans="1:78">
      <c r="A4687" s="561">
        <v>21</v>
      </c>
      <c r="B4687" s="561" t="s">
        <v>1589</v>
      </c>
      <c r="C4687" s="561" t="s">
        <v>1196</v>
      </c>
      <c r="D4687" s="561">
        <v>17029</v>
      </c>
      <c r="E4687" s="561">
        <v>0</v>
      </c>
      <c r="F4687" s="561">
        <v>17029</v>
      </c>
      <c r="G4687" s="561">
        <v>1001</v>
      </c>
      <c r="H4687" s="561">
        <v>14412.273410000002</v>
      </c>
      <c r="I4687" s="561">
        <v>14</v>
      </c>
      <c r="J4687" s="561">
        <v>65.772000000000006</v>
      </c>
      <c r="K4687" s="561">
        <v>1088</v>
      </c>
      <c r="L4687" s="561">
        <v>14346.499059999998</v>
      </c>
      <c r="M4687" s="561">
        <v>17029</v>
      </c>
      <c r="N4687" s="561">
        <v>0</v>
      </c>
      <c r="O4687" s="561">
        <v>0</v>
      </c>
      <c r="P4687" s="561">
        <v>17029</v>
      </c>
    </row>
    <row r="4688" spans="1:78">
      <c r="C4688" s="561" t="s">
        <v>1197</v>
      </c>
      <c r="D4688" s="561">
        <v>0</v>
      </c>
      <c r="E4688" s="561">
        <v>0</v>
      </c>
      <c r="F4688" s="561">
        <v>0</v>
      </c>
      <c r="G4688" s="561">
        <v>0</v>
      </c>
      <c r="H4688" s="561">
        <v>0</v>
      </c>
      <c r="I4688" s="561">
        <v>0</v>
      </c>
      <c r="J4688" s="561">
        <v>0</v>
      </c>
      <c r="K4688" s="561">
        <v>0</v>
      </c>
      <c r="L4688" s="561">
        <v>0</v>
      </c>
      <c r="M4688" s="561">
        <v>0</v>
      </c>
      <c r="N4688" s="561">
        <v>0</v>
      </c>
      <c r="O4688" s="561">
        <v>0</v>
      </c>
      <c r="P4688" s="561">
        <v>0</v>
      </c>
    </row>
    <row r="4689" spans="1:65">
      <c r="C4689" s="561" t="s">
        <v>1198</v>
      </c>
      <c r="D4689" s="561">
        <v>0</v>
      </c>
      <c r="E4689" s="561">
        <v>0</v>
      </c>
      <c r="F4689" s="561">
        <v>0</v>
      </c>
      <c r="G4689" s="561">
        <v>0</v>
      </c>
      <c r="H4689" s="561">
        <v>0</v>
      </c>
      <c r="I4689" s="561">
        <v>0</v>
      </c>
      <c r="J4689" s="561">
        <v>0</v>
      </c>
      <c r="K4689" s="561">
        <v>0</v>
      </c>
      <c r="L4689" s="561">
        <v>0</v>
      </c>
      <c r="M4689" s="561">
        <v>0</v>
      </c>
      <c r="N4689" s="561">
        <v>0</v>
      </c>
      <c r="O4689" s="561">
        <v>0</v>
      </c>
      <c r="P4689" s="561">
        <v>0</v>
      </c>
    </row>
    <row r="4690" spans="1:65">
      <c r="C4690" s="561" t="s">
        <v>1199</v>
      </c>
      <c r="D4690" s="561">
        <v>17029</v>
      </c>
      <c r="E4690" s="561">
        <v>0</v>
      </c>
      <c r="F4690" s="561">
        <v>17029</v>
      </c>
      <c r="G4690" s="561">
        <v>1001</v>
      </c>
      <c r="H4690" s="561">
        <v>14412.273410000002</v>
      </c>
      <c r="I4690" s="561">
        <v>14</v>
      </c>
      <c r="J4690" s="561">
        <v>65.772000000000006</v>
      </c>
      <c r="K4690" s="561">
        <v>1088</v>
      </c>
      <c r="L4690" s="561">
        <v>14346.499059999998</v>
      </c>
      <c r="M4690" s="561">
        <v>17029</v>
      </c>
      <c r="N4690" s="561">
        <v>0</v>
      </c>
      <c r="O4690" s="561">
        <v>0</v>
      </c>
      <c r="BM4690" s="561">
        <v>17029</v>
      </c>
    </row>
    <row r="4691" spans="1:65">
      <c r="A4691" s="561">
        <v>22</v>
      </c>
      <c r="B4691" s="561" t="s">
        <v>1590</v>
      </c>
      <c r="C4691" s="561" t="s">
        <v>1196</v>
      </c>
      <c r="D4691" s="561">
        <v>606024</v>
      </c>
      <c r="E4691" s="561">
        <v>173107.20000000001</v>
      </c>
      <c r="F4691" s="561">
        <v>432916.8</v>
      </c>
      <c r="G4691" s="561">
        <v>9600</v>
      </c>
      <c r="H4691" s="561">
        <v>638113.54602000001</v>
      </c>
      <c r="I4691" s="561">
        <v>1392</v>
      </c>
      <c r="J4691" s="561">
        <v>47844.635919999993</v>
      </c>
      <c r="K4691" s="561">
        <v>9516</v>
      </c>
      <c r="L4691" s="561">
        <v>607139.30700000003</v>
      </c>
      <c r="M4691" s="561">
        <v>606024</v>
      </c>
      <c r="N4691" s="561">
        <v>173107.20000000001</v>
      </c>
      <c r="O4691" s="561">
        <v>0</v>
      </c>
      <c r="P4691" s="561">
        <v>432916.80000000005</v>
      </c>
    </row>
    <row r="4692" spans="1:65">
      <c r="C4692" s="561" t="s">
        <v>1197</v>
      </c>
      <c r="D4692" s="561">
        <v>582782</v>
      </c>
      <c r="E4692" s="561">
        <v>170334.6</v>
      </c>
      <c r="F4692" s="561">
        <v>412447.4</v>
      </c>
      <c r="G4692" s="561">
        <v>8176</v>
      </c>
      <c r="H4692" s="561">
        <v>613549.46300000011</v>
      </c>
      <c r="I4692" s="561">
        <v>1253</v>
      </c>
      <c r="J4692" s="561">
        <v>46874.395999999993</v>
      </c>
      <c r="K4692" s="561">
        <v>8104</v>
      </c>
      <c r="L4692" s="561">
        <v>583545.46600000001</v>
      </c>
      <c r="M4692" s="561">
        <v>582430.15800000005</v>
      </c>
      <c r="N4692" s="561">
        <v>170334.59999999998</v>
      </c>
      <c r="O4692" s="561">
        <v>0</v>
      </c>
    </row>
    <row r="4693" spans="1:65">
      <c r="C4693" s="561" t="s">
        <v>1198</v>
      </c>
      <c r="D4693" s="561">
        <v>0</v>
      </c>
      <c r="E4693" s="561">
        <v>0</v>
      </c>
      <c r="F4693" s="561">
        <v>0</v>
      </c>
      <c r="G4693" s="561">
        <v>0</v>
      </c>
      <c r="H4693" s="561">
        <v>0</v>
      </c>
      <c r="I4693" s="561">
        <v>0</v>
      </c>
      <c r="J4693" s="561">
        <v>0</v>
      </c>
      <c r="K4693" s="561">
        <v>0</v>
      </c>
      <c r="L4693" s="561">
        <v>0</v>
      </c>
      <c r="M4693" s="561">
        <v>0</v>
      </c>
      <c r="N4693" s="561">
        <v>0</v>
      </c>
      <c r="O4693" s="561">
        <v>0</v>
      </c>
      <c r="P4693" s="561">
        <v>0</v>
      </c>
    </row>
    <row r="4694" spans="1:65">
      <c r="C4694" s="561" t="s">
        <v>1199</v>
      </c>
      <c r="D4694" s="561">
        <v>23242</v>
      </c>
      <c r="E4694" s="561">
        <v>2772.6000000000058</v>
      </c>
      <c r="F4694" s="561">
        <v>20469.399999999994</v>
      </c>
      <c r="G4694" s="561">
        <v>1424</v>
      </c>
      <c r="H4694" s="561">
        <v>24564.083019999995</v>
      </c>
      <c r="I4694" s="561">
        <v>139</v>
      </c>
      <c r="J4694" s="561">
        <v>970.23991999999976</v>
      </c>
      <c r="K4694" s="561">
        <v>1412</v>
      </c>
      <c r="L4694" s="561">
        <v>23593.840999999997</v>
      </c>
      <c r="M4694" s="561">
        <v>23593.841999999997</v>
      </c>
      <c r="N4694" s="561">
        <v>2772.6000000000004</v>
      </c>
      <c r="O4694" s="561">
        <v>0</v>
      </c>
      <c r="AL4694" s="561">
        <v>20821.241999999998</v>
      </c>
    </row>
    <row r="4695" spans="1:65">
      <c r="A4695" s="561">
        <v>23</v>
      </c>
      <c r="B4695" s="561" t="s">
        <v>1591</v>
      </c>
      <c r="C4695" s="561" t="s">
        <v>1196</v>
      </c>
      <c r="D4695" s="561">
        <v>179933</v>
      </c>
      <c r="E4695" s="561">
        <v>55959.9</v>
      </c>
      <c r="F4695" s="561">
        <v>123973.1</v>
      </c>
      <c r="G4695" s="561">
        <v>3043</v>
      </c>
      <c r="H4695" s="561">
        <v>189498.22322000004</v>
      </c>
      <c r="I4695" s="561">
        <v>212</v>
      </c>
      <c r="J4695" s="561">
        <v>8761.0983999999989</v>
      </c>
      <c r="K4695" s="561">
        <v>3018</v>
      </c>
      <c r="L4695" s="561">
        <v>180952.63199999998</v>
      </c>
      <c r="M4695" s="561">
        <v>179933</v>
      </c>
      <c r="N4695" s="561">
        <v>55959.899999999994</v>
      </c>
      <c r="O4695" s="561">
        <v>0</v>
      </c>
      <c r="P4695" s="561">
        <v>123973.1</v>
      </c>
    </row>
    <row r="4696" spans="1:65">
      <c r="C4696" s="561" t="s">
        <v>1197</v>
      </c>
      <c r="D4696" s="561">
        <v>171746</v>
      </c>
      <c r="E4696" s="561">
        <v>53773.8</v>
      </c>
      <c r="F4696" s="561">
        <v>117972.2</v>
      </c>
      <c r="G4696" s="561">
        <v>2392</v>
      </c>
      <c r="H4696" s="561">
        <v>181138.73239000005</v>
      </c>
      <c r="I4696" s="561">
        <v>185</v>
      </c>
      <c r="J4696" s="561">
        <v>8593.3169999999991</v>
      </c>
      <c r="K4696" s="561">
        <v>2372</v>
      </c>
      <c r="L4696" s="561">
        <v>172760.92399999997</v>
      </c>
      <c r="M4696" s="561">
        <v>171765.32700000002</v>
      </c>
      <c r="N4696" s="561">
        <v>53773.8</v>
      </c>
      <c r="O4696" s="561">
        <v>0</v>
      </c>
    </row>
    <row r="4697" spans="1:65">
      <c r="C4697" s="561" t="s">
        <v>1198</v>
      </c>
      <c r="D4697" s="561">
        <v>0</v>
      </c>
      <c r="E4697" s="561">
        <v>0</v>
      </c>
      <c r="F4697" s="561">
        <v>0</v>
      </c>
      <c r="G4697" s="561">
        <v>0</v>
      </c>
      <c r="H4697" s="561">
        <v>0</v>
      </c>
      <c r="I4697" s="561">
        <v>0</v>
      </c>
      <c r="J4697" s="561">
        <v>0</v>
      </c>
      <c r="K4697" s="561">
        <v>0</v>
      </c>
      <c r="L4697" s="561">
        <v>0</v>
      </c>
      <c r="M4697" s="561">
        <v>0</v>
      </c>
      <c r="N4697" s="561">
        <v>0</v>
      </c>
      <c r="O4697" s="561">
        <v>0</v>
      </c>
      <c r="P4697" s="561">
        <v>0</v>
      </c>
    </row>
    <row r="4698" spans="1:65">
      <c r="C4698" s="561" t="s">
        <v>1199</v>
      </c>
      <c r="D4698" s="561">
        <v>8187</v>
      </c>
      <c r="E4698" s="561">
        <v>2186.0999999999985</v>
      </c>
      <c r="F4698" s="561">
        <v>6000.9000000000015</v>
      </c>
      <c r="G4698" s="561">
        <v>651</v>
      </c>
      <c r="H4698" s="561">
        <v>8359.4908299999988</v>
      </c>
      <c r="I4698" s="561">
        <v>27</v>
      </c>
      <c r="J4698" s="561">
        <v>167.78140000000008</v>
      </c>
      <c r="K4698" s="561">
        <v>646</v>
      </c>
      <c r="L4698" s="561">
        <v>8191.7079999999996</v>
      </c>
      <c r="M4698" s="561">
        <v>8167.6729999999989</v>
      </c>
      <c r="N4698" s="561">
        <v>2186.1</v>
      </c>
      <c r="O4698" s="561">
        <v>0</v>
      </c>
      <c r="AL4698" s="561">
        <v>5981.5730000000003</v>
      </c>
    </row>
    <row r="4699" spans="1:65">
      <c r="A4699" s="561">
        <v>24</v>
      </c>
      <c r="B4699" s="561" t="s">
        <v>1592</v>
      </c>
      <c r="C4699" s="561" t="s">
        <v>1196</v>
      </c>
      <c r="D4699" s="561">
        <v>294847</v>
      </c>
      <c r="E4699" s="561">
        <v>88454.1</v>
      </c>
      <c r="F4699" s="561">
        <v>206392.9</v>
      </c>
      <c r="G4699" s="561">
        <v>6351</v>
      </c>
      <c r="H4699" s="561">
        <v>306168.10141999996</v>
      </c>
      <c r="I4699" s="561">
        <v>602</v>
      </c>
      <c r="J4699" s="561">
        <v>11026.16713</v>
      </c>
      <c r="K4699" s="561">
        <v>6323</v>
      </c>
      <c r="L4699" s="561">
        <v>295531.84499999997</v>
      </c>
      <c r="M4699" s="561">
        <v>294847</v>
      </c>
      <c r="N4699" s="561">
        <v>88454.1</v>
      </c>
      <c r="O4699" s="561">
        <v>0</v>
      </c>
      <c r="P4699" s="561">
        <v>206392.89999999997</v>
      </c>
    </row>
    <row r="4700" spans="1:65">
      <c r="C4700" s="561" t="s">
        <v>1197</v>
      </c>
      <c r="D4700" s="561">
        <v>290005</v>
      </c>
      <c r="E4700" s="561">
        <v>87001.5</v>
      </c>
      <c r="F4700" s="561">
        <v>203003.5</v>
      </c>
      <c r="G4700" s="561">
        <v>5892</v>
      </c>
      <c r="H4700" s="561">
        <v>300855.88</v>
      </c>
      <c r="I4700" s="561">
        <v>506</v>
      </c>
      <c r="J4700" s="561">
        <v>10624.503709999999</v>
      </c>
      <c r="K4700" s="561">
        <v>5871</v>
      </c>
      <c r="L4700" s="561">
        <v>290621.28999999998</v>
      </c>
      <c r="M4700" s="561">
        <v>289936.44399999996</v>
      </c>
      <c r="N4700" s="561">
        <v>87001.5</v>
      </c>
      <c r="O4700" s="561">
        <v>0</v>
      </c>
    </row>
    <row r="4701" spans="1:65">
      <c r="C4701" s="561" t="s">
        <v>1198</v>
      </c>
      <c r="D4701" s="561">
        <v>0</v>
      </c>
      <c r="E4701" s="561">
        <v>0</v>
      </c>
      <c r="F4701" s="561">
        <v>0</v>
      </c>
      <c r="G4701" s="561">
        <v>0</v>
      </c>
      <c r="H4701" s="561">
        <v>0</v>
      </c>
      <c r="I4701" s="561">
        <v>0</v>
      </c>
      <c r="J4701" s="561">
        <v>0</v>
      </c>
      <c r="K4701" s="561">
        <v>0</v>
      </c>
      <c r="L4701" s="561">
        <v>0</v>
      </c>
      <c r="M4701" s="561">
        <v>0</v>
      </c>
      <c r="N4701" s="561">
        <v>0</v>
      </c>
      <c r="O4701" s="561">
        <v>0</v>
      </c>
      <c r="P4701" s="561">
        <v>0</v>
      </c>
    </row>
    <row r="4702" spans="1:65">
      <c r="C4702" s="561" t="s">
        <v>1199</v>
      </c>
      <c r="D4702" s="561">
        <v>4842</v>
      </c>
      <c r="E4702" s="561">
        <v>1452.6000000000058</v>
      </c>
      <c r="F4702" s="561">
        <v>3389.3999999999942</v>
      </c>
      <c r="G4702" s="561">
        <v>459</v>
      </c>
      <c r="H4702" s="561">
        <v>5312.221419999998</v>
      </c>
      <c r="I4702" s="561">
        <v>96</v>
      </c>
      <c r="J4702" s="561">
        <v>401.66341999999997</v>
      </c>
      <c r="K4702" s="561">
        <v>452</v>
      </c>
      <c r="L4702" s="561">
        <v>4910.5550000000003</v>
      </c>
      <c r="M4702" s="561">
        <v>4910.5560000000005</v>
      </c>
      <c r="N4702" s="561">
        <v>1452.6000000000004</v>
      </c>
      <c r="O4702" s="561">
        <v>0</v>
      </c>
      <c r="BB4702" s="561">
        <v>3457.9560000000001</v>
      </c>
    </row>
    <row r="4703" spans="1:65">
      <c r="A4703" s="561">
        <v>25</v>
      </c>
      <c r="B4703" s="561" t="s">
        <v>1593</v>
      </c>
      <c r="C4703" s="561" t="s">
        <v>1196</v>
      </c>
      <c r="D4703" s="561">
        <v>25082</v>
      </c>
      <c r="E4703" s="561">
        <v>7524.6</v>
      </c>
      <c r="F4703" s="561">
        <v>17557.400000000001</v>
      </c>
      <c r="G4703" s="561">
        <v>883</v>
      </c>
      <c r="H4703" s="561">
        <v>27909.467479999999</v>
      </c>
      <c r="I4703" s="561">
        <v>98</v>
      </c>
      <c r="J4703" s="561">
        <v>1496.3521500000002</v>
      </c>
      <c r="K4703" s="561">
        <v>877</v>
      </c>
      <c r="L4703" s="561">
        <v>26413.076929999999</v>
      </c>
      <c r="M4703" s="561">
        <v>25081.999999999996</v>
      </c>
      <c r="N4703" s="561">
        <v>7524.5999999999995</v>
      </c>
      <c r="O4703" s="561">
        <v>0</v>
      </c>
      <c r="P4703" s="561">
        <v>17557.400000000001</v>
      </c>
    </row>
    <row r="4704" spans="1:65">
      <c r="C4704" s="561" t="s">
        <v>1197</v>
      </c>
      <c r="D4704" s="561">
        <v>19099</v>
      </c>
      <c r="E4704" s="561">
        <v>5729.7</v>
      </c>
      <c r="F4704" s="561">
        <v>13369.3</v>
      </c>
      <c r="G4704" s="561">
        <v>374</v>
      </c>
      <c r="H4704" s="561">
        <v>21444.72653</v>
      </c>
      <c r="I4704" s="561">
        <v>55</v>
      </c>
      <c r="J4704" s="561">
        <v>1229.1055100000001</v>
      </c>
      <c r="K4704" s="561">
        <v>372</v>
      </c>
      <c r="L4704" s="561">
        <v>20215.616999999998</v>
      </c>
      <c r="M4704" s="561">
        <v>19028.646999999997</v>
      </c>
      <c r="N4704" s="561">
        <v>5729.7000000000007</v>
      </c>
      <c r="O4704" s="561">
        <v>0</v>
      </c>
    </row>
    <row r="4705" spans="1:78">
      <c r="C4705" s="561" t="s">
        <v>1198</v>
      </c>
      <c r="D4705" s="561">
        <v>0</v>
      </c>
      <c r="E4705" s="561">
        <v>0</v>
      </c>
      <c r="F4705" s="561">
        <v>0</v>
      </c>
      <c r="G4705" s="561">
        <v>0</v>
      </c>
      <c r="H4705" s="561">
        <v>0</v>
      </c>
      <c r="I4705" s="561">
        <v>0</v>
      </c>
      <c r="J4705" s="561">
        <v>0</v>
      </c>
      <c r="K4705" s="561">
        <v>0</v>
      </c>
      <c r="L4705" s="561">
        <v>0</v>
      </c>
      <c r="M4705" s="561">
        <v>0</v>
      </c>
      <c r="N4705" s="561">
        <v>0</v>
      </c>
      <c r="O4705" s="561">
        <v>0</v>
      </c>
      <c r="P4705" s="561">
        <v>0</v>
      </c>
    </row>
    <row r="4706" spans="1:78">
      <c r="C4706" s="561" t="s">
        <v>1199</v>
      </c>
      <c r="D4706" s="561">
        <v>5983</v>
      </c>
      <c r="E4706" s="561">
        <v>1794.9000000000005</v>
      </c>
      <c r="F4706" s="561">
        <v>4188.0999999999995</v>
      </c>
      <c r="G4706" s="561">
        <v>509</v>
      </c>
      <c r="H4706" s="561">
        <v>6464.7409500000003</v>
      </c>
      <c r="I4706" s="561">
        <v>43</v>
      </c>
      <c r="J4706" s="561">
        <v>267.24663999999996</v>
      </c>
      <c r="K4706" s="561">
        <v>505</v>
      </c>
      <c r="L4706" s="561">
        <v>6197.45993</v>
      </c>
      <c r="M4706" s="561">
        <v>6053.3530000000001</v>
      </c>
      <c r="N4706" s="561">
        <v>1794.9</v>
      </c>
      <c r="O4706" s="561">
        <v>0</v>
      </c>
      <c r="P4706" s="561">
        <v>4258.4530000000004</v>
      </c>
    </row>
    <row r="4707" spans="1:78">
      <c r="A4707" s="561">
        <v>26</v>
      </c>
      <c r="B4707" s="561" t="s">
        <v>1594</v>
      </c>
      <c r="C4707" s="561" t="s">
        <v>1196</v>
      </c>
      <c r="D4707" s="561">
        <v>28900</v>
      </c>
      <c r="E4707" s="561">
        <v>8670</v>
      </c>
      <c r="F4707" s="561">
        <v>20230</v>
      </c>
      <c r="G4707" s="561">
        <v>507</v>
      </c>
      <c r="H4707" s="561">
        <v>29580.678190000002</v>
      </c>
      <c r="I4707" s="561">
        <v>34</v>
      </c>
      <c r="J4707" s="561">
        <v>579.59799999999996</v>
      </c>
      <c r="K4707" s="561">
        <v>507</v>
      </c>
      <c r="L4707" s="561">
        <v>29002.273000000001</v>
      </c>
      <c r="M4707" s="561">
        <v>28899.999999999996</v>
      </c>
      <c r="N4707" s="561">
        <v>8669.9999999999982</v>
      </c>
      <c r="O4707" s="561">
        <v>0</v>
      </c>
      <c r="P4707" s="561">
        <v>20230</v>
      </c>
    </row>
    <row r="4708" spans="1:78">
      <c r="C4708" s="561" t="s">
        <v>1197</v>
      </c>
      <c r="D4708" s="561">
        <v>28900</v>
      </c>
      <c r="E4708" s="561">
        <v>8670</v>
      </c>
      <c r="F4708" s="561">
        <v>20230</v>
      </c>
      <c r="G4708" s="561">
        <v>507</v>
      </c>
      <c r="H4708" s="561">
        <v>29580.678190000002</v>
      </c>
      <c r="I4708" s="561">
        <v>34</v>
      </c>
      <c r="J4708" s="561">
        <v>579.59799999999996</v>
      </c>
      <c r="K4708" s="561">
        <v>507</v>
      </c>
      <c r="L4708" s="561">
        <v>29002.273000000001</v>
      </c>
      <c r="M4708" s="561">
        <v>28899.999999999996</v>
      </c>
      <c r="N4708" s="561">
        <v>8669.9999999999982</v>
      </c>
      <c r="O4708" s="561">
        <v>0</v>
      </c>
    </row>
    <row r="4709" spans="1:78">
      <c r="C4709" s="561" t="s">
        <v>1198</v>
      </c>
      <c r="D4709" s="561">
        <v>0</v>
      </c>
      <c r="E4709" s="561">
        <v>0</v>
      </c>
      <c r="F4709" s="561">
        <v>0</v>
      </c>
      <c r="G4709" s="561">
        <v>0</v>
      </c>
      <c r="H4709" s="561">
        <v>0</v>
      </c>
      <c r="I4709" s="561">
        <v>0</v>
      </c>
      <c r="J4709" s="561">
        <v>0</v>
      </c>
      <c r="K4709" s="561">
        <v>0</v>
      </c>
      <c r="L4709" s="561">
        <v>0</v>
      </c>
      <c r="M4709" s="561">
        <v>0</v>
      </c>
      <c r="N4709" s="561">
        <v>0</v>
      </c>
      <c r="O4709" s="561">
        <v>0</v>
      </c>
      <c r="P4709" s="561">
        <v>0</v>
      </c>
    </row>
    <row r="4710" spans="1:78">
      <c r="C4710" s="561" t="s">
        <v>1199</v>
      </c>
      <c r="D4710" s="561">
        <v>0</v>
      </c>
      <c r="E4710" s="561">
        <v>0</v>
      </c>
      <c r="F4710" s="561">
        <v>0</v>
      </c>
      <c r="G4710" s="561">
        <v>0</v>
      </c>
      <c r="H4710" s="561">
        <v>0</v>
      </c>
      <c r="I4710" s="561">
        <v>0</v>
      </c>
      <c r="J4710" s="561">
        <v>0</v>
      </c>
      <c r="K4710" s="561">
        <v>0</v>
      </c>
      <c r="L4710" s="561">
        <v>0</v>
      </c>
      <c r="M4710" s="561">
        <v>0</v>
      </c>
      <c r="N4710" s="561">
        <v>0</v>
      </c>
      <c r="O4710" s="561">
        <v>0</v>
      </c>
      <c r="P4710" s="561">
        <v>0</v>
      </c>
    </row>
    <row r="4711" spans="1:78">
      <c r="A4711" s="561">
        <v>27</v>
      </c>
      <c r="B4711" s="561" t="s">
        <v>1595</v>
      </c>
      <c r="C4711" s="561" t="s">
        <v>1196</v>
      </c>
      <c r="D4711" s="561">
        <v>24245</v>
      </c>
      <c r="E4711" s="561">
        <v>6973.5</v>
      </c>
      <c r="F4711" s="561">
        <v>17271.5</v>
      </c>
      <c r="G4711" s="561">
        <v>1586</v>
      </c>
      <c r="H4711" s="561">
        <v>24956.02072</v>
      </c>
      <c r="I4711" s="561">
        <v>146</v>
      </c>
      <c r="J4711" s="561">
        <v>527.4559999999999</v>
      </c>
      <c r="K4711" s="561">
        <v>1585</v>
      </c>
      <c r="L4711" s="561">
        <v>24428.559999999998</v>
      </c>
      <c r="M4711" s="561">
        <v>24245.000000000004</v>
      </c>
      <c r="N4711" s="561">
        <v>6973.5</v>
      </c>
      <c r="O4711" s="561">
        <v>0</v>
      </c>
      <c r="P4711" s="561">
        <v>17271.5</v>
      </c>
    </row>
    <row r="4712" spans="1:78">
      <c r="C4712" s="561" t="s">
        <v>1197</v>
      </c>
      <c r="D4712" s="561">
        <v>0</v>
      </c>
      <c r="E4712" s="561">
        <v>0</v>
      </c>
      <c r="F4712" s="561">
        <v>0</v>
      </c>
      <c r="G4712" s="561">
        <v>0</v>
      </c>
      <c r="H4712" s="561">
        <v>0</v>
      </c>
      <c r="I4712" s="561">
        <v>0</v>
      </c>
      <c r="J4712" s="561">
        <v>0</v>
      </c>
      <c r="K4712" s="561">
        <v>0</v>
      </c>
      <c r="L4712" s="561">
        <v>0</v>
      </c>
      <c r="M4712" s="561">
        <v>0</v>
      </c>
      <c r="N4712" s="561">
        <v>0</v>
      </c>
      <c r="O4712" s="561">
        <v>0</v>
      </c>
      <c r="P4712" s="561">
        <v>0</v>
      </c>
    </row>
    <row r="4713" spans="1:78">
      <c r="C4713" s="561" t="s">
        <v>1198</v>
      </c>
      <c r="D4713" s="561">
        <v>0</v>
      </c>
      <c r="E4713" s="561">
        <v>0</v>
      </c>
      <c r="F4713" s="561">
        <v>0</v>
      </c>
      <c r="G4713" s="561">
        <v>0</v>
      </c>
      <c r="H4713" s="561">
        <v>0</v>
      </c>
      <c r="I4713" s="561">
        <v>0</v>
      </c>
      <c r="J4713" s="561">
        <v>0</v>
      </c>
      <c r="K4713" s="561">
        <v>0</v>
      </c>
      <c r="L4713" s="561">
        <v>0</v>
      </c>
      <c r="M4713" s="561">
        <v>0</v>
      </c>
      <c r="N4713" s="561">
        <v>0</v>
      </c>
      <c r="O4713" s="561">
        <v>0</v>
      </c>
      <c r="P4713" s="561">
        <v>0</v>
      </c>
    </row>
    <row r="4714" spans="1:78">
      <c r="C4714" s="561" t="s">
        <v>1199</v>
      </c>
      <c r="D4714" s="561">
        <v>24245</v>
      </c>
      <c r="E4714" s="561">
        <v>6973.5</v>
      </c>
      <c r="F4714" s="561">
        <v>17271.5</v>
      </c>
      <c r="G4714" s="561">
        <v>1586</v>
      </c>
      <c r="H4714" s="561">
        <v>24956.02072</v>
      </c>
      <c r="I4714" s="561">
        <v>146</v>
      </c>
      <c r="J4714" s="561">
        <v>527.4559999999999</v>
      </c>
      <c r="K4714" s="561">
        <v>1585</v>
      </c>
      <c r="L4714" s="561">
        <v>24428.559999999998</v>
      </c>
      <c r="M4714" s="561">
        <v>24245.000000000004</v>
      </c>
      <c r="N4714" s="561">
        <v>6973.5</v>
      </c>
      <c r="O4714" s="561">
        <v>0</v>
      </c>
      <c r="BZ4714" s="561">
        <v>17271.5</v>
      </c>
    </row>
    <row r="4715" spans="1:78">
      <c r="A4715" s="561">
        <v>28</v>
      </c>
      <c r="B4715" s="561" t="s">
        <v>1596</v>
      </c>
      <c r="C4715" s="561" t="s">
        <v>1196</v>
      </c>
      <c r="D4715" s="561">
        <v>18847</v>
      </c>
      <c r="E4715" s="561">
        <v>5504.1</v>
      </c>
      <c r="F4715" s="561">
        <v>13342.9</v>
      </c>
      <c r="G4715" s="561">
        <v>1398</v>
      </c>
      <c r="H4715" s="561">
        <v>20873.8344</v>
      </c>
      <c r="I4715" s="561">
        <v>218</v>
      </c>
      <c r="J4715" s="561">
        <v>777.66920000000016</v>
      </c>
      <c r="K4715" s="561">
        <v>1398</v>
      </c>
      <c r="L4715" s="561">
        <v>20096.100999999999</v>
      </c>
      <c r="M4715" s="561">
        <v>18847</v>
      </c>
      <c r="N4715" s="561">
        <v>5504.0999999999995</v>
      </c>
      <c r="O4715" s="561">
        <v>0</v>
      </c>
      <c r="P4715" s="561">
        <v>13342.9</v>
      </c>
    </row>
    <row r="4716" spans="1:78">
      <c r="C4716" s="561" t="s">
        <v>1197</v>
      </c>
      <c r="D4716" s="561">
        <v>0</v>
      </c>
      <c r="E4716" s="561">
        <v>0</v>
      </c>
      <c r="F4716" s="561">
        <v>0</v>
      </c>
      <c r="G4716" s="561">
        <v>0</v>
      </c>
      <c r="H4716" s="561">
        <v>0</v>
      </c>
      <c r="I4716" s="561">
        <v>0</v>
      </c>
      <c r="J4716" s="561">
        <v>0</v>
      </c>
      <c r="K4716" s="561">
        <v>0</v>
      </c>
      <c r="L4716" s="561">
        <v>0</v>
      </c>
      <c r="M4716" s="561">
        <v>0</v>
      </c>
      <c r="N4716" s="561">
        <v>0</v>
      </c>
      <c r="O4716" s="561">
        <v>0</v>
      </c>
      <c r="P4716" s="561">
        <v>0</v>
      </c>
    </row>
    <row r="4717" spans="1:78">
      <c r="C4717" s="561" t="s">
        <v>1198</v>
      </c>
      <c r="D4717" s="561">
        <v>0</v>
      </c>
      <c r="E4717" s="561">
        <v>0</v>
      </c>
      <c r="F4717" s="561">
        <v>0</v>
      </c>
      <c r="G4717" s="561">
        <v>0</v>
      </c>
      <c r="H4717" s="561">
        <v>0</v>
      </c>
      <c r="I4717" s="561">
        <v>0</v>
      </c>
      <c r="J4717" s="561">
        <v>0</v>
      </c>
      <c r="K4717" s="561">
        <v>0</v>
      </c>
      <c r="L4717" s="561">
        <v>0</v>
      </c>
      <c r="M4717" s="561">
        <v>0</v>
      </c>
      <c r="N4717" s="561">
        <v>0</v>
      </c>
      <c r="O4717" s="561">
        <v>0</v>
      </c>
      <c r="P4717" s="561">
        <v>0</v>
      </c>
    </row>
    <row r="4718" spans="1:78">
      <c r="C4718" s="561" t="s">
        <v>1199</v>
      </c>
      <c r="D4718" s="561">
        <v>18847</v>
      </c>
      <c r="E4718" s="561">
        <v>5504.1</v>
      </c>
      <c r="F4718" s="561">
        <v>13342.9</v>
      </c>
      <c r="G4718" s="561">
        <v>1398</v>
      </c>
      <c r="H4718" s="561">
        <v>20873.8344</v>
      </c>
      <c r="I4718" s="561">
        <v>218</v>
      </c>
      <c r="J4718" s="561">
        <v>777.66920000000016</v>
      </c>
      <c r="K4718" s="561">
        <v>1398</v>
      </c>
      <c r="L4718" s="561">
        <v>20096.100999999999</v>
      </c>
      <c r="M4718" s="561">
        <v>18847</v>
      </c>
      <c r="N4718" s="561">
        <v>5504.0999999999995</v>
      </c>
      <c r="O4718" s="561">
        <v>0</v>
      </c>
      <c r="BZ4718" s="561">
        <v>13342.9</v>
      </c>
    </row>
    <row r="4719" spans="1:78">
      <c r="A4719" s="561">
        <v>29</v>
      </c>
      <c r="B4719" s="561" t="s">
        <v>1597</v>
      </c>
      <c r="C4719" s="561" t="s">
        <v>1196</v>
      </c>
      <c r="D4719" s="561">
        <v>5000</v>
      </c>
      <c r="E4719" s="561">
        <v>1410</v>
      </c>
      <c r="F4719" s="561">
        <v>3590</v>
      </c>
      <c r="G4719" s="561">
        <v>376</v>
      </c>
      <c r="H4719" s="561">
        <v>5969.7694499999998</v>
      </c>
      <c r="I4719" s="561">
        <v>44</v>
      </c>
      <c r="J4719" s="561">
        <v>324.75765000000001</v>
      </c>
      <c r="K4719" s="561">
        <v>374</v>
      </c>
      <c r="L4719" s="561">
        <v>5645.0050000000001</v>
      </c>
      <c r="M4719" s="561">
        <v>5000</v>
      </c>
      <c r="N4719" s="561">
        <v>1409.9999999999998</v>
      </c>
      <c r="O4719" s="561">
        <v>0</v>
      </c>
      <c r="P4719" s="561">
        <v>3590</v>
      </c>
    </row>
    <row r="4720" spans="1:78">
      <c r="C4720" s="561" t="s">
        <v>1197</v>
      </c>
      <c r="D4720" s="561">
        <v>0</v>
      </c>
      <c r="E4720" s="561">
        <v>0</v>
      </c>
      <c r="F4720" s="561">
        <v>0</v>
      </c>
      <c r="G4720" s="561">
        <v>0</v>
      </c>
      <c r="H4720" s="561">
        <v>0</v>
      </c>
      <c r="I4720" s="561">
        <v>0</v>
      </c>
      <c r="J4720" s="561">
        <v>0</v>
      </c>
      <c r="K4720" s="561">
        <v>0</v>
      </c>
      <c r="L4720" s="561">
        <v>0</v>
      </c>
      <c r="M4720" s="561">
        <v>0</v>
      </c>
      <c r="N4720" s="561">
        <v>0</v>
      </c>
      <c r="O4720" s="561">
        <v>0</v>
      </c>
      <c r="P4720" s="561">
        <v>0</v>
      </c>
    </row>
    <row r="4721" spans="1:78">
      <c r="C4721" s="561" t="s">
        <v>1198</v>
      </c>
      <c r="D4721" s="561">
        <v>0</v>
      </c>
      <c r="E4721" s="561">
        <v>0</v>
      </c>
      <c r="F4721" s="561">
        <v>0</v>
      </c>
      <c r="G4721" s="561">
        <v>0</v>
      </c>
      <c r="H4721" s="561">
        <v>0</v>
      </c>
      <c r="I4721" s="561">
        <v>0</v>
      </c>
      <c r="J4721" s="561">
        <v>0</v>
      </c>
      <c r="K4721" s="561">
        <v>0</v>
      </c>
      <c r="L4721" s="561">
        <v>0</v>
      </c>
      <c r="M4721" s="561">
        <v>0</v>
      </c>
      <c r="N4721" s="561">
        <v>0</v>
      </c>
      <c r="O4721" s="561">
        <v>0</v>
      </c>
      <c r="P4721" s="561">
        <v>0</v>
      </c>
    </row>
    <row r="4722" spans="1:78">
      <c r="C4722" s="561" t="s">
        <v>1199</v>
      </c>
      <c r="D4722" s="561">
        <v>5000</v>
      </c>
      <c r="E4722" s="561">
        <v>1410</v>
      </c>
      <c r="F4722" s="561">
        <v>3590</v>
      </c>
      <c r="G4722" s="561">
        <v>376</v>
      </c>
      <c r="H4722" s="561">
        <v>5969.7694499999998</v>
      </c>
      <c r="I4722" s="561">
        <v>44</v>
      </c>
      <c r="J4722" s="561">
        <v>324.75765000000001</v>
      </c>
      <c r="K4722" s="561">
        <v>374</v>
      </c>
      <c r="L4722" s="561">
        <v>5645.0050000000001</v>
      </c>
      <c r="M4722" s="561">
        <v>5000</v>
      </c>
      <c r="N4722" s="561">
        <v>1409.9999999999998</v>
      </c>
      <c r="O4722" s="561">
        <v>0</v>
      </c>
      <c r="BZ4722" s="561">
        <v>3590</v>
      </c>
    </row>
    <row r="4723" spans="1:78">
      <c r="A4723" s="561">
        <v>30</v>
      </c>
      <c r="B4723" s="561" t="s">
        <v>1598</v>
      </c>
      <c r="C4723" s="561" t="s">
        <v>1196</v>
      </c>
      <c r="D4723" s="561">
        <v>22052</v>
      </c>
      <c r="E4723" s="561">
        <v>4995.6000000000004</v>
      </c>
      <c r="F4723" s="561">
        <v>17056.400000000001</v>
      </c>
      <c r="G4723" s="561">
        <v>1593</v>
      </c>
      <c r="H4723" s="561">
        <v>26055.844969999998</v>
      </c>
      <c r="I4723" s="561">
        <v>113</v>
      </c>
      <c r="J4723" s="561">
        <v>658.91300000000001</v>
      </c>
      <c r="K4723" s="561">
        <v>1586</v>
      </c>
      <c r="L4723" s="561">
        <v>25600.319</v>
      </c>
      <c r="M4723" s="561">
        <v>22052</v>
      </c>
      <c r="N4723" s="561">
        <v>4995.6000000000013</v>
      </c>
      <c r="O4723" s="561">
        <v>0</v>
      </c>
      <c r="P4723" s="561">
        <v>17056.399999999998</v>
      </c>
    </row>
    <row r="4724" spans="1:78">
      <c r="C4724" s="561" t="s">
        <v>1197</v>
      </c>
      <c r="D4724" s="561">
        <v>0</v>
      </c>
      <c r="E4724" s="561">
        <v>0</v>
      </c>
      <c r="F4724" s="561">
        <v>0</v>
      </c>
      <c r="G4724" s="561">
        <v>0</v>
      </c>
      <c r="H4724" s="561">
        <v>0</v>
      </c>
      <c r="I4724" s="561">
        <v>0</v>
      </c>
      <c r="J4724" s="561">
        <v>0</v>
      </c>
      <c r="K4724" s="561">
        <v>0</v>
      </c>
      <c r="L4724" s="561">
        <v>0</v>
      </c>
      <c r="M4724" s="561">
        <v>0</v>
      </c>
      <c r="N4724" s="561">
        <v>0</v>
      </c>
      <c r="O4724" s="561">
        <v>0</v>
      </c>
      <c r="P4724" s="561">
        <v>0</v>
      </c>
    </row>
    <row r="4725" spans="1:78">
      <c r="C4725" s="561" t="s">
        <v>1198</v>
      </c>
      <c r="D4725" s="561">
        <v>0</v>
      </c>
      <c r="E4725" s="561">
        <v>0</v>
      </c>
      <c r="F4725" s="561">
        <v>0</v>
      </c>
      <c r="G4725" s="561">
        <v>0</v>
      </c>
      <c r="H4725" s="561">
        <v>0</v>
      </c>
      <c r="I4725" s="561">
        <v>0</v>
      </c>
      <c r="J4725" s="561">
        <v>0</v>
      </c>
      <c r="K4725" s="561">
        <v>0</v>
      </c>
      <c r="L4725" s="561">
        <v>0</v>
      </c>
      <c r="M4725" s="561">
        <v>0</v>
      </c>
      <c r="N4725" s="561">
        <v>0</v>
      </c>
      <c r="O4725" s="561">
        <v>0</v>
      </c>
      <c r="P4725" s="561">
        <v>0</v>
      </c>
    </row>
    <row r="4726" spans="1:78">
      <c r="C4726" s="561" t="s">
        <v>1199</v>
      </c>
      <c r="D4726" s="561">
        <v>22052</v>
      </c>
      <c r="E4726" s="561">
        <v>4995.6000000000004</v>
      </c>
      <c r="F4726" s="561">
        <v>17056.400000000001</v>
      </c>
      <c r="G4726" s="561">
        <v>1593</v>
      </c>
      <c r="H4726" s="561">
        <v>26055.844969999998</v>
      </c>
      <c r="I4726" s="561">
        <v>113</v>
      </c>
      <c r="J4726" s="561">
        <v>658.91300000000001</v>
      </c>
      <c r="K4726" s="561">
        <v>1586</v>
      </c>
      <c r="L4726" s="561">
        <v>25600.319</v>
      </c>
      <c r="M4726" s="561">
        <v>22052</v>
      </c>
      <c r="N4726" s="561">
        <v>4995.6000000000013</v>
      </c>
      <c r="O4726" s="561">
        <v>0</v>
      </c>
      <c r="BZ4726" s="561">
        <v>17056.399999999998</v>
      </c>
    </row>
    <row r="4727" spans="1:78">
      <c r="A4727" s="561">
        <v>31</v>
      </c>
      <c r="B4727" s="561" t="s">
        <v>1599</v>
      </c>
      <c r="C4727" s="561" t="s">
        <v>1196</v>
      </c>
      <c r="D4727" s="561">
        <v>386192</v>
      </c>
      <c r="E4727" s="561">
        <v>110457.60000000001</v>
      </c>
      <c r="F4727" s="561">
        <v>275734.40000000002</v>
      </c>
      <c r="G4727" s="561">
        <v>7607</v>
      </c>
      <c r="H4727" s="561">
        <v>407786.04839999991</v>
      </c>
      <c r="I4727" s="561">
        <v>833</v>
      </c>
      <c r="J4727" s="561">
        <v>29782.6214</v>
      </c>
      <c r="K4727" s="561">
        <v>7496</v>
      </c>
      <c r="L4727" s="561">
        <v>386603.46299999999</v>
      </c>
      <c r="M4727" s="561">
        <v>386192</v>
      </c>
      <c r="N4727" s="561">
        <v>110457.60000000001</v>
      </c>
      <c r="O4727" s="561">
        <v>0</v>
      </c>
      <c r="P4727" s="561">
        <v>275734.39999999997</v>
      </c>
    </row>
    <row r="4728" spans="1:78">
      <c r="C4728" s="561" t="s">
        <v>1197</v>
      </c>
      <c r="D4728" s="561">
        <v>366486</v>
      </c>
      <c r="E4728" s="561">
        <v>106795.8</v>
      </c>
      <c r="F4728" s="561">
        <v>259690.2</v>
      </c>
      <c r="G4728" s="561">
        <v>6187</v>
      </c>
      <c r="H4728" s="561">
        <v>388271.95199999999</v>
      </c>
      <c r="I4728" s="561">
        <v>766</v>
      </c>
      <c r="J4728" s="561">
        <v>29365.273000000001</v>
      </c>
      <c r="K4728" s="561">
        <v>6080</v>
      </c>
      <c r="L4728" s="561">
        <v>367506.71499999997</v>
      </c>
      <c r="M4728" s="561">
        <v>367095.25199999998</v>
      </c>
      <c r="N4728" s="561">
        <v>106795.80000000002</v>
      </c>
      <c r="O4728" s="561">
        <v>0</v>
      </c>
    </row>
    <row r="4729" spans="1:78">
      <c r="C4729" s="561" t="s">
        <v>1198</v>
      </c>
      <c r="D4729" s="561">
        <v>0</v>
      </c>
      <c r="E4729" s="561">
        <v>0</v>
      </c>
      <c r="F4729" s="561">
        <v>0</v>
      </c>
      <c r="G4729" s="561">
        <v>0</v>
      </c>
      <c r="H4729" s="561">
        <v>0</v>
      </c>
      <c r="I4729" s="561">
        <v>0</v>
      </c>
      <c r="J4729" s="561">
        <v>0</v>
      </c>
      <c r="K4729" s="561">
        <v>0</v>
      </c>
      <c r="L4729" s="561">
        <v>0</v>
      </c>
      <c r="M4729" s="561">
        <v>0</v>
      </c>
      <c r="N4729" s="561">
        <v>0</v>
      </c>
      <c r="O4729" s="561">
        <v>0</v>
      </c>
      <c r="P4729" s="561">
        <v>0</v>
      </c>
    </row>
    <row r="4730" spans="1:78">
      <c r="C4730" s="561" t="s">
        <v>1199</v>
      </c>
      <c r="D4730" s="561">
        <v>19706</v>
      </c>
      <c r="E4730" s="561">
        <v>3661.8000000000029</v>
      </c>
      <c r="F4730" s="561">
        <v>16044.199999999997</v>
      </c>
      <c r="G4730" s="561">
        <v>1420</v>
      </c>
      <c r="H4730" s="561">
        <v>19514.096399999995</v>
      </c>
      <c r="I4730" s="561">
        <v>67</v>
      </c>
      <c r="J4730" s="561">
        <v>417.34839999999997</v>
      </c>
      <c r="K4730" s="561">
        <v>1416</v>
      </c>
      <c r="L4730" s="561">
        <v>19096.747999999996</v>
      </c>
      <c r="M4730" s="561">
        <v>19096.748</v>
      </c>
      <c r="N4730" s="561">
        <v>3661.8000000000011</v>
      </c>
      <c r="O4730" s="561">
        <v>0</v>
      </c>
      <c r="BZ4730" s="561">
        <v>15434.947999999999</v>
      </c>
    </row>
    <row r="4731" spans="1:78">
      <c r="A4731" s="561">
        <v>32</v>
      </c>
      <c r="B4731" s="561" t="s">
        <v>1600</v>
      </c>
      <c r="C4731" s="561" t="s">
        <v>1196</v>
      </c>
      <c r="D4731" s="561">
        <v>23420</v>
      </c>
      <c r="E4731" s="561">
        <v>7026</v>
      </c>
      <c r="F4731" s="561">
        <v>16394</v>
      </c>
      <c r="G4731" s="561">
        <v>1730</v>
      </c>
      <c r="H4731" s="561">
        <v>24509.352800000004</v>
      </c>
      <c r="I4731" s="561">
        <v>58</v>
      </c>
      <c r="J4731" s="561">
        <v>282.73080000000004</v>
      </c>
      <c r="K4731" s="561">
        <v>1730</v>
      </c>
      <c r="L4731" s="561">
        <v>23787.951999999997</v>
      </c>
      <c r="M4731" s="561">
        <v>23419.999999999996</v>
      </c>
      <c r="N4731" s="561">
        <v>7026</v>
      </c>
      <c r="O4731" s="561">
        <v>0</v>
      </c>
      <c r="P4731" s="561">
        <v>16394</v>
      </c>
    </row>
    <row r="4732" spans="1:78">
      <c r="C4732" s="561" t="s">
        <v>1197</v>
      </c>
      <c r="D4732" s="561">
        <v>0</v>
      </c>
      <c r="E4732" s="561">
        <v>0</v>
      </c>
      <c r="F4732" s="561">
        <v>0</v>
      </c>
      <c r="G4732" s="561">
        <v>0</v>
      </c>
      <c r="H4732" s="561">
        <v>0</v>
      </c>
      <c r="I4732" s="561">
        <v>0</v>
      </c>
      <c r="J4732" s="561">
        <v>0</v>
      </c>
      <c r="K4732" s="561">
        <v>0</v>
      </c>
      <c r="L4732" s="561">
        <v>0</v>
      </c>
      <c r="M4732" s="561">
        <v>0</v>
      </c>
      <c r="N4732" s="561">
        <v>0</v>
      </c>
      <c r="O4732" s="561">
        <v>0</v>
      </c>
      <c r="P4732" s="561">
        <v>0</v>
      </c>
    </row>
    <row r="4733" spans="1:78">
      <c r="C4733" s="561" t="s">
        <v>1198</v>
      </c>
      <c r="D4733" s="561">
        <v>0</v>
      </c>
      <c r="E4733" s="561">
        <v>0</v>
      </c>
      <c r="F4733" s="561">
        <v>0</v>
      </c>
      <c r="G4733" s="561">
        <v>0</v>
      </c>
      <c r="H4733" s="561">
        <v>0</v>
      </c>
      <c r="I4733" s="561">
        <v>0</v>
      </c>
      <c r="J4733" s="561">
        <v>0</v>
      </c>
      <c r="K4733" s="561">
        <v>0</v>
      </c>
      <c r="L4733" s="561">
        <v>0</v>
      </c>
      <c r="M4733" s="561">
        <v>0</v>
      </c>
      <c r="N4733" s="561">
        <v>0</v>
      </c>
      <c r="O4733" s="561">
        <v>0</v>
      </c>
      <c r="P4733" s="561">
        <v>0</v>
      </c>
    </row>
    <row r="4734" spans="1:78">
      <c r="C4734" s="561" t="s">
        <v>1199</v>
      </c>
      <c r="D4734" s="561">
        <v>23420</v>
      </c>
      <c r="E4734" s="561">
        <v>7026</v>
      </c>
      <c r="F4734" s="561">
        <v>16394</v>
      </c>
      <c r="G4734" s="561">
        <v>1730</v>
      </c>
      <c r="H4734" s="561">
        <v>24509.352800000004</v>
      </c>
      <c r="I4734" s="561">
        <v>58</v>
      </c>
      <c r="J4734" s="561">
        <v>282.73080000000004</v>
      </c>
      <c r="K4734" s="561">
        <v>1730</v>
      </c>
      <c r="L4734" s="561">
        <v>23787.951999999997</v>
      </c>
      <c r="M4734" s="561">
        <v>23419.999999999996</v>
      </c>
      <c r="N4734" s="561">
        <v>7026</v>
      </c>
      <c r="O4734" s="561">
        <v>0</v>
      </c>
      <c r="BZ4734" s="561">
        <v>16394</v>
      </c>
    </row>
    <row r="4735" spans="1:78">
      <c r="A4735" s="561">
        <v>33</v>
      </c>
      <c r="B4735" s="561" t="s">
        <v>1601</v>
      </c>
      <c r="C4735" s="561" t="s">
        <v>1196</v>
      </c>
      <c r="D4735" s="561">
        <v>7485</v>
      </c>
      <c r="E4735" s="561">
        <v>2035.5</v>
      </c>
      <c r="F4735" s="561">
        <v>5449.5</v>
      </c>
      <c r="G4735" s="561">
        <v>634</v>
      </c>
      <c r="H4735" s="561">
        <v>8018.7429999999995</v>
      </c>
      <c r="I4735" s="561">
        <v>32</v>
      </c>
      <c r="J4735" s="561">
        <v>169.108</v>
      </c>
      <c r="K4735" s="561">
        <v>634</v>
      </c>
      <c r="L4735" s="561">
        <v>7509.8950000000004</v>
      </c>
      <c r="M4735" s="561">
        <v>7485</v>
      </c>
      <c r="N4735" s="561">
        <v>2035.4999999999998</v>
      </c>
      <c r="O4735" s="561">
        <v>0</v>
      </c>
      <c r="P4735" s="561">
        <v>5449.5</v>
      </c>
    </row>
    <row r="4736" spans="1:78">
      <c r="C4736" s="561" t="s">
        <v>1197</v>
      </c>
      <c r="D4736" s="561">
        <v>0</v>
      </c>
      <c r="E4736" s="561">
        <v>0</v>
      </c>
      <c r="F4736" s="561">
        <v>0</v>
      </c>
      <c r="G4736" s="561">
        <v>0</v>
      </c>
      <c r="H4736" s="561">
        <v>0</v>
      </c>
      <c r="I4736" s="561">
        <v>0</v>
      </c>
      <c r="J4736" s="561">
        <v>0</v>
      </c>
      <c r="K4736" s="561">
        <v>0</v>
      </c>
      <c r="L4736" s="561">
        <v>0</v>
      </c>
      <c r="M4736" s="561">
        <v>0</v>
      </c>
      <c r="N4736" s="561">
        <v>0</v>
      </c>
      <c r="O4736" s="561">
        <v>0</v>
      </c>
      <c r="P4736" s="561">
        <v>0</v>
      </c>
    </row>
    <row r="4737" spans="1:78">
      <c r="C4737" s="561" t="s">
        <v>1198</v>
      </c>
      <c r="D4737" s="561">
        <v>0</v>
      </c>
      <c r="E4737" s="561">
        <v>0</v>
      </c>
      <c r="F4737" s="561">
        <v>0</v>
      </c>
      <c r="G4737" s="561">
        <v>0</v>
      </c>
      <c r="H4737" s="561">
        <v>0</v>
      </c>
      <c r="I4737" s="561">
        <v>0</v>
      </c>
      <c r="J4737" s="561">
        <v>0</v>
      </c>
      <c r="K4737" s="561">
        <v>0</v>
      </c>
      <c r="L4737" s="561">
        <v>0</v>
      </c>
      <c r="M4737" s="561">
        <v>0</v>
      </c>
      <c r="N4737" s="561">
        <v>0</v>
      </c>
      <c r="O4737" s="561">
        <v>0</v>
      </c>
      <c r="P4737" s="561">
        <v>0</v>
      </c>
    </row>
    <row r="4738" spans="1:78">
      <c r="C4738" s="561" t="s">
        <v>1199</v>
      </c>
      <c r="D4738" s="561">
        <v>7485</v>
      </c>
      <c r="E4738" s="561">
        <v>2035.5</v>
      </c>
      <c r="F4738" s="561">
        <v>5449.5</v>
      </c>
      <c r="G4738" s="561">
        <v>634</v>
      </c>
      <c r="H4738" s="561">
        <v>8018.7429999999995</v>
      </c>
      <c r="I4738" s="561">
        <v>32</v>
      </c>
      <c r="J4738" s="561">
        <v>169.108</v>
      </c>
      <c r="K4738" s="561">
        <v>634</v>
      </c>
      <c r="L4738" s="561">
        <v>7509.8950000000004</v>
      </c>
      <c r="M4738" s="561">
        <v>7485</v>
      </c>
      <c r="N4738" s="561">
        <v>2035.4999999999998</v>
      </c>
      <c r="O4738" s="561">
        <v>0</v>
      </c>
      <c r="BZ4738" s="561">
        <v>5449.5</v>
      </c>
    </row>
    <row r="4739" spans="1:78">
      <c r="A4739" s="561">
        <v>34</v>
      </c>
      <c r="B4739" s="561" t="s">
        <v>1602</v>
      </c>
      <c r="C4739" s="561" t="s">
        <v>1196</v>
      </c>
      <c r="D4739" s="561">
        <v>485832</v>
      </c>
      <c r="E4739" s="561">
        <v>141399.6</v>
      </c>
      <c r="F4739" s="561">
        <v>344432.4</v>
      </c>
      <c r="G4739" s="561">
        <v>8495</v>
      </c>
      <c r="H4739" s="561">
        <v>541679.22479999997</v>
      </c>
      <c r="I4739" s="561">
        <v>1145</v>
      </c>
      <c r="J4739" s="561">
        <v>45835.402800000003</v>
      </c>
      <c r="K4739" s="561">
        <v>8460</v>
      </c>
      <c r="L4739" s="561">
        <v>501333.52999999997</v>
      </c>
      <c r="M4739" s="561">
        <v>485832</v>
      </c>
      <c r="N4739" s="561">
        <v>141399.6</v>
      </c>
      <c r="O4739" s="561">
        <v>0</v>
      </c>
      <c r="P4739" s="561">
        <v>344432.4</v>
      </c>
    </row>
    <row r="4740" spans="1:78">
      <c r="C4740" s="561" t="s">
        <v>1197</v>
      </c>
      <c r="D4740" s="561">
        <v>468751</v>
      </c>
      <c r="E4740" s="561">
        <v>137925.29999999999</v>
      </c>
      <c r="F4740" s="561">
        <v>330825.7</v>
      </c>
      <c r="G4740" s="561">
        <v>7342</v>
      </c>
      <c r="H4740" s="561">
        <v>524008.24599999993</v>
      </c>
      <c r="I4740" s="561">
        <v>1082</v>
      </c>
      <c r="J4740" s="561">
        <v>45535.886000000006</v>
      </c>
      <c r="K4740" s="561">
        <v>7308</v>
      </c>
      <c r="L4740" s="561">
        <v>483962.02299999999</v>
      </c>
      <c r="M4740" s="561">
        <v>468460.49300000002</v>
      </c>
      <c r="N4740" s="561">
        <v>137925.30000000002</v>
      </c>
      <c r="O4740" s="561">
        <v>0</v>
      </c>
    </row>
    <row r="4741" spans="1:78">
      <c r="C4741" s="561" t="s">
        <v>1198</v>
      </c>
      <c r="D4741" s="561">
        <v>0</v>
      </c>
      <c r="E4741" s="561">
        <v>0</v>
      </c>
      <c r="F4741" s="561">
        <v>0</v>
      </c>
      <c r="G4741" s="561">
        <v>0</v>
      </c>
      <c r="H4741" s="561">
        <v>0</v>
      </c>
      <c r="I4741" s="561">
        <v>0</v>
      </c>
      <c r="J4741" s="561">
        <v>0</v>
      </c>
      <c r="K4741" s="561">
        <v>0</v>
      </c>
      <c r="L4741" s="561">
        <v>0</v>
      </c>
      <c r="M4741" s="561">
        <v>0</v>
      </c>
      <c r="N4741" s="561">
        <v>0</v>
      </c>
      <c r="O4741" s="561">
        <v>0</v>
      </c>
      <c r="P4741" s="561">
        <v>0</v>
      </c>
    </row>
    <row r="4742" spans="1:78">
      <c r="C4742" s="561" t="s">
        <v>1199</v>
      </c>
      <c r="D4742" s="561">
        <v>17081</v>
      </c>
      <c r="E4742" s="561">
        <v>3474.3000000000175</v>
      </c>
      <c r="F4742" s="561">
        <v>13606.699999999983</v>
      </c>
      <c r="G4742" s="561">
        <v>1153</v>
      </c>
      <c r="H4742" s="561">
        <v>17670.978799999997</v>
      </c>
      <c r="I4742" s="561">
        <v>63</v>
      </c>
      <c r="J4742" s="561">
        <v>299.51680000000005</v>
      </c>
      <c r="K4742" s="561">
        <v>1152</v>
      </c>
      <c r="L4742" s="561">
        <v>17371.506999999998</v>
      </c>
      <c r="M4742" s="561">
        <v>17371.507000000001</v>
      </c>
      <c r="N4742" s="561">
        <v>3474.3000000000011</v>
      </c>
      <c r="O4742" s="561">
        <v>0</v>
      </c>
      <c r="AL4742" s="561">
        <v>13897.207</v>
      </c>
    </row>
    <row r="4743" spans="1:78">
      <c r="A4743" s="561">
        <v>35</v>
      </c>
      <c r="B4743" s="561" t="s">
        <v>1603</v>
      </c>
      <c r="C4743" s="561" t="s">
        <v>1196</v>
      </c>
      <c r="D4743" s="561">
        <v>114363.098</v>
      </c>
      <c r="E4743" s="561">
        <v>34726.5</v>
      </c>
      <c r="F4743" s="561">
        <v>79636.597999999998</v>
      </c>
      <c r="G4743" s="561">
        <v>2557</v>
      </c>
      <c r="H4743" s="561">
        <v>120146.59804</v>
      </c>
      <c r="I4743" s="561">
        <v>215</v>
      </c>
      <c r="J4743" s="561">
        <v>6138.5020500000001</v>
      </c>
      <c r="K4743" s="561">
        <v>2529</v>
      </c>
      <c r="L4743" s="561">
        <v>114999.17499999999</v>
      </c>
      <c r="M4743" s="561">
        <v>114363.09699999999</v>
      </c>
      <c r="N4743" s="561">
        <v>34726.500000000007</v>
      </c>
      <c r="O4743" s="561">
        <v>0</v>
      </c>
      <c r="P4743" s="561">
        <v>79636.597999999998</v>
      </c>
    </row>
    <row r="4744" spans="1:78">
      <c r="C4744" s="561" t="s">
        <v>1197</v>
      </c>
      <c r="D4744" s="561">
        <v>98664</v>
      </c>
      <c r="E4744" s="561">
        <v>31099.200000000001</v>
      </c>
      <c r="F4744" s="561">
        <v>67564.800000000003</v>
      </c>
      <c r="G4744" s="561">
        <v>1408</v>
      </c>
      <c r="H4744" s="561">
        <v>101519.46114</v>
      </c>
      <c r="I4744" s="561">
        <v>141</v>
      </c>
      <c r="J4744" s="561">
        <v>5642.2979999999998</v>
      </c>
      <c r="K4744" s="561">
        <v>1385</v>
      </c>
      <c r="L4744" s="561">
        <v>96867.84599999999</v>
      </c>
      <c r="M4744" s="561">
        <v>96521.609999999986</v>
      </c>
      <c r="N4744" s="561">
        <v>31099.200000000004</v>
      </c>
      <c r="O4744" s="561">
        <v>0</v>
      </c>
    </row>
    <row r="4745" spans="1:78">
      <c r="C4745" s="561" t="s">
        <v>1198</v>
      </c>
      <c r="D4745" s="561">
        <v>0</v>
      </c>
      <c r="E4745" s="561">
        <v>0</v>
      </c>
      <c r="F4745" s="561">
        <v>0</v>
      </c>
      <c r="G4745" s="561">
        <v>0</v>
      </c>
      <c r="H4745" s="561">
        <v>0</v>
      </c>
      <c r="I4745" s="561">
        <v>0</v>
      </c>
      <c r="J4745" s="561">
        <v>0</v>
      </c>
      <c r="K4745" s="561">
        <v>0</v>
      </c>
      <c r="L4745" s="561">
        <v>0</v>
      </c>
      <c r="M4745" s="561">
        <v>0</v>
      </c>
      <c r="N4745" s="561">
        <v>0</v>
      </c>
      <c r="O4745" s="561">
        <v>0</v>
      </c>
      <c r="P4745" s="561">
        <v>0</v>
      </c>
    </row>
    <row r="4746" spans="1:78">
      <c r="C4746" s="561" t="s">
        <v>1199</v>
      </c>
      <c r="D4746" s="561">
        <v>12091</v>
      </c>
      <c r="E4746" s="561">
        <v>3627.2999999999993</v>
      </c>
      <c r="F4746" s="561">
        <v>8463.7000000000007</v>
      </c>
      <c r="G4746" s="561">
        <v>1149</v>
      </c>
      <c r="H4746" s="561">
        <v>15391.296900000001</v>
      </c>
      <c r="I4746" s="561">
        <v>74</v>
      </c>
      <c r="J4746" s="561">
        <v>496.20405</v>
      </c>
      <c r="K4746" s="561">
        <v>1144</v>
      </c>
      <c r="L4746" s="561">
        <v>14895.489</v>
      </c>
      <c r="M4746" s="561">
        <v>14895.489</v>
      </c>
      <c r="N4746" s="561">
        <v>3627.3</v>
      </c>
      <c r="O4746" s="561">
        <v>0</v>
      </c>
      <c r="AL4746" s="561">
        <v>11268.189</v>
      </c>
    </row>
    <row r="4747" spans="1:78">
      <c r="C4747" s="561" t="s">
        <v>1202</v>
      </c>
      <c r="D4747" s="561">
        <v>3608.098</v>
      </c>
      <c r="F4747" s="561">
        <v>3608.098</v>
      </c>
      <c r="G4747" s="561">
        <v>0</v>
      </c>
      <c r="H4747" s="561">
        <v>3235.84</v>
      </c>
      <c r="I4747" s="561">
        <v>0</v>
      </c>
      <c r="J4747" s="561">
        <v>0</v>
      </c>
      <c r="K4747" s="561">
        <v>0</v>
      </c>
      <c r="L4747" s="561">
        <v>3235.84</v>
      </c>
      <c r="M4747" s="561">
        <v>2945.998</v>
      </c>
      <c r="N4747" s="561">
        <v>0</v>
      </c>
      <c r="O4747" s="561">
        <v>0</v>
      </c>
      <c r="P4747" s="561">
        <v>2945.998</v>
      </c>
    </row>
    <row r="4748" spans="1:78">
      <c r="A4748" s="561">
        <v>36</v>
      </c>
      <c r="B4748" s="561" t="s">
        <v>1604</v>
      </c>
      <c r="C4748" s="561" t="s">
        <v>1196</v>
      </c>
      <c r="D4748" s="561">
        <v>258055</v>
      </c>
      <c r="E4748" s="561">
        <v>56164.5</v>
      </c>
      <c r="F4748" s="561">
        <v>201890.5</v>
      </c>
      <c r="G4748" s="561">
        <v>5033</v>
      </c>
      <c r="H4748" s="561">
        <v>280557.97900000005</v>
      </c>
      <c r="I4748" s="561">
        <v>599</v>
      </c>
      <c r="J4748" s="561">
        <v>13933.138000000001</v>
      </c>
      <c r="K4748" s="561">
        <v>5017</v>
      </c>
      <c r="L4748" s="561">
        <v>266891.21388</v>
      </c>
      <c r="M4748" s="561">
        <v>258054.99999999997</v>
      </c>
      <c r="N4748" s="561">
        <v>56164.499999999985</v>
      </c>
      <c r="O4748" s="561">
        <v>0</v>
      </c>
      <c r="P4748" s="561">
        <v>201890.5</v>
      </c>
    </row>
    <row r="4749" spans="1:78">
      <c r="C4749" s="561" t="s">
        <v>1197</v>
      </c>
      <c r="D4749" s="561">
        <v>249491</v>
      </c>
      <c r="E4749" s="561">
        <v>54235.199999999997</v>
      </c>
      <c r="F4749" s="561">
        <v>195255.8</v>
      </c>
      <c r="G4749" s="561">
        <v>4335</v>
      </c>
      <c r="H4749" s="561">
        <v>271918.41299999994</v>
      </c>
      <c r="I4749" s="561">
        <v>549</v>
      </c>
      <c r="J4749" s="561">
        <v>13634.741</v>
      </c>
      <c r="K4749" s="561">
        <v>4320</v>
      </c>
      <c r="L4749" s="561">
        <v>258548.04366</v>
      </c>
      <c r="M4749" s="561">
        <v>249711.83000000002</v>
      </c>
      <c r="N4749" s="561">
        <v>54235.199999999997</v>
      </c>
      <c r="O4749" s="561">
        <v>0</v>
      </c>
    </row>
    <row r="4750" spans="1:78">
      <c r="C4750" s="561" t="s">
        <v>1198</v>
      </c>
      <c r="D4750" s="561">
        <v>0</v>
      </c>
      <c r="E4750" s="561">
        <v>0</v>
      </c>
      <c r="F4750" s="561">
        <v>0</v>
      </c>
      <c r="G4750" s="561">
        <v>0</v>
      </c>
      <c r="H4750" s="561">
        <v>0</v>
      </c>
      <c r="I4750" s="561">
        <v>0</v>
      </c>
      <c r="J4750" s="561">
        <v>0</v>
      </c>
      <c r="K4750" s="561">
        <v>0</v>
      </c>
      <c r="L4750" s="561">
        <v>0</v>
      </c>
      <c r="M4750" s="561">
        <v>0</v>
      </c>
      <c r="N4750" s="561">
        <v>0</v>
      </c>
      <c r="O4750" s="561">
        <v>0</v>
      </c>
      <c r="P4750" s="561">
        <v>0</v>
      </c>
    </row>
    <row r="4751" spans="1:78">
      <c r="C4751" s="561" t="s">
        <v>1199</v>
      </c>
      <c r="D4751" s="561">
        <v>8564</v>
      </c>
      <c r="E4751" s="561">
        <v>1929.3000000000029</v>
      </c>
      <c r="F4751" s="561">
        <v>6634.6999999999971</v>
      </c>
      <c r="G4751" s="561">
        <v>698</v>
      </c>
      <c r="H4751" s="561">
        <v>8639.5660000000007</v>
      </c>
      <c r="I4751" s="561">
        <v>50</v>
      </c>
      <c r="J4751" s="561">
        <v>298.39700000000005</v>
      </c>
      <c r="K4751" s="561">
        <v>697</v>
      </c>
      <c r="L4751" s="561">
        <v>8343.17022</v>
      </c>
      <c r="M4751" s="561">
        <v>8343.17</v>
      </c>
      <c r="N4751" s="561">
        <v>1929.3</v>
      </c>
      <c r="O4751" s="561">
        <v>0</v>
      </c>
      <c r="BB4751" s="561">
        <v>6413.87</v>
      </c>
    </row>
    <row r="4752" spans="1:78">
      <c r="A4752" s="561">
        <v>37</v>
      </c>
      <c r="B4752" s="561" t="s">
        <v>1605</v>
      </c>
      <c r="C4752" s="561" t="s">
        <v>1196</v>
      </c>
      <c r="D4752" s="561">
        <v>36618</v>
      </c>
      <c r="E4752" s="561">
        <v>9335.4</v>
      </c>
      <c r="F4752" s="561">
        <v>27282.6</v>
      </c>
      <c r="G4752" s="561">
        <v>471</v>
      </c>
      <c r="H4752" s="561">
        <v>47472.968999999997</v>
      </c>
      <c r="I4752" s="561">
        <v>65</v>
      </c>
      <c r="J4752" s="561">
        <v>3974.1019999999999</v>
      </c>
      <c r="K4752" s="561">
        <v>468</v>
      </c>
      <c r="L4752" s="561">
        <v>43676.137000000002</v>
      </c>
      <c r="M4752" s="561">
        <v>36618</v>
      </c>
      <c r="N4752" s="561">
        <v>9335.3999999999978</v>
      </c>
      <c r="O4752" s="561">
        <v>0</v>
      </c>
      <c r="P4752" s="561">
        <v>27282.6</v>
      </c>
    </row>
    <row r="4753" spans="1:38">
      <c r="C4753" s="561" t="s">
        <v>1197</v>
      </c>
      <c r="D4753" s="561">
        <v>28249</v>
      </c>
      <c r="E4753" s="561">
        <v>8474.7000000000007</v>
      </c>
      <c r="F4753" s="561">
        <v>19774.3</v>
      </c>
      <c r="G4753" s="561">
        <v>442</v>
      </c>
      <c r="H4753" s="561">
        <v>35201.469999999994</v>
      </c>
      <c r="I4753" s="561">
        <v>57</v>
      </c>
      <c r="J4753" s="561">
        <v>2405.0059999999999</v>
      </c>
      <c r="K4753" s="561">
        <v>440</v>
      </c>
      <c r="L4753" s="561">
        <v>32973.735000000001</v>
      </c>
      <c r="M4753" s="561">
        <v>26671.457000000002</v>
      </c>
      <c r="N4753" s="561">
        <v>8474.6999999999989</v>
      </c>
      <c r="O4753" s="561">
        <v>0</v>
      </c>
    </row>
    <row r="4754" spans="1:38">
      <c r="C4754" s="561" t="s">
        <v>1198</v>
      </c>
      <c r="D4754" s="561">
        <v>8369</v>
      </c>
      <c r="E4754" s="561">
        <v>860.7</v>
      </c>
      <c r="F4754" s="561">
        <v>7508.3</v>
      </c>
      <c r="G4754" s="561">
        <v>29</v>
      </c>
      <c r="H4754" s="561">
        <v>12271.499000000002</v>
      </c>
      <c r="I4754" s="561">
        <v>8</v>
      </c>
      <c r="J4754" s="561">
        <v>1569.096</v>
      </c>
      <c r="K4754" s="561">
        <v>28</v>
      </c>
      <c r="L4754" s="561">
        <v>10702.402</v>
      </c>
      <c r="M4754" s="561">
        <v>9946.5429999999997</v>
      </c>
      <c r="N4754" s="561">
        <v>860.69999999999959</v>
      </c>
      <c r="O4754" s="561">
        <v>0</v>
      </c>
      <c r="P4754" s="561">
        <v>9085.8430000000008</v>
      </c>
    </row>
    <row r="4755" spans="1:38">
      <c r="C4755" s="561" t="s">
        <v>1199</v>
      </c>
      <c r="D4755" s="561">
        <v>0</v>
      </c>
      <c r="E4755" s="561">
        <v>-1.1368683772161603E-12</v>
      </c>
      <c r="F4755" s="561">
        <v>1.1368683772161603E-12</v>
      </c>
      <c r="G4755" s="561">
        <v>0</v>
      </c>
      <c r="H4755" s="561">
        <v>0</v>
      </c>
      <c r="I4755" s="561">
        <v>0</v>
      </c>
      <c r="J4755" s="561">
        <v>0</v>
      </c>
      <c r="K4755" s="561">
        <v>0</v>
      </c>
      <c r="L4755" s="561">
        <v>0</v>
      </c>
      <c r="M4755" s="561">
        <v>0</v>
      </c>
      <c r="N4755" s="561">
        <v>0</v>
      </c>
      <c r="O4755" s="561">
        <v>0</v>
      </c>
      <c r="P4755" s="561">
        <v>0</v>
      </c>
    </row>
    <row r="4756" spans="1:38">
      <c r="A4756" s="561">
        <v>38</v>
      </c>
      <c r="B4756" s="561" t="s">
        <v>1606</v>
      </c>
      <c r="C4756" s="561" t="s">
        <v>1196</v>
      </c>
      <c r="D4756" s="561">
        <v>54895</v>
      </c>
      <c r="E4756" s="561">
        <v>15478.5</v>
      </c>
      <c r="F4756" s="561">
        <v>39416.5</v>
      </c>
      <c r="G4756" s="561">
        <v>997</v>
      </c>
      <c r="H4756" s="561">
        <v>55891.425800000005</v>
      </c>
      <c r="I4756" s="561">
        <v>116</v>
      </c>
      <c r="J4756" s="561">
        <v>4406.5716900000007</v>
      </c>
      <c r="K4756" s="561">
        <v>1032</v>
      </c>
      <c r="L4756" s="561">
        <v>55421.058999999994</v>
      </c>
      <c r="M4756" s="561">
        <v>54894.999999999993</v>
      </c>
      <c r="N4756" s="561">
        <v>15478.500000000002</v>
      </c>
      <c r="O4756" s="561">
        <v>0</v>
      </c>
      <c r="P4756" s="561">
        <v>39416.5</v>
      </c>
    </row>
    <row r="4757" spans="1:38">
      <c r="C4757" s="561" t="s">
        <v>1197</v>
      </c>
      <c r="D4757" s="561">
        <v>46885</v>
      </c>
      <c r="E4757" s="561">
        <v>13105.5</v>
      </c>
      <c r="F4757" s="561">
        <v>33779.5</v>
      </c>
      <c r="G4757" s="561">
        <v>482</v>
      </c>
      <c r="H4757" s="561">
        <v>48037.258999999998</v>
      </c>
      <c r="I4757" s="561">
        <v>93</v>
      </c>
      <c r="J4757" s="561">
        <v>4302.0918600000005</v>
      </c>
      <c r="K4757" s="561">
        <v>501</v>
      </c>
      <c r="L4757" s="561">
        <v>47360.877999999997</v>
      </c>
      <c r="M4757" s="561">
        <v>47072.219999999994</v>
      </c>
      <c r="N4757" s="561">
        <v>13105.499999999998</v>
      </c>
      <c r="O4757" s="561">
        <v>0</v>
      </c>
    </row>
    <row r="4758" spans="1:38">
      <c r="C4758" s="561" t="s">
        <v>1198</v>
      </c>
      <c r="D4758" s="561">
        <v>0</v>
      </c>
      <c r="E4758" s="561">
        <v>0</v>
      </c>
      <c r="F4758" s="561">
        <v>0</v>
      </c>
      <c r="G4758" s="561">
        <v>0</v>
      </c>
      <c r="H4758" s="561">
        <v>0</v>
      </c>
      <c r="I4758" s="561">
        <v>0</v>
      </c>
      <c r="J4758" s="561">
        <v>0</v>
      </c>
      <c r="K4758" s="561">
        <v>0</v>
      </c>
      <c r="L4758" s="561">
        <v>0</v>
      </c>
      <c r="M4758" s="561">
        <v>0</v>
      </c>
      <c r="N4758" s="561">
        <v>0</v>
      </c>
      <c r="O4758" s="561">
        <v>0</v>
      </c>
      <c r="P4758" s="561">
        <v>0</v>
      </c>
    </row>
    <row r="4759" spans="1:38">
      <c r="C4759" s="561" t="s">
        <v>1199</v>
      </c>
      <c r="D4759" s="561">
        <v>8010</v>
      </c>
      <c r="E4759" s="561">
        <v>2373</v>
      </c>
      <c r="F4759" s="561">
        <v>5637</v>
      </c>
      <c r="G4759" s="561">
        <v>515</v>
      </c>
      <c r="H4759" s="561">
        <v>7854.1667999999991</v>
      </c>
      <c r="I4759" s="561">
        <v>23</v>
      </c>
      <c r="J4759" s="561">
        <v>104.47983000000001</v>
      </c>
      <c r="K4759" s="561">
        <v>531</v>
      </c>
      <c r="L4759" s="561">
        <v>8060.1810000000005</v>
      </c>
      <c r="M4759" s="561">
        <v>7822.7800000000007</v>
      </c>
      <c r="N4759" s="561">
        <v>2372.9999999999995</v>
      </c>
      <c r="O4759" s="561">
        <v>0</v>
      </c>
      <c r="AL4759" s="561">
        <v>5449.7800000000007</v>
      </c>
    </row>
    <row r="4760" spans="1:38">
      <c r="A4760" s="561">
        <v>39</v>
      </c>
      <c r="B4760" s="561" t="s">
        <v>1607</v>
      </c>
      <c r="C4760" s="561" t="s">
        <v>1196</v>
      </c>
      <c r="D4760" s="561">
        <v>3294</v>
      </c>
      <c r="E4760" s="561">
        <v>988.2</v>
      </c>
      <c r="F4760" s="561">
        <v>2305.8000000000002</v>
      </c>
      <c r="G4760" s="561">
        <v>260</v>
      </c>
      <c r="H4760" s="561">
        <v>3428.7758599999997</v>
      </c>
      <c r="I4760" s="561">
        <v>24</v>
      </c>
      <c r="J4760" s="561">
        <v>106.62400000000001</v>
      </c>
      <c r="K4760" s="561">
        <v>260</v>
      </c>
      <c r="L4760" s="561">
        <v>3322.1460000000006</v>
      </c>
      <c r="M4760" s="561">
        <v>3294</v>
      </c>
      <c r="N4760" s="561">
        <v>988.19999999999982</v>
      </c>
      <c r="O4760" s="561">
        <v>0</v>
      </c>
      <c r="P4760" s="561">
        <v>2305.8000000000002</v>
      </c>
    </row>
    <row r="4761" spans="1:38">
      <c r="C4761" s="561" t="s">
        <v>1197</v>
      </c>
      <c r="D4761" s="561">
        <v>0</v>
      </c>
      <c r="E4761" s="561">
        <v>0</v>
      </c>
      <c r="F4761" s="561">
        <v>0</v>
      </c>
      <c r="G4761" s="561">
        <v>0</v>
      </c>
      <c r="H4761" s="561">
        <v>0</v>
      </c>
      <c r="I4761" s="561">
        <v>0</v>
      </c>
      <c r="J4761" s="561">
        <v>0</v>
      </c>
      <c r="K4761" s="561">
        <v>0</v>
      </c>
      <c r="L4761" s="561">
        <v>0</v>
      </c>
      <c r="M4761" s="561">
        <v>0</v>
      </c>
      <c r="N4761" s="561">
        <v>0</v>
      </c>
      <c r="O4761" s="561">
        <v>0</v>
      </c>
      <c r="P4761" s="561">
        <v>0</v>
      </c>
    </row>
    <row r="4762" spans="1:38">
      <c r="C4762" s="561" t="s">
        <v>1198</v>
      </c>
      <c r="D4762" s="561">
        <v>0</v>
      </c>
      <c r="E4762" s="561">
        <v>0</v>
      </c>
      <c r="F4762" s="561">
        <v>0</v>
      </c>
      <c r="G4762" s="561">
        <v>0</v>
      </c>
      <c r="H4762" s="561">
        <v>0</v>
      </c>
      <c r="I4762" s="561">
        <v>0</v>
      </c>
      <c r="J4762" s="561">
        <v>0</v>
      </c>
      <c r="K4762" s="561">
        <v>0</v>
      </c>
      <c r="L4762" s="561">
        <v>0</v>
      </c>
      <c r="M4762" s="561">
        <v>0</v>
      </c>
      <c r="N4762" s="561">
        <v>0</v>
      </c>
      <c r="O4762" s="561">
        <v>0</v>
      </c>
      <c r="P4762" s="561">
        <v>0</v>
      </c>
    </row>
    <row r="4763" spans="1:38">
      <c r="C4763" s="561" t="s">
        <v>1199</v>
      </c>
      <c r="D4763" s="561">
        <v>3294</v>
      </c>
      <c r="E4763" s="561">
        <v>988.2</v>
      </c>
      <c r="F4763" s="561">
        <v>2305.8000000000002</v>
      </c>
      <c r="G4763" s="561">
        <v>260</v>
      </c>
      <c r="H4763" s="561">
        <v>3428.7758599999997</v>
      </c>
      <c r="I4763" s="561">
        <v>24</v>
      </c>
      <c r="J4763" s="561">
        <v>106.62400000000001</v>
      </c>
      <c r="K4763" s="561">
        <v>260</v>
      </c>
      <c r="L4763" s="561">
        <v>3322.1460000000006</v>
      </c>
      <c r="M4763" s="561">
        <v>3294</v>
      </c>
      <c r="N4763" s="561">
        <v>988.19999999999982</v>
      </c>
      <c r="O4763" s="561">
        <v>0</v>
      </c>
      <c r="AL4763" s="561">
        <v>2305.8000000000002</v>
      </c>
    </row>
    <row r="4764" spans="1:38">
      <c r="A4764" s="561">
        <v>40</v>
      </c>
      <c r="B4764" s="561" t="s">
        <v>1608</v>
      </c>
      <c r="C4764" s="561" t="s">
        <v>1196</v>
      </c>
      <c r="D4764" s="561">
        <v>5573</v>
      </c>
      <c r="E4764" s="561">
        <v>1671.9</v>
      </c>
      <c r="F4764" s="561">
        <v>3901.1</v>
      </c>
      <c r="G4764" s="561">
        <v>470</v>
      </c>
      <c r="H4764" s="561">
        <v>6460.5769999999993</v>
      </c>
      <c r="I4764" s="561">
        <v>24</v>
      </c>
      <c r="J4764" s="561">
        <v>100.61000000000001</v>
      </c>
      <c r="K4764" s="561">
        <v>426</v>
      </c>
      <c r="L4764" s="561">
        <v>5711.2809999999999</v>
      </c>
      <c r="M4764" s="561">
        <v>5573</v>
      </c>
      <c r="N4764" s="561">
        <v>1671.8999999999996</v>
      </c>
      <c r="O4764" s="561">
        <v>0</v>
      </c>
      <c r="P4764" s="561">
        <v>3901.1</v>
      </c>
    </row>
    <row r="4765" spans="1:38">
      <c r="C4765" s="561" t="s">
        <v>1197</v>
      </c>
      <c r="D4765" s="561">
        <v>0</v>
      </c>
      <c r="E4765" s="561">
        <v>0</v>
      </c>
      <c r="F4765" s="561">
        <v>0</v>
      </c>
      <c r="G4765" s="561">
        <v>0</v>
      </c>
      <c r="H4765" s="561">
        <v>0</v>
      </c>
      <c r="I4765" s="561">
        <v>0</v>
      </c>
      <c r="J4765" s="561">
        <v>0</v>
      </c>
      <c r="K4765" s="561">
        <v>0</v>
      </c>
      <c r="L4765" s="561">
        <v>0</v>
      </c>
      <c r="M4765" s="561">
        <v>0</v>
      </c>
      <c r="N4765" s="561">
        <v>0</v>
      </c>
      <c r="O4765" s="561">
        <v>0</v>
      </c>
      <c r="P4765" s="561">
        <v>0</v>
      </c>
    </row>
    <row r="4766" spans="1:38">
      <c r="C4766" s="561" t="s">
        <v>1198</v>
      </c>
      <c r="D4766" s="561">
        <v>0</v>
      </c>
      <c r="E4766" s="561">
        <v>0</v>
      </c>
      <c r="F4766" s="561">
        <v>0</v>
      </c>
      <c r="G4766" s="561">
        <v>0</v>
      </c>
      <c r="H4766" s="561">
        <v>0</v>
      </c>
      <c r="I4766" s="561">
        <v>0</v>
      </c>
      <c r="J4766" s="561">
        <v>0</v>
      </c>
      <c r="K4766" s="561">
        <v>0</v>
      </c>
      <c r="L4766" s="561">
        <v>0</v>
      </c>
      <c r="M4766" s="561">
        <v>0</v>
      </c>
      <c r="N4766" s="561">
        <v>0</v>
      </c>
      <c r="O4766" s="561">
        <v>0</v>
      </c>
      <c r="P4766" s="561">
        <v>0</v>
      </c>
    </row>
    <row r="4767" spans="1:38">
      <c r="C4767" s="561" t="s">
        <v>1199</v>
      </c>
      <c r="D4767" s="561">
        <v>5573</v>
      </c>
      <c r="E4767" s="561">
        <v>1671.9</v>
      </c>
      <c r="F4767" s="561">
        <v>3901.1</v>
      </c>
      <c r="G4767" s="561">
        <v>470</v>
      </c>
      <c r="H4767" s="561">
        <v>6460.5769999999993</v>
      </c>
      <c r="I4767" s="561">
        <v>24</v>
      </c>
      <c r="J4767" s="561">
        <v>100.61000000000001</v>
      </c>
      <c r="K4767" s="561">
        <v>426</v>
      </c>
      <c r="L4767" s="561">
        <v>5711.2809999999999</v>
      </c>
      <c r="M4767" s="561">
        <v>5573</v>
      </c>
      <c r="N4767" s="561">
        <v>1671.8999999999996</v>
      </c>
      <c r="O4767" s="561">
        <v>0</v>
      </c>
      <c r="AL4767" s="561">
        <v>3901.1</v>
      </c>
    </row>
    <row r="4768" spans="1:38">
      <c r="A4768" s="561">
        <v>41</v>
      </c>
      <c r="B4768" s="561" t="s">
        <v>1609</v>
      </c>
      <c r="C4768" s="561" t="s">
        <v>1196</v>
      </c>
      <c r="D4768" s="561">
        <v>3652</v>
      </c>
      <c r="E4768" s="561">
        <v>1095.5999999999999</v>
      </c>
      <c r="F4768" s="561">
        <v>2556.4</v>
      </c>
      <c r="G4768" s="561">
        <v>295</v>
      </c>
      <c r="H4768" s="561">
        <v>3952.1559999999999</v>
      </c>
      <c r="I4768" s="561">
        <v>21</v>
      </c>
      <c r="J4768" s="561">
        <v>142.65799999999999</v>
      </c>
      <c r="K4768" s="561">
        <v>295</v>
      </c>
      <c r="L4768" s="561">
        <v>3809.4960000000001</v>
      </c>
      <c r="M4768" s="561">
        <v>3652</v>
      </c>
      <c r="N4768" s="561">
        <v>1095.5999999999999</v>
      </c>
      <c r="O4768" s="561">
        <v>0</v>
      </c>
      <c r="P4768" s="561">
        <v>2556.4</v>
      </c>
    </row>
    <row r="4769" spans="1:38">
      <c r="C4769" s="561" t="s">
        <v>1197</v>
      </c>
      <c r="D4769" s="561">
        <v>0</v>
      </c>
      <c r="E4769" s="561">
        <v>0</v>
      </c>
      <c r="F4769" s="561">
        <v>0</v>
      </c>
      <c r="G4769" s="561">
        <v>0</v>
      </c>
      <c r="H4769" s="561">
        <v>0</v>
      </c>
      <c r="I4769" s="561">
        <v>0</v>
      </c>
      <c r="J4769" s="561">
        <v>0</v>
      </c>
      <c r="K4769" s="561">
        <v>0</v>
      </c>
      <c r="L4769" s="561">
        <v>0</v>
      </c>
      <c r="M4769" s="561">
        <v>0</v>
      </c>
      <c r="N4769" s="561">
        <v>0</v>
      </c>
      <c r="O4769" s="561">
        <v>0</v>
      </c>
      <c r="P4769" s="561">
        <v>0</v>
      </c>
    </row>
    <row r="4770" spans="1:38">
      <c r="C4770" s="561" t="s">
        <v>1198</v>
      </c>
      <c r="D4770" s="561">
        <v>0</v>
      </c>
      <c r="E4770" s="561">
        <v>0</v>
      </c>
      <c r="F4770" s="561">
        <v>0</v>
      </c>
      <c r="G4770" s="561">
        <v>0</v>
      </c>
      <c r="H4770" s="561">
        <v>0</v>
      </c>
      <c r="I4770" s="561">
        <v>0</v>
      </c>
      <c r="J4770" s="561">
        <v>0</v>
      </c>
      <c r="K4770" s="561">
        <v>0</v>
      </c>
      <c r="L4770" s="561">
        <v>0</v>
      </c>
      <c r="M4770" s="561">
        <v>0</v>
      </c>
      <c r="N4770" s="561">
        <v>0</v>
      </c>
      <c r="O4770" s="561">
        <v>0</v>
      </c>
      <c r="P4770" s="561">
        <v>0</v>
      </c>
    </row>
    <row r="4771" spans="1:38">
      <c r="C4771" s="561" t="s">
        <v>1199</v>
      </c>
      <c r="D4771" s="561">
        <v>3652</v>
      </c>
      <c r="E4771" s="561">
        <v>1095.5999999999999</v>
      </c>
      <c r="F4771" s="561">
        <v>2556.4</v>
      </c>
      <c r="G4771" s="561">
        <v>295</v>
      </c>
      <c r="H4771" s="561">
        <v>3952.1559999999999</v>
      </c>
      <c r="I4771" s="561">
        <v>21</v>
      </c>
      <c r="J4771" s="561">
        <v>142.65799999999999</v>
      </c>
      <c r="K4771" s="561">
        <v>295</v>
      </c>
      <c r="L4771" s="561">
        <v>3809.4960000000001</v>
      </c>
      <c r="M4771" s="561">
        <v>3652</v>
      </c>
      <c r="N4771" s="561">
        <v>1095.5999999999999</v>
      </c>
      <c r="O4771" s="561">
        <v>0</v>
      </c>
      <c r="AL4771" s="561">
        <v>2556.4</v>
      </c>
    </row>
    <row r="4772" spans="1:38">
      <c r="A4772" s="561">
        <v>42</v>
      </c>
      <c r="B4772" s="561" t="s">
        <v>1610</v>
      </c>
      <c r="C4772" s="561" t="s">
        <v>1196</v>
      </c>
      <c r="D4772" s="561">
        <v>2557</v>
      </c>
      <c r="E4772" s="561">
        <v>722.1</v>
      </c>
      <c r="F4772" s="561">
        <v>1834.9</v>
      </c>
      <c r="G4772" s="561">
        <v>222</v>
      </c>
      <c r="H4772" s="561">
        <v>4166.8599999999997</v>
      </c>
      <c r="I4772" s="561">
        <v>20</v>
      </c>
      <c r="J4772" s="561">
        <v>111.392</v>
      </c>
      <c r="K4772" s="561">
        <v>204</v>
      </c>
      <c r="L4772" s="561">
        <v>3287.9740000000006</v>
      </c>
      <c r="M4772" s="561">
        <v>2557.0000000000005</v>
      </c>
      <c r="N4772" s="561">
        <v>722.1</v>
      </c>
      <c r="O4772" s="561">
        <v>0</v>
      </c>
      <c r="P4772" s="561">
        <v>1834.9</v>
      </c>
    </row>
    <row r="4773" spans="1:38">
      <c r="C4773" s="561" t="s">
        <v>1197</v>
      </c>
      <c r="D4773" s="561">
        <v>0</v>
      </c>
      <c r="E4773" s="561">
        <v>0</v>
      </c>
      <c r="F4773" s="561">
        <v>0</v>
      </c>
      <c r="G4773" s="561">
        <v>0</v>
      </c>
      <c r="H4773" s="561">
        <v>0</v>
      </c>
      <c r="I4773" s="561">
        <v>0</v>
      </c>
      <c r="J4773" s="561">
        <v>0</v>
      </c>
      <c r="K4773" s="561">
        <v>0</v>
      </c>
      <c r="L4773" s="561">
        <v>0</v>
      </c>
      <c r="M4773" s="561">
        <v>0</v>
      </c>
      <c r="N4773" s="561">
        <v>0</v>
      </c>
      <c r="O4773" s="561">
        <v>0</v>
      </c>
      <c r="P4773" s="561">
        <v>0</v>
      </c>
    </row>
    <row r="4774" spans="1:38">
      <c r="C4774" s="561" t="s">
        <v>1198</v>
      </c>
      <c r="D4774" s="561">
        <v>0</v>
      </c>
      <c r="E4774" s="561">
        <v>0</v>
      </c>
      <c r="F4774" s="561">
        <v>0</v>
      </c>
      <c r="G4774" s="561">
        <v>0</v>
      </c>
      <c r="H4774" s="561">
        <v>0</v>
      </c>
      <c r="I4774" s="561">
        <v>0</v>
      </c>
      <c r="J4774" s="561">
        <v>0</v>
      </c>
      <c r="K4774" s="561">
        <v>0</v>
      </c>
      <c r="L4774" s="561">
        <v>0</v>
      </c>
      <c r="M4774" s="561">
        <v>0</v>
      </c>
      <c r="N4774" s="561">
        <v>0</v>
      </c>
      <c r="O4774" s="561">
        <v>0</v>
      </c>
      <c r="P4774" s="561">
        <v>0</v>
      </c>
    </row>
    <row r="4775" spans="1:38">
      <c r="C4775" s="561" t="s">
        <v>1199</v>
      </c>
      <c r="D4775" s="561">
        <v>2557</v>
      </c>
      <c r="E4775" s="561">
        <v>722.1</v>
      </c>
      <c r="F4775" s="561">
        <v>1834.9</v>
      </c>
      <c r="G4775" s="561">
        <v>222</v>
      </c>
      <c r="H4775" s="561">
        <v>4166.8599999999997</v>
      </c>
      <c r="I4775" s="561">
        <v>20</v>
      </c>
      <c r="J4775" s="561">
        <v>111.392</v>
      </c>
      <c r="K4775" s="561">
        <v>204</v>
      </c>
      <c r="L4775" s="561">
        <v>3287.9740000000006</v>
      </c>
      <c r="M4775" s="561">
        <v>2557.0000000000005</v>
      </c>
      <c r="N4775" s="561">
        <v>722.1</v>
      </c>
      <c r="O4775" s="561">
        <v>0</v>
      </c>
      <c r="AL4775" s="561">
        <v>1834.9</v>
      </c>
    </row>
    <row r="4776" spans="1:38">
      <c r="A4776" s="561">
        <v>43</v>
      </c>
      <c r="B4776" s="561" t="s">
        <v>1611</v>
      </c>
      <c r="C4776" s="561" t="s">
        <v>1196</v>
      </c>
      <c r="D4776" s="561">
        <v>10125</v>
      </c>
      <c r="E4776" s="561">
        <v>2947.5</v>
      </c>
      <c r="F4776" s="561">
        <v>7177.5</v>
      </c>
      <c r="G4776" s="561">
        <v>799</v>
      </c>
      <c r="H4776" s="561">
        <v>10720.1643</v>
      </c>
      <c r="I4776" s="561">
        <v>43</v>
      </c>
      <c r="J4776" s="561">
        <v>338.37106999999997</v>
      </c>
      <c r="K4776" s="561">
        <v>792</v>
      </c>
      <c r="L4776" s="561">
        <v>10381.942999999999</v>
      </c>
      <c r="M4776" s="561">
        <v>10125.000000000002</v>
      </c>
      <c r="N4776" s="561">
        <v>2947.5</v>
      </c>
      <c r="O4776" s="561">
        <v>0</v>
      </c>
      <c r="P4776" s="561">
        <v>7177.5</v>
      </c>
    </row>
    <row r="4777" spans="1:38">
      <c r="C4777" s="561" t="s">
        <v>1197</v>
      </c>
      <c r="D4777" s="561">
        <v>0</v>
      </c>
      <c r="E4777" s="561">
        <v>0</v>
      </c>
      <c r="F4777" s="561">
        <v>0</v>
      </c>
      <c r="G4777" s="561">
        <v>0</v>
      </c>
      <c r="H4777" s="561">
        <v>0</v>
      </c>
      <c r="I4777" s="561">
        <v>0</v>
      </c>
      <c r="J4777" s="561">
        <v>0</v>
      </c>
      <c r="K4777" s="561">
        <v>0</v>
      </c>
      <c r="L4777" s="561">
        <v>0</v>
      </c>
      <c r="M4777" s="561">
        <v>0</v>
      </c>
      <c r="N4777" s="561">
        <v>0</v>
      </c>
      <c r="O4777" s="561">
        <v>0</v>
      </c>
      <c r="P4777" s="561">
        <v>0</v>
      </c>
    </row>
    <row r="4778" spans="1:38">
      <c r="C4778" s="561" t="s">
        <v>1198</v>
      </c>
      <c r="D4778" s="561">
        <v>0</v>
      </c>
      <c r="E4778" s="561">
        <v>0</v>
      </c>
      <c r="F4778" s="561">
        <v>0</v>
      </c>
      <c r="G4778" s="561">
        <v>0</v>
      </c>
      <c r="H4778" s="561">
        <v>0</v>
      </c>
      <c r="I4778" s="561">
        <v>0</v>
      </c>
      <c r="J4778" s="561">
        <v>0</v>
      </c>
      <c r="K4778" s="561">
        <v>0</v>
      </c>
      <c r="L4778" s="561">
        <v>0</v>
      </c>
      <c r="M4778" s="561">
        <v>0</v>
      </c>
      <c r="N4778" s="561">
        <v>0</v>
      </c>
      <c r="O4778" s="561">
        <v>0</v>
      </c>
      <c r="P4778" s="561">
        <v>0</v>
      </c>
    </row>
    <row r="4779" spans="1:38">
      <c r="C4779" s="561" t="s">
        <v>1199</v>
      </c>
      <c r="D4779" s="561">
        <v>10125</v>
      </c>
      <c r="E4779" s="561">
        <v>2947.5</v>
      </c>
      <c r="F4779" s="561">
        <v>7177.5</v>
      </c>
      <c r="G4779" s="561">
        <v>799</v>
      </c>
      <c r="H4779" s="561">
        <v>10720.1643</v>
      </c>
      <c r="I4779" s="561">
        <v>43</v>
      </c>
      <c r="J4779" s="561">
        <v>338.37106999999997</v>
      </c>
      <c r="K4779" s="561">
        <v>792</v>
      </c>
      <c r="L4779" s="561">
        <v>10381.942999999999</v>
      </c>
      <c r="M4779" s="561">
        <v>10125.000000000002</v>
      </c>
      <c r="N4779" s="561">
        <v>2947.5</v>
      </c>
      <c r="O4779" s="561">
        <v>0</v>
      </c>
      <c r="AL4779" s="561">
        <v>7177.5</v>
      </c>
    </row>
    <row r="4780" spans="1:38">
      <c r="A4780" s="561">
        <v>44</v>
      </c>
      <c r="B4780" s="561" t="s">
        <v>1612</v>
      </c>
      <c r="C4780" s="561" t="s">
        <v>1196</v>
      </c>
      <c r="D4780" s="561">
        <v>5020</v>
      </c>
      <c r="E4780" s="561">
        <v>1506</v>
      </c>
      <c r="F4780" s="561">
        <v>3514</v>
      </c>
      <c r="G4780" s="561">
        <v>418</v>
      </c>
      <c r="H4780" s="561">
        <v>5835.5670600000003</v>
      </c>
      <c r="I4780" s="561">
        <v>29</v>
      </c>
      <c r="J4780" s="561">
        <v>144.30199999999996</v>
      </c>
      <c r="K4780" s="561">
        <v>381</v>
      </c>
      <c r="L4780" s="561">
        <v>5230.4560000000001</v>
      </c>
      <c r="M4780" s="561">
        <v>5020</v>
      </c>
      <c r="N4780" s="561">
        <v>1506.0000000000002</v>
      </c>
      <c r="O4780" s="561">
        <v>0</v>
      </c>
      <c r="P4780" s="561">
        <v>3513.9999999999995</v>
      </c>
    </row>
    <row r="4781" spans="1:38">
      <c r="C4781" s="561" t="s">
        <v>1197</v>
      </c>
      <c r="D4781" s="561">
        <v>0</v>
      </c>
      <c r="E4781" s="561">
        <v>0</v>
      </c>
      <c r="F4781" s="561">
        <v>0</v>
      </c>
      <c r="G4781" s="561">
        <v>0</v>
      </c>
      <c r="H4781" s="561">
        <v>0</v>
      </c>
      <c r="I4781" s="561">
        <v>0</v>
      </c>
      <c r="J4781" s="561">
        <v>0</v>
      </c>
      <c r="K4781" s="561">
        <v>0</v>
      </c>
      <c r="L4781" s="561">
        <v>0</v>
      </c>
      <c r="M4781" s="561">
        <v>0</v>
      </c>
      <c r="N4781" s="561">
        <v>0</v>
      </c>
      <c r="O4781" s="561">
        <v>0</v>
      </c>
      <c r="P4781" s="561">
        <v>0</v>
      </c>
    </row>
    <row r="4782" spans="1:38">
      <c r="C4782" s="561" t="s">
        <v>1198</v>
      </c>
      <c r="D4782" s="561">
        <v>0</v>
      </c>
      <c r="E4782" s="561">
        <v>0</v>
      </c>
      <c r="F4782" s="561">
        <v>0</v>
      </c>
      <c r="G4782" s="561">
        <v>0</v>
      </c>
      <c r="H4782" s="561">
        <v>0</v>
      </c>
      <c r="I4782" s="561">
        <v>0</v>
      </c>
      <c r="J4782" s="561">
        <v>0</v>
      </c>
      <c r="K4782" s="561">
        <v>0</v>
      </c>
      <c r="L4782" s="561">
        <v>0</v>
      </c>
      <c r="M4782" s="561">
        <v>0</v>
      </c>
      <c r="N4782" s="561">
        <v>0</v>
      </c>
      <c r="O4782" s="561">
        <v>0</v>
      </c>
      <c r="P4782" s="561">
        <v>0</v>
      </c>
    </row>
    <row r="4783" spans="1:38">
      <c r="C4783" s="561" t="s">
        <v>1199</v>
      </c>
      <c r="D4783" s="561">
        <v>5020</v>
      </c>
      <c r="E4783" s="561">
        <v>1506</v>
      </c>
      <c r="F4783" s="561">
        <v>3514</v>
      </c>
      <c r="G4783" s="561">
        <v>418</v>
      </c>
      <c r="H4783" s="561">
        <v>5835.5670600000003</v>
      </c>
      <c r="I4783" s="561">
        <v>29</v>
      </c>
      <c r="J4783" s="561">
        <v>144.30199999999996</v>
      </c>
      <c r="K4783" s="561">
        <v>381</v>
      </c>
      <c r="L4783" s="561">
        <v>5230.4560000000001</v>
      </c>
      <c r="M4783" s="561">
        <v>5020</v>
      </c>
      <c r="N4783" s="561">
        <v>1506.0000000000002</v>
      </c>
      <c r="O4783" s="561">
        <v>0</v>
      </c>
      <c r="AL4783" s="561">
        <v>3513.9999999999995</v>
      </c>
    </row>
    <row r="4784" spans="1:38">
      <c r="A4784" s="561">
        <v>45</v>
      </c>
      <c r="B4784" s="561" t="s">
        <v>1613</v>
      </c>
      <c r="C4784" s="561" t="s">
        <v>1196</v>
      </c>
      <c r="D4784" s="561">
        <v>5620</v>
      </c>
      <c r="E4784" s="561">
        <v>1566</v>
      </c>
      <c r="F4784" s="561">
        <v>4054</v>
      </c>
      <c r="G4784" s="561">
        <v>397</v>
      </c>
      <c r="H4784" s="561">
        <v>5911.3105600000008</v>
      </c>
      <c r="I4784" s="561">
        <v>55</v>
      </c>
      <c r="J4784" s="561">
        <v>271.84100000000001</v>
      </c>
      <c r="K4784" s="561">
        <v>397</v>
      </c>
      <c r="L4784" s="561">
        <v>5636.4829999999993</v>
      </c>
      <c r="M4784" s="561">
        <v>5620</v>
      </c>
      <c r="N4784" s="561">
        <v>1566</v>
      </c>
      <c r="O4784" s="561">
        <v>0</v>
      </c>
      <c r="P4784" s="561">
        <v>4054</v>
      </c>
    </row>
    <row r="4785" spans="1:38">
      <c r="C4785" s="561" t="s">
        <v>1197</v>
      </c>
      <c r="D4785" s="561">
        <v>0</v>
      </c>
      <c r="E4785" s="561">
        <v>0</v>
      </c>
      <c r="F4785" s="561">
        <v>0</v>
      </c>
      <c r="G4785" s="561">
        <v>0</v>
      </c>
      <c r="H4785" s="561">
        <v>0</v>
      </c>
      <c r="I4785" s="561">
        <v>0</v>
      </c>
      <c r="J4785" s="561">
        <v>0</v>
      </c>
      <c r="K4785" s="561">
        <v>0</v>
      </c>
      <c r="L4785" s="561">
        <v>0</v>
      </c>
      <c r="M4785" s="561">
        <v>0</v>
      </c>
      <c r="N4785" s="561">
        <v>0</v>
      </c>
      <c r="O4785" s="561">
        <v>0</v>
      </c>
      <c r="P4785" s="561">
        <v>0</v>
      </c>
    </row>
    <row r="4786" spans="1:38">
      <c r="C4786" s="561" t="s">
        <v>1198</v>
      </c>
      <c r="D4786" s="561">
        <v>0</v>
      </c>
      <c r="E4786" s="561">
        <v>0</v>
      </c>
      <c r="F4786" s="561">
        <v>0</v>
      </c>
      <c r="G4786" s="561">
        <v>0</v>
      </c>
      <c r="H4786" s="561">
        <v>0</v>
      </c>
      <c r="I4786" s="561">
        <v>0</v>
      </c>
      <c r="J4786" s="561">
        <v>0</v>
      </c>
      <c r="K4786" s="561">
        <v>0</v>
      </c>
      <c r="L4786" s="561">
        <v>0</v>
      </c>
      <c r="M4786" s="561">
        <v>0</v>
      </c>
      <c r="N4786" s="561">
        <v>0</v>
      </c>
      <c r="O4786" s="561">
        <v>0</v>
      </c>
      <c r="P4786" s="561">
        <v>0</v>
      </c>
    </row>
    <row r="4787" spans="1:38">
      <c r="C4787" s="561" t="s">
        <v>1199</v>
      </c>
      <c r="D4787" s="561">
        <v>5620</v>
      </c>
      <c r="E4787" s="561">
        <v>1566</v>
      </c>
      <c r="F4787" s="561">
        <v>4054</v>
      </c>
      <c r="G4787" s="561">
        <v>397</v>
      </c>
      <c r="H4787" s="561">
        <v>5911.3105600000008</v>
      </c>
      <c r="I4787" s="561">
        <v>55</v>
      </c>
      <c r="J4787" s="561">
        <v>271.84100000000001</v>
      </c>
      <c r="K4787" s="561">
        <v>397</v>
      </c>
      <c r="L4787" s="561">
        <v>5636.4829999999993</v>
      </c>
      <c r="M4787" s="561">
        <v>5620</v>
      </c>
      <c r="N4787" s="561">
        <v>1566</v>
      </c>
      <c r="O4787" s="561">
        <v>0</v>
      </c>
      <c r="AL4787" s="561">
        <v>4054</v>
      </c>
    </row>
    <row r="4788" spans="1:38">
      <c r="A4788" s="561">
        <v>46</v>
      </c>
      <c r="B4788" s="561" t="s">
        <v>1614</v>
      </c>
      <c r="C4788" s="561" t="s">
        <v>1196</v>
      </c>
      <c r="D4788" s="561">
        <v>2647</v>
      </c>
      <c r="E4788" s="561">
        <v>734.1</v>
      </c>
      <c r="F4788" s="561">
        <v>1912.9</v>
      </c>
      <c r="G4788" s="561">
        <v>209</v>
      </c>
      <c r="H4788" s="561">
        <v>3035.8172300000001</v>
      </c>
      <c r="I4788" s="561">
        <v>22</v>
      </c>
      <c r="J4788" s="561">
        <v>128.24099999999999</v>
      </c>
      <c r="K4788" s="561">
        <v>192</v>
      </c>
      <c r="L4788" s="561">
        <v>2664.04</v>
      </c>
      <c r="M4788" s="561">
        <v>2647</v>
      </c>
      <c r="N4788" s="561">
        <v>734.101</v>
      </c>
      <c r="O4788" s="561">
        <v>0</v>
      </c>
      <c r="P4788" s="561">
        <v>1912.8989999999997</v>
      </c>
    </row>
    <row r="4789" spans="1:38">
      <c r="C4789" s="561" t="s">
        <v>1197</v>
      </c>
      <c r="D4789" s="561">
        <v>0</v>
      </c>
      <c r="E4789" s="561">
        <v>0</v>
      </c>
      <c r="F4789" s="561">
        <v>0</v>
      </c>
      <c r="G4789" s="561">
        <v>0</v>
      </c>
      <c r="H4789" s="561">
        <v>0</v>
      </c>
      <c r="I4789" s="561">
        <v>0</v>
      </c>
      <c r="J4789" s="561">
        <v>0</v>
      </c>
      <c r="K4789" s="561">
        <v>0</v>
      </c>
      <c r="L4789" s="561">
        <v>0</v>
      </c>
      <c r="M4789" s="561">
        <v>0</v>
      </c>
      <c r="N4789" s="561">
        <v>0</v>
      </c>
      <c r="O4789" s="561">
        <v>0</v>
      </c>
      <c r="P4789" s="561">
        <v>0</v>
      </c>
    </row>
    <row r="4790" spans="1:38">
      <c r="C4790" s="561" t="s">
        <v>1198</v>
      </c>
      <c r="D4790" s="561">
        <v>0</v>
      </c>
      <c r="E4790" s="561">
        <v>0</v>
      </c>
      <c r="F4790" s="561">
        <v>0</v>
      </c>
      <c r="G4790" s="561">
        <v>0</v>
      </c>
      <c r="H4790" s="561">
        <v>0</v>
      </c>
      <c r="I4790" s="561">
        <v>0</v>
      </c>
      <c r="J4790" s="561">
        <v>0</v>
      </c>
      <c r="K4790" s="561">
        <v>0</v>
      </c>
      <c r="L4790" s="561">
        <v>0</v>
      </c>
      <c r="M4790" s="561">
        <v>0</v>
      </c>
      <c r="N4790" s="561">
        <v>0</v>
      </c>
      <c r="O4790" s="561">
        <v>0</v>
      </c>
      <c r="P4790" s="561">
        <v>0</v>
      </c>
    </row>
    <row r="4791" spans="1:38">
      <c r="C4791" s="561" t="s">
        <v>1199</v>
      </c>
      <c r="D4791" s="561">
        <v>2647</v>
      </c>
      <c r="E4791" s="561">
        <v>734.1</v>
      </c>
      <c r="F4791" s="561">
        <v>1912.9</v>
      </c>
      <c r="G4791" s="561">
        <v>209</v>
      </c>
      <c r="H4791" s="561">
        <v>3035.8172300000001</v>
      </c>
      <c r="I4791" s="561">
        <v>22</v>
      </c>
      <c r="J4791" s="561">
        <v>128.24099999999999</v>
      </c>
      <c r="K4791" s="561">
        <v>192</v>
      </c>
      <c r="L4791" s="561">
        <v>2664.04</v>
      </c>
      <c r="M4791" s="561">
        <v>2647</v>
      </c>
      <c r="N4791" s="561">
        <v>734.101</v>
      </c>
      <c r="O4791" s="561">
        <v>0</v>
      </c>
      <c r="AL4791" s="561">
        <v>1912.8989999999997</v>
      </c>
    </row>
    <row r="4792" spans="1:38">
      <c r="A4792" s="561">
        <v>47</v>
      </c>
      <c r="B4792" s="561" t="s">
        <v>1615</v>
      </c>
      <c r="C4792" s="561" t="s">
        <v>1196</v>
      </c>
      <c r="D4792" s="561">
        <v>1393</v>
      </c>
      <c r="E4792" s="561">
        <v>477.9</v>
      </c>
      <c r="F4792" s="561">
        <v>915.1</v>
      </c>
      <c r="G4792" s="561">
        <v>135</v>
      </c>
      <c r="H4792" s="561">
        <v>1759.7949999999996</v>
      </c>
      <c r="I4792" s="561">
        <v>10</v>
      </c>
      <c r="J4792" s="561">
        <v>80.154000000000011</v>
      </c>
      <c r="K4792" s="561">
        <v>135</v>
      </c>
      <c r="L4792" s="561">
        <v>1679.6379999999999</v>
      </c>
      <c r="M4792" s="561">
        <v>1393</v>
      </c>
      <c r="N4792" s="561">
        <v>477.90000000000003</v>
      </c>
      <c r="O4792" s="561">
        <v>0</v>
      </c>
      <c r="P4792" s="561">
        <v>915.10000000000014</v>
      </c>
    </row>
    <row r="4793" spans="1:38">
      <c r="C4793" s="561" t="s">
        <v>1197</v>
      </c>
      <c r="D4793" s="561">
        <v>0</v>
      </c>
      <c r="E4793" s="561">
        <v>0</v>
      </c>
      <c r="F4793" s="561">
        <v>0</v>
      </c>
      <c r="G4793" s="561">
        <v>0</v>
      </c>
      <c r="H4793" s="561">
        <v>0</v>
      </c>
      <c r="I4793" s="561">
        <v>0</v>
      </c>
      <c r="J4793" s="561">
        <v>0</v>
      </c>
      <c r="K4793" s="561">
        <v>0</v>
      </c>
      <c r="L4793" s="561">
        <v>0</v>
      </c>
      <c r="M4793" s="561">
        <v>0</v>
      </c>
      <c r="N4793" s="561">
        <v>0</v>
      </c>
      <c r="O4793" s="561">
        <v>0</v>
      </c>
      <c r="P4793" s="561">
        <v>0</v>
      </c>
    </row>
    <row r="4794" spans="1:38">
      <c r="C4794" s="561" t="s">
        <v>1198</v>
      </c>
      <c r="D4794" s="561">
        <v>0</v>
      </c>
      <c r="E4794" s="561">
        <v>0</v>
      </c>
      <c r="F4794" s="561">
        <v>0</v>
      </c>
      <c r="G4794" s="561">
        <v>0</v>
      </c>
      <c r="H4794" s="561">
        <v>0</v>
      </c>
      <c r="I4794" s="561">
        <v>0</v>
      </c>
      <c r="J4794" s="561">
        <v>0</v>
      </c>
      <c r="K4794" s="561">
        <v>0</v>
      </c>
      <c r="L4794" s="561">
        <v>0</v>
      </c>
      <c r="M4794" s="561">
        <v>0</v>
      </c>
      <c r="N4794" s="561">
        <v>0</v>
      </c>
      <c r="O4794" s="561">
        <v>0</v>
      </c>
      <c r="P4794" s="561">
        <v>0</v>
      </c>
    </row>
    <row r="4795" spans="1:38">
      <c r="C4795" s="561" t="s">
        <v>1199</v>
      </c>
      <c r="D4795" s="561">
        <v>1393</v>
      </c>
      <c r="E4795" s="561">
        <v>477.9</v>
      </c>
      <c r="F4795" s="561">
        <v>915.1</v>
      </c>
      <c r="G4795" s="561">
        <v>135</v>
      </c>
      <c r="H4795" s="561">
        <v>1759.7949999999996</v>
      </c>
      <c r="I4795" s="561">
        <v>10</v>
      </c>
      <c r="J4795" s="561">
        <v>80.154000000000011</v>
      </c>
      <c r="K4795" s="561">
        <v>135</v>
      </c>
      <c r="L4795" s="561">
        <v>1679.6379999999999</v>
      </c>
      <c r="M4795" s="561">
        <v>1393</v>
      </c>
      <c r="N4795" s="561">
        <v>477.90000000000003</v>
      </c>
      <c r="O4795" s="561">
        <v>0</v>
      </c>
      <c r="AL4795" s="561">
        <v>915.10000000000014</v>
      </c>
    </row>
    <row r="4796" spans="1:38">
      <c r="A4796" s="561">
        <v>48</v>
      </c>
      <c r="B4796" s="561" t="s">
        <v>1616</v>
      </c>
      <c r="C4796" s="561" t="s">
        <v>1196</v>
      </c>
      <c r="D4796" s="561">
        <v>177053</v>
      </c>
      <c r="E4796" s="561">
        <v>57941.1</v>
      </c>
      <c r="F4796" s="561">
        <v>119111.9</v>
      </c>
      <c r="G4796" s="561">
        <v>3589</v>
      </c>
      <c r="H4796" s="561">
        <v>187940.71593999999</v>
      </c>
      <c r="I4796" s="561">
        <v>378</v>
      </c>
      <c r="J4796" s="561">
        <v>12068.053189999999</v>
      </c>
      <c r="K4796" s="561">
        <v>3540</v>
      </c>
      <c r="L4796" s="561">
        <v>178496.61799999999</v>
      </c>
      <c r="M4796" s="561">
        <v>177053</v>
      </c>
      <c r="N4796" s="561">
        <v>57941.100000000006</v>
      </c>
      <c r="O4796" s="561">
        <v>0</v>
      </c>
      <c r="P4796" s="561">
        <v>119111.90000000001</v>
      </c>
    </row>
    <row r="4797" spans="1:38">
      <c r="C4797" s="561" t="s">
        <v>1197</v>
      </c>
      <c r="D4797" s="561">
        <v>170258</v>
      </c>
      <c r="E4797" s="561">
        <v>56198.1</v>
      </c>
      <c r="F4797" s="561">
        <v>114059.9</v>
      </c>
      <c r="G4797" s="561">
        <v>3087</v>
      </c>
      <c r="H4797" s="561">
        <v>181033.04249999998</v>
      </c>
      <c r="I4797" s="561">
        <v>342</v>
      </c>
      <c r="J4797" s="561">
        <v>11922.665749999998</v>
      </c>
      <c r="K4797" s="561">
        <v>3038</v>
      </c>
      <c r="L4797" s="561">
        <v>171734.33299999998</v>
      </c>
      <c r="M4797" s="561">
        <v>170301.603</v>
      </c>
      <c r="N4797" s="561">
        <v>56198.1</v>
      </c>
      <c r="O4797" s="561">
        <v>0</v>
      </c>
    </row>
    <row r="4798" spans="1:38">
      <c r="C4798" s="561" t="s">
        <v>1198</v>
      </c>
      <c r="D4798" s="561">
        <v>0</v>
      </c>
      <c r="E4798" s="561">
        <v>0</v>
      </c>
      <c r="F4798" s="561">
        <v>0</v>
      </c>
      <c r="G4798" s="561">
        <v>0</v>
      </c>
      <c r="H4798" s="561">
        <v>0</v>
      </c>
      <c r="I4798" s="561">
        <v>0</v>
      </c>
      <c r="J4798" s="561">
        <v>0</v>
      </c>
      <c r="K4798" s="561">
        <v>0</v>
      </c>
      <c r="L4798" s="561">
        <v>0</v>
      </c>
      <c r="M4798" s="561">
        <v>0</v>
      </c>
      <c r="N4798" s="561">
        <v>0</v>
      </c>
      <c r="O4798" s="561">
        <v>0</v>
      </c>
      <c r="P4798" s="561">
        <v>0</v>
      </c>
    </row>
    <row r="4799" spans="1:38">
      <c r="C4799" s="561" t="s">
        <v>1199</v>
      </c>
      <c r="D4799" s="561">
        <v>6795</v>
      </c>
      <c r="E4799" s="561">
        <v>1743</v>
      </c>
      <c r="F4799" s="561">
        <v>5052</v>
      </c>
      <c r="G4799" s="561">
        <v>502</v>
      </c>
      <c r="H4799" s="561">
        <v>6907.6734400000005</v>
      </c>
      <c r="I4799" s="561">
        <v>36</v>
      </c>
      <c r="J4799" s="561">
        <v>145.38744</v>
      </c>
      <c r="K4799" s="561">
        <v>502</v>
      </c>
      <c r="L4799" s="561">
        <v>6762.2850000000008</v>
      </c>
      <c r="M4799" s="561">
        <v>6751.3969999999999</v>
      </c>
      <c r="N4799" s="561">
        <v>1742.9999999999998</v>
      </c>
      <c r="O4799" s="561">
        <v>0</v>
      </c>
      <c r="AL4799" s="561">
        <v>5008.3969999999999</v>
      </c>
    </row>
    <row r="4800" spans="1:38">
      <c r="A4800" s="561">
        <v>49</v>
      </c>
      <c r="B4800" s="561" t="s">
        <v>1617</v>
      </c>
      <c r="C4800" s="561" t="s">
        <v>1196</v>
      </c>
      <c r="D4800" s="561">
        <v>15012</v>
      </c>
      <c r="E4800" s="561">
        <v>4203.6000000000004</v>
      </c>
      <c r="F4800" s="561">
        <v>10808.4</v>
      </c>
      <c r="G4800" s="561">
        <v>269</v>
      </c>
      <c r="H4800" s="561">
        <v>20086.454280000002</v>
      </c>
      <c r="I4800" s="561">
        <v>61</v>
      </c>
      <c r="J4800" s="561">
        <v>1690.7394699999998</v>
      </c>
      <c r="K4800" s="561">
        <v>244</v>
      </c>
      <c r="L4800" s="561">
        <v>16689.833000000002</v>
      </c>
      <c r="M4800" s="561">
        <v>15011.999999999998</v>
      </c>
      <c r="N4800" s="561">
        <v>4203.6000000000004</v>
      </c>
      <c r="O4800" s="561">
        <v>0</v>
      </c>
      <c r="P4800" s="561">
        <v>10808.399999999998</v>
      </c>
    </row>
    <row r="4801" spans="1:78">
      <c r="C4801" s="561" t="s">
        <v>1197</v>
      </c>
      <c r="D4801" s="561">
        <v>15012</v>
      </c>
      <c r="E4801" s="561">
        <v>4203.6000000000004</v>
      </c>
      <c r="F4801" s="561">
        <v>10808.4</v>
      </c>
      <c r="G4801" s="561">
        <v>269</v>
      </c>
      <c r="H4801" s="561">
        <v>20086.454280000002</v>
      </c>
      <c r="I4801" s="561">
        <v>61</v>
      </c>
      <c r="J4801" s="561">
        <v>1690.7394699999998</v>
      </c>
      <c r="K4801" s="561">
        <v>244</v>
      </c>
      <c r="L4801" s="561">
        <v>16689.833000000002</v>
      </c>
      <c r="M4801" s="561">
        <v>15011.999999999998</v>
      </c>
      <c r="N4801" s="561">
        <v>4203.6000000000004</v>
      </c>
      <c r="O4801" s="561">
        <v>0</v>
      </c>
    </row>
    <row r="4802" spans="1:78">
      <c r="C4802" s="561" t="s">
        <v>1198</v>
      </c>
      <c r="D4802" s="561">
        <v>0</v>
      </c>
      <c r="E4802" s="561">
        <v>0</v>
      </c>
      <c r="F4802" s="561">
        <v>0</v>
      </c>
      <c r="G4802" s="561">
        <v>0</v>
      </c>
      <c r="H4802" s="561">
        <v>0</v>
      </c>
      <c r="I4802" s="561">
        <v>0</v>
      </c>
      <c r="J4802" s="561">
        <v>0</v>
      </c>
      <c r="K4802" s="561">
        <v>0</v>
      </c>
      <c r="L4802" s="561">
        <v>0</v>
      </c>
      <c r="M4802" s="561">
        <v>0</v>
      </c>
      <c r="N4802" s="561">
        <v>0</v>
      </c>
      <c r="O4802" s="561">
        <v>0</v>
      </c>
      <c r="P4802" s="561">
        <v>0</v>
      </c>
    </row>
    <row r="4803" spans="1:78">
      <c r="C4803" s="561" t="s">
        <v>1199</v>
      </c>
      <c r="D4803" s="561">
        <v>0</v>
      </c>
      <c r="E4803" s="561">
        <v>0</v>
      </c>
      <c r="F4803" s="561">
        <v>0</v>
      </c>
      <c r="G4803" s="561">
        <v>0</v>
      </c>
      <c r="H4803" s="561">
        <v>0</v>
      </c>
      <c r="I4803" s="561">
        <v>0</v>
      </c>
      <c r="J4803" s="561">
        <v>0</v>
      </c>
      <c r="K4803" s="561">
        <v>0</v>
      </c>
      <c r="L4803" s="561">
        <v>0</v>
      </c>
      <c r="M4803" s="561">
        <v>0</v>
      </c>
      <c r="N4803" s="561">
        <v>0</v>
      </c>
      <c r="O4803" s="561">
        <v>0</v>
      </c>
      <c r="P4803" s="561">
        <v>0</v>
      </c>
    </row>
    <row r="4804" spans="1:78">
      <c r="A4804" s="561">
        <v>50</v>
      </c>
      <c r="B4804" s="561" t="s">
        <v>1618</v>
      </c>
      <c r="C4804" s="561" t="s">
        <v>1196</v>
      </c>
      <c r="D4804" s="561">
        <v>13763</v>
      </c>
      <c r="E4804" s="561">
        <v>3558.9</v>
      </c>
      <c r="F4804" s="561">
        <v>10204.1</v>
      </c>
      <c r="G4804" s="561">
        <v>1000</v>
      </c>
      <c r="H4804" s="561">
        <v>14912.944000000001</v>
      </c>
      <c r="I4804" s="561">
        <v>42</v>
      </c>
      <c r="J4804" s="561">
        <v>498.55938000000003</v>
      </c>
      <c r="K4804" s="561">
        <v>1000</v>
      </c>
      <c r="L4804" s="561">
        <v>14559.225000000002</v>
      </c>
      <c r="M4804" s="561">
        <v>13763</v>
      </c>
      <c r="N4804" s="561">
        <v>3558.900000000001</v>
      </c>
      <c r="O4804" s="561">
        <v>0</v>
      </c>
      <c r="P4804" s="561">
        <v>10204.099999999999</v>
      </c>
    </row>
    <row r="4805" spans="1:78">
      <c r="C4805" s="561" t="s">
        <v>1197</v>
      </c>
      <c r="D4805" s="561">
        <v>0</v>
      </c>
      <c r="E4805" s="561">
        <v>0</v>
      </c>
      <c r="F4805" s="561">
        <v>0</v>
      </c>
      <c r="G4805" s="561">
        <v>0</v>
      </c>
      <c r="H4805" s="561">
        <v>0</v>
      </c>
      <c r="I4805" s="561">
        <v>0</v>
      </c>
      <c r="J4805" s="561">
        <v>0</v>
      </c>
      <c r="K4805" s="561">
        <v>0</v>
      </c>
      <c r="L4805" s="561">
        <v>0</v>
      </c>
      <c r="M4805" s="561">
        <v>0</v>
      </c>
      <c r="N4805" s="561">
        <v>0</v>
      </c>
      <c r="O4805" s="561">
        <v>0</v>
      </c>
      <c r="P4805" s="561">
        <v>0</v>
      </c>
    </row>
    <row r="4806" spans="1:78">
      <c r="C4806" s="561" t="s">
        <v>1198</v>
      </c>
      <c r="D4806" s="561">
        <v>0</v>
      </c>
      <c r="E4806" s="561">
        <v>0</v>
      </c>
      <c r="F4806" s="561">
        <v>0</v>
      </c>
      <c r="G4806" s="561">
        <v>0</v>
      </c>
      <c r="H4806" s="561">
        <v>0</v>
      </c>
      <c r="I4806" s="561">
        <v>0</v>
      </c>
      <c r="J4806" s="561">
        <v>0</v>
      </c>
      <c r="K4806" s="561">
        <v>0</v>
      </c>
      <c r="L4806" s="561">
        <v>0</v>
      </c>
      <c r="M4806" s="561">
        <v>0</v>
      </c>
      <c r="N4806" s="561">
        <v>0</v>
      </c>
      <c r="O4806" s="561">
        <v>0</v>
      </c>
      <c r="P4806" s="561">
        <v>0</v>
      </c>
    </row>
    <row r="4807" spans="1:78">
      <c r="C4807" s="561" t="s">
        <v>1199</v>
      </c>
      <c r="D4807" s="561">
        <v>13763</v>
      </c>
      <c r="E4807" s="561">
        <v>3558.9</v>
      </c>
      <c r="F4807" s="561">
        <v>10204.1</v>
      </c>
      <c r="G4807" s="561">
        <v>1000</v>
      </c>
      <c r="H4807" s="561">
        <v>14912.944000000001</v>
      </c>
      <c r="I4807" s="561">
        <v>42</v>
      </c>
      <c r="J4807" s="561">
        <v>498.55938000000003</v>
      </c>
      <c r="K4807" s="561">
        <v>1000</v>
      </c>
      <c r="L4807" s="561">
        <v>14559.225000000002</v>
      </c>
      <c r="M4807" s="561">
        <v>13763</v>
      </c>
      <c r="N4807" s="561">
        <v>3558.900000000001</v>
      </c>
      <c r="O4807" s="561">
        <v>0</v>
      </c>
      <c r="BZ4807" s="561">
        <v>10204.099999999999</v>
      </c>
    </row>
    <row r="4808" spans="1:78">
      <c r="A4808" s="561">
        <v>51</v>
      </c>
      <c r="B4808" s="561" t="s">
        <v>1619</v>
      </c>
      <c r="C4808" s="561" t="s">
        <v>1196</v>
      </c>
      <c r="D4808" s="561">
        <v>4548</v>
      </c>
      <c r="E4808" s="561">
        <v>1274.4000000000001</v>
      </c>
      <c r="F4808" s="561">
        <v>3273.6</v>
      </c>
      <c r="G4808" s="561">
        <v>352</v>
      </c>
      <c r="H4808" s="561">
        <v>4760.7900000000009</v>
      </c>
      <c r="I4808" s="561">
        <v>28</v>
      </c>
      <c r="J4808" s="561">
        <v>190.22500000000002</v>
      </c>
      <c r="K4808" s="561">
        <v>352</v>
      </c>
      <c r="L4808" s="561">
        <v>4571.0599999999995</v>
      </c>
      <c r="M4808" s="561">
        <v>4548</v>
      </c>
      <c r="N4808" s="561">
        <v>1274.3999999999999</v>
      </c>
      <c r="O4808" s="561">
        <v>0</v>
      </c>
      <c r="P4808" s="561">
        <v>3273.5999999999995</v>
      </c>
    </row>
    <row r="4809" spans="1:78">
      <c r="C4809" s="561" t="s">
        <v>1197</v>
      </c>
      <c r="D4809" s="561">
        <v>0</v>
      </c>
      <c r="E4809" s="561">
        <v>0</v>
      </c>
      <c r="F4809" s="561">
        <v>0</v>
      </c>
      <c r="G4809" s="561">
        <v>0</v>
      </c>
      <c r="H4809" s="561">
        <v>0</v>
      </c>
      <c r="I4809" s="561">
        <v>0</v>
      </c>
      <c r="J4809" s="561">
        <v>0</v>
      </c>
      <c r="K4809" s="561">
        <v>0</v>
      </c>
      <c r="L4809" s="561">
        <v>0</v>
      </c>
      <c r="M4809" s="561">
        <v>0</v>
      </c>
      <c r="N4809" s="561">
        <v>0</v>
      </c>
      <c r="O4809" s="561">
        <v>0</v>
      </c>
      <c r="P4809" s="561">
        <v>0</v>
      </c>
    </row>
    <row r="4810" spans="1:78">
      <c r="C4810" s="561" t="s">
        <v>1198</v>
      </c>
      <c r="D4810" s="561">
        <v>0</v>
      </c>
      <c r="E4810" s="561">
        <v>0</v>
      </c>
      <c r="F4810" s="561">
        <v>0</v>
      </c>
      <c r="G4810" s="561">
        <v>0</v>
      </c>
      <c r="H4810" s="561">
        <v>0</v>
      </c>
      <c r="I4810" s="561">
        <v>0</v>
      </c>
      <c r="J4810" s="561">
        <v>0</v>
      </c>
      <c r="K4810" s="561">
        <v>0</v>
      </c>
      <c r="L4810" s="561">
        <v>0</v>
      </c>
      <c r="M4810" s="561">
        <v>0</v>
      </c>
      <c r="N4810" s="561">
        <v>0</v>
      </c>
      <c r="O4810" s="561">
        <v>0</v>
      </c>
      <c r="P4810" s="561">
        <v>0</v>
      </c>
    </row>
    <row r="4811" spans="1:78">
      <c r="C4811" s="561" t="s">
        <v>1199</v>
      </c>
      <c r="D4811" s="561">
        <v>4548</v>
      </c>
      <c r="E4811" s="561">
        <v>1274.4000000000001</v>
      </c>
      <c r="F4811" s="561">
        <v>3273.6</v>
      </c>
      <c r="G4811" s="561">
        <v>352</v>
      </c>
      <c r="H4811" s="561">
        <v>4760.7900000000009</v>
      </c>
      <c r="I4811" s="561">
        <v>28</v>
      </c>
      <c r="J4811" s="561">
        <v>190.22500000000002</v>
      </c>
      <c r="K4811" s="561">
        <v>352</v>
      </c>
      <c r="L4811" s="561">
        <v>4571.0599999999995</v>
      </c>
      <c r="M4811" s="561">
        <v>4548</v>
      </c>
      <c r="N4811" s="561">
        <v>1274.3999999999999</v>
      </c>
      <c r="O4811" s="561">
        <v>0</v>
      </c>
      <c r="AL4811" s="561">
        <v>3273.5999999999995</v>
      </c>
    </row>
    <row r="4812" spans="1:78">
      <c r="A4812" s="561">
        <v>52</v>
      </c>
      <c r="B4812" s="561" t="s">
        <v>1620</v>
      </c>
      <c r="C4812" s="561" t="s">
        <v>1196</v>
      </c>
      <c r="D4812" s="561">
        <v>3990</v>
      </c>
      <c r="E4812" s="561">
        <v>1107</v>
      </c>
      <c r="F4812" s="561">
        <v>2883</v>
      </c>
      <c r="G4812" s="561">
        <v>328</v>
      </c>
      <c r="H4812" s="561">
        <v>4795.4429999999993</v>
      </c>
      <c r="I4812" s="561">
        <v>17</v>
      </c>
      <c r="J4812" s="561">
        <v>105.46099999999998</v>
      </c>
      <c r="K4812" s="561">
        <v>303</v>
      </c>
      <c r="L4812" s="561">
        <v>4363.7879999999996</v>
      </c>
      <c r="M4812" s="561">
        <v>3990</v>
      </c>
      <c r="N4812" s="561">
        <v>1107</v>
      </c>
      <c r="O4812" s="561">
        <v>0</v>
      </c>
      <c r="P4812" s="561">
        <v>2883</v>
      </c>
    </row>
    <row r="4813" spans="1:78">
      <c r="C4813" s="561" t="s">
        <v>1197</v>
      </c>
      <c r="D4813" s="561">
        <v>0</v>
      </c>
      <c r="E4813" s="561">
        <v>0</v>
      </c>
      <c r="F4813" s="561">
        <v>0</v>
      </c>
      <c r="G4813" s="561">
        <v>0</v>
      </c>
      <c r="H4813" s="561">
        <v>0</v>
      </c>
      <c r="I4813" s="561">
        <v>0</v>
      </c>
      <c r="J4813" s="561">
        <v>0</v>
      </c>
      <c r="K4813" s="561">
        <v>0</v>
      </c>
      <c r="L4813" s="561">
        <v>0</v>
      </c>
      <c r="M4813" s="561">
        <v>0</v>
      </c>
      <c r="N4813" s="561">
        <v>0</v>
      </c>
      <c r="O4813" s="561">
        <v>0</v>
      </c>
      <c r="P4813" s="561">
        <v>0</v>
      </c>
    </row>
    <row r="4814" spans="1:78">
      <c r="C4814" s="561" t="s">
        <v>1198</v>
      </c>
      <c r="D4814" s="561">
        <v>0</v>
      </c>
      <c r="E4814" s="561">
        <v>0</v>
      </c>
      <c r="F4814" s="561">
        <v>0</v>
      </c>
      <c r="G4814" s="561">
        <v>0</v>
      </c>
      <c r="H4814" s="561">
        <v>0</v>
      </c>
      <c r="I4814" s="561">
        <v>0</v>
      </c>
      <c r="J4814" s="561">
        <v>0</v>
      </c>
      <c r="K4814" s="561">
        <v>0</v>
      </c>
      <c r="L4814" s="561">
        <v>0</v>
      </c>
      <c r="M4814" s="561">
        <v>0</v>
      </c>
      <c r="N4814" s="561">
        <v>0</v>
      </c>
      <c r="O4814" s="561">
        <v>0</v>
      </c>
      <c r="P4814" s="561">
        <v>0</v>
      </c>
    </row>
    <row r="4815" spans="1:78">
      <c r="C4815" s="561" t="s">
        <v>1199</v>
      </c>
      <c r="D4815" s="561">
        <v>3990</v>
      </c>
      <c r="E4815" s="561">
        <v>1107</v>
      </c>
      <c r="F4815" s="561">
        <v>2883</v>
      </c>
      <c r="G4815" s="561">
        <v>328</v>
      </c>
      <c r="H4815" s="561">
        <v>4795.4429999999993</v>
      </c>
      <c r="I4815" s="561">
        <v>17</v>
      </c>
      <c r="J4815" s="561">
        <v>105.46099999999998</v>
      </c>
      <c r="K4815" s="561">
        <v>303</v>
      </c>
      <c r="L4815" s="561">
        <v>4363.7879999999996</v>
      </c>
      <c r="M4815" s="561">
        <v>3990</v>
      </c>
      <c r="N4815" s="561">
        <v>1107</v>
      </c>
      <c r="O4815" s="561">
        <v>0</v>
      </c>
      <c r="AL4815" s="561">
        <v>2883</v>
      </c>
    </row>
    <row r="4816" spans="1:78">
      <c r="A4816" s="561">
        <v>53</v>
      </c>
      <c r="B4816" s="561" t="s">
        <v>1621</v>
      </c>
      <c r="C4816" s="561" t="s">
        <v>1196</v>
      </c>
      <c r="D4816" s="561">
        <v>3874</v>
      </c>
      <c r="E4816" s="561">
        <v>1072.2</v>
      </c>
      <c r="F4816" s="561">
        <v>2801.8</v>
      </c>
      <c r="G4816" s="561">
        <v>350</v>
      </c>
      <c r="H4816" s="561">
        <v>4559.1082699999997</v>
      </c>
      <c r="I4816" s="561">
        <v>25</v>
      </c>
      <c r="J4816" s="561">
        <v>125.90700000000001</v>
      </c>
      <c r="K4816" s="561">
        <v>310</v>
      </c>
      <c r="L4816" s="561">
        <v>4058.9609999999989</v>
      </c>
      <c r="M4816" s="561">
        <v>3874</v>
      </c>
      <c r="N4816" s="561">
        <v>1072.1999999999998</v>
      </c>
      <c r="O4816" s="561">
        <v>0</v>
      </c>
      <c r="P4816" s="561">
        <v>2801.7999999999997</v>
      </c>
    </row>
    <row r="4817" spans="1:38">
      <c r="C4817" s="561" t="s">
        <v>1197</v>
      </c>
      <c r="D4817" s="561">
        <v>0</v>
      </c>
      <c r="E4817" s="561">
        <v>0</v>
      </c>
      <c r="F4817" s="561">
        <v>0</v>
      </c>
      <c r="G4817" s="561">
        <v>0</v>
      </c>
      <c r="H4817" s="561">
        <v>0</v>
      </c>
      <c r="I4817" s="561">
        <v>0</v>
      </c>
      <c r="J4817" s="561">
        <v>0</v>
      </c>
      <c r="K4817" s="561">
        <v>0</v>
      </c>
      <c r="L4817" s="561">
        <v>0</v>
      </c>
      <c r="M4817" s="561">
        <v>0</v>
      </c>
      <c r="N4817" s="561">
        <v>0</v>
      </c>
      <c r="O4817" s="561">
        <v>0</v>
      </c>
      <c r="P4817" s="561">
        <v>0</v>
      </c>
    </row>
    <row r="4818" spans="1:38">
      <c r="C4818" s="561" t="s">
        <v>1198</v>
      </c>
      <c r="D4818" s="561">
        <v>0</v>
      </c>
      <c r="E4818" s="561">
        <v>0</v>
      </c>
      <c r="F4818" s="561">
        <v>0</v>
      </c>
      <c r="G4818" s="561">
        <v>0</v>
      </c>
      <c r="H4818" s="561">
        <v>0</v>
      </c>
      <c r="I4818" s="561">
        <v>0</v>
      </c>
      <c r="J4818" s="561">
        <v>0</v>
      </c>
      <c r="K4818" s="561">
        <v>0</v>
      </c>
      <c r="L4818" s="561">
        <v>0</v>
      </c>
      <c r="M4818" s="561">
        <v>0</v>
      </c>
      <c r="N4818" s="561">
        <v>0</v>
      </c>
      <c r="O4818" s="561">
        <v>0</v>
      </c>
      <c r="P4818" s="561">
        <v>0</v>
      </c>
    </row>
    <row r="4819" spans="1:38">
      <c r="C4819" s="561" t="s">
        <v>1199</v>
      </c>
      <c r="D4819" s="561">
        <v>3874</v>
      </c>
      <c r="E4819" s="561">
        <v>1072.2</v>
      </c>
      <c r="F4819" s="561">
        <v>2801.8</v>
      </c>
      <c r="G4819" s="561">
        <v>350</v>
      </c>
      <c r="H4819" s="561">
        <v>4559.1082699999997</v>
      </c>
      <c r="I4819" s="561">
        <v>25</v>
      </c>
      <c r="J4819" s="561">
        <v>125.90700000000001</v>
      </c>
      <c r="K4819" s="561">
        <v>310</v>
      </c>
      <c r="L4819" s="561">
        <v>4058.9609999999989</v>
      </c>
      <c r="M4819" s="561">
        <v>3874</v>
      </c>
      <c r="N4819" s="561">
        <v>1072.1999999999998</v>
      </c>
      <c r="O4819" s="561">
        <v>0</v>
      </c>
      <c r="AL4819" s="561">
        <v>2801.7999999999997</v>
      </c>
    </row>
    <row r="4820" spans="1:38">
      <c r="A4820" s="561">
        <v>54</v>
      </c>
      <c r="B4820" s="561" t="s">
        <v>1622</v>
      </c>
      <c r="C4820" s="561" t="s">
        <v>1196</v>
      </c>
      <c r="D4820" s="561">
        <v>536108.26599999995</v>
      </c>
      <c r="E4820" s="561">
        <v>146272.5</v>
      </c>
      <c r="F4820" s="561">
        <v>389835.76599999995</v>
      </c>
      <c r="G4820" s="561">
        <v>9297</v>
      </c>
      <c r="H4820" s="561">
        <v>560578.13499999989</v>
      </c>
      <c r="I4820" s="561">
        <v>877</v>
      </c>
      <c r="J4820" s="561">
        <v>29028.167800000003</v>
      </c>
      <c r="K4820" s="561">
        <v>9226</v>
      </c>
      <c r="L4820" s="561">
        <v>538503.96911000006</v>
      </c>
      <c r="M4820" s="561">
        <v>537889.96724000003</v>
      </c>
      <c r="N4820" s="561">
        <v>148054.19999999998</v>
      </c>
      <c r="O4820" s="561">
        <v>0</v>
      </c>
      <c r="P4820" s="561">
        <v>389835.76724000007</v>
      </c>
    </row>
    <row r="4821" spans="1:38">
      <c r="C4821" s="561" t="s">
        <v>1197</v>
      </c>
      <c r="D4821" s="561">
        <v>524525.53</v>
      </c>
      <c r="E4821" s="561">
        <v>143557.5</v>
      </c>
      <c r="F4821" s="561">
        <v>380968.03</v>
      </c>
      <c r="G4821" s="561">
        <v>8441</v>
      </c>
      <c r="H4821" s="561">
        <v>548413.19400000002</v>
      </c>
      <c r="I4821" s="561">
        <v>822</v>
      </c>
      <c r="J4821" s="561">
        <v>28789.378800000002</v>
      </c>
      <c r="K4821" s="561">
        <v>8371</v>
      </c>
      <c r="L4821" s="561">
        <v>526577.81824000005</v>
      </c>
      <c r="M4821" s="561">
        <v>526224.06123999995</v>
      </c>
      <c r="N4821" s="561">
        <v>145299.06399999998</v>
      </c>
      <c r="O4821" s="561">
        <v>0</v>
      </c>
    </row>
    <row r="4822" spans="1:38">
      <c r="C4822" s="561" t="s">
        <v>1198</v>
      </c>
      <c r="D4822" s="561">
        <v>0</v>
      </c>
      <c r="E4822" s="561">
        <v>0</v>
      </c>
      <c r="F4822" s="561">
        <v>0</v>
      </c>
      <c r="G4822" s="561">
        <v>0</v>
      </c>
      <c r="H4822" s="561">
        <v>0</v>
      </c>
      <c r="I4822" s="561">
        <v>0</v>
      </c>
      <c r="J4822" s="561">
        <v>0</v>
      </c>
      <c r="K4822" s="561">
        <v>0</v>
      </c>
      <c r="L4822" s="561">
        <v>0</v>
      </c>
      <c r="M4822" s="561">
        <v>0</v>
      </c>
      <c r="N4822" s="561">
        <v>0</v>
      </c>
      <c r="O4822" s="561">
        <v>0</v>
      </c>
      <c r="P4822" s="561">
        <v>0</v>
      </c>
    </row>
    <row r="4823" spans="1:38">
      <c r="C4823" s="561" t="s">
        <v>1199</v>
      </c>
      <c r="D4823" s="561">
        <v>11050</v>
      </c>
      <c r="E4823" s="561">
        <v>2715</v>
      </c>
      <c r="F4823" s="561">
        <v>8335</v>
      </c>
      <c r="G4823" s="561">
        <v>856</v>
      </c>
      <c r="H4823" s="561">
        <v>11503.615000000003</v>
      </c>
      <c r="I4823" s="561">
        <v>55</v>
      </c>
      <c r="J4823" s="561">
        <v>238.78900000000002</v>
      </c>
      <c r="K4823" s="561">
        <v>855</v>
      </c>
      <c r="L4823" s="561">
        <v>11264.82387</v>
      </c>
      <c r="M4823" s="561">
        <v>11264.824000000001</v>
      </c>
      <c r="N4823" s="561">
        <v>2755.1359999999995</v>
      </c>
      <c r="O4823" s="561">
        <v>0</v>
      </c>
      <c r="AL4823" s="561">
        <v>8509.6880000000001</v>
      </c>
    </row>
    <row r="4824" spans="1:38">
      <c r="C4824" s="561" t="s">
        <v>1202</v>
      </c>
      <c r="D4824" s="561">
        <v>532.73599999999999</v>
      </c>
      <c r="F4824" s="561">
        <v>532.73599999999999</v>
      </c>
      <c r="G4824" s="561">
        <v>0</v>
      </c>
      <c r="H4824" s="561">
        <v>661.32600000000002</v>
      </c>
      <c r="I4824" s="561">
        <v>0</v>
      </c>
      <c r="J4824" s="561">
        <v>0</v>
      </c>
      <c r="K4824" s="561">
        <v>0</v>
      </c>
      <c r="L4824" s="561">
        <v>661.327</v>
      </c>
      <c r="M4824" s="561">
        <v>401.08199999999999</v>
      </c>
      <c r="N4824" s="561">
        <v>0</v>
      </c>
      <c r="O4824" s="561">
        <v>0</v>
      </c>
      <c r="P4824" s="561">
        <v>401.08199999999999</v>
      </c>
    </row>
    <row r="4825" spans="1:38">
      <c r="A4825" s="561">
        <v>55</v>
      </c>
      <c r="B4825" s="561" t="s">
        <v>1623</v>
      </c>
      <c r="C4825" s="561" t="s">
        <v>1196</v>
      </c>
      <c r="D4825" s="561">
        <v>41450.839</v>
      </c>
      <c r="E4825" s="561">
        <v>16035.3</v>
      </c>
      <c r="F4825" s="561">
        <v>25415.539000000001</v>
      </c>
      <c r="G4825" s="561">
        <v>680</v>
      </c>
      <c r="H4825" s="561">
        <v>44398.689599999998</v>
      </c>
      <c r="I4825" s="561">
        <v>96</v>
      </c>
      <c r="J4825" s="561">
        <v>4367.9096</v>
      </c>
      <c r="K4825" s="561">
        <v>679</v>
      </c>
      <c r="L4825" s="561">
        <v>40185.630000000005</v>
      </c>
      <c r="M4825" s="561">
        <v>39669.139000000003</v>
      </c>
      <c r="N4825" s="561">
        <v>14253.599999999999</v>
      </c>
      <c r="O4825" s="561">
        <v>0</v>
      </c>
      <c r="P4825" s="561">
        <v>25415.539000000001</v>
      </c>
    </row>
    <row r="4826" spans="1:38">
      <c r="C4826" s="561" t="s">
        <v>1197</v>
      </c>
      <c r="D4826" s="561">
        <v>40246.839</v>
      </c>
      <c r="E4826" s="561">
        <v>15674.1</v>
      </c>
      <c r="F4826" s="561">
        <v>24572.739000000001</v>
      </c>
      <c r="G4826" s="561">
        <v>577</v>
      </c>
      <c r="H4826" s="561">
        <v>42712.365000000005</v>
      </c>
      <c r="I4826" s="561">
        <v>93</v>
      </c>
      <c r="J4826" s="561">
        <v>4345.8599999999997</v>
      </c>
      <c r="K4826" s="561">
        <v>576</v>
      </c>
      <c r="L4826" s="561">
        <v>38521.364000000001</v>
      </c>
      <c r="M4826" s="561">
        <v>38004.873</v>
      </c>
      <c r="N4826" s="561">
        <v>13932.535999999996</v>
      </c>
      <c r="O4826" s="561">
        <v>0</v>
      </c>
    </row>
    <row r="4827" spans="1:38">
      <c r="C4827" s="561" t="s">
        <v>1198</v>
      </c>
      <c r="D4827" s="561">
        <v>0</v>
      </c>
      <c r="E4827" s="561">
        <v>0</v>
      </c>
      <c r="F4827" s="561">
        <v>0</v>
      </c>
      <c r="G4827" s="561">
        <v>0</v>
      </c>
      <c r="H4827" s="561">
        <v>0</v>
      </c>
      <c r="I4827" s="561">
        <v>0</v>
      </c>
      <c r="J4827" s="561">
        <v>0</v>
      </c>
      <c r="K4827" s="561">
        <v>0</v>
      </c>
      <c r="L4827" s="561">
        <v>0</v>
      </c>
      <c r="M4827" s="561">
        <v>0</v>
      </c>
      <c r="N4827" s="561">
        <v>0</v>
      </c>
      <c r="O4827" s="561">
        <v>0</v>
      </c>
      <c r="P4827" s="561">
        <v>0</v>
      </c>
    </row>
    <row r="4828" spans="1:38">
      <c r="C4828" s="561" t="s">
        <v>1199</v>
      </c>
      <c r="D4828" s="561">
        <v>1204</v>
      </c>
      <c r="E4828" s="561">
        <v>361.19999999999891</v>
      </c>
      <c r="F4828" s="561">
        <v>842.80000000000109</v>
      </c>
      <c r="G4828" s="561">
        <v>103</v>
      </c>
      <c r="H4828" s="561">
        <v>1686.3245999999992</v>
      </c>
      <c r="I4828" s="561">
        <v>3</v>
      </c>
      <c r="J4828" s="561">
        <v>22.049599999999984</v>
      </c>
      <c r="K4828" s="561">
        <v>103</v>
      </c>
      <c r="L4828" s="561">
        <v>1664.2660000000001</v>
      </c>
      <c r="M4828" s="561">
        <v>1664.2660000000001</v>
      </c>
      <c r="N4828" s="561">
        <v>321.06400000000002</v>
      </c>
      <c r="O4828" s="561">
        <v>0</v>
      </c>
      <c r="AL4828" s="561">
        <v>1343.202</v>
      </c>
    </row>
    <row r="4829" spans="1:38">
      <c r="A4829" s="561">
        <v>56</v>
      </c>
      <c r="B4829" s="561" t="s">
        <v>1624</v>
      </c>
      <c r="C4829" s="561" t="s">
        <v>1196</v>
      </c>
      <c r="D4829" s="561">
        <v>15543</v>
      </c>
      <c r="E4829" s="561">
        <v>4332.8999999999996</v>
      </c>
      <c r="F4829" s="561">
        <v>11210.1</v>
      </c>
      <c r="G4829" s="561">
        <v>329</v>
      </c>
      <c r="H4829" s="561">
        <v>16011.605969999999</v>
      </c>
      <c r="I4829" s="561">
        <v>35</v>
      </c>
      <c r="J4829" s="561">
        <v>769.98839999999996</v>
      </c>
      <c r="K4829" s="561">
        <v>326</v>
      </c>
      <c r="L4829" s="561">
        <v>15925.987999999999</v>
      </c>
      <c r="M4829" s="561">
        <v>15543</v>
      </c>
      <c r="N4829" s="561">
        <v>4332.8999999999987</v>
      </c>
      <c r="O4829" s="561">
        <v>0</v>
      </c>
      <c r="P4829" s="561">
        <v>11210.1</v>
      </c>
    </row>
    <row r="4830" spans="1:38">
      <c r="C4830" s="561" t="s">
        <v>1197</v>
      </c>
      <c r="D4830" s="561">
        <v>14716</v>
      </c>
      <c r="E4830" s="561">
        <v>4114.8</v>
      </c>
      <c r="F4830" s="561">
        <v>10601.2</v>
      </c>
      <c r="G4830" s="561">
        <v>261</v>
      </c>
      <c r="H4830" s="561">
        <v>15050.496080000001</v>
      </c>
      <c r="I4830" s="561">
        <v>28</v>
      </c>
      <c r="J4830" s="561">
        <v>739.03179999999998</v>
      </c>
      <c r="K4830" s="561">
        <v>258</v>
      </c>
      <c r="L4830" s="561">
        <v>14995.833999999999</v>
      </c>
      <c r="M4830" s="561">
        <v>14780.561999999998</v>
      </c>
      <c r="N4830" s="561">
        <v>4114.8</v>
      </c>
      <c r="O4830" s="561">
        <v>0</v>
      </c>
    </row>
    <row r="4831" spans="1:38">
      <c r="C4831" s="561" t="s">
        <v>1198</v>
      </c>
      <c r="D4831" s="561">
        <v>0</v>
      </c>
      <c r="E4831" s="561">
        <v>0</v>
      </c>
      <c r="F4831" s="561">
        <v>0</v>
      </c>
      <c r="G4831" s="561">
        <v>0</v>
      </c>
      <c r="H4831" s="561">
        <v>0</v>
      </c>
      <c r="I4831" s="561">
        <v>0</v>
      </c>
      <c r="J4831" s="561">
        <v>0</v>
      </c>
      <c r="K4831" s="561">
        <v>0</v>
      </c>
      <c r="L4831" s="561">
        <v>0</v>
      </c>
      <c r="M4831" s="561">
        <v>0</v>
      </c>
      <c r="N4831" s="561">
        <v>0</v>
      </c>
      <c r="O4831" s="561">
        <v>0</v>
      </c>
      <c r="P4831" s="561">
        <v>0</v>
      </c>
    </row>
    <row r="4832" spans="1:38">
      <c r="C4832" s="561" t="s">
        <v>1199</v>
      </c>
      <c r="D4832" s="561">
        <v>827</v>
      </c>
      <c r="E4832" s="561">
        <v>218.09999999999945</v>
      </c>
      <c r="F4832" s="561">
        <v>608.90000000000055</v>
      </c>
      <c r="G4832" s="561">
        <v>68</v>
      </c>
      <c r="H4832" s="561">
        <v>961.10989000000006</v>
      </c>
      <c r="I4832" s="561">
        <v>7</v>
      </c>
      <c r="J4832" s="561">
        <v>30.956600000000002</v>
      </c>
      <c r="K4832" s="561">
        <v>68</v>
      </c>
      <c r="L4832" s="561">
        <v>930.15400000000011</v>
      </c>
      <c r="M4832" s="561">
        <v>762.43799999999999</v>
      </c>
      <c r="N4832" s="561">
        <v>218.09999999999997</v>
      </c>
      <c r="O4832" s="561">
        <v>0</v>
      </c>
      <c r="AL4832" s="561">
        <v>544.33799999999997</v>
      </c>
    </row>
    <row r="4833" spans="1:78">
      <c r="A4833" s="561">
        <v>57</v>
      </c>
      <c r="B4833" s="561" t="s">
        <v>1625</v>
      </c>
      <c r="C4833" s="561" t="s">
        <v>1196</v>
      </c>
      <c r="D4833" s="561">
        <v>13732</v>
      </c>
      <c r="E4833" s="561">
        <v>3909.6</v>
      </c>
      <c r="F4833" s="561">
        <v>9822.4</v>
      </c>
      <c r="G4833" s="561">
        <v>1080</v>
      </c>
      <c r="H4833" s="561">
        <v>15932.47567</v>
      </c>
      <c r="I4833" s="561">
        <v>63</v>
      </c>
      <c r="J4833" s="561">
        <v>375.82200000000006</v>
      </c>
      <c r="K4833" s="561">
        <v>1080</v>
      </c>
      <c r="L4833" s="561">
        <v>15556.648999999999</v>
      </c>
      <c r="M4833" s="561">
        <v>13732</v>
      </c>
      <c r="N4833" s="561">
        <v>3909.5999999999995</v>
      </c>
      <c r="O4833" s="561">
        <v>0</v>
      </c>
      <c r="P4833" s="561">
        <v>9822.4</v>
      </c>
    </row>
    <row r="4834" spans="1:78">
      <c r="C4834" s="561" t="s">
        <v>1197</v>
      </c>
      <c r="D4834" s="561">
        <v>0</v>
      </c>
      <c r="E4834" s="561">
        <v>0</v>
      </c>
      <c r="F4834" s="561">
        <v>0</v>
      </c>
      <c r="G4834" s="561">
        <v>0</v>
      </c>
      <c r="H4834" s="561">
        <v>0</v>
      </c>
      <c r="I4834" s="561">
        <v>0</v>
      </c>
      <c r="J4834" s="561">
        <v>0</v>
      </c>
      <c r="K4834" s="561">
        <v>0</v>
      </c>
      <c r="L4834" s="561">
        <v>0</v>
      </c>
      <c r="M4834" s="561">
        <v>0</v>
      </c>
      <c r="N4834" s="561">
        <v>0</v>
      </c>
      <c r="O4834" s="561">
        <v>0</v>
      </c>
      <c r="P4834" s="561">
        <v>0</v>
      </c>
    </row>
    <row r="4835" spans="1:78">
      <c r="C4835" s="561" t="s">
        <v>1198</v>
      </c>
      <c r="D4835" s="561">
        <v>0</v>
      </c>
      <c r="E4835" s="561">
        <v>0</v>
      </c>
      <c r="F4835" s="561">
        <v>0</v>
      </c>
      <c r="G4835" s="561">
        <v>0</v>
      </c>
      <c r="H4835" s="561">
        <v>0</v>
      </c>
      <c r="I4835" s="561">
        <v>0</v>
      </c>
      <c r="J4835" s="561">
        <v>0</v>
      </c>
      <c r="K4835" s="561">
        <v>0</v>
      </c>
      <c r="L4835" s="561">
        <v>0</v>
      </c>
      <c r="M4835" s="561">
        <v>0</v>
      </c>
      <c r="N4835" s="561">
        <v>0</v>
      </c>
      <c r="O4835" s="561">
        <v>0</v>
      </c>
      <c r="P4835" s="561">
        <v>0</v>
      </c>
    </row>
    <row r="4836" spans="1:78">
      <c r="C4836" s="561" t="s">
        <v>1199</v>
      </c>
      <c r="D4836" s="561">
        <v>13732</v>
      </c>
      <c r="E4836" s="561">
        <v>3909.6</v>
      </c>
      <c r="F4836" s="561">
        <v>9822.4</v>
      </c>
      <c r="G4836" s="561">
        <v>1080</v>
      </c>
      <c r="H4836" s="561">
        <v>15932.47567</v>
      </c>
      <c r="I4836" s="561">
        <v>63</v>
      </c>
      <c r="J4836" s="561">
        <v>375.82200000000006</v>
      </c>
      <c r="K4836" s="561">
        <v>1080</v>
      </c>
      <c r="L4836" s="561">
        <v>15556.648999999999</v>
      </c>
      <c r="M4836" s="561">
        <v>13732</v>
      </c>
      <c r="N4836" s="561">
        <v>3909.5999999999995</v>
      </c>
      <c r="O4836" s="561">
        <v>0</v>
      </c>
      <c r="BZ4836" s="561">
        <v>9822.4</v>
      </c>
    </row>
    <row r="4837" spans="1:78">
      <c r="A4837" s="561">
        <v>58</v>
      </c>
      <c r="B4837" s="561" t="s">
        <v>1626</v>
      </c>
      <c r="C4837" s="561" t="s">
        <v>1196</v>
      </c>
      <c r="D4837" s="561">
        <v>10160</v>
      </c>
      <c r="E4837" s="561">
        <v>3048</v>
      </c>
      <c r="F4837" s="561">
        <v>7112</v>
      </c>
      <c r="G4837" s="561">
        <v>798</v>
      </c>
      <c r="H4837" s="561">
        <v>11132.422199999999</v>
      </c>
      <c r="I4837" s="561">
        <v>42</v>
      </c>
      <c r="J4837" s="561">
        <v>278.28320000000008</v>
      </c>
      <c r="K4837" s="561">
        <v>798</v>
      </c>
      <c r="L4837" s="561">
        <v>10854.132000000001</v>
      </c>
      <c r="M4837" s="561">
        <v>10160.000000000002</v>
      </c>
      <c r="N4837" s="561">
        <v>3048</v>
      </c>
      <c r="O4837" s="561">
        <v>0</v>
      </c>
      <c r="P4837" s="561">
        <v>7111.9999999999991</v>
      </c>
    </row>
    <row r="4838" spans="1:78">
      <c r="C4838" s="561" t="s">
        <v>1197</v>
      </c>
      <c r="D4838" s="561">
        <v>0</v>
      </c>
      <c r="E4838" s="561">
        <v>0</v>
      </c>
      <c r="F4838" s="561">
        <v>0</v>
      </c>
      <c r="G4838" s="561">
        <v>0</v>
      </c>
      <c r="H4838" s="561">
        <v>0</v>
      </c>
      <c r="I4838" s="561">
        <v>0</v>
      </c>
      <c r="J4838" s="561">
        <v>0</v>
      </c>
      <c r="K4838" s="561">
        <v>0</v>
      </c>
      <c r="L4838" s="561">
        <v>0</v>
      </c>
      <c r="M4838" s="561">
        <v>0</v>
      </c>
      <c r="N4838" s="561">
        <v>0</v>
      </c>
      <c r="O4838" s="561">
        <v>0</v>
      </c>
      <c r="P4838" s="561">
        <v>0</v>
      </c>
    </row>
    <row r="4839" spans="1:78">
      <c r="C4839" s="561" t="s">
        <v>1198</v>
      </c>
      <c r="D4839" s="561">
        <v>0</v>
      </c>
      <c r="E4839" s="561">
        <v>0</v>
      </c>
      <c r="F4839" s="561">
        <v>0</v>
      </c>
      <c r="G4839" s="561">
        <v>0</v>
      </c>
      <c r="H4839" s="561">
        <v>0</v>
      </c>
      <c r="I4839" s="561">
        <v>0</v>
      </c>
      <c r="J4839" s="561">
        <v>0</v>
      </c>
      <c r="K4839" s="561">
        <v>0</v>
      </c>
      <c r="L4839" s="561">
        <v>0</v>
      </c>
      <c r="M4839" s="561">
        <v>0</v>
      </c>
      <c r="N4839" s="561">
        <v>0</v>
      </c>
      <c r="O4839" s="561">
        <v>0</v>
      </c>
      <c r="P4839" s="561">
        <v>0</v>
      </c>
    </row>
    <row r="4840" spans="1:78">
      <c r="C4840" s="561" t="s">
        <v>1199</v>
      </c>
      <c r="D4840" s="561">
        <v>10160</v>
      </c>
      <c r="E4840" s="561">
        <v>3048</v>
      </c>
      <c r="F4840" s="561">
        <v>7112</v>
      </c>
      <c r="G4840" s="561">
        <v>798</v>
      </c>
      <c r="H4840" s="561">
        <v>11132.422199999999</v>
      </c>
      <c r="I4840" s="561">
        <v>42</v>
      </c>
      <c r="J4840" s="561">
        <v>278.28320000000008</v>
      </c>
      <c r="K4840" s="561">
        <v>798</v>
      </c>
      <c r="L4840" s="561">
        <v>10854.132000000001</v>
      </c>
      <c r="M4840" s="561">
        <v>10160.000000000002</v>
      </c>
      <c r="N4840" s="561">
        <v>3048</v>
      </c>
      <c r="O4840" s="561">
        <v>0</v>
      </c>
      <c r="BZ4840" s="561">
        <v>7111.9999999999991</v>
      </c>
    </row>
    <row r="4841" spans="1:78">
      <c r="A4841" s="561">
        <v>59</v>
      </c>
      <c r="B4841" s="561" t="s">
        <v>1627</v>
      </c>
      <c r="C4841" s="561" t="s">
        <v>1196</v>
      </c>
      <c r="D4841" s="561">
        <v>11201</v>
      </c>
      <c r="E4841" s="561">
        <v>3360.3</v>
      </c>
      <c r="F4841" s="561">
        <v>7840.7</v>
      </c>
      <c r="G4841" s="561">
        <v>811</v>
      </c>
      <c r="H4841" s="561">
        <v>12041.4498</v>
      </c>
      <c r="I4841" s="561">
        <v>50</v>
      </c>
      <c r="J4841" s="561">
        <v>209.83100000000005</v>
      </c>
      <c r="K4841" s="561">
        <v>811</v>
      </c>
      <c r="L4841" s="561">
        <v>11832.722000000002</v>
      </c>
      <c r="M4841" s="561">
        <v>11201</v>
      </c>
      <c r="N4841" s="561">
        <v>3360.2999999999997</v>
      </c>
      <c r="O4841" s="561">
        <v>0</v>
      </c>
      <c r="P4841" s="561">
        <v>7840.7</v>
      </c>
    </row>
    <row r="4842" spans="1:78">
      <c r="C4842" s="561" t="s">
        <v>1197</v>
      </c>
      <c r="D4842" s="561">
        <v>0</v>
      </c>
      <c r="E4842" s="561">
        <v>0</v>
      </c>
      <c r="F4842" s="561">
        <v>0</v>
      </c>
      <c r="G4842" s="561">
        <v>0</v>
      </c>
      <c r="H4842" s="561">
        <v>0</v>
      </c>
      <c r="I4842" s="561">
        <v>0</v>
      </c>
      <c r="J4842" s="561">
        <v>0</v>
      </c>
      <c r="K4842" s="561">
        <v>0</v>
      </c>
      <c r="L4842" s="561">
        <v>0</v>
      </c>
      <c r="M4842" s="561">
        <v>0</v>
      </c>
      <c r="N4842" s="561">
        <v>0</v>
      </c>
      <c r="O4842" s="561">
        <v>0</v>
      </c>
      <c r="P4842" s="561">
        <v>0</v>
      </c>
    </row>
    <row r="4843" spans="1:78">
      <c r="C4843" s="561" t="s">
        <v>1198</v>
      </c>
      <c r="D4843" s="561">
        <v>0</v>
      </c>
      <c r="E4843" s="561">
        <v>0</v>
      </c>
      <c r="F4843" s="561">
        <v>0</v>
      </c>
      <c r="G4843" s="561">
        <v>0</v>
      </c>
      <c r="H4843" s="561">
        <v>0</v>
      </c>
      <c r="I4843" s="561">
        <v>0</v>
      </c>
      <c r="J4843" s="561">
        <v>0</v>
      </c>
      <c r="K4843" s="561">
        <v>0</v>
      </c>
      <c r="L4843" s="561">
        <v>0</v>
      </c>
      <c r="M4843" s="561">
        <v>0</v>
      </c>
      <c r="N4843" s="561">
        <v>0</v>
      </c>
      <c r="O4843" s="561">
        <v>0</v>
      </c>
      <c r="P4843" s="561">
        <v>0</v>
      </c>
    </row>
    <row r="4844" spans="1:78">
      <c r="C4844" s="561" t="s">
        <v>1199</v>
      </c>
      <c r="D4844" s="561">
        <v>11201</v>
      </c>
      <c r="E4844" s="561">
        <v>3360.3</v>
      </c>
      <c r="F4844" s="561">
        <v>7840.7</v>
      </c>
      <c r="G4844" s="561">
        <v>811</v>
      </c>
      <c r="H4844" s="561">
        <v>12041.4498</v>
      </c>
      <c r="I4844" s="561">
        <v>50</v>
      </c>
      <c r="J4844" s="561">
        <v>209.83100000000005</v>
      </c>
      <c r="K4844" s="561">
        <v>811</v>
      </c>
      <c r="L4844" s="561">
        <v>11832.722000000002</v>
      </c>
      <c r="M4844" s="561">
        <v>11201</v>
      </c>
      <c r="N4844" s="561">
        <v>3360.2999999999997</v>
      </c>
      <c r="O4844" s="561">
        <v>0</v>
      </c>
      <c r="BZ4844" s="561">
        <v>7840.7</v>
      </c>
    </row>
    <row r="4845" spans="1:78">
      <c r="A4845" s="561">
        <v>60</v>
      </c>
      <c r="B4845" s="561" t="s">
        <v>1628</v>
      </c>
      <c r="C4845" s="561" t="s">
        <v>1196</v>
      </c>
      <c r="D4845" s="561">
        <v>189601</v>
      </c>
      <c r="E4845" s="561">
        <v>55830.3</v>
      </c>
      <c r="F4845" s="561">
        <v>133770.70000000001</v>
      </c>
      <c r="G4845" s="561">
        <v>3489</v>
      </c>
      <c r="H4845" s="561">
        <v>199778.90700000001</v>
      </c>
      <c r="I4845" s="561">
        <v>318</v>
      </c>
      <c r="J4845" s="561">
        <v>10903.028000000002</v>
      </c>
      <c r="K4845" s="561">
        <v>3458</v>
      </c>
      <c r="L4845" s="561">
        <v>190415.538</v>
      </c>
      <c r="M4845" s="561">
        <v>189601</v>
      </c>
      <c r="N4845" s="561">
        <v>55830.30000000001</v>
      </c>
      <c r="O4845" s="561">
        <v>0</v>
      </c>
      <c r="P4845" s="561">
        <v>133770.70000000001</v>
      </c>
    </row>
    <row r="4846" spans="1:78">
      <c r="C4846" s="561" t="s">
        <v>1197</v>
      </c>
      <c r="D4846" s="561">
        <v>179790</v>
      </c>
      <c r="E4846" s="561">
        <v>54687</v>
      </c>
      <c r="F4846" s="561">
        <v>125103</v>
      </c>
      <c r="G4846" s="561">
        <v>2842</v>
      </c>
      <c r="H4846" s="561">
        <v>190403.25600000002</v>
      </c>
      <c r="I4846" s="561">
        <v>269</v>
      </c>
      <c r="J4846" s="561">
        <v>10660.771000000002</v>
      </c>
      <c r="K4846" s="561">
        <v>2812</v>
      </c>
      <c r="L4846" s="561">
        <v>181282.54500000001</v>
      </c>
      <c r="M4846" s="561">
        <v>180468.00600000002</v>
      </c>
      <c r="N4846" s="561">
        <v>54686.999999999985</v>
      </c>
      <c r="O4846" s="561">
        <v>0</v>
      </c>
    </row>
    <row r="4847" spans="1:78">
      <c r="C4847" s="561" t="s">
        <v>1198</v>
      </c>
      <c r="D4847" s="561">
        <v>0</v>
      </c>
      <c r="E4847" s="561">
        <v>0</v>
      </c>
      <c r="F4847" s="561">
        <v>0</v>
      </c>
      <c r="G4847" s="561">
        <v>0</v>
      </c>
      <c r="H4847" s="561">
        <v>0</v>
      </c>
      <c r="I4847" s="561">
        <v>0</v>
      </c>
      <c r="J4847" s="561">
        <v>0</v>
      </c>
      <c r="K4847" s="561">
        <v>0</v>
      </c>
      <c r="L4847" s="561">
        <v>0</v>
      </c>
      <c r="M4847" s="561">
        <v>0</v>
      </c>
      <c r="N4847" s="561">
        <v>0</v>
      </c>
      <c r="O4847" s="561">
        <v>0</v>
      </c>
      <c r="P4847" s="561">
        <v>0</v>
      </c>
    </row>
    <row r="4848" spans="1:78">
      <c r="C4848" s="561" t="s">
        <v>1199</v>
      </c>
      <c r="D4848" s="561">
        <v>9811</v>
      </c>
      <c r="E4848" s="561">
        <v>1143.3000000000029</v>
      </c>
      <c r="F4848" s="561">
        <v>8667.6999999999971</v>
      </c>
      <c r="G4848" s="561">
        <v>647</v>
      </c>
      <c r="H4848" s="561">
        <v>9375.6509999999998</v>
      </c>
      <c r="I4848" s="561">
        <v>49</v>
      </c>
      <c r="J4848" s="561">
        <v>242.25700000000001</v>
      </c>
      <c r="K4848" s="561">
        <v>646</v>
      </c>
      <c r="L4848" s="561">
        <v>9132.9930000000004</v>
      </c>
      <c r="M4848" s="561">
        <v>9132.9939999999988</v>
      </c>
      <c r="N4848" s="561">
        <v>1143.2999999999997</v>
      </c>
      <c r="O4848" s="561">
        <v>0</v>
      </c>
      <c r="AL4848" s="561">
        <v>7989.6940000000004</v>
      </c>
    </row>
    <row r="4849" spans="1:78">
      <c r="A4849" s="561">
        <v>61</v>
      </c>
      <c r="B4849" s="561" t="s">
        <v>1629</v>
      </c>
      <c r="C4849" s="561" t="s">
        <v>1196</v>
      </c>
      <c r="D4849" s="561">
        <v>36347</v>
      </c>
      <c r="E4849" s="561">
        <v>9854.1</v>
      </c>
      <c r="F4849" s="561">
        <v>26492.9</v>
      </c>
      <c r="G4849" s="561">
        <v>2904</v>
      </c>
      <c r="H4849" s="561">
        <v>37999.714999999997</v>
      </c>
      <c r="I4849" s="561">
        <v>154</v>
      </c>
      <c r="J4849" s="561">
        <v>963.32499999999993</v>
      </c>
      <c r="K4849" s="561">
        <v>2887</v>
      </c>
      <c r="L4849" s="561">
        <v>37818.290999999997</v>
      </c>
      <c r="M4849" s="561">
        <v>36347</v>
      </c>
      <c r="N4849" s="561">
        <v>9854.0999999999967</v>
      </c>
      <c r="O4849" s="561">
        <v>0</v>
      </c>
      <c r="P4849" s="561">
        <v>26492.9</v>
      </c>
    </row>
    <row r="4850" spans="1:78">
      <c r="C4850" s="561" t="s">
        <v>1197</v>
      </c>
      <c r="D4850" s="561">
        <v>0</v>
      </c>
      <c r="E4850" s="561">
        <v>0</v>
      </c>
      <c r="F4850" s="561">
        <v>0</v>
      </c>
      <c r="G4850" s="561">
        <v>0</v>
      </c>
      <c r="H4850" s="561">
        <v>0</v>
      </c>
      <c r="I4850" s="561">
        <v>0</v>
      </c>
      <c r="J4850" s="561">
        <v>0</v>
      </c>
      <c r="K4850" s="561">
        <v>0</v>
      </c>
      <c r="L4850" s="561">
        <v>0</v>
      </c>
      <c r="M4850" s="561">
        <v>0</v>
      </c>
      <c r="N4850" s="561">
        <v>0</v>
      </c>
      <c r="O4850" s="561">
        <v>0</v>
      </c>
      <c r="P4850" s="561">
        <v>0</v>
      </c>
    </row>
    <row r="4851" spans="1:78">
      <c r="C4851" s="561" t="s">
        <v>1198</v>
      </c>
      <c r="D4851" s="561">
        <v>0</v>
      </c>
      <c r="E4851" s="561">
        <v>0</v>
      </c>
      <c r="F4851" s="561">
        <v>0</v>
      </c>
      <c r="G4851" s="561">
        <v>0</v>
      </c>
      <c r="H4851" s="561">
        <v>0</v>
      </c>
      <c r="I4851" s="561">
        <v>0</v>
      </c>
      <c r="J4851" s="561">
        <v>0</v>
      </c>
      <c r="K4851" s="561">
        <v>0</v>
      </c>
      <c r="L4851" s="561">
        <v>0</v>
      </c>
      <c r="M4851" s="561">
        <v>0</v>
      </c>
      <c r="N4851" s="561">
        <v>0</v>
      </c>
      <c r="O4851" s="561">
        <v>0</v>
      </c>
      <c r="P4851" s="561">
        <v>0</v>
      </c>
    </row>
    <row r="4852" spans="1:78">
      <c r="C4852" s="561" t="s">
        <v>1199</v>
      </c>
      <c r="D4852" s="561">
        <v>36347</v>
      </c>
      <c r="E4852" s="561">
        <v>9854.1</v>
      </c>
      <c r="F4852" s="561">
        <v>26492.9</v>
      </c>
      <c r="G4852" s="561">
        <v>2904</v>
      </c>
      <c r="H4852" s="561">
        <v>37999.714999999997</v>
      </c>
      <c r="I4852" s="561">
        <v>154</v>
      </c>
      <c r="J4852" s="561">
        <v>963.32499999999993</v>
      </c>
      <c r="K4852" s="561">
        <v>2887</v>
      </c>
      <c r="L4852" s="561">
        <v>37818.290999999997</v>
      </c>
      <c r="M4852" s="561">
        <v>36347</v>
      </c>
      <c r="N4852" s="561">
        <v>9854.0999999999967</v>
      </c>
      <c r="O4852" s="561">
        <v>0</v>
      </c>
      <c r="BZ4852" s="561">
        <v>26492.9</v>
      </c>
    </row>
    <row r="4853" spans="1:78">
      <c r="A4853" s="561">
        <v>62</v>
      </c>
      <c r="B4853" s="561" t="s">
        <v>1630</v>
      </c>
      <c r="C4853" s="561" t="s">
        <v>1196</v>
      </c>
      <c r="D4853" s="561">
        <v>59906</v>
      </c>
      <c r="E4853" s="561">
        <v>16981.8</v>
      </c>
      <c r="F4853" s="561">
        <v>42924.2</v>
      </c>
      <c r="G4853" s="561">
        <v>1536</v>
      </c>
      <c r="H4853" s="561">
        <v>64261.167199999996</v>
      </c>
      <c r="I4853" s="561">
        <v>160</v>
      </c>
      <c r="J4853" s="561">
        <v>4243.3531999999996</v>
      </c>
      <c r="K4853" s="561">
        <v>1519</v>
      </c>
      <c r="L4853" s="561">
        <v>60070.166000000012</v>
      </c>
      <c r="M4853" s="561">
        <v>59906</v>
      </c>
      <c r="N4853" s="561">
        <v>16981.800000000003</v>
      </c>
      <c r="O4853" s="561">
        <v>0</v>
      </c>
      <c r="P4853" s="561">
        <v>42924.200000000004</v>
      </c>
    </row>
    <row r="4854" spans="1:78">
      <c r="C4854" s="561" t="s">
        <v>1197</v>
      </c>
      <c r="D4854" s="561">
        <v>53193</v>
      </c>
      <c r="E4854" s="561">
        <v>15327.9</v>
      </c>
      <c r="F4854" s="561">
        <v>37865.1</v>
      </c>
      <c r="G4854" s="561">
        <v>1034</v>
      </c>
      <c r="H4854" s="561">
        <v>57197.789000000004</v>
      </c>
      <c r="I4854" s="561">
        <v>129</v>
      </c>
      <c r="J4854" s="561">
        <v>4090.1129999999994</v>
      </c>
      <c r="K4854" s="561">
        <v>1018</v>
      </c>
      <c r="L4854" s="561">
        <v>53160.026000000013</v>
      </c>
      <c r="M4854" s="561">
        <v>52995.867999999995</v>
      </c>
      <c r="N4854" s="561">
        <v>15327.899999999998</v>
      </c>
      <c r="O4854" s="561">
        <v>0</v>
      </c>
    </row>
    <row r="4855" spans="1:78">
      <c r="C4855" s="561" t="s">
        <v>1198</v>
      </c>
      <c r="D4855" s="561">
        <v>0</v>
      </c>
      <c r="E4855" s="561">
        <v>0</v>
      </c>
      <c r="F4855" s="561">
        <v>0</v>
      </c>
      <c r="G4855" s="561">
        <v>0</v>
      </c>
      <c r="H4855" s="561">
        <v>0</v>
      </c>
      <c r="I4855" s="561">
        <v>0</v>
      </c>
      <c r="J4855" s="561">
        <v>0</v>
      </c>
      <c r="K4855" s="561">
        <v>0</v>
      </c>
      <c r="L4855" s="561">
        <v>0</v>
      </c>
      <c r="M4855" s="561">
        <v>0</v>
      </c>
      <c r="N4855" s="561">
        <v>0</v>
      </c>
      <c r="O4855" s="561">
        <v>0</v>
      </c>
      <c r="P4855" s="561">
        <v>0</v>
      </c>
    </row>
    <row r="4856" spans="1:78">
      <c r="C4856" s="561" t="s">
        <v>1199</v>
      </c>
      <c r="D4856" s="561">
        <v>6713</v>
      </c>
      <c r="E4856" s="561">
        <v>1653.8999999999996</v>
      </c>
      <c r="F4856" s="561">
        <v>5059.1000000000004</v>
      </c>
      <c r="G4856" s="561">
        <v>502</v>
      </c>
      <c r="H4856" s="561">
        <v>7063.3781999999992</v>
      </c>
      <c r="I4856" s="561">
        <v>31</v>
      </c>
      <c r="J4856" s="561">
        <v>153.24020000000002</v>
      </c>
      <c r="K4856" s="561">
        <v>501</v>
      </c>
      <c r="L4856" s="561">
        <v>6910.1399999999994</v>
      </c>
      <c r="M4856" s="561">
        <v>6910.1319999999996</v>
      </c>
      <c r="N4856" s="561">
        <v>1653.8999999999996</v>
      </c>
      <c r="O4856" s="561">
        <v>0</v>
      </c>
      <c r="AL4856" s="561">
        <v>5256.232</v>
      </c>
    </row>
    <row r="4857" spans="1:78">
      <c r="A4857" s="561">
        <v>63</v>
      </c>
      <c r="B4857" s="561" t="s">
        <v>1631</v>
      </c>
      <c r="C4857" s="561" t="s">
        <v>1196</v>
      </c>
      <c r="D4857" s="561">
        <v>43903</v>
      </c>
      <c r="E4857" s="561">
        <v>11640.9</v>
      </c>
      <c r="F4857" s="561">
        <v>32262.1</v>
      </c>
      <c r="G4857" s="561">
        <v>1065</v>
      </c>
      <c r="H4857" s="561">
        <v>50501.037799999998</v>
      </c>
      <c r="I4857" s="561">
        <v>147</v>
      </c>
      <c r="J4857" s="561">
        <v>4593.2957999999999</v>
      </c>
      <c r="K4857" s="561">
        <v>1055</v>
      </c>
      <c r="L4857" s="561">
        <v>45847.893000000011</v>
      </c>
      <c r="M4857" s="561">
        <v>43903</v>
      </c>
      <c r="N4857" s="561">
        <v>11640.9</v>
      </c>
      <c r="O4857" s="561">
        <v>0</v>
      </c>
      <c r="P4857" s="561">
        <v>32262.1</v>
      </c>
    </row>
    <row r="4858" spans="1:78">
      <c r="C4858" s="561" t="s">
        <v>1197</v>
      </c>
      <c r="D4858" s="561">
        <v>39551</v>
      </c>
      <c r="E4858" s="561">
        <v>10965.3</v>
      </c>
      <c r="F4858" s="561">
        <v>28585.7</v>
      </c>
      <c r="G4858" s="561">
        <v>752</v>
      </c>
      <c r="H4858" s="561">
        <v>45754.526999999995</v>
      </c>
      <c r="I4858" s="561">
        <v>128</v>
      </c>
      <c r="J4858" s="561">
        <v>4455.1629999999996</v>
      </c>
      <c r="K4858" s="561">
        <v>743</v>
      </c>
      <c r="L4858" s="561">
        <v>41239.518000000011</v>
      </c>
      <c r="M4858" s="561">
        <v>39515.625000000007</v>
      </c>
      <c r="N4858" s="561">
        <v>10965.3</v>
      </c>
      <c r="O4858" s="561">
        <v>0</v>
      </c>
    </row>
    <row r="4859" spans="1:78">
      <c r="C4859" s="561" t="s">
        <v>1198</v>
      </c>
      <c r="D4859" s="561">
        <v>0</v>
      </c>
      <c r="E4859" s="561">
        <v>0</v>
      </c>
      <c r="F4859" s="561">
        <v>0</v>
      </c>
      <c r="G4859" s="561">
        <v>0</v>
      </c>
      <c r="H4859" s="561">
        <v>0</v>
      </c>
      <c r="I4859" s="561">
        <v>0</v>
      </c>
      <c r="J4859" s="561">
        <v>0</v>
      </c>
      <c r="K4859" s="561">
        <v>0</v>
      </c>
      <c r="L4859" s="561">
        <v>0</v>
      </c>
      <c r="M4859" s="561">
        <v>0</v>
      </c>
      <c r="N4859" s="561">
        <v>0</v>
      </c>
      <c r="O4859" s="561">
        <v>0</v>
      </c>
      <c r="P4859" s="561">
        <v>0</v>
      </c>
    </row>
    <row r="4860" spans="1:78">
      <c r="C4860" s="561" t="s">
        <v>1199</v>
      </c>
      <c r="D4860" s="561">
        <v>4352</v>
      </c>
      <c r="E4860" s="561">
        <v>675.60000000000036</v>
      </c>
      <c r="F4860" s="561">
        <v>3676.3999999999996</v>
      </c>
      <c r="G4860" s="561">
        <v>313</v>
      </c>
      <c r="H4860" s="561">
        <v>4746.5108</v>
      </c>
      <c r="I4860" s="561">
        <v>19</v>
      </c>
      <c r="J4860" s="561">
        <v>138.1328</v>
      </c>
      <c r="K4860" s="561">
        <v>312</v>
      </c>
      <c r="L4860" s="561">
        <v>4608.375</v>
      </c>
      <c r="M4860" s="561">
        <v>4387.375</v>
      </c>
      <c r="N4860" s="561">
        <v>675.6</v>
      </c>
      <c r="O4860" s="561">
        <v>0</v>
      </c>
      <c r="AL4860" s="561">
        <v>3711.7750000000001</v>
      </c>
    </row>
    <row r="4861" spans="1:78">
      <c r="A4861" s="561">
        <v>64</v>
      </c>
      <c r="B4861" s="561" t="s">
        <v>1632</v>
      </c>
      <c r="C4861" s="561" t="s">
        <v>1196</v>
      </c>
      <c r="D4861" s="561">
        <v>70409</v>
      </c>
      <c r="E4861" s="561">
        <v>21965.1</v>
      </c>
      <c r="F4861" s="561">
        <v>48443.9</v>
      </c>
      <c r="G4861" s="561">
        <v>1807</v>
      </c>
      <c r="H4861" s="561">
        <v>76310.988800000006</v>
      </c>
      <c r="I4861" s="561">
        <v>189</v>
      </c>
      <c r="J4861" s="561">
        <v>4892.3717999999999</v>
      </c>
      <c r="K4861" s="561">
        <v>1783</v>
      </c>
      <c r="L4861" s="561">
        <v>71470.275000000009</v>
      </c>
      <c r="M4861" s="561">
        <v>70409</v>
      </c>
      <c r="N4861" s="561">
        <v>21965.1</v>
      </c>
      <c r="O4861" s="561">
        <v>0</v>
      </c>
      <c r="P4861" s="561">
        <v>48443.9</v>
      </c>
    </row>
    <row r="4862" spans="1:78">
      <c r="C4862" s="561" t="s">
        <v>1197</v>
      </c>
      <c r="D4862" s="561">
        <v>62561</v>
      </c>
      <c r="E4862" s="561">
        <v>19674</v>
      </c>
      <c r="F4862" s="561">
        <v>42887</v>
      </c>
      <c r="G4862" s="561">
        <v>1197</v>
      </c>
      <c r="H4862" s="561">
        <v>68121.929000000004</v>
      </c>
      <c r="I4862" s="561">
        <v>155</v>
      </c>
      <c r="J4862" s="561">
        <v>4635.9189999999999</v>
      </c>
      <c r="K4862" s="561">
        <v>1175</v>
      </c>
      <c r="L4862" s="561">
        <v>63500.693000000007</v>
      </c>
      <c r="M4862" s="561">
        <v>62439.417000000001</v>
      </c>
      <c r="N4862" s="561">
        <v>19674.000000000004</v>
      </c>
      <c r="O4862" s="561">
        <v>0</v>
      </c>
    </row>
    <row r="4863" spans="1:78">
      <c r="C4863" s="561" t="s">
        <v>1198</v>
      </c>
      <c r="D4863" s="561">
        <v>0</v>
      </c>
      <c r="E4863" s="561">
        <v>0</v>
      </c>
      <c r="F4863" s="561">
        <v>0</v>
      </c>
      <c r="G4863" s="561">
        <v>0</v>
      </c>
      <c r="H4863" s="561">
        <v>0</v>
      </c>
      <c r="I4863" s="561">
        <v>0</v>
      </c>
      <c r="J4863" s="561">
        <v>0</v>
      </c>
      <c r="K4863" s="561">
        <v>0</v>
      </c>
      <c r="L4863" s="561">
        <v>0</v>
      </c>
      <c r="M4863" s="561">
        <v>0</v>
      </c>
      <c r="N4863" s="561">
        <v>0</v>
      </c>
      <c r="O4863" s="561">
        <v>0</v>
      </c>
      <c r="P4863" s="561">
        <v>0</v>
      </c>
    </row>
    <row r="4864" spans="1:78">
      <c r="C4864" s="561" t="s">
        <v>1199</v>
      </c>
      <c r="D4864" s="561">
        <v>7848</v>
      </c>
      <c r="E4864" s="561">
        <v>2291.0999999999985</v>
      </c>
      <c r="F4864" s="561">
        <v>5556.9000000000015</v>
      </c>
      <c r="G4864" s="561">
        <v>610</v>
      </c>
      <c r="H4864" s="561">
        <v>8189.0598</v>
      </c>
      <c r="I4864" s="561">
        <v>34</v>
      </c>
      <c r="J4864" s="561">
        <v>256.45280000000002</v>
      </c>
      <c r="K4864" s="561">
        <v>608</v>
      </c>
      <c r="L4864" s="561">
        <v>7969.5820000000003</v>
      </c>
      <c r="M4864" s="561">
        <v>7969.5830000000005</v>
      </c>
      <c r="N4864" s="561">
        <v>2291.1</v>
      </c>
      <c r="O4864" s="561">
        <v>0</v>
      </c>
      <c r="AL4864" s="561">
        <v>5678.4830000000002</v>
      </c>
    </row>
    <row r="4865" spans="1:38">
      <c r="A4865" s="561">
        <v>65</v>
      </c>
      <c r="B4865" s="561" t="s">
        <v>1633</v>
      </c>
      <c r="C4865" s="561" t="s">
        <v>1196</v>
      </c>
      <c r="D4865" s="561">
        <v>242785</v>
      </c>
      <c r="E4865" s="561">
        <v>72295.5</v>
      </c>
      <c r="F4865" s="561">
        <v>170489.5</v>
      </c>
      <c r="G4865" s="561">
        <v>5552</v>
      </c>
      <c r="H4865" s="561">
        <v>258891.27419999999</v>
      </c>
      <c r="I4865" s="561">
        <v>676</v>
      </c>
      <c r="J4865" s="561">
        <v>17238.321199999998</v>
      </c>
      <c r="K4865" s="561">
        <v>5498</v>
      </c>
      <c r="L4865" s="561">
        <v>243922.91499999998</v>
      </c>
      <c r="M4865" s="561">
        <v>242785</v>
      </c>
      <c r="N4865" s="561">
        <v>72295.5</v>
      </c>
      <c r="O4865" s="561">
        <v>0</v>
      </c>
      <c r="P4865" s="561">
        <v>170489.5</v>
      </c>
    </row>
    <row r="4866" spans="1:38">
      <c r="C4866" s="561" t="s">
        <v>1197</v>
      </c>
      <c r="D4866" s="561">
        <v>209493</v>
      </c>
      <c r="E4866" s="561">
        <v>65157.9</v>
      </c>
      <c r="F4866" s="561">
        <v>144335.1</v>
      </c>
      <c r="G4866" s="561">
        <v>3465</v>
      </c>
      <c r="H4866" s="561">
        <v>224559.53500000006</v>
      </c>
      <c r="I4866" s="561">
        <v>533</v>
      </c>
      <c r="J4866" s="561">
        <v>16177.173999999997</v>
      </c>
      <c r="K4866" s="561">
        <v>3413</v>
      </c>
      <c r="L4866" s="561">
        <v>210652.24</v>
      </c>
      <c r="M4866" s="561">
        <v>209514.32499999998</v>
      </c>
      <c r="N4866" s="561">
        <v>65157.900000000009</v>
      </c>
      <c r="O4866" s="561">
        <v>0</v>
      </c>
    </row>
    <row r="4867" spans="1:38">
      <c r="C4867" s="561" t="s">
        <v>1198</v>
      </c>
      <c r="D4867" s="561">
        <v>0</v>
      </c>
      <c r="E4867" s="561">
        <v>0</v>
      </c>
      <c r="F4867" s="561">
        <v>0</v>
      </c>
      <c r="G4867" s="561">
        <v>0</v>
      </c>
      <c r="H4867" s="561">
        <v>0</v>
      </c>
      <c r="I4867" s="561">
        <v>0</v>
      </c>
      <c r="J4867" s="561">
        <v>0</v>
      </c>
      <c r="K4867" s="561">
        <v>0</v>
      </c>
      <c r="L4867" s="561">
        <v>0</v>
      </c>
      <c r="M4867" s="561">
        <v>0</v>
      </c>
      <c r="N4867" s="561">
        <v>0</v>
      </c>
      <c r="O4867" s="561">
        <v>0</v>
      </c>
      <c r="P4867" s="561">
        <v>0</v>
      </c>
    </row>
    <row r="4868" spans="1:38">
      <c r="C4868" s="561" t="s">
        <v>1199</v>
      </c>
      <c r="D4868" s="561">
        <v>33292</v>
      </c>
      <c r="E4868" s="561">
        <v>7137.5999999999985</v>
      </c>
      <c r="F4868" s="561">
        <v>26154.400000000001</v>
      </c>
      <c r="G4868" s="561">
        <v>2087</v>
      </c>
      <c r="H4868" s="561">
        <v>34331.739199999996</v>
      </c>
      <c r="I4868" s="561">
        <v>143</v>
      </c>
      <c r="J4868" s="561">
        <v>1061.1471999999999</v>
      </c>
      <c r="K4868" s="561">
        <v>2085</v>
      </c>
      <c r="L4868" s="561">
        <v>33270.674999999996</v>
      </c>
      <c r="M4868" s="561">
        <v>33270.675000000003</v>
      </c>
      <c r="N4868" s="561">
        <v>7137.6000000000013</v>
      </c>
      <c r="O4868" s="561">
        <v>0</v>
      </c>
      <c r="P4868" s="561">
        <v>26133.075000000001</v>
      </c>
    </row>
    <row r="4869" spans="1:38">
      <c r="A4869" s="561">
        <v>66</v>
      </c>
      <c r="B4869" s="561" t="s">
        <v>1634</v>
      </c>
      <c r="C4869" s="561" t="s">
        <v>1196</v>
      </c>
      <c r="D4869" s="561">
        <v>165758</v>
      </c>
      <c r="E4869" s="561">
        <v>49127.4</v>
      </c>
      <c r="F4869" s="561">
        <v>116630.6</v>
      </c>
      <c r="G4869" s="561">
        <v>3542</v>
      </c>
      <c r="H4869" s="561">
        <v>171407.63476000002</v>
      </c>
      <c r="I4869" s="561">
        <v>192</v>
      </c>
      <c r="J4869" s="561">
        <v>7020.0620499999995</v>
      </c>
      <c r="K4869" s="561">
        <v>3535</v>
      </c>
      <c r="L4869" s="561">
        <v>167626.72099999999</v>
      </c>
      <c r="M4869" s="561">
        <v>165758</v>
      </c>
      <c r="N4869" s="561">
        <v>49127.399999999994</v>
      </c>
      <c r="O4869" s="561">
        <v>0</v>
      </c>
      <c r="P4869" s="561">
        <v>116630.6</v>
      </c>
    </row>
    <row r="4870" spans="1:38">
      <c r="C4870" s="561" t="s">
        <v>1197</v>
      </c>
      <c r="D4870" s="561">
        <v>147101</v>
      </c>
      <c r="E4870" s="561">
        <v>44130.3</v>
      </c>
      <c r="F4870" s="561">
        <v>102970.7</v>
      </c>
      <c r="G4870" s="561">
        <v>2209</v>
      </c>
      <c r="H4870" s="561">
        <v>150801.27271000002</v>
      </c>
      <c r="I4870" s="561">
        <v>150</v>
      </c>
      <c r="J4870" s="561">
        <v>6786.1379999999999</v>
      </c>
      <c r="K4870" s="561">
        <v>2202</v>
      </c>
      <c r="L4870" s="561">
        <v>147260.28699999998</v>
      </c>
      <c r="M4870" s="561">
        <v>148099.32999999999</v>
      </c>
      <c r="N4870" s="561">
        <v>44130.299999999996</v>
      </c>
      <c r="O4870" s="561">
        <v>0</v>
      </c>
    </row>
    <row r="4871" spans="1:38">
      <c r="C4871" s="561" t="s">
        <v>1198</v>
      </c>
      <c r="D4871" s="561">
        <v>0</v>
      </c>
      <c r="E4871" s="561">
        <v>0</v>
      </c>
      <c r="F4871" s="561">
        <v>0</v>
      </c>
      <c r="G4871" s="561">
        <v>0</v>
      </c>
      <c r="H4871" s="561">
        <v>0</v>
      </c>
      <c r="I4871" s="561">
        <v>0</v>
      </c>
      <c r="J4871" s="561">
        <v>0</v>
      </c>
      <c r="K4871" s="561">
        <v>0</v>
      </c>
      <c r="L4871" s="561">
        <v>0</v>
      </c>
      <c r="M4871" s="561">
        <v>0</v>
      </c>
      <c r="N4871" s="561">
        <v>0</v>
      </c>
      <c r="O4871" s="561">
        <v>0</v>
      </c>
      <c r="P4871" s="561">
        <v>0</v>
      </c>
    </row>
    <row r="4872" spans="1:38">
      <c r="C4872" s="561" t="s">
        <v>1199</v>
      </c>
      <c r="D4872" s="561">
        <v>18657</v>
      </c>
      <c r="E4872" s="561">
        <v>4997.0999999999985</v>
      </c>
      <c r="F4872" s="561">
        <v>13659.900000000001</v>
      </c>
      <c r="G4872" s="561">
        <v>1333</v>
      </c>
      <c r="H4872" s="561">
        <v>20606.362049999996</v>
      </c>
      <c r="I4872" s="561">
        <v>42</v>
      </c>
      <c r="J4872" s="561">
        <v>233.92405000000002</v>
      </c>
      <c r="K4872" s="561">
        <v>1333</v>
      </c>
      <c r="L4872" s="561">
        <v>20366.433999999997</v>
      </c>
      <c r="M4872" s="561">
        <v>17658.670000000002</v>
      </c>
      <c r="N4872" s="561">
        <v>4997.1000000000004</v>
      </c>
      <c r="O4872" s="561">
        <v>0</v>
      </c>
      <c r="AL4872" s="561">
        <v>12661.57</v>
      </c>
    </row>
    <row r="4873" spans="1:38">
      <c r="A4873" s="561">
        <v>67</v>
      </c>
      <c r="B4873" s="561" t="s">
        <v>1635</v>
      </c>
      <c r="C4873" s="561" t="s">
        <v>1196</v>
      </c>
      <c r="D4873" s="561">
        <v>65797</v>
      </c>
      <c r="E4873" s="561">
        <v>19289.099999999999</v>
      </c>
      <c r="F4873" s="561">
        <v>46507.9</v>
      </c>
      <c r="G4873" s="561">
        <v>1536</v>
      </c>
      <c r="H4873" s="561">
        <v>71974.312939999989</v>
      </c>
      <c r="I4873" s="561">
        <v>170</v>
      </c>
      <c r="J4873" s="561">
        <v>4624.6855999999998</v>
      </c>
      <c r="K4873" s="561">
        <v>1530</v>
      </c>
      <c r="L4873" s="561">
        <v>67349.620999999999</v>
      </c>
      <c r="M4873" s="561">
        <v>65797</v>
      </c>
      <c r="N4873" s="561">
        <v>19289.100000000002</v>
      </c>
      <c r="O4873" s="561">
        <v>0</v>
      </c>
      <c r="P4873" s="561">
        <v>46507.9</v>
      </c>
    </row>
    <row r="4874" spans="1:38">
      <c r="C4874" s="561" t="s">
        <v>1197</v>
      </c>
      <c r="D4874" s="561">
        <v>58694</v>
      </c>
      <c r="E4874" s="561">
        <v>17608.2</v>
      </c>
      <c r="F4874" s="561">
        <v>41085.800000000003</v>
      </c>
      <c r="G4874" s="561">
        <v>1030</v>
      </c>
      <c r="H4874" s="561">
        <v>64885.125899999999</v>
      </c>
      <c r="I4874" s="561">
        <v>133</v>
      </c>
      <c r="J4874" s="561">
        <v>4438.7820000000002</v>
      </c>
      <c r="K4874" s="561">
        <v>1024</v>
      </c>
      <c r="L4874" s="561">
        <v>60446.340000000004</v>
      </c>
      <c r="M4874" s="561">
        <v>58915.097000000002</v>
      </c>
      <c r="N4874" s="561">
        <v>17608.2</v>
      </c>
      <c r="O4874" s="561">
        <v>0</v>
      </c>
    </row>
    <row r="4875" spans="1:38">
      <c r="C4875" s="561" t="s">
        <v>1198</v>
      </c>
      <c r="D4875" s="561">
        <v>0</v>
      </c>
      <c r="E4875" s="561">
        <v>0</v>
      </c>
      <c r="F4875" s="561">
        <v>0</v>
      </c>
      <c r="G4875" s="561">
        <v>0</v>
      </c>
      <c r="H4875" s="561">
        <v>0</v>
      </c>
      <c r="I4875" s="561">
        <v>0</v>
      </c>
      <c r="J4875" s="561">
        <v>0</v>
      </c>
      <c r="K4875" s="561">
        <v>0</v>
      </c>
      <c r="L4875" s="561">
        <v>0</v>
      </c>
      <c r="M4875" s="561">
        <v>0</v>
      </c>
      <c r="N4875" s="561">
        <v>0</v>
      </c>
      <c r="O4875" s="561">
        <v>0</v>
      </c>
      <c r="P4875" s="561">
        <v>0</v>
      </c>
    </row>
    <row r="4876" spans="1:38">
      <c r="C4876" s="561" t="s">
        <v>1199</v>
      </c>
      <c r="D4876" s="561">
        <v>7103</v>
      </c>
      <c r="E4876" s="561">
        <v>1680.8999999999978</v>
      </c>
      <c r="F4876" s="561">
        <v>5422.1000000000022</v>
      </c>
      <c r="G4876" s="561">
        <v>506</v>
      </c>
      <c r="H4876" s="561">
        <v>7089.1870400000007</v>
      </c>
      <c r="I4876" s="561">
        <v>37</v>
      </c>
      <c r="J4876" s="561">
        <v>185.90359999999998</v>
      </c>
      <c r="K4876" s="561">
        <v>506</v>
      </c>
      <c r="L4876" s="561">
        <v>6903.280999999999</v>
      </c>
      <c r="M4876" s="561">
        <v>6881.9030000000002</v>
      </c>
      <c r="N4876" s="561">
        <v>1680.9000000000005</v>
      </c>
      <c r="O4876" s="561">
        <v>0</v>
      </c>
      <c r="AL4876" s="561">
        <v>5201.0030000000006</v>
      </c>
    </row>
    <row r="4877" spans="1:38">
      <c r="A4877" s="561">
        <v>68</v>
      </c>
      <c r="B4877" s="561" t="s">
        <v>1636</v>
      </c>
      <c r="C4877" s="561" t="s">
        <v>1196</v>
      </c>
      <c r="D4877" s="561">
        <v>170450</v>
      </c>
      <c r="E4877" s="561">
        <v>51135</v>
      </c>
      <c r="F4877" s="561">
        <v>119315</v>
      </c>
      <c r="G4877" s="561">
        <v>3855</v>
      </c>
      <c r="H4877" s="561">
        <v>187287.46420000002</v>
      </c>
      <c r="I4877" s="561">
        <v>504</v>
      </c>
      <c r="J4877" s="561">
        <v>15038.333200000001</v>
      </c>
      <c r="K4877" s="561">
        <v>3807</v>
      </c>
      <c r="L4877" s="561">
        <v>173325.98500000002</v>
      </c>
      <c r="M4877" s="561">
        <v>170450</v>
      </c>
      <c r="N4877" s="561">
        <v>51135</v>
      </c>
      <c r="O4877" s="561">
        <v>0</v>
      </c>
      <c r="P4877" s="561">
        <v>119314.99999999999</v>
      </c>
    </row>
    <row r="4878" spans="1:38">
      <c r="C4878" s="561" t="s">
        <v>1197</v>
      </c>
      <c r="D4878" s="561">
        <v>157846</v>
      </c>
      <c r="E4878" s="561">
        <v>47353.8</v>
      </c>
      <c r="F4878" s="561">
        <v>110492.2</v>
      </c>
      <c r="G4878" s="561">
        <v>2645</v>
      </c>
      <c r="H4878" s="561">
        <v>168257.66310999999</v>
      </c>
      <c r="I4878" s="561">
        <v>466</v>
      </c>
      <c r="J4878" s="561">
        <v>14729.662</v>
      </c>
      <c r="K4878" s="561">
        <v>2596</v>
      </c>
      <c r="L4878" s="561">
        <v>154604.85800000001</v>
      </c>
      <c r="M4878" s="561">
        <v>156055.26</v>
      </c>
      <c r="N4878" s="561">
        <v>47353.80000000001</v>
      </c>
      <c r="O4878" s="561">
        <v>0</v>
      </c>
    </row>
    <row r="4879" spans="1:38">
      <c r="C4879" s="561" t="s">
        <v>1198</v>
      </c>
      <c r="D4879" s="561">
        <v>0</v>
      </c>
      <c r="E4879" s="561">
        <v>0</v>
      </c>
      <c r="F4879" s="561">
        <v>0</v>
      </c>
      <c r="G4879" s="561">
        <v>0</v>
      </c>
      <c r="H4879" s="561">
        <v>0</v>
      </c>
      <c r="I4879" s="561">
        <v>0</v>
      </c>
      <c r="J4879" s="561">
        <v>0</v>
      </c>
      <c r="K4879" s="561">
        <v>0</v>
      </c>
      <c r="L4879" s="561">
        <v>0</v>
      </c>
      <c r="M4879" s="561">
        <v>0</v>
      </c>
      <c r="N4879" s="561">
        <v>0</v>
      </c>
      <c r="O4879" s="561">
        <v>0</v>
      </c>
      <c r="P4879" s="561">
        <v>0</v>
      </c>
    </row>
    <row r="4880" spans="1:38">
      <c r="C4880" s="561" t="s">
        <v>1199</v>
      </c>
      <c r="D4880" s="561">
        <v>12604</v>
      </c>
      <c r="E4880" s="561">
        <v>3781.1999999999971</v>
      </c>
      <c r="F4880" s="561">
        <v>8822.8000000000029</v>
      </c>
      <c r="G4880" s="561">
        <v>1210</v>
      </c>
      <c r="H4880" s="561">
        <v>19029.801090000001</v>
      </c>
      <c r="I4880" s="561">
        <v>38</v>
      </c>
      <c r="J4880" s="561">
        <v>308.6712</v>
      </c>
      <c r="K4880" s="561">
        <v>1211</v>
      </c>
      <c r="L4880" s="561">
        <v>18721.127</v>
      </c>
      <c r="M4880" s="561">
        <v>14394.74</v>
      </c>
      <c r="N4880" s="561">
        <v>3781.2000000000003</v>
      </c>
      <c r="O4880" s="561">
        <v>0</v>
      </c>
      <c r="AL4880" s="561">
        <v>10613.539999999999</v>
      </c>
    </row>
    <row r="4881" spans="1:38">
      <c r="A4881" s="561">
        <v>69</v>
      </c>
      <c r="B4881" s="561" t="s">
        <v>1637</v>
      </c>
      <c r="C4881" s="561" t="s">
        <v>1196</v>
      </c>
      <c r="D4881" s="561">
        <v>111629</v>
      </c>
      <c r="E4881" s="561">
        <v>29633.7</v>
      </c>
      <c r="F4881" s="561">
        <v>81995.3</v>
      </c>
      <c r="G4881" s="561">
        <v>2363</v>
      </c>
      <c r="H4881" s="561">
        <v>116715.13712</v>
      </c>
      <c r="I4881" s="561">
        <v>186</v>
      </c>
      <c r="J4881" s="561">
        <v>4247.9709399999992</v>
      </c>
      <c r="K4881" s="561">
        <v>2353</v>
      </c>
      <c r="L4881" s="561">
        <v>113137.389</v>
      </c>
      <c r="M4881" s="561">
        <v>111629</v>
      </c>
      <c r="N4881" s="561">
        <v>29633.699999999997</v>
      </c>
      <c r="O4881" s="561">
        <v>0</v>
      </c>
      <c r="P4881" s="561">
        <v>81995.299999999988</v>
      </c>
    </row>
    <row r="4882" spans="1:38">
      <c r="C4882" s="561" t="s">
        <v>1197</v>
      </c>
      <c r="D4882" s="561">
        <v>100850</v>
      </c>
      <c r="E4882" s="561">
        <v>27180</v>
      </c>
      <c r="F4882" s="561">
        <v>73670</v>
      </c>
      <c r="G4882" s="561">
        <v>1669</v>
      </c>
      <c r="H4882" s="561">
        <v>105820.44379999999</v>
      </c>
      <c r="I4882" s="561">
        <v>134</v>
      </c>
      <c r="J4882" s="561">
        <v>3953.4537499999992</v>
      </c>
      <c r="K4882" s="561">
        <v>1663</v>
      </c>
      <c r="L4882" s="561">
        <v>102537.27899999999</v>
      </c>
      <c r="M4882" s="561">
        <v>101028.89</v>
      </c>
      <c r="N4882" s="561">
        <v>27180</v>
      </c>
      <c r="O4882" s="561">
        <v>0</v>
      </c>
    </row>
    <row r="4883" spans="1:38">
      <c r="C4883" s="561" t="s">
        <v>1198</v>
      </c>
      <c r="D4883" s="561">
        <v>0</v>
      </c>
      <c r="E4883" s="561">
        <v>0</v>
      </c>
      <c r="F4883" s="561">
        <v>0</v>
      </c>
      <c r="G4883" s="561">
        <v>0</v>
      </c>
      <c r="H4883" s="561">
        <v>0</v>
      </c>
      <c r="I4883" s="561">
        <v>0</v>
      </c>
      <c r="J4883" s="561">
        <v>0</v>
      </c>
      <c r="K4883" s="561">
        <v>0</v>
      </c>
      <c r="L4883" s="561">
        <v>0</v>
      </c>
      <c r="M4883" s="561">
        <v>0</v>
      </c>
      <c r="N4883" s="561">
        <v>0</v>
      </c>
      <c r="O4883" s="561">
        <v>0</v>
      </c>
      <c r="P4883" s="561">
        <v>0</v>
      </c>
    </row>
    <row r="4884" spans="1:38">
      <c r="C4884" s="561" t="s">
        <v>1199</v>
      </c>
      <c r="D4884" s="561">
        <v>10779</v>
      </c>
      <c r="E4884" s="561">
        <v>2453.7000000000007</v>
      </c>
      <c r="F4884" s="561">
        <v>8325.2999999999993</v>
      </c>
      <c r="G4884" s="561">
        <v>694</v>
      </c>
      <c r="H4884" s="561">
        <v>10894.69332</v>
      </c>
      <c r="I4884" s="561">
        <v>52</v>
      </c>
      <c r="J4884" s="561">
        <v>294.51718999999991</v>
      </c>
      <c r="K4884" s="561">
        <v>690</v>
      </c>
      <c r="L4884" s="561">
        <v>10600.11</v>
      </c>
      <c r="M4884" s="561">
        <v>10600.11</v>
      </c>
      <c r="N4884" s="561">
        <v>2453.6999999999994</v>
      </c>
      <c r="O4884" s="561">
        <v>0</v>
      </c>
      <c r="AL4884" s="561">
        <v>8146.4100000000008</v>
      </c>
    </row>
    <row r="4885" spans="1:38">
      <c r="A4885" s="561">
        <v>70</v>
      </c>
      <c r="B4885" s="561" t="s">
        <v>1638</v>
      </c>
      <c r="C4885" s="561" t="s">
        <v>1196</v>
      </c>
      <c r="D4885" s="561">
        <v>118845</v>
      </c>
      <c r="E4885" s="561">
        <v>34303.5</v>
      </c>
      <c r="F4885" s="561">
        <v>84541.5</v>
      </c>
      <c r="G4885" s="561">
        <v>2402</v>
      </c>
      <c r="H4885" s="561">
        <v>115031.07946000001</v>
      </c>
      <c r="I4885" s="561">
        <v>198</v>
      </c>
      <c r="J4885" s="561">
        <v>5426.3837700000004</v>
      </c>
      <c r="K4885" s="561">
        <v>2388</v>
      </c>
      <c r="L4885" s="561">
        <v>119047.30800000002</v>
      </c>
      <c r="M4885" s="561">
        <v>118845.00000000001</v>
      </c>
      <c r="N4885" s="561">
        <v>34303.500000000007</v>
      </c>
      <c r="O4885" s="561">
        <v>0</v>
      </c>
      <c r="P4885" s="561">
        <v>84541.500000000015</v>
      </c>
    </row>
    <row r="4886" spans="1:38">
      <c r="C4886" s="561" t="s">
        <v>1197</v>
      </c>
      <c r="D4886" s="561">
        <v>110337</v>
      </c>
      <c r="E4886" s="561">
        <v>32801.1</v>
      </c>
      <c r="F4886" s="561">
        <v>77535.899999999994</v>
      </c>
      <c r="G4886" s="561">
        <v>1780</v>
      </c>
      <c r="H4886" s="561">
        <v>105921.12410000002</v>
      </c>
      <c r="I4886" s="561">
        <v>150</v>
      </c>
      <c r="J4886" s="561">
        <v>5118.1272000000008</v>
      </c>
      <c r="K4886" s="561">
        <v>1770</v>
      </c>
      <c r="L4886" s="561">
        <v>110245.61100000002</v>
      </c>
      <c r="M4886" s="561">
        <v>110043.303</v>
      </c>
      <c r="N4886" s="561">
        <v>32801.100000000006</v>
      </c>
      <c r="O4886" s="561">
        <v>0</v>
      </c>
    </row>
    <row r="4887" spans="1:38">
      <c r="C4887" s="561" t="s">
        <v>1198</v>
      </c>
      <c r="D4887" s="561">
        <v>0</v>
      </c>
      <c r="E4887" s="561">
        <v>0</v>
      </c>
      <c r="F4887" s="561">
        <v>0</v>
      </c>
      <c r="G4887" s="561">
        <v>0</v>
      </c>
      <c r="H4887" s="561">
        <v>0</v>
      </c>
      <c r="I4887" s="561">
        <v>0</v>
      </c>
      <c r="J4887" s="561">
        <v>0</v>
      </c>
      <c r="K4887" s="561">
        <v>0</v>
      </c>
      <c r="L4887" s="561">
        <v>0</v>
      </c>
      <c r="M4887" s="561">
        <v>0</v>
      </c>
      <c r="N4887" s="561">
        <v>0</v>
      </c>
      <c r="O4887" s="561">
        <v>0</v>
      </c>
      <c r="P4887" s="561">
        <v>0</v>
      </c>
    </row>
    <row r="4888" spans="1:38">
      <c r="C4888" s="561" t="s">
        <v>1199</v>
      </c>
      <c r="D4888" s="561">
        <v>8508</v>
      </c>
      <c r="E4888" s="561">
        <v>1502.4000000000015</v>
      </c>
      <c r="F4888" s="561">
        <v>7005.5999999999985</v>
      </c>
      <c r="G4888" s="561">
        <v>622</v>
      </c>
      <c r="H4888" s="561">
        <v>9109.9553599999981</v>
      </c>
      <c r="I4888" s="561">
        <v>48</v>
      </c>
      <c r="J4888" s="561">
        <v>308.25657000000001</v>
      </c>
      <c r="K4888" s="561">
        <v>618</v>
      </c>
      <c r="L4888" s="561">
        <v>8801.6969999999983</v>
      </c>
      <c r="M4888" s="561">
        <v>8801.6970000000001</v>
      </c>
      <c r="N4888" s="561">
        <v>1502.3999999999999</v>
      </c>
      <c r="O4888" s="561">
        <v>0</v>
      </c>
      <c r="AL4888" s="561">
        <v>7299.2970000000014</v>
      </c>
    </row>
    <row r="4889" spans="1:38">
      <c r="A4889" s="561">
        <v>71</v>
      </c>
      <c r="B4889" s="561" t="s">
        <v>1639</v>
      </c>
      <c r="C4889" s="561" t="s">
        <v>1196</v>
      </c>
      <c r="D4889" s="561">
        <v>214991</v>
      </c>
      <c r="E4889" s="561">
        <v>60897.3</v>
      </c>
      <c r="F4889" s="561">
        <v>154093.70000000001</v>
      </c>
      <c r="G4889" s="561">
        <v>5218</v>
      </c>
      <c r="H4889" s="561">
        <v>235371.31959999999</v>
      </c>
      <c r="I4889" s="561">
        <v>705</v>
      </c>
      <c r="J4889" s="561">
        <v>16942.0566</v>
      </c>
      <c r="K4889" s="561">
        <v>5057</v>
      </c>
      <c r="L4889" s="561">
        <v>216860.291</v>
      </c>
      <c r="M4889" s="561">
        <v>214990.99999999997</v>
      </c>
      <c r="N4889" s="561">
        <v>60897.299999999988</v>
      </c>
      <c r="O4889" s="561">
        <v>0</v>
      </c>
      <c r="P4889" s="561">
        <v>154093.69999999998</v>
      </c>
    </row>
    <row r="4890" spans="1:38">
      <c r="C4890" s="561" t="s">
        <v>1197</v>
      </c>
      <c r="D4890" s="561">
        <v>181365</v>
      </c>
      <c r="E4890" s="561">
        <v>52009.5</v>
      </c>
      <c r="F4890" s="561">
        <v>129355.5</v>
      </c>
      <c r="G4890" s="561">
        <v>2944</v>
      </c>
      <c r="H4890" s="561">
        <v>198936.516</v>
      </c>
      <c r="I4890" s="561">
        <v>395</v>
      </c>
      <c r="J4890" s="561">
        <v>13706.9066</v>
      </c>
      <c r="K4890" s="561">
        <v>2902</v>
      </c>
      <c r="L4890" s="561">
        <v>183660.63999999998</v>
      </c>
      <c r="M4890" s="561">
        <v>181791.34899999999</v>
      </c>
      <c r="N4890" s="561">
        <v>52009.500000000007</v>
      </c>
      <c r="O4890" s="561">
        <v>0</v>
      </c>
    </row>
    <row r="4891" spans="1:38">
      <c r="C4891" s="561" t="s">
        <v>1198</v>
      </c>
      <c r="D4891" s="561">
        <v>0</v>
      </c>
      <c r="E4891" s="561">
        <v>0</v>
      </c>
      <c r="F4891" s="561">
        <v>0</v>
      </c>
      <c r="G4891" s="561">
        <v>0</v>
      </c>
      <c r="H4891" s="561">
        <v>0</v>
      </c>
      <c r="I4891" s="561">
        <v>0</v>
      </c>
      <c r="J4891" s="561">
        <v>0</v>
      </c>
      <c r="K4891" s="561">
        <v>0</v>
      </c>
      <c r="L4891" s="561">
        <v>0</v>
      </c>
      <c r="M4891" s="561">
        <v>0</v>
      </c>
      <c r="N4891" s="561">
        <v>0</v>
      </c>
      <c r="O4891" s="561">
        <v>0</v>
      </c>
      <c r="P4891" s="561">
        <v>0</v>
      </c>
    </row>
    <row r="4892" spans="1:38">
      <c r="C4892" s="561" t="s">
        <v>1199</v>
      </c>
      <c r="D4892" s="561">
        <v>33626</v>
      </c>
      <c r="E4892" s="561">
        <v>8887.8000000000029</v>
      </c>
      <c r="F4892" s="561">
        <v>24738.199999999997</v>
      </c>
      <c r="G4892" s="561">
        <v>2274</v>
      </c>
      <c r="H4892" s="561">
        <v>36434.803599999999</v>
      </c>
      <c r="I4892" s="561">
        <v>310</v>
      </c>
      <c r="J4892" s="561">
        <v>3235.15</v>
      </c>
      <c r="K4892" s="561">
        <v>2155</v>
      </c>
      <c r="L4892" s="561">
        <v>33199.651000000005</v>
      </c>
      <c r="M4892" s="561">
        <v>33199.650999999998</v>
      </c>
      <c r="N4892" s="561">
        <v>8887.7999999999993</v>
      </c>
      <c r="O4892" s="561">
        <v>0</v>
      </c>
      <c r="AL4892" s="561">
        <v>24311.850999999999</v>
      </c>
    </row>
    <row r="4893" spans="1:38">
      <c r="A4893" s="561">
        <v>72</v>
      </c>
      <c r="B4893" s="561" t="s">
        <v>1640</v>
      </c>
      <c r="C4893" s="561" t="s">
        <v>1196</v>
      </c>
      <c r="D4893" s="561">
        <v>162205</v>
      </c>
      <c r="E4893" s="561">
        <v>45811.5</v>
      </c>
      <c r="F4893" s="561">
        <v>116393.5</v>
      </c>
      <c r="G4893" s="561">
        <v>4281</v>
      </c>
      <c r="H4893" s="561">
        <v>175938.0828</v>
      </c>
      <c r="I4893" s="561">
        <v>512</v>
      </c>
      <c r="J4893" s="561">
        <v>14262.543600000001</v>
      </c>
      <c r="K4893" s="561">
        <v>4250</v>
      </c>
      <c r="L4893" s="561">
        <v>162520.78499999997</v>
      </c>
      <c r="M4893" s="561">
        <v>162205</v>
      </c>
      <c r="N4893" s="561">
        <v>45811.499999999993</v>
      </c>
      <c r="O4893" s="561">
        <v>0</v>
      </c>
      <c r="P4893" s="561">
        <v>116393.5</v>
      </c>
    </row>
    <row r="4894" spans="1:38">
      <c r="C4894" s="561" t="s">
        <v>1197</v>
      </c>
      <c r="D4894" s="561">
        <v>133322</v>
      </c>
      <c r="E4894" s="561">
        <v>39996.6</v>
      </c>
      <c r="F4894" s="561">
        <v>93325.4</v>
      </c>
      <c r="G4894" s="561">
        <v>2376</v>
      </c>
      <c r="H4894" s="561">
        <v>147178.821</v>
      </c>
      <c r="I4894" s="561">
        <v>397</v>
      </c>
      <c r="J4894" s="561">
        <v>13502.332</v>
      </c>
      <c r="K4894" s="561">
        <v>2354</v>
      </c>
      <c r="L4894" s="561">
        <v>134532.40899999999</v>
      </c>
      <c r="M4894" s="561">
        <v>134216.62400000001</v>
      </c>
      <c r="N4894" s="561">
        <v>39996.600000000006</v>
      </c>
      <c r="O4894" s="561">
        <v>0</v>
      </c>
    </row>
    <row r="4895" spans="1:38">
      <c r="C4895" s="561" t="s">
        <v>1198</v>
      </c>
      <c r="D4895" s="561">
        <v>0</v>
      </c>
      <c r="E4895" s="561">
        <v>0</v>
      </c>
      <c r="F4895" s="561">
        <v>0</v>
      </c>
      <c r="G4895" s="561">
        <v>0</v>
      </c>
      <c r="H4895" s="561">
        <v>0</v>
      </c>
      <c r="I4895" s="561">
        <v>0</v>
      </c>
      <c r="J4895" s="561">
        <v>0</v>
      </c>
      <c r="K4895" s="561">
        <v>0</v>
      </c>
      <c r="L4895" s="561">
        <v>0</v>
      </c>
      <c r="M4895" s="561">
        <v>0</v>
      </c>
      <c r="N4895" s="561">
        <v>0</v>
      </c>
      <c r="O4895" s="561">
        <v>0</v>
      </c>
      <c r="P4895" s="561">
        <v>0</v>
      </c>
    </row>
    <row r="4896" spans="1:38">
      <c r="C4896" s="561" t="s">
        <v>1199</v>
      </c>
      <c r="D4896" s="561">
        <v>28883</v>
      </c>
      <c r="E4896" s="561">
        <v>5814.9000000000015</v>
      </c>
      <c r="F4896" s="561">
        <v>23068.1</v>
      </c>
      <c r="G4896" s="561">
        <v>1905</v>
      </c>
      <c r="H4896" s="561">
        <v>28759.261799999997</v>
      </c>
      <c r="I4896" s="561">
        <v>115</v>
      </c>
      <c r="J4896" s="561">
        <v>760.21159999999998</v>
      </c>
      <c r="K4896" s="561">
        <v>1896</v>
      </c>
      <c r="L4896" s="561">
        <v>27988.376</v>
      </c>
      <c r="M4896" s="561">
        <v>27988.375999999997</v>
      </c>
      <c r="N4896" s="561">
        <v>5814.9000000000015</v>
      </c>
      <c r="O4896" s="561">
        <v>0</v>
      </c>
      <c r="AL4896" s="561">
        <v>22173.475999999999</v>
      </c>
    </row>
    <row r="4897" spans="1:38">
      <c r="A4897" s="561">
        <v>73</v>
      </c>
      <c r="B4897" s="561" t="s">
        <v>1641</v>
      </c>
      <c r="C4897" s="561" t="s">
        <v>1196</v>
      </c>
      <c r="D4897" s="561">
        <v>77924</v>
      </c>
      <c r="E4897" s="561">
        <v>22777.200000000001</v>
      </c>
      <c r="F4897" s="561">
        <v>55146.8</v>
      </c>
      <c r="G4897" s="561">
        <v>2573</v>
      </c>
      <c r="H4897" s="561">
        <v>89508.574000000008</v>
      </c>
      <c r="I4897" s="561">
        <v>369</v>
      </c>
      <c r="J4897" s="561">
        <v>8320.602560000003</v>
      </c>
      <c r="K4897" s="561">
        <v>2530</v>
      </c>
      <c r="L4897" s="561">
        <v>81179.846999999994</v>
      </c>
      <c r="M4897" s="561">
        <v>77924</v>
      </c>
      <c r="N4897" s="561">
        <v>22777.200000000001</v>
      </c>
      <c r="O4897" s="561">
        <v>0</v>
      </c>
      <c r="P4897" s="561">
        <v>55146.799999999996</v>
      </c>
    </row>
    <row r="4898" spans="1:38">
      <c r="C4898" s="561" t="s">
        <v>1197</v>
      </c>
      <c r="D4898" s="561">
        <v>55543</v>
      </c>
      <c r="E4898" s="561">
        <v>18462.900000000001</v>
      </c>
      <c r="F4898" s="561">
        <v>37080.1</v>
      </c>
      <c r="G4898" s="561">
        <v>994</v>
      </c>
      <c r="H4898" s="561">
        <v>65054.065900000001</v>
      </c>
      <c r="I4898" s="561">
        <v>221</v>
      </c>
      <c r="J4898" s="561">
        <v>7472.3779000000022</v>
      </c>
      <c r="K4898" s="561">
        <v>958</v>
      </c>
      <c r="L4898" s="561">
        <v>57573.576999999997</v>
      </c>
      <c r="M4898" s="561">
        <v>55154.195</v>
      </c>
      <c r="N4898" s="561">
        <v>18462.900000000001</v>
      </c>
      <c r="O4898" s="561">
        <v>0</v>
      </c>
    </row>
    <row r="4899" spans="1:38">
      <c r="C4899" s="561" t="s">
        <v>1198</v>
      </c>
      <c r="D4899" s="561">
        <v>0</v>
      </c>
      <c r="E4899" s="561">
        <v>0</v>
      </c>
      <c r="F4899" s="561">
        <v>0</v>
      </c>
      <c r="G4899" s="561">
        <v>0</v>
      </c>
      <c r="H4899" s="561">
        <v>0</v>
      </c>
      <c r="I4899" s="561">
        <v>0</v>
      </c>
      <c r="J4899" s="561">
        <v>0</v>
      </c>
      <c r="K4899" s="561">
        <v>0</v>
      </c>
      <c r="L4899" s="561">
        <v>0</v>
      </c>
      <c r="M4899" s="561">
        <v>0</v>
      </c>
      <c r="N4899" s="561">
        <v>0</v>
      </c>
      <c r="O4899" s="561">
        <v>0</v>
      </c>
      <c r="P4899" s="561">
        <v>0</v>
      </c>
    </row>
    <row r="4900" spans="1:38">
      <c r="C4900" s="561" t="s">
        <v>1199</v>
      </c>
      <c r="D4900" s="561">
        <v>22381</v>
      </c>
      <c r="E4900" s="561">
        <v>4314.2999999999993</v>
      </c>
      <c r="F4900" s="561">
        <v>18066.7</v>
      </c>
      <c r="G4900" s="561">
        <v>1579</v>
      </c>
      <c r="H4900" s="561">
        <v>24454.508100000003</v>
      </c>
      <c r="I4900" s="561">
        <v>148</v>
      </c>
      <c r="J4900" s="561">
        <v>848.22465999999997</v>
      </c>
      <c r="K4900" s="561">
        <v>1572</v>
      </c>
      <c r="L4900" s="561">
        <v>23606.27</v>
      </c>
      <c r="M4900" s="561">
        <v>22769.805</v>
      </c>
      <c r="N4900" s="561">
        <v>4314.2999999999993</v>
      </c>
      <c r="O4900" s="561">
        <v>0</v>
      </c>
      <c r="AL4900" s="561">
        <v>18455.504999999997</v>
      </c>
    </row>
    <row r="4901" spans="1:38">
      <c r="A4901" s="561">
        <v>74</v>
      </c>
      <c r="B4901" s="561" t="s">
        <v>1642</v>
      </c>
      <c r="C4901" s="561" t="s">
        <v>1196</v>
      </c>
      <c r="D4901" s="561">
        <v>142939</v>
      </c>
      <c r="E4901" s="561">
        <v>38531.699999999997</v>
      </c>
      <c r="F4901" s="561">
        <v>104407.3</v>
      </c>
      <c r="G4901" s="561">
        <v>3529</v>
      </c>
      <c r="H4901" s="561">
        <v>153241.9222</v>
      </c>
      <c r="I4901" s="561">
        <v>331</v>
      </c>
      <c r="J4901" s="561">
        <v>7859.3876399999999</v>
      </c>
      <c r="K4901" s="561">
        <v>3519</v>
      </c>
      <c r="L4901" s="561">
        <v>145328.859</v>
      </c>
      <c r="M4901" s="561">
        <v>142939</v>
      </c>
      <c r="N4901" s="561">
        <v>38531.700000000004</v>
      </c>
      <c r="O4901" s="561">
        <v>0</v>
      </c>
      <c r="P4901" s="561">
        <v>104407.3</v>
      </c>
    </row>
    <row r="4902" spans="1:38">
      <c r="C4902" s="561" t="s">
        <v>1197</v>
      </c>
      <c r="D4902" s="561">
        <v>118832</v>
      </c>
      <c r="E4902" s="561">
        <v>34299.599999999999</v>
      </c>
      <c r="F4902" s="561">
        <v>84532.4</v>
      </c>
      <c r="G4902" s="561">
        <v>1922</v>
      </c>
      <c r="H4902" s="561">
        <v>128879.57500000001</v>
      </c>
      <c r="I4902" s="561">
        <v>252</v>
      </c>
      <c r="J4902" s="561">
        <v>7407.50443</v>
      </c>
      <c r="K4902" s="561">
        <v>1913</v>
      </c>
      <c r="L4902" s="561">
        <v>121418.387</v>
      </c>
      <c r="M4902" s="561">
        <v>119194.33200000001</v>
      </c>
      <c r="N4902" s="561">
        <v>34299.600000000006</v>
      </c>
      <c r="O4902" s="561">
        <v>0</v>
      </c>
    </row>
    <row r="4903" spans="1:38">
      <c r="C4903" s="561" t="s">
        <v>1198</v>
      </c>
      <c r="D4903" s="561">
        <v>0</v>
      </c>
      <c r="E4903" s="561">
        <v>0</v>
      </c>
      <c r="F4903" s="561">
        <v>0</v>
      </c>
      <c r="G4903" s="561">
        <v>0</v>
      </c>
      <c r="H4903" s="561">
        <v>0</v>
      </c>
      <c r="I4903" s="561">
        <v>0</v>
      </c>
      <c r="J4903" s="561">
        <v>0</v>
      </c>
      <c r="K4903" s="561">
        <v>0</v>
      </c>
      <c r="L4903" s="561">
        <v>0</v>
      </c>
      <c r="M4903" s="561">
        <v>0</v>
      </c>
      <c r="N4903" s="561">
        <v>0</v>
      </c>
      <c r="O4903" s="561">
        <v>0</v>
      </c>
      <c r="P4903" s="561">
        <v>0</v>
      </c>
    </row>
    <row r="4904" spans="1:38">
      <c r="C4904" s="561" t="s">
        <v>1199</v>
      </c>
      <c r="D4904" s="561">
        <v>24107</v>
      </c>
      <c r="E4904" s="561">
        <v>4232.0999999999985</v>
      </c>
      <c r="F4904" s="561">
        <v>19874.900000000001</v>
      </c>
      <c r="G4904" s="561">
        <v>1607</v>
      </c>
      <c r="H4904" s="561">
        <v>24362.347200000004</v>
      </c>
      <c r="I4904" s="561">
        <v>79</v>
      </c>
      <c r="J4904" s="561">
        <v>451.88321000000008</v>
      </c>
      <c r="K4904" s="561">
        <v>1606</v>
      </c>
      <c r="L4904" s="561">
        <v>23910.472000000002</v>
      </c>
      <c r="M4904" s="561">
        <v>23744.667999999998</v>
      </c>
      <c r="N4904" s="561">
        <v>4232.0999999999995</v>
      </c>
      <c r="O4904" s="561">
        <v>0</v>
      </c>
      <c r="AL4904" s="561">
        <v>19512.567999999999</v>
      </c>
    </row>
    <row r="4905" spans="1:38">
      <c r="A4905" s="561">
        <v>75</v>
      </c>
      <c r="B4905" s="561" t="s">
        <v>1643</v>
      </c>
      <c r="C4905" s="561" t="s">
        <v>1196</v>
      </c>
      <c r="D4905" s="561">
        <v>239280</v>
      </c>
      <c r="E4905" s="561">
        <v>71184</v>
      </c>
      <c r="F4905" s="561">
        <v>168096</v>
      </c>
      <c r="G4905" s="561">
        <v>14778</v>
      </c>
      <c r="H4905" s="561">
        <v>242505.06419000003</v>
      </c>
      <c r="I4905" s="561">
        <v>124</v>
      </c>
      <c r="J4905" s="561">
        <v>2129.1500000000005</v>
      </c>
      <c r="K4905" s="561">
        <v>14525</v>
      </c>
      <c r="L4905" s="561">
        <v>239986.31200000001</v>
      </c>
      <c r="M4905" s="561">
        <v>239279.99999999997</v>
      </c>
      <c r="N4905" s="561">
        <v>71184.000000000015</v>
      </c>
      <c r="O4905" s="561">
        <v>0</v>
      </c>
      <c r="P4905" s="561">
        <v>168096</v>
      </c>
    </row>
    <row r="4906" spans="1:38">
      <c r="C4906" s="561" t="s">
        <v>1197</v>
      </c>
      <c r="D4906" s="561">
        <v>223704</v>
      </c>
      <c r="E4906" s="561">
        <v>66511.199999999997</v>
      </c>
      <c r="F4906" s="561">
        <v>157192.79999999999</v>
      </c>
      <c r="G4906" s="561">
        <v>3435</v>
      </c>
      <c r="H4906" s="561">
        <v>226590.70499999999</v>
      </c>
      <c r="I4906" s="561">
        <v>124</v>
      </c>
      <c r="J4906" s="561">
        <v>2129.1500000000005</v>
      </c>
      <c r="K4906" s="561">
        <v>3433</v>
      </c>
      <c r="L4906" s="561">
        <v>224409.76300000001</v>
      </c>
      <c r="M4906" s="561">
        <v>223703.45100000003</v>
      </c>
      <c r="N4906" s="561">
        <v>66511.199999999983</v>
      </c>
      <c r="O4906" s="561">
        <v>0</v>
      </c>
    </row>
    <row r="4907" spans="1:38">
      <c r="C4907" s="561" t="s">
        <v>1198</v>
      </c>
      <c r="D4907" s="561">
        <v>0</v>
      </c>
      <c r="E4907" s="561">
        <v>0</v>
      </c>
      <c r="F4907" s="561">
        <v>0</v>
      </c>
      <c r="G4907" s="561">
        <v>0</v>
      </c>
      <c r="H4907" s="561">
        <v>0</v>
      </c>
      <c r="I4907" s="561">
        <v>0</v>
      </c>
      <c r="J4907" s="561">
        <v>0</v>
      </c>
      <c r="K4907" s="561">
        <v>0</v>
      </c>
      <c r="L4907" s="561">
        <v>0</v>
      </c>
      <c r="M4907" s="561">
        <v>0</v>
      </c>
      <c r="N4907" s="561">
        <v>0</v>
      </c>
      <c r="O4907" s="561">
        <v>0</v>
      </c>
      <c r="P4907" s="561">
        <v>0</v>
      </c>
    </row>
    <row r="4908" spans="1:38">
      <c r="C4908" s="561" t="s">
        <v>1199</v>
      </c>
      <c r="D4908" s="561">
        <v>0</v>
      </c>
      <c r="F4908" s="561">
        <v>0</v>
      </c>
      <c r="G4908" s="561">
        <v>0</v>
      </c>
      <c r="H4908" s="561">
        <v>0</v>
      </c>
      <c r="I4908" s="561">
        <v>0</v>
      </c>
      <c r="J4908" s="561">
        <v>0</v>
      </c>
      <c r="K4908" s="561">
        <v>0</v>
      </c>
      <c r="L4908" s="561">
        <v>0</v>
      </c>
      <c r="M4908" s="561">
        <v>0</v>
      </c>
      <c r="N4908" s="561">
        <v>0</v>
      </c>
      <c r="O4908" s="561">
        <v>0</v>
      </c>
      <c r="P4908" s="561">
        <v>0</v>
      </c>
    </row>
    <row r="4909" spans="1:38">
      <c r="C4909" s="561" t="s">
        <v>1200</v>
      </c>
      <c r="D4909" s="561">
        <v>15576</v>
      </c>
      <c r="E4909" s="561">
        <v>4672.8000000000029</v>
      </c>
      <c r="F4909" s="561">
        <v>10903.199999999997</v>
      </c>
      <c r="G4909" s="561">
        <v>11343</v>
      </c>
      <c r="H4909" s="561">
        <v>15914.359189999997</v>
      </c>
      <c r="I4909" s="561">
        <v>0</v>
      </c>
      <c r="J4909" s="561">
        <v>0</v>
      </c>
      <c r="K4909" s="561">
        <v>11092</v>
      </c>
      <c r="L4909" s="561">
        <v>15576.548999999999</v>
      </c>
      <c r="M4909" s="561">
        <v>15576.548999999999</v>
      </c>
      <c r="N4909" s="561">
        <v>4672.8</v>
      </c>
      <c r="O4909" s="561">
        <v>0</v>
      </c>
      <c r="P4909" s="561">
        <v>10903.749</v>
      </c>
    </row>
    <row r="4910" spans="1:38">
      <c r="A4910" s="561">
        <v>76</v>
      </c>
      <c r="B4910" s="561" t="s">
        <v>1644</v>
      </c>
      <c r="C4910" s="561" t="s">
        <v>1196</v>
      </c>
      <c r="D4910" s="561">
        <v>193670.76</v>
      </c>
      <c r="E4910" s="561">
        <v>0</v>
      </c>
      <c r="F4910" s="561">
        <v>193670.76</v>
      </c>
      <c r="G4910" s="561">
        <v>684</v>
      </c>
      <c r="H4910" s="561">
        <v>180016.49494000003</v>
      </c>
      <c r="I4910" s="561">
        <v>7</v>
      </c>
      <c r="J4910" s="561">
        <v>586.87899999999991</v>
      </c>
      <c r="K4910" s="561">
        <v>683</v>
      </c>
      <c r="L4910" s="561">
        <v>179457.58500000002</v>
      </c>
      <c r="M4910" s="561">
        <v>193670.76</v>
      </c>
      <c r="N4910" s="561">
        <v>0</v>
      </c>
      <c r="O4910" s="561">
        <v>0</v>
      </c>
      <c r="P4910" s="561">
        <v>193670.76</v>
      </c>
    </row>
    <row r="4911" spans="1:38">
      <c r="C4911" s="561" t="s">
        <v>1197</v>
      </c>
      <c r="D4911" s="561">
        <v>0</v>
      </c>
      <c r="E4911" s="561">
        <v>0</v>
      </c>
      <c r="F4911" s="561">
        <v>0</v>
      </c>
      <c r="G4911" s="561">
        <v>0</v>
      </c>
      <c r="H4911" s="561">
        <v>0</v>
      </c>
      <c r="I4911" s="561">
        <v>0</v>
      </c>
      <c r="J4911" s="561">
        <v>0</v>
      </c>
      <c r="K4911" s="561">
        <v>0</v>
      </c>
      <c r="L4911" s="561">
        <v>0</v>
      </c>
      <c r="M4911" s="561">
        <v>0</v>
      </c>
      <c r="N4911" s="561">
        <v>0</v>
      </c>
      <c r="O4911" s="561">
        <v>0</v>
      </c>
      <c r="P4911" s="561">
        <v>0</v>
      </c>
    </row>
    <row r="4912" spans="1:38">
      <c r="C4912" s="561" t="s">
        <v>1198</v>
      </c>
      <c r="D4912" s="561">
        <v>0</v>
      </c>
      <c r="E4912" s="561">
        <v>0</v>
      </c>
      <c r="F4912" s="561">
        <v>0</v>
      </c>
      <c r="G4912" s="561">
        <v>0</v>
      </c>
      <c r="H4912" s="561">
        <v>0</v>
      </c>
      <c r="I4912" s="561">
        <v>0</v>
      </c>
      <c r="J4912" s="561">
        <v>0</v>
      </c>
      <c r="K4912" s="561">
        <v>0</v>
      </c>
      <c r="L4912" s="561">
        <v>0</v>
      </c>
      <c r="M4912" s="561">
        <v>0</v>
      </c>
      <c r="N4912" s="561">
        <v>0</v>
      </c>
      <c r="O4912" s="561">
        <v>0</v>
      </c>
      <c r="P4912" s="561">
        <v>0</v>
      </c>
    </row>
    <row r="4913" spans="1:38">
      <c r="C4913" s="561" t="s">
        <v>1199</v>
      </c>
      <c r="D4913" s="561">
        <v>193670.76</v>
      </c>
      <c r="E4913" s="561">
        <v>0</v>
      </c>
      <c r="F4913" s="561">
        <v>193670.76</v>
      </c>
      <c r="G4913" s="561">
        <v>684</v>
      </c>
      <c r="H4913" s="561">
        <v>180016.49494000003</v>
      </c>
      <c r="I4913" s="561">
        <v>7</v>
      </c>
      <c r="J4913" s="561">
        <v>586.87899999999991</v>
      </c>
      <c r="K4913" s="561">
        <v>683</v>
      </c>
      <c r="L4913" s="561">
        <v>179457.58500000002</v>
      </c>
      <c r="M4913" s="561">
        <v>193670.76</v>
      </c>
      <c r="N4913" s="561">
        <v>0</v>
      </c>
      <c r="O4913" s="561">
        <v>0</v>
      </c>
      <c r="AL4913" s="561">
        <v>193670.76</v>
      </c>
    </row>
    <row r="4914" spans="1:38">
      <c r="A4914" s="561">
        <v>77</v>
      </c>
      <c r="B4914" s="561" t="s">
        <v>1645</v>
      </c>
      <c r="C4914" s="561" t="s">
        <v>1196</v>
      </c>
      <c r="D4914" s="561">
        <v>162889</v>
      </c>
      <c r="E4914" s="561">
        <v>50666.7</v>
      </c>
      <c r="F4914" s="561">
        <v>112222.3</v>
      </c>
      <c r="G4914" s="561">
        <v>600</v>
      </c>
      <c r="H4914" s="561">
        <v>163398.93599999999</v>
      </c>
      <c r="I4914" s="561">
        <v>41</v>
      </c>
      <c r="J4914" s="561">
        <v>483.62280000000004</v>
      </c>
      <c r="K4914" s="561">
        <v>600</v>
      </c>
      <c r="L4914" s="561">
        <v>162915.31299999999</v>
      </c>
      <c r="M4914" s="561">
        <v>162889</v>
      </c>
      <c r="N4914" s="561">
        <v>50666.700000000012</v>
      </c>
      <c r="O4914" s="561">
        <v>0</v>
      </c>
      <c r="P4914" s="561">
        <v>112222.29999999999</v>
      </c>
    </row>
    <row r="4915" spans="1:38">
      <c r="C4915" s="561" t="s">
        <v>1197</v>
      </c>
      <c r="D4915" s="561">
        <v>0</v>
      </c>
      <c r="E4915" s="561">
        <v>0</v>
      </c>
      <c r="F4915" s="561">
        <v>0</v>
      </c>
      <c r="G4915" s="561">
        <v>0</v>
      </c>
      <c r="H4915" s="561">
        <v>0</v>
      </c>
      <c r="I4915" s="561">
        <v>0</v>
      </c>
      <c r="J4915" s="561">
        <v>8.0000000002655725E-4</v>
      </c>
      <c r="K4915" s="561">
        <v>0</v>
      </c>
      <c r="L4915" s="561">
        <v>0</v>
      </c>
      <c r="M4915" s="561">
        <v>0</v>
      </c>
      <c r="N4915" s="561">
        <v>0</v>
      </c>
      <c r="O4915" s="561">
        <v>0</v>
      </c>
      <c r="P4915" s="561">
        <v>0</v>
      </c>
    </row>
    <row r="4916" spans="1:38">
      <c r="C4916" s="561" t="s">
        <v>1198</v>
      </c>
      <c r="D4916" s="561">
        <v>0</v>
      </c>
      <c r="E4916" s="561">
        <v>0</v>
      </c>
      <c r="F4916" s="561">
        <v>0</v>
      </c>
      <c r="G4916" s="561">
        <v>0</v>
      </c>
      <c r="H4916" s="561">
        <v>0</v>
      </c>
      <c r="I4916" s="561">
        <v>0</v>
      </c>
      <c r="J4916" s="561">
        <v>0</v>
      </c>
      <c r="K4916" s="561">
        <v>0</v>
      </c>
      <c r="L4916" s="561">
        <v>0</v>
      </c>
      <c r="M4916" s="561">
        <v>0</v>
      </c>
      <c r="N4916" s="561">
        <v>0</v>
      </c>
      <c r="O4916" s="561">
        <v>0</v>
      </c>
      <c r="P4916" s="561">
        <v>0</v>
      </c>
    </row>
    <row r="4917" spans="1:38">
      <c r="C4917" s="561" t="s">
        <v>1199</v>
      </c>
      <c r="D4917" s="561">
        <v>162889</v>
      </c>
      <c r="E4917" s="561">
        <v>50666.7</v>
      </c>
      <c r="F4917" s="561">
        <v>112222.3</v>
      </c>
      <c r="G4917" s="561">
        <v>600</v>
      </c>
      <c r="H4917" s="561">
        <v>163398.93599999999</v>
      </c>
      <c r="I4917" s="561">
        <v>41</v>
      </c>
      <c r="J4917" s="561">
        <v>483.62200000000001</v>
      </c>
      <c r="K4917" s="561">
        <v>600</v>
      </c>
      <c r="L4917" s="561">
        <v>162915.31299999999</v>
      </c>
      <c r="M4917" s="561">
        <v>162889</v>
      </c>
      <c r="N4917" s="561">
        <v>50666.700000000012</v>
      </c>
      <c r="O4917" s="561">
        <v>0</v>
      </c>
      <c r="AL4917" s="561">
        <v>112222.29999999999</v>
      </c>
    </row>
    <row r="4918" spans="1:38">
      <c r="A4918" s="561">
        <v>78</v>
      </c>
      <c r="B4918" s="561" t="s">
        <v>1646</v>
      </c>
      <c r="C4918" s="561" t="s">
        <v>1196</v>
      </c>
      <c r="D4918" s="561">
        <v>45560</v>
      </c>
      <c r="E4918" s="561">
        <v>16375.8</v>
      </c>
      <c r="F4918" s="561">
        <v>29184.2</v>
      </c>
      <c r="G4918" s="561">
        <v>270</v>
      </c>
      <c r="H4918" s="561">
        <v>46076.927310000006</v>
      </c>
      <c r="I4918" s="561">
        <v>40</v>
      </c>
      <c r="J4918" s="561">
        <v>1405.63231</v>
      </c>
      <c r="K4918" s="561">
        <v>270</v>
      </c>
      <c r="L4918" s="561">
        <v>45714.278999999995</v>
      </c>
      <c r="M4918" s="561">
        <v>45560.000000000007</v>
      </c>
      <c r="N4918" s="561">
        <v>16375.8</v>
      </c>
      <c r="O4918" s="561">
        <v>0</v>
      </c>
      <c r="P4918" s="561">
        <v>29184.2</v>
      </c>
    </row>
    <row r="4919" spans="1:38">
      <c r="C4919" s="561" t="s">
        <v>1197</v>
      </c>
      <c r="D4919" s="561">
        <v>16767</v>
      </c>
      <c r="E4919" s="561">
        <v>8338.5</v>
      </c>
      <c r="F4919" s="561">
        <v>8428.5</v>
      </c>
      <c r="G4919" s="561">
        <v>183</v>
      </c>
      <c r="H4919" s="561">
        <v>17106.035800000005</v>
      </c>
      <c r="I4919" s="561">
        <v>27</v>
      </c>
      <c r="J4919" s="561">
        <v>633.89399999999989</v>
      </c>
      <c r="K4919" s="561">
        <v>183</v>
      </c>
      <c r="L4919" s="561">
        <v>16515.126</v>
      </c>
      <c r="M4919" s="561">
        <v>16360.846999999998</v>
      </c>
      <c r="N4919" s="561">
        <v>8338.5</v>
      </c>
      <c r="O4919" s="561">
        <v>0</v>
      </c>
    </row>
    <row r="4920" spans="1:38">
      <c r="C4920" s="561" t="s">
        <v>1198</v>
      </c>
      <c r="D4920" s="561">
        <v>28793</v>
      </c>
      <c r="E4920" s="561">
        <v>8037.3</v>
      </c>
      <c r="F4920" s="561">
        <v>20755.7</v>
      </c>
      <c r="G4920" s="561">
        <v>87</v>
      </c>
      <c r="H4920" s="561">
        <v>28970.891510000001</v>
      </c>
      <c r="I4920" s="561">
        <v>13</v>
      </c>
      <c r="J4920" s="561">
        <v>771.73800000000006</v>
      </c>
      <c r="K4920" s="561">
        <v>87</v>
      </c>
      <c r="L4920" s="561">
        <v>29199.152999999998</v>
      </c>
      <c r="M4920" s="561">
        <v>29199.153000000002</v>
      </c>
      <c r="N4920" s="561">
        <v>8037.3000000000011</v>
      </c>
      <c r="O4920" s="561">
        <v>0</v>
      </c>
      <c r="P4920" s="561">
        <v>21161.852999999999</v>
      </c>
    </row>
    <row r="4921" spans="1:38">
      <c r="C4921" s="561" t="s">
        <v>1199</v>
      </c>
      <c r="D4921" s="561">
        <v>0</v>
      </c>
      <c r="E4921" s="561">
        <v>0</v>
      </c>
      <c r="F4921" s="561">
        <v>0</v>
      </c>
      <c r="G4921" s="561">
        <v>0</v>
      </c>
      <c r="H4921" s="561">
        <v>0</v>
      </c>
      <c r="I4921" s="561">
        <v>0</v>
      </c>
      <c r="J4921" s="561">
        <v>3.0999999998471139E-4</v>
      </c>
      <c r="K4921" s="561">
        <v>0</v>
      </c>
      <c r="L4921" s="561">
        <v>0</v>
      </c>
      <c r="M4921" s="561">
        <v>0</v>
      </c>
      <c r="N4921" s="561">
        <v>0</v>
      </c>
      <c r="O4921" s="561">
        <v>0</v>
      </c>
      <c r="P4921" s="561">
        <v>0</v>
      </c>
    </row>
    <row r="4922" spans="1:38">
      <c r="A4922" s="561">
        <v>79</v>
      </c>
      <c r="B4922" s="561" t="s">
        <v>1647</v>
      </c>
      <c r="C4922" s="561" t="s">
        <v>1196</v>
      </c>
      <c r="D4922" s="561">
        <v>3319</v>
      </c>
      <c r="E4922" s="561">
        <v>0</v>
      </c>
      <c r="F4922" s="561">
        <v>3319</v>
      </c>
      <c r="G4922" s="561">
        <v>100</v>
      </c>
      <c r="H4922" s="561">
        <v>3619.07809</v>
      </c>
      <c r="I4922" s="561">
        <v>7</v>
      </c>
      <c r="J4922" s="561">
        <v>152.11699999999999</v>
      </c>
      <c r="K4922" s="561">
        <v>101</v>
      </c>
      <c r="L4922" s="561">
        <v>3324.473</v>
      </c>
      <c r="M4922" s="561">
        <v>3319</v>
      </c>
      <c r="N4922" s="561">
        <v>0</v>
      </c>
      <c r="O4922" s="561">
        <v>0</v>
      </c>
      <c r="P4922" s="561">
        <v>3319</v>
      </c>
    </row>
    <row r="4923" spans="1:38">
      <c r="C4923" s="561" t="s">
        <v>1197</v>
      </c>
      <c r="D4923" s="561">
        <v>2318</v>
      </c>
      <c r="E4923" s="561">
        <v>0</v>
      </c>
      <c r="F4923" s="561">
        <v>2318</v>
      </c>
      <c r="G4923" s="561">
        <v>35</v>
      </c>
      <c r="H4923" s="561">
        <v>2645.2357799999995</v>
      </c>
      <c r="I4923" s="561">
        <v>4</v>
      </c>
      <c r="J4923" s="561">
        <v>125.181</v>
      </c>
      <c r="K4923" s="561">
        <v>34</v>
      </c>
      <c r="L4923" s="561">
        <v>2315.723</v>
      </c>
      <c r="M4923" s="561">
        <v>2315.723</v>
      </c>
      <c r="N4923" s="561">
        <v>0</v>
      </c>
      <c r="O4923" s="561">
        <v>0</v>
      </c>
      <c r="P4923" s="561">
        <v>2315.723</v>
      </c>
    </row>
    <row r="4924" spans="1:38">
      <c r="C4924" s="561" t="s">
        <v>1198</v>
      </c>
      <c r="D4924" s="561">
        <v>0</v>
      </c>
      <c r="E4924" s="561">
        <v>0</v>
      </c>
      <c r="F4924" s="561">
        <v>0</v>
      </c>
      <c r="G4924" s="561">
        <v>0</v>
      </c>
      <c r="H4924" s="561">
        <v>0</v>
      </c>
      <c r="I4924" s="561">
        <v>0</v>
      </c>
      <c r="J4924" s="561">
        <v>0</v>
      </c>
      <c r="K4924" s="561">
        <v>0</v>
      </c>
      <c r="L4924" s="561">
        <v>0</v>
      </c>
      <c r="M4924" s="561">
        <v>0</v>
      </c>
      <c r="N4924" s="561">
        <v>0</v>
      </c>
      <c r="O4924" s="561">
        <v>0</v>
      </c>
      <c r="P4924" s="561">
        <v>0</v>
      </c>
    </row>
    <row r="4925" spans="1:38">
      <c r="C4925" s="561" t="s">
        <v>1199</v>
      </c>
      <c r="D4925" s="561">
        <v>1001</v>
      </c>
      <c r="E4925" s="561">
        <v>0</v>
      </c>
      <c r="F4925" s="561">
        <v>1001</v>
      </c>
      <c r="G4925" s="561">
        <v>65</v>
      </c>
      <c r="H4925" s="561">
        <v>973.84230999999988</v>
      </c>
      <c r="I4925" s="561">
        <v>3</v>
      </c>
      <c r="J4925" s="561">
        <v>26.936</v>
      </c>
      <c r="K4925" s="561">
        <v>67</v>
      </c>
      <c r="L4925" s="561">
        <v>1008.75</v>
      </c>
      <c r="M4925" s="561">
        <v>1003.2769999999999</v>
      </c>
      <c r="N4925" s="561">
        <v>0</v>
      </c>
      <c r="O4925" s="561">
        <v>0</v>
      </c>
      <c r="AL4925" s="561">
        <v>1003.2769999999999</v>
      </c>
    </row>
    <row r="4926" spans="1:38">
      <c r="A4926" s="561">
        <v>80</v>
      </c>
      <c r="B4926" s="561" t="s">
        <v>1648</v>
      </c>
      <c r="C4926" s="561" t="s">
        <v>1196</v>
      </c>
      <c r="D4926" s="561">
        <v>33186</v>
      </c>
      <c r="E4926" s="561">
        <v>0</v>
      </c>
      <c r="F4926" s="561">
        <v>33186</v>
      </c>
      <c r="G4926" s="561">
        <v>165</v>
      </c>
      <c r="H4926" s="561">
        <v>41690.665849999998</v>
      </c>
      <c r="I4926" s="561">
        <v>5</v>
      </c>
      <c r="J4926" s="561">
        <v>399.88800000000003</v>
      </c>
      <c r="K4926" s="561">
        <v>164</v>
      </c>
      <c r="L4926" s="561">
        <v>41290.774999999994</v>
      </c>
      <c r="M4926" s="561">
        <v>33186</v>
      </c>
      <c r="N4926" s="561">
        <v>0</v>
      </c>
      <c r="O4926" s="561">
        <v>0</v>
      </c>
      <c r="P4926" s="561">
        <v>33186</v>
      </c>
    </row>
    <row r="4927" spans="1:38">
      <c r="C4927" s="561" t="s">
        <v>1197</v>
      </c>
      <c r="D4927" s="561">
        <v>0</v>
      </c>
      <c r="E4927" s="561">
        <v>0</v>
      </c>
      <c r="F4927" s="561">
        <v>0</v>
      </c>
      <c r="G4927" s="561">
        <v>0</v>
      </c>
      <c r="H4927" s="561">
        <v>0</v>
      </c>
      <c r="I4927" s="561">
        <v>0</v>
      </c>
      <c r="J4927" s="561">
        <v>0</v>
      </c>
      <c r="K4927" s="561">
        <v>0</v>
      </c>
      <c r="L4927" s="561">
        <v>0</v>
      </c>
      <c r="M4927" s="561">
        <v>0</v>
      </c>
      <c r="N4927" s="561">
        <v>0</v>
      </c>
      <c r="O4927" s="561">
        <v>0</v>
      </c>
      <c r="P4927" s="561">
        <v>0</v>
      </c>
    </row>
    <row r="4928" spans="1:38">
      <c r="C4928" s="561" t="s">
        <v>1198</v>
      </c>
      <c r="D4928" s="561">
        <v>0</v>
      </c>
      <c r="E4928" s="561">
        <v>0</v>
      </c>
      <c r="F4928" s="561">
        <v>0</v>
      </c>
      <c r="G4928" s="561">
        <v>0</v>
      </c>
      <c r="H4928" s="561">
        <v>0</v>
      </c>
      <c r="I4928" s="561">
        <v>0</v>
      </c>
      <c r="J4928" s="561">
        <v>0</v>
      </c>
      <c r="K4928" s="561">
        <v>0</v>
      </c>
      <c r="L4928" s="561">
        <v>0</v>
      </c>
      <c r="M4928" s="561">
        <v>0</v>
      </c>
      <c r="N4928" s="561">
        <v>0</v>
      </c>
      <c r="O4928" s="561">
        <v>0</v>
      </c>
      <c r="P4928" s="561">
        <v>0</v>
      </c>
    </row>
    <row r="4929" spans="1:111">
      <c r="C4929" s="561" t="s">
        <v>1199</v>
      </c>
      <c r="D4929" s="561">
        <v>33186</v>
      </c>
      <c r="E4929" s="561">
        <v>0</v>
      </c>
      <c r="F4929" s="561">
        <v>33186</v>
      </c>
      <c r="G4929" s="561">
        <v>165</v>
      </c>
      <c r="H4929" s="561">
        <v>41690.665849999998</v>
      </c>
      <c r="I4929" s="561">
        <v>5</v>
      </c>
      <c r="J4929" s="561">
        <v>399.88800000000003</v>
      </c>
      <c r="K4929" s="561">
        <v>164</v>
      </c>
      <c r="L4929" s="561">
        <v>41290.774999999994</v>
      </c>
      <c r="M4929" s="561">
        <v>33186</v>
      </c>
      <c r="N4929" s="561">
        <v>0</v>
      </c>
      <c r="O4929" s="561">
        <v>0</v>
      </c>
      <c r="AL4929" s="561">
        <v>33186</v>
      </c>
    </row>
    <row r="4930" spans="1:111">
      <c r="A4930" s="561">
        <v>81</v>
      </c>
      <c r="B4930" s="561" t="s">
        <v>1649</v>
      </c>
      <c r="C4930" s="561" t="s">
        <v>1196</v>
      </c>
      <c r="D4930" s="561">
        <v>17179</v>
      </c>
      <c r="F4930" s="561">
        <v>17179</v>
      </c>
      <c r="G4930" s="561">
        <v>74</v>
      </c>
      <c r="H4930" s="561">
        <v>19286.205000000002</v>
      </c>
      <c r="I4930" s="561">
        <v>0</v>
      </c>
      <c r="J4930" s="561">
        <v>5.7290000000000001</v>
      </c>
      <c r="K4930" s="561">
        <v>74</v>
      </c>
      <c r="L4930" s="561">
        <v>19286.205000000002</v>
      </c>
      <c r="M4930" s="561">
        <v>17179</v>
      </c>
      <c r="N4930" s="561">
        <v>0</v>
      </c>
      <c r="O4930" s="561">
        <v>0</v>
      </c>
      <c r="P4930" s="561">
        <v>17179</v>
      </c>
    </row>
    <row r="4931" spans="1:111">
      <c r="C4931" s="561" t="s">
        <v>1197</v>
      </c>
      <c r="D4931" s="561">
        <v>0</v>
      </c>
      <c r="F4931" s="561">
        <v>0</v>
      </c>
      <c r="G4931" s="561">
        <v>0</v>
      </c>
      <c r="H4931" s="561">
        <v>0</v>
      </c>
      <c r="I4931" s="561">
        <v>0</v>
      </c>
      <c r="J4931" s="561">
        <v>0</v>
      </c>
      <c r="K4931" s="561">
        <v>0</v>
      </c>
      <c r="L4931" s="561">
        <v>0</v>
      </c>
      <c r="M4931" s="561">
        <v>0</v>
      </c>
      <c r="N4931" s="561">
        <v>0</v>
      </c>
      <c r="O4931" s="561">
        <v>0</v>
      </c>
      <c r="P4931" s="561">
        <v>0</v>
      </c>
    </row>
    <row r="4932" spans="1:111">
      <c r="C4932" s="561" t="s">
        <v>1198</v>
      </c>
      <c r="D4932" s="561">
        <v>0</v>
      </c>
      <c r="F4932" s="561">
        <v>0</v>
      </c>
      <c r="G4932" s="561">
        <v>0</v>
      </c>
      <c r="H4932" s="561">
        <v>0</v>
      </c>
      <c r="I4932" s="561">
        <v>0</v>
      </c>
      <c r="J4932" s="561">
        <v>0</v>
      </c>
      <c r="K4932" s="561">
        <v>0</v>
      </c>
      <c r="L4932" s="561">
        <v>0</v>
      </c>
      <c r="M4932" s="561">
        <v>0</v>
      </c>
      <c r="N4932" s="561">
        <v>0</v>
      </c>
      <c r="O4932" s="561">
        <v>0</v>
      </c>
      <c r="P4932" s="561">
        <v>0</v>
      </c>
    </row>
    <row r="4933" spans="1:111">
      <c r="C4933" s="561" t="s">
        <v>1199</v>
      </c>
      <c r="D4933" s="561">
        <v>17179</v>
      </c>
      <c r="F4933" s="561">
        <v>17179</v>
      </c>
      <c r="G4933" s="561">
        <v>74</v>
      </c>
      <c r="H4933" s="561">
        <v>19286.205000000002</v>
      </c>
      <c r="I4933" s="561">
        <v>0</v>
      </c>
      <c r="J4933" s="561">
        <v>5.7290000000000001</v>
      </c>
      <c r="K4933" s="561">
        <v>74</v>
      </c>
      <c r="L4933" s="561">
        <v>19286.205000000002</v>
      </c>
      <c r="M4933" s="561">
        <v>17179</v>
      </c>
      <c r="N4933" s="561">
        <v>0</v>
      </c>
      <c r="O4933" s="561">
        <v>0</v>
      </c>
      <c r="AL4933" s="561">
        <v>17179</v>
      </c>
    </row>
    <row r="4934" spans="1:111">
      <c r="A4934" s="1683" t="s">
        <v>1159</v>
      </c>
      <c r="B4934" s="1683"/>
      <c r="C4934" s="1683"/>
      <c r="D4934" s="1683"/>
      <c r="E4934" s="1683"/>
      <c r="F4934" s="1683"/>
      <c r="G4934" s="1683"/>
      <c r="H4934" s="1683"/>
      <c r="I4934" s="1683"/>
      <c r="J4934" s="1683"/>
      <c r="K4934" s="1683"/>
      <c r="L4934" s="1683"/>
      <c r="M4934" s="1683"/>
      <c r="N4934" s="1683"/>
      <c r="O4934" s="1683"/>
      <c r="P4934" s="1683"/>
    </row>
    <row r="4935" spans="1:111">
      <c r="A4935" s="1735" t="s">
        <v>1197</v>
      </c>
      <c r="B4935" s="1735"/>
      <c r="C4935" s="1735"/>
      <c r="D4935" s="1735"/>
      <c r="E4935" s="1735"/>
      <c r="F4935" s="1735"/>
      <c r="G4935" s="1735"/>
      <c r="H4935" s="1735"/>
      <c r="I4935" s="1735"/>
      <c r="J4935" s="1735"/>
      <c r="K4935" s="1735"/>
      <c r="L4935" s="1735"/>
      <c r="M4935" s="1735"/>
      <c r="N4935" s="1735"/>
      <c r="O4935" s="1735"/>
      <c r="P4935" s="1735"/>
      <c r="AL4935" s="561">
        <f>SUM(AL4936:AL5075)</f>
        <v>4489965.6800000006</v>
      </c>
      <c r="AM4935" s="561">
        <f t="shared" ref="AM4935:CX4935" si="120">SUM(AM4936:AM5075)</f>
        <v>0</v>
      </c>
      <c r="AN4935" s="561">
        <f t="shared" si="120"/>
        <v>0</v>
      </c>
      <c r="AO4935" s="561">
        <f t="shared" si="120"/>
        <v>0</v>
      </c>
      <c r="AP4935" s="561">
        <f t="shared" si="120"/>
        <v>0</v>
      </c>
      <c r="AQ4935" s="561">
        <f t="shared" si="120"/>
        <v>0</v>
      </c>
      <c r="AR4935" s="561">
        <f t="shared" si="120"/>
        <v>0</v>
      </c>
      <c r="AS4935" s="561">
        <f t="shared" si="120"/>
        <v>0</v>
      </c>
      <c r="AT4935" s="561">
        <f t="shared" si="120"/>
        <v>123113.41500000001</v>
      </c>
      <c r="AU4935" s="561">
        <f t="shared" si="120"/>
        <v>0</v>
      </c>
      <c r="AV4935" s="561">
        <f t="shared" si="120"/>
        <v>0</v>
      </c>
      <c r="AW4935" s="561">
        <f t="shared" si="120"/>
        <v>0</v>
      </c>
      <c r="AX4935" s="561">
        <f t="shared" si="120"/>
        <v>0</v>
      </c>
      <c r="AY4935" s="561">
        <f t="shared" si="120"/>
        <v>45250.566000000006</v>
      </c>
      <c r="AZ4935" s="561">
        <f t="shared" si="120"/>
        <v>0</v>
      </c>
      <c r="BA4935" s="561">
        <f t="shared" si="120"/>
        <v>0</v>
      </c>
      <c r="BB4935" s="561">
        <f t="shared" si="120"/>
        <v>751253.35899999994</v>
      </c>
      <c r="BC4935" s="561">
        <f t="shared" si="120"/>
        <v>0</v>
      </c>
      <c r="BD4935" s="561">
        <f t="shared" si="120"/>
        <v>0</v>
      </c>
      <c r="BE4935" s="561">
        <f t="shared" si="120"/>
        <v>0</v>
      </c>
      <c r="BF4935" s="561">
        <f t="shared" si="120"/>
        <v>0</v>
      </c>
      <c r="BG4935" s="561">
        <f t="shared" si="120"/>
        <v>0</v>
      </c>
      <c r="BH4935" s="561">
        <f t="shared" si="120"/>
        <v>0</v>
      </c>
      <c r="BI4935" s="561">
        <f t="shared" si="120"/>
        <v>0</v>
      </c>
      <c r="BJ4935" s="561">
        <f t="shared" si="120"/>
        <v>0</v>
      </c>
      <c r="BK4935" s="561">
        <f t="shared" si="120"/>
        <v>0</v>
      </c>
      <c r="BL4935" s="561">
        <f t="shared" si="120"/>
        <v>0</v>
      </c>
      <c r="BM4935" s="561">
        <f t="shared" si="120"/>
        <v>0</v>
      </c>
      <c r="BN4935" s="561">
        <f t="shared" si="120"/>
        <v>0</v>
      </c>
      <c r="BO4935" s="561">
        <f t="shared" si="120"/>
        <v>0</v>
      </c>
      <c r="BP4935" s="561">
        <f t="shared" si="120"/>
        <v>0</v>
      </c>
      <c r="BQ4935" s="561">
        <f t="shared" si="120"/>
        <v>0</v>
      </c>
      <c r="BR4935" s="561">
        <f t="shared" si="120"/>
        <v>0</v>
      </c>
      <c r="BS4935" s="561">
        <f t="shared" si="120"/>
        <v>0</v>
      </c>
      <c r="BT4935" s="561">
        <f t="shared" si="120"/>
        <v>0</v>
      </c>
      <c r="BU4935" s="561">
        <f t="shared" si="120"/>
        <v>0</v>
      </c>
      <c r="BV4935" s="561">
        <f t="shared" si="120"/>
        <v>0</v>
      </c>
      <c r="BW4935" s="561">
        <f t="shared" si="120"/>
        <v>0</v>
      </c>
      <c r="BX4935" s="561">
        <f t="shared" si="120"/>
        <v>0</v>
      </c>
      <c r="BY4935" s="561">
        <f t="shared" si="120"/>
        <v>0</v>
      </c>
      <c r="BZ4935" s="561">
        <f t="shared" si="120"/>
        <v>0</v>
      </c>
      <c r="CA4935" s="561">
        <f t="shared" si="120"/>
        <v>0</v>
      </c>
      <c r="CB4935" s="561">
        <f t="shared" si="120"/>
        <v>0</v>
      </c>
      <c r="CC4935" s="561">
        <f t="shared" si="120"/>
        <v>0</v>
      </c>
      <c r="CD4935" s="561">
        <f t="shared" si="120"/>
        <v>0</v>
      </c>
      <c r="CE4935" s="561">
        <f t="shared" si="120"/>
        <v>0</v>
      </c>
      <c r="CF4935" s="561">
        <f t="shared" si="120"/>
        <v>0</v>
      </c>
      <c r="CG4935" s="561">
        <f t="shared" si="120"/>
        <v>0</v>
      </c>
      <c r="CH4935" s="561">
        <f t="shared" si="120"/>
        <v>0</v>
      </c>
      <c r="CI4935" s="561">
        <f t="shared" si="120"/>
        <v>0</v>
      </c>
      <c r="CJ4935" s="561">
        <f t="shared" si="120"/>
        <v>0</v>
      </c>
      <c r="CK4935" s="561">
        <f t="shared" si="120"/>
        <v>0</v>
      </c>
      <c r="CL4935" s="561">
        <f t="shared" si="120"/>
        <v>0</v>
      </c>
      <c r="CM4935" s="561">
        <f t="shared" si="120"/>
        <v>0</v>
      </c>
      <c r="CN4935" s="561">
        <f t="shared" si="120"/>
        <v>0</v>
      </c>
      <c r="CO4935" s="561">
        <f t="shared" si="120"/>
        <v>0</v>
      </c>
      <c r="CP4935" s="561">
        <f t="shared" si="120"/>
        <v>0</v>
      </c>
      <c r="CQ4935" s="561">
        <f t="shared" si="120"/>
        <v>0</v>
      </c>
      <c r="CR4935" s="561">
        <f t="shared" si="120"/>
        <v>0</v>
      </c>
      <c r="CS4935" s="561">
        <f t="shared" si="120"/>
        <v>0</v>
      </c>
      <c r="CT4935" s="561">
        <f t="shared" si="120"/>
        <v>0</v>
      </c>
      <c r="CU4935" s="561">
        <f t="shared" si="120"/>
        <v>0</v>
      </c>
      <c r="CV4935" s="561">
        <f t="shared" si="120"/>
        <v>0</v>
      </c>
      <c r="CW4935" s="561">
        <f t="shared" si="120"/>
        <v>0</v>
      </c>
      <c r="CX4935" s="561">
        <f t="shared" si="120"/>
        <v>0</v>
      </c>
      <c r="CY4935" s="561">
        <f t="shared" ref="CY4935:DG4935" si="121">SUM(CY4936:CY5075)</f>
        <v>0</v>
      </c>
      <c r="CZ4935" s="561">
        <f t="shared" si="121"/>
        <v>0</v>
      </c>
      <c r="DA4935" s="561">
        <f t="shared" si="121"/>
        <v>0</v>
      </c>
      <c r="DB4935" s="561">
        <f t="shared" si="121"/>
        <v>0</v>
      </c>
      <c r="DC4935" s="561">
        <f t="shared" si="121"/>
        <v>0</v>
      </c>
      <c r="DD4935" s="561">
        <f t="shared" si="121"/>
        <v>0</v>
      </c>
      <c r="DE4935" s="561">
        <f t="shared" si="121"/>
        <v>0</v>
      </c>
      <c r="DF4935" s="561">
        <f t="shared" si="121"/>
        <v>0</v>
      </c>
      <c r="DG4935" s="561">
        <f t="shared" si="121"/>
        <v>0</v>
      </c>
    </row>
    <row r="4936" spans="1:111">
      <c r="A4936" s="561">
        <v>1</v>
      </c>
      <c r="B4936" s="561" t="s">
        <v>1650</v>
      </c>
      <c r="C4936" s="561" t="s">
        <v>1267</v>
      </c>
      <c r="D4936" s="561">
        <v>1896497.4210000003</v>
      </c>
      <c r="E4936" s="561">
        <v>370974.89199999999</v>
      </c>
      <c r="F4936" s="561">
        <v>1525522.5290000003</v>
      </c>
      <c r="G4936" s="561">
        <v>13404</v>
      </c>
      <c r="H4936" s="561">
        <v>1972915.9550000001</v>
      </c>
      <c r="I4936" s="561">
        <v>1209</v>
      </c>
      <c r="J4936" s="561">
        <v>73194.011920000004</v>
      </c>
      <c r="K4936" s="561">
        <v>13417</v>
      </c>
      <c r="L4936" s="561">
        <v>1896497.4210000003</v>
      </c>
      <c r="M4936" s="561">
        <v>1896497.4210000003</v>
      </c>
      <c r="N4936" s="561">
        <v>370974.89199999999</v>
      </c>
      <c r="O4936" s="561">
        <v>0</v>
      </c>
      <c r="P4936" s="561">
        <v>1525522.5290000003</v>
      </c>
      <c r="Q4936" s="561">
        <v>1525522.5290000003</v>
      </c>
    </row>
    <row r="4937" spans="1:111">
      <c r="C4937" s="561" t="s">
        <v>1197</v>
      </c>
      <c r="D4937" s="561">
        <v>1251651.0090000001</v>
      </c>
      <c r="E4937" s="561">
        <v>248036.092</v>
      </c>
      <c r="F4937" s="561">
        <v>1003614.9170000001</v>
      </c>
      <c r="G4937" s="561">
        <v>12239</v>
      </c>
      <c r="H4937" s="561">
        <v>1306794.7180000001</v>
      </c>
      <c r="I4937" s="561">
        <v>1140</v>
      </c>
      <c r="J4937" s="561">
        <v>56012.464090000009</v>
      </c>
      <c r="K4937" s="561">
        <v>12269</v>
      </c>
      <c r="L4937" s="561">
        <v>1251651.0090000001</v>
      </c>
      <c r="M4937" s="561">
        <v>1251651.0090000001</v>
      </c>
      <c r="N4937" s="561">
        <v>248036.092</v>
      </c>
      <c r="O4937" s="561">
        <v>0</v>
      </c>
      <c r="Q4937" s="561">
        <v>1003614.9170000001</v>
      </c>
      <c r="AL4937" s="561">
        <v>1003614.9170000001</v>
      </c>
    </row>
    <row r="4938" spans="1:111">
      <c r="C4938" s="561" t="s">
        <v>1198</v>
      </c>
      <c r="D4938" s="561">
        <v>550014.25400000007</v>
      </c>
      <c r="E4938" s="561">
        <v>106438.8</v>
      </c>
      <c r="F4938" s="561">
        <v>443575.45400000009</v>
      </c>
      <c r="G4938" s="561">
        <v>558</v>
      </c>
      <c r="H4938" s="561">
        <v>570949.91300000006</v>
      </c>
      <c r="I4938" s="561">
        <v>51</v>
      </c>
      <c r="J4938" s="561">
        <v>16997.311259999999</v>
      </c>
      <c r="K4938" s="561">
        <v>553</v>
      </c>
      <c r="L4938" s="561">
        <v>550014.25400000007</v>
      </c>
      <c r="M4938" s="561">
        <v>550014.25400000007</v>
      </c>
      <c r="N4938" s="561">
        <v>106438.8</v>
      </c>
      <c r="O4938" s="561">
        <v>0</v>
      </c>
      <c r="P4938" s="561">
        <v>443575.45400000009</v>
      </c>
      <c r="Q4938" s="561">
        <v>443575.45400000009</v>
      </c>
    </row>
    <row r="4939" spans="1:111">
      <c r="C4939" s="561" t="s">
        <v>1199</v>
      </c>
      <c r="D4939" s="561">
        <v>94832.15800000001</v>
      </c>
      <c r="E4939" s="561">
        <v>16500</v>
      </c>
      <c r="F4939" s="561">
        <v>78332.15800000001</v>
      </c>
      <c r="G4939" s="561">
        <v>607</v>
      </c>
      <c r="H4939" s="561">
        <v>95171.324000000022</v>
      </c>
      <c r="I4939" s="561">
        <v>18</v>
      </c>
      <c r="J4939" s="561">
        <v>184.23656999999997</v>
      </c>
      <c r="K4939" s="561">
        <v>595</v>
      </c>
      <c r="L4939" s="561">
        <v>94832.15800000001</v>
      </c>
      <c r="M4939" s="561">
        <v>94832.15800000001</v>
      </c>
      <c r="N4939" s="561">
        <v>16500</v>
      </c>
      <c r="O4939" s="561">
        <v>0</v>
      </c>
      <c r="P4939" s="561">
        <v>78332.15800000001</v>
      </c>
      <c r="Q4939" s="561">
        <v>78332.15800000001</v>
      </c>
    </row>
    <row r="4940" spans="1:111">
      <c r="A4940" s="561">
        <v>2</v>
      </c>
      <c r="B4940" s="561" t="s">
        <v>1651</v>
      </c>
      <c r="C4940" s="561" t="s">
        <v>1267</v>
      </c>
      <c r="D4940" s="561">
        <v>170273.48500000002</v>
      </c>
      <c r="E4940" s="561">
        <v>41908.254000000001</v>
      </c>
      <c r="F4940" s="561">
        <v>128365.23100000001</v>
      </c>
      <c r="G4940" s="561">
        <v>2828</v>
      </c>
      <c r="H4940" s="561">
        <v>174276.807</v>
      </c>
      <c r="I4940" s="561">
        <v>275</v>
      </c>
      <c r="J4940" s="561">
        <v>4061.1661999999997</v>
      </c>
      <c r="K4940" s="561">
        <v>2808</v>
      </c>
      <c r="L4940" s="561">
        <v>170273.48500000002</v>
      </c>
      <c r="M4940" s="561">
        <v>170273.48500000002</v>
      </c>
      <c r="N4940" s="561">
        <v>41908.254000000001</v>
      </c>
      <c r="O4940" s="561">
        <v>0</v>
      </c>
      <c r="P4940" s="561">
        <v>128365.231</v>
      </c>
      <c r="Q4940" s="561">
        <v>128365.231</v>
      </c>
    </row>
    <row r="4941" spans="1:111">
      <c r="C4941" s="561" t="s">
        <v>1197</v>
      </c>
      <c r="D4941" s="561">
        <v>164015.64500000002</v>
      </c>
      <c r="E4941" s="561">
        <v>40902.230000000003</v>
      </c>
      <c r="F4941" s="561">
        <v>123113.41500000001</v>
      </c>
      <c r="G4941" s="561">
        <v>2372</v>
      </c>
      <c r="H4941" s="561">
        <v>167530.497</v>
      </c>
      <c r="I4941" s="561">
        <v>174</v>
      </c>
      <c r="J4941" s="561">
        <v>3380.6171999999997</v>
      </c>
      <c r="K4941" s="561">
        <v>2364</v>
      </c>
      <c r="L4941" s="561">
        <v>164015.64500000002</v>
      </c>
      <c r="M4941" s="561">
        <v>164015.64500000002</v>
      </c>
      <c r="N4941" s="561">
        <v>40902.230000000003</v>
      </c>
      <c r="O4941" s="561">
        <v>0</v>
      </c>
      <c r="Q4941" s="561">
        <v>123113.41500000001</v>
      </c>
      <c r="AT4941" s="561">
        <v>123113.41500000001</v>
      </c>
    </row>
    <row r="4942" spans="1:111">
      <c r="C4942" s="561" t="s">
        <v>1199</v>
      </c>
      <c r="D4942" s="561">
        <v>6257.84</v>
      </c>
      <c r="E4942" s="561">
        <v>1006.024</v>
      </c>
      <c r="F4942" s="561">
        <v>5251.8159999999998</v>
      </c>
      <c r="G4942" s="561">
        <v>456</v>
      </c>
      <c r="H4942" s="561">
        <v>6746.31</v>
      </c>
      <c r="I4942" s="561">
        <v>101</v>
      </c>
      <c r="J4942" s="561">
        <v>680.54899999999998</v>
      </c>
      <c r="K4942" s="561">
        <v>444</v>
      </c>
      <c r="L4942" s="561">
        <v>6257.8399999999992</v>
      </c>
      <c r="M4942" s="561">
        <v>6257.8399999999992</v>
      </c>
      <c r="N4942" s="561">
        <v>1006.024</v>
      </c>
      <c r="O4942" s="561">
        <v>0</v>
      </c>
      <c r="P4942" s="561">
        <v>5251.8159999999989</v>
      </c>
      <c r="Q4942" s="561">
        <v>5251.8159999999989</v>
      </c>
    </row>
    <row r="4943" spans="1:111">
      <c r="A4943" s="561">
        <v>3</v>
      </c>
      <c r="B4943" s="561" t="s">
        <v>1652</v>
      </c>
      <c r="C4943" s="561" t="s">
        <v>1267</v>
      </c>
      <c r="D4943" s="561">
        <v>581794.15099999995</v>
      </c>
      <c r="E4943" s="561">
        <v>113327.04700000001</v>
      </c>
      <c r="F4943" s="561">
        <v>468467.10399999993</v>
      </c>
      <c r="G4943" s="561">
        <v>6765</v>
      </c>
      <c r="H4943" s="561">
        <v>597962.17599999998</v>
      </c>
      <c r="I4943" s="561">
        <v>399</v>
      </c>
      <c r="J4943" s="561">
        <v>16388.166649999999</v>
      </c>
      <c r="K4943" s="561">
        <v>6742</v>
      </c>
      <c r="L4943" s="561">
        <v>581794.15099999995</v>
      </c>
      <c r="M4943" s="561">
        <v>581794.15099999995</v>
      </c>
      <c r="N4943" s="561">
        <v>113327.04700000001</v>
      </c>
      <c r="O4943" s="561">
        <v>0</v>
      </c>
      <c r="P4943" s="561">
        <v>468467.10399999993</v>
      </c>
      <c r="Q4943" s="561">
        <v>468467.10399999993</v>
      </c>
    </row>
    <row r="4944" spans="1:111">
      <c r="C4944" s="561" t="s">
        <v>1197</v>
      </c>
      <c r="D4944" s="561">
        <v>579384.02599999995</v>
      </c>
      <c r="E4944" s="561">
        <v>112887.04700000001</v>
      </c>
      <c r="F4944" s="561">
        <v>466496.97899999993</v>
      </c>
      <c r="G4944" s="561">
        <v>6573</v>
      </c>
      <c r="H4944" s="561">
        <v>595437.13800000004</v>
      </c>
      <c r="I4944" s="561">
        <v>384</v>
      </c>
      <c r="J4944" s="561">
        <v>16285.61765</v>
      </c>
      <c r="K4944" s="561">
        <v>6561</v>
      </c>
      <c r="L4944" s="561">
        <v>579384.02599999995</v>
      </c>
      <c r="M4944" s="561">
        <v>579384.02599999995</v>
      </c>
      <c r="N4944" s="561">
        <v>112887.04700000001</v>
      </c>
      <c r="O4944" s="561">
        <v>0</v>
      </c>
      <c r="P4944" s="561">
        <v>466496.97899999993</v>
      </c>
      <c r="Q4944" s="561">
        <v>466496.97899999993</v>
      </c>
    </row>
    <row r="4945" spans="1:54">
      <c r="C4945" s="561" t="s">
        <v>1199</v>
      </c>
      <c r="D4945" s="561">
        <v>2410.125</v>
      </c>
      <c r="E4945" s="561">
        <v>440</v>
      </c>
      <c r="F4945" s="561">
        <v>1970.125</v>
      </c>
      <c r="G4945" s="561">
        <v>192</v>
      </c>
      <c r="H4945" s="561">
        <v>2525.038</v>
      </c>
      <c r="I4945" s="561">
        <v>15</v>
      </c>
      <c r="J4945" s="561">
        <v>102.54899999999999</v>
      </c>
      <c r="K4945" s="561">
        <v>181</v>
      </c>
      <c r="L4945" s="561">
        <v>2410.125</v>
      </c>
      <c r="M4945" s="561">
        <v>2410.125</v>
      </c>
      <c r="N4945" s="561">
        <v>440</v>
      </c>
      <c r="O4945" s="561">
        <v>0</v>
      </c>
      <c r="P4945" s="561">
        <v>1970.125</v>
      </c>
      <c r="Q4945" s="561">
        <v>1970.125</v>
      </c>
    </row>
    <row r="4946" spans="1:54">
      <c r="A4946" s="561">
        <v>4</v>
      </c>
      <c r="B4946" s="561" t="s">
        <v>1653</v>
      </c>
      <c r="C4946" s="561" t="s">
        <v>1267</v>
      </c>
      <c r="D4946" s="561">
        <v>59501.425999999999</v>
      </c>
      <c r="E4946" s="561">
        <v>17858.034</v>
      </c>
      <c r="F4946" s="561">
        <v>41643.392</v>
      </c>
      <c r="G4946" s="561">
        <v>1007</v>
      </c>
      <c r="H4946" s="561">
        <v>60602.487000000001</v>
      </c>
      <c r="I4946" s="561">
        <v>27</v>
      </c>
      <c r="J4946" s="561">
        <v>1101.0690000000002</v>
      </c>
      <c r="K4946" s="561">
        <v>992</v>
      </c>
      <c r="L4946" s="561">
        <v>59501.425999999999</v>
      </c>
      <c r="M4946" s="561">
        <v>59501.425999999999</v>
      </c>
      <c r="N4946" s="561">
        <v>17858.034</v>
      </c>
      <c r="O4946" s="561">
        <v>0</v>
      </c>
      <c r="P4946" s="561">
        <v>41643.392</v>
      </c>
      <c r="Q4946" s="561">
        <v>41643.392</v>
      </c>
    </row>
    <row r="4947" spans="1:54">
      <c r="C4947" s="561" t="s">
        <v>1197</v>
      </c>
      <c r="D4947" s="561">
        <v>58052.508000000002</v>
      </c>
      <c r="E4947" s="561">
        <v>17858.034</v>
      </c>
      <c r="F4947" s="561">
        <v>40194.474000000002</v>
      </c>
      <c r="G4947" s="561">
        <v>918</v>
      </c>
      <c r="H4947" s="561">
        <v>59089.534</v>
      </c>
      <c r="I4947" s="561">
        <v>23</v>
      </c>
      <c r="J4947" s="561">
        <v>1058.3790000000001</v>
      </c>
      <c r="K4947" s="561">
        <v>909</v>
      </c>
      <c r="L4947" s="561">
        <v>58052.508000000002</v>
      </c>
      <c r="M4947" s="561">
        <v>58052.508000000002</v>
      </c>
      <c r="N4947" s="561">
        <v>17858.034</v>
      </c>
      <c r="O4947" s="561">
        <v>0</v>
      </c>
      <c r="Q4947" s="561">
        <v>40194.474000000002</v>
      </c>
      <c r="AY4947" s="561">
        <v>40194.474000000002</v>
      </c>
    </row>
    <row r="4948" spans="1:54">
      <c r="C4948" s="561" t="s">
        <v>1199</v>
      </c>
      <c r="D4948" s="561">
        <v>1448.9179999999999</v>
      </c>
      <c r="E4948" s="561">
        <v>0</v>
      </c>
      <c r="F4948" s="561">
        <v>1448.9179999999999</v>
      </c>
      <c r="G4948" s="561">
        <v>89</v>
      </c>
      <c r="H4948" s="561">
        <v>1512.953</v>
      </c>
      <c r="I4948" s="561">
        <v>4</v>
      </c>
      <c r="J4948" s="561">
        <v>42.69</v>
      </c>
      <c r="K4948" s="561">
        <v>83</v>
      </c>
      <c r="L4948" s="561">
        <v>1448.9179999999999</v>
      </c>
      <c r="M4948" s="561">
        <v>1448.9179999999999</v>
      </c>
      <c r="N4948" s="561">
        <v>0</v>
      </c>
      <c r="O4948" s="561">
        <v>0</v>
      </c>
      <c r="P4948" s="561">
        <v>1448.9179999999999</v>
      </c>
      <c r="Q4948" s="561">
        <v>1448.9179999999999</v>
      </c>
    </row>
    <row r="4949" spans="1:54">
      <c r="A4949" s="561">
        <v>5</v>
      </c>
      <c r="B4949" s="561" t="s">
        <v>1654</v>
      </c>
      <c r="C4949" s="561" t="s">
        <v>1267</v>
      </c>
      <c r="D4949" s="561">
        <v>768299.09199999995</v>
      </c>
      <c r="E4949" s="561">
        <v>214331.47099999999</v>
      </c>
      <c r="F4949" s="561">
        <v>553967.62099999993</v>
      </c>
      <c r="G4949" s="561">
        <v>12383</v>
      </c>
      <c r="H4949" s="561">
        <v>822984.04499999993</v>
      </c>
      <c r="I4949" s="561">
        <v>1398</v>
      </c>
      <c r="J4949" s="561">
        <v>51528.459659999993</v>
      </c>
      <c r="K4949" s="561">
        <v>12226</v>
      </c>
      <c r="L4949" s="561">
        <v>768299.09199999995</v>
      </c>
      <c r="M4949" s="561">
        <v>768299.09199999995</v>
      </c>
      <c r="N4949" s="561">
        <v>214331.47099999999</v>
      </c>
      <c r="O4949" s="561">
        <v>0</v>
      </c>
      <c r="P4949" s="561">
        <v>553967.62099999993</v>
      </c>
      <c r="Q4949" s="561">
        <v>553967.62099999993</v>
      </c>
    </row>
    <row r="4950" spans="1:54">
      <c r="C4950" s="561" t="s">
        <v>1197</v>
      </c>
      <c r="D4950" s="561">
        <v>764980.28599999996</v>
      </c>
      <c r="E4950" s="561">
        <v>214151.47099999999</v>
      </c>
      <c r="F4950" s="561">
        <v>550828.81499999994</v>
      </c>
      <c r="G4950" s="561">
        <v>12181</v>
      </c>
      <c r="H4950" s="561">
        <v>819567.62299999991</v>
      </c>
      <c r="I4950" s="561">
        <v>1386</v>
      </c>
      <c r="J4950" s="561">
        <v>51434.940659999993</v>
      </c>
      <c r="K4950" s="561">
        <v>12031</v>
      </c>
      <c r="L4950" s="561">
        <v>764980.28599999996</v>
      </c>
      <c r="M4950" s="561">
        <v>764980.28599999996</v>
      </c>
      <c r="N4950" s="561">
        <v>214151.47099999999</v>
      </c>
      <c r="O4950" s="561">
        <v>0</v>
      </c>
      <c r="Q4950" s="561">
        <v>550828.81499999994</v>
      </c>
      <c r="AL4950" s="561">
        <v>550828.81499999994</v>
      </c>
    </row>
    <row r="4951" spans="1:54">
      <c r="C4951" s="561" t="s">
        <v>1199</v>
      </c>
      <c r="D4951" s="561">
        <v>3318.8059999999996</v>
      </c>
      <c r="E4951" s="561">
        <v>180</v>
      </c>
      <c r="F4951" s="561">
        <v>3138.8059999999996</v>
      </c>
      <c r="G4951" s="561">
        <v>202</v>
      </c>
      <c r="H4951" s="561">
        <v>3416.422</v>
      </c>
      <c r="I4951" s="561">
        <v>12</v>
      </c>
      <c r="J4951" s="561">
        <v>93.519000000000005</v>
      </c>
      <c r="K4951" s="561">
        <v>195</v>
      </c>
      <c r="L4951" s="561">
        <v>3318.8059999999996</v>
      </c>
      <c r="M4951" s="561">
        <v>3318.8059999999996</v>
      </c>
      <c r="N4951" s="561">
        <v>180</v>
      </c>
      <c r="O4951" s="561">
        <v>0</v>
      </c>
      <c r="P4951" s="561">
        <v>3138.8059999999996</v>
      </c>
      <c r="Q4951" s="561">
        <v>3138.8059999999996</v>
      </c>
    </row>
    <row r="4952" spans="1:54">
      <c r="A4952" s="561">
        <v>6</v>
      </c>
      <c r="B4952" s="561" t="s">
        <v>1655</v>
      </c>
      <c r="C4952" s="561" t="s">
        <v>1267</v>
      </c>
      <c r="D4952" s="561">
        <v>185388.36899999998</v>
      </c>
      <c r="E4952" s="561">
        <v>58697.154999999999</v>
      </c>
      <c r="F4952" s="561">
        <v>126691.21399999998</v>
      </c>
      <c r="G4952" s="561">
        <v>3749</v>
      </c>
      <c r="H4952" s="561">
        <v>189636.75899999999</v>
      </c>
      <c r="I4952" s="561">
        <v>209</v>
      </c>
      <c r="J4952" s="561">
        <v>4985.5875799999985</v>
      </c>
      <c r="K4952" s="561">
        <v>3687</v>
      </c>
      <c r="L4952" s="561">
        <v>185388.36899999998</v>
      </c>
      <c r="M4952" s="561">
        <v>185388.36899999998</v>
      </c>
      <c r="N4952" s="561">
        <v>58697.154999999999</v>
      </c>
      <c r="O4952" s="561">
        <v>0</v>
      </c>
      <c r="P4952" s="561">
        <v>126691.21399999998</v>
      </c>
      <c r="Q4952" s="561">
        <v>126691.21399999998</v>
      </c>
    </row>
    <row r="4953" spans="1:54">
      <c r="C4953" s="561" t="s">
        <v>1197</v>
      </c>
      <c r="D4953" s="561">
        <v>170549.11199999996</v>
      </c>
      <c r="E4953" s="561">
        <v>55604.15</v>
      </c>
      <c r="F4953" s="561">
        <v>114944.96199999997</v>
      </c>
      <c r="G4953" s="561">
        <v>2552</v>
      </c>
      <c r="H4953" s="561">
        <v>174311.704</v>
      </c>
      <c r="I4953" s="561">
        <v>142</v>
      </c>
      <c r="J4953" s="561">
        <v>4575.0553799999989</v>
      </c>
      <c r="K4953" s="561">
        <v>2543</v>
      </c>
      <c r="L4953" s="561">
        <v>170549.11199999996</v>
      </c>
      <c r="M4953" s="561">
        <v>170549.11199999996</v>
      </c>
      <c r="N4953" s="561">
        <v>55604.15</v>
      </c>
      <c r="O4953" s="561">
        <v>0</v>
      </c>
      <c r="Q4953" s="561">
        <v>114944.96199999997</v>
      </c>
      <c r="AL4953" s="561">
        <v>114944.96199999997</v>
      </c>
    </row>
    <row r="4954" spans="1:54">
      <c r="C4954" s="561" t="s">
        <v>1199</v>
      </c>
      <c r="D4954" s="561">
        <v>14839.257</v>
      </c>
      <c r="E4954" s="561">
        <v>3093.0050000000001</v>
      </c>
      <c r="F4954" s="561">
        <v>11746.252</v>
      </c>
      <c r="G4954" s="561">
        <v>1197</v>
      </c>
      <c r="H4954" s="561">
        <v>15325.055</v>
      </c>
      <c r="I4954" s="561">
        <v>67</v>
      </c>
      <c r="J4954" s="561">
        <v>410.53219999999999</v>
      </c>
      <c r="K4954" s="561">
        <v>1144</v>
      </c>
      <c r="L4954" s="561">
        <v>14839.257</v>
      </c>
      <c r="M4954" s="561">
        <v>14839.257</v>
      </c>
      <c r="N4954" s="561">
        <v>3093.0050000000001</v>
      </c>
      <c r="O4954" s="561">
        <v>0</v>
      </c>
      <c r="P4954" s="561">
        <v>11746.252</v>
      </c>
      <c r="Q4954" s="561">
        <v>11746.252</v>
      </c>
    </row>
    <row r="4955" spans="1:54">
      <c r="A4955" s="561">
        <v>7</v>
      </c>
      <c r="B4955" s="561" t="s">
        <v>1656</v>
      </c>
      <c r="C4955" s="561" t="s">
        <v>1267</v>
      </c>
      <c r="D4955" s="561">
        <v>610985.55299999996</v>
      </c>
      <c r="E4955" s="561">
        <v>142194.84399999998</v>
      </c>
      <c r="F4955" s="561">
        <v>468790.70900000003</v>
      </c>
      <c r="G4955" s="561">
        <v>12415</v>
      </c>
      <c r="H4955" s="561">
        <v>628302.44400000013</v>
      </c>
      <c r="I4955" s="561">
        <v>1002</v>
      </c>
      <c r="J4955" s="561">
        <v>15708.070470000001</v>
      </c>
      <c r="K4955" s="561">
        <v>12381</v>
      </c>
      <c r="L4955" s="561">
        <v>610985.55299999996</v>
      </c>
      <c r="M4955" s="561">
        <v>610985.55299999996</v>
      </c>
      <c r="N4955" s="561">
        <v>142194.84399999998</v>
      </c>
      <c r="O4955" s="561">
        <v>0</v>
      </c>
      <c r="P4955" s="561">
        <v>468790.70900000003</v>
      </c>
      <c r="Q4955" s="561">
        <v>468790.70900000003</v>
      </c>
    </row>
    <row r="4956" spans="1:54">
      <c r="C4956" s="561" t="s">
        <v>1197</v>
      </c>
      <c r="D4956" s="561">
        <v>581827.66899999999</v>
      </c>
      <c r="E4956" s="561">
        <v>135402.658</v>
      </c>
      <c r="F4956" s="561">
        <v>446425.011</v>
      </c>
      <c r="G4956" s="561">
        <v>10050</v>
      </c>
      <c r="H4956" s="561">
        <v>598922.99200000009</v>
      </c>
      <c r="I4956" s="561">
        <v>973</v>
      </c>
      <c r="J4956" s="561">
        <v>15490.502470000001</v>
      </c>
      <c r="K4956" s="561">
        <v>10026</v>
      </c>
      <c r="L4956" s="561">
        <v>581827.66899999999</v>
      </c>
      <c r="M4956" s="561">
        <v>581827.66899999999</v>
      </c>
      <c r="N4956" s="561">
        <v>135402.658</v>
      </c>
      <c r="O4956" s="561">
        <v>0</v>
      </c>
      <c r="Q4956" s="561">
        <v>446425.011</v>
      </c>
      <c r="BB4956" s="561">
        <v>446425.011</v>
      </c>
    </row>
    <row r="4957" spans="1:54">
      <c r="C4957" s="561" t="s">
        <v>1199</v>
      </c>
      <c r="D4957" s="561">
        <v>29157.884000000002</v>
      </c>
      <c r="E4957" s="561">
        <v>6792.1859999999997</v>
      </c>
      <c r="F4957" s="561">
        <v>22365.698000000004</v>
      </c>
      <c r="G4957" s="561">
        <v>2365</v>
      </c>
      <c r="H4957" s="561">
        <v>29379.452000000001</v>
      </c>
      <c r="I4957" s="561">
        <v>29</v>
      </c>
      <c r="J4957" s="561">
        <v>217.56799999999998</v>
      </c>
      <c r="K4957" s="561">
        <v>2355</v>
      </c>
      <c r="L4957" s="561">
        <v>29157.884000000002</v>
      </c>
      <c r="M4957" s="561">
        <v>29157.884000000002</v>
      </c>
      <c r="N4957" s="561">
        <v>6792.1859999999997</v>
      </c>
      <c r="O4957" s="561">
        <v>0</v>
      </c>
      <c r="P4957" s="561">
        <v>22365.698000000004</v>
      </c>
      <c r="Q4957" s="561">
        <v>22365.698000000004</v>
      </c>
    </row>
    <row r="4958" spans="1:54">
      <c r="A4958" s="561">
        <v>8</v>
      </c>
      <c r="B4958" s="561" t="s">
        <v>1657</v>
      </c>
      <c r="C4958" s="561" t="s">
        <v>1267</v>
      </c>
      <c r="D4958" s="561">
        <v>270260.57599999994</v>
      </c>
      <c r="E4958" s="561">
        <v>67989.237999999998</v>
      </c>
      <c r="F4958" s="561">
        <v>202271.33799999993</v>
      </c>
      <c r="G4958" s="561">
        <v>4458</v>
      </c>
      <c r="H4958" s="561">
        <v>278756.17300000001</v>
      </c>
      <c r="I4958" s="561">
        <v>373</v>
      </c>
      <c r="J4958" s="561">
        <v>9082.9364300000016</v>
      </c>
      <c r="K4958" s="561">
        <v>4435</v>
      </c>
      <c r="L4958" s="561">
        <v>270260.57599999994</v>
      </c>
      <c r="M4958" s="561">
        <v>270260.57599999994</v>
      </c>
      <c r="N4958" s="561">
        <v>67989.237999999998</v>
      </c>
      <c r="O4958" s="561">
        <v>0</v>
      </c>
      <c r="P4958" s="561">
        <v>202271.33799999993</v>
      </c>
      <c r="Q4958" s="561">
        <v>202271.33799999993</v>
      </c>
    </row>
    <row r="4959" spans="1:54">
      <c r="C4959" s="561" t="s">
        <v>1197</v>
      </c>
      <c r="D4959" s="561">
        <v>267791.90599999996</v>
      </c>
      <c r="E4959" s="561">
        <v>67589.982000000004</v>
      </c>
      <c r="F4959" s="561">
        <v>200201.92399999994</v>
      </c>
      <c r="G4959" s="561">
        <v>4284</v>
      </c>
      <c r="H4959" s="561">
        <v>275481.125</v>
      </c>
      <c r="I4959" s="561">
        <v>366</v>
      </c>
      <c r="J4959" s="561">
        <v>9053.2766400000019</v>
      </c>
      <c r="K4959" s="561">
        <v>4266</v>
      </c>
      <c r="L4959" s="561">
        <v>267791.90599999996</v>
      </c>
      <c r="M4959" s="561">
        <v>267791.90599999996</v>
      </c>
      <c r="N4959" s="561">
        <v>67589.982000000004</v>
      </c>
      <c r="O4959" s="561">
        <v>0</v>
      </c>
      <c r="Q4959" s="561">
        <v>200201.92399999994</v>
      </c>
      <c r="AL4959" s="561">
        <v>200201.92399999994</v>
      </c>
    </row>
    <row r="4960" spans="1:54">
      <c r="C4960" s="561" t="s">
        <v>1199</v>
      </c>
      <c r="D4960" s="561">
        <v>2468.67</v>
      </c>
      <c r="E4960" s="561">
        <v>399.25599999999997</v>
      </c>
      <c r="F4960" s="561">
        <v>2069.4140000000002</v>
      </c>
      <c r="G4960" s="561">
        <v>174</v>
      </c>
      <c r="H4960" s="561">
        <v>3275.0479999999998</v>
      </c>
      <c r="I4960" s="561">
        <v>7</v>
      </c>
      <c r="J4960" s="561">
        <v>29.659789999999997</v>
      </c>
      <c r="K4960" s="561">
        <v>169</v>
      </c>
      <c r="L4960" s="561">
        <v>2468.67</v>
      </c>
      <c r="M4960" s="561">
        <v>2468.67</v>
      </c>
      <c r="N4960" s="561">
        <v>399.25599999999997</v>
      </c>
      <c r="O4960" s="561">
        <v>0</v>
      </c>
      <c r="P4960" s="561">
        <v>2069.4140000000002</v>
      </c>
      <c r="Q4960" s="561">
        <v>2069.4140000000002</v>
      </c>
    </row>
    <row r="4961" spans="1:54">
      <c r="A4961" s="561">
        <v>9</v>
      </c>
      <c r="B4961" s="561" t="s">
        <v>1658</v>
      </c>
      <c r="C4961" s="561" t="s">
        <v>1267</v>
      </c>
      <c r="D4961" s="561">
        <v>729342.79200000013</v>
      </c>
      <c r="E4961" s="561">
        <v>188860.66899999999</v>
      </c>
      <c r="F4961" s="561">
        <v>540482.12300000014</v>
      </c>
      <c r="G4961" s="561">
        <v>9285</v>
      </c>
      <c r="H4961" s="561">
        <v>764139.49199999997</v>
      </c>
      <c r="I4961" s="561">
        <v>845</v>
      </c>
      <c r="J4961" s="561">
        <v>36900.381239999995</v>
      </c>
      <c r="K4961" s="561">
        <v>9288</v>
      </c>
      <c r="L4961" s="561">
        <v>729342.79200000013</v>
      </c>
      <c r="M4961" s="561">
        <v>729342.79200000013</v>
      </c>
      <c r="N4961" s="561">
        <v>188860.66899999999</v>
      </c>
      <c r="O4961" s="561">
        <v>0</v>
      </c>
      <c r="P4961" s="561">
        <v>540482.12300000014</v>
      </c>
      <c r="Q4961" s="561">
        <v>540482.12300000014</v>
      </c>
    </row>
    <row r="4962" spans="1:54">
      <c r="C4962" s="561" t="s">
        <v>1197</v>
      </c>
      <c r="D4962" s="561">
        <v>594138.94900000014</v>
      </c>
      <c r="E4962" s="561">
        <v>175241.64600000001</v>
      </c>
      <c r="F4962" s="561">
        <v>418897.30300000013</v>
      </c>
      <c r="G4962" s="561">
        <v>7981</v>
      </c>
      <c r="H4962" s="561">
        <v>618490.14300000004</v>
      </c>
      <c r="I4962" s="561">
        <v>756</v>
      </c>
      <c r="J4962" s="561">
        <v>26265.804259999997</v>
      </c>
      <c r="K4962" s="561">
        <v>7991</v>
      </c>
      <c r="L4962" s="561">
        <v>594138.94900000014</v>
      </c>
      <c r="M4962" s="561">
        <v>594138.94900000014</v>
      </c>
      <c r="N4962" s="561">
        <v>175241.64600000001</v>
      </c>
      <c r="O4962" s="561">
        <v>0</v>
      </c>
      <c r="Q4962" s="561">
        <v>418897.30300000013</v>
      </c>
      <c r="AL4962" s="561">
        <v>418897.30300000013</v>
      </c>
    </row>
    <row r="4963" spans="1:54">
      <c r="C4963" s="561" t="s">
        <v>1198</v>
      </c>
      <c r="D4963" s="561">
        <v>121646.245</v>
      </c>
      <c r="E4963" s="561">
        <v>10800</v>
      </c>
      <c r="F4963" s="561">
        <v>110846.245</v>
      </c>
      <c r="G4963" s="561">
        <v>334</v>
      </c>
      <c r="H4963" s="561">
        <v>131962.47899999999</v>
      </c>
      <c r="I4963" s="561">
        <v>69</v>
      </c>
      <c r="J4963" s="561">
        <v>10505.899010000001</v>
      </c>
      <c r="K4963" s="561">
        <v>335</v>
      </c>
      <c r="L4963" s="561">
        <v>121646.245</v>
      </c>
      <c r="M4963" s="561">
        <v>121646.245</v>
      </c>
      <c r="N4963" s="561">
        <v>10800</v>
      </c>
      <c r="O4963" s="561">
        <v>0</v>
      </c>
      <c r="P4963" s="561">
        <v>110846.245</v>
      </c>
      <c r="Q4963" s="561">
        <v>110846.245</v>
      </c>
    </row>
    <row r="4964" spans="1:54">
      <c r="C4964" s="561" t="s">
        <v>1199</v>
      </c>
      <c r="D4964" s="561">
        <v>13557.598000000002</v>
      </c>
      <c r="E4964" s="561">
        <v>2819.0230000000001</v>
      </c>
      <c r="F4964" s="561">
        <v>10738.575000000001</v>
      </c>
      <c r="G4964" s="561">
        <v>970</v>
      </c>
      <c r="H4964" s="561">
        <v>13686.87</v>
      </c>
      <c r="I4964" s="561">
        <v>20</v>
      </c>
      <c r="J4964" s="561">
        <v>128.67796999999999</v>
      </c>
      <c r="K4964" s="561">
        <v>962</v>
      </c>
      <c r="L4964" s="561">
        <v>13557.598000000002</v>
      </c>
      <c r="M4964" s="561">
        <v>13557.598000000002</v>
      </c>
      <c r="N4964" s="561">
        <v>2819.0230000000001</v>
      </c>
      <c r="O4964" s="561">
        <v>0</v>
      </c>
      <c r="P4964" s="561">
        <v>10738.575000000001</v>
      </c>
      <c r="Q4964" s="561">
        <v>10738.575000000001</v>
      </c>
    </row>
    <row r="4965" spans="1:54">
      <c r="A4965" s="561">
        <v>10</v>
      </c>
      <c r="B4965" s="561" t="s">
        <v>1659</v>
      </c>
      <c r="C4965" s="561" t="s">
        <v>1267</v>
      </c>
      <c r="D4965" s="561">
        <v>181976.783</v>
      </c>
      <c r="E4965" s="561">
        <v>53099.807000000001</v>
      </c>
      <c r="F4965" s="561">
        <v>128876.976</v>
      </c>
      <c r="G4965" s="561">
        <v>3262</v>
      </c>
      <c r="H4965" s="561">
        <v>191246.96800000002</v>
      </c>
      <c r="I4965" s="561">
        <v>238</v>
      </c>
      <c r="J4965" s="561">
        <v>8853.7213699999975</v>
      </c>
      <c r="K4965" s="561">
        <v>3204</v>
      </c>
      <c r="L4965" s="561">
        <v>181976.783</v>
      </c>
      <c r="M4965" s="561">
        <v>181976.783</v>
      </c>
      <c r="N4965" s="561">
        <v>53099.807000000001</v>
      </c>
      <c r="O4965" s="561">
        <v>0</v>
      </c>
      <c r="P4965" s="561">
        <v>128876.976</v>
      </c>
      <c r="Q4965" s="561">
        <v>128876.976</v>
      </c>
    </row>
    <row r="4966" spans="1:54">
      <c r="C4966" s="561" t="s">
        <v>1197</v>
      </c>
      <c r="D4966" s="561">
        <v>174008.75399999999</v>
      </c>
      <c r="E4966" s="561">
        <v>51231.017</v>
      </c>
      <c r="F4966" s="561">
        <v>122777.73699999999</v>
      </c>
      <c r="G4966" s="561">
        <v>2696</v>
      </c>
      <c r="H4966" s="561">
        <v>182936.52600000001</v>
      </c>
      <c r="I4966" s="561">
        <v>220</v>
      </c>
      <c r="J4966" s="561">
        <v>8763.7499999999982</v>
      </c>
      <c r="K4966" s="561">
        <v>2659</v>
      </c>
      <c r="L4966" s="561">
        <v>174008.75399999999</v>
      </c>
      <c r="M4966" s="561">
        <v>174008.75399999999</v>
      </c>
      <c r="N4966" s="561">
        <v>51231.017</v>
      </c>
      <c r="O4966" s="561">
        <v>0</v>
      </c>
      <c r="Q4966" s="561">
        <v>122777.73699999999</v>
      </c>
      <c r="AL4966" s="561">
        <v>122777.73699999999</v>
      </c>
    </row>
    <row r="4967" spans="1:54">
      <c r="C4967" s="561" t="s">
        <v>1199</v>
      </c>
      <c r="D4967" s="561">
        <v>7968.0289999999995</v>
      </c>
      <c r="E4967" s="561">
        <v>1868.79</v>
      </c>
      <c r="F4967" s="561">
        <v>6099.2389999999996</v>
      </c>
      <c r="G4967" s="561">
        <v>566</v>
      </c>
      <c r="H4967" s="561">
        <v>8310.4419999999991</v>
      </c>
      <c r="I4967" s="561">
        <v>18</v>
      </c>
      <c r="J4967" s="561">
        <v>89.971369999999993</v>
      </c>
      <c r="K4967" s="561">
        <v>545</v>
      </c>
      <c r="L4967" s="561">
        <v>7968.0289999999995</v>
      </c>
      <c r="M4967" s="561">
        <v>7968.0289999999995</v>
      </c>
      <c r="N4967" s="561">
        <v>1868.79</v>
      </c>
      <c r="O4967" s="561">
        <v>0</v>
      </c>
      <c r="P4967" s="561">
        <v>6099.2389999999996</v>
      </c>
      <c r="Q4967" s="561">
        <v>6099.2389999999996</v>
      </c>
    </row>
    <row r="4968" spans="1:54">
      <c r="A4968" s="561">
        <v>11</v>
      </c>
      <c r="B4968" s="561" t="s">
        <v>1660</v>
      </c>
      <c r="C4968" s="561" t="s">
        <v>1267</v>
      </c>
      <c r="D4968" s="561">
        <v>276977.31699999998</v>
      </c>
      <c r="E4968" s="561">
        <v>77834.816999999995</v>
      </c>
      <c r="F4968" s="561">
        <v>199142.5</v>
      </c>
      <c r="G4968" s="561">
        <v>7088</v>
      </c>
      <c r="H4968" s="561">
        <v>282757.91899999999</v>
      </c>
      <c r="I4968" s="561">
        <v>495</v>
      </c>
      <c r="J4968" s="561">
        <v>5219.0483599999998</v>
      </c>
      <c r="K4968" s="561">
        <v>7069</v>
      </c>
      <c r="L4968" s="561">
        <v>276977.31699999998</v>
      </c>
      <c r="M4968" s="561">
        <v>276977.31699999998</v>
      </c>
      <c r="N4968" s="561">
        <v>77834.816999999995</v>
      </c>
      <c r="O4968" s="561">
        <v>0</v>
      </c>
      <c r="P4968" s="561">
        <v>199142.5</v>
      </c>
      <c r="Q4968" s="561">
        <v>199142.5</v>
      </c>
    </row>
    <row r="4969" spans="1:54">
      <c r="C4969" s="561" t="s">
        <v>1197</v>
      </c>
      <c r="D4969" s="561">
        <v>245226.44899999999</v>
      </c>
      <c r="E4969" s="561">
        <v>70373.59</v>
      </c>
      <c r="F4969" s="561">
        <v>174852.859</v>
      </c>
      <c r="G4969" s="561">
        <v>4627</v>
      </c>
      <c r="H4969" s="561">
        <v>250233.76199999999</v>
      </c>
      <c r="I4969" s="561">
        <v>365</v>
      </c>
      <c r="J4969" s="561">
        <v>4538.9934899999998</v>
      </c>
      <c r="K4969" s="561">
        <v>4616</v>
      </c>
      <c r="L4969" s="561">
        <v>245226.44899999999</v>
      </c>
      <c r="M4969" s="561">
        <v>245226.44899999999</v>
      </c>
      <c r="N4969" s="561">
        <v>70373.59</v>
      </c>
      <c r="O4969" s="561">
        <v>0</v>
      </c>
      <c r="Q4969" s="561">
        <v>174852.859</v>
      </c>
      <c r="BB4969" s="561">
        <v>174852.859</v>
      </c>
    </row>
    <row r="4970" spans="1:54">
      <c r="C4970" s="561" t="s">
        <v>1199</v>
      </c>
      <c r="D4970" s="561">
        <v>31750.868000000002</v>
      </c>
      <c r="E4970" s="561">
        <v>7461.2269999999999</v>
      </c>
      <c r="F4970" s="561">
        <v>24289.641000000003</v>
      </c>
      <c r="G4970" s="561">
        <v>2461</v>
      </c>
      <c r="H4970" s="561">
        <v>32524.156999999999</v>
      </c>
      <c r="I4970" s="561">
        <v>130</v>
      </c>
      <c r="J4970" s="561">
        <v>680.05487000000005</v>
      </c>
      <c r="K4970" s="561">
        <v>2453</v>
      </c>
      <c r="L4970" s="561">
        <v>31750.868000000002</v>
      </c>
      <c r="M4970" s="561">
        <v>31750.868000000002</v>
      </c>
      <c r="N4970" s="561">
        <v>7461.2269999999999</v>
      </c>
      <c r="O4970" s="561">
        <v>0</v>
      </c>
      <c r="P4970" s="561">
        <v>24289.641000000003</v>
      </c>
      <c r="Q4970" s="561">
        <v>24289.641000000003</v>
      </c>
    </row>
    <row r="4971" spans="1:54">
      <c r="A4971" s="561">
        <v>12</v>
      </c>
      <c r="B4971" s="561" t="s">
        <v>1661</v>
      </c>
      <c r="C4971" s="561" t="s">
        <v>1267</v>
      </c>
      <c r="D4971" s="561">
        <v>8384.8189999999995</v>
      </c>
      <c r="E4971" s="561">
        <v>3741.4529999999995</v>
      </c>
      <c r="F4971" s="561">
        <v>4643.366</v>
      </c>
      <c r="G4971" s="561">
        <v>132</v>
      </c>
      <c r="H4971" s="561">
        <v>8701.7450000000008</v>
      </c>
      <c r="I4971" s="561">
        <v>12</v>
      </c>
      <c r="J4971" s="561">
        <v>316.92700000000002</v>
      </c>
      <c r="K4971" s="561">
        <v>130</v>
      </c>
      <c r="L4971" s="561">
        <v>8384.8189999999995</v>
      </c>
      <c r="M4971" s="561">
        <v>8384.8189999999995</v>
      </c>
      <c r="N4971" s="561">
        <v>3741.4530000000004</v>
      </c>
      <c r="O4971" s="561">
        <v>0</v>
      </c>
      <c r="P4971" s="561">
        <v>4643.3659999999991</v>
      </c>
      <c r="Q4971" s="561">
        <v>4643.3659999999991</v>
      </c>
    </row>
    <row r="4972" spans="1:54">
      <c r="C4972" s="561" t="s">
        <v>1197</v>
      </c>
      <c r="D4972" s="561">
        <v>8384.8189999999995</v>
      </c>
      <c r="E4972" s="561">
        <v>3741.4529999999995</v>
      </c>
      <c r="F4972" s="561">
        <v>4643.366</v>
      </c>
      <c r="G4972" s="561">
        <v>132</v>
      </c>
      <c r="H4972" s="561">
        <v>8701.7450000000008</v>
      </c>
      <c r="I4972" s="561">
        <v>12</v>
      </c>
      <c r="J4972" s="561">
        <v>316.92700000000002</v>
      </c>
      <c r="K4972" s="561">
        <v>130</v>
      </c>
      <c r="L4972" s="561">
        <v>8384.8189999999995</v>
      </c>
      <c r="M4972" s="561">
        <v>8384.8189999999995</v>
      </c>
      <c r="N4972" s="561">
        <v>3741.4530000000004</v>
      </c>
      <c r="O4972" s="561">
        <v>0</v>
      </c>
      <c r="Q4972" s="561">
        <v>4643.3659999999991</v>
      </c>
      <c r="AY4972" s="561">
        <v>4643.3659999999991</v>
      </c>
    </row>
    <row r="4973" spans="1:54">
      <c r="C4973" s="561" t="s">
        <v>1199</v>
      </c>
      <c r="D4973" s="561">
        <v>0</v>
      </c>
      <c r="F4973" s="561">
        <v>0</v>
      </c>
      <c r="G4973" s="561">
        <v>0</v>
      </c>
      <c r="H4973" s="561">
        <v>0</v>
      </c>
      <c r="I4973" s="561">
        <v>0</v>
      </c>
      <c r="J4973" s="561">
        <v>0</v>
      </c>
      <c r="K4973" s="561">
        <v>0</v>
      </c>
      <c r="L4973" s="561">
        <v>0</v>
      </c>
      <c r="M4973" s="561">
        <v>0</v>
      </c>
      <c r="N4973" s="561">
        <v>0</v>
      </c>
      <c r="O4973" s="561">
        <v>0</v>
      </c>
      <c r="P4973" s="561">
        <v>0</v>
      </c>
      <c r="Q4973" s="561">
        <v>0</v>
      </c>
    </row>
    <row r="4974" spans="1:54">
      <c r="A4974" s="561">
        <v>13</v>
      </c>
      <c r="B4974" s="561" t="s">
        <v>1662</v>
      </c>
      <c r="C4974" s="561" t="s">
        <v>1267</v>
      </c>
      <c r="D4974" s="561">
        <v>63892.725000000006</v>
      </c>
      <c r="E4974" s="561">
        <v>18955.050999999999</v>
      </c>
      <c r="F4974" s="561">
        <v>44937.674000000006</v>
      </c>
      <c r="G4974" s="561">
        <v>1376</v>
      </c>
      <c r="H4974" s="561">
        <v>68126.115000000005</v>
      </c>
      <c r="I4974" s="561">
        <v>170</v>
      </c>
      <c r="J4974" s="561">
        <v>4005.7618299999999</v>
      </c>
      <c r="K4974" s="561">
        <v>1360</v>
      </c>
      <c r="L4974" s="561">
        <v>63892.725000000006</v>
      </c>
      <c r="M4974" s="561">
        <v>63892.725000000006</v>
      </c>
      <c r="N4974" s="561">
        <v>18955.050999999999</v>
      </c>
      <c r="O4974" s="561">
        <v>0</v>
      </c>
      <c r="P4974" s="561">
        <v>44937.674000000006</v>
      </c>
      <c r="Q4974" s="561">
        <v>44937.674000000006</v>
      </c>
    </row>
    <row r="4975" spans="1:54">
      <c r="C4975" s="561" t="s">
        <v>1197</v>
      </c>
      <c r="D4975" s="561">
        <v>61011.923000000003</v>
      </c>
      <c r="E4975" s="561">
        <v>18355.050999999999</v>
      </c>
      <c r="F4975" s="561">
        <v>42656.872000000003</v>
      </c>
      <c r="G4975" s="561">
        <v>1170</v>
      </c>
      <c r="H4975" s="561">
        <v>65121.925000000003</v>
      </c>
      <c r="I4975" s="561">
        <v>150</v>
      </c>
      <c r="J4975" s="561">
        <v>3882.3717099999999</v>
      </c>
      <c r="K4975" s="561">
        <v>1158</v>
      </c>
      <c r="L4975" s="561">
        <v>61011.923000000003</v>
      </c>
      <c r="M4975" s="561">
        <v>61011.923000000003</v>
      </c>
      <c r="N4975" s="561">
        <v>18355.050999999999</v>
      </c>
      <c r="O4975" s="561">
        <v>0</v>
      </c>
      <c r="Q4975" s="561">
        <v>42656.872000000003</v>
      </c>
      <c r="AL4975" s="561">
        <v>42656.872000000003</v>
      </c>
    </row>
    <row r="4976" spans="1:54">
      <c r="C4976" s="561" t="s">
        <v>1199</v>
      </c>
      <c r="D4976" s="561">
        <v>2880.8020000000001</v>
      </c>
      <c r="E4976" s="561">
        <v>600</v>
      </c>
      <c r="F4976" s="561">
        <v>2280.8020000000001</v>
      </c>
      <c r="G4976" s="561">
        <v>206</v>
      </c>
      <c r="H4976" s="561">
        <v>3004.19</v>
      </c>
      <c r="I4976" s="561">
        <v>20</v>
      </c>
      <c r="J4976" s="561">
        <v>123.39012</v>
      </c>
      <c r="K4976" s="561">
        <v>202</v>
      </c>
      <c r="L4976" s="561">
        <v>2880.8020000000001</v>
      </c>
      <c r="M4976" s="561">
        <v>2880.8020000000001</v>
      </c>
      <c r="N4976" s="561">
        <v>600</v>
      </c>
      <c r="O4976" s="561">
        <v>0</v>
      </c>
      <c r="P4976" s="561">
        <v>2280.8020000000001</v>
      </c>
      <c r="Q4976" s="561">
        <v>2280.8020000000001</v>
      </c>
    </row>
    <row r="4977" spans="1:54">
      <c r="A4977" s="561">
        <v>14</v>
      </c>
      <c r="B4977" s="561" t="s">
        <v>1663</v>
      </c>
      <c r="C4977" s="561" t="s">
        <v>1267</v>
      </c>
      <c r="D4977" s="561">
        <v>274877.17099999997</v>
      </c>
      <c r="E4977" s="561">
        <v>76393.2</v>
      </c>
      <c r="F4977" s="561">
        <v>198483.97099999999</v>
      </c>
      <c r="G4977" s="561">
        <v>6281</v>
      </c>
      <c r="H4977" s="561">
        <v>306022.04399999999</v>
      </c>
      <c r="I4977" s="561">
        <v>917</v>
      </c>
      <c r="J4977" s="561">
        <v>30981.809919999996</v>
      </c>
      <c r="K4977" s="561">
        <v>6187</v>
      </c>
      <c r="L4977" s="561">
        <v>274877.17099999997</v>
      </c>
      <c r="M4977" s="561">
        <v>274877.17099999997</v>
      </c>
      <c r="N4977" s="561">
        <v>76393.2</v>
      </c>
      <c r="O4977" s="561">
        <v>0</v>
      </c>
      <c r="P4977" s="561">
        <v>198483.97099999999</v>
      </c>
      <c r="Q4977" s="561">
        <v>198483.97099999999</v>
      </c>
    </row>
    <row r="4978" spans="1:54">
      <c r="C4978" s="561" t="s">
        <v>1197</v>
      </c>
      <c r="D4978" s="561">
        <v>249706.185</v>
      </c>
      <c r="E4978" s="561">
        <v>72163.199999999997</v>
      </c>
      <c r="F4978" s="561">
        <v>177542.98499999999</v>
      </c>
      <c r="G4978" s="561">
        <v>4294</v>
      </c>
      <c r="H4978" s="561">
        <v>279533.84399999998</v>
      </c>
      <c r="I4978" s="561">
        <v>775</v>
      </c>
      <c r="J4978" s="561">
        <v>29577.575619999996</v>
      </c>
      <c r="K4978" s="561">
        <v>4254</v>
      </c>
      <c r="L4978" s="561">
        <v>249706.185</v>
      </c>
      <c r="M4978" s="561">
        <v>249706.185</v>
      </c>
      <c r="N4978" s="561">
        <v>72163.199999999997</v>
      </c>
      <c r="O4978" s="561">
        <v>0</v>
      </c>
      <c r="Q4978" s="561">
        <v>177542.98499999999</v>
      </c>
      <c r="AL4978" s="561">
        <v>177542.98499999999</v>
      </c>
    </row>
    <row r="4979" spans="1:54">
      <c r="C4979" s="561" t="s">
        <v>1199</v>
      </c>
      <c r="D4979" s="561">
        <v>25170.985999999994</v>
      </c>
      <c r="E4979" s="561">
        <v>4230</v>
      </c>
      <c r="F4979" s="561">
        <v>20940.985999999994</v>
      </c>
      <c r="G4979" s="561">
        <v>1987</v>
      </c>
      <c r="H4979" s="561">
        <v>26488.199999999997</v>
      </c>
      <c r="I4979" s="561">
        <v>142</v>
      </c>
      <c r="J4979" s="561">
        <v>1404.2343000000001</v>
      </c>
      <c r="K4979" s="561">
        <v>1933</v>
      </c>
      <c r="L4979" s="561">
        <v>25170.985999999994</v>
      </c>
      <c r="M4979" s="561">
        <v>25170.985999999994</v>
      </c>
      <c r="N4979" s="561">
        <v>4230</v>
      </c>
      <c r="O4979" s="561">
        <v>0</v>
      </c>
      <c r="P4979" s="561">
        <v>20940.985999999994</v>
      </c>
      <c r="Q4979" s="561">
        <v>20940.985999999994</v>
      </c>
    </row>
    <row r="4980" spans="1:54">
      <c r="A4980" s="561">
        <v>15</v>
      </c>
      <c r="B4980" s="561" t="s">
        <v>1664</v>
      </c>
      <c r="C4980" s="561" t="s">
        <v>1267</v>
      </c>
      <c r="D4980" s="561">
        <v>163310.56299999999</v>
      </c>
      <c r="E4980" s="561">
        <v>26660.506000000001</v>
      </c>
      <c r="F4980" s="561">
        <v>136650.057</v>
      </c>
      <c r="G4980" s="561">
        <v>2998</v>
      </c>
      <c r="H4980" s="561">
        <v>167214.174</v>
      </c>
      <c r="I4980" s="561">
        <v>273</v>
      </c>
      <c r="J4980" s="561">
        <v>3767.7121900000002</v>
      </c>
      <c r="K4980" s="561">
        <v>2993</v>
      </c>
      <c r="L4980" s="561">
        <v>163310.56299999999</v>
      </c>
      <c r="M4980" s="561">
        <v>163310.56299999999</v>
      </c>
      <c r="N4980" s="561">
        <v>26660.506000000001</v>
      </c>
      <c r="O4980" s="561">
        <v>0</v>
      </c>
      <c r="P4980" s="561">
        <v>136650.057</v>
      </c>
      <c r="Q4980" s="561">
        <v>136650.057</v>
      </c>
    </row>
    <row r="4981" spans="1:54">
      <c r="C4981" s="561" t="s">
        <v>1197</v>
      </c>
      <c r="D4981" s="561">
        <v>155504.76499999998</v>
      </c>
      <c r="E4981" s="561">
        <v>25529.276000000002</v>
      </c>
      <c r="F4981" s="561">
        <v>129975.48899999999</v>
      </c>
      <c r="G4981" s="561">
        <v>2375</v>
      </c>
      <c r="H4981" s="561">
        <v>159280.495</v>
      </c>
      <c r="I4981" s="561">
        <v>240</v>
      </c>
      <c r="J4981" s="561">
        <v>3641.7572500000001</v>
      </c>
      <c r="K4981" s="561">
        <v>2370</v>
      </c>
      <c r="L4981" s="561">
        <v>155504.76499999998</v>
      </c>
      <c r="M4981" s="561">
        <v>155504.76499999998</v>
      </c>
      <c r="N4981" s="561">
        <v>25529.276000000002</v>
      </c>
      <c r="O4981" s="561">
        <v>0</v>
      </c>
      <c r="Q4981" s="561">
        <v>129975.48899999999</v>
      </c>
      <c r="BB4981" s="561">
        <v>129975.48899999999</v>
      </c>
    </row>
    <row r="4982" spans="1:54">
      <c r="C4982" s="561" t="s">
        <v>1199</v>
      </c>
      <c r="D4982" s="561">
        <v>7805.7980000000007</v>
      </c>
      <c r="E4982" s="561">
        <v>1131.23</v>
      </c>
      <c r="F4982" s="561">
        <v>6674.5680000000011</v>
      </c>
      <c r="G4982" s="561">
        <v>623</v>
      </c>
      <c r="H4982" s="561">
        <v>7933.6790000000001</v>
      </c>
      <c r="I4982" s="561">
        <v>33</v>
      </c>
      <c r="J4982" s="561">
        <v>125.95493999999999</v>
      </c>
      <c r="K4982" s="561">
        <v>623</v>
      </c>
      <c r="L4982" s="561">
        <v>7805.7980000000007</v>
      </c>
      <c r="M4982" s="561">
        <v>7805.7980000000007</v>
      </c>
      <c r="N4982" s="561">
        <v>1131.23</v>
      </c>
      <c r="O4982" s="561">
        <v>0</v>
      </c>
      <c r="P4982" s="561">
        <v>6674.5680000000011</v>
      </c>
      <c r="Q4982" s="561">
        <v>6674.5680000000011</v>
      </c>
    </row>
    <row r="4983" spans="1:54">
      <c r="A4983" s="561">
        <v>16</v>
      </c>
      <c r="B4983" s="561" t="s">
        <v>1665</v>
      </c>
      <c r="C4983" s="561" t="s">
        <v>1267</v>
      </c>
      <c r="D4983" s="561">
        <v>13096.248</v>
      </c>
      <c r="E4983" s="561">
        <v>11788.2</v>
      </c>
      <c r="F4983" s="561">
        <v>1308.0479999999989</v>
      </c>
      <c r="G4983" s="561">
        <v>434</v>
      </c>
      <c r="H4983" s="561">
        <v>13101.713</v>
      </c>
      <c r="I4983" s="561">
        <v>1</v>
      </c>
      <c r="J4983" s="561">
        <v>1.929</v>
      </c>
      <c r="K4983" s="561">
        <v>434</v>
      </c>
      <c r="L4983" s="561">
        <v>13096.248</v>
      </c>
      <c r="M4983" s="561">
        <v>13096.248</v>
      </c>
      <c r="N4983" s="561">
        <v>11788.2</v>
      </c>
      <c r="O4983" s="561">
        <v>0</v>
      </c>
      <c r="P4983" s="561">
        <v>1308.0479999999989</v>
      </c>
      <c r="Q4983" s="561">
        <v>1308.0479999999989</v>
      </c>
    </row>
    <row r="4984" spans="1:54">
      <c r="C4984" s="561" t="s">
        <v>1197</v>
      </c>
      <c r="D4984" s="561">
        <v>10076.925999999999</v>
      </c>
      <c r="E4984" s="561">
        <v>9664.2000000000007</v>
      </c>
      <c r="F4984" s="561">
        <v>412.72599999999875</v>
      </c>
      <c r="G4984" s="561">
        <v>186</v>
      </c>
      <c r="H4984" s="561">
        <v>10079.358</v>
      </c>
      <c r="I4984" s="561">
        <v>1</v>
      </c>
      <c r="J4984" s="561">
        <v>1.929</v>
      </c>
      <c r="K4984" s="561">
        <v>186</v>
      </c>
      <c r="L4984" s="561">
        <v>10076.925999999999</v>
      </c>
      <c r="M4984" s="561">
        <v>10076.925999999999</v>
      </c>
      <c r="N4984" s="561">
        <v>9664.2000000000007</v>
      </c>
      <c r="O4984" s="561">
        <v>0</v>
      </c>
      <c r="Q4984" s="561">
        <v>412.72599999999875</v>
      </c>
      <c r="AY4984" s="561">
        <v>412.72599999999875</v>
      </c>
    </row>
    <row r="4985" spans="1:54">
      <c r="C4985" s="561" t="s">
        <v>1199</v>
      </c>
      <c r="D4985" s="561">
        <v>3019.3220000000001</v>
      </c>
      <c r="E4985" s="561">
        <v>2124</v>
      </c>
      <c r="F4985" s="561">
        <v>895.32200000000012</v>
      </c>
      <c r="G4985" s="561">
        <v>248</v>
      </c>
      <c r="H4985" s="561">
        <v>3022.3550000000005</v>
      </c>
      <c r="I4985" s="561">
        <v>0</v>
      </c>
      <c r="J4985" s="561">
        <v>0</v>
      </c>
      <c r="K4985" s="561">
        <v>248</v>
      </c>
      <c r="L4985" s="561">
        <v>3019.3220000000001</v>
      </c>
      <c r="M4985" s="561">
        <v>3019.3220000000001</v>
      </c>
      <c r="N4985" s="561">
        <v>2124</v>
      </c>
      <c r="O4985" s="561">
        <v>0</v>
      </c>
      <c r="P4985" s="561">
        <v>895.32200000000012</v>
      </c>
      <c r="Q4985" s="561">
        <v>895.32200000000012</v>
      </c>
    </row>
    <row r="4986" spans="1:54">
      <c r="A4986" s="561">
        <v>17</v>
      </c>
      <c r="B4986" s="561" t="s">
        <v>1666</v>
      </c>
      <c r="C4986" s="561" t="s">
        <v>1267</v>
      </c>
      <c r="D4986" s="561">
        <v>96112.116999999998</v>
      </c>
      <c r="E4986" s="561">
        <v>23136.062000000002</v>
      </c>
      <c r="F4986" s="561">
        <v>72976.054999999993</v>
      </c>
      <c r="G4986" s="561">
        <v>2169</v>
      </c>
      <c r="H4986" s="561">
        <v>99192.06700000001</v>
      </c>
      <c r="I4986" s="561">
        <v>142</v>
      </c>
      <c r="J4986" s="561">
        <v>2865.3782700000002</v>
      </c>
      <c r="K4986" s="561">
        <v>2157</v>
      </c>
      <c r="L4986" s="561">
        <v>96112.116999999998</v>
      </c>
      <c r="M4986" s="561">
        <v>96112.116999999998</v>
      </c>
      <c r="N4986" s="561">
        <v>23136.062000000002</v>
      </c>
      <c r="O4986" s="561">
        <v>0</v>
      </c>
      <c r="P4986" s="561">
        <v>72976.054999999993</v>
      </c>
      <c r="Q4986" s="561">
        <v>72976.054999999993</v>
      </c>
    </row>
    <row r="4987" spans="1:54">
      <c r="C4987" s="561" t="s">
        <v>1197</v>
      </c>
      <c r="D4987" s="561">
        <v>85658.115000000005</v>
      </c>
      <c r="E4987" s="561">
        <v>20826.062000000002</v>
      </c>
      <c r="F4987" s="561">
        <v>64832.053</v>
      </c>
      <c r="G4987" s="561">
        <v>1425</v>
      </c>
      <c r="H4987" s="561">
        <v>88230.867000000013</v>
      </c>
      <c r="I4987" s="561">
        <v>99</v>
      </c>
      <c r="J4987" s="561">
        <v>2237.10871</v>
      </c>
      <c r="K4987" s="561">
        <v>1420</v>
      </c>
      <c r="L4987" s="561">
        <v>85658.115000000005</v>
      </c>
      <c r="M4987" s="561">
        <v>85658.115000000005</v>
      </c>
      <c r="N4987" s="561">
        <v>20826.062000000002</v>
      </c>
      <c r="O4987" s="561">
        <v>0</v>
      </c>
      <c r="Q4987" s="561">
        <v>64832.053</v>
      </c>
      <c r="AL4987" s="561">
        <v>64832.053</v>
      </c>
    </row>
    <row r="4988" spans="1:54">
      <c r="C4988" s="561" t="s">
        <v>1199</v>
      </c>
      <c r="D4988" s="561">
        <v>10454.002</v>
      </c>
      <c r="E4988" s="561">
        <v>2310</v>
      </c>
      <c r="F4988" s="561">
        <v>8144.0020000000004</v>
      </c>
      <c r="G4988" s="561">
        <v>744</v>
      </c>
      <c r="H4988" s="561">
        <v>10961.199999999999</v>
      </c>
      <c r="I4988" s="561">
        <v>43</v>
      </c>
      <c r="J4988" s="561">
        <v>628.26955999999996</v>
      </c>
      <c r="K4988" s="561">
        <v>737</v>
      </c>
      <c r="L4988" s="561">
        <v>10454.002</v>
      </c>
      <c r="M4988" s="561">
        <v>10454.002</v>
      </c>
      <c r="N4988" s="561">
        <v>2310</v>
      </c>
      <c r="O4988" s="561">
        <v>0</v>
      </c>
      <c r="P4988" s="561">
        <v>8144.0020000000004</v>
      </c>
      <c r="Q4988" s="561">
        <v>8144.0020000000004</v>
      </c>
    </row>
    <row r="4989" spans="1:54">
      <c r="A4989" s="561">
        <v>18</v>
      </c>
      <c r="B4989" s="561" t="s">
        <v>1667</v>
      </c>
      <c r="C4989" s="561" t="s">
        <v>1267</v>
      </c>
      <c r="D4989" s="561">
        <v>77774.648000000001</v>
      </c>
      <c r="E4989" s="561">
        <v>13883.942999999999</v>
      </c>
      <c r="F4989" s="561">
        <v>63890.705000000002</v>
      </c>
      <c r="G4989" s="561">
        <v>1608</v>
      </c>
      <c r="H4989" s="561">
        <v>81087.771000000008</v>
      </c>
      <c r="I4989" s="561">
        <v>164</v>
      </c>
      <c r="J4989" s="561">
        <v>2831.4221400000006</v>
      </c>
      <c r="K4989" s="561">
        <v>1598</v>
      </c>
      <c r="L4989" s="561">
        <v>77774.648000000001</v>
      </c>
      <c r="M4989" s="561">
        <v>77774.648000000001</v>
      </c>
      <c r="N4989" s="561">
        <v>13883.942999999999</v>
      </c>
      <c r="O4989" s="561">
        <v>0</v>
      </c>
      <c r="P4989" s="561">
        <v>63890.705000000002</v>
      </c>
      <c r="Q4989" s="561">
        <v>63890.705000000002</v>
      </c>
    </row>
    <row r="4990" spans="1:54">
      <c r="C4990" s="561" t="s">
        <v>1197</v>
      </c>
      <c r="D4990" s="561">
        <v>69761.107000000004</v>
      </c>
      <c r="E4990" s="561">
        <v>12959.942999999999</v>
      </c>
      <c r="F4990" s="561">
        <v>56801.164000000004</v>
      </c>
      <c r="G4990" s="561">
        <v>1098</v>
      </c>
      <c r="H4990" s="561">
        <v>72874.932000000001</v>
      </c>
      <c r="I4990" s="561">
        <v>112</v>
      </c>
      <c r="J4990" s="561">
        <v>2540.2876600000004</v>
      </c>
      <c r="K4990" s="561">
        <v>1091</v>
      </c>
      <c r="L4990" s="561">
        <v>69761.107000000004</v>
      </c>
      <c r="M4990" s="561">
        <v>69761.107000000004</v>
      </c>
      <c r="N4990" s="561">
        <v>12959.942999999999</v>
      </c>
      <c r="O4990" s="561">
        <v>0</v>
      </c>
      <c r="Q4990" s="561">
        <v>56801.164000000004</v>
      </c>
      <c r="AL4990" s="561">
        <v>56801.164000000004</v>
      </c>
    </row>
    <row r="4991" spans="1:54">
      <c r="C4991" s="561" t="s">
        <v>1199</v>
      </c>
      <c r="D4991" s="561">
        <v>8013.5410000000002</v>
      </c>
      <c r="E4991" s="561">
        <v>924</v>
      </c>
      <c r="F4991" s="561">
        <v>7089.5410000000002</v>
      </c>
      <c r="G4991" s="561">
        <v>510</v>
      </c>
      <c r="H4991" s="561">
        <v>8212.8389999999999</v>
      </c>
      <c r="I4991" s="561">
        <v>52</v>
      </c>
      <c r="J4991" s="561">
        <v>291.13448</v>
      </c>
      <c r="K4991" s="561">
        <v>507</v>
      </c>
      <c r="L4991" s="561">
        <v>8013.5410000000002</v>
      </c>
      <c r="M4991" s="561">
        <v>8013.5410000000002</v>
      </c>
      <c r="N4991" s="561">
        <v>924</v>
      </c>
      <c r="O4991" s="561">
        <v>0</v>
      </c>
      <c r="P4991" s="561">
        <v>7089.5410000000002</v>
      </c>
      <c r="Q4991" s="561">
        <v>7089.5410000000002</v>
      </c>
    </row>
    <row r="4992" spans="1:54">
      <c r="A4992" s="561">
        <v>19</v>
      </c>
      <c r="B4992" s="561" t="s">
        <v>1668</v>
      </c>
      <c r="C4992" s="561" t="s">
        <v>1267</v>
      </c>
      <c r="D4992" s="561">
        <v>328063.46400000004</v>
      </c>
      <c r="E4992" s="561">
        <v>67801.635999999999</v>
      </c>
      <c r="F4992" s="561">
        <v>260261.82800000007</v>
      </c>
      <c r="G4992" s="561">
        <v>6835</v>
      </c>
      <c r="H4992" s="561">
        <v>360252.77700000006</v>
      </c>
      <c r="I4992" s="561">
        <v>1220</v>
      </c>
      <c r="J4992" s="561">
        <v>31510.557130000001</v>
      </c>
      <c r="K4992" s="561">
        <v>6756</v>
      </c>
      <c r="L4992" s="561">
        <v>328063.46400000004</v>
      </c>
      <c r="M4992" s="561">
        <v>328063.46400000004</v>
      </c>
      <c r="N4992" s="561">
        <v>67801.635999999999</v>
      </c>
      <c r="O4992" s="561">
        <v>0</v>
      </c>
      <c r="P4992" s="561">
        <v>260261.82800000007</v>
      </c>
      <c r="Q4992" s="561">
        <v>260261.82800000007</v>
      </c>
    </row>
    <row r="4993" spans="1:38">
      <c r="C4993" s="561" t="s">
        <v>1197</v>
      </c>
      <c r="D4993" s="561">
        <v>301171.61900000006</v>
      </c>
      <c r="E4993" s="561">
        <v>63985.688000000002</v>
      </c>
      <c r="F4993" s="561">
        <v>237185.93100000007</v>
      </c>
      <c r="G4993" s="561">
        <v>4905</v>
      </c>
      <c r="H4993" s="561">
        <v>330886.02900000004</v>
      </c>
      <c r="I4993" s="561">
        <v>931</v>
      </c>
      <c r="J4993" s="561">
        <v>29044.92971</v>
      </c>
      <c r="K4993" s="561">
        <v>4851</v>
      </c>
      <c r="L4993" s="561">
        <v>301171.61900000006</v>
      </c>
      <c r="M4993" s="561">
        <v>301171.61900000006</v>
      </c>
      <c r="N4993" s="561">
        <v>63985.688000000002</v>
      </c>
      <c r="O4993" s="561">
        <v>0</v>
      </c>
      <c r="Q4993" s="561">
        <v>237185.93100000007</v>
      </c>
      <c r="AL4993" s="561">
        <v>237185.93100000007</v>
      </c>
    </row>
    <row r="4994" spans="1:38">
      <c r="C4994" s="561" t="s">
        <v>1199</v>
      </c>
      <c r="D4994" s="561">
        <v>26891.845000000001</v>
      </c>
      <c r="E4994" s="561">
        <v>3815.9479999999999</v>
      </c>
      <c r="F4994" s="561">
        <v>23075.897000000001</v>
      </c>
      <c r="G4994" s="561">
        <v>1930</v>
      </c>
      <c r="H4994" s="561">
        <v>29366.748</v>
      </c>
      <c r="I4994" s="561">
        <v>289</v>
      </c>
      <c r="J4994" s="561">
        <v>2465.6274199999998</v>
      </c>
      <c r="K4994" s="561">
        <v>1905</v>
      </c>
      <c r="L4994" s="561">
        <v>26891.845000000001</v>
      </c>
      <c r="M4994" s="561">
        <v>26891.845000000001</v>
      </c>
      <c r="N4994" s="561">
        <v>3815.9479999999999</v>
      </c>
      <c r="O4994" s="561">
        <v>0</v>
      </c>
      <c r="P4994" s="561">
        <v>23075.897000000001</v>
      </c>
      <c r="Q4994" s="561">
        <v>23075.897000000001</v>
      </c>
    </row>
    <row r="4995" spans="1:38">
      <c r="A4995" s="561">
        <v>20</v>
      </c>
      <c r="B4995" s="561" t="s">
        <v>1669</v>
      </c>
      <c r="C4995" s="561" t="s">
        <v>1267</v>
      </c>
      <c r="D4995" s="561">
        <v>40347.778999999995</v>
      </c>
      <c r="E4995" s="561">
        <v>7551.48</v>
      </c>
      <c r="F4995" s="561">
        <v>32796.298999999999</v>
      </c>
      <c r="G4995" s="561">
        <v>863</v>
      </c>
      <c r="H4995" s="561">
        <v>42042.992999999995</v>
      </c>
      <c r="I4995" s="561">
        <v>65</v>
      </c>
      <c r="J4995" s="561">
        <v>1619.7803899999997</v>
      </c>
      <c r="K4995" s="561">
        <v>860</v>
      </c>
      <c r="L4995" s="561">
        <v>40347.778999999995</v>
      </c>
      <c r="M4995" s="561">
        <v>40347.778999999995</v>
      </c>
      <c r="N4995" s="561">
        <v>7551.48</v>
      </c>
      <c r="O4995" s="561">
        <v>0</v>
      </c>
      <c r="P4995" s="561">
        <v>32796.298999999999</v>
      </c>
      <c r="Q4995" s="561">
        <v>32796.298999999999</v>
      </c>
    </row>
    <row r="4996" spans="1:38">
      <c r="C4996" s="561" t="s">
        <v>1197</v>
      </c>
      <c r="D4996" s="561">
        <v>34691.398999999998</v>
      </c>
      <c r="E4996" s="561">
        <v>6651.48</v>
      </c>
      <c r="F4996" s="561">
        <v>28039.918999999998</v>
      </c>
      <c r="G4996" s="561">
        <v>536</v>
      </c>
      <c r="H4996" s="561">
        <v>36346.859999999993</v>
      </c>
      <c r="I4996" s="561">
        <v>49</v>
      </c>
      <c r="J4996" s="561">
        <v>1578.4113899999998</v>
      </c>
      <c r="K4996" s="561">
        <v>533</v>
      </c>
      <c r="L4996" s="561">
        <v>34691.398999999998</v>
      </c>
      <c r="M4996" s="561">
        <v>34691.398999999998</v>
      </c>
      <c r="N4996" s="561">
        <v>6651.48</v>
      </c>
      <c r="O4996" s="561">
        <v>0</v>
      </c>
      <c r="Q4996" s="561">
        <v>28039.918999999998</v>
      </c>
      <c r="AL4996" s="561">
        <v>28039.918999999998</v>
      </c>
    </row>
    <row r="4997" spans="1:38">
      <c r="C4997" s="561" t="s">
        <v>1199</v>
      </c>
      <c r="D4997" s="561">
        <v>5656.38</v>
      </c>
      <c r="E4997" s="561">
        <v>900</v>
      </c>
      <c r="F4997" s="561">
        <v>4756.38</v>
      </c>
      <c r="G4997" s="561">
        <v>327</v>
      </c>
      <c r="H4997" s="561">
        <v>5696.1329999999998</v>
      </c>
      <c r="I4997" s="561">
        <v>16</v>
      </c>
      <c r="J4997" s="561">
        <v>41.369</v>
      </c>
      <c r="K4997" s="561">
        <v>327</v>
      </c>
      <c r="L4997" s="561">
        <v>5656.38</v>
      </c>
      <c r="M4997" s="561">
        <v>5656.38</v>
      </c>
      <c r="N4997" s="561">
        <v>900</v>
      </c>
      <c r="O4997" s="561">
        <v>0</v>
      </c>
      <c r="P4997" s="561">
        <v>4756.38</v>
      </c>
      <c r="Q4997" s="561">
        <v>4756.38</v>
      </c>
    </row>
    <row r="4998" spans="1:38">
      <c r="A4998" s="561">
        <v>21</v>
      </c>
      <c r="B4998" s="561" t="s">
        <v>1670</v>
      </c>
      <c r="C4998" s="561" t="s">
        <v>1267</v>
      </c>
      <c r="D4998" s="561">
        <v>133670.60100000002</v>
      </c>
      <c r="E4998" s="561">
        <v>39401.014000000003</v>
      </c>
      <c r="F4998" s="561">
        <v>94269.587000000014</v>
      </c>
      <c r="G4998" s="561">
        <v>3387</v>
      </c>
      <c r="H4998" s="561">
        <v>140224.65900000001</v>
      </c>
      <c r="I4998" s="561">
        <v>345</v>
      </c>
      <c r="J4998" s="561">
        <v>6194.4991600000003</v>
      </c>
      <c r="K4998" s="561">
        <v>3378</v>
      </c>
      <c r="L4998" s="561">
        <v>133670.60100000002</v>
      </c>
      <c r="M4998" s="561">
        <v>133670.60100000002</v>
      </c>
      <c r="N4998" s="561">
        <v>39401.014000000003</v>
      </c>
      <c r="O4998" s="561">
        <v>0</v>
      </c>
      <c r="P4998" s="561">
        <v>94269.587000000014</v>
      </c>
      <c r="Q4998" s="561">
        <v>94269.587000000014</v>
      </c>
    </row>
    <row r="4999" spans="1:38">
      <c r="C4999" s="561" t="s">
        <v>1197</v>
      </c>
      <c r="D4999" s="561">
        <v>108611.74100000002</v>
      </c>
      <c r="E4999" s="561">
        <v>34319.014000000003</v>
      </c>
      <c r="F4999" s="561">
        <v>74292.727000000014</v>
      </c>
      <c r="G4999" s="561">
        <v>1644</v>
      </c>
      <c r="H4999" s="561">
        <v>114457.05900000001</v>
      </c>
      <c r="I4999" s="561">
        <v>236</v>
      </c>
      <c r="J4999" s="561">
        <v>5587.9817400000002</v>
      </c>
      <c r="K4999" s="561">
        <v>1637</v>
      </c>
      <c r="L4999" s="561">
        <v>108611.74100000002</v>
      </c>
      <c r="M4999" s="561">
        <v>108611.74100000002</v>
      </c>
      <c r="N4999" s="561">
        <v>34319.014000000003</v>
      </c>
      <c r="O4999" s="561">
        <v>0</v>
      </c>
      <c r="Q4999" s="561">
        <v>74292.727000000014</v>
      </c>
      <c r="AL4999" s="561">
        <v>74292.727000000014</v>
      </c>
    </row>
    <row r="5000" spans="1:38">
      <c r="C5000" s="561" t="s">
        <v>1199</v>
      </c>
      <c r="D5000" s="561">
        <v>25058.86</v>
      </c>
      <c r="E5000" s="561">
        <v>5082</v>
      </c>
      <c r="F5000" s="561">
        <v>19976.86</v>
      </c>
      <c r="G5000" s="561">
        <v>1743</v>
      </c>
      <c r="H5000" s="561">
        <v>25767.599999999999</v>
      </c>
      <c r="I5000" s="561">
        <v>109</v>
      </c>
      <c r="J5000" s="561">
        <v>606.51742000000002</v>
      </c>
      <c r="K5000" s="561">
        <v>1741</v>
      </c>
      <c r="L5000" s="561">
        <v>25058.859999999997</v>
      </c>
      <c r="M5000" s="561">
        <v>25058.859999999997</v>
      </c>
      <c r="N5000" s="561">
        <v>5082</v>
      </c>
      <c r="O5000" s="561">
        <v>0</v>
      </c>
      <c r="P5000" s="561">
        <v>19976.859999999997</v>
      </c>
      <c r="Q5000" s="561">
        <v>19976.859999999997</v>
      </c>
    </row>
    <row r="5001" spans="1:38">
      <c r="A5001" s="561">
        <v>22</v>
      </c>
      <c r="B5001" s="561" t="s">
        <v>1671</v>
      </c>
      <c r="C5001" s="561" t="s">
        <v>1267</v>
      </c>
      <c r="D5001" s="561">
        <v>79383.579999999987</v>
      </c>
      <c r="E5001" s="561">
        <v>22706.383000000002</v>
      </c>
      <c r="F5001" s="561">
        <v>56677.197</v>
      </c>
      <c r="G5001" s="561">
        <v>1874</v>
      </c>
      <c r="H5001" s="561">
        <v>84869.108999999982</v>
      </c>
      <c r="I5001" s="561">
        <v>255</v>
      </c>
      <c r="J5001" s="561">
        <v>5407.8585400000002</v>
      </c>
      <c r="K5001" s="561">
        <v>1847</v>
      </c>
      <c r="L5001" s="561">
        <v>79383.579999999987</v>
      </c>
      <c r="M5001" s="561">
        <v>79383.579999999987</v>
      </c>
      <c r="N5001" s="561">
        <v>22706.383000000002</v>
      </c>
      <c r="O5001" s="561">
        <v>0</v>
      </c>
      <c r="P5001" s="561">
        <v>56677.197</v>
      </c>
      <c r="Q5001" s="561">
        <v>56677.197</v>
      </c>
    </row>
    <row r="5002" spans="1:38">
      <c r="C5002" s="561" t="s">
        <v>1197</v>
      </c>
      <c r="D5002" s="561">
        <v>70871.581999999995</v>
      </c>
      <c r="E5002" s="561">
        <v>20655.166000000001</v>
      </c>
      <c r="F5002" s="561">
        <v>50216.415999999997</v>
      </c>
      <c r="G5002" s="561">
        <v>1198</v>
      </c>
      <c r="H5002" s="561">
        <v>75756.61599999998</v>
      </c>
      <c r="I5002" s="561">
        <v>150</v>
      </c>
      <c r="J5002" s="561">
        <v>4688.9924600000004</v>
      </c>
      <c r="K5002" s="561">
        <v>1192</v>
      </c>
      <c r="L5002" s="561">
        <v>70871.581999999995</v>
      </c>
      <c r="M5002" s="561">
        <v>70871.581999999995</v>
      </c>
      <c r="N5002" s="561">
        <v>20655.166000000001</v>
      </c>
      <c r="O5002" s="561">
        <v>0</v>
      </c>
      <c r="Q5002" s="561">
        <v>50216.415999999997</v>
      </c>
      <c r="AL5002" s="561">
        <v>50216.415999999997</v>
      </c>
    </row>
    <row r="5003" spans="1:38">
      <c r="C5003" s="561" t="s">
        <v>1199</v>
      </c>
      <c r="D5003" s="561">
        <v>8511.9979999999996</v>
      </c>
      <c r="E5003" s="561">
        <v>2051.2170000000001</v>
      </c>
      <c r="F5003" s="561">
        <v>6460.780999999999</v>
      </c>
      <c r="G5003" s="561">
        <v>676</v>
      </c>
      <c r="H5003" s="561">
        <v>9112.4929999999986</v>
      </c>
      <c r="I5003" s="561">
        <v>105</v>
      </c>
      <c r="J5003" s="561">
        <v>718.8660799999999</v>
      </c>
      <c r="K5003" s="561">
        <v>655</v>
      </c>
      <c r="L5003" s="561">
        <v>8511.9979999999996</v>
      </c>
      <c r="M5003" s="561">
        <v>8511.9979999999996</v>
      </c>
      <c r="N5003" s="561">
        <v>2051.2170000000001</v>
      </c>
      <c r="O5003" s="561">
        <v>0</v>
      </c>
      <c r="P5003" s="561">
        <v>6460.780999999999</v>
      </c>
      <c r="Q5003" s="561">
        <v>6460.780999999999</v>
      </c>
    </row>
    <row r="5004" spans="1:38">
      <c r="A5004" s="561">
        <v>23</v>
      </c>
      <c r="B5004" s="561" t="s">
        <v>1672</v>
      </c>
      <c r="C5004" s="561" t="s">
        <v>1267</v>
      </c>
      <c r="D5004" s="561">
        <v>263187.837</v>
      </c>
      <c r="E5004" s="561">
        <v>72657.983000000007</v>
      </c>
      <c r="F5004" s="561">
        <v>190529.85399999999</v>
      </c>
      <c r="G5004" s="561">
        <v>4265</v>
      </c>
      <c r="H5004" s="561">
        <v>273798.85599999997</v>
      </c>
      <c r="I5004" s="561">
        <v>489</v>
      </c>
      <c r="J5004" s="561">
        <v>11673.475759999999</v>
      </c>
      <c r="K5004" s="561">
        <v>4247</v>
      </c>
      <c r="L5004" s="561">
        <v>263187.837</v>
      </c>
      <c r="M5004" s="561">
        <v>263187.837</v>
      </c>
      <c r="N5004" s="561">
        <v>72657.983000000007</v>
      </c>
      <c r="O5004" s="561">
        <v>0</v>
      </c>
      <c r="P5004" s="561">
        <v>190529.85399999999</v>
      </c>
      <c r="Q5004" s="561">
        <v>190529.85399999999</v>
      </c>
    </row>
    <row r="5005" spans="1:38">
      <c r="C5005" s="561" t="s">
        <v>1197</v>
      </c>
      <c r="D5005" s="561">
        <v>258170.19100000002</v>
      </c>
      <c r="E5005" s="561">
        <v>71841.653000000006</v>
      </c>
      <c r="F5005" s="561">
        <v>186328.538</v>
      </c>
      <c r="G5005" s="561">
        <v>3895</v>
      </c>
      <c r="H5005" s="561">
        <v>268608.49</v>
      </c>
      <c r="I5005" s="561">
        <v>460</v>
      </c>
      <c r="J5005" s="561">
        <v>11527.85967</v>
      </c>
      <c r="K5005" s="561">
        <v>3882</v>
      </c>
      <c r="L5005" s="561">
        <v>258170.19100000002</v>
      </c>
      <c r="M5005" s="561">
        <v>258170.19100000002</v>
      </c>
      <c r="N5005" s="561">
        <v>71841.653000000006</v>
      </c>
      <c r="O5005" s="561">
        <v>0</v>
      </c>
      <c r="Q5005" s="561">
        <v>186328.538</v>
      </c>
      <c r="AL5005" s="561">
        <v>186328.538</v>
      </c>
    </row>
    <row r="5006" spans="1:38">
      <c r="C5006" s="561" t="s">
        <v>1199</v>
      </c>
      <c r="D5006" s="561">
        <v>5017.6459999999997</v>
      </c>
      <c r="E5006" s="561">
        <v>816.33</v>
      </c>
      <c r="F5006" s="561">
        <v>4201.3159999999998</v>
      </c>
      <c r="G5006" s="561">
        <v>370</v>
      </c>
      <c r="H5006" s="561">
        <v>5190.366</v>
      </c>
      <c r="I5006" s="561">
        <v>29</v>
      </c>
      <c r="J5006" s="561">
        <v>145.61608999999999</v>
      </c>
      <c r="K5006" s="561">
        <v>365</v>
      </c>
      <c r="L5006" s="561">
        <v>5017.6459999999997</v>
      </c>
      <c r="M5006" s="561">
        <v>5017.6459999999997</v>
      </c>
      <c r="N5006" s="561">
        <v>816.33</v>
      </c>
      <c r="O5006" s="561">
        <v>0</v>
      </c>
      <c r="P5006" s="561">
        <v>4201.3159999999998</v>
      </c>
      <c r="Q5006" s="561">
        <v>4201.3159999999998</v>
      </c>
    </row>
    <row r="5007" spans="1:38">
      <c r="A5007" s="561">
        <v>24</v>
      </c>
      <c r="B5007" s="561" t="s">
        <v>1673</v>
      </c>
      <c r="C5007" s="561" t="s">
        <v>1267</v>
      </c>
      <c r="D5007" s="561">
        <v>96282.236000000004</v>
      </c>
      <c r="E5007" s="561">
        <v>24649.644</v>
      </c>
      <c r="F5007" s="561">
        <v>71632.592000000004</v>
      </c>
      <c r="G5007" s="561">
        <v>2450</v>
      </c>
      <c r="H5007" s="561">
        <v>100635.52200000001</v>
      </c>
      <c r="I5007" s="561">
        <v>203</v>
      </c>
      <c r="J5007" s="561">
        <v>4509.6690400000007</v>
      </c>
      <c r="K5007" s="561">
        <v>2422</v>
      </c>
      <c r="L5007" s="561">
        <v>96282.236000000004</v>
      </c>
      <c r="M5007" s="561">
        <v>96282.236000000004</v>
      </c>
      <c r="N5007" s="561">
        <v>24649.644</v>
      </c>
      <c r="O5007" s="561">
        <v>0</v>
      </c>
      <c r="P5007" s="561">
        <v>71632.592000000004</v>
      </c>
      <c r="Q5007" s="561">
        <v>71632.592000000004</v>
      </c>
    </row>
    <row r="5008" spans="1:38">
      <c r="C5008" s="561" t="s">
        <v>1197</v>
      </c>
      <c r="D5008" s="561">
        <v>82028.471000000005</v>
      </c>
      <c r="E5008" s="561">
        <v>21283.644</v>
      </c>
      <c r="F5008" s="561">
        <v>60744.827000000005</v>
      </c>
      <c r="G5008" s="561">
        <v>1378</v>
      </c>
      <c r="H5008" s="561">
        <v>85943.482000000018</v>
      </c>
      <c r="I5008" s="561">
        <v>150</v>
      </c>
      <c r="J5008" s="561">
        <v>4071.3950400000003</v>
      </c>
      <c r="K5008" s="561">
        <v>1359</v>
      </c>
      <c r="L5008" s="561">
        <v>82028.471000000005</v>
      </c>
      <c r="M5008" s="561">
        <v>82028.471000000005</v>
      </c>
      <c r="N5008" s="561">
        <v>21283.644</v>
      </c>
      <c r="O5008" s="561">
        <v>0</v>
      </c>
      <c r="Q5008" s="561">
        <v>60744.827000000005</v>
      </c>
      <c r="AL5008" s="561">
        <v>60744.827000000005</v>
      </c>
    </row>
    <row r="5009" spans="1:38">
      <c r="C5009" s="561" t="s">
        <v>1199</v>
      </c>
      <c r="D5009" s="561">
        <v>14253.765000000001</v>
      </c>
      <c r="E5009" s="561">
        <v>3366</v>
      </c>
      <c r="F5009" s="561">
        <v>10887.765000000001</v>
      </c>
      <c r="G5009" s="561">
        <v>1072</v>
      </c>
      <c r="H5009" s="561">
        <v>14692.039999999997</v>
      </c>
      <c r="I5009" s="561">
        <v>53</v>
      </c>
      <c r="J5009" s="561">
        <v>438.274</v>
      </c>
      <c r="K5009" s="561">
        <v>1063</v>
      </c>
      <c r="L5009" s="561">
        <v>14253.765000000001</v>
      </c>
      <c r="M5009" s="561">
        <v>14253.765000000001</v>
      </c>
      <c r="N5009" s="561">
        <v>3366</v>
      </c>
      <c r="O5009" s="561">
        <v>0</v>
      </c>
      <c r="P5009" s="561">
        <v>10887.765000000001</v>
      </c>
      <c r="Q5009" s="561">
        <v>10887.765000000001</v>
      </c>
    </row>
    <row r="5010" spans="1:38">
      <c r="A5010" s="561">
        <v>25</v>
      </c>
      <c r="B5010" s="561" t="s">
        <v>1674</v>
      </c>
      <c r="C5010" s="561" t="s">
        <v>1267</v>
      </c>
      <c r="D5010" s="561">
        <v>190350.42300000001</v>
      </c>
      <c r="E5010" s="561">
        <v>37176.186000000002</v>
      </c>
      <c r="F5010" s="561">
        <v>153174.23699999999</v>
      </c>
      <c r="G5010" s="561">
        <v>3421</v>
      </c>
      <c r="H5010" s="561">
        <v>197412.19400000002</v>
      </c>
      <c r="I5010" s="561">
        <v>327</v>
      </c>
      <c r="J5010" s="561">
        <v>8116.2568600000004</v>
      </c>
      <c r="K5010" s="561">
        <v>3400</v>
      </c>
      <c r="L5010" s="561">
        <v>190350.42300000001</v>
      </c>
      <c r="M5010" s="561">
        <v>190350.42300000001</v>
      </c>
      <c r="N5010" s="561">
        <v>37176.186000000002</v>
      </c>
      <c r="O5010" s="561">
        <v>0</v>
      </c>
      <c r="P5010" s="561">
        <v>153174.23699999999</v>
      </c>
      <c r="Q5010" s="561">
        <v>153174.23699999999</v>
      </c>
    </row>
    <row r="5011" spans="1:38">
      <c r="C5011" s="561" t="s">
        <v>1197</v>
      </c>
      <c r="D5011" s="561">
        <v>177877.084</v>
      </c>
      <c r="E5011" s="561">
        <v>35401</v>
      </c>
      <c r="F5011" s="561">
        <v>142476.084</v>
      </c>
      <c r="G5011" s="561">
        <v>2647</v>
      </c>
      <c r="H5011" s="561">
        <v>184760.89600000001</v>
      </c>
      <c r="I5011" s="561">
        <v>279</v>
      </c>
      <c r="J5011" s="561">
        <v>7944.38897</v>
      </c>
      <c r="K5011" s="561">
        <v>2629</v>
      </c>
      <c r="L5011" s="561">
        <v>177877.084</v>
      </c>
      <c r="M5011" s="561">
        <v>177877.084</v>
      </c>
      <c r="N5011" s="561">
        <v>35401</v>
      </c>
      <c r="O5011" s="561">
        <v>0</v>
      </c>
      <c r="Q5011" s="561">
        <v>142476.084</v>
      </c>
      <c r="AL5011" s="561">
        <v>142476.084</v>
      </c>
    </row>
    <row r="5012" spans="1:38">
      <c r="C5012" s="561" t="s">
        <v>1199</v>
      </c>
      <c r="D5012" s="561">
        <v>12473.339</v>
      </c>
      <c r="E5012" s="561">
        <v>1775.1859999999999</v>
      </c>
      <c r="F5012" s="561">
        <v>10698.153</v>
      </c>
      <c r="G5012" s="561">
        <v>774</v>
      </c>
      <c r="H5012" s="561">
        <v>12651.298000000001</v>
      </c>
      <c r="I5012" s="561">
        <v>48</v>
      </c>
      <c r="J5012" s="561">
        <v>171.86789000000002</v>
      </c>
      <c r="K5012" s="561">
        <v>771</v>
      </c>
      <c r="L5012" s="561">
        <v>12473.339</v>
      </c>
      <c r="M5012" s="561">
        <v>12473.339</v>
      </c>
      <c r="N5012" s="561">
        <v>1775.1859999999999</v>
      </c>
      <c r="O5012" s="561">
        <v>0</v>
      </c>
      <c r="P5012" s="561">
        <v>10698.153</v>
      </c>
      <c r="Q5012" s="561">
        <v>10698.153</v>
      </c>
    </row>
    <row r="5013" spans="1:38">
      <c r="A5013" s="561">
        <v>26</v>
      </c>
      <c r="B5013" s="561" t="s">
        <v>1675</v>
      </c>
      <c r="C5013" s="561" t="s">
        <v>1267</v>
      </c>
      <c r="D5013" s="561">
        <v>77802.144</v>
      </c>
      <c r="E5013" s="561">
        <v>19456.788</v>
      </c>
      <c r="F5013" s="561">
        <v>58345.355999999992</v>
      </c>
      <c r="G5013" s="561">
        <v>1875</v>
      </c>
      <c r="H5013" s="561">
        <v>83003.902999999991</v>
      </c>
      <c r="I5013" s="561">
        <v>247</v>
      </c>
      <c r="J5013" s="561">
        <v>5293.3039700000008</v>
      </c>
      <c r="K5013" s="561">
        <v>1859</v>
      </c>
      <c r="L5013" s="561">
        <v>77802.144</v>
      </c>
      <c r="M5013" s="561">
        <v>77802.144</v>
      </c>
      <c r="N5013" s="561">
        <v>19456.788</v>
      </c>
      <c r="O5013" s="561">
        <v>0</v>
      </c>
      <c r="P5013" s="561">
        <v>58345.355999999992</v>
      </c>
      <c r="Q5013" s="561">
        <v>58345.355999999992</v>
      </c>
    </row>
    <row r="5014" spans="1:38">
      <c r="C5014" s="561" t="s">
        <v>1197</v>
      </c>
      <c r="D5014" s="561">
        <v>65951.198999999993</v>
      </c>
      <c r="E5014" s="561">
        <v>16928.224999999999</v>
      </c>
      <c r="F5014" s="561">
        <v>49022.973999999995</v>
      </c>
      <c r="G5014" s="561">
        <v>1064</v>
      </c>
      <c r="H5014" s="561">
        <v>70387.396999999997</v>
      </c>
      <c r="I5014" s="561">
        <v>137</v>
      </c>
      <c r="J5014" s="561">
        <v>4532.2886000000008</v>
      </c>
      <c r="K5014" s="561">
        <v>1062</v>
      </c>
      <c r="L5014" s="561">
        <v>65951.198999999993</v>
      </c>
      <c r="M5014" s="561">
        <v>65951.198999999993</v>
      </c>
      <c r="N5014" s="561">
        <v>16928.224999999999</v>
      </c>
      <c r="O5014" s="561">
        <v>0</v>
      </c>
      <c r="Q5014" s="561">
        <v>49022.973999999995</v>
      </c>
      <c r="AL5014" s="561">
        <v>49022.973999999995</v>
      </c>
    </row>
    <row r="5015" spans="1:38">
      <c r="C5015" s="561" t="s">
        <v>1199</v>
      </c>
      <c r="D5015" s="561">
        <v>11850.945</v>
      </c>
      <c r="E5015" s="561">
        <v>2528.5630000000001</v>
      </c>
      <c r="F5015" s="561">
        <v>9322.3819999999996</v>
      </c>
      <c r="G5015" s="561">
        <v>811</v>
      </c>
      <c r="H5015" s="561">
        <v>12616.505999999999</v>
      </c>
      <c r="I5015" s="561">
        <v>110</v>
      </c>
      <c r="J5015" s="561">
        <v>761.01537000000008</v>
      </c>
      <c r="K5015" s="561">
        <v>797</v>
      </c>
      <c r="L5015" s="561">
        <v>11850.945</v>
      </c>
      <c r="M5015" s="561">
        <v>11850.945</v>
      </c>
      <c r="N5015" s="561">
        <v>2528.5630000000001</v>
      </c>
      <c r="O5015" s="561">
        <v>0</v>
      </c>
      <c r="P5015" s="561">
        <v>9322.3819999999996</v>
      </c>
      <c r="Q5015" s="561">
        <v>9322.3819999999996</v>
      </c>
    </row>
    <row r="5016" spans="1:38">
      <c r="A5016" s="561">
        <v>27</v>
      </c>
      <c r="B5016" s="561" t="s">
        <v>1676</v>
      </c>
      <c r="C5016" s="561" t="s">
        <v>1267</v>
      </c>
      <c r="D5016" s="561">
        <v>73454.569999999992</v>
      </c>
      <c r="E5016" s="561">
        <v>13162.088</v>
      </c>
      <c r="F5016" s="561">
        <v>60292.481999999996</v>
      </c>
      <c r="G5016" s="561">
        <v>1814</v>
      </c>
      <c r="H5016" s="561">
        <v>79233.03</v>
      </c>
      <c r="I5016" s="561">
        <v>264</v>
      </c>
      <c r="J5016" s="561">
        <v>5076.0727199999992</v>
      </c>
      <c r="K5016" s="561">
        <v>1779</v>
      </c>
      <c r="L5016" s="561">
        <v>73454.569999999992</v>
      </c>
      <c r="M5016" s="561">
        <v>73454.569999999992</v>
      </c>
      <c r="N5016" s="561">
        <v>13162.088</v>
      </c>
      <c r="O5016" s="561">
        <v>0</v>
      </c>
      <c r="P5016" s="561">
        <v>60292.481999999996</v>
      </c>
      <c r="Q5016" s="561">
        <v>60292.481999999996</v>
      </c>
    </row>
    <row r="5017" spans="1:38">
      <c r="C5017" s="561" t="s">
        <v>1197</v>
      </c>
      <c r="D5017" s="561">
        <v>63714.241999999998</v>
      </c>
      <c r="E5017" s="561">
        <v>12107.4</v>
      </c>
      <c r="F5017" s="561">
        <v>51606.841999999997</v>
      </c>
      <c r="G5017" s="561">
        <v>1066</v>
      </c>
      <c r="H5017" s="561">
        <v>68451.036999999997</v>
      </c>
      <c r="I5017" s="561">
        <v>153</v>
      </c>
      <c r="J5017" s="561">
        <v>4247.0946799999992</v>
      </c>
      <c r="K5017" s="561">
        <v>1060</v>
      </c>
      <c r="L5017" s="561">
        <v>63714.241999999998</v>
      </c>
      <c r="M5017" s="561">
        <v>63714.241999999998</v>
      </c>
      <c r="N5017" s="561">
        <v>12107.4</v>
      </c>
      <c r="O5017" s="561">
        <v>0</v>
      </c>
      <c r="Q5017" s="561">
        <v>51606.841999999997</v>
      </c>
      <c r="AL5017" s="561">
        <v>51606.841999999997</v>
      </c>
    </row>
    <row r="5018" spans="1:38">
      <c r="C5018" s="561" t="s">
        <v>1199</v>
      </c>
      <c r="D5018" s="561">
        <v>9740.3279999999995</v>
      </c>
      <c r="E5018" s="561">
        <v>1054.6880000000001</v>
      </c>
      <c r="F5018" s="561">
        <v>8685.64</v>
      </c>
      <c r="G5018" s="561">
        <v>748</v>
      </c>
      <c r="H5018" s="561">
        <v>10781.993000000002</v>
      </c>
      <c r="I5018" s="561">
        <v>111</v>
      </c>
      <c r="J5018" s="561">
        <v>828.97804000000008</v>
      </c>
      <c r="K5018" s="561">
        <v>719</v>
      </c>
      <c r="L5018" s="561">
        <v>9740.3279999999995</v>
      </c>
      <c r="M5018" s="561">
        <v>9740.3279999999995</v>
      </c>
      <c r="N5018" s="561">
        <v>1054.6880000000001</v>
      </c>
      <c r="O5018" s="561">
        <v>0</v>
      </c>
      <c r="P5018" s="561">
        <v>8685.64</v>
      </c>
      <c r="Q5018" s="561">
        <v>8685.64</v>
      </c>
    </row>
    <row r="5019" spans="1:38">
      <c r="A5019" s="561">
        <v>28</v>
      </c>
      <c r="B5019" s="561" t="s">
        <v>1677</v>
      </c>
      <c r="C5019" s="561" t="s">
        <v>1267</v>
      </c>
      <c r="D5019" s="561">
        <v>91980.263999999996</v>
      </c>
      <c r="E5019" s="561">
        <v>22860.789000000001</v>
      </c>
      <c r="F5019" s="561">
        <v>69119.475000000006</v>
      </c>
      <c r="G5019" s="561">
        <v>2935</v>
      </c>
      <c r="H5019" s="561">
        <v>94480.493000000002</v>
      </c>
      <c r="I5019" s="561">
        <v>265</v>
      </c>
      <c r="J5019" s="561">
        <v>2394.7939400000005</v>
      </c>
      <c r="K5019" s="561">
        <v>2919</v>
      </c>
      <c r="L5019" s="561">
        <v>91980.263999999996</v>
      </c>
      <c r="M5019" s="561">
        <v>91980.263999999996</v>
      </c>
      <c r="N5019" s="561">
        <v>22860.789000000001</v>
      </c>
      <c r="O5019" s="561">
        <v>0</v>
      </c>
      <c r="P5019" s="561">
        <v>69119.475000000006</v>
      </c>
      <c r="Q5019" s="561">
        <v>69119.475000000006</v>
      </c>
    </row>
    <row r="5020" spans="1:38">
      <c r="C5020" s="561" t="s">
        <v>1197</v>
      </c>
      <c r="D5020" s="561">
        <v>69849.603000000003</v>
      </c>
      <c r="E5020" s="561">
        <v>17745.789000000001</v>
      </c>
      <c r="F5020" s="561">
        <v>52103.813999999998</v>
      </c>
      <c r="G5020" s="561">
        <v>1350</v>
      </c>
      <c r="H5020" s="561">
        <v>71454.989000000001</v>
      </c>
      <c r="I5020" s="561">
        <v>116</v>
      </c>
      <c r="J5020" s="561">
        <v>1499.9467100000004</v>
      </c>
      <c r="K5020" s="561">
        <v>1348</v>
      </c>
      <c r="L5020" s="561">
        <v>69849.603000000003</v>
      </c>
      <c r="M5020" s="561">
        <v>69849.603000000003</v>
      </c>
      <c r="N5020" s="561">
        <v>17745.789000000001</v>
      </c>
      <c r="O5020" s="561">
        <v>0</v>
      </c>
      <c r="Q5020" s="561">
        <v>52103.813999999998</v>
      </c>
      <c r="AL5020" s="561">
        <v>52103.813999999998</v>
      </c>
    </row>
    <row r="5021" spans="1:38">
      <c r="C5021" s="561" t="s">
        <v>1199</v>
      </c>
      <c r="D5021" s="561">
        <v>22130.661</v>
      </c>
      <c r="E5021" s="561">
        <v>5115</v>
      </c>
      <c r="F5021" s="561">
        <v>17015.661</v>
      </c>
      <c r="G5021" s="561">
        <v>1585</v>
      </c>
      <c r="H5021" s="561">
        <v>23025.504000000001</v>
      </c>
      <c r="I5021" s="561">
        <v>149</v>
      </c>
      <c r="J5021" s="561">
        <v>894.84722999999985</v>
      </c>
      <c r="K5021" s="561">
        <v>1571</v>
      </c>
      <c r="L5021" s="561">
        <v>22130.661</v>
      </c>
      <c r="M5021" s="561">
        <v>22130.661</v>
      </c>
      <c r="N5021" s="561">
        <v>5115</v>
      </c>
      <c r="O5021" s="561">
        <v>0</v>
      </c>
      <c r="P5021" s="561">
        <v>17015.661</v>
      </c>
      <c r="Q5021" s="561">
        <v>17015.661</v>
      </c>
    </row>
    <row r="5022" spans="1:38">
      <c r="A5022" s="561">
        <v>29</v>
      </c>
      <c r="B5022" s="561" t="s">
        <v>1678</v>
      </c>
      <c r="C5022" s="561" t="s">
        <v>1267</v>
      </c>
      <c r="D5022" s="561">
        <v>139253.595</v>
      </c>
      <c r="E5022" s="561">
        <v>33146.182000000001</v>
      </c>
      <c r="F5022" s="561">
        <v>106107.413</v>
      </c>
      <c r="G5022" s="561">
        <v>3280</v>
      </c>
      <c r="H5022" s="561">
        <v>145178.965</v>
      </c>
      <c r="I5022" s="561">
        <v>281</v>
      </c>
      <c r="J5022" s="561">
        <v>6102.4544099999994</v>
      </c>
      <c r="K5022" s="561">
        <v>3253</v>
      </c>
      <c r="L5022" s="561">
        <v>139253.595</v>
      </c>
      <c r="M5022" s="561">
        <v>139253.595</v>
      </c>
      <c r="N5022" s="561">
        <v>33146.182000000008</v>
      </c>
      <c r="O5022" s="561">
        <v>0</v>
      </c>
      <c r="P5022" s="561">
        <v>106107.41299999999</v>
      </c>
      <c r="Q5022" s="561">
        <v>106107.41299999999</v>
      </c>
    </row>
    <row r="5023" spans="1:38">
      <c r="C5023" s="561" t="s">
        <v>1197</v>
      </c>
      <c r="D5023" s="561">
        <v>118394.56299999999</v>
      </c>
      <c r="E5023" s="561">
        <v>29516.028999999999</v>
      </c>
      <c r="F5023" s="561">
        <v>88878.534</v>
      </c>
      <c r="G5023" s="561">
        <v>1868</v>
      </c>
      <c r="H5023" s="561">
        <v>123855.463</v>
      </c>
      <c r="I5023" s="561">
        <v>205</v>
      </c>
      <c r="J5023" s="561">
        <v>5681.3138799999997</v>
      </c>
      <c r="K5023" s="561">
        <v>1855</v>
      </c>
      <c r="L5023" s="561">
        <v>118394.56299999999</v>
      </c>
      <c r="M5023" s="561">
        <v>118394.56299999999</v>
      </c>
      <c r="N5023" s="561">
        <v>29516.029000000006</v>
      </c>
      <c r="O5023" s="561">
        <v>0</v>
      </c>
      <c r="Q5023" s="561">
        <v>88878.533999999985</v>
      </c>
      <c r="AL5023" s="561">
        <v>88878.533999999985</v>
      </c>
    </row>
    <row r="5024" spans="1:38">
      <c r="C5024" s="561" t="s">
        <v>1199</v>
      </c>
      <c r="D5024" s="561">
        <v>20859.031999999999</v>
      </c>
      <c r="E5024" s="561">
        <v>3630.1529999999998</v>
      </c>
      <c r="F5024" s="561">
        <v>17228.879000000001</v>
      </c>
      <c r="G5024" s="561">
        <v>1412</v>
      </c>
      <c r="H5024" s="561">
        <v>21323.502</v>
      </c>
      <c r="I5024" s="561">
        <v>76</v>
      </c>
      <c r="J5024" s="561">
        <v>421.14053000000001</v>
      </c>
      <c r="K5024" s="561">
        <v>1398</v>
      </c>
      <c r="L5024" s="561">
        <v>20859.031999999999</v>
      </c>
      <c r="M5024" s="561">
        <v>20859.031999999999</v>
      </c>
      <c r="N5024" s="561">
        <v>3630.1529999999998</v>
      </c>
      <c r="O5024" s="561">
        <v>0</v>
      </c>
      <c r="P5024" s="561">
        <v>17228.879000000001</v>
      </c>
      <c r="Q5024" s="561">
        <v>17228.879000000001</v>
      </c>
    </row>
    <row r="5025" spans="1:38">
      <c r="A5025" s="561">
        <v>30</v>
      </c>
      <c r="B5025" s="561" t="s">
        <v>1679</v>
      </c>
      <c r="C5025" s="561" t="s">
        <v>1267</v>
      </c>
      <c r="D5025" s="561">
        <v>51989.798999999999</v>
      </c>
      <c r="E5025" s="561">
        <v>10338.369999999999</v>
      </c>
      <c r="F5025" s="561">
        <v>41651.429000000004</v>
      </c>
      <c r="G5025" s="561">
        <v>1522</v>
      </c>
      <c r="H5025" s="561">
        <v>54464.865999999995</v>
      </c>
      <c r="I5025" s="561">
        <v>133</v>
      </c>
      <c r="J5025" s="561">
        <v>2549.3599500000005</v>
      </c>
      <c r="K5025" s="561">
        <v>1509</v>
      </c>
      <c r="L5025" s="561">
        <v>51989.798999999999</v>
      </c>
      <c r="M5025" s="561">
        <v>51989.798999999999</v>
      </c>
      <c r="N5025" s="561">
        <v>10338.369999999999</v>
      </c>
      <c r="O5025" s="561">
        <v>0</v>
      </c>
      <c r="P5025" s="561">
        <v>41651.428999999996</v>
      </c>
      <c r="Q5025" s="561">
        <v>41651.428999999996</v>
      </c>
    </row>
    <row r="5026" spans="1:38">
      <c r="C5026" s="561" t="s">
        <v>1197</v>
      </c>
      <c r="D5026" s="561">
        <v>40071.620000000003</v>
      </c>
      <c r="E5026" s="561">
        <v>8849.7199999999993</v>
      </c>
      <c r="F5026" s="561">
        <v>31221.9</v>
      </c>
      <c r="G5026" s="561">
        <v>690</v>
      </c>
      <c r="H5026" s="561">
        <v>42315.890999999996</v>
      </c>
      <c r="I5026" s="561">
        <v>87</v>
      </c>
      <c r="J5026" s="561">
        <v>2337.2218700000003</v>
      </c>
      <c r="K5026" s="561">
        <v>684</v>
      </c>
      <c r="L5026" s="561">
        <v>40071.619999999995</v>
      </c>
      <c r="M5026" s="561">
        <v>40071.619999999995</v>
      </c>
      <c r="N5026" s="561">
        <v>8849.7199999999993</v>
      </c>
      <c r="O5026" s="561">
        <v>0</v>
      </c>
      <c r="Q5026" s="561">
        <v>31221.899999999994</v>
      </c>
      <c r="AL5026" s="561">
        <v>31221.899999999994</v>
      </c>
    </row>
    <row r="5027" spans="1:38">
      <c r="C5027" s="561" t="s">
        <v>1199</v>
      </c>
      <c r="D5027" s="561">
        <v>11918.179</v>
      </c>
      <c r="E5027" s="561">
        <v>1488.65</v>
      </c>
      <c r="F5027" s="561">
        <v>10429.529</v>
      </c>
      <c r="G5027" s="561">
        <v>832</v>
      </c>
      <c r="H5027" s="561">
        <v>12148.974999999999</v>
      </c>
      <c r="I5027" s="561">
        <v>46</v>
      </c>
      <c r="J5027" s="561">
        <v>212.13808</v>
      </c>
      <c r="K5027" s="561">
        <v>825</v>
      </c>
      <c r="L5027" s="561">
        <v>11918.179</v>
      </c>
      <c r="M5027" s="561">
        <v>11918.179</v>
      </c>
      <c r="N5027" s="561">
        <v>1488.65</v>
      </c>
      <c r="O5027" s="561">
        <v>0</v>
      </c>
      <c r="P5027" s="561">
        <v>10429.529</v>
      </c>
      <c r="Q5027" s="561">
        <v>10429.529</v>
      </c>
    </row>
    <row r="5028" spans="1:38">
      <c r="A5028" s="561">
        <v>31</v>
      </c>
      <c r="B5028" s="561" t="s">
        <v>1680</v>
      </c>
      <c r="C5028" s="561" t="s">
        <v>1267</v>
      </c>
      <c r="D5028" s="561">
        <v>132940.60700000002</v>
      </c>
      <c r="E5028" s="561">
        <v>36346.144</v>
      </c>
      <c r="F5028" s="561">
        <v>96594.463000000003</v>
      </c>
      <c r="G5028" s="561">
        <v>2698</v>
      </c>
      <c r="H5028" s="561">
        <v>137897.34700000001</v>
      </c>
      <c r="I5028" s="561">
        <v>246</v>
      </c>
      <c r="J5028" s="561">
        <v>4991.3144999999995</v>
      </c>
      <c r="K5028" s="561">
        <v>2690</v>
      </c>
      <c r="L5028" s="561">
        <v>132940.60700000002</v>
      </c>
      <c r="M5028" s="561">
        <v>132940.60700000002</v>
      </c>
      <c r="N5028" s="561">
        <v>36346.144</v>
      </c>
      <c r="O5028" s="561">
        <v>0</v>
      </c>
      <c r="P5028" s="561">
        <v>96594.463000000003</v>
      </c>
      <c r="Q5028" s="561">
        <v>96594.463000000003</v>
      </c>
    </row>
    <row r="5029" spans="1:38">
      <c r="C5029" s="561" t="s">
        <v>1197</v>
      </c>
      <c r="D5029" s="561">
        <v>121428.19900000001</v>
      </c>
      <c r="E5029" s="561">
        <v>34036.144</v>
      </c>
      <c r="F5029" s="561">
        <v>87392.055000000008</v>
      </c>
      <c r="G5029" s="561">
        <v>1955</v>
      </c>
      <c r="H5029" s="561">
        <v>126040.052</v>
      </c>
      <c r="I5029" s="561">
        <v>184</v>
      </c>
      <c r="J5029" s="561">
        <v>4646.2664999999997</v>
      </c>
      <c r="K5029" s="561">
        <v>1949</v>
      </c>
      <c r="L5029" s="561">
        <v>121428.19900000001</v>
      </c>
      <c r="M5029" s="561">
        <v>121428.19900000001</v>
      </c>
      <c r="N5029" s="561">
        <v>34036.144</v>
      </c>
      <c r="O5029" s="561">
        <v>0</v>
      </c>
      <c r="Q5029" s="561">
        <v>87392.055000000008</v>
      </c>
      <c r="AL5029" s="561">
        <v>87392.055000000008</v>
      </c>
    </row>
    <row r="5030" spans="1:38">
      <c r="C5030" s="561" t="s">
        <v>1199</v>
      </c>
      <c r="D5030" s="561">
        <v>11512.407999999998</v>
      </c>
      <c r="E5030" s="561">
        <v>2310</v>
      </c>
      <c r="F5030" s="561">
        <v>9202.4079999999976</v>
      </c>
      <c r="G5030" s="561">
        <v>743</v>
      </c>
      <c r="H5030" s="561">
        <v>11857.295</v>
      </c>
      <c r="I5030" s="561">
        <v>62</v>
      </c>
      <c r="J5030" s="561">
        <v>345.04799999999994</v>
      </c>
      <c r="K5030" s="561">
        <v>741</v>
      </c>
      <c r="L5030" s="561">
        <v>11512.407999999998</v>
      </c>
      <c r="M5030" s="561">
        <v>11512.407999999998</v>
      </c>
      <c r="N5030" s="561">
        <v>2310</v>
      </c>
      <c r="O5030" s="561">
        <v>0</v>
      </c>
      <c r="P5030" s="561">
        <v>9202.4079999999976</v>
      </c>
      <c r="Q5030" s="561">
        <v>9202.4079999999976</v>
      </c>
    </row>
    <row r="5031" spans="1:38">
      <c r="A5031" s="561">
        <v>32</v>
      </c>
      <c r="B5031" s="561" t="s">
        <v>1681</v>
      </c>
      <c r="C5031" s="561" t="s">
        <v>1267</v>
      </c>
      <c r="D5031" s="561">
        <v>168262.65900000004</v>
      </c>
      <c r="E5031" s="561">
        <v>37198.740000000005</v>
      </c>
      <c r="F5031" s="561">
        <v>131063.91900000002</v>
      </c>
      <c r="G5031" s="561">
        <v>3963</v>
      </c>
      <c r="H5031" s="561">
        <v>176705.45900000003</v>
      </c>
      <c r="I5031" s="561">
        <v>407</v>
      </c>
      <c r="J5031" s="561">
        <v>8219.3116300000002</v>
      </c>
      <c r="K5031" s="561">
        <v>3939</v>
      </c>
      <c r="L5031" s="561">
        <v>168262.65900000004</v>
      </c>
      <c r="M5031" s="561">
        <v>168262.65900000004</v>
      </c>
      <c r="N5031" s="561">
        <v>37198.740000000005</v>
      </c>
      <c r="O5031" s="561">
        <v>0</v>
      </c>
      <c r="P5031" s="561">
        <v>131063.91900000002</v>
      </c>
      <c r="Q5031" s="561">
        <v>131063.91900000001</v>
      </c>
    </row>
    <row r="5032" spans="1:38">
      <c r="C5032" s="561" t="s">
        <v>1197</v>
      </c>
      <c r="D5032" s="561">
        <v>145367.19300000003</v>
      </c>
      <c r="E5032" s="561">
        <v>33023.19</v>
      </c>
      <c r="F5032" s="561">
        <v>112344.00300000003</v>
      </c>
      <c r="G5032" s="561">
        <v>2409</v>
      </c>
      <c r="H5032" s="561">
        <v>152750.75900000002</v>
      </c>
      <c r="I5032" s="561">
        <v>257</v>
      </c>
      <c r="J5032" s="561">
        <v>7234.9122900000002</v>
      </c>
      <c r="K5032" s="561">
        <v>2396</v>
      </c>
      <c r="L5032" s="561">
        <v>145367.19300000003</v>
      </c>
      <c r="M5032" s="561">
        <v>145367.19300000003</v>
      </c>
      <c r="N5032" s="561">
        <v>33023.19</v>
      </c>
      <c r="O5032" s="561">
        <v>0</v>
      </c>
      <c r="Q5032" s="561">
        <v>112344.00300000001</v>
      </c>
      <c r="AL5032" s="561">
        <v>112344.00300000003</v>
      </c>
    </row>
    <row r="5033" spans="1:38">
      <c r="C5033" s="561" t="s">
        <v>1199</v>
      </c>
      <c r="D5033" s="561">
        <v>22895.466</v>
      </c>
      <c r="E5033" s="561">
        <v>4175.55</v>
      </c>
      <c r="F5033" s="561">
        <v>18719.916000000001</v>
      </c>
      <c r="G5033" s="561">
        <v>1554</v>
      </c>
      <c r="H5033" s="561">
        <v>23954.7</v>
      </c>
      <c r="I5033" s="561">
        <v>150</v>
      </c>
      <c r="J5033" s="561">
        <v>984.39934000000005</v>
      </c>
      <c r="K5033" s="561">
        <v>1543</v>
      </c>
      <c r="L5033" s="561">
        <v>22895.466</v>
      </c>
      <c r="M5033" s="561">
        <v>22895.466</v>
      </c>
      <c r="N5033" s="561">
        <v>4175.55</v>
      </c>
      <c r="O5033" s="561">
        <v>0</v>
      </c>
      <c r="P5033" s="561">
        <v>18719.916000000001</v>
      </c>
      <c r="Q5033" s="561">
        <v>18719.916000000001</v>
      </c>
    </row>
    <row r="5034" spans="1:38">
      <c r="A5034" s="561">
        <v>33</v>
      </c>
      <c r="B5034" s="561" t="s">
        <v>1682</v>
      </c>
      <c r="C5034" s="561" t="s">
        <v>1267</v>
      </c>
      <c r="D5034" s="561">
        <v>232081.92300000001</v>
      </c>
      <c r="E5034" s="561">
        <v>59511.932999999997</v>
      </c>
      <c r="F5034" s="561">
        <v>172569.99</v>
      </c>
      <c r="G5034" s="561">
        <v>4739</v>
      </c>
      <c r="H5034" s="561">
        <v>246198.43600000002</v>
      </c>
      <c r="I5034" s="561">
        <v>588</v>
      </c>
      <c r="J5034" s="561">
        <v>14270.10109</v>
      </c>
      <c r="K5034" s="561">
        <v>4703</v>
      </c>
      <c r="L5034" s="561">
        <v>232081.92300000001</v>
      </c>
      <c r="M5034" s="561">
        <v>232081.92300000001</v>
      </c>
      <c r="N5034" s="561">
        <v>59511.932999999997</v>
      </c>
      <c r="O5034" s="561">
        <v>0</v>
      </c>
      <c r="P5034" s="561">
        <v>172569.99</v>
      </c>
      <c r="Q5034" s="561">
        <v>172569.99</v>
      </c>
    </row>
    <row r="5035" spans="1:38">
      <c r="C5035" s="561" t="s">
        <v>1197</v>
      </c>
      <c r="D5035" s="561">
        <v>204952.353</v>
      </c>
      <c r="E5035" s="561">
        <v>54172.14</v>
      </c>
      <c r="F5035" s="561">
        <v>150780.21299999999</v>
      </c>
      <c r="G5035" s="561">
        <v>2999</v>
      </c>
      <c r="H5035" s="561">
        <v>217617.74400000001</v>
      </c>
      <c r="I5035" s="561">
        <v>419</v>
      </c>
      <c r="J5035" s="561">
        <v>12961.65574</v>
      </c>
      <c r="K5035" s="561">
        <v>2982</v>
      </c>
      <c r="L5035" s="561">
        <v>204952.353</v>
      </c>
      <c r="M5035" s="561">
        <v>204952.353</v>
      </c>
      <c r="N5035" s="561">
        <v>54172.14</v>
      </c>
      <c r="O5035" s="561">
        <v>0</v>
      </c>
      <c r="Q5035" s="561">
        <v>150780.21299999999</v>
      </c>
      <c r="AL5035" s="561">
        <v>150780.21299999999</v>
      </c>
    </row>
    <row r="5036" spans="1:38">
      <c r="C5036" s="561" t="s">
        <v>1199</v>
      </c>
      <c r="D5036" s="561">
        <v>27129.57</v>
      </c>
      <c r="E5036" s="561">
        <v>5339.7929999999997</v>
      </c>
      <c r="F5036" s="561">
        <v>21789.777000000002</v>
      </c>
      <c r="G5036" s="561">
        <v>1740</v>
      </c>
      <c r="H5036" s="561">
        <v>28580.692000000003</v>
      </c>
      <c r="I5036" s="561">
        <v>169</v>
      </c>
      <c r="J5036" s="561">
        <v>1308.44535</v>
      </c>
      <c r="K5036" s="561">
        <v>1721</v>
      </c>
      <c r="L5036" s="561">
        <v>27129.57</v>
      </c>
      <c r="M5036" s="561">
        <v>27129.57</v>
      </c>
      <c r="N5036" s="561">
        <v>5339.7929999999997</v>
      </c>
      <c r="O5036" s="561">
        <v>0</v>
      </c>
      <c r="P5036" s="561">
        <v>21789.777000000002</v>
      </c>
      <c r="Q5036" s="561">
        <v>21789.777000000002</v>
      </c>
    </row>
    <row r="5037" spans="1:38">
      <c r="A5037" s="561">
        <v>34</v>
      </c>
      <c r="B5037" s="561" t="s">
        <v>1683</v>
      </c>
      <c r="C5037" s="561" t="s">
        <v>1267</v>
      </c>
      <c r="D5037" s="561">
        <v>123041.704</v>
      </c>
      <c r="E5037" s="561">
        <v>21656.589</v>
      </c>
      <c r="F5037" s="561">
        <v>101385.11500000001</v>
      </c>
      <c r="G5037" s="561">
        <v>2626</v>
      </c>
      <c r="H5037" s="561">
        <v>130972.878</v>
      </c>
      <c r="I5037" s="561">
        <v>349</v>
      </c>
      <c r="J5037" s="561">
        <v>8257.9906199999987</v>
      </c>
      <c r="K5037" s="561">
        <v>2613</v>
      </c>
      <c r="L5037" s="561">
        <v>123041.704</v>
      </c>
      <c r="M5037" s="561">
        <v>123041.704</v>
      </c>
      <c r="N5037" s="561">
        <v>21656.589</v>
      </c>
      <c r="O5037" s="561">
        <v>0</v>
      </c>
      <c r="P5037" s="561">
        <v>101385.11500000001</v>
      </c>
      <c r="Q5037" s="561">
        <v>101385.11500000001</v>
      </c>
    </row>
    <row r="5038" spans="1:38">
      <c r="C5038" s="561" t="s">
        <v>1197</v>
      </c>
      <c r="D5038" s="561">
        <v>110722.811</v>
      </c>
      <c r="E5038" s="561">
        <v>19890.828000000001</v>
      </c>
      <c r="F5038" s="561">
        <v>90831.983000000007</v>
      </c>
      <c r="G5038" s="561">
        <v>1840</v>
      </c>
      <c r="H5038" s="561">
        <v>118164.148</v>
      </c>
      <c r="I5038" s="561">
        <v>258</v>
      </c>
      <c r="J5038" s="561">
        <v>7614.8651999999993</v>
      </c>
      <c r="K5038" s="561">
        <v>1832</v>
      </c>
      <c r="L5038" s="561">
        <v>110722.811</v>
      </c>
      <c r="M5038" s="561">
        <v>110722.811</v>
      </c>
      <c r="N5038" s="561">
        <v>19890.828000000001</v>
      </c>
      <c r="O5038" s="561">
        <v>0</v>
      </c>
      <c r="Q5038" s="561">
        <v>90831.983000000007</v>
      </c>
      <c r="AL5038" s="561">
        <v>90831.983000000007</v>
      </c>
    </row>
    <row r="5039" spans="1:38">
      <c r="C5039" s="561" t="s">
        <v>1199</v>
      </c>
      <c r="D5039" s="561">
        <v>12318.893000000004</v>
      </c>
      <c r="E5039" s="561">
        <v>1765.761</v>
      </c>
      <c r="F5039" s="561">
        <v>10553.132000000003</v>
      </c>
      <c r="G5039" s="561">
        <v>786</v>
      </c>
      <c r="H5039" s="561">
        <v>12808.73</v>
      </c>
      <c r="I5039" s="561">
        <v>91</v>
      </c>
      <c r="J5039" s="561">
        <v>643.12542000000008</v>
      </c>
      <c r="K5039" s="561">
        <v>781</v>
      </c>
      <c r="L5039" s="561">
        <v>12318.893000000004</v>
      </c>
      <c r="M5039" s="561">
        <v>12318.893000000004</v>
      </c>
      <c r="N5039" s="561">
        <v>1765.761</v>
      </c>
      <c r="O5039" s="561">
        <v>0</v>
      </c>
      <c r="P5039" s="561">
        <v>10553.132000000003</v>
      </c>
      <c r="Q5039" s="561">
        <v>10553.132000000003</v>
      </c>
    </row>
    <row r="5040" spans="1:38">
      <c r="A5040" s="561">
        <v>35</v>
      </c>
      <c r="B5040" s="561" t="s">
        <v>1684</v>
      </c>
      <c r="C5040" s="561" t="s">
        <v>1267</v>
      </c>
      <c r="D5040" s="561">
        <v>50376.141000000003</v>
      </c>
      <c r="E5040" s="561">
        <v>14105.157999999999</v>
      </c>
      <c r="F5040" s="561">
        <v>36270.983000000007</v>
      </c>
      <c r="G5040" s="561">
        <v>714</v>
      </c>
      <c r="H5040" s="561">
        <v>50628.858999999997</v>
      </c>
      <c r="I5040" s="561">
        <v>7</v>
      </c>
      <c r="J5040" s="561">
        <v>252.71899999999999</v>
      </c>
      <c r="K5040" s="561">
        <v>713</v>
      </c>
      <c r="L5040" s="561">
        <v>50376.141000000003</v>
      </c>
      <c r="M5040" s="561">
        <v>50376.141000000003</v>
      </c>
      <c r="N5040" s="561">
        <v>14105.157999999999</v>
      </c>
      <c r="O5040" s="561">
        <v>0</v>
      </c>
      <c r="P5040" s="561">
        <v>36270.983000000007</v>
      </c>
      <c r="Q5040" s="561">
        <v>36270.983000000007</v>
      </c>
    </row>
    <row r="5041" spans="1:38">
      <c r="C5041" s="561" t="s">
        <v>1197</v>
      </c>
      <c r="D5041" s="561">
        <v>50376.141000000003</v>
      </c>
      <c r="E5041" s="561">
        <v>14105.157999999999</v>
      </c>
      <c r="F5041" s="561">
        <v>36270.983000000007</v>
      </c>
      <c r="G5041" s="561">
        <v>714</v>
      </c>
      <c r="H5041" s="561">
        <v>50628.858999999997</v>
      </c>
      <c r="I5041" s="561">
        <v>7</v>
      </c>
      <c r="J5041" s="561">
        <v>252.71899999999999</v>
      </c>
      <c r="K5041" s="561">
        <v>713</v>
      </c>
      <c r="L5041" s="561">
        <v>50376.141000000003</v>
      </c>
      <c r="M5041" s="561">
        <v>50376.141000000003</v>
      </c>
      <c r="N5041" s="561">
        <v>14105.157999999999</v>
      </c>
      <c r="O5041" s="561">
        <v>0</v>
      </c>
      <c r="Q5041" s="561">
        <v>36270.983000000007</v>
      </c>
      <c r="AL5041" s="561">
        <v>36270.983000000007</v>
      </c>
    </row>
    <row r="5042" spans="1:38">
      <c r="C5042" s="561" t="s">
        <v>1199</v>
      </c>
      <c r="D5042" s="561">
        <v>0</v>
      </c>
      <c r="F5042" s="561">
        <v>0</v>
      </c>
      <c r="G5042" s="561">
        <v>0</v>
      </c>
      <c r="H5042" s="561">
        <v>0</v>
      </c>
      <c r="I5042" s="561">
        <v>0</v>
      </c>
      <c r="J5042" s="561">
        <v>0</v>
      </c>
      <c r="K5042" s="561">
        <v>0</v>
      </c>
      <c r="L5042" s="561">
        <v>0</v>
      </c>
      <c r="M5042" s="561">
        <v>0</v>
      </c>
      <c r="N5042" s="561">
        <v>0</v>
      </c>
      <c r="O5042" s="561">
        <v>0</v>
      </c>
      <c r="P5042" s="561">
        <v>0</v>
      </c>
      <c r="Q5042" s="561">
        <v>0</v>
      </c>
    </row>
    <row r="5043" spans="1:38">
      <c r="A5043" s="561">
        <v>36</v>
      </c>
      <c r="B5043" s="561" t="s">
        <v>1685</v>
      </c>
      <c r="C5043" s="561" t="s">
        <v>1267</v>
      </c>
      <c r="D5043" s="561">
        <v>239394.37700000004</v>
      </c>
      <c r="E5043" s="561">
        <v>67311.686000000002</v>
      </c>
      <c r="F5043" s="561">
        <v>172082.69100000002</v>
      </c>
      <c r="G5043" s="561">
        <v>5185</v>
      </c>
      <c r="H5043" s="561">
        <v>246295.31200000001</v>
      </c>
      <c r="I5043" s="561">
        <v>260</v>
      </c>
      <c r="J5043" s="561">
        <v>7216.7241299999996</v>
      </c>
      <c r="K5043" s="561">
        <v>5143</v>
      </c>
      <c r="L5043" s="561">
        <v>239394.37700000004</v>
      </c>
      <c r="M5043" s="561">
        <v>239394.37700000004</v>
      </c>
      <c r="N5043" s="561">
        <v>67311.686000000002</v>
      </c>
      <c r="O5043" s="561">
        <v>0</v>
      </c>
      <c r="P5043" s="561">
        <v>172082.69100000002</v>
      </c>
      <c r="Q5043" s="561">
        <v>172082.69100000002</v>
      </c>
    </row>
    <row r="5044" spans="1:38">
      <c r="C5044" s="561" t="s">
        <v>1197</v>
      </c>
      <c r="D5044" s="561">
        <v>201218.07600000003</v>
      </c>
      <c r="E5044" s="561">
        <v>59127.686000000002</v>
      </c>
      <c r="F5044" s="561">
        <v>142090.39000000001</v>
      </c>
      <c r="G5044" s="561">
        <v>2654</v>
      </c>
      <c r="H5044" s="561">
        <v>207602.07500000001</v>
      </c>
      <c r="I5044" s="561">
        <v>168</v>
      </c>
      <c r="J5044" s="561">
        <v>6699.7872399999997</v>
      </c>
      <c r="K5044" s="561">
        <v>2618</v>
      </c>
      <c r="L5044" s="561">
        <v>201218.07600000003</v>
      </c>
      <c r="M5044" s="561">
        <v>201218.07600000003</v>
      </c>
      <c r="N5044" s="561">
        <v>59127.686000000002</v>
      </c>
      <c r="O5044" s="561">
        <v>0</v>
      </c>
      <c r="Q5044" s="561">
        <v>142090.39000000001</v>
      </c>
      <c r="AL5044" s="561">
        <v>142090.39000000001</v>
      </c>
    </row>
    <row r="5045" spans="1:38">
      <c r="C5045" s="561" t="s">
        <v>1199</v>
      </c>
      <c r="D5045" s="561">
        <v>38176.300999999999</v>
      </c>
      <c r="E5045" s="561">
        <v>8184</v>
      </c>
      <c r="F5045" s="561">
        <v>29992.300999999999</v>
      </c>
      <c r="G5045" s="561">
        <v>2531</v>
      </c>
      <c r="H5045" s="561">
        <v>38693.237000000001</v>
      </c>
      <c r="I5045" s="561">
        <v>92</v>
      </c>
      <c r="J5045" s="561">
        <v>516.93688999999995</v>
      </c>
      <c r="K5045" s="561">
        <v>2525</v>
      </c>
      <c r="L5045" s="561">
        <v>38176.300999999999</v>
      </c>
      <c r="M5045" s="561">
        <v>38176.300999999999</v>
      </c>
      <c r="N5045" s="561">
        <v>8184</v>
      </c>
      <c r="O5045" s="561">
        <v>0</v>
      </c>
      <c r="P5045" s="561">
        <v>29992.300999999999</v>
      </c>
      <c r="Q5045" s="561">
        <v>29992.300999999999</v>
      </c>
    </row>
    <row r="5046" spans="1:38">
      <c r="A5046" s="561">
        <v>37</v>
      </c>
      <c r="B5046" s="561" t="s">
        <v>1686</v>
      </c>
      <c r="C5046" s="561" t="s">
        <v>1267</v>
      </c>
      <c r="D5046" s="561">
        <v>99214.097999999998</v>
      </c>
      <c r="E5046" s="561">
        <v>30581.569</v>
      </c>
      <c r="F5046" s="561">
        <v>68632.52900000001</v>
      </c>
      <c r="G5046" s="561">
        <v>1641</v>
      </c>
      <c r="H5046" s="561">
        <v>100284.13300000002</v>
      </c>
      <c r="I5046" s="561">
        <v>44</v>
      </c>
      <c r="J5046" s="561">
        <v>1151.7079229999999</v>
      </c>
      <c r="K5046" s="561">
        <v>1632</v>
      </c>
      <c r="L5046" s="561">
        <v>99214.097999999998</v>
      </c>
      <c r="M5046" s="561">
        <v>99214.097999999998</v>
      </c>
      <c r="N5046" s="561">
        <v>30581.569</v>
      </c>
      <c r="O5046" s="561">
        <v>0</v>
      </c>
      <c r="P5046" s="561">
        <v>68632.52900000001</v>
      </c>
      <c r="Q5046" s="561">
        <v>68632.52900000001</v>
      </c>
    </row>
    <row r="5047" spans="1:38">
      <c r="C5047" s="561" t="s">
        <v>1197</v>
      </c>
      <c r="D5047" s="561">
        <v>95089.078999999998</v>
      </c>
      <c r="E5047" s="561">
        <v>30050.263999999999</v>
      </c>
      <c r="F5047" s="561">
        <v>65038.815000000002</v>
      </c>
      <c r="G5047" s="561">
        <v>1390</v>
      </c>
      <c r="H5047" s="561">
        <v>96043.878000000012</v>
      </c>
      <c r="I5047" s="561">
        <v>32</v>
      </c>
      <c r="J5047" s="561">
        <v>1036.47137</v>
      </c>
      <c r="K5047" s="561">
        <v>1388</v>
      </c>
      <c r="L5047" s="561">
        <v>95089.078999999998</v>
      </c>
      <c r="M5047" s="561">
        <v>95089.078999999998</v>
      </c>
      <c r="N5047" s="561">
        <v>30050.263999999999</v>
      </c>
      <c r="O5047" s="561">
        <v>0</v>
      </c>
      <c r="Q5047" s="561">
        <v>65038.815000000002</v>
      </c>
      <c r="AL5047" s="561">
        <v>65038.815000000002</v>
      </c>
    </row>
    <row r="5048" spans="1:38">
      <c r="C5048" s="561" t="s">
        <v>1199</v>
      </c>
      <c r="D5048" s="561">
        <v>4125.0190000000002</v>
      </c>
      <c r="E5048" s="561">
        <v>531.30499999999995</v>
      </c>
      <c r="F5048" s="561">
        <v>3593.7140000000004</v>
      </c>
      <c r="G5048" s="561">
        <v>251</v>
      </c>
      <c r="H5048" s="561">
        <v>4240.2550000000001</v>
      </c>
      <c r="I5048" s="561">
        <v>12</v>
      </c>
      <c r="J5048" s="561">
        <v>115.23655299999999</v>
      </c>
      <c r="K5048" s="561">
        <v>244</v>
      </c>
      <c r="L5048" s="561">
        <v>4125.0190000000002</v>
      </c>
      <c r="M5048" s="561">
        <v>4125.0190000000002</v>
      </c>
      <c r="N5048" s="561">
        <v>531.30499999999995</v>
      </c>
      <c r="O5048" s="561">
        <v>0</v>
      </c>
      <c r="P5048" s="561">
        <v>3593.7140000000004</v>
      </c>
      <c r="Q5048" s="561">
        <v>3593.7140000000004</v>
      </c>
    </row>
    <row r="5049" spans="1:38">
      <c r="A5049" s="561">
        <v>38</v>
      </c>
      <c r="B5049" s="561" t="s">
        <v>1687</v>
      </c>
      <c r="C5049" s="561" t="s">
        <v>1267</v>
      </c>
      <c r="D5049" s="561">
        <v>85663.861999999994</v>
      </c>
      <c r="E5049" s="561">
        <v>21711.712</v>
      </c>
      <c r="F5049" s="561">
        <v>63952.149999999994</v>
      </c>
      <c r="G5049" s="561">
        <v>6711</v>
      </c>
      <c r="H5049" s="561">
        <v>88523.364000000001</v>
      </c>
      <c r="I5049" s="561">
        <v>363</v>
      </c>
      <c r="J5049" s="561">
        <v>2863.1284899999996</v>
      </c>
      <c r="K5049" s="561">
        <v>6661</v>
      </c>
      <c r="L5049" s="561">
        <v>85663.861999999994</v>
      </c>
      <c r="M5049" s="561">
        <v>85663.861999999994</v>
      </c>
      <c r="N5049" s="561">
        <v>21711.712</v>
      </c>
      <c r="O5049" s="561">
        <v>0</v>
      </c>
      <c r="P5049" s="561">
        <v>63952.149999999994</v>
      </c>
      <c r="Q5049" s="561">
        <v>63952.149999999994</v>
      </c>
    </row>
    <row r="5050" spans="1:38">
      <c r="C5050" s="561" t="s">
        <v>1197</v>
      </c>
      <c r="D5050" s="561">
        <v>0</v>
      </c>
      <c r="F5050" s="561">
        <v>0</v>
      </c>
      <c r="G5050" s="561">
        <v>0</v>
      </c>
      <c r="H5050" s="561">
        <v>0</v>
      </c>
      <c r="I5050" s="561">
        <v>0</v>
      </c>
      <c r="J5050" s="561">
        <v>0</v>
      </c>
      <c r="K5050" s="561">
        <v>0</v>
      </c>
      <c r="L5050" s="561">
        <v>0</v>
      </c>
      <c r="M5050" s="561">
        <v>0</v>
      </c>
      <c r="N5050" s="561">
        <v>0</v>
      </c>
      <c r="O5050" s="561">
        <v>0</v>
      </c>
      <c r="P5050" s="561">
        <v>0</v>
      </c>
      <c r="Q5050" s="561">
        <v>0</v>
      </c>
    </row>
    <row r="5051" spans="1:38">
      <c r="C5051" s="561" t="s">
        <v>1199</v>
      </c>
      <c r="D5051" s="561">
        <v>85663.861999999994</v>
      </c>
      <c r="E5051" s="561">
        <v>21711.712</v>
      </c>
      <c r="F5051" s="561">
        <v>63952.149999999994</v>
      </c>
      <c r="G5051" s="561">
        <v>6711</v>
      </c>
      <c r="H5051" s="561">
        <v>88523.364000000001</v>
      </c>
      <c r="I5051" s="561">
        <v>363</v>
      </c>
      <c r="J5051" s="561">
        <v>2863.1284899999996</v>
      </c>
      <c r="K5051" s="561">
        <v>6661</v>
      </c>
      <c r="L5051" s="561">
        <v>85663.861999999994</v>
      </c>
      <c r="M5051" s="561">
        <v>85663.861999999994</v>
      </c>
      <c r="N5051" s="561">
        <v>21711.712</v>
      </c>
      <c r="O5051" s="561">
        <v>0</v>
      </c>
      <c r="P5051" s="561">
        <v>63952.149999999994</v>
      </c>
      <c r="Q5051" s="561">
        <v>63952.149999999994</v>
      </c>
    </row>
    <row r="5052" spans="1:38">
      <c r="A5052" s="561">
        <v>39</v>
      </c>
      <c r="B5052" s="561" t="s">
        <v>1688</v>
      </c>
      <c r="C5052" s="561" t="s">
        <v>1267</v>
      </c>
      <c r="D5052" s="561">
        <v>54852.827000000005</v>
      </c>
      <c r="E5052" s="561">
        <v>16458.93</v>
      </c>
      <c r="F5052" s="561">
        <v>38393.897000000004</v>
      </c>
      <c r="G5052" s="561">
        <v>3789</v>
      </c>
      <c r="H5052" s="561">
        <v>55356.088000000003</v>
      </c>
      <c r="I5052" s="561">
        <v>116</v>
      </c>
      <c r="J5052" s="561">
        <v>507.22218000000004</v>
      </c>
      <c r="K5052" s="561">
        <v>3781</v>
      </c>
      <c r="L5052" s="561">
        <v>54852.827000000005</v>
      </c>
      <c r="M5052" s="561">
        <v>54852.827000000005</v>
      </c>
      <c r="N5052" s="561">
        <v>16458.93</v>
      </c>
      <c r="O5052" s="561">
        <v>0</v>
      </c>
      <c r="P5052" s="561">
        <v>38393.897000000004</v>
      </c>
      <c r="Q5052" s="561">
        <v>38393.897000000004</v>
      </c>
    </row>
    <row r="5053" spans="1:38">
      <c r="C5053" s="561" t="s">
        <v>1197</v>
      </c>
      <c r="D5053" s="561">
        <v>0</v>
      </c>
      <c r="F5053" s="561">
        <v>0</v>
      </c>
      <c r="G5053" s="561">
        <v>0</v>
      </c>
      <c r="H5053" s="561">
        <v>0</v>
      </c>
      <c r="I5053" s="561">
        <v>0</v>
      </c>
      <c r="J5053" s="561">
        <v>0</v>
      </c>
      <c r="K5053" s="561">
        <v>0</v>
      </c>
      <c r="L5053" s="561">
        <v>0</v>
      </c>
      <c r="M5053" s="561">
        <v>0</v>
      </c>
      <c r="N5053" s="561">
        <v>0</v>
      </c>
      <c r="O5053" s="561">
        <v>0</v>
      </c>
      <c r="P5053" s="561">
        <v>0</v>
      </c>
      <c r="Q5053" s="561">
        <v>0</v>
      </c>
    </row>
    <row r="5054" spans="1:38">
      <c r="C5054" s="561" t="s">
        <v>1199</v>
      </c>
      <c r="D5054" s="561">
        <v>54852.827000000005</v>
      </c>
      <c r="E5054" s="561">
        <v>16458.93</v>
      </c>
      <c r="F5054" s="561">
        <v>38393.897000000004</v>
      </c>
      <c r="G5054" s="561">
        <v>3789</v>
      </c>
      <c r="H5054" s="561">
        <v>55356.088000000003</v>
      </c>
      <c r="I5054" s="561">
        <v>116</v>
      </c>
      <c r="J5054" s="561">
        <v>507.22218000000004</v>
      </c>
      <c r="K5054" s="561">
        <v>3781</v>
      </c>
      <c r="L5054" s="561">
        <v>54852.827000000005</v>
      </c>
      <c r="M5054" s="561">
        <v>54852.827000000005</v>
      </c>
      <c r="N5054" s="561">
        <v>16458.93</v>
      </c>
      <c r="O5054" s="561">
        <v>0</v>
      </c>
      <c r="P5054" s="561">
        <v>38393.897000000004</v>
      </c>
      <c r="Q5054" s="561">
        <v>38393.897000000004</v>
      </c>
    </row>
    <row r="5055" spans="1:38">
      <c r="A5055" s="561">
        <v>40</v>
      </c>
      <c r="B5055" s="561" t="s">
        <v>1689</v>
      </c>
      <c r="C5055" s="561" t="s">
        <v>1267</v>
      </c>
      <c r="D5055" s="561">
        <v>64964.036999999997</v>
      </c>
      <c r="E5055" s="561">
        <v>18560.07</v>
      </c>
      <c r="F5055" s="561">
        <v>46403.966999999997</v>
      </c>
      <c r="G5055" s="561">
        <v>4810</v>
      </c>
      <c r="H5055" s="561">
        <v>65837.672999999995</v>
      </c>
      <c r="I5055" s="561">
        <v>173</v>
      </c>
      <c r="J5055" s="561">
        <v>877.75666999999999</v>
      </c>
      <c r="K5055" s="561">
        <v>4779</v>
      </c>
      <c r="L5055" s="561">
        <v>64964.036999999997</v>
      </c>
      <c r="M5055" s="561">
        <v>64964.036999999997</v>
      </c>
      <c r="N5055" s="561">
        <v>18560.07</v>
      </c>
      <c r="O5055" s="561">
        <v>0</v>
      </c>
      <c r="P5055" s="561">
        <v>46403.966999999997</v>
      </c>
      <c r="Q5055" s="561">
        <v>46403.966999999997</v>
      </c>
    </row>
    <row r="5056" spans="1:38">
      <c r="C5056" s="561" t="s">
        <v>1197</v>
      </c>
      <c r="D5056" s="561">
        <v>0</v>
      </c>
      <c r="F5056" s="561">
        <v>0</v>
      </c>
      <c r="G5056" s="561">
        <v>0</v>
      </c>
      <c r="H5056" s="561">
        <v>0</v>
      </c>
      <c r="I5056" s="561">
        <v>0</v>
      </c>
      <c r="J5056" s="561">
        <v>0</v>
      </c>
      <c r="K5056" s="561">
        <v>0</v>
      </c>
      <c r="L5056" s="561">
        <v>0</v>
      </c>
      <c r="M5056" s="561">
        <v>0</v>
      </c>
      <c r="N5056" s="561">
        <v>0</v>
      </c>
      <c r="O5056" s="561">
        <v>0</v>
      </c>
      <c r="P5056" s="561">
        <v>0</v>
      </c>
      <c r="Q5056" s="561">
        <v>0</v>
      </c>
    </row>
    <row r="5057" spans="1:17">
      <c r="C5057" s="561" t="s">
        <v>1199</v>
      </c>
      <c r="D5057" s="561">
        <v>64964.036999999997</v>
      </c>
      <c r="E5057" s="561">
        <v>18560.07</v>
      </c>
      <c r="F5057" s="561">
        <v>46403.966999999997</v>
      </c>
      <c r="G5057" s="561">
        <v>4810</v>
      </c>
      <c r="H5057" s="561">
        <v>65837.672999999995</v>
      </c>
      <c r="I5057" s="561">
        <v>173</v>
      </c>
      <c r="J5057" s="561">
        <v>877.75666999999999</v>
      </c>
      <c r="K5057" s="561">
        <v>4779</v>
      </c>
      <c r="L5057" s="561">
        <v>64964.036999999997</v>
      </c>
      <c r="M5057" s="561">
        <v>64964.036999999997</v>
      </c>
      <c r="N5057" s="561">
        <v>18560.07</v>
      </c>
      <c r="O5057" s="561">
        <v>0</v>
      </c>
      <c r="P5057" s="561">
        <v>46403.966999999997</v>
      </c>
      <c r="Q5057" s="561">
        <v>46403.966999999997</v>
      </c>
    </row>
    <row r="5058" spans="1:17">
      <c r="A5058" s="561">
        <v>41</v>
      </c>
      <c r="B5058" s="561" t="s">
        <v>1690</v>
      </c>
      <c r="C5058" s="561" t="s">
        <v>1267</v>
      </c>
      <c r="D5058" s="561">
        <v>23744.665999999997</v>
      </c>
      <c r="E5058" s="561">
        <v>5867.982</v>
      </c>
      <c r="F5058" s="561">
        <v>17876.683999999997</v>
      </c>
      <c r="G5058" s="561">
        <v>1975</v>
      </c>
      <c r="H5058" s="561">
        <v>25468.452000000001</v>
      </c>
      <c r="I5058" s="561">
        <v>206</v>
      </c>
      <c r="J5058" s="561">
        <v>1660.6350199999997</v>
      </c>
      <c r="K5058" s="561">
        <v>1961</v>
      </c>
      <c r="L5058" s="561">
        <v>23744.665999999997</v>
      </c>
      <c r="M5058" s="561">
        <v>23744.665999999997</v>
      </c>
      <c r="N5058" s="561">
        <v>5867.982</v>
      </c>
      <c r="O5058" s="561">
        <v>0</v>
      </c>
      <c r="P5058" s="561">
        <v>17876.683999999997</v>
      </c>
      <c r="Q5058" s="561">
        <v>17876.683999999997</v>
      </c>
    </row>
    <row r="5059" spans="1:17">
      <c r="C5059" s="561" t="s">
        <v>1197</v>
      </c>
      <c r="D5059" s="561">
        <v>0</v>
      </c>
      <c r="F5059" s="561">
        <v>0</v>
      </c>
      <c r="G5059" s="561">
        <v>0</v>
      </c>
      <c r="H5059" s="561">
        <v>0</v>
      </c>
      <c r="I5059" s="561">
        <v>0</v>
      </c>
      <c r="J5059" s="561">
        <v>0</v>
      </c>
      <c r="K5059" s="561">
        <v>0</v>
      </c>
      <c r="L5059" s="561">
        <v>0</v>
      </c>
      <c r="M5059" s="561">
        <v>0</v>
      </c>
      <c r="N5059" s="561">
        <v>0</v>
      </c>
      <c r="O5059" s="561">
        <v>0</v>
      </c>
      <c r="P5059" s="561">
        <v>0</v>
      </c>
      <c r="Q5059" s="561">
        <v>0</v>
      </c>
    </row>
    <row r="5060" spans="1:17">
      <c r="C5060" s="561" t="s">
        <v>1199</v>
      </c>
      <c r="D5060" s="561">
        <v>23744.665999999997</v>
      </c>
      <c r="E5060" s="561">
        <v>5867.982</v>
      </c>
      <c r="F5060" s="561">
        <v>17876.683999999997</v>
      </c>
      <c r="G5060" s="561">
        <v>1975</v>
      </c>
      <c r="H5060" s="561">
        <v>25468.452000000001</v>
      </c>
      <c r="I5060" s="561">
        <v>206</v>
      </c>
      <c r="J5060" s="561">
        <v>1660.6350199999997</v>
      </c>
      <c r="K5060" s="561">
        <v>1961</v>
      </c>
      <c r="L5060" s="561">
        <v>23744.665999999997</v>
      </c>
      <c r="M5060" s="561">
        <v>23744.665999999997</v>
      </c>
      <c r="N5060" s="561">
        <v>5867.982</v>
      </c>
      <c r="O5060" s="561">
        <v>0</v>
      </c>
      <c r="P5060" s="561">
        <v>17876.683999999997</v>
      </c>
      <c r="Q5060" s="561">
        <v>17876.683999999997</v>
      </c>
    </row>
    <row r="5061" spans="1:17">
      <c r="A5061" s="561">
        <v>42</v>
      </c>
      <c r="B5061" s="561" t="s">
        <v>1691</v>
      </c>
      <c r="C5061" s="561" t="s">
        <v>1267</v>
      </c>
      <c r="D5061" s="561">
        <v>57743.453000000001</v>
      </c>
      <c r="E5061" s="561">
        <v>15840</v>
      </c>
      <c r="F5061" s="561">
        <v>41903.453000000001</v>
      </c>
      <c r="G5061" s="561">
        <v>4289</v>
      </c>
      <c r="H5061" s="561">
        <v>60328.903999999995</v>
      </c>
      <c r="I5061" s="561">
        <v>480</v>
      </c>
      <c r="J5061" s="561">
        <v>2585.0742700000001</v>
      </c>
      <c r="K5061" s="561">
        <v>4211</v>
      </c>
      <c r="L5061" s="561">
        <v>57743.453000000001</v>
      </c>
      <c r="M5061" s="561">
        <v>57743.453000000001</v>
      </c>
      <c r="N5061" s="561">
        <v>15840</v>
      </c>
      <c r="O5061" s="561">
        <v>0</v>
      </c>
      <c r="P5061" s="561">
        <v>41903.453000000001</v>
      </c>
      <c r="Q5061" s="561">
        <v>41903.453000000001</v>
      </c>
    </row>
    <row r="5062" spans="1:17">
      <c r="C5062" s="561" t="s">
        <v>1197</v>
      </c>
      <c r="D5062" s="561">
        <v>0</v>
      </c>
      <c r="F5062" s="561">
        <v>0</v>
      </c>
      <c r="G5062" s="561">
        <v>0</v>
      </c>
      <c r="H5062" s="561">
        <v>0</v>
      </c>
      <c r="I5062" s="561">
        <v>0</v>
      </c>
      <c r="J5062" s="561">
        <v>0</v>
      </c>
      <c r="K5062" s="561">
        <v>0</v>
      </c>
      <c r="L5062" s="561">
        <v>0</v>
      </c>
      <c r="M5062" s="561">
        <v>0</v>
      </c>
      <c r="N5062" s="561">
        <v>0</v>
      </c>
      <c r="O5062" s="561">
        <v>0</v>
      </c>
      <c r="P5062" s="561">
        <v>0</v>
      </c>
      <c r="Q5062" s="561">
        <v>0</v>
      </c>
    </row>
    <row r="5063" spans="1:17">
      <c r="C5063" s="561" t="s">
        <v>1199</v>
      </c>
      <c r="D5063" s="561">
        <v>57743.453000000001</v>
      </c>
      <c r="E5063" s="561">
        <v>15840</v>
      </c>
      <c r="F5063" s="561">
        <v>41903.453000000001</v>
      </c>
      <c r="G5063" s="561">
        <v>4289</v>
      </c>
      <c r="H5063" s="561">
        <v>60328.903999999995</v>
      </c>
      <c r="I5063" s="561">
        <v>480</v>
      </c>
      <c r="J5063" s="561">
        <v>2585.0742700000001</v>
      </c>
      <c r="K5063" s="561">
        <v>4211</v>
      </c>
      <c r="L5063" s="561">
        <v>57743.453000000001</v>
      </c>
      <c r="M5063" s="561">
        <v>57743.453000000001</v>
      </c>
      <c r="N5063" s="561">
        <v>15840</v>
      </c>
      <c r="O5063" s="561">
        <v>0</v>
      </c>
      <c r="P5063" s="561">
        <v>41903.453000000001</v>
      </c>
      <c r="Q5063" s="561">
        <v>41903.453000000001</v>
      </c>
    </row>
    <row r="5064" spans="1:17">
      <c r="A5064" s="561">
        <v>43</v>
      </c>
      <c r="B5064" s="561" t="s">
        <v>1692</v>
      </c>
      <c r="C5064" s="561" t="s">
        <v>1267</v>
      </c>
      <c r="D5064" s="561">
        <v>29798.639999999999</v>
      </c>
      <c r="E5064" s="561">
        <v>9240</v>
      </c>
      <c r="F5064" s="561">
        <v>20558.64</v>
      </c>
      <c r="G5064" s="561">
        <v>2591</v>
      </c>
      <c r="H5064" s="561">
        <v>30822.370000000003</v>
      </c>
      <c r="I5064" s="561">
        <v>220</v>
      </c>
      <c r="J5064" s="561">
        <v>1026.9284299999999</v>
      </c>
      <c r="K5064" s="561">
        <v>2568</v>
      </c>
      <c r="L5064" s="561">
        <v>29798.639999999999</v>
      </c>
      <c r="M5064" s="561">
        <v>29798.639999999999</v>
      </c>
      <c r="N5064" s="561">
        <v>9240</v>
      </c>
      <c r="O5064" s="561">
        <v>0</v>
      </c>
      <c r="P5064" s="561">
        <v>20558.64</v>
      </c>
      <c r="Q5064" s="561">
        <v>20558.64</v>
      </c>
    </row>
    <row r="5065" spans="1:17">
      <c r="C5065" s="561" t="s">
        <v>1197</v>
      </c>
      <c r="D5065" s="561">
        <v>0</v>
      </c>
      <c r="F5065" s="561">
        <v>0</v>
      </c>
      <c r="G5065" s="561">
        <v>0</v>
      </c>
      <c r="H5065" s="561">
        <v>0</v>
      </c>
      <c r="I5065" s="561">
        <v>0</v>
      </c>
      <c r="J5065" s="561">
        <v>0</v>
      </c>
      <c r="K5065" s="561">
        <v>0</v>
      </c>
      <c r="L5065" s="561">
        <v>0</v>
      </c>
      <c r="M5065" s="561">
        <v>0</v>
      </c>
      <c r="N5065" s="561">
        <v>0</v>
      </c>
      <c r="O5065" s="561">
        <v>0</v>
      </c>
      <c r="P5065" s="561">
        <v>0</v>
      </c>
      <c r="Q5065" s="561">
        <v>0</v>
      </c>
    </row>
    <row r="5066" spans="1:17">
      <c r="C5066" s="561" t="s">
        <v>1199</v>
      </c>
      <c r="D5066" s="561">
        <v>29798.639999999999</v>
      </c>
      <c r="E5066" s="561">
        <v>9240</v>
      </c>
      <c r="F5066" s="561">
        <v>20558.64</v>
      </c>
      <c r="G5066" s="561">
        <v>2591</v>
      </c>
      <c r="H5066" s="561">
        <v>30822.370000000003</v>
      </c>
      <c r="I5066" s="561">
        <v>220</v>
      </c>
      <c r="J5066" s="561">
        <v>1026.9284299999999</v>
      </c>
      <c r="K5066" s="561">
        <v>2568</v>
      </c>
      <c r="L5066" s="561">
        <v>29798.639999999999</v>
      </c>
      <c r="M5066" s="561">
        <v>29798.639999999999</v>
      </c>
      <c r="N5066" s="561">
        <v>9240</v>
      </c>
      <c r="O5066" s="561">
        <v>0</v>
      </c>
      <c r="P5066" s="561">
        <v>20558.64</v>
      </c>
      <c r="Q5066" s="561">
        <v>20558.64</v>
      </c>
    </row>
    <row r="5067" spans="1:17">
      <c r="A5067" s="561">
        <v>44</v>
      </c>
      <c r="B5067" s="561" t="s">
        <v>1693</v>
      </c>
      <c r="C5067" s="561" t="s">
        <v>1267</v>
      </c>
      <c r="D5067" s="561">
        <v>2585.1670000000004</v>
      </c>
      <c r="E5067" s="561">
        <v>1219.1969999999999</v>
      </c>
      <c r="F5067" s="561">
        <v>1365.9700000000005</v>
      </c>
      <c r="G5067" s="561">
        <v>219</v>
      </c>
      <c r="H5067" s="561">
        <v>2911.9790000000003</v>
      </c>
      <c r="I5067" s="561">
        <v>36</v>
      </c>
      <c r="J5067" s="561">
        <v>326.81344000000001</v>
      </c>
      <c r="K5067" s="561">
        <v>219</v>
      </c>
      <c r="L5067" s="561">
        <v>2585.1670000000004</v>
      </c>
      <c r="M5067" s="561">
        <v>2585.1670000000004</v>
      </c>
      <c r="N5067" s="561">
        <v>1219.1969999999999</v>
      </c>
      <c r="O5067" s="561">
        <v>0</v>
      </c>
      <c r="P5067" s="561">
        <v>1365.9700000000005</v>
      </c>
      <c r="Q5067" s="561">
        <v>1365.9700000000005</v>
      </c>
    </row>
    <row r="5068" spans="1:17">
      <c r="C5068" s="561" t="s">
        <v>1197</v>
      </c>
      <c r="D5068" s="561">
        <v>0</v>
      </c>
      <c r="F5068" s="561">
        <v>0</v>
      </c>
      <c r="G5068" s="561">
        <v>0</v>
      </c>
      <c r="H5068" s="561">
        <v>0</v>
      </c>
      <c r="I5068" s="561">
        <v>0</v>
      </c>
      <c r="J5068" s="561">
        <v>0</v>
      </c>
      <c r="K5068" s="561">
        <v>0</v>
      </c>
      <c r="L5068" s="561">
        <v>0</v>
      </c>
      <c r="M5068" s="561">
        <v>0</v>
      </c>
      <c r="N5068" s="561">
        <v>0</v>
      </c>
      <c r="O5068" s="561">
        <v>0</v>
      </c>
      <c r="P5068" s="561">
        <v>0</v>
      </c>
      <c r="Q5068" s="561">
        <v>0</v>
      </c>
    </row>
    <row r="5069" spans="1:17">
      <c r="C5069" s="561" t="s">
        <v>1199</v>
      </c>
      <c r="D5069" s="561">
        <v>2585.1670000000004</v>
      </c>
      <c r="E5069" s="561">
        <v>1219.1969999999999</v>
      </c>
      <c r="F5069" s="561">
        <v>1365.9700000000005</v>
      </c>
      <c r="G5069" s="561">
        <v>219</v>
      </c>
      <c r="H5069" s="561">
        <v>2911.9790000000003</v>
      </c>
      <c r="I5069" s="561">
        <v>36</v>
      </c>
      <c r="J5069" s="561">
        <v>326.81344000000001</v>
      </c>
      <c r="K5069" s="561">
        <v>219</v>
      </c>
      <c r="L5069" s="561">
        <v>2585.1670000000004</v>
      </c>
      <c r="M5069" s="561">
        <v>2585.1670000000004</v>
      </c>
      <c r="N5069" s="561">
        <v>1219.1969999999999</v>
      </c>
      <c r="O5069" s="561">
        <v>0</v>
      </c>
      <c r="P5069" s="561">
        <v>1365.9700000000005</v>
      </c>
      <c r="Q5069" s="561">
        <v>1365.9700000000005</v>
      </c>
    </row>
    <row r="5070" spans="1:17">
      <c r="A5070" s="561">
        <v>45</v>
      </c>
      <c r="B5070" s="561" t="s">
        <v>1694</v>
      </c>
      <c r="C5070" s="561" t="s">
        <v>1267</v>
      </c>
      <c r="D5070" s="561">
        <v>54413.681999999993</v>
      </c>
      <c r="E5070" s="561">
        <v>15110.699000000001</v>
      </c>
      <c r="F5070" s="561">
        <v>39302.982999999993</v>
      </c>
      <c r="G5070" s="561">
        <v>3727</v>
      </c>
      <c r="H5070" s="561">
        <v>55653.993999999999</v>
      </c>
      <c r="I5070" s="561">
        <v>250</v>
      </c>
      <c r="J5070" s="561">
        <v>1240.3129899999999</v>
      </c>
      <c r="K5070" s="561">
        <v>3725</v>
      </c>
      <c r="L5070" s="561">
        <v>54413.681999999993</v>
      </c>
      <c r="M5070" s="561">
        <v>54413.681999999993</v>
      </c>
      <c r="N5070" s="561">
        <v>15110.699000000001</v>
      </c>
      <c r="O5070" s="561">
        <v>0</v>
      </c>
      <c r="P5070" s="561">
        <v>39302.982999999993</v>
      </c>
      <c r="Q5070" s="561">
        <v>39302.982999999993</v>
      </c>
    </row>
    <row r="5071" spans="1:17">
      <c r="C5071" s="561" t="s">
        <v>1197</v>
      </c>
      <c r="D5071" s="561">
        <v>0</v>
      </c>
      <c r="F5071" s="561">
        <v>0</v>
      </c>
      <c r="G5071" s="561">
        <v>0</v>
      </c>
      <c r="H5071" s="561">
        <v>0</v>
      </c>
      <c r="I5071" s="561">
        <v>0</v>
      </c>
      <c r="J5071" s="561">
        <v>0</v>
      </c>
      <c r="K5071" s="561">
        <v>0</v>
      </c>
      <c r="L5071" s="561">
        <v>0</v>
      </c>
      <c r="M5071" s="561">
        <v>0</v>
      </c>
      <c r="N5071" s="561">
        <v>0</v>
      </c>
      <c r="O5071" s="561">
        <v>0</v>
      </c>
      <c r="P5071" s="561">
        <v>0</v>
      </c>
      <c r="Q5071" s="561">
        <v>0</v>
      </c>
    </row>
    <row r="5072" spans="1:17">
      <c r="C5072" s="561" t="s">
        <v>1199</v>
      </c>
      <c r="D5072" s="561">
        <v>54413.681999999993</v>
      </c>
      <c r="E5072" s="561">
        <v>15110.699000000001</v>
      </c>
      <c r="F5072" s="561">
        <v>39302.982999999993</v>
      </c>
      <c r="G5072" s="561">
        <v>3727</v>
      </c>
      <c r="H5072" s="561">
        <v>55653.993999999999</v>
      </c>
      <c r="I5072" s="561">
        <v>250</v>
      </c>
      <c r="J5072" s="561">
        <v>1240.3129899999999</v>
      </c>
      <c r="K5072" s="561">
        <v>3725</v>
      </c>
      <c r="L5072" s="561">
        <v>54413.681999999993</v>
      </c>
      <c r="M5072" s="561">
        <v>54413.681999999993</v>
      </c>
      <c r="N5072" s="561">
        <v>15110.699000000001</v>
      </c>
      <c r="O5072" s="561">
        <v>0</v>
      </c>
      <c r="P5072" s="561">
        <v>39302.982999999993</v>
      </c>
      <c r="Q5072" s="561">
        <v>39302.982999999993</v>
      </c>
    </row>
    <row r="5073" spans="1:111">
      <c r="A5073" s="561">
        <v>46</v>
      </c>
      <c r="B5073" s="561" t="s">
        <v>1292</v>
      </c>
      <c r="C5073" s="561" t="s">
        <v>1267</v>
      </c>
      <c r="D5073" s="561">
        <v>130392.60900000001</v>
      </c>
      <c r="E5073" s="561">
        <v>25372.62</v>
      </c>
      <c r="F5073" s="561">
        <v>105019.98900000002</v>
      </c>
      <c r="G5073" s="561">
        <v>421</v>
      </c>
      <c r="H5073" s="561">
        <v>130392.60900000001</v>
      </c>
      <c r="I5073" s="561">
        <v>0</v>
      </c>
      <c r="J5073" s="561">
        <v>0</v>
      </c>
      <c r="K5073" s="561">
        <v>421</v>
      </c>
      <c r="L5073" s="561">
        <v>130392.60900000001</v>
      </c>
      <c r="M5073" s="561">
        <v>130392.60900000001</v>
      </c>
      <c r="N5073" s="561">
        <v>25372.62</v>
      </c>
      <c r="O5073" s="561">
        <v>0</v>
      </c>
      <c r="P5073" s="561">
        <v>105019.98900000002</v>
      </c>
      <c r="Q5073" s="561">
        <v>105019.98900000002</v>
      </c>
    </row>
    <row r="5074" spans="1:111">
      <c r="C5074" s="561" t="s">
        <v>1197</v>
      </c>
      <c r="D5074" s="561">
        <v>0</v>
      </c>
      <c r="F5074" s="561">
        <v>0</v>
      </c>
      <c r="G5074" s="561">
        <v>0</v>
      </c>
      <c r="H5074" s="561">
        <v>0</v>
      </c>
      <c r="I5074" s="561">
        <v>0</v>
      </c>
      <c r="J5074" s="561">
        <v>0</v>
      </c>
      <c r="K5074" s="561">
        <v>0</v>
      </c>
      <c r="L5074" s="561">
        <v>0</v>
      </c>
      <c r="M5074" s="561">
        <v>0</v>
      </c>
      <c r="N5074" s="561">
        <v>0</v>
      </c>
      <c r="O5074" s="561">
        <v>0</v>
      </c>
      <c r="P5074" s="561">
        <v>0</v>
      </c>
    </row>
    <row r="5075" spans="1:111">
      <c r="C5075" s="561" t="s">
        <v>1199</v>
      </c>
      <c r="D5075" s="561">
        <v>130392.60900000001</v>
      </c>
      <c r="E5075" s="561">
        <v>25372.62</v>
      </c>
      <c r="F5075" s="561">
        <v>105019.98900000002</v>
      </c>
      <c r="G5075" s="561">
        <v>421</v>
      </c>
      <c r="H5075" s="561">
        <v>130392.60900000001</v>
      </c>
      <c r="I5075" s="561">
        <v>0</v>
      </c>
      <c r="J5075" s="561">
        <v>0</v>
      </c>
      <c r="K5075" s="561">
        <v>421</v>
      </c>
      <c r="L5075" s="561">
        <v>130392.60900000001</v>
      </c>
      <c r="M5075" s="561">
        <v>130392.60900000001</v>
      </c>
      <c r="N5075" s="561">
        <v>25372.62</v>
      </c>
      <c r="O5075" s="561">
        <v>0</v>
      </c>
      <c r="P5075" s="561">
        <v>105019.98900000002</v>
      </c>
      <c r="Q5075" s="561">
        <v>105019.98900000002</v>
      </c>
    </row>
    <row r="5076" spans="1:111">
      <c r="A5076" s="1735" t="s">
        <v>1198</v>
      </c>
      <c r="B5076" s="1735"/>
      <c r="C5076" s="1735"/>
      <c r="D5076" s="1735"/>
      <c r="E5076" s="1735"/>
      <c r="F5076" s="1735"/>
      <c r="G5076" s="1735"/>
      <c r="H5076" s="1735"/>
      <c r="I5076" s="1735"/>
      <c r="J5076" s="1735"/>
      <c r="K5076" s="1735"/>
      <c r="L5076" s="1735"/>
      <c r="M5076" s="1735"/>
      <c r="N5076" s="1735"/>
      <c r="O5076" s="1735"/>
      <c r="P5076" s="1735"/>
      <c r="AL5076" s="561">
        <f>SUM(AL5077:AL5216)</f>
        <v>554421.69900000002</v>
      </c>
      <c r="AM5076" s="561">
        <f t="shared" ref="AM5076:CX5076" si="122">SUM(AM5077:AM5216)</f>
        <v>0</v>
      </c>
      <c r="AN5076" s="561">
        <f t="shared" si="122"/>
        <v>0</v>
      </c>
      <c r="AO5076" s="561">
        <f t="shared" si="122"/>
        <v>0</v>
      </c>
      <c r="AP5076" s="561">
        <f t="shared" si="122"/>
        <v>0</v>
      </c>
      <c r="AQ5076" s="561">
        <f t="shared" si="122"/>
        <v>0</v>
      </c>
      <c r="AR5076" s="561">
        <f t="shared" si="122"/>
        <v>0</v>
      </c>
      <c r="AS5076" s="561">
        <f t="shared" si="122"/>
        <v>0</v>
      </c>
      <c r="AT5076" s="561">
        <f t="shared" si="122"/>
        <v>0</v>
      </c>
      <c r="AU5076" s="561">
        <f t="shared" si="122"/>
        <v>0</v>
      </c>
      <c r="AV5076" s="561">
        <f t="shared" si="122"/>
        <v>0</v>
      </c>
      <c r="AW5076" s="561">
        <f t="shared" si="122"/>
        <v>0</v>
      </c>
      <c r="AX5076" s="561">
        <f t="shared" si="122"/>
        <v>0</v>
      </c>
      <c r="AY5076" s="561">
        <f t="shared" si="122"/>
        <v>0</v>
      </c>
      <c r="AZ5076" s="561">
        <f t="shared" si="122"/>
        <v>0</v>
      </c>
      <c r="BA5076" s="561">
        <f t="shared" si="122"/>
        <v>0</v>
      </c>
      <c r="BB5076" s="561">
        <f t="shared" si="122"/>
        <v>0</v>
      </c>
      <c r="BC5076" s="561">
        <f t="shared" si="122"/>
        <v>0</v>
      </c>
      <c r="BD5076" s="561">
        <f t="shared" si="122"/>
        <v>0</v>
      </c>
      <c r="BE5076" s="561">
        <f t="shared" si="122"/>
        <v>0</v>
      </c>
      <c r="BF5076" s="561">
        <f t="shared" si="122"/>
        <v>0</v>
      </c>
      <c r="BG5076" s="561">
        <f t="shared" si="122"/>
        <v>0</v>
      </c>
      <c r="BH5076" s="561">
        <f t="shared" si="122"/>
        <v>0</v>
      </c>
      <c r="BI5076" s="561">
        <f t="shared" si="122"/>
        <v>0</v>
      </c>
      <c r="BJ5076" s="561">
        <f t="shared" si="122"/>
        <v>0</v>
      </c>
      <c r="BK5076" s="561">
        <f t="shared" si="122"/>
        <v>0</v>
      </c>
      <c r="BL5076" s="561">
        <f t="shared" si="122"/>
        <v>0</v>
      </c>
      <c r="BM5076" s="561">
        <f t="shared" si="122"/>
        <v>0</v>
      </c>
      <c r="BN5076" s="561">
        <f t="shared" si="122"/>
        <v>0</v>
      </c>
      <c r="BO5076" s="561">
        <f t="shared" si="122"/>
        <v>0</v>
      </c>
      <c r="BP5076" s="561">
        <f t="shared" si="122"/>
        <v>0</v>
      </c>
      <c r="BQ5076" s="561">
        <f t="shared" si="122"/>
        <v>0</v>
      </c>
      <c r="BR5076" s="561">
        <f t="shared" si="122"/>
        <v>0</v>
      </c>
      <c r="BS5076" s="561">
        <f t="shared" si="122"/>
        <v>0</v>
      </c>
      <c r="BT5076" s="561">
        <f t="shared" si="122"/>
        <v>0</v>
      </c>
      <c r="BU5076" s="561">
        <f t="shared" si="122"/>
        <v>0</v>
      </c>
      <c r="BV5076" s="561">
        <f t="shared" si="122"/>
        <v>0</v>
      </c>
      <c r="BW5076" s="561">
        <f t="shared" si="122"/>
        <v>0</v>
      </c>
      <c r="BX5076" s="561">
        <f t="shared" si="122"/>
        <v>0</v>
      </c>
      <c r="BY5076" s="561">
        <f t="shared" si="122"/>
        <v>0</v>
      </c>
      <c r="BZ5076" s="561">
        <f t="shared" si="122"/>
        <v>0</v>
      </c>
      <c r="CA5076" s="561">
        <f t="shared" si="122"/>
        <v>0</v>
      </c>
      <c r="CB5076" s="561">
        <f t="shared" si="122"/>
        <v>0</v>
      </c>
      <c r="CC5076" s="561">
        <f t="shared" si="122"/>
        <v>0</v>
      </c>
      <c r="CD5076" s="561">
        <f t="shared" si="122"/>
        <v>0</v>
      </c>
      <c r="CE5076" s="561">
        <f t="shared" si="122"/>
        <v>0</v>
      </c>
      <c r="CF5076" s="561">
        <f t="shared" si="122"/>
        <v>0</v>
      </c>
      <c r="CG5076" s="561">
        <f t="shared" si="122"/>
        <v>0</v>
      </c>
      <c r="CH5076" s="561">
        <f t="shared" si="122"/>
        <v>0</v>
      </c>
      <c r="CI5076" s="561">
        <f t="shared" si="122"/>
        <v>0</v>
      </c>
      <c r="CJ5076" s="561">
        <f t="shared" si="122"/>
        <v>0</v>
      </c>
      <c r="CK5076" s="561">
        <f t="shared" si="122"/>
        <v>0</v>
      </c>
      <c r="CL5076" s="561">
        <f t="shared" si="122"/>
        <v>0</v>
      </c>
      <c r="CM5076" s="561">
        <f t="shared" si="122"/>
        <v>0</v>
      </c>
      <c r="CN5076" s="561">
        <f t="shared" si="122"/>
        <v>0</v>
      </c>
      <c r="CO5076" s="561">
        <f t="shared" si="122"/>
        <v>0</v>
      </c>
      <c r="CP5076" s="561">
        <f t="shared" si="122"/>
        <v>0</v>
      </c>
      <c r="CQ5076" s="561">
        <f t="shared" si="122"/>
        <v>0</v>
      </c>
      <c r="CR5076" s="561">
        <f t="shared" si="122"/>
        <v>0</v>
      </c>
      <c r="CS5076" s="561">
        <f t="shared" si="122"/>
        <v>0</v>
      </c>
      <c r="CT5076" s="561">
        <f t="shared" si="122"/>
        <v>0</v>
      </c>
      <c r="CU5076" s="561">
        <f t="shared" si="122"/>
        <v>0</v>
      </c>
      <c r="CV5076" s="561">
        <f t="shared" si="122"/>
        <v>0</v>
      </c>
      <c r="CW5076" s="561">
        <f t="shared" si="122"/>
        <v>0</v>
      </c>
      <c r="CX5076" s="561">
        <f t="shared" si="122"/>
        <v>0</v>
      </c>
      <c r="CY5076" s="561">
        <f t="shared" ref="CY5076:DG5076" si="123">SUM(CY5077:CY5216)</f>
        <v>0</v>
      </c>
      <c r="CZ5076" s="561">
        <f t="shared" si="123"/>
        <v>0</v>
      </c>
      <c r="DA5076" s="561">
        <f t="shared" si="123"/>
        <v>0</v>
      </c>
      <c r="DB5076" s="561">
        <f t="shared" si="123"/>
        <v>0</v>
      </c>
      <c r="DC5076" s="561">
        <f t="shared" si="123"/>
        <v>0</v>
      </c>
      <c r="DD5076" s="561">
        <f t="shared" si="123"/>
        <v>0</v>
      </c>
      <c r="DE5076" s="561">
        <f t="shared" si="123"/>
        <v>0</v>
      </c>
      <c r="DF5076" s="561">
        <f t="shared" si="123"/>
        <v>0</v>
      </c>
      <c r="DG5076" s="561">
        <f t="shared" si="123"/>
        <v>0</v>
      </c>
    </row>
    <row r="5077" spans="1:111">
      <c r="A5077" s="561">
        <v>1</v>
      </c>
      <c r="B5077" s="561" t="s">
        <v>1650</v>
      </c>
      <c r="C5077" s="561" t="s">
        <v>1267</v>
      </c>
      <c r="D5077" s="561">
        <v>1896497.4210000003</v>
      </c>
      <c r="E5077" s="561">
        <v>370974.89199999999</v>
      </c>
      <c r="F5077" s="561">
        <v>1525522.5290000003</v>
      </c>
      <c r="G5077" s="561">
        <v>13404</v>
      </c>
      <c r="H5077" s="561">
        <v>1972915.9550000001</v>
      </c>
      <c r="I5077" s="561">
        <v>1209</v>
      </c>
      <c r="J5077" s="561">
        <v>73194.011920000004</v>
      </c>
      <c r="K5077" s="561">
        <v>13417</v>
      </c>
      <c r="L5077" s="561">
        <v>1896497.4210000003</v>
      </c>
      <c r="M5077" s="561">
        <v>1896497.4210000003</v>
      </c>
      <c r="N5077" s="561">
        <v>370974.89199999999</v>
      </c>
      <c r="O5077" s="561">
        <v>0</v>
      </c>
      <c r="P5077" s="561">
        <v>1525522.5290000003</v>
      </c>
    </row>
    <row r="5078" spans="1:111">
      <c r="C5078" s="561" t="s">
        <v>1197</v>
      </c>
      <c r="D5078" s="561">
        <v>1251651.0090000001</v>
      </c>
      <c r="E5078" s="561">
        <v>248036.092</v>
      </c>
      <c r="F5078" s="561">
        <v>1003614.9170000001</v>
      </c>
      <c r="G5078" s="561">
        <v>12239</v>
      </c>
      <c r="H5078" s="561">
        <v>1306794.7180000001</v>
      </c>
      <c r="I5078" s="561">
        <v>1140</v>
      </c>
      <c r="J5078" s="561">
        <v>56012.464090000009</v>
      </c>
      <c r="K5078" s="561">
        <v>12269</v>
      </c>
      <c r="L5078" s="561">
        <v>1251651.0090000001</v>
      </c>
      <c r="M5078" s="561">
        <v>1251651.0090000001</v>
      </c>
      <c r="N5078" s="561">
        <v>248036.092</v>
      </c>
      <c r="O5078" s="561">
        <v>0</v>
      </c>
    </row>
    <row r="5079" spans="1:111">
      <c r="C5079" s="561" t="s">
        <v>1198</v>
      </c>
      <c r="D5079" s="561">
        <v>550014.25400000007</v>
      </c>
      <c r="E5079" s="561">
        <v>106438.8</v>
      </c>
      <c r="F5079" s="561">
        <v>443575.45400000009</v>
      </c>
      <c r="G5079" s="561">
        <v>558</v>
      </c>
      <c r="H5079" s="561">
        <v>570949.91300000006</v>
      </c>
      <c r="I5079" s="561">
        <v>51</v>
      </c>
      <c r="J5079" s="561">
        <v>16997.311259999999</v>
      </c>
      <c r="K5079" s="561">
        <v>553</v>
      </c>
      <c r="L5079" s="561">
        <v>550014.25400000007</v>
      </c>
      <c r="M5079" s="561">
        <v>550014.25400000007</v>
      </c>
      <c r="N5079" s="561">
        <v>106438.8</v>
      </c>
      <c r="O5079" s="561">
        <v>0</v>
      </c>
      <c r="AL5079" s="561">
        <v>443575.45400000009</v>
      </c>
    </row>
    <row r="5080" spans="1:111">
      <c r="C5080" s="561" t="s">
        <v>1199</v>
      </c>
      <c r="D5080" s="561">
        <v>94832.15800000001</v>
      </c>
      <c r="E5080" s="561">
        <v>16500</v>
      </c>
      <c r="F5080" s="561">
        <v>78332.15800000001</v>
      </c>
      <c r="G5080" s="561">
        <v>607</v>
      </c>
      <c r="H5080" s="561">
        <v>95171.324000000022</v>
      </c>
      <c r="I5080" s="561">
        <v>18</v>
      </c>
      <c r="J5080" s="561">
        <v>184.23656999999997</v>
      </c>
      <c r="K5080" s="561">
        <v>595</v>
      </c>
      <c r="L5080" s="561">
        <v>94832.15800000001</v>
      </c>
      <c r="M5080" s="561">
        <v>94832.15800000001</v>
      </c>
      <c r="N5080" s="561">
        <v>16500</v>
      </c>
      <c r="O5080" s="561">
        <v>0</v>
      </c>
      <c r="P5080" s="561">
        <v>78332.15800000001</v>
      </c>
    </row>
    <row r="5081" spans="1:111">
      <c r="A5081" s="561">
        <v>2</v>
      </c>
      <c r="B5081" s="561" t="s">
        <v>1651</v>
      </c>
      <c r="C5081" s="561" t="s">
        <v>1267</v>
      </c>
      <c r="D5081" s="561">
        <v>170273.48500000002</v>
      </c>
      <c r="E5081" s="561">
        <v>41908.254000000001</v>
      </c>
      <c r="F5081" s="561">
        <v>128365.23100000001</v>
      </c>
      <c r="G5081" s="561">
        <v>2828</v>
      </c>
      <c r="H5081" s="561">
        <v>174276.807</v>
      </c>
      <c r="I5081" s="561">
        <v>275</v>
      </c>
      <c r="J5081" s="561">
        <v>4061.1661999999997</v>
      </c>
      <c r="K5081" s="561">
        <v>2808</v>
      </c>
      <c r="L5081" s="561">
        <v>170273.48500000002</v>
      </c>
      <c r="M5081" s="561">
        <v>170273.48500000002</v>
      </c>
      <c r="N5081" s="561">
        <v>41908.254000000001</v>
      </c>
      <c r="O5081" s="561">
        <v>0</v>
      </c>
      <c r="P5081" s="561">
        <v>128365.231</v>
      </c>
    </row>
    <row r="5082" spans="1:111">
      <c r="C5082" s="561" t="s">
        <v>1197</v>
      </c>
      <c r="D5082" s="561">
        <v>164015.64500000002</v>
      </c>
      <c r="E5082" s="561">
        <v>40902.230000000003</v>
      </c>
      <c r="F5082" s="561">
        <v>123113.41500000001</v>
      </c>
      <c r="G5082" s="561">
        <v>2372</v>
      </c>
      <c r="H5082" s="561">
        <v>167530.497</v>
      </c>
      <c r="I5082" s="561">
        <v>174</v>
      </c>
      <c r="J5082" s="561">
        <v>3380.6171999999997</v>
      </c>
      <c r="K5082" s="561">
        <v>2364</v>
      </c>
      <c r="L5082" s="561">
        <v>164015.64500000002</v>
      </c>
      <c r="M5082" s="561">
        <v>164015.64500000002</v>
      </c>
      <c r="N5082" s="561">
        <v>40902.230000000003</v>
      </c>
      <c r="O5082" s="561">
        <v>0</v>
      </c>
    </row>
    <row r="5083" spans="1:111">
      <c r="C5083" s="561" t="s">
        <v>1199</v>
      </c>
      <c r="D5083" s="561">
        <v>6257.84</v>
      </c>
      <c r="E5083" s="561">
        <v>1006.024</v>
      </c>
      <c r="F5083" s="561">
        <v>5251.8159999999998</v>
      </c>
      <c r="G5083" s="561">
        <v>456</v>
      </c>
      <c r="H5083" s="561">
        <v>6746.31</v>
      </c>
      <c r="I5083" s="561">
        <v>101</v>
      </c>
      <c r="J5083" s="561">
        <v>680.54899999999998</v>
      </c>
      <c r="K5083" s="561">
        <v>444</v>
      </c>
      <c r="L5083" s="561">
        <v>6257.8399999999992</v>
      </c>
      <c r="M5083" s="561">
        <v>6257.8399999999992</v>
      </c>
      <c r="N5083" s="561">
        <v>1006.024</v>
      </c>
      <c r="O5083" s="561">
        <v>0</v>
      </c>
      <c r="P5083" s="561">
        <v>5251.8159999999989</v>
      </c>
    </row>
    <row r="5084" spans="1:111">
      <c r="A5084" s="561">
        <v>3</v>
      </c>
      <c r="B5084" s="561" t="s">
        <v>1652</v>
      </c>
      <c r="C5084" s="561" t="s">
        <v>1267</v>
      </c>
      <c r="D5084" s="561">
        <v>581794.15099999995</v>
      </c>
      <c r="E5084" s="561">
        <v>113327.04700000001</v>
      </c>
      <c r="F5084" s="561">
        <v>468467.10399999993</v>
      </c>
      <c r="G5084" s="561">
        <v>6765</v>
      </c>
      <c r="H5084" s="561">
        <v>597962.17599999998</v>
      </c>
      <c r="I5084" s="561">
        <v>399</v>
      </c>
      <c r="J5084" s="561">
        <v>16388.166649999999</v>
      </c>
      <c r="K5084" s="561">
        <v>6742</v>
      </c>
      <c r="L5084" s="561">
        <v>581794.15099999995</v>
      </c>
      <c r="M5084" s="561">
        <v>581794.15099999995</v>
      </c>
      <c r="N5084" s="561">
        <v>113327.04700000001</v>
      </c>
      <c r="O5084" s="561">
        <v>0</v>
      </c>
      <c r="P5084" s="561">
        <v>468467.10399999993</v>
      </c>
    </row>
    <row r="5085" spans="1:111">
      <c r="C5085" s="561" t="s">
        <v>1197</v>
      </c>
      <c r="D5085" s="561">
        <v>579384.02599999995</v>
      </c>
      <c r="E5085" s="561">
        <v>112887.04700000001</v>
      </c>
      <c r="F5085" s="561">
        <v>466496.97899999993</v>
      </c>
      <c r="G5085" s="561">
        <v>6573</v>
      </c>
      <c r="H5085" s="561">
        <v>595437.13800000004</v>
      </c>
      <c r="I5085" s="561">
        <v>384</v>
      </c>
      <c r="J5085" s="561">
        <v>16285.61765</v>
      </c>
      <c r="K5085" s="561">
        <v>6561</v>
      </c>
      <c r="L5085" s="561">
        <v>579384.02599999995</v>
      </c>
      <c r="M5085" s="561">
        <v>579384.02599999995</v>
      </c>
      <c r="N5085" s="561">
        <v>112887.04700000001</v>
      </c>
      <c r="O5085" s="561">
        <v>0</v>
      </c>
      <c r="P5085" s="561">
        <v>466496.97899999993</v>
      </c>
    </row>
    <row r="5086" spans="1:111">
      <c r="C5086" s="561" t="s">
        <v>1199</v>
      </c>
      <c r="D5086" s="561">
        <v>2410.125</v>
      </c>
      <c r="E5086" s="561">
        <v>440</v>
      </c>
      <c r="F5086" s="561">
        <v>1970.125</v>
      </c>
      <c r="G5086" s="561">
        <v>192</v>
      </c>
      <c r="H5086" s="561">
        <v>2525.038</v>
      </c>
      <c r="I5086" s="561">
        <v>15</v>
      </c>
      <c r="J5086" s="561">
        <v>102.54899999999999</v>
      </c>
      <c r="K5086" s="561">
        <v>181</v>
      </c>
      <c r="L5086" s="561">
        <v>2410.125</v>
      </c>
      <c r="M5086" s="561">
        <v>2410.125</v>
      </c>
      <c r="N5086" s="561">
        <v>440</v>
      </c>
      <c r="O5086" s="561">
        <v>0</v>
      </c>
      <c r="P5086" s="561">
        <v>1970.125</v>
      </c>
    </row>
    <row r="5087" spans="1:111">
      <c r="A5087" s="561">
        <v>4</v>
      </c>
      <c r="B5087" s="561" t="s">
        <v>1653</v>
      </c>
      <c r="C5087" s="561" t="s">
        <v>1267</v>
      </c>
      <c r="D5087" s="561">
        <v>59501.425999999999</v>
      </c>
      <c r="E5087" s="561">
        <v>17858.034</v>
      </c>
      <c r="F5087" s="561">
        <v>41643.392</v>
      </c>
      <c r="G5087" s="561">
        <v>1007</v>
      </c>
      <c r="H5087" s="561">
        <v>60602.487000000001</v>
      </c>
      <c r="I5087" s="561">
        <v>27</v>
      </c>
      <c r="J5087" s="561">
        <v>1101.0690000000002</v>
      </c>
      <c r="K5087" s="561">
        <v>992</v>
      </c>
      <c r="L5087" s="561">
        <v>59501.425999999999</v>
      </c>
      <c r="M5087" s="561">
        <v>59501.425999999999</v>
      </c>
      <c r="N5087" s="561">
        <v>17858.034</v>
      </c>
      <c r="O5087" s="561">
        <v>0</v>
      </c>
      <c r="P5087" s="561">
        <v>41643.392</v>
      </c>
    </row>
    <row r="5088" spans="1:111">
      <c r="C5088" s="561" t="s">
        <v>1197</v>
      </c>
      <c r="D5088" s="561">
        <v>58052.508000000002</v>
      </c>
      <c r="E5088" s="561">
        <v>17858.034</v>
      </c>
      <c r="F5088" s="561">
        <v>40194.474000000002</v>
      </c>
      <c r="G5088" s="561">
        <v>918</v>
      </c>
      <c r="H5088" s="561">
        <v>59089.534</v>
      </c>
      <c r="I5088" s="561">
        <v>23</v>
      </c>
      <c r="J5088" s="561">
        <v>1058.3790000000001</v>
      </c>
      <c r="K5088" s="561">
        <v>909</v>
      </c>
      <c r="L5088" s="561">
        <v>58052.508000000002</v>
      </c>
      <c r="M5088" s="561">
        <v>58052.508000000002</v>
      </c>
      <c r="N5088" s="561">
        <v>17858.034</v>
      </c>
      <c r="O5088" s="561">
        <v>0</v>
      </c>
    </row>
    <row r="5089" spans="1:38">
      <c r="C5089" s="561" t="s">
        <v>1199</v>
      </c>
      <c r="D5089" s="561">
        <v>1448.9179999999999</v>
      </c>
      <c r="E5089" s="561">
        <v>0</v>
      </c>
      <c r="F5089" s="561">
        <v>1448.9179999999999</v>
      </c>
      <c r="G5089" s="561">
        <v>89</v>
      </c>
      <c r="H5089" s="561">
        <v>1512.953</v>
      </c>
      <c r="I5089" s="561">
        <v>4</v>
      </c>
      <c r="J5089" s="561">
        <v>42.69</v>
      </c>
      <c r="K5089" s="561">
        <v>83</v>
      </c>
      <c r="L5089" s="561">
        <v>1448.9179999999999</v>
      </c>
      <c r="M5089" s="561">
        <v>1448.9179999999999</v>
      </c>
      <c r="N5089" s="561">
        <v>0</v>
      </c>
      <c r="O5089" s="561">
        <v>0</v>
      </c>
      <c r="P5089" s="561">
        <v>1448.9179999999999</v>
      </c>
    </row>
    <row r="5090" spans="1:38">
      <c r="A5090" s="561">
        <v>5</v>
      </c>
      <c r="B5090" s="561" t="s">
        <v>1654</v>
      </c>
      <c r="C5090" s="561" t="s">
        <v>1267</v>
      </c>
      <c r="D5090" s="561">
        <v>768299.09199999995</v>
      </c>
      <c r="E5090" s="561">
        <v>214331.47099999999</v>
      </c>
      <c r="F5090" s="561">
        <v>553967.62099999993</v>
      </c>
      <c r="G5090" s="561">
        <v>12383</v>
      </c>
      <c r="H5090" s="561">
        <v>822984.04499999993</v>
      </c>
      <c r="I5090" s="561">
        <v>1398</v>
      </c>
      <c r="J5090" s="561">
        <v>51528.459659999993</v>
      </c>
      <c r="K5090" s="561">
        <v>12226</v>
      </c>
      <c r="L5090" s="561">
        <v>768299.09199999995</v>
      </c>
      <c r="M5090" s="561">
        <v>768299.09199999995</v>
      </c>
      <c r="N5090" s="561">
        <v>214331.47099999999</v>
      </c>
      <c r="O5090" s="561">
        <v>0</v>
      </c>
      <c r="P5090" s="561">
        <v>553967.62099999993</v>
      </c>
    </row>
    <row r="5091" spans="1:38">
      <c r="C5091" s="561" t="s">
        <v>1197</v>
      </c>
      <c r="D5091" s="561">
        <v>764980.28599999996</v>
      </c>
      <c r="E5091" s="561">
        <v>214151.47099999999</v>
      </c>
      <c r="F5091" s="561">
        <v>550828.81499999994</v>
      </c>
      <c r="G5091" s="561">
        <v>12181</v>
      </c>
      <c r="H5091" s="561">
        <v>819567.62299999991</v>
      </c>
      <c r="I5091" s="561">
        <v>1386</v>
      </c>
      <c r="J5091" s="561">
        <v>51434.940659999993</v>
      </c>
      <c r="K5091" s="561">
        <v>12031</v>
      </c>
      <c r="L5091" s="561">
        <v>764980.28599999996</v>
      </c>
      <c r="M5091" s="561">
        <v>764980.28599999996</v>
      </c>
      <c r="N5091" s="561">
        <v>214151.47099999999</v>
      </c>
      <c r="O5091" s="561">
        <v>0</v>
      </c>
    </row>
    <row r="5092" spans="1:38">
      <c r="C5092" s="561" t="s">
        <v>1199</v>
      </c>
      <c r="D5092" s="561">
        <v>3318.8059999999996</v>
      </c>
      <c r="E5092" s="561">
        <v>180</v>
      </c>
      <c r="F5092" s="561">
        <v>3138.8059999999996</v>
      </c>
      <c r="G5092" s="561">
        <v>202</v>
      </c>
      <c r="H5092" s="561">
        <v>3416.422</v>
      </c>
      <c r="I5092" s="561">
        <v>12</v>
      </c>
      <c r="J5092" s="561">
        <v>93.519000000000005</v>
      </c>
      <c r="K5092" s="561">
        <v>195</v>
      </c>
      <c r="L5092" s="561">
        <v>3318.8059999999996</v>
      </c>
      <c r="M5092" s="561">
        <v>3318.8059999999996</v>
      </c>
      <c r="N5092" s="561">
        <v>180</v>
      </c>
      <c r="O5092" s="561">
        <v>0</v>
      </c>
      <c r="P5092" s="561">
        <v>3138.8059999999996</v>
      </c>
    </row>
    <row r="5093" spans="1:38">
      <c r="A5093" s="561">
        <v>6</v>
      </c>
      <c r="B5093" s="561" t="s">
        <v>1655</v>
      </c>
      <c r="C5093" s="561" t="s">
        <v>1267</v>
      </c>
      <c r="D5093" s="561">
        <v>185388.36899999998</v>
      </c>
      <c r="E5093" s="561">
        <v>58697.154999999999</v>
      </c>
      <c r="F5093" s="561">
        <v>126691.21399999998</v>
      </c>
      <c r="G5093" s="561">
        <v>3749</v>
      </c>
      <c r="H5093" s="561">
        <v>189636.75899999999</v>
      </c>
      <c r="I5093" s="561">
        <v>209</v>
      </c>
      <c r="J5093" s="561">
        <v>4985.5875799999985</v>
      </c>
      <c r="K5093" s="561">
        <v>3687</v>
      </c>
      <c r="L5093" s="561">
        <v>185388.36899999998</v>
      </c>
      <c r="M5093" s="561">
        <v>185388.36899999998</v>
      </c>
      <c r="N5093" s="561">
        <v>58697.154999999999</v>
      </c>
      <c r="O5093" s="561">
        <v>0</v>
      </c>
      <c r="P5093" s="561">
        <v>126691.21399999998</v>
      </c>
    </row>
    <row r="5094" spans="1:38">
      <c r="C5094" s="561" t="s">
        <v>1197</v>
      </c>
      <c r="D5094" s="561">
        <v>170549.11199999996</v>
      </c>
      <c r="E5094" s="561">
        <v>55604.15</v>
      </c>
      <c r="F5094" s="561">
        <v>114944.96199999997</v>
      </c>
      <c r="G5094" s="561">
        <v>2552</v>
      </c>
      <c r="H5094" s="561">
        <v>174311.704</v>
      </c>
      <c r="I5094" s="561">
        <v>142</v>
      </c>
      <c r="J5094" s="561">
        <v>4575.0553799999989</v>
      </c>
      <c r="K5094" s="561">
        <v>2543</v>
      </c>
      <c r="L5094" s="561">
        <v>170549.11199999996</v>
      </c>
      <c r="M5094" s="561">
        <v>170549.11199999996</v>
      </c>
      <c r="N5094" s="561">
        <v>55604.15</v>
      </c>
      <c r="O5094" s="561">
        <v>0</v>
      </c>
    </row>
    <row r="5095" spans="1:38">
      <c r="C5095" s="561" t="s">
        <v>1199</v>
      </c>
      <c r="D5095" s="561">
        <v>14839.257</v>
      </c>
      <c r="E5095" s="561">
        <v>3093.0050000000001</v>
      </c>
      <c r="F5095" s="561">
        <v>11746.252</v>
      </c>
      <c r="G5095" s="561">
        <v>1197</v>
      </c>
      <c r="H5095" s="561">
        <v>15325.055</v>
      </c>
      <c r="I5095" s="561">
        <v>67</v>
      </c>
      <c r="J5095" s="561">
        <v>410.53219999999999</v>
      </c>
      <c r="K5095" s="561">
        <v>1144</v>
      </c>
      <c r="L5095" s="561">
        <v>14839.257</v>
      </c>
      <c r="M5095" s="561">
        <v>14839.257</v>
      </c>
      <c r="N5095" s="561">
        <v>3093.0050000000001</v>
      </c>
      <c r="O5095" s="561">
        <v>0</v>
      </c>
      <c r="P5095" s="561">
        <v>11746.252</v>
      </c>
    </row>
    <row r="5096" spans="1:38">
      <c r="A5096" s="561">
        <v>7</v>
      </c>
      <c r="B5096" s="561" t="s">
        <v>1656</v>
      </c>
      <c r="C5096" s="561" t="s">
        <v>1267</v>
      </c>
      <c r="D5096" s="561">
        <v>610985.55299999996</v>
      </c>
      <c r="E5096" s="561">
        <v>142194.84399999998</v>
      </c>
      <c r="F5096" s="561">
        <v>468790.70900000003</v>
      </c>
      <c r="G5096" s="561">
        <v>12415</v>
      </c>
      <c r="H5096" s="561">
        <v>628302.44400000013</v>
      </c>
      <c r="I5096" s="561">
        <v>1002</v>
      </c>
      <c r="J5096" s="561">
        <v>15708.070470000001</v>
      </c>
      <c r="K5096" s="561">
        <v>12381</v>
      </c>
      <c r="L5096" s="561">
        <v>610985.55299999996</v>
      </c>
      <c r="M5096" s="561">
        <v>610985.55299999996</v>
      </c>
      <c r="N5096" s="561">
        <v>142194.84399999998</v>
      </c>
      <c r="O5096" s="561">
        <v>0</v>
      </c>
      <c r="P5096" s="561">
        <v>468790.70900000003</v>
      </c>
    </row>
    <row r="5097" spans="1:38">
      <c r="C5097" s="561" t="s">
        <v>1197</v>
      </c>
      <c r="D5097" s="561">
        <v>581827.66899999999</v>
      </c>
      <c r="E5097" s="561">
        <v>135402.658</v>
      </c>
      <c r="F5097" s="561">
        <v>446425.011</v>
      </c>
      <c r="G5097" s="561">
        <v>10050</v>
      </c>
      <c r="H5097" s="561">
        <v>598922.99200000009</v>
      </c>
      <c r="I5097" s="561">
        <v>973</v>
      </c>
      <c r="J5097" s="561">
        <v>15490.502470000001</v>
      </c>
      <c r="K5097" s="561">
        <v>10026</v>
      </c>
      <c r="L5097" s="561">
        <v>581827.66899999999</v>
      </c>
      <c r="M5097" s="561">
        <v>581827.66899999999</v>
      </c>
      <c r="N5097" s="561">
        <v>135402.658</v>
      </c>
      <c r="O5097" s="561">
        <v>0</v>
      </c>
    </row>
    <row r="5098" spans="1:38">
      <c r="C5098" s="561" t="s">
        <v>1199</v>
      </c>
      <c r="D5098" s="561">
        <v>29157.884000000002</v>
      </c>
      <c r="E5098" s="561">
        <v>6792.1859999999997</v>
      </c>
      <c r="F5098" s="561">
        <v>22365.698000000004</v>
      </c>
      <c r="G5098" s="561">
        <v>2365</v>
      </c>
      <c r="H5098" s="561">
        <v>29379.452000000001</v>
      </c>
      <c r="I5098" s="561">
        <v>29</v>
      </c>
      <c r="J5098" s="561">
        <v>217.56799999999998</v>
      </c>
      <c r="K5098" s="561">
        <v>2355</v>
      </c>
      <c r="L5098" s="561">
        <v>29157.884000000002</v>
      </c>
      <c r="M5098" s="561">
        <v>29157.884000000002</v>
      </c>
      <c r="N5098" s="561">
        <v>6792.1859999999997</v>
      </c>
      <c r="O5098" s="561">
        <v>0</v>
      </c>
      <c r="P5098" s="561">
        <v>22365.698000000004</v>
      </c>
    </row>
    <row r="5099" spans="1:38">
      <c r="A5099" s="561">
        <v>8</v>
      </c>
      <c r="B5099" s="561" t="s">
        <v>1657</v>
      </c>
      <c r="C5099" s="561" t="s">
        <v>1267</v>
      </c>
      <c r="D5099" s="561">
        <v>270260.57599999994</v>
      </c>
      <c r="E5099" s="561">
        <v>67989.237999999998</v>
      </c>
      <c r="F5099" s="561">
        <v>202271.33799999993</v>
      </c>
      <c r="G5099" s="561">
        <v>4458</v>
      </c>
      <c r="H5099" s="561">
        <v>278756.17300000001</v>
      </c>
      <c r="I5099" s="561">
        <v>373</v>
      </c>
      <c r="J5099" s="561">
        <v>9082.9364300000016</v>
      </c>
      <c r="K5099" s="561">
        <v>4435</v>
      </c>
      <c r="L5099" s="561">
        <v>270260.57599999994</v>
      </c>
      <c r="M5099" s="561">
        <v>270260.57599999994</v>
      </c>
      <c r="N5099" s="561">
        <v>67989.237999999998</v>
      </c>
      <c r="O5099" s="561">
        <v>0</v>
      </c>
      <c r="P5099" s="561">
        <v>202271.33799999993</v>
      </c>
    </row>
    <row r="5100" spans="1:38">
      <c r="C5100" s="561" t="s">
        <v>1197</v>
      </c>
      <c r="D5100" s="561">
        <v>267791.90599999996</v>
      </c>
      <c r="E5100" s="561">
        <v>67589.982000000004</v>
      </c>
      <c r="F5100" s="561">
        <v>200201.92399999994</v>
      </c>
      <c r="G5100" s="561">
        <v>4284</v>
      </c>
      <c r="H5100" s="561">
        <v>275481.125</v>
      </c>
      <c r="I5100" s="561">
        <v>366</v>
      </c>
      <c r="J5100" s="561">
        <v>9053.2766400000019</v>
      </c>
      <c r="K5100" s="561">
        <v>4266</v>
      </c>
      <c r="L5100" s="561">
        <v>267791.90599999996</v>
      </c>
      <c r="M5100" s="561">
        <v>267791.90599999996</v>
      </c>
      <c r="N5100" s="561">
        <v>67589.982000000004</v>
      </c>
      <c r="O5100" s="561">
        <v>0</v>
      </c>
    </row>
    <row r="5101" spans="1:38">
      <c r="C5101" s="561" t="s">
        <v>1199</v>
      </c>
      <c r="D5101" s="561">
        <v>2468.67</v>
      </c>
      <c r="E5101" s="561">
        <v>399.25599999999997</v>
      </c>
      <c r="F5101" s="561">
        <v>2069.4140000000002</v>
      </c>
      <c r="G5101" s="561">
        <v>174</v>
      </c>
      <c r="H5101" s="561">
        <v>3275.0479999999998</v>
      </c>
      <c r="I5101" s="561">
        <v>7</v>
      </c>
      <c r="J5101" s="561">
        <v>29.659789999999997</v>
      </c>
      <c r="K5101" s="561">
        <v>169</v>
      </c>
      <c r="L5101" s="561">
        <v>2468.67</v>
      </c>
      <c r="M5101" s="561">
        <v>2468.67</v>
      </c>
      <c r="N5101" s="561">
        <v>399.25599999999997</v>
      </c>
      <c r="O5101" s="561">
        <v>0</v>
      </c>
      <c r="P5101" s="561">
        <v>2069.4140000000002</v>
      </c>
    </row>
    <row r="5102" spans="1:38">
      <c r="A5102" s="561">
        <v>9</v>
      </c>
      <c r="B5102" s="561" t="s">
        <v>1658</v>
      </c>
      <c r="C5102" s="561" t="s">
        <v>1267</v>
      </c>
      <c r="D5102" s="561">
        <v>729342.79200000013</v>
      </c>
      <c r="E5102" s="561">
        <v>188860.66899999999</v>
      </c>
      <c r="F5102" s="561">
        <v>540482.12300000014</v>
      </c>
      <c r="G5102" s="561">
        <v>9285</v>
      </c>
      <c r="H5102" s="561">
        <v>764139.49199999997</v>
      </c>
      <c r="I5102" s="561">
        <v>845</v>
      </c>
      <c r="J5102" s="561">
        <v>36900.381239999995</v>
      </c>
      <c r="K5102" s="561">
        <v>9288</v>
      </c>
      <c r="L5102" s="561">
        <v>729342.79200000013</v>
      </c>
      <c r="M5102" s="561">
        <v>729342.79200000013</v>
      </c>
      <c r="N5102" s="561">
        <v>188860.66899999999</v>
      </c>
      <c r="O5102" s="561">
        <v>0</v>
      </c>
      <c r="P5102" s="561">
        <v>540482.12300000014</v>
      </c>
    </row>
    <row r="5103" spans="1:38">
      <c r="C5103" s="561" t="s">
        <v>1197</v>
      </c>
      <c r="D5103" s="561">
        <v>594138.94900000014</v>
      </c>
      <c r="E5103" s="561">
        <v>175241.64600000001</v>
      </c>
      <c r="F5103" s="561">
        <v>418897.30300000013</v>
      </c>
      <c r="G5103" s="561">
        <v>7981</v>
      </c>
      <c r="H5103" s="561">
        <v>618490.14300000004</v>
      </c>
      <c r="I5103" s="561">
        <v>756</v>
      </c>
      <c r="J5103" s="561">
        <v>26265.804259999997</v>
      </c>
      <c r="K5103" s="561">
        <v>7991</v>
      </c>
      <c r="L5103" s="561">
        <v>594138.94900000014</v>
      </c>
      <c r="M5103" s="561">
        <v>594138.94900000014</v>
      </c>
      <c r="N5103" s="561">
        <v>175241.64600000001</v>
      </c>
      <c r="O5103" s="561">
        <v>0</v>
      </c>
    </row>
    <row r="5104" spans="1:38">
      <c r="C5104" s="561" t="s">
        <v>1198</v>
      </c>
      <c r="D5104" s="561">
        <v>121646.245</v>
      </c>
      <c r="E5104" s="561">
        <v>10800</v>
      </c>
      <c r="F5104" s="561">
        <v>110846.245</v>
      </c>
      <c r="G5104" s="561">
        <v>334</v>
      </c>
      <c r="H5104" s="561">
        <v>131962.47899999999</v>
      </c>
      <c r="I5104" s="561">
        <v>69</v>
      </c>
      <c r="J5104" s="561">
        <v>10505.899010000001</v>
      </c>
      <c r="K5104" s="561">
        <v>335</v>
      </c>
      <c r="L5104" s="561">
        <v>121646.245</v>
      </c>
      <c r="M5104" s="561">
        <v>121646.245</v>
      </c>
      <c r="N5104" s="561">
        <v>10800</v>
      </c>
      <c r="O5104" s="561">
        <v>0</v>
      </c>
      <c r="AL5104" s="561">
        <v>110846.245</v>
      </c>
    </row>
    <row r="5105" spans="1:16">
      <c r="C5105" s="561" t="s">
        <v>1199</v>
      </c>
      <c r="D5105" s="561">
        <v>13557.598000000002</v>
      </c>
      <c r="E5105" s="561">
        <v>2819.0230000000001</v>
      </c>
      <c r="F5105" s="561">
        <v>10738.575000000001</v>
      </c>
      <c r="G5105" s="561">
        <v>970</v>
      </c>
      <c r="H5105" s="561">
        <v>13686.87</v>
      </c>
      <c r="I5105" s="561">
        <v>20</v>
      </c>
      <c r="J5105" s="561">
        <v>128.67796999999999</v>
      </c>
      <c r="K5105" s="561">
        <v>962</v>
      </c>
      <c r="L5105" s="561">
        <v>13557.598000000002</v>
      </c>
      <c r="M5105" s="561">
        <v>13557.598000000002</v>
      </c>
      <c r="N5105" s="561">
        <v>2819.0230000000001</v>
      </c>
      <c r="O5105" s="561">
        <v>0</v>
      </c>
      <c r="P5105" s="561">
        <v>10738.575000000001</v>
      </c>
    </row>
    <row r="5106" spans="1:16">
      <c r="A5106" s="561">
        <v>10</v>
      </c>
      <c r="B5106" s="561" t="s">
        <v>1659</v>
      </c>
      <c r="C5106" s="561" t="s">
        <v>1267</v>
      </c>
      <c r="D5106" s="561">
        <v>181976.783</v>
      </c>
      <c r="E5106" s="561">
        <v>53099.807000000001</v>
      </c>
      <c r="F5106" s="561">
        <v>128876.976</v>
      </c>
      <c r="G5106" s="561">
        <v>3262</v>
      </c>
      <c r="H5106" s="561">
        <v>191246.96800000002</v>
      </c>
      <c r="I5106" s="561">
        <v>238</v>
      </c>
      <c r="J5106" s="561">
        <v>8853.7213699999975</v>
      </c>
      <c r="K5106" s="561">
        <v>3204</v>
      </c>
      <c r="L5106" s="561">
        <v>181976.783</v>
      </c>
      <c r="M5106" s="561">
        <v>181976.783</v>
      </c>
      <c r="N5106" s="561">
        <v>53099.807000000001</v>
      </c>
      <c r="O5106" s="561">
        <v>0</v>
      </c>
      <c r="P5106" s="561">
        <v>128876.976</v>
      </c>
    </row>
    <row r="5107" spans="1:16">
      <c r="C5107" s="561" t="s">
        <v>1197</v>
      </c>
      <c r="D5107" s="561">
        <v>174008.75399999999</v>
      </c>
      <c r="E5107" s="561">
        <v>51231.017</v>
      </c>
      <c r="F5107" s="561">
        <v>122777.73699999999</v>
      </c>
      <c r="G5107" s="561">
        <v>2696</v>
      </c>
      <c r="H5107" s="561">
        <v>182936.52600000001</v>
      </c>
      <c r="I5107" s="561">
        <v>220</v>
      </c>
      <c r="J5107" s="561">
        <v>8763.7499999999982</v>
      </c>
      <c r="K5107" s="561">
        <v>2659</v>
      </c>
      <c r="L5107" s="561">
        <v>174008.75399999999</v>
      </c>
      <c r="M5107" s="561">
        <v>174008.75399999999</v>
      </c>
      <c r="N5107" s="561">
        <v>51231.017</v>
      </c>
      <c r="O5107" s="561">
        <v>0</v>
      </c>
    </row>
    <row r="5108" spans="1:16">
      <c r="C5108" s="561" t="s">
        <v>1199</v>
      </c>
      <c r="D5108" s="561">
        <v>7968.0289999999995</v>
      </c>
      <c r="E5108" s="561">
        <v>1868.79</v>
      </c>
      <c r="F5108" s="561">
        <v>6099.2389999999996</v>
      </c>
      <c r="G5108" s="561">
        <v>566</v>
      </c>
      <c r="H5108" s="561">
        <v>8310.4419999999991</v>
      </c>
      <c r="I5108" s="561">
        <v>18</v>
      </c>
      <c r="J5108" s="561">
        <v>89.971369999999993</v>
      </c>
      <c r="K5108" s="561">
        <v>545</v>
      </c>
      <c r="L5108" s="561">
        <v>7968.0289999999995</v>
      </c>
      <c r="M5108" s="561">
        <v>7968.0289999999995</v>
      </c>
      <c r="N5108" s="561">
        <v>1868.79</v>
      </c>
      <c r="O5108" s="561">
        <v>0</v>
      </c>
      <c r="P5108" s="561">
        <v>6099.2389999999996</v>
      </c>
    </row>
    <row r="5109" spans="1:16">
      <c r="A5109" s="561">
        <v>11</v>
      </c>
      <c r="B5109" s="561" t="s">
        <v>1660</v>
      </c>
      <c r="C5109" s="561" t="s">
        <v>1267</v>
      </c>
      <c r="D5109" s="561">
        <v>276977.31699999998</v>
      </c>
      <c r="E5109" s="561">
        <v>77834.816999999995</v>
      </c>
      <c r="F5109" s="561">
        <v>199142.5</v>
      </c>
      <c r="G5109" s="561">
        <v>7088</v>
      </c>
      <c r="H5109" s="561">
        <v>282757.91899999999</v>
      </c>
      <c r="I5109" s="561">
        <v>495</v>
      </c>
      <c r="J5109" s="561">
        <v>5219.0483599999998</v>
      </c>
      <c r="K5109" s="561">
        <v>7069</v>
      </c>
      <c r="L5109" s="561">
        <v>276977.31699999998</v>
      </c>
      <c r="M5109" s="561">
        <v>276977.31699999998</v>
      </c>
      <c r="N5109" s="561">
        <v>77834.816999999995</v>
      </c>
      <c r="O5109" s="561">
        <v>0</v>
      </c>
      <c r="P5109" s="561">
        <v>199142.5</v>
      </c>
    </row>
    <row r="5110" spans="1:16">
      <c r="C5110" s="561" t="s">
        <v>1197</v>
      </c>
      <c r="D5110" s="561">
        <v>245226.44899999999</v>
      </c>
      <c r="E5110" s="561">
        <v>70373.59</v>
      </c>
      <c r="F5110" s="561">
        <v>174852.859</v>
      </c>
      <c r="G5110" s="561">
        <v>4627</v>
      </c>
      <c r="H5110" s="561">
        <v>250233.76199999999</v>
      </c>
      <c r="I5110" s="561">
        <v>365</v>
      </c>
      <c r="J5110" s="561">
        <v>4538.9934899999998</v>
      </c>
      <c r="K5110" s="561">
        <v>4616</v>
      </c>
      <c r="L5110" s="561">
        <v>245226.44899999999</v>
      </c>
      <c r="M5110" s="561">
        <v>245226.44899999999</v>
      </c>
      <c r="N5110" s="561">
        <v>70373.59</v>
      </c>
      <c r="O5110" s="561">
        <v>0</v>
      </c>
    </row>
    <row r="5111" spans="1:16">
      <c r="C5111" s="561" t="s">
        <v>1199</v>
      </c>
      <c r="D5111" s="561">
        <v>31750.868000000002</v>
      </c>
      <c r="E5111" s="561">
        <v>7461.2269999999999</v>
      </c>
      <c r="F5111" s="561">
        <v>24289.641000000003</v>
      </c>
      <c r="G5111" s="561">
        <v>2461</v>
      </c>
      <c r="H5111" s="561">
        <v>32524.156999999999</v>
      </c>
      <c r="I5111" s="561">
        <v>130</v>
      </c>
      <c r="J5111" s="561">
        <v>680.05487000000005</v>
      </c>
      <c r="K5111" s="561">
        <v>2453</v>
      </c>
      <c r="L5111" s="561">
        <v>31750.868000000002</v>
      </c>
      <c r="M5111" s="561">
        <v>31750.868000000002</v>
      </c>
      <c r="N5111" s="561">
        <v>7461.2269999999999</v>
      </c>
      <c r="O5111" s="561">
        <v>0</v>
      </c>
      <c r="P5111" s="561">
        <v>24289.641000000003</v>
      </c>
    </row>
    <row r="5112" spans="1:16">
      <c r="A5112" s="561">
        <v>12</v>
      </c>
      <c r="B5112" s="561" t="s">
        <v>1661</v>
      </c>
      <c r="C5112" s="561" t="s">
        <v>1267</v>
      </c>
      <c r="D5112" s="561">
        <v>8384.8189999999995</v>
      </c>
      <c r="E5112" s="561">
        <v>3741.4529999999995</v>
      </c>
      <c r="F5112" s="561">
        <v>4643.366</v>
      </c>
      <c r="G5112" s="561">
        <v>132</v>
      </c>
      <c r="H5112" s="561">
        <v>8701.7450000000008</v>
      </c>
      <c r="I5112" s="561">
        <v>12</v>
      </c>
      <c r="J5112" s="561">
        <v>316.92700000000002</v>
      </c>
      <c r="K5112" s="561">
        <v>130</v>
      </c>
      <c r="L5112" s="561">
        <v>8384.8189999999995</v>
      </c>
      <c r="M5112" s="561">
        <v>8384.8189999999995</v>
      </c>
      <c r="N5112" s="561">
        <v>3741.4530000000004</v>
      </c>
      <c r="O5112" s="561">
        <v>0</v>
      </c>
      <c r="P5112" s="561">
        <v>4643.3659999999991</v>
      </c>
    </row>
    <row r="5113" spans="1:16">
      <c r="C5113" s="561" t="s">
        <v>1197</v>
      </c>
      <c r="D5113" s="561">
        <v>8384.8189999999995</v>
      </c>
      <c r="E5113" s="561">
        <v>3741.4529999999995</v>
      </c>
      <c r="F5113" s="561">
        <v>4643.366</v>
      </c>
      <c r="G5113" s="561">
        <v>132</v>
      </c>
      <c r="H5113" s="561">
        <v>8701.7450000000008</v>
      </c>
      <c r="I5113" s="561">
        <v>12</v>
      </c>
      <c r="J5113" s="561">
        <v>316.92700000000002</v>
      </c>
      <c r="K5113" s="561">
        <v>130</v>
      </c>
      <c r="L5113" s="561">
        <v>8384.8189999999995</v>
      </c>
      <c r="M5113" s="561">
        <v>8384.8189999999995</v>
      </c>
      <c r="N5113" s="561">
        <v>3741.4530000000004</v>
      </c>
      <c r="O5113" s="561">
        <v>0</v>
      </c>
    </row>
    <row r="5114" spans="1:16">
      <c r="C5114" s="561" t="s">
        <v>1199</v>
      </c>
      <c r="D5114" s="561">
        <v>0</v>
      </c>
      <c r="F5114" s="561">
        <v>0</v>
      </c>
      <c r="G5114" s="561">
        <v>0</v>
      </c>
      <c r="H5114" s="561">
        <v>0</v>
      </c>
      <c r="I5114" s="561">
        <v>0</v>
      </c>
      <c r="J5114" s="561">
        <v>0</v>
      </c>
      <c r="K5114" s="561">
        <v>0</v>
      </c>
      <c r="L5114" s="561">
        <v>0</v>
      </c>
      <c r="M5114" s="561">
        <v>0</v>
      </c>
      <c r="N5114" s="561">
        <v>0</v>
      </c>
      <c r="O5114" s="561">
        <v>0</v>
      </c>
      <c r="P5114" s="561">
        <v>0</v>
      </c>
    </row>
    <row r="5115" spans="1:16">
      <c r="A5115" s="561">
        <v>13</v>
      </c>
      <c r="B5115" s="561" t="s">
        <v>1662</v>
      </c>
      <c r="C5115" s="561" t="s">
        <v>1267</v>
      </c>
      <c r="D5115" s="561">
        <v>63892.725000000006</v>
      </c>
      <c r="E5115" s="561">
        <v>18955.050999999999</v>
      </c>
      <c r="F5115" s="561">
        <v>44937.674000000006</v>
      </c>
      <c r="G5115" s="561">
        <v>1376</v>
      </c>
      <c r="H5115" s="561">
        <v>68126.115000000005</v>
      </c>
      <c r="I5115" s="561">
        <v>170</v>
      </c>
      <c r="J5115" s="561">
        <v>4005.7618299999999</v>
      </c>
      <c r="K5115" s="561">
        <v>1360</v>
      </c>
      <c r="L5115" s="561">
        <v>63892.725000000006</v>
      </c>
      <c r="M5115" s="561">
        <v>63892.725000000006</v>
      </c>
      <c r="N5115" s="561">
        <v>18955.050999999999</v>
      </c>
      <c r="O5115" s="561">
        <v>0</v>
      </c>
      <c r="P5115" s="561">
        <v>44937.674000000006</v>
      </c>
    </row>
    <row r="5116" spans="1:16">
      <c r="C5116" s="561" t="s">
        <v>1197</v>
      </c>
      <c r="D5116" s="561">
        <v>61011.923000000003</v>
      </c>
      <c r="E5116" s="561">
        <v>18355.050999999999</v>
      </c>
      <c r="F5116" s="561">
        <v>42656.872000000003</v>
      </c>
      <c r="G5116" s="561">
        <v>1170</v>
      </c>
      <c r="H5116" s="561">
        <v>65121.925000000003</v>
      </c>
      <c r="I5116" s="561">
        <v>150</v>
      </c>
      <c r="J5116" s="561">
        <v>3882.3717099999999</v>
      </c>
      <c r="K5116" s="561">
        <v>1158</v>
      </c>
      <c r="L5116" s="561">
        <v>61011.923000000003</v>
      </c>
      <c r="M5116" s="561">
        <v>61011.923000000003</v>
      </c>
      <c r="N5116" s="561">
        <v>18355.050999999999</v>
      </c>
      <c r="O5116" s="561">
        <v>0</v>
      </c>
    </row>
    <row r="5117" spans="1:16">
      <c r="C5117" s="561" t="s">
        <v>1199</v>
      </c>
      <c r="D5117" s="561">
        <v>2880.8020000000001</v>
      </c>
      <c r="E5117" s="561">
        <v>600</v>
      </c>
      <c r="F5117" s="561">
        <v>2280.8020000000001</v>
      </c>
      <c r="G5117" s="561">
        <v>206</v>
      </c>
      <c r="H5117" s="561">
        <v>3004.19</v>
      </c>
      <c r="I5117" s="561">
        <v>20</v>
      </c>
      <c r="J5117" s="561">
        <v>123.39012</v>
      </c>
      <c r="K5117" s="561">
        <v>202</v>
      </c>
      <c r="L5117" s="561">
        <v>2880.8020000000001</v>
      </c>
      <c r="M5117" s="561">
        <v>2880.8020000000001</v>
      </c>
      <c r="N5117" s="561">
        <v>600</v>
      </c>
      <c r="O5117" s="561">
        <v>0</v>
      </c>
      <c r="P5117" s="561">
        <v>2280.8020000000001</v>
      </c>
    </row>
    <row r="5118" spans="1:16">
      <c r="A5118" s="561">
        <v>14</v>
      </c>
      <c r="B5118" s="561" t="s">
        <v>1663</v>
      </c>
      <c r="C5118" s="561" t="s">
        <v>1267</v>
      </c>
      <c r="D5118" s="561">
        <v>274877.17099999997</v>
      </c>
      <c r="E5118" s="561">
        <v>76393.2</v>
      </c>
      <c r="F5118" s="561">
        <v>198483.97099999999</v>
      </c>
      <c r="G5118" s="561">
        <v>6281</v>
      </c>
      <c r="H5118" s="561">
        <v>306022.04399999999</v>
      </c>
      <c r="I5118" s="561">
        <v>917</v>
      </c>
      <c r="J5118" s="561">
        <v>30981.809919999996</v>
      </c>
      <c r="K5118" s="561">
        <v>6187</v>
      </c>
      <c r="L5118" s="561">
        <v>274877.17099999997</v>
      </c>
      <c r="M5118" s="561">
        <v>274877.17099999997</v>
      </c>
      <c r="N5118" s="561">
        <v>76393.2</v>
      </c>
      <c r="O5118" s="561">
        <v>0</v>
      </c>
      <c r="P5118" s="561">
        <v>198483.97099999999</v>
      </c>
    </row>
    <row r="5119" spans="1:16">
      <c r="C5119" s="561" t="s">
        <v>1197</v>
      </c>
      <c r="D5119" s="561">
        <v>249706.185</v>
      </c>
      <c r="E5119" s="561">
        <v>72163.199999999997</v>
      </c>
      <c r="F5119" s="561">
        <v>177542.98499999999</v>
      </c>
      <c r="G5119" s="561">
        <v>4294</v>
      </c>
      <c r="H5119" s="561">
        <v>279533.84399999998</v>
      </c>
      <c r="I5119" s="561">
        <v>775</v>
      </c>
      <c r="J5119" s="561">
        <v>29577.575619999996</v>
      </c>
      <c r="K5119" s="561">
        <v>4254</v>
      </c>
      <c r="L5119" s="561">
        <v>249706.185</v>
      </c>
      <c r="M5119" s="561">
        <v>249706.185</v>
      </c>
      <c r="N5119" s="561">
        <v>72163.199999999997</v>
      </c>
      <c r="O5119" s="561">
        <v>0</v>
      </c>
    </row>
    <row r="5120" spans="1:16">
      <c r="C5120" s="561" t="s">
        <v>1199</v>
      </c>
      <c r="D5120" s="561">
        <v>25170.985999999994</v>
      </c>
      <c r="E5120" s="561">
        <v>4230</v>
      </c>
      <c r="F5120" s="561">
        <v>20940.985999999994</v>
      </c>
      <c r="G5120" s="561">
        <v>1987</v>
      </c>
      <c r="H5120" s="561">
        <v>26488.199999999997</v>
      </c>
      <c r="I5120" s="561">
        <v>142</v>
      </c>
      <c r="J5120" s="561">
        <v>1404.2343000000001</v>
      </c>
      <c r="K5120" s="561">
        <v>1933</v>
      </c>
      <c r="L5120" s="561">
        <v>25170.985999999994</v>
      </c>
      <c r="M5120" s="561">
        <v>25170.985999999994</v>
      </c>
      <c r="N5120" s="561">
        <v>4230</v>
      </c>
      <c r="O5120" s="561">
        <v>0</v>
      </c>
      <c r="P5120" s="561">
        <v>20940.985999999994</v>
      </c>
    </row>
    <row r="5121" spans="1:16">
      <c r="A5121" s="561">
        <v>15</v>
      </c>
      <c r="B5121" s="561" t="s">
        <v>1664</v>
      </c>
      <c r="C5121" s="561" t="s">
        <v>1267</v>
      </c>
      <c r="D5121" s="561">
        <v>163310.56299999999</v>
      </c>
      <c r="E5121" s="561">
        <v>26660.506000000001</v>
      </c>
      <c r="F5121" s="561">
        <v>136650.057</v>
      </c>
      <c r="G5121" s="561">
        <v>2998</v>
      </c>
      <c r="H5121" s="561">
        <v>167214.174</v>
      </c>
      <c r="I5121" s="561">
        <v>273</v>
      </c>
      <c r="J5121" s="561">
        <v>3767.7121900000002</v>
      </c>
      <c r="K5121" s="561">
        <v>2993</v>
      </c>
      <c r="L5121" s="561">
        <v>163310.56299999999</v>
      </c>
      <c r="M5121" s="561">
        <v>163310.56299999999</v>
      </c>
      <c r="N5121" s="561">
        <v>26660.506000000001</v>
      </c>
      <c r="O5121" s="561">
        <v>0</v>
      </c>
      <c r="P5121" s="561">
        <v>136650.057</v>
      </c>
    </row>
    <row r="5122" spans="1:16">
      <c r="C5122" s="561" t="s">
        <v>1197</v>
      </c>
      <c r="D5122" s="561">
        <v>155504.76499999998</v>
      </c>
      <c r="E5122" s="561">
        <v>25529.276000000002</v>
      </c>
      <c r="F5122" s="561">
        <v>129975.48899999999</v>
      </c>
      <c r="G5122" s="561">
        <v>2375</v>
      </c>
      <c r="H5122" s="561">
        <v>159280.495</v>
      </c>
      <c r="I5122" s="561">
        <v>240</v>
      </c>
      <c r="J5122" s="561">
        <v>3641.7572500000001</v>
      </c>
      <c r="K5122" s="561">
        <v>2370</v>
      </c>
      <c r="L5122" s="561">
        <v>155504.76499999998</v>
      </c>
      <c r="M5122" s="561">
        <v>155504.76499999998</v>
      </c>
      <c r="N5122" s="561">
        <v>25529.276000000002</v>
      </c>
      <c r="O5122" s="561">
        <v>0</v>
      </c>
    </row>
    <row r="5123" spans="1:16">
      <c r="C5123" s="561" t="s">
        <v>1199</v>
      </c>
      <c r="D5123" s="561">
        <v>7805.7980000000007</v>
      </c>
      <c r="E5123" s="561">
        <v>1131.23</v>
      </c>
      <c r="F5123" s="561">
        <v>6674.5680000000011</v>
      </c>
      <c r="G5123" s="561">
        <v>623</v>
      </c>
      <c r="H5123" s="561">
        <v>7933.6790000000001</v>
      </c>
      <c r="I5123" s="561">
        <v>33</v>
      </c>
      <c r="J5123" s="561">
        <v>125.95493999999999</v>
      </c>
      <c r="K5123" s="561">
        <v>623</v>
      </c>
      <c r="L5123" s="561">
        <v>7805.7980000000007</v>
      </c>
      <c r="M5123" s="561">
        <v>7805.7980000000007</v>
      </c>
      <c r="N5123" s="561">
        <v>1131.23</v>
      </c>
      <c r="O5123" s="561">
        <v>0</v>
      </c>
      <c r="P5123" s="561">
        <v>6674.5680000000011</v>
      </c>
    </row>
    <row r="5124" spans="1:16">
      <c r="A5124" s="561">
        <v>16</v>
      </c>
      <c r="B5124" s="561" t="s">
        <v>1665</v>
      </c>
      <c r="C5124" s="561" t="s">
        <v>1267</v>
      </c>
      <c r="D5124" s="561">
        <v>13096.248</v>
      </c>
      <c r="E5124" s="561">
        <v>11788.2</v>
      </c>
      <c r="F5124" s="561">
        <v>1308.0479999999989</v>
      </c>
      <c r="G5124" s="561">
        <v>434</v>
      </c>
      <c r="H5124" s="561">
        <v>13101.713</v>
      </c>
      <c r="I5124" s="561">
        <v>1</v>
      </c>
      <c r="J5124" s="561">
        <v>1.929</v>
      </c>
      <c r="K5124" s="561">
        <v>434</v>
      </c>
      <c r="L5124" s="561">
        <v>13096.248</v>
      </c>
      <c r="M5124" s="561">
        <v>13096.248</v>
      </c>
      <c r="N5124" s="561">
        <v>11788.2</v>
      </c>
      <c r="O5124" s="561">
        <v>0</v>
      </c>
      <c r="P5124" s="561">
        <v>1308.0479999999989</v>
      </c>
    </row>
    <row r="5125" spans="1:16">
      <c r="C5125" s="561" t="s">
        <v>1197</v>
      </c>
      <c r="D5125" s="561">
        <v>10076.925999999999</v>
      </c>
      <c r="E5125" s="561">
        <v>9664.2000000000007</v>
      </c>
      <c r="F5125" s="561">
        <v>412.72599999999875</v>
      </c>
      <c r="G5125" s="561">
        <v>186</v>
      </c>
      <c r="H5125" s="561">
        <v>10079.358</v>
      </c>
      <c r="I5125" s="561">
        <v>1</v>
      </c>
      <c r="J5125" s="561">
        <v>1.929</v>
      </c>
      <c r="K5125" s="561">
        <v>186</v>
      </c>
      <c r="L5125" s="561">
        <v>10076.925999999999</v>
      </c>
      <c r="M5125" s="561">
        <v>10076.925999999999</v>
      </c>
      <c r="N5125" s="561">
        <v>9664.2000000000007</v>
      </c>
      <c r="O5125" s="561">
        <v>0</v>
      </c>
    </row>
    <row r="5126" spans="1:16">
      <c r="C5126" s="561" t="s">
        <v>1199</v>
      </c>
      <c r="D5126" s="561">
        <v>3019.3220000000001</v>
      </c>
      <c r="E5126" s="561">
        <v>2124</v>
      </c>
      <c r="F5126" s="561">
        <v>895.32200000000012</v>
      </c>
      <c r="G5126" s="561">
        <v>248</v>
      </c>
      <c r="H5126" s="561">
        <v>3022.3550000000005</v>
      </c>
      <c r="I5126" s="561">
        <v>0</v>
      </c>
      <c r="J5126" s="561">
        <v>0</v>
      </c>
      <c r="K5126" s="561">
        <v>248</v>
      </c>
      <c r="L5126" s="561">
        <v>3019.3220000000001</v>
      </c>
      <c r="M5126" s="561">
        <v>3019.3220000000001</v>
      </c>
      <c r="N5126" s="561">
        <v>2124</v>
      </c>
      <c r="O5126" s="561">
        <v>0</v>
      </c>
      <c r="P5126" s="561">
        <v>895.32200000000012</v>
      </c>
    </row>
    <row r="5127" spans="1:16">
      <c r="A5127" s="561">
        <v>17</v>
      </c>
      <c r="B5127" s="561" t="s">
        <v>1666</v>
      </c>
      <c r="C5127" s="561" t="s">
        <v>1267</v>
      </c>
      <c r="D5127" s="561">
        <v>96112.116999999998</v>
      </c>
      <c r="E5127" s="561">
        <v>23136.062000000002</v>
      </c>
      <c r="F5127" s="561">
        <v>72976.054999999993</v>
      </c>
      <c r="G5127" s="561">
        <v>2169</v>
      </c>
      <c r="H5127" s="561">
        <v>99192.06700000001</v>
      </c>
      <c r="I5127" s="561">
        <v>142</v>
      </c>
      <c r="J5127" s="561">
        <v>2865.3782700000002</v>
      </c>
      <c r="K5127" s="561">
        <v>2157</v>
      </c>
      <c r="L5127" s="561">
        <v>96112.116999999998</v>
      </c>
      <c r="M5127" s="561">
        <v>96112.116999999998</v>
      </c>
      <c r="N5127" s="561">
        <v>23136.062000000002</v>
      </c>
      <c r="O5127" s="561">
        <v>0</v>
      </c>
      <c r="P5127" s="561">
        <v>72976.054999999993</v>
      </c>
    </row>
    <row r="5128" spans="1:16">
      <c r="C5128" s="561" t="s">
        <v>1197</v>
      </c>
      <c r="D5128" s="561">
        <v>85658.115000000005</v>
      </c>
      <c r="E5128" s="561">
        <v>20826.062000000002</v>
      </c>
      <c r="F5128" s="561">
        <v>64832.053</v>
      </c>
      <c r="G5128" s="561">
        <v>1425</v>
      </c>
      <c r="H5128" s="561">
        <v>88230.867000000013</v>
      </c>
      <c r="I5128" s="561">
        <v>99</v>
      </c>
      <c r="J5128" s="561">
        <v>2237.10871</v>
      </c>
      <c r="K5128" s="561">
        <v>1420</v>
      </c>
      <c r="L5128" s="561">
        <v>85658.115000000005</v>
      </c>
      <c r="M5128" s="561">
        <v>85658.115000000005</v>
      </c>
      <c r="N5128" s="561">
        <v>20826.062000000002</v>
      </c>
      <c r="O5128" s="561">
        <v>0</v>
      </c>
    </row>
    <row r="5129" spans="1:16">
      <c r="C5129" s="561" t="s">
        <v>1199</v>
      </c>
      <c r="D5129" s="561">
        <v>10454.002</v>
      </c>
      <c r="E5129" s="561">
        <v>2310</v>
      </c>
      <c r="F5129" s="561">
        <v>8144.0020000000004</v>
      </c>
      <c r="G5129" s="561">
        <v>744</v>
      </c>
      <c r="H5129" s="561">
        <v>10961.199999999999</v>
      </c>
      <c r="I5129" s="561">
        <v>43</v>
      </c>
      <c r="J5129" s="561">
        <v>628.26955999999996</v>
      </c>
      <c r="K5129" s="561">
        <v>737</v>
      </c>
      <c r="L5129" s="561">
        <v>10454.002</v>
      </c>
      <c r="M5129" s="561">
        <v>10454.002</v>
      </c>
      <c r="N5129" s="561">
        <v>2310</v>
      </c>
      <c r="O5129" s="561">
        <v>0</v>
      </c>
      <c r="P5129" s="561">
        <v>8144.0020000000004</v>
      </c>
    </row>
    <row r="5130" spans="1:16">
      <c r="A5130" s="561">
        <v>18</v>
      </c>
      <c r="B5130" s="561" t="s">
        <v>1667</v>
      </c>
      <c r="C5130" s="561" t="s">
        <v>1267</v>
      </c>
      <c r="D5130" s="561">
        <v>77774.648000000001</v>
      </c>
      <c r="E5130" s="561">
        <v>13883.942999999999</v>
      </c>
      <c r="F5130" s="561">
        <v>63890.705000000002</v>
      </c>
      <c r="G5130" s="561">
        <v>1608</v>
      </c>
      <c r="H5130" s="561">
        <v>81087.771000000008</v>
      </c>
      <c r="I5130" s="561">
        <v>164</v>
      </c>
      <c r="J5130" s="561">
        <v>2831.4221400000006</v>
      </c>
      <c r="K5130" s="561">
        <v>1598</v>
      </c>
      <c r="L5130" s="561">
        <v>77774.648000000001</v>
      </c>
      <c r="M5130" s="561">
        <v>77774.648000000001</v>
      </c>
      <c r="N5130" s="561">
        <v>13883.942999999999</v>
      </c>
      <c r="O5130" s="561">
        <v>0</v>
      </c>
      <c r="P5130" s="561">
        <v>63890.705000000002</v>
      </c>
    </row>
    <row r="5131" spans="1:16">
      <c r="C5131" s="561" t="s">
        <v>1197</v>
      </c>
      <c r="D5131" s="561">
        <v>69761.107000000004</v>
      </c>
      <c r="E5131" s="561">
        <v>12959.942999999999</v>
      </c>
      <c r="F5131" s="561">
        <v>56801.164000000004</v>
      </c>
      <c r="G5131" s="561">
        <v>1098</v>
      </c>
      <c r="H5131" s="561">
        <v>72874.932000000001</v>
      </c>
      <c r="I5131" s="561">
        <v>112</v>
      </c>
      <c r="J5131" s="561">
        <v>2540.2876600000004</v>
      </c>
      <c r="K5131" s="561">
        <v>1091</v>
      </c>
      <c r="L5131" s="561">
        <v>69761.107000000004</v>
      </c>
      <c r="M5131" s="561">
        <v>69761.107000000004</v>
      </c>
      <c r="N5131" s="561">
        <v>12959.942999999999</v>
      </c>
      <c r="O5131" s="561">
        <v>0</v>
      </c>
    </row>
    <row r="5132" spans="1:16">
      <c r="C5132" s="561" t="s">
        <v>1199</v>
      </c>
      <c r="D5132" s="561">
        <v>8013.5410000000002</v>
      </c>
      <c r="E5132" s="561">
        <v>924</v>
      </c>
      <c r="F5132" s="561">
        <v>7089.5410000000002</v>
      </c>
      <c r="G5132" s="561">
        <v>510</v>
      </c>
      <c r="H5132" s="561">
        <v>8212.8389999999999</v>
      </c>
      <c r="I5132" s="561">
        <v>52</v>
      </c>
      <c r="J5132" s="561">
        <v>291.13448</v>
      </c>
      <c r="K5132" s="561">
        <v>507</v>
      </c>
      <c r="L5132" s="561">
        <v>8013.5410000000002</v>
      </c>
      <c r="M5132" s="561">
        <v>8013.5410000000002</v>
      </c>
      <c r="N5132" s="561">
        <v>924</v>
      </c>
      <c r="O5132" s="561">
        <v>0</v>
      </c>
      <c r="P5132" s="561">
        <v>7089.5410000000002</v>
      </c>
    </row>
    <row r="5133" spans="1:16">
      <c r="A5133" s="561">
        <v>19</v>
      </c>
      <c r="B5133" s="561" t="s">
        <v>1668</v>
      </c>
      <c r="C5133" s="561" t="s">
        <v>1267</v>
      </c>
      <c r="D5133" s="561">
        <v>328063.46400000004</v>
      </c>
      <c r="E5133" s="561">
        <v>67801.635999999999</v>
      </c>
      <c r="F5133" s="561">
        <v>260261.82800000007</v>
      </c>
      <c r="G5133" s="561">
        <v>6835</v>
      </c>
      <c r="H5133" s="561">
        <v>360252.77700000006</v>
      </c>
      <c r="I5133" s="561">
        <v>1220</v>
      </c>
      <c r="J5133" s="561">
        <v>31510.557130000001</v>
      </c>
      <c r="K5133" s="561">
        <v>6756</v>
      </c>
      <c r="L5133" s="561">
        <v>328063.46400000004</v>
      </c>
      <c r="M5133" s="561">
        <v>328063.46400000004</v>
      </c>
      <c r="N5133" s="561">
        <v>67801.635999999999</v>
      </c>
      <c r="O5133" s="561">
        <v>0</v>
      </c>
      <c r="P5133" s="561">
        <v>260261.82800000007</v>
      </c>
    </row>
    <row r="5134" spans="1:16">
      <c r="C5134" s="561" t="s">
        <v>1197</v>
      </c>
      <c r="D5134" s="561">
        <v>301171.61900000006</v>
      </c>
      <c r="E5134" s="561">
        <v>63985.688000000002</v>
      </c>
      <c r="F5134" s="561">
        <v>237185.93100000007</v>
      </c>
      <c r="G5134" s="561">
        <v>4905</v>
      </c>
      <c r="H5134" s="561">
        <v>330886.02900000004</v>
      </c>
      <c r="I5134" s="561">
        <v>931</v>
      </c>
      <c r="J5134" s="561">
        <v>29044.92971</v>
      </c>
      <c r="K5134" s="561">
        <v>4851</v>
      </c>
      <c r="L5134" s="561">
        <v>301171.61900000006</v>
      </c>
      <c r="M5134" s="561">
        <v>301171.61900000006</v>
      </c>
      <c r="N5134" s="561">
        <v>63985.688000000002</v>
      </c>
      <c r="O5134" s="561">
        <v>0</v>
      </c>
    </row>
    <row r="5135" spans="1:16">
      <c r="C5135" s="561" t="s">
        <v>1199</v>
      </c>
      <c r="D5135" s="561">
        <v>26891.845000000001</v>
      </c>
      <c r="E5135" s="561">
        <v>3815.9479999999999</v>
      </c>
      <c r="F5135" s="561">
        <v>23075.897000000001</v>
      </c>
      <c r="G5135" s="561">
        <v>1930</v>
      </c>
      <c r="H5135" s="561">
        <v>29366.748</v>
      </c>
      <c r="I5135" s="561">
        <v>289</v>
      </c>
      <c r="J5135" s="561">
        <v>2465.6274199999998</v>
      </c>
      <c r="K5135" s="561">
        <v>1905</v>
      </c>
      <c r="L5135" s="561">
        <v>26891.845000000001</v>
      </c>
      <c r="M5135" s="561">
        <v>26891.845000000001</v>
      </c>
      <c r="N5135" s="561">
        <v>3815.9479999999999</v>
      </c>
      <c r="O5135" s="561">
        <v>0</v>
      </c>
      <c r="P5135" s="561">
        <v>23075.897000000001</v>
      </c>
    </row>
    <row r="5136" spans="1:16">
      <c r="A5136" s="561">
        <v>20</v>
      </c>
      <c r="B5136" s="561" t="s">
        <v>1669</v>
      </c>
      <c r="C5136" s="561" t="s">
        <v>1267</v>
      </c>
      <c r="D5136" s="561">
        <v>40347.778999999995</v>
      </c>
      <c r="E5136" s="561">
        <v>7551.48</v>
      </c>
      <c r="F5136" s="561">
        <v>32796.298999999999</v>
      </c>
      <c r="G5136" s="561">
        <v>863</v>
      </c>
      <c r="H5136" s="561">
        <v>42042.992999999995</v>
      </c>
      <c r="I5136" s="561">
        <v>65</v>
      </c>
      <c r="J5136" s="561">
        <v>1619.7803899999997</v>
      </c>
      <c r="K5136" s="561">
        <v>860</v>
      </c>
      <c r="L5136" s="561">
        <v>40347.778999999995</v>
      </c>
      <c r="M5136" s="561">
        <v>40347.778999999995</v>
      </c>
      <c r="N5136" s="561">
        <v>7551.48</v>
      </c>
      <c r="O5136" s="561">
        <v>0</v>
      </c>
      <c r="P5136" s="561">
        <v>32796.298999999999</v>
      </c>
    </row>
    <row r="5137" spans="1:16">
      <c r="C5137" s="561" t="s">
        <v>1197</v>
      </c>
      <c r="D5137" s="561">
        <v>34691.398999999998</v>
      </c>
      <c r="E5137" s="561">
        <v>6651.48</v>
      </c>
      <c r="F5137" s="561">
        <v>28039.918999999998</v>
      </c>
      <c r="G5137" s="561">
        <v>536</v>
      </c>
      <c r="H5137" s="561">
        <v>36346.859999999993</v>
      </c>
      <c r="I5137" s="561">
        <v>49</v>
      </c>
      <c r="J5137" s="561">
        <v>1578.4113899999998</v>
      </c>
      <c r="K5137" s="561">
        <v>533</v>
      </c>
      <c r="L5137" s="561">
        <v>34691.398999999998</v>
      </c>
      <c r="M5137" s="561">
        <v>34691.398999999998</v>
      </c>
      <c r="N5137" s="561">
        <v>6651.48</v>
      </c>
      <c r="O5137" s="561">
        <v>0</v>
      </c>
    </row>
    <row r="5138" spans="1:16">
      <c r="C5138" s="561" t="s">
        <v>1199</v>
      </c>
      <c r="D5138" s="561">
        <v>5656.38</v>
      </c>
      <c r="E5138" s="561">
        <v>900</v>
      </c>
      <c r="F5138" s="561">
        <v>4756.38</v>
      </c>
      <c r="G5138" s="561">
        <v>327</v>
      </c>
      <c r="H5138" s="561">
        <v>5696.1329999999998</v>
      </c>
      <c r="I5138" s="561">
        <v>16</v>
      </c>
      <c r="J5138" s="561">
        <v>41.369</v>
      </c>
      <c r="K5138" s="561">
        <v>327</v>
      </c>
      <c r="L5138" s="561">
        <v>5656.38</v>
      </c>
      <c r="M5138" s="561">
        <v>5656.38</v>
      </c>
      <c r="N5138" s="561">
        <v>900</v>
      </c>
      <c r="O5138" s="561">
        <v>0</v>
      </c>
      <c r="P5138" s="561">
        <v>4756.38</v>
      </c>
    </row>
    <row r="5139" spans="1:16">
      <c r="A5139" s="561">
        <v>21</v>
      </c>
      <c r="B5139" s="561" t="s">
        <v>1670</v>
      </c>
      <c r="C5139" s="561" t="s">
        <v>1267</v>
      </c>
      <c r="D5139" s="561">
        <v>133670.60100000002</v>
      </c>
      <c r="E5139" s="561">
        <v>39401.014000000003</v>
      </c>
      <c r="F5139" s="561">
        <v>94269.587000000014</v>
      </c>
      <c r="G5139" s="561">
        <v>3387</v>
      </c>
      <c r="H5139" s="561">
        <v>140224.65900000001</v>
      </c>
      <c r="I5139" s="561">
        <v>345</v>
      </c>
      <c r="J5139" s="561">
        <v>6194.4991600000003</v>
      </c>
      <c r="K5139" s="561">
        <v>3378</v>
      </c>
      <c r="L5139" s="561">
        <v>133670.60100000002</v>
      </c>
      <c r="M5139" s="561">
        <v>133670.60100000002</v>
      </c>
      <c r="N5139" s="561">
        <v>39401.014000000003</v>
      </c>
      <c r="O5139" s="561">
        <v>0</v>
      </c>
      <c r="P5139" s="561">
        <v>94269.587000000014</v>
      </c>
    </row>
    <row r="5140" spans="1:16">
      <c r="C5140" s="561" t="s">
        <v>1197</v>
      </c>
      <c r="D5140" s="561">
        <v>108611.74100000002</v>
      </c>
      <c r="E5140" s="561">
        <v>34319.014000000003</v>
      </c>
      <c r="F5140" s="561">
        <v>74292.727000000014</v>
      </c>
      <c r="G5140" s="561">
        <v>1644</v>
      </c>
      <c r="H5140" s="561">
        <v>114457.05900000001</v>
      </c>
      <c r="I5140" s="561">
        <v>236</v>
      </c>
      <c r="J5140" s="561">
        <v>5587.9817400000002</v>
      </c>
      <c r="K5140" s="561">
        <v>1637</v>
      </c>
      <c r="L5140" s="561">
        <v>108611.74100000002</v>
      </c>
      <c r="M5140" s="561">
        <v>108611.74100000002</v>
      </c>
      <c r="N5140" s="561">
        <v>34319.014000000003</v>
      </c>
      <c r="O5140" s="561">
        <v>0</v>
      </c>
    </row>
    <row r="5141" spans="1:16">
      <c r="C5141" s="561" t="s">
        <v>1199</v>
      </c>
      <c r="D5141" s="561">
        <v>25058.86</v>
      </c>
      <c r="E5141" s="561">
        <v>5082</v>
      </c>
      <c r="F5141" s="561">
        <v>19976.86</v>
      </c>
      <c r="G5141" s="561">
        <v>1743</v>
      </c>
      <c r="H5141" s="561">
        <v>25767.599999999999</v>
      </c>
      <c r="I5141" s="561">
        <v>109</v>
      </c>
      <c r="J5141" s="561">
        <v>606.51742000000002</v>
      </c>
      <c r="K5141" s="561">
        <v>1741</v>
      </c>
      <c r="L5141" s="561">
        <v>25058.859999999997</v>
      </c>
      <c r="M5141" s="561">
        <v>25058.859999999997</v>
      </c>
      <c r="N5141" s="561">
        <v>5082</v>
      </c>
      <c r="O5141" s="561">
        <v>0</v>
      </c>
      <c r="P5141" s="561">
        <v>19976.859999999997</v>
      </c>
    </row>
    <row r="5142" spans="1:16">
      <c r="A5142" s="561">
        <v>22</v>
      </c>
      <c r="B5142" s="561" t="s">
        <v>1671</v>
      </c>
      <c r="C5142" s="561" t="s">
        <v>1267</v>
      </c>
      <c r="D5142" s="561">
        <v>79383.579999999987</v>
      </c>
      <c r="E5142" s="561">
        <v>22706.383000000002</v>
      </c>
      <c r="F5142" s="561">
        <v>56677.197</v>
      </c>
      <c r="G5142" s="561">
        <v>1874</v>
      </c>
      <c r="H5142" s="561">
        <v>84869.108999999982</v>
      </c>
      <c r="I5142" s="561">
        <v>255</v>
      </c>
      <c r="J5142" s="561">
        <v>5407.8585400000002</v>
      </c>
      <c r="K5142" s="561">
        <v>1847</v>
      </c>
      <c r="L5142" s="561">
        <v>79383.579999999987</v>
      </c>
      <c r="M5142" s="561">
        <v>79383.579999999987</v>
      </c>
      <c r="N5142" s="561">
        <v>22706.383000000002</v>
      </c>
      <c r="O5142" s="561">
        <v>0</v>
      </c>
      <c r="P5142" s="561">
        <v>56677.197</v>
      </c>
    </row>
    <row r="5143" spans="1:16">
      <c r="C5143" s="561" t="s">
        <v>1197</v>
      </c>
      <c r="D5143" s="561">
        <v>70871.581999999995</v>
      </c>
      <c r="E5143" s="561">
        <v>20655.166000000001</v>
      </c>
      <c r="F5143" s="561">
        <v>50216.415999999997</v>
      </c>
      <c r="G5143" s="561">
        <v>1198</v>
      </c>
      <c r="H5143" s="561">
        <v>75756.61599999998</v>
      </c>
      <c r="I5143" s="561">
        <v>150</v>
      </c>
      <c r="J5143" s="561">
        <v>4688.9924600000004</v>
      </c>
      <c r="K5143" s="561">
        <v>1192</v>
      </c>
      <c r="L5143" s="561">
        <v>70871.581999999995</v>
      </c>
      <c r="M5143" s="561">
        <v>70871.581999999995</v>
      </c>
      <c r="N5143" s="561">
        <v>20655.166000000001</v>
      </c>
      <c r="O5143" s="561">
        <v>0</v>
      </c>
    </row>
    <row r="5144" spans="1:16">
      <c r="C5144" s="561" t="s">
        <v>1199</v>
      </c>
      <c r="D5144" s="561">
        <v>8511.9979999999996</v>
      </c>
      <c r="E5144" s="561">
        <v>2051.2170000000001</v>
      </c>
      <c r="F5144" s="561">
        <v>6460.780999999999</v>
      </c>
      <c r="G5144" s="561">
        <v>676</v>
      </c>
      <c r="H5144" s="561">
        <v>9112.4929999999986</v>
      </c>
      <c r="I5144" s="561">
        <v>105</v>
      </c>
      <c r="J5144" s="561">
        <v>718.8660799999999</v>
      </c>
      <c r="K5144" s="561">
        <v>655</v>
      </c>
      <c r="L5144" s="561">
        <v>8511.9979999999996</v>
      </c>
      <c r="M5144" s="561">
        <v>8511.9979999999996</v>
      </c>
      <c r="N5144" s="561">
        <v>2051.2170000000001</v>
      </c>
      <c r="O5144" s="561">
        <v>0</v>
      </c>
      <c r="P5144" s="561">
        <v>6460.780999999999</v>
      </c>
    </row>
    <row r="5145" spans="1:16">
      <c r="A5145" s="561">
        <v>23</v>
      </c>
      <c r="B5145" s="561" t="s">
        <v>1672</v>
      </c>
      <c r="C5145" s="561" t="s">
        <v>1267</v>
      </c>
      <c r="D5145" s="561">
        <v>263187.837</v>
      </c>
      <c r="E5145" s="561">
        <v>72657.983000000007</v>
      </c>
      <c r="F5145" s="561">
        <v>190529.85399999999</v>
      </c>
      <c r="G5145" s="561">
        <v>4265</v>
      </c>
      <c r="H5145" s="561">
        <v>273798.85599999997</v>
      </c>
      <c r="I5145" s="561">
        <v>489</v>
      </c>
      <c r="J5145" s="561">
        <v>11673.475759999999</v>
      </c>
      <c r="K5145" s="561">
        <v>4247</v>
      </c>
      <c r="L5145" s="561">
        <v>263187.837</v>
      </c>
      <c r="M5145" s="561">
        <v>263187.837</v>
      </c>
      <c r="N5145" s="561">
        <v>72657.983000000007</v>
      </c>
      <c r="O5145" s="561">
        <v>0</v>
      </c>
      <c r="P5145" s="561">
        <v>190529.85399999999</v>
      </c>
    </row>
    <row r="5146" spans="1:16">
      <c r="C5146" s="561" t="s">
        <v>1197</v>
      </c>
      <c r="D5146" s="561">
        <v>258170.19100000002</v>
      </c>
      <c r="E5146" s="561">
        <v>71841.653000000006</v>
      </c>
      <c r="F5146" s="561">
        <v>186328.538</v>
      </c>
      <c r="G5146" s="561">
        <v>3895</v>
      </c>
      <c r="H5146" s="561">
        <v>268608.49</v>
      </c>
      <c r="I5146" s="561">
        <v>460</v>
      </c>
      <c r="J5146" s="561">
        <v>11527.85967</v>
      </c>
      <c r="K5146" s="561">
        <v>3882</v>
      </c>
      <c r="L5146" s="561">
        <v>258170.19100000002</v>
      </c>
      <c r="M5146" s="561">
        <v>258170.19100000002</v>
      </c>
      <c r="N5146" s="561">
        <v>71841.653000000006</v>
      </c>
      <c r="O5146" s="561">
        <v>0</v>
      </c>
    </row>
    <row r="5147" spans="1:16">
      <c r="C5147" s="561" t="s">
        <v>1199</v>
      </c>
      <c r="D5147" s="561">
        <v>5017.6459999999997</v>
      </c>
      <c r="E5147" s="561">
        <v>816.33</v>
      </c>
      <c r="F5147" s="561">
        <v>4201.3159999999998</v>
      </c>
      <c r="G5147" s="561">
        <v>370</v>
      </c>
      <c r="H5147" s="561">
        <v>5190.366</v>
      </c>
      <c r="I5147" s="561">
        <v>29</v>
      </c>
      <c r="J5147" s="561">
        <v>145.61608999999999</v>
      </c>
      <c r="K5147" s="561">
        <v>365</v>
      </c>
      <c r="L5147" s="561">
        <v>5017.6459999999997</v>
      </c>
      <c r="M5147" s="561">
        <v>5017.6459999999997</v>
      </c>
      <c r="N5147" s="561">
        <v>816.33</v>
      </c>
      <c r="O5147" s="561">
        <v>0</v>
      </c>
      <c r="P5147" s="561">
        <v>4201.3159999999998</v>
      </c>
    </row>
    <row r="5148" spans="1:16">
      <c r="A5148" s="561">
        <v>24</v>
      </c>
      <c r="B5148" s="561" t="s">
        <v>1673</v>
      </c>
      <c r="C5148" s="561" t="s">
        <v>1267</v>
      </c>
      <c r="D5148" s="561">
        <v>96282.236000000004</v>
      </c>
      <c r="E5148" s="561">
        <v>24649.644</v>
      </c>
      <c r="F5148" s="561">
        <v>71632.592000000004</v>
      </c>
      <c r="G5148" s="561">
        <v>2450</v>
      </c>
      <c r="H5148" s="561">
        <v>100635.52200000001</v>
      </c>
      <c r="I5148" s="561">
        <v>203</v>
      </c>
      <c r="J5148" s="561">
        <v>4509.6690400000007</v>
      </c>
      <c r="K5148" s="561">
        <v>2422</v>
      </c>
      <c r="L5148" s="561">
        <v>96282.236000000004</v>
      </c>
      <c r="M5148" s="561">
        <v>96282.236000000004</v>
      </c>
      <c r="N5148" s="561">
        <v>24649.644</v>
      </c>
      <c r="O5148" s="561">
        <v>0</v>
      </c>
      <c r="P5148" s="561">
        <v>71632.592000000004</v>
      </c>
    </row>
    <row r="5149" spans="1:16">
      <c r="C5149" s="561" t="s">
        <v>1197</v>
      </c>
      <c r="D5149" s="561">
        <v>82028.471000000005</v>
      </c>
      <c r="E5149" s="561">
        <v>21283.644</v>
      </c>
      <c r="F5149" s="561">
        <v>60744.827000000005</v>
      </c>
      <c r="G5149" s="561">
        <v>1378</v>
      </c>
      <c r="H5149" s="561">
        <v>85943.482000000018</v>
      </c>
      <c r="I5149" s="561">
        <v>150</v>
      </c>
      <c r="J5149" s="561">
        <v>4071.3950400000003</v>
      </c>
      <c r="K5149" s="561">
        <v>1359</v>
      </c>
      <c r="L5149" s="561">
        <v>82028.471000000005</v>
      </c>
      <c r="M5149" s="561">
        <v>82028.471000000005</v>
      </c>
      <c r="N5149" s="561">
        <v>21283.644</v>
      </c>
      <c r="O5149" s="561">
        <v>0</v>
      </c>
    </row>
    <row r="5150" spans="1:16">
      <c r="C5150" s="561" t="s">
        <v>1199</v>
      </c>
      <c r="D5150" s="561">
        <v>14253.765000000001</v>
      </c>
      <c r="E5150" s="561">
        <v>3366</v>
      </c>
      <c r="F5150" s="561">
        <v>10887.765000000001</v>
      </c>
      <c r="G5150" s="561">
        <v>1072</v>
      </c>
      <c r="H5150" s="561">
        <v>14692.039999999997</v>
      </c>
      <c r="I5150" s="561">
        <v>53</v>
      </c>
      <c r="J5150" s="561">
        <v>438.274</v>
      </c>
      <c r="K5150" s="561">
        <v>1063</v>
      </c>
      <c r="L5150" s="561">
        <v>14253.765000000001</v>
      </c>
      <c r="M5150" s="561">
        <v>14253.765000000001</v>
      </c>
      <c r="N5150" s="561">
        <v>3366</v>
      </c>
      <c r="O5150" s="561">
        <v>0</v>
      </c>
      <c r="P5150" s="561">
        <v>10887.765000000001</v>
      </c>
    </row>
    <row r="5151" spans="1:16">
      <c r="A5151" s="561">
        <v>25</v>
      </c>
      <c r="B5151" s="561" t="s">
        <v>1674</v>
      </c>
      <c r="C5151" s="561" t="s">
        <v>1267</v>
      </c>
      <c r="D5151" s="561">
        <v>190350.42300000001</v>
      </c>
      <c r="E5151" s="561">
        <v>37176.186000000002</v>
      </c>
      <c r="F5151" s="561">
        <v>153174.23699999999</v>
      </c>
      <c r="G5151" s="561">
        <v>3421</v>
      </c>
      <c r="H5151" s="561">
        <v>197412.19400000002</v>
      </c>
      <c r="I5151" s="561">
        <v>327</v>
      </c>
      <c r="J5151" s="561">
        <v>8116.2568600000004</v>
      </c>
      <c r="K5151" s="561">
        <v>3400</v>
      </c>
      <c r="L5151" s="561">
        <v>190350.42300000001</v>
      </c>
      <c r="M5151" s="561">
        <v>190350.42300000001</v>
      </c>
      <c r="N5151" s="561">
        <v>37176.186000000002</v>
      </c>
      <c r="O5151" s="561">
        <v>0</v>
      </c>
      <c r="P5151" s="561">
        <v>153174.23699999999</v>
      </c>
    </row>
    <row r="5152" spans="1:16">
      <c r="C5152" s="561" t="s">
        <v>1197</v>
      </c>
      <c r="D5152" s="561">
        <v>177877.084</v>
      </c>
      <c r="E5152" s="561">
        <v>35401</v>
      </c>
      <c r="F5152" s="561">
        <v>142476.084</v>
      </c>
      <c r="G5152" s="561">
        <v>2647</v>
      </c>
      <c r="H5152" s="561">
        <v>184760.89600000001</v>
      </c>
      <c r="I5152" s="561">
        <v>279</v>
      </c>
      <c r="J5152" s="561">
        <v>7944.38897</v>
      </c>
      <c r="K5152" s="561">
        <v>2629</v>
      </c>
      <c r="L5152" s="561">
        <v>177877.084</v>
      </c>
      <c r="M5152" s="561">
        <v>177877.084</v>
      </c>
      <c r="N5152" s="561">
        <v>35401</v>
      </c>
      <c r="O5152" s="561">
        <v>0</v>
      </c>
    </row>
    <row r="5153" spans="1:16">
      <c r="C5153" s="561" t="s">
        <v>1199</v>
      </c>
      <c r="D5153" s="561">
        <v>12473.339</v>
      </c>
      <c r="E5153" s="561">
        <v>1775.1859999999999</v>
      </c>
      <c r="F5153" s="561">
        <v>10698.153</v>
      </c>
      <c r="G5153" s="561">
        <v>774</v>
      </c>
      <c r="H5153" s="561">
        <v>12651.298000000001</v>
      </c>
      <c r="I5153" s="561">
        <v>48</v>
      </c>
      <c r="J5153" s="561">
        <v>171.86789000000002</v>
      </c>
      <c r="K5153" s="561">
        <v>771</v>
      </c>
      <c r="L5153" s="561">
        <v>12473.339</v>
      </c>
      <c r="M5153" s="561">
        <v>12473.339</v>
      </c>
      <c r="N5153" s="561">
        <v>1775.1859999999999</v>
      </c>
      <c r="O5153" s="561">
        <v>0</v>
      </c>
      <c r="P5153" s="561">
        <v>10698.153</v>
      </c>
    </row>
    <row r="5154" spans="1:16">
      <c r="A5154" s="561">
        <v>26</v>
      </c>
      <c r="B5154" s="561" t="s">
        <v>1675</v>
      </c>
      <c r="C5154" s="561" t="s">
        <v>1267</v>
      </c>
      <c r="D5154" s="561">
        <v>77802.144</v>
      </c>
      <c r="E5154" s="561">
        <v>19456.788</v>
      </c>
      <c r="F5154" s="561">
        <v>58345.355999999992</v>
      </c>
      <c r="G5154" s="561">
        <v>1875</v>
      </c>
      <c r="H5154" s="561">
        <v>83003.902999999991</v>
      </c>
      <c r="I5154" s="561">
        <v>247</v>
      </c>
      <c r="J5154" s="561">
        <v>5293.3039700000008</v>
      </c>
      <c r="K5154" s="561">
        <v>1859</v>
      </c>
      <c r="L5154" s="561">
        <v>77802.144</v>
      </c>
      <c r="M5154" s="561">
        <v>77802.144</v>
      </c>
      <c r="N5154" s="561">
        <v>19456.788</v>
      </c>
      <c r="O5154" s="561">
        <v>0</v>
      </c>
      <c r="P5154" s="561">
        <v>58345.355999999992</v>
      </c>
    </row>
    <row r="5155" spans="1:16">
      <c r="C5155" s="561" t="s">
        <v>1197</v>
      </c>
      <c r="D5155" s="561">
        <v>65951.198999999993</v>
      </c>
      <c r="E5155" s="561">
        <v>16928.224999999999</v>
      </c>
      <c r="F5155" s="561">
        <v>49022.973999999995</v>
      </c>
      <c r="G5155" s="561">
        <v>1064</v>
      </c>
      <c r="H5155" s="561">
        <v>70387.396999999997</v>
      </c>
      <c r="I5155" s="561">
        <v>137</v>
      </c>
      <c r="J5155" s="561">
        <v>4532.2886000000008</v>
      </c>
      <c r="K5155" s="561">
        <v>1062</v>
      </c>
      <c r="L5155" s="561">
        <v>65951.198999999993</v>
      </c>
      <c r="M5155" s="561">
        <v>65951.198999999993</v>
      </c>
      <c r="N5155" s="561">
        <v>16928.224999999999</v>
      </c>
      <c r="O5155" s="561">
        <v>0</v>
      </c>
    </row>
    <row r="5156" spans="1:16">
      <c r="C5156" s="561" t="s">
        <v>1199</v>
      </c>
      <c r="D5156" s="561">
        <v>11850.945</v>
      </c>
      <c r="E5156" s="561">
        <v>2528.5630000000001</v>
      </c>
      <c r="F5156" s="561">
        <v>9322.3819999999996</v>
      </c>
      <c r="G5156" s="561">
        <v>811</v>
      </c>
      <c r="H5156" s="561">
        <v>12616.505999999999</v>
      </c>
      <c r="I5156" s="561">
        <v>110</v>
      </c>
      <c r="J5156" s="561">
        <v>761.01537000000008</v>
      </c>
      <c r="K5156" s="561">
        <v>797</v>
      </c>
      <c r="L5156" s="561">
        <v>11850.945</v>
      </c>
      <c r="M5156" s="561">
        <v>11850.945</v>
      </c>
      <c r="N5156" s="561">
        <v>2528.5630000000001</v>
      </c>
      <c r="O5156" s="561">
        <v>0</v>
      </c>
      <c r="P5156" s="561">
        <v>9322.3819999999996</v>
      </c>
    </row>
    <row r="5157" spans="1:16">
      <c r="A5157" s="561">
        <v>27</v>
      </c>
      <c r="B5157" s="561" t="s">
        <v>1676</v>
      </c>
      <c r="C5157" s="561" t="s">
        <v>1267</v>
      </c>
      <c r="D5157" s="561">
        <v>73454.569999999992</v>
      </c>
      <c r="E5157" s="561">
        <v>13162.088</v>
      </c>
      <c r="F5157" s="561">
        <v>60292.481999999996</v>
      </c>
      <c r="G5157" s="561">
        <v>1814</v>
      </c>
      <c r="H5157" s="561">
        <v>79233.03</v>
      </c>
      <c r="I5157" s="561">
        <v>264</v>
      </c>
      <c r="J5157" s="561">
        <v>5076.0727199999992</v>
      </c>
      <c r="K5157" s="561">
        <v>1779</v>
      </c>
      <c r="L5157" s="561">
        <v>73454.569999999992</v>
      </c>
      <c r="M5157" s="561">
        <v>73454.569999999992</v>
      </c>
      <c r="N5157" s="561">
        <v>13162.088</v>
      </c>
      <c r="O5157" s="561">
        <v>0</v>
      </c>
      <c r="P5157" s="561">
        <v>60292.481999999996</v>
      </c>
    </row>
    <row r="5158" spans="1:16">
      <c r="C5158" s="561" t="s">
        <v>1197</v>
      </c>
      <c r="D5158" s="561">
        <v>63714.241999999998</v>
      </c>
      <c r="E5158" s="561">
        <v>12107.4</v>
      </c>
      <c r="F5158" s="561">
        <v>51606.841999999997</v>
      </c>
      <c r="G5158" s="561">
        <v>1066</v>
      </c>
      <c r="H5158" s="561">
        <v>68451.036999999997</v>
      </c>
      <c r="I5158" s="561">
        <v>153</v>
      </c>
      <c r="J5158" s="561">
        <v>4247.0946799999992</v>
      </c>
      <c r="K5158" s="561">
        <v>1060</v>
      </c>
      <c r="L5158" s="561">
        <v>63714.241999999998</v>
      </c>
      <c r="M5158" s="561">
        <v>63714.241999999998</v>
      </c>
      <c r="N5158" s="561">
        <v>12107.4</v>
      </c>
      <c r="O5158" s="561">
        <v>0</v>
      </c>
    </row>
    <row r="5159" spans="1:16">
      <c r="C5159" s="561" t="s">
        <v>1199</v>
      </c>
      <c r="D5159" s="561">
        <v>9740.3279999999995</v>
      </c>
      <c r="E5159" s="561">
        <v>1054.6880000000001</v>
      </c>
      <c r="F5159" s="561">
        <v>8685.64</v>
      </c>
      <c r="G5159" s="561">
        <v>748</v>
      </c>
      <c r="H5159" s="561">
        <v>10781.993000000002</v>
      </c>
      <c r="I5159" s="561">
        <v>111</v>
      </c>
      <c r="J5159" s="561">
        <v>828.97804000000008</v>
      </c>
      <c r="K5159" s="561">
        <v>719</v>
      </c>
      <c r="L5159" s="561">
        <v>9740.3279999999995</v>
      </c>
      <c r="M5159" s="561">
        <v>9740.3279999999995</v>
      </c>
      <c r="N5159" s="561">
        <v>1054.6880000000001</v>
      </c>
      <c r="O5159" s="561">
        <v>0</v>
      </c>
      <c r="P5159" s="561">
        <v>8685.64</v>
      </c>
    </row>
    <row r="5160" spans="1:16">
      <c r="A5160" s="561">
        <v>28</v>
      </c>
      <c r="B5160" s="561" t="s">
        <v>1677</v>
      </c>
      <c r="C5160" s="561" t="s">
        <v>1267</v>
      </c>
      <c r="D5160" s="561">
        <v>91980.263999999996</v>
      </c>
      <c r="E5160" s="561">
        <v>22860.789000000001</v>
      </c>
      <c r="F5160" s="561">
        <v>69119.475000000006</v>
      </c>
      <c r="G5160" s="561">
        <v>2935</v>
      </c>
      <c r="H5160" s="561">
        <v>94480.493000000002</v>
      </c>
      <c r="I5160" s="561">
        <v>265</v>
      </c>
      <c r="J5160" s="561">
        <v>2394.7939400000005</v>
      </c>
      <c r="K5160" s="561">
        <v>2919</v>
      </c>
      <c r="L5160" s="561">
        <v>91980.263999999996</v>
      </c>
      <c r="M5160" s="561">
        <v>91980.263999999996</v>
      </c>
      <c r="N5160" s="561">
        <v>22860.789000000001</v>
      </c>
      <c r="O5160" s="561">
        <v>0</v>
      </c>
      <c r="P5160" s="561">
        <v>69119.475000000006</v>
      </c>
    </row>
    <row r="5161" spans="1:16">
      <c r="C5161" s="561" t="s">
        <v>1197</v>
      </c>
      <c r="D5161" s="561">
        <v>69849.603000000003</v>
      </c>
      <c r="E5161" s="561">
        <v>17745.789000000001</v>
      </c>
      <c r="F5161" s="561">
        <v>52103.813999999998</v>
      </c>
      <c r="G5161" s="561">
        <v>1350</v>
      </c>
      <c r="H5161" s="561">
        <v>71454.989000000001</v>
      </c>
      <c r="I5161" s="561">
        <v>116</v>
      </c>
      <c r="J5161" s="561">
        <v>1499.9467100000004</v>
      </c>
      <c r="K5161" s="561">
        <v>1348</v>
      </c>
      <c r="L5161" s="561">
        <v>69849.603000000003</v>
      </c>
      <c r="M5161" s="561">
        <v>69849.603000000003</v>
      </c>
      <c r="N5161" s="561">
        <v>17745.789000000001</v>
      </c>
      <c r="O5161" s="561">
        <v>0</v>
      </c>
    </row>
    <row r="5162" spans="1:16">
      <c r="C5162" s="561" t="s">
        <v>1199</v>
      </c>
      <c r="D5162" s="561">
        <v>22130.661</v>
      </c>
      <c r="E5162" s="561">
        <v>5115</v>
      </c>
      <c r="F5162" s="561">
        <v>17015.661</v>
      </c>
      <c r="G5162" s="561">
        <v>1585</v>
      </c>
      <c r="H5162" s="561">
        <v>23025.504000000001</v>
      </c>
      <c r="I5162" s="561">
        <v>149</v>
      </c>
      <c r="J5162" s="561">
        <v>894.84722999999985</v>
      </c>
      <c r="K5162" s="561">
        <v>1571</v>
      </c>
      <c r="L5162" s="561">
        <v>22130.661</v>
      </c>
      <c r="M5162" s="561">
        <v>22130.661</v>
      </c>
      <c r="N5162" s="561">
        <v>5115</v>
      </c>
      <c r="O5162" s="561">
        <v>0</v>
      </c>
      <c r="P5162" s="561">
        <v>17015.661</v>
      </c>
    </row>
    <row r="5163" spans="1:16">
      <c r="A5163" s="561">
        <v>29</v>
      </c>
      <c r="B5163" s="561" t="s">
        <v>1678</v>
      </c>
      <c r="C5163" s="561" t="s">
        <v>1267</v>
      </c>
      <c r="D5163" s="561">
        <v>139253.595</v>
      </c>
      <c r="E5163" s="561">
        <v>33146.182000000001</v>
      </c>
      <c r="F5163" s="561">
        <v>106107.413</v>
      </c>
      <c r="G5163" s="561">
        <v>3280</v>
      </c>
      <c r="H5163" s="561">
        <v>145178.965</v>
      </c>
      <c r="I5163" s="561">
        <v>281</v>
      </c>
      <c r="J5163" s="561">
        <v>6102.4544099999994</v>
      </c>
      <c r="K5163" s="561">
        <v>3253</v>
      </c>
      <c r="L5163" s="561">
        <v>139253.595</v>
      </c>
      <c r="M5163" s="561">
        <v>139253.595</v>
      </c>
      <c r="N5163" s="561">
        <v>33146.182000000008</v>
      </c>
      <c r="O5163" s="561">
        <v>0</v>
      </c>
      <c r="P5163" s="561">
        <v>106107.41299999999</v>
      </c>
    </row>
    <row r="5164" spans="1:16">
      <c r="C5164" s="561" t="s">
        <v>1197</v>
      </c>
      <c r="D5164" s="561">
        <v>118394.56299999999</v>
      </c>
      <c r="E5164" s="561">
        <v>29516.028999999999</v>
      </c>
      <c r="F5164" s="561">
        <v>88878.534</v>
      </c>
      <c r="G5164" s="561">
        <v>1868</v>
      </c>
      <c r="H5164" s="561">
        <v>123855.463</v>
      </c>
      <c r="I5164" s="561">
        <v>205</v>
      </c>
      <c r="J5164" s="561">
        <v>5681.3138799999997</v>
      </c>
      <c r="K5164" s="561">
        <v>1855</v>
      </c>
      <c r="L5164" s="561">
        <v>118394.56299999999</v>
      </c>
      <c r="M5164" s="561">
        <v>118394.56299999999</v>
      </c>
      <c r="N5164" s="561">
        <v>29516.029000000006</v>
      </c>
      <c r="O5164" s="561">
        <v>0</v>
      </c>
    </row>
    <row r="5165" spans="1:16">
      <c r="C5165" s="561" t="s">
        <v>1199</v>
      </c>
      <c r="D5165" s="561">
        <v>20859.031999999999</v>
      </c>
      <c r="E5165" s="561">
        <v>3630.1529999999998</v>
      </c>
      <c r="F5165" s="561">
        <v>17228.879000000001</v>
      </c>
      <c r="G5165" s="561">
        <v>1412</v>
      </c>
      <c r="H5165" s="561">
        <v>21323.502</v>
      </c>
      <c r="I5165" s="561">
        <v>76</v>
      </c>
      <c r="J5165" s="561">
        <v>421.14053000000001</v>
      </c>
      <c r="K5165" s="561">
        <v>1398</v>
      </c>
      <c r="L5165" s="561">
        <v>20859.031999999999</v>
      </c>
      <c r="M5165" s="561">
        <v>20859.031999999999</v>
      </c>
      <c r="N5165" s="561">
        <v>3630.1529999999998</v>
      </c>
      <c r="O5165" s="561">
        <v>0</v>
      </c>
      <c r="P5165" s="561">
        <v>17228.879000000001</v>
      </c>
    </row>
    <row r="5166" spans="1:16">
      <c r="A5166" s="561">
        <v>30</v>
      </c>
      <c r="B5166" s="561" t="s">
        <v>1679</v>
      </c>
      <c r="C5166" s="561" t="s">
        <v>1267</v>
      </c>
      <c r="D5166" s="561">
        <v>51989.798999999999</v>
      </c>
      <c r="E5166" s="561">
        <v>10338.369999999999</v>
      </c>
      <c r="F5166" s="561">
        <v>41651.429000000004</v>
      </c>
      <c r="G5166" s="561">
        <v>1522</v>
      </c>
      <c r="H5166" s="561">
        <v>54464.865999999995</v>
      </c>
      <c r="I5166" s="561">
        <v>133</v>
      </c>
      <c r="J5166" s="561">
        <v>2549.3599500000005</v>
      </c>
      <c r="K5166" s="561">
        <v>1509</v>
      </c>
      <c r="L5166" s="561">
        <v>51989.798999999999</v>
      </c>
      <c r="M5166" s="561">
        <v>51989.798999999999</v>
      </c>
      <c r="N5166" s="561">
        <v>10338.369999999999</v>
      </c>
      <c r="O5166" s="561">
        <v>0</v>
      </c>
      <c r="P5166" s="561">
        <v>41651.428999999996</v>
      </c>
    </row>
    <row r="5167" spans="1:16">
      <c r="C5167" s="561" t="s">
        <v>1197</v>
      </c>
      <c r="D5167" s="561">
        <v>40071.620000000003</v>
      </c>
      <c r="E5167" s="561">
        <v>8849.7199999999993</v>
      </c>
      <c r="F5167" s="561">
        <v>31221.9</v>
      </c>
      <c r="G5167" s="561">
        <v>690</v>
      </c>
      <c r="H5167" s="561">
        <v>42315.890999999996</v>
      </c>
      <c r="I5167" s="561">
        <v>87</v>
      </c>
      <c r="J5167" s="561">
        <v>2337.2218700000003</v>
      </c>
      <c r="K5167" s="561">
        <v>684</v>
      </c>
      <c r="L5167" s="561">
        <v>40071.619999999995</v>
      </c>
      <c r="M5167" s="561">
        <v>40071.619999999995</v>
      </c>
      <c r="N5167" s="561">
        <v>8849.7199999999993</v>
      </c>
      <c r="O5167" s="561">
        <v>0</v>
      </c>
    </row>
    <row r="5168" spans="1:16">
      <c r="C5168" s="561" t="s">
        <v>1199</v>
      </c>
      <c r="D5168" s="561">
        <v>11918.179</v>
      </c>
      <c r="E5168" s="561">
        <v>1488.65</v>
      </c>
      <c r="F5168" s="561">
        <v>10429.529</v>
      </c>
      <c r="G5168" s="561">
        <v>832</v>
      </c>
      <c r="H5168" s="561">
        <v>12148.974999999999</v>
      </c>
      <c r="I5168" s="561">
        <v>46</v>
      </c>
      <c r="J5168" s="561">
        <v>212.13808</v>
      </c>
      <c r="K5168" s="561">
        <v>825</v>
      </c>
      <c r="L5168" s="561">
        <v>11918.179</v>
      </c>
      <c r="M5168" s="561">
        <v>11918.179</v>
      </c>
      <c r="N5168" s="561">
        <v>1488.65</v>
      </c>
      <c r="O5168" s="561">
        <v>0</v>
      </c>
      <c r="P5168" s="561">
        <v>10429.529</v>
      </c>
    </row>
    <row r="5169" spans="1:16">
      <c r="A5169" s="561">
        <v>31</v>
      </c>
      <c r="B5169" s="561" t="s">
        <v>1680</v>
      </c>
      <c r="C5169" s="561" t="s">
        <v>1267</v>
      </c>
      <c r="D5169" s="561">
        <v>132940.60700000002</v>
      </c>
      <c r="E5169" s="561">
        <v>36346.144</v>
      </c>
      <c r="F5169" s="561">
        <v>96594.463000000003</v>
      </c>
      <c r="G5169" s="561">
        <v>2698</v>
      </c>
      <c r="H5169" s="561">
        <v>137897.34700000001</v>
      </c>
      <c r="I5169" s="561">
        <v>246</v>
      </c>
      <c r="J5169" s="561">
        <v>4991.3144999999995</v>
      </c>
      <c r="K5169" s="561">
        <v>2690</v>
      </c>
      <c r="L5169" s="561">
        <v>132940.60700000002</v>
      </c>
      <c r="M5169" s="561">
        <v>132940.60700000002</v>
      </c>
      <c r="N5169" s="561">
        <v>36346.144</v>
      </c>
      <c r="O5169" s="561">
        <v>0</v>
      </c>
      <c r="P5169" s="561">
        <v>96594.463000000003</v>
      </c>
    </row>
    <row r="5170" spans="1:16">
      <c r="C5170" s="561" t="s">
        <v>1197</v>
      </c>
      <c r="D5170" s="561">
        <v>121428.19900000001</v>
      </c>
      <c r="E5170" s="561">
        <v>34036.144</v>
      </c>
      <c r="F5170" s="561">
        <v>87392.055000000008</v>
      </c>
      <c r="G5170" s="561">
        <v>1955</v>
      </c>
      <c r="H5170" s="561">
        <v>126040.052</v>
      </c>
      <c r="I5170" s="561">
        <v>184</v>
      </c>
      <c r="J5170" s="561">
        <v>4646.2664999999997</v>
      </c>
      <c r="K5170" s="561">
        <v>1949</v>
      </c>
      <c r="L5170" s="561">
        <v>121428.19900000001</v>
      </c>
      <c r="M5170" s="561">
        <v>121428.19900000001</v>
      </c>
      <c r="N5170" s="561">
        <v>34036.144</v>
      </c>
      <c r="O5170" s="561">
        <v>0</v>
      </c>
    </row>
    <row r="5171" spans="1:16">
      <c r="C5171" s="561" t="s">
        <v>1199</v>
      </c>
      <c r="D5171" s="561">
        <v>11512.407999999998</v>
      </c>
      <c r="E5171" s="561">
        <v>2310</v>
      </c>
      <c r="F5171" s="561">
        <v>9202.4079999999976</v>
      </c>
      <c r="G5171" s="561">
        <v>743</v>
      </c>
      <c r="H5171" s="561">
        <v>11857.295</v>
      </c>
      <c r="I5171" s="561">
        <v>62</v>
      </c>
      <c r="J5171" s="561">
        <v>345.04799999999994</v>
      </c>
      <c r="K5171" s="561">
        <v>741</v>
      </c>
      <c r="L5171" s="561">
        <v>11512.407999999998</v>
      </c>
      <c r="M5171" s="561">
        <v>11512.407999999998</v>
      </c>
      <c r="N5171" s="561">
        <v>2310</v>
      </c>
      <c r="O5171" s="561">
        <v>0</v>
      </c>
      <c r="P5171" s="561">
        <v>9202.4079999999976</v>
      </c>
    </row>
    <row r="5172" spans="1:16">
      <c r="A5172" s="561">
        <v>32</v>
      </c>
      <c r="B5172" s="561" t="s">
        <v>1681</v>
      </c>
      <c r="C5172" s="561" t="s">
        <v>1267</v>
      </c>
      <c r="D5172" s="561">
        <v>168262.65900000004</v>
      </c>
      <c r="E5172" s="561">
        <v>37198.740000000005</v>
      </c>
      <c r="F5172" s="561">
        <v>131063.91900000002</v>
      </c>
      <c r="G5172" s="561">
        <v>3963</v>
      </c>
      <c r="H5172" s="561">
        <v>176705.45900000003</v>
      </c>
      <c r="I5172" s="561">
        <v>407</v>
      </c>
      <c r="J5172" s="561">
        <v>8219.3116300000002</v>
      </c>
      <c r="K5172" s="561">
        <v>3939</v>
      </c>
      <c r="L5172" s="561">
        <v>168262.65900000004</v>
      </c>
      <c r="M5172" s="561">
        <v>168262.65900000004</v>
      </c>
      <c r="N5172" s="561">
        <v>37198.740000000005</v>
      </c>
      <c r="O5172" s="561">
        <v>0</v>
      </c>
      <c r="P5172" s="561">
        <v>131063.91900000002</v>
      </c>
    </row>
    <row r="5173" spans="1:16">
      <c r="C5173" s="561" t="s">
        <v>1197</v>
      </c>
      <c r="D5173" s="561">
        <v>145367.19300000003</v>
      </c>
      <c r="E5173" s="561">
        <v>33023.19</v>
      </c>
      <c r="F5173" s="561">
        <v>112344.00300000003</v>
      </c>
      <c r="G5173" s="561">
        <v>2409</v>
      </c>
      <c r="H5173" s="561">
        <v>152750.75900000002</v>
      </c>
      <c r="I5173" s="561">
        <v>257</v>
      </c>
      <c r="J5173" s="561">
        <v>7234.9122900000002</v>
      </c>
      <c r="K5173" s="561">
        <v>2396</v>
      </c>
      <c r="L5173" s="561">
        <v>145367.19300000003</v>
      </c>
      <c r="M5173" s="561">
        <v>145367.19300000003</v>
      </c>
      <c r="N5173" s="561">
        <v>33023.19</v>
      </c>
      <c r="O5173" s="561">
        <v>0</v>
      </c>
    </row>
    <row r="5174" spans="1:16">
      <c r="C5174" s="561" t="s">
        <v>1199</v>
      </c>
      <c r="D5174" s="561">
        <v>22895.466</v>
      </c>
      <c r="E5174" s="561">
        <v>4175.55</v>
      </c>
      <c r="F5174" s="561">
        <v>18719.916000000001</v>
      </c>
      <c r="G5174" s="561">
        <v>1554</v>
      </c>
      <c r="H5174" s="561">
        <v>23954.7</v>
      </c>
      <c r="I5174" s="561">
        <v>150</v>
      </c>
      <c r="J5174" s="561">
        <v>984.39934000000005</v>
      </c>
      <c r="K5174" s="561">
        <v>1543</v>
      </c>
      <c r="L5174" s="561">
        <v>22895.466</v>
      </c>
      <c r="M5174" s="561">
        <v>22895.466</v>
      </c>
      <c r="N5174" s="561">
        <v>4175.55</v>
      </c>
      <c r="O5174" s="561">
        <v>0</v>
      </c>
      <c r="P5174" s="561">
        <v>18719.916000000001</v>
      </c>
    </row>
    <row r="5175" spans="1:16">
      <c r="A5175" s="561">
        <v>33</v>
      </c>
      <c r="B5175" s="561" t="s">
        <v>1682</v>
      </c>
      <c r="C5175" s="561" t="s">
        <v>1267</v>
      </c>
      <c r="D5175" s="561">
        <v>232081.92300000001</v>
      </c>
      <c r="E5175" s="561">
        <v>59511.932999999997</v>
      </c>
      <c r="F5175" s="561">
        <v>172569.99</v>
      </c>
      <c r="G5175" s="561">
        <v>4739</v>
      </c>
      <c r="H5175" s="561">
        <v>246198.43600000002</v>
      </c>
      <c r="I5175" s="561">
        <v>588</v>
      </c>
      <c r="J5175" s="561">
        <v>14270.10109</v>
      </c>
      <c r="K5175" s="561">
        <v>4703</v>
      </c>
      <c r="L5175" s="561">
        <v>232081.92300000001</v>
      </c>
      <c r="M5175" s="561">
        <v>232081.92300000001</v>
      </c>
      <c r="N5175" s="561">
        <v>59511.932999999997</v>
      </c>
      <c r="O5175" s="561">
        <v>0</v>
      </c>
      <c r="P5175" s="561">
        <v>172569.99</v>
      </c>
    </row>
    <row r="5176" spans="1:16">
      <c r="C5176" s="561" t="s">
        <v>1197</v>
      </c>
      <c r="D5176" s="561">
        <v>204952.353</v>
      </c>
      <c r="E5176" s="561">
        <v>54172.14</v>
      </c>
      <c r="F5176" s="561">
        <v>150780.21299999999</v>
      </c>
      <c r="G5176" s="561">
        <v>2999</v>
      </c>
      <c r="H5176" s="561">
        <v>217617.74400000001</v>
      </c>
      <c r="I5176" s="561">
        <v>419</v>
      </c>
      <c r="J5176" s="561">
        <v>12961.65574</v>
      </c>
      <c r="K5176" s="561">
        <v>2982</v>
      </c>
      <c r="L5176" s="561">
        <v>204952.353</v>
      </c>
      <c r="M5176" s="561">
        <v>204952.353</v>
      </c>
      <c r="N5176" s="561">
        <v>54172.14</v>
      </c>
      <c r="O5176" s="561">
        <v>0</v>
      </c>
    </row>
    <row r="5177" spans="1:16">
      <c r="C5177" s="561" t="s">
        <v>1199</v>
      </c>
      <c r="D5177" s="561">
        <v>27129.57</v>
      </c>
      <c r="E5177" s="561">
        <v>5339.7929999999997</v>
      </c>
      <c r="F5177" s="561">
        <v>21789.777000000002</v>
      </c>
      <c r="G5177" s="561">
        <v>1740</v>
      </c>
      <c r="H5177" s="561">
        <v>28580.692000000003</v>
      </c>
      <c r="I5177" s="561">
        <v>169</v>
      </c>
      <c r="J5177" s="561">
        <v>1308.44535</v>
      </c>
      <c r="K5177" s="561">
        <v>1721</v>
      </c>
      <c r="L5177" s="561">
        <v>27129.57</v>
      </c>
      <c r="M5177" s="561">
        <v>27129.57</v>
      </c>
      <c r="N5177" s="561">
        <v>5339.7929999999997</v>
      </c>
      <c r="O5177" s="561">
        <v>0</v>
      </c>
      <c r="P5177" s="561">
        <v>21789.777000000002</v>
      </c>
    </row>
    <row r="5178" spans="1:16">
      <c r="A5178" s="561">
        <v>34</v>
      </c>
      <c r="B5178" s="561" t="s">
        <v>1683</v>
      </c>
      <c r="C5178" s="561" t="s">
        <v>1267</v>
      </c>
      <c r="D5178" s="561">
        <v>123041.704</v>
      </c>
      <c r="E5178" s="561">
        <v>21656.589</v>
      </c>
      <c r="F5178" s="561">
        <v>101385.11500000001</v>
      </c>
      <c r="G5178" s="561">
        <v>2626</v>
      </c>
      <c r="H5178" s="561">
        <v>130972.878</v>
      </c>
      <c r="I5178" s="561">
        <v>349</v>
      </c>
      <c r="J5178" s="561">
        <v>8257.9906199999987</v>
      </c>
      <c r="K5178" s="561">
        <v>2613</v>
      </c>
      <c r="L5178" s="561">
        <v>123041.704</v>
      </c>
      <c r="M5178" s="561">
        <v>123041.704</v>
      </c>
      <c r="N5178" s="561">
        <v>21656.589</v>
      </c>
      <c r="O5178" s="561">
        <v>0</v>
      </c>
      <c r="P5178" s="561">
        <v>101385.11500000001</v>
      </c>
    </row>
    <row r="5179" spans="1:16">
      <c r="C5179" s="561" t="s">
        <v>1197</v>
      </c>
      <c r="D5179" s="561">
        <v>110722.811</v>
      </c>
      <c r="E5179" s="561">
        <v>19890.828000000001</v>
      </c>
      <c r="F5179" s="561">
        <v>90831.983000000007</v>
      </c>
      <c r="G5179" s="561">
        <v>1840</v>
      </c>
      <c r="H5179" s="561">
        <v>118164.148</v>
      </c>
      <c r="I5179" s="561">
        <v>258</v>
      </c>
      <c r="J5179" s="561">
        <v>7614.8651999999993</v>
      </c>
      <c r="K5179" s="561">
        <v>1832</v>
      </c>
      <c r="L5179" s="561">
        <v>110722.811</v>
      </c>
      <c r="M5179" s="561">
        <v>110722.811</v>
      </c>
      <c r="N5179" s="561">
        <v>19890.828000000001</v>
      </c>
      <c r="O5179" s="561">
        <v>0</v>
      </c>
    </row>
    <row r="5180" spans="1:16">
      <c r="C5180" s="561" t="s">
        <v>1199</v>
      </c>
      <c r="D5180" s="561">
        <v>12318.893000000004</v>
      </c>
      <c r="E5180" s="561">
        <v>1765.761</v>
      </c>
      <c r="F5180" s="561">
        <v>10553.132000000003</v>
      </c>
      <c r="G5180" s="561">
        <v>786</v>
      </c>
      <c r="H5180" s="561">
        <v>12808.73</v>
      </c>
      <c r="I5180" s="561">
        <v>91</v>
      </c>
      <c r="J5180" s="561">
        <v>643.12542000000008</v>
      </c>
      <c r="K5180" s="561">
        <v>781</v>
      </c>
      <c r="L5180" s="561">
        <v>12318.893000000004</v>
      </c>
      <c r="M5180" s="561">
        <v>12318.893000000004</v>
      </c>
      <c r="N5180" s="561">
        <v>1765.761</v>
      </c>
      <c r="O5180" s="561">
        <v>0</v>
      </c>
      <c r="P5180" s="561">
        <v>10553.132000000003</v>
      </c>
    </row>
    <row r="5181" spans="1:16">
      <c r="A5181" s="561">
        <v>35</v>
      </c>
      <c r="B5181" s="561" t="s">
        <v>1684</v>
      </c>
      <c r="C5181" s="561" t="s">
        <v>1267</v>
      </c>
      <c r="D5181" s="561">
        <v>50376.141000000003</v>
      </c>
      <c r="E5181" s="561">
        <v>14105.157999999999</v>
      </c>
      <c r="F5181" s="561">
        <v>36270.983000000007</v>
      </c>
      <c r="G5181" s="561">
        <v>714</v>
      </c>
      <c r="H5181" s="561">
        <v>50628.858999999997</v>
      </c>
      <c r="I5181" s="561">
        <v>7</v>
      </c>
      <c r="J5181" s="561">
        <v>252.71899999999999</v>
      </c>
      <c r="K5181" s="561">
        <v>713</v>
      </c>
      <c r="L5181" s="561">
        <v>50376.141000000003</v>
      </c>
      <c r="M5181" s="561">
        <v>50376.141000000003</v>
      </c>
      <c r="N5181" s="561">
        <v>14105.157999999999</v>
      </c>
      <c r="O5181" s="561">
        <v>0</v>
      </c>
      <c r="P5181" s="561">
        <v>36270.983000000007</v>
      </c>
    </row>
    <row r="5182" spans="1:16">
      <c r="C5182" s="561" t="s">
        <v>1197</v>
      </c>
      <c r="D5182" s="561">
        <v>50376.141000000003</v>
      </c>
      <c r="E5182" s="561">
        <v>14105.157999999999</v>
      </c>
      <c r="F5182" s="561">
        <v>36270.983000000007</v>
      </c>
      <c r="G5182" s="561">
        <v>714</v>
      </c>
      <c r="H5182" s="561">
        <v>50628.858999999997</v>
      </c>
      <c r="I5182" s="561">
        <v>7</v>
      </c>
      <c r="J5182" s="561">
        <v>252.71899999999999</v>
      </c>
      <c r="K5182" s="561">
        <v>713</v>
      </c>
      <c r="L5182" s="561">
        <v>50376.141000000003</v>
      </c>
      <c r="M5182" s="561">
        <v>50376.141000000003</v>
      </c>
      <c r="N5182" s="561">
        <v>14105.157999999999</v>
      </c>
      <c r="O5182" s="561">
        <v>0</v>
      </c>
    </row>
    <row r="5183" spans="1:16">
      <c r="C5183" s="561" t="s">
        <v>1199</v>
      </c>
      <c r="D5183" s="561">
        <v>0</v>
      </c>
      <c r="F5183" s="561">
        <v>0</v>
      </c>
      <c r="G5183" s="561">
        <v>0</v>
      </c>
      <c r="H5183" s="561">
        <v>0</v>
      </c>
      <c r="I5183" s="561">
        <v>0</v>
      </c>
      <c r="J5183" s="561">
        <v>0</v>
      </c>
      <c r="K5183" s="561">
        <v>0</v>
      </c>
      <c r="L5183" s="561">
        <v>0</v>
      </c>
      <c r="M5183" s="561">
        <v>0</v>
      </c>
      <c r="N5183" s="561">
        <v>0</v>
      </c>
      <c r="O5183" s="561">
        <v>0</v>
      </c>
      <c r="P5183" s="561">
        <v>0</v>
      </c>
    </row>
    <row r="5184" spans="1:16">
      <c r="A5184" s="561">
        <v>36</v>
      </c>
      <c r="B5184" s="561" t="s">
        <v>1685</v>
      </c>
      <c r="C5184" s="561" t="s">
        <v>1267</v>
      </c>
      <c r="D5184" s="561">
        <v>239394.37700000004</v>
      </c>
      <c r="E5184" s="561">
        <v>67311.686000000002</v>
      </c>
      <c r="F5184" s="561">
        <v>172082.69100000002</v>
      </c>
      <c r="G5184" s="561">
        <v>5185</v>
      </c>
      <c r="H5184" s="561">
        <v>246295.31200000001</v>
      </c>
      <c r="I5184" s="561">
        <v>260</v>
      </c>
      <c r="J5184" s="561">
        <v>7216.7241299999996</v>
      </c>
      <c r="K5184" s="561">
        <v>5143</v>
      </c>
      <c r="L5184" s="561">
        <v>239394.37700000004</v>
      </c>
      <c r="M5184" s="561">
        <v>239394.37700000004</v>
      </c>
      <c r="N5184" s="561">
        <v>67311.686000000002</v>
      </c>
      <c r="O5184" s="561">
        <v>0</v>
      </c>
      <c r="P5184" s="561">
        <v>172082.69100000002</v>
      </c>
    </row>
    <row r="5185" spans="1:16">
      <c r="C5185" s="561" t="s">
        <v>1197</v>
      </c>
      <c r="D5185" s="561">
        <v>201218.07600000003</v>
      </c>
      <c r="E5185" s="561">
        <v>59127.686000000002</v>
      </c>
      <c r="F5185" s="561">
        <v>142090.39000000001</v>
      </c>
      <c r="G5185" s="561">
        <v>2654</v>
      </c>
      <c r="H5185" s="561">
        <v>207602.07500000001</v>
      </c>
      <c r="I5185" s="561">
        <v>168</v>
      </c>
      <c r="J5185" s="561">
        <v>6699.7872399999997</v>
      </c>
      <c r="K5185" s="561">
        <v>2618</v>
      </c>
      <c r="L5185" s="561">
        <v>201218.07600000003</v>
      </c>
      <c r="M5185" s="561">
        <v>201218.07600000003</v>
      </c>
      <c r="N5185" s="561">
        <v>59127.686000000002</v>
      </c>
      <c r="O5185" s="561">
        <v>0</v>
      </c>
    </row>
    <row r="5186" spans="1:16">
      <c r="C5186" s="561" t="s">
        <v>1199</v>
      </c>
      <c r="D5186" s="561">
        <v>38176.300999999999</v>
      </c>
      <c r="E5186" s="561">
        <v>8184</v>
      </c>
      <c r="F5186" s="561">
        <v>29992.300999999999</v>
      </c>
      <c r="G5186" s="561">
        <v>2531</v>
      </c>
      <c r="H5186" s="561">
        <v>38693.237000000001</v>
      </c>
      <c r="I5186" s="561">
        <v>92</v>
      </c>
      <c r="J5186" s="561">
        <v>516.93688999999995</v>
      </c>
      <c r="K5186" s="561">
        <v>2525</v>
      </c>
      <c r="L5186" s="561">
        <v>38176.300999999999</v>
      </c>
      <c r="M5186" s="561">
        <v>38176.300999999999</v>
      </c>
      <c r="N5186" s="561">
        <v>8184</v>
      </c>
      <c r="O5186" s="561">
        <v>0</v>
      </c>
      <c r="P5186" s="561">
        <v>29992.300999999999</v>
      </c>
    </row>
    <row r="5187" spans="1:16">
      <c r="A5187" s="561">
        <v>37</v>
      </c>
      <c r="B5187" s="561" t="s">
        <v>1686</v>
      </c>
      <c r="C5187" s="561" t="s">
        <v>1267</v>
      </c>
      <c r="D5187" s="561">
        <v>99214.097999999998</v>
      </c>
      <c r="E5187" s="561">
        <v>30581.569</v>
      </c>
      <c r="F5187" s="561">
        <v>68632.52900000001</v>
      </c>
      <c r="G5187" s="561">
        <v>1641</v>
      </c>
      <c r="H5187" s="561">
        <v>100284.13300000002</v>
      </c>
      <c r="I5187" s="561">
        <v>44</v>
      </c>
      <c r="J5187" s="561">
        <v>1151.7079229999999</v>
      </c>
      <c r="K5187" s="561">
        <v>1632</v>
      </c>
      <c r="L5187" s="561">
        <v>99214.097999999998</v>
      </c>
      <c r="M5187" s="561">
        <v>99214.097999999998</v>
      </c>
      <c r="N5187" s="561">
        <v>30581.569</v>
      </c>
      <c r="O5187" s="561">
        <v>0</v>
      </c>
      <c r="P5187" s="561">
        <v>68632.52900000001</v>
      </c>
    </row>
    <row r="5188" spans="1:16">
      <c r="C5188" s="561" t="s">
        <v>1197</v>
      </c>
      <c r="D5188" s="561">
        <v>95089.078999999998</v>
      </c>
      <c r="E5188" s="561">
        <v>30050.263999999999</v>
      </c>
      <c r="F5188" s="561">
        <v>65038.815000000002</v>
      </c>
      <c r="G5188" s="561">
        <v>1390</v>
      </c>
      <c r="H5188" s="561">
        <v>96043.878000000012</v>
      </c>
      <c r="I5188" s="561">
        <v>32</v>
      </c>
      <c r="J5188" s="561">
        <v>1036.47137</v>
      </c>
      <c r="K5188" s="561">
        <v>1388</v>
      </c>
      <c r="L5188" s="561">
        <v>95089.078999999998</v>
      </c>
      <c r="M5188" s="561">
        <v>95089.078999999998</v>
      </c>
      <c r="N5188" s="561">
        <v>30050.263999999999</v>
      </c>
      <c r="O5188" s="561">
        <v>0</v>
      </c>
    </row>
    <row r="5189" spans="1:16">
      <c r="C5189" s="561" t="s">
        <v>1199</v>
      </c>
      <c r="D5189" s="561">
        <v>4125.0190000000002</v>
      </c>
      <c r="E5189" s="561">
        <v>531.30499999999995</v>
      </c>
      <c r="F5189" s="561">
        <v>3593.7140000000004</v>
      </c>
      <c r="G5189" s="561">
        <v>251</v>
      </c>
      <c r="H5189" s="561">
        <v>4240.2550000000001</v>
      </c>
      <c r="I5189" s="561">
        <v>12</v>
      </c>
      <c r="J5189" s="561">
        <v>115.23655299999999</v>
      </c>
      <c r="K5189" s="561">
        <v>244</v>
      </c>
      <c r="L5189" s="561">
        <v>4125.0190000000002</v>
      </c>
      <c r="M5189" s="561">
        <v>4125.0190000000002</v>
      </c>
      <c r="N5189" s="561">
        <v>531.30499999999995</v>
      </c>
      <c r="O5189" s="561">
        <v>0</v>
      </c>
      <c r="P5189" s="561">
        <v>3593.7140000000004</v>
      </c>
    </row>
    <row r="5190" spans="1:16">
      <c r="A5190" s="561">
        <v>38</v>
      </c>
      <c r="B5190" s="561" t="s">
        <v>1687</v>
      </c>
      <c r="C5190" s="561" t="s">
        <v>1267</v>
      </c>
      <c r="D5190" s="561">
        <v>85663.861999999994</v>
      </c>
      <c r="E5190" s="561">
        <v>21711.712</v>
      </c>
      <c r="F5190" s="561">
        <v>63952.149999999994</v>
      </c>
      <c r="G5190" s="561">
        <v>6711</v>
      </c>
      <c r="H5190" s="561">
        <v>88523.364000000001</v>
      </c>
      <c r="I5190" s="561">
        <v>363</v>
      </c>
      <c r="J5190" s="561">
        <v>2863.1284899999996</v>
      </c>
      <c r="K5190" s="561">
        <v>6661</v>
      </c>
      <c r="L5190" s="561">
        <v>85663.861999999994</v>
      </c>
      <c r="M5190" s="561">
        <v>85663.861999999994</v>
      </c>
      <c r="N5190" s="561">
        <v>21711.712</v>
      </c>
      <c r="O5190" s="561">
        <v>0</v>
      </c>
      <c r="P5190" s="561">
        <v>63952.149999999994</v>
      </c>
    </row>
    <row r="5191" spans="1:16">
      <c r="C5191" s="561" t="s">
        <v>1197</v>
      </c>
      <c r="D5191" s="561">
        <v>0</v>
      </c>
      <c r="F5191" s="561">
        <v>0</v>
      </c>
      <c r="G5191" s="561">
        <v>0</v>
      </c>
      <c r="H5191" s="561">
        <v>0</v>
      </c>
      <c r="I5191" s="561">
        <v>0</v>
      </c>
      <c r="J5191" s="561">
        <v>0</v>
      </c>
      <c r="K5191" s="561">
        <v>0</v>
      </c>
      <c r="L5191" s="561">
        <v>0</v>
      </c>
      <c r="M5191" s="561">
        <v>0</v>
      </c>
      <c r="N5191" s="561">
        <v>0</v>
      </c>
      <c r="O5191" s="561">
        <v>0</v>
      </c>
      <c r="P5191" s="561">
        <v>0</v>
      </c>
    </row>
    <row r="5192" spans="1:16">
      <c r="C5192" s="561" t="s">
        <v>1199</v>
      </c>
      <c r="D5192" s="561">
        <v>85663.861999999994</v>
      </c>
      <c r="E5192" s="561">
        <v>21711.712</v>
      </c>
      <c r="F5192" s="561">
        <v>63952.149999999994</v>
      </c>
      <c r="G5192" s="561">
        <v>6711</v>
      </c>
      <c r="H5192" s="561">
        <v>88523.364000000001</v>
      </c>
      <c r="I5192" s="561">
        <v>363</v>
      </c>
      <c r="J5192" s="561">
        <v>2863.1284899999996</v>
      </c>
      <c r="K5192" s="561">
        <v>6661</v>
      </c>
      <c r="L5192" s="561">
        <v>85663.861999999994</v>
      </c>
      <c r="M5192" s="561">
        <v>85663.861999999994</v>
      </c>
      <c r="N5192" s="561">
        <v>21711.712</v>
      </c>
      <c r="O5192" s="561">
        <v>0</v>
      </c>
      <c r="P5192" s="561">
        <v>63952.149999999994</v>
      </c>
    </row>
    <row r="5193" spans="1:16">
      <c r="A5193" s="561">
        <v>39</v>
      </c>
      <c r="B5193" s="561" t="s">
        <v>1688</v>
      </c>
      <c r="C5193" s="561" t="s">
        <v>1267</v>
      </c>
      <c r="D5193" s="561">
        <v>54852.827000000005</v>
      </c>
      <c r="E5193" s="561">
        <v>16458.93</v>
      </c>
      <c r="F5193" s="561">
        <v>38393.897000000004</v>
      </c>
      <c r="G5193" s="561">
        <v>3789</v>
      </c>
      <c r="H5193" s="561">
        <v>55356.088000000003</v>
      </c>
      <c r="I5193" s="561">
        <v>116</v>
      </c>
      <c r="J5193" s="561">
        <v>507.22218000000004</v>
      </c>
      <c r="K5193" s="561">
        <v>3781</v>
      </c>
      <c r="L5193" s="561">
        <v>54852.827000000005</v>
      </c>
      <c r="M5193" s="561">
        <v>54852.827000000005</v>
      </c>
      <c r="N5193" s="561">
        <v>16458.93</v>
      </c>
      <c r="O5193" s="561">
        <v>0</v>
      </c>
      <c r="P5193" s="561">
        <v>38393.897000000004</v>
      </c>
    </row>
    <row r="5194" spans="1:16">
      <c r="C5194" s="561" t="s">
        <v>1197</v>
      </c>
      <c r="D5194" s="561">
        <v>0</v>
      </c>
      <c r="F5194" s="561">
        <v>0</v>
      </c>
      <c r="G5194" s="561">
        <v>0</v>
      </c>
      <c r="H5194" s="561">
        <v>0</v>
      </c>
      <c r="I5194" s="561">
        <v>0</v>
      </c>
      <c r="J5194" s="561">
        <v>0</v>
      </c>
      <c r="K5194" s="561">
        <v>0</v>
      </c>
      <c r="L5194" s="561">
        <v>0</v>
      </c>
      <c r="M5194" s="561">
        <v>0</v>
      </c>
      <c r="N5194" s="561">
        <v>0</v>
      </c>
      <c r="O5194" s="561">
        <v>0</v>
      </c>
      <c r="P5194" s="561">
        <v>0</v>
      </c>
    </row>
    <row r="5195" spans="1:16">
      <c r="C5195" s="561" t="s">
        <v>1199</v>
      </c>
      <c r="D5195" s="561">
        <v>54852.827000000005</v>
      </c>
      <c r="E5195" s="561">
        <v>16458.93</v>
      </c>
      <c r="F5195" s="561">
        <v>38393.897000000004</v>
      </c>
      <c r="G5195" s="561">
        <v>3789</v>
      </c>
      <c r="H5195" s="561">
        <v>55356.088000000003</v>
      </c>
      <c r="I5195" s="561">
        <v>116</v>
      </c>
      <c r="J5195" s="561">
        <v>507.22218000000004</v>
      </c>
      <c r="K5195" s="561">
        <v>3781</v>
      </c>
      <c r="L5195" s="561">
        <v>54852.827000000005</v>
      </c>
      <c r="M5195" s="561">
        <v>54852.827000000005</v>
      </c>
      <c r="N5195" s="561">
        <v>16458.93</v>
      </c>
      <c r="O5195" s="561">
        <v>0</v>
      </c>
      <c r="P5195" s="561">
        <v>38393.897000000004</v>
      </c>
    </row>
    <row r="5196" spans="1:16">
      <c r="A5196" s="561">
        <v>40</v>
      </c>
      <c r="B5196" s="561" t="s">
        <v>1689</v>
      </c>
      <c r="C5196" s="561" t="s">
        <v>1267</v>
      </c>
      <c r="D5196" s="561">
        <v>64964.036999999997</v>
      </c>
      <c r="E5196" s="561">
        <v>18560.07</v>
      </c>
      <c r="F5196" s="561">
        <v>46403.966999999997</v>
      </c>
      <c r="G5196" s="561">
        <v>4810</v>
      </c>
      <c r="H5196" s="561">
        <v>65837.672999999995</v>
      </c>
      <c r="I5196" s="561">
        <v>173</v>
      </c>
      <c r="J5196" s="561">
        <v>877.75666999999999</v>
      </c>
      <c r="K5196" s="561">
        <v>4779</v>
      </c>
      <c r="L5196" s="561">
        <v>64964.036999999997</v>
      </c>
      <c r="M5196" s="561">
        <v>64964.036999999997</v>
      </c>
      <c r="N5196" s="561">
        <v>18560.07</v>
      </c>
      <c r="O5196" s="561">
        <v>0</v>
      </c>
      <c r="P5196" s="561">
        <v>46403.966999999997</v>
      </c>
    </row>
    <row r="5197" spans="1:16">
      <c r="C5197" s="561" t="s">
        <v>1197</v>
      </c>
      <c r="D5197" s="561">
        <v>0</v>
      </c>
      <c r="F5197" s="561">
        <v>0</v>
      </c>
      <c r="G5197" s="561">
        <v>0</v>
      </c>
      <c r="H5197" s="561">
        <v>0</v>
      </c>
      <c r="I5197" s="561">
        <v>0</v>
      </c>
      <c r="J5197" s="561">
        <v>0</v>
      </c>
      <c r="K5197" s="561">
        <v>0</v>
      </c>
      <c r="L5197" s="561">
        <v>0</v>
      </c>
      <c r="M5197" s="561">
        <v>0</v>
      </c>
      <c r="N5197" s="561">
        <v>0</v>
      </c>
      <c r="O5197" s="561">
        <v>0</v>
      </c>
      <c r="P5197" s="561">
        <v>0</v>
      </c>
    </row>
    <row r="5198" spans="1:16">
      <c r="C5198" s="561" t="s">
        <v>1199</v>
      </c>
      <c r="D5198" s="561">
        <v>64964.036999999997</v>
      </c>
      <c r="E5198" s="561">
        <v>18560.07</v>
      </c>
      <c r="F5198" s="561">
        <v>46403.966999999997</v>
      </c>
      <c r="G5198" s="561">
        <v>4810</v>
      </c>
      <c r="H5198" s="561">
        <v>65837.672999999995</v>
      </c>
      <c r="I5198" s="561">
        <v>173</v>
      </c>
      <c r="J5198" s="561">
        <v>877.75666999999999</v>
      </c>
      <c r="K5198" s="561">
        <v>4779</v>
      </c>
      <c r="L5198" s="561">
        <v>64964.036999999997</v>
      </c>
      <c r="M5198" s="561">
        <v>64964.036999999997</v>
      </c>
      <c r="N5198" s="561">
        <v>18560.07</v>
      </c>
      <c r="O5198" s="561">
        <v>0</v>
      </c>
      <c r="P5198" s="561">
        <v>46403.966999999997</v>
      </c>
    </row>
    <row r="5199" spans="1:16">
      <c r="A5199" s="561">
        <v>41</v>
      </c>
      <c r="B5199" s="561" t="s">
        <v>1690</v>
      </c>
      <c r="C5199" s="561" t="s">
        <v>1267</v>
      </c>
      <c r="D5199" s="561">
        <v>23744.665999999997</v>
      </c>
      <c r="E5199" s="561">
        <v>5867.982</v>
      </c>
      <c r="F5199" s="561">
        <v>17876.683999999997</v>
      </c>
      <c r="G5199" s="561">
        <v>1975</v>
      </c>
      <c r="H5199" s="561">
        <v>25468.452000000001</v>
      </c>
      <c r="I5199" s="561">
        <v>206</v>
      </c>
      <c r="J5199" s="561">
        <v>1660.6350199999997</v>
      </c>
      <c r="K5199" s="561">
        <v>1961</v>
      </c>
      <c r="L5199" s="561">
        <v>23744.665999999997</v>
      </c>
      <c r="M5199" s="561">
        <v>23744.665999999997</v>
      </c>
      <c r="N5199" s="561">
        <v>5867.982</v>
      </c>
      <c r="O5199" s="561">
        <v>0</v>
      </c>
      <c r="P5199" s="561">
        <v>17876.683999999997</v>
      </c>
    </row>
    <row r="5200" spans="1:16">
      <c r="C5200" s="561" t="s">
        <v>1197</v>
      </c>
      <c r="D5200" s="561">
        <v>0</v>
      </c>
      <c r="F5200" s="561">
        <v>0</v>
      </c>
      <c r="G5200" s="561">
        <v>0</v>
      </c>
      <c r="H5200" s="561">
        <v>0</v>
      </c>
      <c r="I5200" s="561">
        <v>0</v>
      </c>
      <c r="J5200" s="561">
        <v>0</v>
      </c>
      <c r="K5200" s="561">
        <v>0</v>
      </c>
      <c r="L5200" s="561">
        <v>0</v>
      </c>
      <c r="M5200" s="561">
        <v>0</v>
      </c>
      <c r="N5200" s="561">
        <v>0</v>
      </c>
      <c r="O5200" s="561">
        <v>0</v>
      </c>
      <c r="P5200" s="561">
        <v>0</v>
      </c>
    </row>
    <row r="5201" spans="1:16">
      <c r="C5201" s="561" t="s">
        <v>1199</v>
      </c>
      <c r="D5201" s="561">
        <v>23744.665999999997</v>
      </c>
      <c r="E5201" s="561">
        <v>5867.982</v>
      </c>
      <c r="F5201" s="561">
        <v>17876.683999999997</v>
      </c>
      <c r="G5201" s="561">
        <v>1975</v>
      </c>
      <c r="H5201" s="561">
        <v>25468.452000000001</v>
      </c>
      <c r="I5201" s="561">
        <v>206</v>
      </c>
      <c r="J5201" s="561">
        <v>1660.6350199999997</v>
      </c>
      <c r="K5201" s="561">
        <v>1961</v>
      </c>
      <c r="L5201" s="561">
        <v>23744.665999999997</v>
      </c>
      <c r="M5201" s="561">
        <v>23744.665999999997</v>
      </c>
      <c r="N5201" s="561">
        <v>5867.982</v>
      </c>
      <c r="O5201" s="561">
        <v>0</v>
      </c>
      <c r="P5201" s="561">
        <v>17876.683999999997</v>
      </c>
    </row>
    <row r="5202" spans="1:16">
      <c r="A5202" s="561">
        <v>42</v>
      </c>
      <c r="B5202" s="561" t="s">
        <v>1691</v>
      </c>
      <c r="C5202" s="561" t="s">
        <v>1267</v>
      </c>
      <c r="D5202" s="561">
        <v>57743.453000000001</v>
      </c>
      <c r="E5202" s="561">
        <v>15840</v>
      </c>
      <c r="F5202" s="561">
        <v>41903.453000000001</v>
      </c>
      <c r="G5202" s="561">
        <v>4289</v>
      </c>
      <c r="H5202" s="561">
        <v>60328.903999999995</v>
      </c>
      <c r="I5202" s="561">
        <v>480</v>
      </c>
      <c r="J5202" s="561">
        <v>2585.0742700000001</v>
      </c>
      <c r="K5202" s="561">
        <v>4211</v>
      </c>
      <c r="L5202" s="561">
        <v>57743.453000000001</v>
      </c>
      <c r="M5202" s="561">
        <v>57743.453000000001</v>
      </c>
      <c r="N5202" s="561">
        <v>15840</v>
      </c>
      <c r="O5202" s="561">
        <v>0</v>
      </c>
      <c r="P5202" s="561">
        <v>41903.453000000001</v>
      </c>
    </row>
    <row r="5203" spans="1:16">
      <c r="C5203" s="561" t="s">
        <v>1197</v>
      </c>
      <c r="D5203" s="561">
        <v>0</v>
      </c>
      <c r="F5203" s="561">
        <v>0</v>
      </c>
      <c r="G5203" s="561">
        <v>0</v>
      </c>
      <c r="H5203" s="561">
        <v>0</v>
      </c>
      <c r="I5203" s="561">
        <v>0</v>
      </c>
      <c r="J5203" s="561">
        <v>0</v>
      </c>
      <c r="K5203" s="561">
        <v>0</v>
      </c>
      <c r="L5203" s="561">
        <v>0</v>
      </c>
      <c r="M5203" s="561">
        <v>0</v>
      </c>
      <c r="N5203" s="561">
        <v>0</v>
      </c>
      <c r="O5203" s="561">
        <v>0</v>
      </c>
      <c r="P5203" s="561">
        <v>0</v>
      </c>
    </row>
    <row r="5204" spans="1:16">
      <c r="C5204" s="561" t="s">
        <v>1199</v>
      </c>
      <c r="D5204" s="561">
        <v>57743.453000000001</v>
      </c>
      <c r="E5204" s="561">
        <v>15840</v>
      </c>
      <c r="F5204" s="561">
        <v>41903.453000000001</v>
      </c>
      <c r="G5204" s="561">
        <v>4289</v>
      </c>
      <c r="H5204" s="561">
        <v>60328.903999999995</v>
      </c>
      <c r="I5204" s="561">
        <v>480</v>
      </c>
      <c r="J5204" s="561">
        <v>2585.0742700000001</v>
      </c>
      <c r="K5204" s="561">
        <v>4211</v>
      </c>
      <c r="L5204" s="561">
        <v>57743.453000000001</v>
      </c>
      <c r="M5204" s="561">
        <v>57743.453000000001</v>
      </c>
      <c r="N5204" s="561">
        <v>15840</v>
      </c>
      <c r="O5204" s="561">
        <v>0</v>
      </c>
      <c r="P5204" s="561">
        <v>41903.453000000001</v>
      </c>
    </row>
    <row r="5205" spans="1:16">
      <c r="A5205" s="561">
        <v>43</v>
      </c>
      <c r="B5205" s="561" t="s">
        <v>1692</v>
      </c>
      <c r="C5205" s="561" t="s">
        <v>1267</v>
      </c>
      <c r="D5205" s="561">
        <v>29798.639999999999</v>
      </c>
      <c r="E5205" s="561">
        <v>9240</v>
      </c>
      <c r="F5205" s="561">
        <v>20558.64</v>
      </c>
      <c r="G5205" s="561">
        <v>2591</v>
      </c>
      <c r="H5205" s="561">
        <v>30822.370000000003</v>
      </c>
      <c r="I5205" s="561">
        <v>220</v>
      </c>
      <c r="J5205" s="561">
        <v>1026.9284299999999</v>
      </c>
      <c r="K5205" s="561">
        <v>2568</v>
      </c>
      <c r="L5205" s="561">
        <v>29798.639999999999</v>
      </c>
      <c r="M5205" s="561">
        <v>29798.639999999999</v>
      </c>
      <c r="N5205" s="561">
        <v>9240</v>
      </c>
      <c r="O5205" s="561">
        <v>0</v>
      </c>
      <c r="P5205" s="561">
        <v>20558.64</v>
      </c>
    </row>
    <row r="5206" spans="1:16">
      <c r="C5206" s="561" t="s">
        <v>1197</v>
      </c>
      <c r="D5206" s="561">
        <v>0</v>
      </c>
      <c r="F5206" s="561">
        <v>0</v>
      </c>
      <c r="G5206" s="561">
        <v>0</v>
      </c>
      <c r="H5206" s="561">
        <v>0</v>
      </c>
      <c r="I5206" s="561">
        <v>0</v>
      </c>
      <c r="J5206" s="561">
        <v>0</v>
      </c>
      <c r="K5206" s="561">
        <v>0</v>
      </c>
      <c r="L5206" s="561">
        <v>0</v>
      </c>
      <c r="M5206" s="561">
        <v>0</v>
      </c>
      <c r="N5206" s="561">
        <v>0</v>
      </c>
      <c r="O5206" s="561">
        <v>0</v>
      </c>
      <c r="P5206" s="561">
        <v>0</v>
      </c>
    </row>
    <row r="5207" spans="1:16">
      <c r="C5207" s="561" t="s">
        <v>1199</v>
      </c>
      <c r="D5207" s="561">
        <v>29798.639999999999</v>
      </c>
      <c r="E5207" s="561">
        <v>9240</v>
      </c>
      <c r="F5207" s="561">
        <v>20558.64</v>
      </c>
      <c r="G5207" s="561">
        <v>2591</v>
      </c>
      <c r="H5207" s="561">
        <v>30822.370000000003</v>
      </c>
      <c r="I5207" s="561">
        <v>220</v>
      </c>
      <c r="J5207" s="561">
        <v>1026.9284299999999</v>
      </c>
      <c r="K5207" s="561">
        <v>2568</v>
      </c>
      <c r="L5207" s="561">
        <v>29798.639999999999</v>
      </c>
      <c r="M5207" s="561">
        <v>29798.639999999999</v>
      </c>
      <c r="N5207" s="561">
        <v>9240</v>
      </c>
      <c r="O5207" s="561">
        <v>0</v>
      </c>
      <c r="P5207" s="561">
        <v>20558.64</v>
      </c>
    </row>
    <row r="5208" spans="1:16">
      <c r="A5208" s="561">
        <v>44</v>
      </c>
      <c r="B5208" s="561" t="s">
        <v>1693</v>
      </c>
      <c r="C5208" s="561" t="s">
        <v>1267</v>
      </c>
      <c r="D5208" s="561">
        <v>2585.1670000000004</v>
      </c>
      <c r="E5208" s="561">
        <v>1219.1969999999999</v>
      </c>
      <c r="F5208" s="561">
        <v>1365.9700000000005</v>
      </c>
      <c r="G5208" s="561">
        <v>219</v>
      </c>
      <c r="H5208" s="561">
        <v>2911.9790000000003</v>
      </c>
      <c r="I5208" s="561">
        <v>36</v>
      </c>
      <c r="J5208" s="561">
        <v>326.81344000000001</v>
      </c>
      <c r="K5208" s="561">
        <v>219</v>
      </c>
      <c r="L5208" s="561">
        <v>2585.1670000000004</v>
      </c>
      <c r="M5208" s="561">
        <v>2585.1670000000004</v>
      </c>
      <c r="N5208" s="561">
        <v>1219.1969999999999</v>
      </c>
      <c r="O5208" s="561">
        <v>0</v>
      </c>
      <c r="P5208" s="561">
        <v>1365.9700000000005</v>
      </c>
    </row>
    <row r="5209" spans="1:16">
      <c r="C5209" s="561" t="s">
        <v>1197</v>
      </c>
      <c r="D5209" s="561">
        <v>0</v>
      </c>
      <c r="F5209" s="561">
        <v>0</v>
      </c>
      <c r="G5209" s="561">
        <v>0</v>
      </c>
      <c r="H5209" s="561">
        <v>0</v>
      </c>
      <c r="I5209" s="561">
        <v>0</v>
      </c>
      <c r="J5209" s="561">
        <v>0</v>
      </c>
      <c r="K5209" s="561">
        <v>0</v>
      </c>
      <c r="L5209" s="561">
        <v>0</v>
      </c>
      <c r="M5209" s="561">
        <v>0</v>
      </c>
      <c r="N5209" s="561">
        <v>0</v>
      </c>
      <c r="O5209" s="561">
        <v>0</v>
      </c>
      <c r="P5209" s="561">
        <v>0</v>
      </c>
    </row>
    <row r="5210" spans="1:16">
      <c r="C5210" s="561" t="s">
        <v>1199</v>
      </c>
      <c r="D5210" s="561">
        <v>2585.1670000000004</v>
      </c>
      <c r="E5210" s="561">
        <v>1219.1969999999999</v>
      </c>
      <c r="F5210" s="561">
        <v>1365.9700000000005</v>
      </c>
      <c r="G5210" s="561">
        <v>219</v>
      </c>
      <c r="H5210" s="561">
        <v>2911.9790000000003</v>
      </c>
      <c r="I5210" s="561">
        <v>36</v>
      </c>
      <c r="J5210" s="561">
        <v>326.81344000000001</v>
      </c>
      <c r="K5210" s="561">
        <v>219</v>
      </c>
      <c r="L5210" s="561">
        <v>2585.1670000000004</v>
      </c>
      <c r="M5210" s="561">
        <v>2585.1670000000004</v>
      </c>
      <c r="N5210" s="561">
        <v>1219.1969999999999</v>
      </c>
      <c r="O5210" s="561">
        <v>0</v>
      </c>
      <c r="P5210" s="561">
        <v>1365.9700000000005</v>
      </c>
    </row>
    <row r="5211" spans="1:16">
      <c r="A5211" s="561">
        <v>45</v>
      </c>
      <c r="B5211" s="561" t="s">
        <v>1694</v>
      </c>
      <c r="C5211" s="561" t="s">
        <v>1267</v>
      </c>
      <c r="D5211" s="561">
        <v>54413.681999999993</v>
      </c>
      <c r="E5211" s="561">
        <v>15110.699000000001</v>
      </c>
      <c r="F5211" s="561">
        <v>39302.982999999993</v>
      </c>
      <c r="G5211" s="561">
        <v>3727</v>
      </c>
      <c r="H5211" s="561">
        <v>55653.993999999999</v>
      </c>
      <c r="I5211" s="561">
        <v>250</v>
      </c>
      <c r="J5211" s="561">
        <v>1240.3129899999999</v>
      </c>
      <c r="K5211" s="561">
        <v>3725</v>
      </c>
      <c r="L5211" s="561">
        <v>54413.681999999993</v>
      </c>
      <c r="M5211" s="561">
        <v>54413.681999999993</v>
      </c>
      <c r="N5211" s="561">
        <v>15110.699000000001</v>
      </c>
      <c r="O5211" s="561">
        <v>0</v>
      </c>
      <c r="P5211" s="561">
        <v>39302.982999999993</v>
      </c>
    </row>
    <row r="5212" spans="1:16">
      <c r="C5212" s="561" t="s">
        <v>1197</v>
      </c>
      <c r="D5212" s="561">
        <v>0</v>
      </c>
      <c r="F5212" s="561">
        <v>0</v>
      </c>
      <c r="G5212" s="561">
        <v>0</v>
      </c>
      <c r="H5212" s="561">
        <v>0</v>
      </c>
      <c r="I5212" s="561">
        <v>0</v>
      </c>
      <c r="J5212" s="561">
        <v>0</v>
      </c>
      <c r="K5212" s="561">
        <v>0</v>
      </c>
      <c r="L5212" s="561">
        <v>0</v>
      </c>
      <c r="M5212" s="561">
        <v>0</v>
      </c>
      <c r="N5212" s="561">
        <v>0</v>
      </c>
      <c r="O5212" s="561">
        <v>0</v>
      </c>
      <c r="P5212" s="561">
        <v>0</v>
      </c>
    </row>
    <row r="5213" spans="1:16">
      <c r="C5213" s="561" t="s">
        <v>1199</v>
      </c>
      <c r="D5213" s="561">
        <v>54413.681999999993</v>
      </c>
      <c r="E5213" s="561">
        <v>15110.699000000001</v>
      </c>
      <c r="F5213" s="561">
        <v>39302.982999999993</v>
      </c>
      <c r="G5213" s="561">
        <v>3727</v>
      </c>
      <c r="H5213" s="561">
        <v>55653.993999999999</v>
      </c>
      <c r="I5213" s="561">
        <v>250</v>
      </c>
      <c r="J5213" s="561">
        <v>1240.3129899999999</v>
      </c>
      <c r="K5213" s="561">
        <v>3725</v>
      </c>
      <c r="L5213" s="561">
        <v>54413.681999999993</v>
      </c>
      <c r="M5213" s="561">
        <v>54413.681999999993</v>
      </c>
      <c r="N5213" s="561">
        <v>15110.699000000001</v>
      </c>
      <c r="O5213" s="561">
        <v>0</v>
      </c>
      <c r="P5213" s="561">
        <v>39302.982999999993</v>
      </c>
    </row>
    <row r="5214" spans="1:16">
      <c r="A5214" s="561">
        <v>46</v>
      </c>
      <c r="B5214" s="561" t="s">
        <v>1292</v>
      </c>
      <c r="C5214" s="561" t="s">
        <v>1267</v>
      </c>
      <c r="D5214" s="561">
        <v>130392.60900000001</v>
      </c>
      <c r="E5214" s="561">
        <v>25372.62</v>
      </c>
      <c r="F5214" s="561">
        <v>105019.98900000002</v>
      </c>
      <c r="G5214" s="561">
        <v>421</v>
      </c>
      <c r="H5214" s="561">
        <v>130392.60900000001</v>
      </c>
      <c r="I5214" s="561">
        <v>0</v>
      </c>
      <c r="J5214" s="561">
        <v>0</v>
      </c>
      <c r="K5214" s="561">
        <v>421</v>
      </c>
      <c r="L5214" s="561">
        <v>130392.60900000001</v>
      </c>
      <c r="M5214" s="561">
        <v>130392.60900000001</v>
      </c>
      <c r="N5214" s="561">
        <v>25372.62</v>
      </c>
      <c r="O5214" s="561">
        <v>0</v>
      </c>
      <c r="P5214" s="561">
        <v>105019.98900000002</v>
      </c>
    </row>
    <row r="5215" spans="1:16">
      <c r="C5215" s="561" t="s">
        <v>1197</v>
      </c>
      <c r="D5215" s="561">
        <v>0</v>
      </c>
      <c r="F5215" s="561">
        <v>0</v>
      </c>
      <c r="G5215" s="561">
        <v>0</v>
      </c>
      <c r="H5215" s="561">
        <v>0</v>
      </c>
      <c r="I5215" s="561">
        <v>0</v>
      </c>
      <c r="J5215" s="561">
        <v>0</v>
      </c>
      <c r="K5215" s="561">
        <v>0</v>
      </c>
      <c r="L5215" s="561">
        <v>0</v>
      </c>
      <c r="M5215" s="561">
        <v>0</v>
      </c>
      <c r="N5215" s="561">
        <v>0</v>
      </c>
      <c r="O5215" s="561">
        <v>0</v>
      </c>
      <c r="P5215" s="561">
        <v>0</v>
      </c>
    </row>
    <row r="5216" spans="1:16">
      <c r="C5216" s="561" t="s">
        <v>1199</v>
      </c>
      <c r="D5216" s="561">
        <v>130392.60900000001</v>
      </c>
      <c r="E5216" s="561">
        <v>25372.62</v>
      </c>
      <c r="F5216" s="561">
        <v>105019.98900000002</v>
      </c>
      <c r="G5216" s="561">
        <v>421</v>
      </c>
      <c r="H5216" s="561">
        <v>130392.60900000001</v>
      </c>
      <c r="I5216" s="561">
        <v>0</v>
      </c>
      <c r="J5216" s="561">
        <v>0</v>
      </c>
      <c r="K5216" s="561">
        <v>421</v>
      </c>
      <c r="L5216" s="561">
        <v>130392.60900000001</v>
      </c>
      <c r="M5216" s="561">
        <v>130392.60900000001</v>
      </c>
      <c r="N5216" s="561">
        <v>25372.62</v>
      </c>
      <c r="O5216" s="561">
        <v>0</v>
      </c>
      <c r="P5216" s="561">
        <v>105019.98900000002</v>
      </c>
    </row>
    <row r="5217" spans="1:111">
      <c r="A5217" s="1735" t="s">
        <v>1199</v>
      </c>
      <c r="B5217" s="1735"/>
      <c r="C5217" s="1735"/>
      <c r="D5217" s="1735"/>
      <c r="E5217" s="1735"/>
      <c r="F5217" s="1735"/>
      <c r="G5217" s="1735"/>
      <c r="H5217" s="1735"/>
      <c r="I5217" s="1735"/>
      <c r="J5217" s="1735"/>
      <c r="K5217" s="1735"/>
      <c r="L5217" s="1735"/>
      <c r="M5217" s="1735"/>
      <c r="N5217" s="1735"/>
      <c r="O5217" s="1735"/>
      <c r="P5217" s="1735"/>
      <c r="AL5217" s="561">
        <f>SUM(AL5218:AL5357)</f>
        <v>494160.38</v>
      </c>
      <c r="AM5217" s="561">
        <f t="shared" ref="AM5217:CX5217" si="124">SUM(AM5218:AM5357)</f>
        <v>0</v>
      </c>
      <c r="AN5217" s="561">
        <f t="shared" si="124"/>
        <v>0</v>
      </c>
      <c r="AO5217" s="561">
        <f t="shared" si="124"/>
        <v>0</v>
      </c>
      <c r="AP5217" s="561">
        <f t="shared" si="124"/>
        <v>0</v>
      </c>
      <c r="AQ5217" s="561">
        <f t="shared" si="124"/>
        <v>0</v>
      </c>
      <c r="AR5217" s="561">
        <f t="shared" si="124"/>
        <v>0</v>
      </c>
      <c r="AS5217" s="561">
        <f t="shared" si="124"/>
        <v>0</v>
      </c>
      <c r="AT5217" s="561">
        <f t="shared" si="124"/>
        <v>5251.8159999999989</v>
      </c>
      <c r="AU5217" s="561">
        <f t="shared" si="124"/>
        <v>0</v>
      </c>
      <c r="AV5217" s="561">
        <f t="shared" si="124"/>
        <v>0</v>
      </c>
      <c r="AW5217" s="561">
        <f t="shared" si="124"/>
        <v>0</v>
      </c>
      <c r="AX5217" s="561">
        <f t="shared" si="124"/>
        <v>0</v>
      </c>
      <c r="AY5217" s="561">
        <f t="shared" si="124"/>
        <v>2344.2399999999998</v>
      </c>
      <c r="AZ5217" s="561">
        <f t="shared" si="124"/>
        <v>0</v>
      </c>
      <c r="BA5217" s="561">
        <f t="shared" si="124"/>
        <v>0</v>
      </c>
      <c r="BB5217" s="561">
        <f t="shared" si="124"/>
        <v>53329.907000000007</v>
      </c>
      <c r="BC5217" s="561">
        <f t="shared" si="124"/>
        <v>0</v>
      </c>
      <c r="BD5217" s="561">
        <f t="shared" si="124"/>
        <v>0</v>
      </c>
      <c r="BE5217" s="561">
        <f t="shared" si="124"/>
        <v>0</v>
      </c>
      <c r="BF5217" s="561">
        <f t="shared" si="124"/>
        <v>0</v>
      </c>
      <c r="BG5217" s="561">
        <f t="shared" si="124"/>
        <v>0</v>
      </c>
      <c r="BH5217" s="561">
        <f t="shared" si="124"/>
        <v>0</v>
      </c>
      <c r="BI5217" s="561">
        <f t="shared" si="124"/>
        <v>0</v>
      </c>
      <c r="BJ5217" s="561">
        <f t="shared" si="124"/>
        <v>0</v>
      </c>
      <c r="BK5217" s="561">
        <f t="shared" si="124"/>
        <v>0</v>
      </c>
      <c r="BL5217" s="561">
        <f t="shared" si="124"/>
        <v>0</v>
      </c>
      <c r="BM5217" s="561">
        <f t="shared" si="124"/>
        <v>1365.9700000000005</v>
      </c>
      <c r="BN5217" s="561">
        <f t="shared" si="124"/>
        <v>0</v>
      </c>
      <c r="BO5217" s="561">
        <f t="shared" si="124"/>
        <v>0</v>
      </c>
      <c r="BP5217" s="561">
        <f t="shared" si="124"/>
        <v>0</v>
      </c>
      <c r="BQ5217" s="561">
        <f t="shared" si="124"/>
        <v>0</v>
      </c>
      <c r="BR5217" s="561">
        <f t="shared" si="124"/>
        <v>0</v>
      </c>
      <c r="BS5217" s="561">
        <f t="shared" si="124"/>
        <v>0</v>
      </c>
      <c r="BT5217" s="561">
        <f t="shared" si="124"/>
        <v>0</v>
      </c>
      <c r="BU5217" s="561">
        <f t="shared" si="124"/>
        <v>0</v>
      </c>
      <c r="BV5217" s="561">
        <f t="shared" si="124"/>
        <v>0</v>
      </c>
      <c r="BW5217" s="561">
        <f t="shared" si="124"/>
        <v>0</v>
      </c>
      <c r="BX5217" s="561">
        <f t="shared" si="124"/>
        <v>0</v>
      </c>
      <c r="BY5217" s="561">
        <f t="shared" si="124"/>
        <v>268391.77400000003</v>
      </c>
      <c r="BZ5217" s="561">
        <f t="shared" si="124"/>
        <v>0</v>
      </c>
      <c r="CA5217" s="561">
        <f t="shared" si="124"/>
        <v>0</v>
      </c>
      <c r="CB5217" s="561">
        <f t="shared" si="124"/>
        <v>0</v>
      </c>
      <c r="CC5217" s="561">
        <f t="shared" si="124"/>
        <v>0</v>
      </c>
      <c r="CD5217" s="561">
        <f t="shared" si="124"/>
        <v>0</v>
      </c>
      <c r="CE5217" s="561">
        <f t="shared" si="124"/>
        <v>0</v>
      </c>
      <c r="CF5217" s="561">
        <f t="shared" si="124"/>
        <v>0</v>
      </c>
      <c r="CG5217" s="561">
        <f t="shared" si="124"/>
        <v>0</v>
      </c>
      <c r="CH5217" s="561">
        <f t="shared" si="124"/>
        <v>0</v>
      </c>
      <c r="CI5217" s="561">
        <f t="shared" si="124"/>
        <v>0</v>
      </c>
      <c r="CJ5217" s="561">
        <f t="shared" si="124"/>
        <v>0</v>
      </c>
      <c r="CK5217" s="561">
        <f t="shared" si="124"/>
        <v>0</v>
      </c>
      <c r="CL5217" s="561">
        <f t="shared" si="124"/>
        <v>0</v>
      </c>
      <c r="CM5217" s="561">
        <f t="shared" si="124"/>
        <v>0</v>
      </c>
      <c r="CN5217" s="561">
        <f t="shared" si="124"/>
        <v>0</v>
      </c>
      <c r="CO5217" s="561">
        <f t="shared" si="124"/>
        <v>0</v>
      </c>
      <c r="CP5217" s="561">
        <f t="shared" si="124"/>
        <v>0</v>
      </c>
      <c r="CQ5217" s="561">
        <f t="shared" si="124"/>
        <v>0</v>
      </c>
      <c r="CR5217" s="561">
        <f t="shared" si="124"/>
        <v>0</v>
      </c>
      <c r="CS5217" s="561">
        <f t="shared" si="124"/>
        <v>0</v>
      </c>
      <c r="CT5217" s="561">
        <f t="shared" si="124"/>
        <v>0</v>
      </c>
      <c r="CU5217" s="561">
        <f t="shared" si="124"/>
        <v>0</v>
      </c>
      <c r="CV5217" s="561">
        <f t="shared" si="124"/>
        <v>0</v>
      </c>
      <c r="CW5217" s="561">
        <f t="shared" si="124"/>
        <v>0</v>
      </c>
      <c r="CX5217" s="561">
        <f t="shared" si="124"/>
        <v>0</v>
      </c>
      <c r="CY5217" s="561">
        <f t="shared" ref="CY5217:DG5217" si="125">SUM(CY5218:CY5357)</f>
        <v>0</v>
      </c>
      <c r="CZ5217" s="561">
        <f t="shared" si="125"/>
        <v>0</v>
      </c>
      <c r="DA5217" s="561">
        <f t="shared" si="125"/>
        <v>0</v>
      </c>
      <c r="DB5217" s="561">
        <f t="shared" si="125"/>
        <v>0</v>
      </c>
      <c r="DC5217" s="561">
        <f t="shared" si="125"/>
        <v>0</v>
      </c>
      <c r="DD5217" s="561">
        <f t="shared" si="125"/>
        <v>0</v>
      </c>
      <c r="DE5217" s="561">
        <f t="shared" si="125"/>
        <v>0</v>
      </c>
      <c r="DF5217" s="561">
        <f t="shared" si="125"/>
        <v>0</v>
      </c>
      <c r="DG5217" s="561">
        <f t="shared" si="125"/>
        <v>0</v>
      </c>
    </row>
    <row r="5218" spans="1:111">
      <c r="A5218" s="561">
        <v>1</v>
      </c>
      <c r="B5218" s="561" t="s">
        <v>1650</v>
      </c>
      <c r="C5218" s="561" t="s">
        <v>1267</v>
      </c>
      <c r="D5218" s="561">
        <v>1896497.4210000003</v>
      </c>
      <c r="E5218" s="561">
        <v>370974.89199999999</v>
      </c>
      <c r="F5218" s="561">
        <v>1525522.5290000003</v>
      </c>
      <c r="G5218" s="561">
        <v>13404</v>
      </c>
      <c r="H5218" s="561">
        <v>1972915.9550000001</v>
      </c>
      <c r="I5218" s="561">
        <v>1209</v>
      </c>
      <c r="J5218" s="561">
        <v>73194.011920000004</v>
      </c>
      <c r="K5218" s="561">
        <v>13417</v>
      </c>
      <c r="L5218" s="561">
        <v>1896497.4210000003</v>
      </c>
      <c r="M5218" s="561">
        <v>1896497.4210000003</v>
      </c>
      <c r="N5218" s="561">
        <v>370974.89199999999</v>
      </c>
      <c r="O5218" s="561">
        <v>0</v>
      </c>
      <c r="P5218" s="561">
        <v>1525522.5290000003</v>
      </c>
    </row>
    <row r="5219" spans="1:111">
      <c r="C5219" s="561" t="s">
        <v>1197</v>
      </c>
      <c r="D5219" s="561">
        <v>1251651.0090000001</v>
      </c>
      <c r="E5219" s="561">
        <v>248036.092</v>
      </c>
      <c r="F5219" s="561">
        <v>1003614.9170000001</v>
      </c>
      <c r="G5219" s="561">
        <v>12239</v>
      </c>
      <c r="H5219" s="561">
        <v>1306794.7180000001</v>
      </c>
      <c r="I5219" s="561">
        <v>1140</v>
      </c>
      <c r="J5219" s="561">
        <v>56012.464090000009</v>
      </c>
      <c r="K5219" s="561">
        <v>12269</v>
      </c>
      <c r="L5219" s="561">
        <v>1251651.0090000001</v>
      </c>
      <c r="M5219" s="561">
        <v>1251651.0090000001</v>
      </c>
      <c r="N5219" s="561">
        <v>248036.092</v>
      </c>
      <c r="O5219" s="561">
        <v>0</v>
      </c>
    </row>
    <row r="5220" spans="1:111">
      <c r="C5220" s="561" t="s">
        <v>1198</v>
      </c>
      <c r="D5220" s="561">
        <v>550014.25400000007</v>
      </c>
      <c r="E5220" s="561">
        <v>106438.8</v>
      </c>
      <c r="F5220" s="561">
        <v>443575.45400000009</v>
      </c>
      <c r="G5220" s="561">
        <v>558</v>
      </c>
      <c r="H5220" s="561">
        <v>570949.91300000006</v>
      </c>
      <c r="I5220" s="561">
        <v>51</v>
      </c>
      <c r="J5220" s="561">
        <v>16997.311259999999</v>
      </c>
      <c r="K5220" s="561">
        <v>553</v>
      </c>
      <c r="L5220" s="561">
        <v>550014.25400000007</v>
      </c>
      <c r="M5220" s="561">
        <v>550014.25400000007</v>
      </c>
      <c r="N5220" s="561">
        <v>106438.8</v>
      </c>
      <c r="O5220" s="561">
        <v>0</v>
      </c>
    </row>
    <row r="5221" spans="1:111">
      <c r="C5221" s="561" t="s">
        <v>1199</v>
      </c>
      <c r="D5221" s="561">
        <v>94832.15800000001</v>
      </c>
      <c r="E5221" s="561">
        <v>16500</v>
      </c>
      <c r="F5221" s="561">
        <v>78332.15800000001</v>
      </c>
      <c r="G5221" s="561">
        <v>607</v>
      </c>
      <c r="H5221" s="561">
        <v>95171.324000000022</v>
      </c>
      <c r="I5221" s="561">
        <v>18</v>
      </c>
      <c r="J5221" s="561">
        <v>184.23656999999997</v>
      </c>
      <c r="K5221" s="561">
        <v>595</v>
      </c>
      <c r="L5221" s="561">
        <v>94832.15800000001</v>
      </c>
      <c r="M5221" s="561">
        <v>94832.15800000001</v>
      </c>
      <c r="N5221" s="561">
        <v>16500</v>
      </c>
      <c r="O5221" s="561">
        <v>0</v>
      </c>
      <c r="AL5221" s="561">
        <v>78332.15800000001</v>
      </c>
    </row>
    <row r="5222" spans="1:111">
      <c r="A5222" s="561">
        <v>2</v>
      </c>
      <c r="B5222" s="561" t="s">
        <v>1651</v>
      </c>
      <c r="C5222" s="561" t="s">
        <v>1267</v>
      </c>
      <c r="D5222" s="561">
        <v>170273.48500000002</v>
      </c>
      <c r="E5222" s="561">
        <v>41908.254000000001</v>
      </c>
      <c r="F5222" s="561">
        <v>128365.23100000001</v>
      </c>
      <c r="G5222" s="561">
        <v>2828</v>
      </c>
      <c r="H5222" s="561">
        <v>174276.807</v>
      </c>
      <c r="I5222" s="561">
        <v>275</v>
      </c>
      <c r="J5222" s="561">
        <v>4061.1661999999997</v>
      </c>
      <c r="K5222" s="561">
        <v>2808</v>
      </c>
      <c r="L5222" s="561">
        <v>170273.48500000002</v>
      </c>
      <c r="M5222" s="561">
        <v>170273.48500000002</v>
      </c>
      <c r="N5222" s="561">
        <v>41908.254000000001</v>
      </c>
      <c r="O5222" s="561">
        <v>0</v>
      </c>
      <c r="P5222" s="561">
        <v>128365.231</v>
      </c>
    </row>
    <row r="5223" spans="1:111">
      <c r="C5223" s="561" t="s">
        <v>1197</v>
      </c>
      <c r="D5223" s="561">
        <v>164015.64500000002</v>
      </c>
      <c r="E5223" s="561">
        <v>40902.230000000003</v>
      </c>
      <c r="F5223" s="561">
        <v>123113.41500000001</v>
      </c>
      <c r="G5223" s="561">
        <v>2372</v>
      </c>
      <c r="H5223" s="561">
        <v>167530.497</v>
      </c>
      <c r="I5223" s="561">
        <v>174</v>
      </c>
      <c r="J5223" s="561">
        <v>3380.6171999999997</v>
      </c>
      <c r="K5223" s="561">
        <v>2364</v>
      </c>
      <c r="L5223" s="561">
        <v>164015.64500000002</v>
      </c>
      <c r="M5223" s="561">
        <v>164015.64500000002</v>
      </c>
      <c r="N5223" s="561">
        <v>40902.230000000003</v>
      </c>
      <c r="O5223" s="561">
        <v>0</v>
      </c>
    </row>
    <row r="5224" spans="1:111">
      <c r="C5224" s="561" t="s">
        <v>1199</v>
      </c>
      <c r="D5224" s="561">
        <v>6257.84</v>
      </c>
      <c r="E5224" s="561">
        <v>1006.024</v>
      </c>
      <c r="F5224" s="561">
        <v>5251.8159999999998</v>
      </c>
      <c r="G5224" s="561">
        <v>456</v>
      </c>
      <c r="H5224" s="561">
        <v>6746.31</v>
      </c>
      <c r="I5224" s="561">
        <v>101</v>
      </c>
      <c r="J5224" s="561">
        <v>680.54899999999998</v>
      </c>
      <c r="K5224" s="561">
        <v>444</v>
      </c>
      <c r="L5224" s="561">
        <v>6257.8399999999992</v>
      </c>
      <c r="M5224" s="561">
        <v>6257.8399999999992</v>
      </c>
      <c r="N5224" s="561">
        <v>1006.024</v>
      </c>
      <c r="O5224" s="561">
        <v>0</v>
      </c>
      <c r="AT5224" s="561">
        <v>5251.8159999999989</v>
      </c>
    </row>
    <row r="5225" spans="1:111">
      <c r="A5225" s="561">
        <v>3</v>
      </c>
      <c r="B5225" s="561" t="s">
        <v>1652</v>
      </c>
      <c r="C5225" s="561" t="s">
        <v>1267</v>
      </c>
      <c r="D5225" s="561">
        <v>581794.15099999995</v>
      </c>
      <c r="E5225" s="561">
        <v>113327.04700000001</v>
      </c>
      <c r="F5225" s="561">
        <v>468467.10399999993</v>
      </c>
      <c r="G5225" s="561">
        <v>6765</v>
      </c>
      <c r="H5225" s="561">
        <v>597962.17599999998</v>
      </c>
      <c r="I5225" s="561">
        <v>399</v>
      </c>
      <c r="J5225" s="561">
        <v>16388.166649999999</v>
      </c>
      <c r="K5225" s="561">
        <v>6742</v>
      </c>
      <c r="L5225" s="561">
        <v>581794.15099999995</v>
      </c>
      <c r="M5225" s="561">
        <v>581794.15099999995</v>
      </c>
      <c r="N5225" s="561">
        <v>113327.04700000001</v>
      </c>
      <c r="O5225" s="561">
        <v>0</v>
      </c>
      <c r="P5225" s="561">
        <v>468467.10399999993</v>
      </c>
    </row>
    <row r="5226" spans="1:111">
      <c r="C5226" s="561" t="s">
        <v>1197</v>
      </c>
      <c r="D5226" s="561">
        <v>579384.02599999995</v>
      </c>
      <c r="E5226" s="561">
        <v>112887.04700000001</v>
      </c>
      <c r="F5226" s="561">
        <v>466496.97899999993</v>
      </c>
      <c r="G5226" s="561">
        <v>6573</v>
      </c>
      <c r="H5226" s="561">
        <v>595437.13800000004</v>
      </c>
      <c r="I5226" s="561">
        <v>384</v>
      </c>
      <c r="J5226" s="561">
        <v>16285.61765</v>
      </c>
      <c r="K5226" s="561">
        <v>6561</v>
      </c>
      <c r="L5226" s="561">
        <v>579384.02599999995</v>
      </c>
      <c r="M5226" s="561">
        <v>579384.02599999995</v>
      </c>
      <c r="N5226" s="561">
        <v>112887.04700000001</v>
      </c>
      <c r="O5226" s="561">
        <v>0</v>
      </c>
      <c r="P5226" s="561">
        <v>466496.97899999993</v>
      </c>
    </row>
    <row r="5227" spans="1:111">
      <c r="C5227" s="561" t="s">
        <v>1199</v>
      </c>
      <c r="D5227" s="561">
        <v>2410.125</v>
      </c>
      <c r="E5227" s="561">
        <v>440</v>
      </c>
      <c r="F5227" s="561">
        <v>1970.125</v>
      </c>
      <c r="G5227" s="561">
        <v>192</v>
      </c>
      <c r="H5227" s="561">
        <v>2525.038</v>
      </c>
      <c r="I5227" s="561">
        <v>15</v>
      </c>
      <c r="J5227" s="561">
        <v>102.54899999999999</v>
      </c>
      <c r="K5227" s="561">
        <v>181</v>
      </c>
      <c r="L5227" s="561">
        <v>2410.125</v>
      </c>
      <c r="M5227" s="561">
        <v>2410.125</v>
      </c>
      <c r="N5227" s="561">
        <v>440</v>
      </c>
      <c r="O5227" s="561">
        <v>0</v>
      </c>
      <c r="AL5227" s="561">
        <v>1970.125</v>
      </c>
    </row>
    <row r="5228" spans="1:111">
      <c r="A5228" s="561">
        <v>4</v>
      </c>
      <c r="B5228" s="561" t="s">
        <v>1653</v>
      </c>
      <c r="C5228" s="561" t="s">
        <v>1267</v>
      </c>
      <c r="D5228" s="561">
        <v>59501.425999999999</v>
      </c>
      <c r="E5228" s="561">
        <v>17858.034</v>
      </c>
      <c r="F5228" s="561">
        <v>41643.392</v>
      </c>
      <c r="G5228" s="561">
        <v>1007</v>
      </c>
      <c r="H5228" s="561">
        <v>60602.487000000001</v>
      </c>
      <c r="I5228" s="561">
        <v>27</v>
      </c>
      <c r="J5228" s="561">
        <v>1101.0690000000002</v>
      </c>
      <c r="K5228" s="561">
        <v>992</v>
      </c>
      <c r="L5228" s="561">
        <v>59501.425999999999</v>
      </c>
      <c r="M5228" s="561">
        <v>59501.425999999999</v>
      </c>
      <c r="N5228" s="561">
        <v>17858.034</v>
      </c>
      <c r="O5228" s="561">
        <v>0</v>
      </c>
      <c r="P5228" s="561">
        <v>41643.392</v>
      </c>
    </row>
    <row r="5229" spans="1:111">
      <c r="C5229" s="561" t="s">
        <v>1197</v>
      </c>
      <c r="D5229" s="561">
        <v>58052.508000000002</v>
      </c>
      <c r="E5229" s="561">
        <v>17858.034</v>
      </c>
      <c r="F5229" s="561">
        <v>40194.474000000002</v>
      </c>
      <c r="G5229" s="561">
        <v>918</v>
      </c>
      <c r="H5229" s="561">
        <v>59089.534</v>
      </c>
      <c r="I5229" s="561">
        <v>23</v>
      </c>
      <c r="J5229" s="561">
        <v>1058.3790000000001</v>
      </c>
      <c r="K5229" s="561">
        <v>909</v>
      </c>
      <c r="L5229" s="561">
        <v>58052.508000000002</v>
      </c>
      <c r="M5229" s="561">
        <v>58052.508000000002</v>
      </c>
      <c r="N5229" s="561">
        <v>17858.034</v>
      </c>
      <c r="O5229" s="561">
        <v>0</v>
      </c>
    </row>
    <row r="5230" spans="1:111">
      <c r="C5230" s="561" t="s">
        <v>1199</v>
      </c>
      <c r="D5230" s="561">
        <v>1448.9179999999999</v>
      </c>
      <c r="E5230" s="561">
        <v>0</v>
      </c>
      <c r="F5230" s="561">
        <v>1448.9179999999999</v>
      </c>
      <c r="G5230" s="561">
        <v>89</v>
      </c>
      <c r="H5230" s="561">
        <v>1512.953</v>
      </c>
      <c r="I5230" s="561">
        <v>4</v>
      </c>
      <c r="J5230" s="561">
        <v>42.69</v>
      </c>
      <c r="K5230" s="561">
        <v>83</v>
      </c>
      <c r="L5230" s="561">
        <v>1448.9179999999999</v>
      </c>
      <c r="M5230" s="561">
        <v>1448.9179999999999</v>
      </c>
      <c r="N5230" s="561">
        <v>0</v>
      </c>
      <c r="O5230" s="561">
        <v>0</v>
      </c>
      <c r="AY5230" s="561">
        <v>1448.9179999999999</v>
      </c>
    </row>
    <row r="5231" spans="1:111">
      <c r="A5231" s="561">
        <v>5</v>
      </c>
      <c r="B5231" s="561" t="s">
        <v>1654</v>
      </c>
      <c r="C5231" s="561" t="s">
        <v>1267</v>
      </c>
      <c r="D5231" s="561">
        <v>768299.09199999995</v>
      </c>
      <c r="E5231" s="561">
        <v>214331.47099999999</v>
      </c>
      <c r="F5231" s="561">
        <v>553967.62099999993</v>
      </c>
      <c r="G5231" s="561">
        <v>12383</v>
      </c>
      <c r="H5231" s="561">
        <v>822984.04499999993</v>
      </c>
      <c r="I5231" s="561">
        <v>1398</v>
      </c>
      <c r="J5231" s="561">
        <v>51528.459659999993</v>
      </c>
      <c r="K5231" s="561">
        <v>12226</v>
      </c>
      <c r="L5231" s="561">
        <v>768299.09199999995</v>
      </c>
      <c r="M5231" s="561">
        <v>768299.09199999995</v>
      </c>
      <c r="N5231" s="561">
        <v>214331.47099999999</v>
      </c>
      <c r="O5231" s="561">
        <v>0</v>
      </c>
      <c r="P5231" s="561">
        <v>553967.62099999993</v>
      </c>
    </row>
    <row r="5232" spans="1:111">
      <c r="C5232" s="561" t="s">
        <v>1197</v>
      </c>
      <c r="D5232" s="561">
        <v>764980.28599999996</v>
      </c>
      <c r="E5232" s="561">
        <v>214151.47099999999</v>
      </c>
      <c r="F5232" s="561">
        <v>550828.81499999994</v>
      </c>
      <c r="G5232" s="561">
        <v>12181</v>
      </c>
      <c r="H5232" s="561">
        <v>819567.62299999991</v>
      </c>
      <c r="I5232" s="561">
        <v>1386</v>
      </c>
      <c r="J5232" s="561">
        <v>51434.940659999993</v>
      </c>
      <c r="K5232" s="561">
        <v>12031</v>
      </c>
      <c r="L5232" s="561">
        <v>764980.28599999996</v>
      </c>
      <c r="M5232" s="561">
        <v>764980.28599999996</v>
      </c>
      <c r="N5232" s="561">
        <v>214151.47099999999</v>
      </c>
      <c r="O5232" s="561">
        <v>0</v>
      </c>
    </row>
    <row r="5233" spans="1:54">
      <c r="C5233" s="561" t="s">
        <v>1199</v>
      </c>
      <c r="D5233" s="561">
        <v>3318.8059999999996</v>
      </c>
      <c r="E5233" s="561">
        <v>180</v>
      </c>
      <c r="F5233" s="561">
        <v>3138.8059999999996</v>
      </c>
      <c r="G5233" s="561">
        <v>202</v>
      </c>
      <c r="H5233" s="561">
        <v>3416.422</v>
      </c>
      <c r="I5233" s="561">
        <v>12</v>
      </c>
      <c r="J5233" s="561">
        <v>93.519000000000005</v>
      </c>
      <c r="K5233" s="561">
        <v>195</v>
      </c>
      <c r="L5233" s="561">
        <v>3318.8059999999996</v>
      </c>
      <c r="M5233" s="561">
        <v>3318.8059999999996</v>
      </c>
      <c r="N5233" s="561">
        <v>180</v>
      </c>
      <c r="O5233" s="561">
        <v>0</v>
      </c>
      <c r="AL5233" s="561">
        <v>3138.8059999999996</v>
      </c>
    </row>
    <row r="5234" spans="1:54">
      <c r="A5234" s="561">
        <v>6</v>
      </c>
      <c r="B5234" s="561" t="s">
        <v>1655</v>
      </c>
      <c r="C5234" s="561" t="s">
        <v>1267</v>
      </c>
      <c r="D5234" s="561">
        <v>185388.36899999998</v>
      </c>
      <c r="E5234" s="561">
        <v>58697.154999999999</v>
      </c>
      <c r="F5234" s="561">
        <v>126691.21399999998</v>
      </c>
      <c r="G5234" s="561">
        <v>3749</v>
      </c>
      <c r="H5234" s="561">
        <v>189636.75899999999</v>
      </c>
      <c r="I5234" s="561">
        <v>209</v>
      </c>
      <c r="J5234" s="561">
        <v>4985.5875799999985</v>
      </c>
      <c r="K5234" s="561">
        <v>3687</v>
      </c>
      <c r="L5234" s="561">
        <v>185388.36899999998</v>
      </c>
      <c r="M5234" s="561">
        <v>185388.36899999998</v>
      </c>
      <c r="N5234" s="561">
        <v>58697.154999999999</v>
      </c>
      <c r="O5234" s="561">
        <v>0</v>
      </c>
      <c r="P5234" s="561">
        <v>126691.21399999998</v>
      </c>
    </row>
    <row r="5235" spans="1:54">
      <c r="C5235" s="561" t="s">
        <v>1197</v>
      </c>
      <c r="D5235" s="561">
        <v>170549.11199999996</v>
      </c>
      <c r="E5235" s="561">
        <v>55604.15</v>
      </c>
      <c r="F5235" s="561">
        <v>114944.96199999997</v>
      </c>
      <c r="G5235" s="561">
        <v>2552</v>
      </c>
      <c r="H5235" s="561">
        <v>174311.704</v>
      </c>
      <c r="I5235" s="561">
        <v>142</v>
      </c>
      <c r="J5235" s="561">
        <v>4575.0553799999989</v>
      </c>
      <c r="K5235" s="561">
        <v>2543</v>
      </c>
      <c r="L5235" s="561">
        <v>170549.11199999996</v>
      </c>
      <c r="M5235" s="561">
        <v>170549.11199999996</v>
      </c>
      <c r="N5235" s="561">
        <v>55604.15</v>
      </c>
      <c r="O5235" s="561">
        <v>0</v>
      </c>
    </row>
    <row r="5236" spans="1:54">
      <c r="C5236" s="561" t="s">
        <v>1199</v>
      </c>
      <c r="D5236" s="561">
        <v>14839.257</v>
      </c>
      <c r="E5236" s="561">
        <v>3093.0050000000001</v>
      </c>
      <c r="F5236" s="561">
        <v>11746.252</v>
      </c>
      <c r="G5236" s="561">
        <v>1197</v>
      </c>
      <c r="H5236" s="561">
        <v>15325.055</v>
      </c>
      <c r="I5236" s="561">
        <v>67</v>
      </c>
      <c r="J5236" s="561">
        <v>410.53219999999999</v>
      </c>
      <c r="K5236" s="561">
        <v>1144</v>
      </c>
      <c r="L5236" s="561">
        <v>14839.257</v>
      </c>
      <c r="M5236" s="561">
        <v>14839.257</v>
      </c>
      <c r="N5236" s="561">
        <v>3093.0050000000001</v>
      </c>
      <c r="O5236" s="561">
        <v>0</v>
      </c>
      <c r="AL5236" s="561">
        <v>11746.252</v>
      </c>
    </row>
    <row r="5237" spans="1:54">
      <c r="A5237" s="561">
        <v>7</v>
      </c>
      <c r="B5237" s="561" t="s">
        <v>1656</v>
      </c>
      <c r="C5237" s="561" t="s">
        <v>1267</v>
      </c>
      <c r="D5237" s="561">
        <v>610985.55299999996</v>
      </c>
      <c r="E5237" s="561">
        <v>142194.84399999998</v>
      </c>
      <c r="F5237" s="561">
        <v>468790.70900000003</v>
      </c>
      <c r="G5237" s="561">
        <v>12415</v>
      </c>
      <c r="H5237" s="561">
        <v>628302.44400000013</v>
      </c>
      <c r="I5237" s="561">
        <v>1002</v>
      </c>
      <c r="J5237" s="561">
        <v>15708.070470000001</v>
      </c>
      <c r="K5237" s="561">
        <v>12381</v>
      </c>
      <c r="L5237" s="561">
        <v>610985.55299999996</v>
      </c>
      <c r="M5237" s="561">
        <v>610985.55299999996</v>
      </c>
      <c r="N5237" s="561">
        <v>142194.84399999998</v>
      </c>
      <c r="O5237" s="561">
        <v>0</v>
      </c>
      <c r="P5237" s="561">
        <v>468790.70900000003</v>
      </c>
    </row>
    <row r="5238" spans="1:54">
      <c r="C5238" s="561" t="s">
        <v>1197</v>
      </c>
      <c r="D5238" s="561">
        <v>581827.66899999999</v>
      </c>
      <c r="E5238" s="561">
        <v>135402.658</v>
      </c>
      <c r="F5238" s="561">
        <v>446425.011</v>
      </c>
      <c r="G5238" s="561">
        <v>10050</v>
      </c>
      <c r="H5238" s="561">
        <v>598922.99200000009</v>
      </c>
      <c r="I5238" s="561">
        <v>973</v>
      </c>
      <c r="J5238" s="561">
        <v>15490.502470000001</v>
      </c>
      <c r="K5238" s="561">
        <v>10026</v>
      </c>
      <c r="L5238" s="561">
        <v>581827.66899999999</v>
      </c>
      <c r="M5238" s="561">
        <v>581827.66899999999</v>
      </c>
      <c r="N5238" s="561">
        <v>135402.658</v>
      </c>
      <c r="O5238" s="561">
        <v>0</v>
      </c>
    </row>
    <row r="5239" spans="1:54">
      <c r="C5239" s="561" t="s">
        <v>1199</v>
      </c>
      <c r="D5239" s="561">
        <v>29157.884000000002</v>
      </c>
      <c r="E5239" s="561">
        <v>6792.1859999999997</v>
      </c>
      <c r="F5239" s="561">
        <v>22365.698000000004</v>
      </c>
      <c r="G5239" s="561">
        <v>2365</v>
      </c>
      <c r="H5239" s="561">
        <v>29379.452000000001</v>
      </c>
      <c r="I5239" s="561">
        <v>29</v>
      </c>
      <c r="J5239" s="561">
        <v>217.56799999999998</v>
      </c>
      <c r="K5239" s="561">
        <v>2355</v>
      </c>
      <c r="L5239" s="561">
        <v>29157.884000000002</v>
      </c>
      <c r="M5239" s="561">
        <v>29157.884000000002</v>
      </c>
      <c r="N5239" s="561">
        <v>6792.1859999999997</v>
      </c>
      <c r="O5239" s="561">
        <v>0</v>
      </c>
      <c r="BB5239" s="561">
        <v>22365.698000000004</v>
      </c>
    </row>
    <row r="5240" spans="1:54">
      <c r="A5240" s="561">
        <v>8</v>
      </c>
      <c r="B5240" s="561" t="s">
        <v>1657</v>
      </c>
      <c r="C5240" s="561" t="s">
        <v>1267</v>
      </c>
      <c r="D5240" s="561">
        <v>270260.57599999994</v>
      </c>
      <c r="E5240" s="561">
        <v>67989.237999999998</v>
      </c>
      <c r="F5240" s="561">
        <v>202271.33799999993</v>
      </c>
      <c r="G5240" s="561">
        <v>4458</v>
      </c>
      <c r="H5240" s="561">
        <v>278756.17300000001</v>
      </c>
      <c r="I5240" s="561">
        <v>373</v>
      </c>
      <c r="J5240" s="561">
        <v>9082.9364300000016</v>
      </c>
      <c r="K5240" s="561">
        <v>4435</v>
      </c>
      <c r="L5240" s="561">
        <v>270260.57599999994</v>
      </c>
      <c r="M5240" s="561">
        <v>270260.57599999994</v>
      </c>
      <c r="N5240" s="561">
        <v>67989.237999999998</v>
      </c>
      <c r="O5240" s="561">
        <v>0</v>
      </c>
      <c r="P5240" s="561">
        <v>202271.33799999993</v>
      </c>
    </row>
    <row r="5241" spans="1:54">
      <c r="C5241" s="561" t="s">
        <v>1197</v>
      </c>
      <c r="D5241" s="561">
        <v>267791.90599999996</v>
      </c>
      <c r="E5241" s="561">
        <v>67589.982000000004</v>
      </c>
      <c r="F5241" s="561">
        <v>200201.92399999994</v>
      </c>
      <c r="G5241" s="561">
        <v>4284</v>
      </c>
      <c r="H5241" s="561">
        <v>275481.125</v>
      </c>
      <c r="I5241" s="561">
        <v>366</v>
      </c>
      <c r="J5241" s="561">
        <v>9053.2766400000019</v>
      </c>
      <c r="K5241" s="561">
        <v>4266</v>
      </c>
      <c r="L5241" s="561">
        <v>267791.90599999996</v>
      </c>
      <c r="M5241" s="561">
        <v>267791.90599999996</v>
      </c>
      <c r="N5241" s="561">
        <v>67589.982000000004</v>
      </c>
      <c r="O5241" s="561">
        <v>0</v>
      </c>
    </row>
    <row r="5242" spans="1:54">
      <c r="C5242" s="561" t="s">
        <v>1199</v>
      </c>
      <c r="D5242" s="561">
        <v>2468.67</v>
      </c>
      <c r="E5242" s="561">
        <v>399.25599999999997</v>
      </c>
      <c r="F5242" s="561">
        <v>2069.4140000000002</v>
      </c>
      <c r="G5242" s="561">
        <v>174</v>
      </c>
      <c r="H5242" s="561">
        <v>3275.0479999999998</v>
      </c>
      <c r="I5242" s="561">
        <v>7</v>
      </c>
      <c r="J5242" s="561">
        <v>29.659789999999997</v>
      </c>
      <c r="K5242" s="561">
        <v>169</v>
      </c>
      <c r="L5242" s="561">
        <v>2468.67</v>
      </c>
      <c r="M5242" s="561">
        <v>2468.67</v>
      </c>
      <c r="N5242" s="561">
        <v>399.25599999999997</v>
      </c>
      <c r="O5242" s="561">
        <v>0</v>
      </c>
      <c r="AL5242" s="561">
        <v>2069.4140000000002</v>
      </c>
    </row>
    <row r="5243" spans="1:54">
      <c r="A5243" s="561">
        <v>9</v>
      </c>
      <c r="B5243" s="561" t="s">
        <v>1658</v>
      </c>
      <c r="C5243" s="561" t="s">
        <v>1267</v>
      </c>
      <c r="D5243" s="561">
        <v>729342.79200000013</v>
      </c>
      <c r="E5243" s="561">
        <v>188860.66899999999</v>
      </c>
      <c r="F5243" s="561">
        <v>540482.12300000014</v>
      </c>
      <c r="G5243" s="561">
        <v>9285</v>
      </c>
      <c r="H5243" s="561">
        <v>764139.49199999997</v>
      </c>
      <c r="I5243" s="561">
        <v>845</v>
      </c>
      <c r="J5243" s="561">
        <v>36900.381239999995</v>
      </c>
      <c r="K5243" s="561">
        <v>9288</v>
      </c>
      <c r="L5243" s="561">
        <v>729342.79200000013</v>
      </c>
      <c r="M5243" s="561">
        <v>729342.79200000013</v>
      </c>
      <c r="N5243" s="561">
        <v>188860.66899999999</v>
      </c>
      <c r="O5243" s="561">
        <v>0</v>
      </c>
      <c r="P5243" s="561">
        <v>540482.12300000014</v>
      </c>
    </row>
    <row r="5244" spans="1:54">
      <c r="C5244" s="561" t="s">
        <v>1197</v>
      </c>
      <c r="D5244" s="561">
        <v>594138.94900000014</v>
      </c>
      <c r="E5244" s="561">
        <v>175241.64600000001</v>
      </c>
      <c r="F5244" s="561">
        <v>418897.30300000013</v>
      </c>
      <c r="G5244" s="561">
        <v>7981</v>
      </c>
      <c r="H5244" s="561">
        <v>618490.14300000004</v>
      </c>
      <c r="I5244" s="561">
        <v>756</v>
      </c>
      <c r="J5244" s="561">
        <v>26265.804259999997</v>
      </c>
      <c r="K5244" s="561">
        <v>7991</v>
      </c>
      <c r="L5244" s="561">
        <v>594138.94900000014</v>
      </c>
      <c r="M5244" s="561">
        <v>594138.94900000014</v>
      </c>
      <c r="N5244" s="561">
        <v>175241.64600000001</v>
      </c>
      <c r="O5244" s="561">
        <v>0</v>
      </c>
    </row>
    <row r="5245" spans="1:54">
      <c r="C5245" s="561" t="s">
        <v>1198</v>
      </c>
      <c r="D5245" s="561">
        <v>121646.245</v>
      </c>
      <c r="E5245" s="561">
        <v>10800</v>
      </c>
      <c r="F5245" s="561">
        <v>110846.245</v>
      </c>
      <c r="G5245" s="561">
        <v>334</v>
      </c>
      <c r="H5245" s="561">
        <v>131962.47899999999</v>
      </c>
      <c r="I5245" s="561">
        <v>69</v>
      </c>
      <c r="J5245" s="561">
        <v>10505.899010000001</v>
      </c>
      <c r="K5245" s="561">
        <v>335</v>
      </c>
      <c r="L5245" s="561">
        <v>121646.245</v>
      </c>
      <c r="M5245" s="561">
        <v>121646.245</v>
      </c>
      <c r="N5245" s="561">
        <v>10800</v>
      </c>
      <c r="O5245" s="561">
        <v>0</v>
      </c>
    </row>
    <row r="5246" spans="1:54">
      <c r="C5246" s="561" t="s">
        <v>1199</v>
      </c>
      <c r="D5246" s="561">
        <v>13557.598000000002</v>
      </c>
      <c r="E5246" s="561">
        <v>2819.0230000000001</v>
      </c>
      <c r="F5246" s="561">
        <v>10738.575000000001</v>
      </c>
      <c r="G5246" s="561">
        <v>970</v>
      </c>
      <c r="H5246" s="561">
        <v>13686.87</v>
      </c>
      <c r="I5246" s="561">
        <v>20</v>
      </c>
      <c r="J5246" s="561">
        <v>128.67796999999999</v>
      </c>
      <c r="K5246" s="561">
        <v>962</v>
      </c>
      <c r="L5246" s="561">
        <v>13557.598000000002</v>
      </c>
      <c r="M5246" s="561">
        <v>13557.598000000002</v>
      </c>
      <c r="N5246" s="561">
        <v>2819.0230000000001</v>
      </c>
      <c r="O5246" s="561">
        <v>0</v>
      </c>
      <c r="AL5246" s="561">
        <v>10738.575000000001</v>
      </c>
    </row>
    <row r="5247" spans="1:54">
      <c r="A5247" s="561">
        <v>10</v>
      </c>
      <c r="B5247" s="561" t="s">
        <v>1659</v>
      </c>
      <c r="C5247" s="561" t="s">
        <v>1267</v>
      </c>
      <c r="D5247" s="561">
        <v>181976.783</v>
      </c>
      <c r="E5247" s="561">
        <v>53099.807000000001</v>
      </c>
      <c r="F5247" s="561">
        <v>128876.976</v>
      </c>
      <c r="G5247" s="561">
        <v>3262</v>
      </c>
      <c r="H5247" s="561">
        <v>191246.96800000002</v>
      </c>
      <c r="I5247" s="561">
        <v>238</v>
      </c>
      <c r="J5247" s="561">
        <v>8853.7213699999975</v>
      </c>
      <c r="K5247" s="561">
        <v>3204</v>
      </c>
      <c r="L5247" s="561">
        <v>181976.783</v>
      </c>
      <c r="M5247" s="561">
        <v>181976.783</v>
      </c>
      <c r="N5247" s="561">
        <v>53099.807000000001</v>
      </c>
      <c r="O5247" s="561">
        <v>0</v>
      </c>
      <c r="P5247" s="561">
        <v>128876.976</v>
      </c>
    </row>
    <row r="5248" spans="1:54">
      <c r="C5248" s="561" t="s">
        <v>1197</v>
      </c>
      <c r="D5248" s="561">
        <v>174008.75399999999</v>
      </c>
      <c r="E5248" s="561">
        <v>51231.017</v>
      </c>
      <c r="F5248" s="561">
        <v>122777.73699999999</v>
      </c>
      <c r="G5248" s="561">
        <v>2696</v>
      </c>
      <c r="H5248" s="561">
        <v>182936.52600000001</v>
      </c>
      <c r="I5248" s="561">
        <v>220</v>
      </c>
      <c r="J5248" s="561">
        <v>8763.7499999999982</v>
      </c>
      <c r="K5248" s="561">
        <v>2659</v>
      </c>
      <c r="L5248" s="561">
        <v>174008.75399999999</v>
      </c>
      <c r="M5248" s="561">
        <v>174008.75399999999</v>
      </c>
      <c r="N5248" s="561">
        <v>51231.017</v>
      </c>
      <c r="O5248" s="561">
        <v>0</v>
      </c>
    </row>
    <row r="5249" spans="1:54">
      <c r="C5249" s="561" t="s">
        <v>1199</v>
      </c>
      <c r="D5249" s="561">
        <v>7968.0289999999995</v>
      </c>
      <c r="E5249" s="561">
        <v>1868.79</v>
      </c>
      <c r="F5249" s="561">
        <v>6099.2389999999996</v>
      </c>
      <c r="G5249" s="561">
        <v>566</v>
      </c>
      <c r="H5249" s="561">
        <v>8310.4419999999991</v>
      </c>
      <c r="I5249" s="561">
        <v>18</v>
      </c>
      <c r="J5249" s="561">
        <v>89.971369999999993</v>
      </c>
      <c r="K5249" s="561">
        <v>545</v>
      </c>
      <c r="L5249" s="561">
        <v>7968.0289999999995</v>
      </c>
      <c r="M5249" s="561">
        <v>7968.0289999999995</v>
      </c>
      <c r="N5249" s="561">
        <v>1868.79</v>
      </c>
      <c r="O5249" s="561">
        <v>0</v>
      </c>
      <c r="AL5249" s="561">
        <v>6099.2389999999996</v>
      </c>
    </row>
    <row r="5250" spans="1:54">
      <c r="A5250" s="561">
        <v>11</v>
      </c>
      <c r="B5250" s="561" t="s">
        <v>1660</v>
      </c>
      <c r="C5250" s="561" t="s">
        <v>1267</v>
      </c>
      <c r="D5250" s="561">
        <v>276977.31699999998</v>
      </c>
      <c r="E5250" s="561">
        <v>77834.816999999995</v>
      </c>
      <c r="F5250" s="561">
        <v>199142.5</v>
      </c>
      <c r="G5250" s="561">
        <v>7088</v>
      </c>
      <c r="H5250" s="561">
        <v>282757.91899999999</v>
      </c>
      <c r="I5250" s="561">
        <v>495</v>
      </c>
      <c r="J5250" s="561">
        <v>5219.0483599999998</v>
      </c>
      <c r="K5250" s="561">
        <v>7069</v>
      </c>
      <c r="L5250" s="561">
        <v>276977.31699999998</v>
      </c>
      <c r="M5250" s="561">
        <v>276977.31699999998</v>
      </c>
      <c r="N5250" s="561">
        <v>77834.816999999995</v>
      </c>
      <c r="O5250" s="561">
        <v>0</v>
      </c>
      <c r="P5250" s="561">
        <v>199142.5</v>
      </c>
    </row>
    <row r="5251" spans="1:54">
      <c r="C5251" s="561" t="s">
        <v>1197</v>
      </c>
      <c r="D5251" s="561">
        <v>245226.44899999999</v>
      </c>
      <c r="E5251" s="561">
        <v>70373.59</v>
      </c>
      <c r="F5251" s="561">
        <v>174852.859</v>
      </c>
      <c r="G5251" s="561">
        <v>4627</v>
      </c>
      <c r="H5251" s="561">
        <v>250233.76199999999</v>
      </c>
      <c r="I5251" s="561">
        <v>365</v>
      </c>
      <c r="J5251" s="561">
        <v>4538.9934899999998</v>
      </c>
      <c r="K5251" s="561">
        <v>4616</v>
      </c>
      <c r="L5251" s="561">
        <v>245226.44899999999</v>
      </c>
      <c r="M5251" s="561">
        <v>245226.44899999999</v>
      </c>
      <c r="N5251" s="561">
        <v>70373.59</v>
      </c>
      <c r="O5251" s="561">
        <v>0</v>
      </c>
    </row>
    <row r="5252" spans="1:54">
      <c r="C5252" s="561" t="s">
        <v>1199</v>
      </c>
      <c r="D5252" s="561">
        <v>31750.868000000002</v>
      </c>
      <c r="E5252" s="561">
        <v>7461.2269999999999</v>
      </c>
      <c r="F5252" s="561">
        <v>24289.641000000003</v>
      </c>
      <c r="G5252" s="561">
        <v>2461</v>
      </c>
      <c r="H5252" s="561">
        <v>32524.156999999999</v>
      </c>
      <c r="I5252" s="561">
        <v>130</v>
      </c>
      <c r="J5252" s="561">
        <v>680.05487000000005</v>
      </c>
      <c r="K5252" s="561">
        <v>2453</v>
      </c>
      <c r="L5252" s="561">
        <v>31750.868000000002</v>
      </c>
      <c r="M5252" s="561">
        <v>31750.868000000002</v>
      </c>
      <c r="N5252" s="561">
        <v>7461.2269999999999</v>
      </c>
      <c r="O5252" s="561">
        <v>0</v>
      </c>
      <c r="BB5252" s="561">
        <v>24289.641000000003</v>
      </c>
    </row>
    <row r="5253" spans="1:54">
      <c r="A5253" s="561">
        <v>12</v>
      </c>
      <c r="B5253" s="561" t="s">
        <v>1661</v>
      </c>
      <c r="C5253" s="561" t="s">
        <v>1267</v>
      </c>
      <c r="D5253" s="561">
        <v>8384.8189999999995</v>
      </c>
      <c r="E5253" s="561">
        <v>3741.4529999999995</v>
      </c>
      <c r="F5253" s="561">
        <v>4643.366</v>
      </c>
      <c r="G5253" s="561">
        <v>132</v>
      </c>
      <c r="H5253" s="561">
        <v>8701.7450000000008</v>
      </c>
      <c r="I5253" s="561">
        <v>12</v>
      </c>
      <c r="J5253" s="561">
        <v>316.92700000000002</v>
      </c>
      <c r="K5253" s="561">
        <v>130</v>
      </c>
      <c r="L5253" s="561">
        <v>8384.8189999999995</v>
      </c>
      <c r="M5253" s="561">
        <v>8384.8189999999995</v>
      </c>
      <c r="N5253" s="561">
        <v>3741.4530000000004</v>
      </c>
      <c r="O5253" s="561">
        <v>0</v>
      </c>
      <c r="P5253" s="561">
        <v>4643.3659999999991</v>
      </c>
    </row>
    <row r="5254" spans="1:54">
      <c r="C5254" s="561" t="s">
        <v>1197</v>
      </c>
      <c r="D5254" s="561">
        <v>8384.8189999999995</v>
      </c>
      <c r="E5254" s="561">
        <v>3741.4529999999995</v>
      </c>
      <c r="F5254" s="561">
        <v>4643.366</v>
      </c>
      <c r="G5254" s="561">
        <v>132</v>
      </c>
      <c r="H5254" s="561">
        <v>8701.7450000000008</v>
      </c>
      <c r="I5254" s="561">
        <v>12</v>
      </c>
      <c r="J5254" s="561">
        <v>316.92700000000002</v>
      </c>
      <c r="K5254" s="561">
        <v>130</v>
      </c>
      <c r="L5254" s="561">
        <v>8384.8189999999995</v>
      </c>
      <c r="M5254" s="561">
        <v>8384.8189999999995</v>
      </c>
      <c r="N5254" s="561">
        <v>3741.4530000000004</v>
      </c>
      <c r="O5254" s="561">
        <v>0</v>
      </c>
    </row>
    <row r="5255" spans="1:54">
      <c r="C5255" s="561" t="s">
        <v>1199</v>
      </c>
      <c r="D5255" s="561">
        <v>0</v>
      </c>
      <c r="F5255" s="561">
        <v>0</v>
      </c>
      <c r="G5255" s="561">
        <v>0</v>
      </c>
      <c r="H5255" s="561">
        <v>0</v>
      </c>
      <c r="I5255" s="561">
        <v>0</v>
      </c>
      <c r="J5255" s="561">
        <v>0</v>
      </c>
      <c r="K5255" s="561">
        <v>0</v>
      </c>
      <c r="L5255" s="561">
        <v>0</v>
      </c>
      <c r="M5255" s="561">
        <v>0</v>
      </c>
      <c r="N5255" s="561">
        <v>0</v>
      </c>
      <c r="O5255" s="561">
        <v>0</v>
      </c>
      <c r="P5255" s="561">
        <v>0</v>
      </c>
    </row>
    <row r="5256" spans="1:54">
      <c r="A5256" s="561">
        <v>13</v>
      </c>
      <c r="B5256" s="561" t="s">
        <v>1662</v>
      </c>
      <c r="C5256" s="561" t="s">
        <v>1267</v>
      </c>
      <c r="D5256" s="561">
        <v>63892.725000000006</v>
      </c>
      <c r="E5256" s="561">
        <v>18955.050999999999</v>
      </c>
      <c r="F5256" s="561">
        <v>44937.674000000006</v>
      </c>
      <c r="G5256" s="561">
        <v>1376</v>
      </c>
      <c r="H5256" s="561">
        <v>68126.115000000005</v>
      </c>
      <c r="I5256" s="561">
        <v>170</v>
      </c>
      <c r="J5256" s="561">
        <v>4005.7618299999999</v>
      </c>
      <c r="K5256" s="561">
        <v>1360</v>
      </c>
      <c r="L5256" s="561">
        <v>63892.725000000006</v>
      </c>
      <c r="M5256" s="561">
        <v>63892.725000000006</v>
      </c>
      <c r="N5256" s="561">
        <v>18955.050999999999</v>
      </c>
      <c r="O5256" s="561">
        <v>0</v>
      </c>
      <c r="P5256" s="561">
        <v>44937.674000000006</v>
      </c>
    </row>
    <row r="5257" spans="1:54">
      <c r="C5257" s="561" t="s">
        <v>1197</v>
      </c>
      <c r="D5257" s="561">
        <v>61011.923000000003</v>
      </c>
      <c r="E5257" s="561">
        <v>18355.050999999999</v>
      </c>
      <c r="F5257" s="561">
        <v>42656.872000000003</v>
      </c>
      <c r="G5257" s="561">
        <v>1170</v>
      </c>
      <c r="H5257" s="561">
        <v>65121.925000000003</v>
      </c>
      <c r="I5257" s="561">
        <v>150</v>
      </c>
      <c r="J5257" s="561">
        <v>3882.3717099999999</v>
      </c>
      <c r="K5257" s="561">
        <v>1158</v>
      </c>
      <c r="L5257" s="561">
        <v>61011.923000000003</v>
      </c>
      <c r="M5257" s="561">
        <v>61011.923000000003</v>
      </c>
      <c r="N5257" s="561">
        <v>18355.050999999999</v>
      </c>
      <c r="O5257" s="561">
        <v>0</v>
      </c>
    </row>
    <row r="5258" spans="1:54">
      <c r="C5258" s="561" t="s">
        <v>1199</v>
      </c>
      <c r="D5258" s="561">
        <v>2880.8020000000001</v>
      </c>
      <c r="E5258" s="561">
        <v>600</v>
      </c>
      <c r="F5258" s="561">
        <v>2280.8020000000001</v>
      </c>
      <c r="G5258" s="561">
        <v>206</v>
      </c>
      <c r="H5258" s="561">
        <v>3004.19</v>
      </c>
      <c r="I5258" s="561">
        <v>20</v>
      </c>
      <c r="J5258" s="561">
        <v>123.39012</v>
      </c>
      <c r="K5258" s="561">
        <v>202</v>
      </c>
      <c r="L5258" s="561">
        <v>2880.8020000000001</v>
      </c>
      <c r="M5258" s="561">
        <v>2880.8020000000001</v>
      </c>
      <c r="N5258" s="561">
        <v>600</v>
      </c>
      <c r="O5258" s="561">
        <v>0</v>
      </c>
      <c r="AL5258" s="561">
        <v>2280.8020000000001</v>
      </c>
    </row>
    <row r="5259" spans="1:54">
      <c r="A5259" s="561">
        <v>14</v>
      </c>
      <c r="B5259" s="561" t="s">
        <v>1663</v>
      </c>
      <c r="C5259" s="561" t="s">
        <v>1267</v>
      </c>
      <c r="D5259" s="561">
        <v>274877.17099999997</v>
      </c>
      <c r="E5259" s="561">
        <v>76393.2</v>
      </c>
      <c r="F5259" s="561">
        <v>198483.97099999999</v>
      </c>
      <c r="G5259" s="561">
        <v>6281</v>
      </c>
      <c r="H5259" s="561">
        <v>306022.04399999999</v>
      </c>
      <c r="I5259" s="561">
        <v>917</v>
      </c>
      <c r="J5259" s="561">
        <v>30981.809919999996</v>
      </c>
      <c r="K5259" s="561">
        <v>6187</v>
      </c>
      <c r="L5259" s="561">
        <v>274877.17099999997</v>
      </c>
      <c r="M5259" s="561">
        <v>274877.17099999997</v>
      </c>
      <c r="N5259" s="561">
        <v>76393.2</v>
      </c>
      <c r="O5259" s="561">
        <v>0</v>
      </c>
      <c r="P5259" s="561">
        <v>198483.97099999999</v>
      </c>
    </row>
    <row r="5260" spans="1:54">
      <c r="C5260" s="561" t="s">
        <v>1197</v>
      </c>
      <c r="D5260" s="561">
        <v>249706.185</v>
      </c>
      <c r="E5260" s="561">
        <v>72163.199999999997</v>
      </c>
      <c r="F5260" s="561">
        <v>177542.98499999999</v>
      </c>
      <c r="G5260" s="561">
        <v>4294</v>
      </c>
      <c r="H5260" s="561">
        <v>279533.84399999998</v>
      </c>
      <c r="I5260" s="561">
        <v>775</v>
      </c>
      <c r="J5260" s="561">
        <v>29577.575619999996</v>
      </c>
      <c r="K5260" s="561">
        <v>4254</v>
      </c>
      <c r="L5260" s="561">
        <v>249706.185</v>
      </c>
      <c r="M5260" s="561">
        <v>249706.185</v>
      </c>
      <c r="N5260" s="561">
        <v>72163.199999999997</v>
      </c>
      <c r="O5260" s="561">
        <v>0</v>
      </c>
    </row>
    <row r="5261" spans="1:54">
      <c r="C5261" s="561" t="s">
        <v>1199</v>
      </c>
      <c r="D5261" s="561">
        <v>25170.985999999994</v>
      </c>
      <c r="E5261" s="561">
        <v>4230</v>
      </c>
      <c r="F5261" s="561">
        <v>20940.985999999994</v>
      </c>
      <c r="G5261" s="561">
        <v>1987</v>
      </c>
      <c r="H5261" s="561">
        <v>26488.199999999997</v>
      </c>
      <c r="I5261" s="561">
        <v>142</v>
      </c>
      <c r="J5261" s="561">
        <v>1404.2343000000001</v>
      </c>
      <c r="K5261" s="561">
        <v>1933</v>
      </c>
      <c r="L5261" s="561">
        <v>25170.985999999994</v>
      </c>
      <c r="M5261" s="561">
        <v>25170.985999999994</v>
      </c>
      <c r="N5261" s="561">
        <v>4230</v>
      </c>
      <c r="O5261" s="561">
        <v>0</v>
      </c>
      <c r="AL5261" s="561">
        <v>20940.985999999994</v>
      </c>
    </row>
    <row r="5262" spans="1:54">
      <c r="A5262" s="561">
        <v>15</v>
      </c>
      <c r="B5262" s="561" t="s">
        <v>1664</v>
      </c>
      <c r="C5262" s="561" t="s">
        <v>1267</v>
      </c>
      <c r="D5262" s="561">
        <v>163310.56299999999</v>
      </c>
      <c r="E5262" s="561">
        <v>26660.506000000001</v>
      </c>
      <c r="F5262" s="561">
        <v>136650.057</v>
      </c>
      <c r="G5262" s="561">
        <v>2998</v>
      </c>
      <c r="H5262" s="561">
        <v>167214.174</v>
      </c>
      <c r="I5262" s="561">
        <v>273</v>
      </c>
      <c r="J5262" s="561">
        <v>3767.7121900000002</v>
      </c>
      <c r="K5262" s="561">
        <v>2993</v>
      </c>
      <c r="L5262" s="561">
        <v>163310.56299999999</v>
      </c>
      <c r="M5262" s="561">
        <v>163310.56299999999</v>
      </c>
      <c r="N5262" s="561">
        <v>26660.506000000001</v>
      </c>
      <c r="O5262" s="561">
        <v>0</v>
      </c>
      <c r="P5262" s="561">
        <v>136650.057</v>
      </c>
    </row>
    <row r="5263" spans="1:54">
      <c r="C5263" s="561" t="s">
        <v>1197</v>
      </c>
      <c r="D5263" s="561">
        <v>155504.76499999998</v>
      </c>
      <c r="E5263" s="561">
        <v>25529.276000000002</v>
      </c>
      <c r="F5263" s="561">
        <v>129975.48899999999</v>
      </c>
      <c r="G5263" s="561">
        <v>2375</v>
      </c>
      <c r="H5263" s="561">
        <v>159280.495</v>
      </c>
      <c r="I5263" s="561">
        <v>240</v>
      </c>
      <c r="J5263" s="561">
        <v>3641.7572500000001</v>
      </c>
      <c r="K5263" s="561">
        <v>2370</v>
      </c>
      <c r="L5263" s="561">
        <v>155504.76499999998</v>
      </c>
      <c r="M5263" s="561">
        <v>155504.76499999998</v>
      </c>
      <c r="N5263" s="561">
        <v>25529.276000000002</v>
      </c>
      <c r="O5263" s="561">
        <v>0</v>
      </c>
    </row>
    <row r="5264" spans="1:54">
      <c r="C5264" s="561" t="s">
        <v>1199</v>
      </c>
      <c r="D5264" s="561">
        <v>7805.7980000000007</v>
      </c>
      <c r="E5264" s="561">
        <v>1131.23</v>
      </c>
      <c r="F5264" s="561">
        <v>6674.5680000000011</v>
      </c>
      <c r="G5264" s="561">
        <v>623</v>
      </c>
      <c r="H5264" s="561">
        <v>7933.6790000000001</v>
      </c>
      <c r="I5264" s="561">
        <v>33</v>
      </c>
      <c r="J5264" s="561">
        <v>125.95493999999999</v>
      </c>
      <c r="K5264" s="561">
        <v>623</v>
      </c>
      <c r="L5264" s="561">
        <v>7805.7980000000007</v>
      </c>
      <c r="M5264" s="561">
        <v>7805.7980000000007</v>
      </c>
      <c r="N5264" s="561">
        <v>1131.23</v>
      </c>
      <c r="O5264" s="561">
        <v>0</v>
      </c>
      <c r="BB5264" s="561">
        <v>6674.5680000000011</v>
      </c>
    </row>
    <row r="5265" spans="1:51">
      <c r="A5265" s="561">
        <v>16</v>
      </c>
      <c r="B5265" s="561" t="s">
        <v>1665</v>
      </c>
      <c r="C5265" s="561" t="s">
        <v>1267</v>
      </c>
      <c r="D5265" s="561">
        <v>13096.248</v>
      </c>
      <c r="E5265" s="561">
        <v>11788.2</v>
      </c>
      <c r="F5265" s="561">
        <v>1308.0479999999989</v>
      </c>
      <c r="G5265" s="561">
        <v>434</v>
      </c>
      <c r="H5265" s="561">
        <v>13101.713</v>
      </c>
      <c r="I5265" s="561">
        <v>1</v>
      </c>
      <c r="J5265" s="561">
        <v>1.929</v>
      </c>
      <c r="K5265" s="561">
        <v>434</v>
      </c>
      <c r="L5265" s="561">
        <v>13096.248</v>
      </c>
      <c r="M5265" s="561">
        <v>13096.248</v>
      </c>
      <c r="N5265" s="561">
        <v>11788.2</v>
      </c>
      <c r="O5265" s="561">
        <v>0</v>
      </c>
      <c r="P5265" s="561">
        <v>1308.0479999999989</v>
      </c>
    </row>
    <row r="5266" spans="1:51">
      <c r="C5266" s="561" t="s">
        <v>1197</v>
      </c>
      <c r="D5266" s="561">
        <v>10076.925999999999</v>
      </c>
      <c r="E5266" s="561">
        <v>9664.2000000000007</v>
      </c>
      <c r="F5266" s="561">
        <v>412.72599999999875</v>
      </c>
      <c r="G5266" s="561">
        <v>186</v>
      </c>
      <c r="H5266" s="561">
        <v>10079.358</v>
      </c>
      <c r="I5266" s="561">
        <v>1</v>
      </c>
      <c r="J5266" s="561">
        <v>1.929</v>
      </c>
      <c r="K5266" s="561">
        <v>186</v>
      </c>
      <c r="L5266" s="561">
        <v>10076.925999999999</v>
      </c>
      <c r="M5266" s="561">
        <v>10076.925999999999</v>
      </c>
      <c r="N5266" s="561">
        <v>9664.2000000000007</v>
      </c>
      <c r="O5266" s="561">
        <v>0</v>
      </c>
    </row>
    <row r="5267" spans="1:51">
      <c r="C5267" s="561" t="s">
        <v>1199</v>
      </c>
      <c r="D5267" s="561">
        <v>3019.3220000000001</v>
      </c>
      <c r="E5267" s="561">
        <v>2124</v>
      </c>
      <c r="F5267" s="561">
        <v>895.32200000000012</v>
      </c>
      <c r="G5267" s="561">
        <v>248</v>
      </c>
      <c r="H5267" s="561">
        <v>3022.3550000000005</v>
      </c>
      <c r="I5267" s="561">
        <v>0</v>
      </c>
      <c r="J5267" s="561">
        <v>0</v>
      </c>
      <c r="K5267" s="561">
        <v>248</v>
      </c>
      <c r="L5267" s="561">
        <v>3019.3220000000001</v>
      </c>
      <c r="M5267" s="561">
        <v>3019.3220000000001</v>
      </c>
      <c r="N5267" s="561">
        <v>2124</v>
      </c>
      <c r="O5267" s="561">
        <v>0</v>
      </c>
      <c r="AY5267" s="561">
        <v>895.32200000000012</v>
      </c>
    </row>
    <row r="5268" spans="1:51">
      <c r="A5268" s="561">
        <v>17</v>
      </c>
      <c r="B5268" s="561" t="s">
        <v>1666</v>
      </c>
      <c r="C5268" s="561" t="s">
        <v>1267</v>
      </c>
      <c r="D5268" s="561">
        <v>96112.116999999998</v>
      </c>
      <c r="E5268" s="561">
        <v>23136.062000000002</v>
      </c>
      <c r="F5268" s="561">
        <v>72976.054999999993</v>
      </c>
      <c r="G5268" s="561">
        <v>2169</v>
      </c>
      <c r="H5268" s="561">
        <v>99192.06700000001</v>
      </c>
      <c r="I5268" s="561">
        <v>142</v>
      </c>
      <c r="J5268" s="561">
        <v>2865.3782700000002</v>
      </c>
      <c r="K5268" s="561">
        <v>2157</v>
      </c>
      <c r="L5268" s="561">
        <v>96112.116999999998</v>
      </c>
      <c r="M5268" s="561">
        <v>96112.116999999998</v>
      </c>
      <c r="N5268" s="561">
        <v>23136.062000000002</v>
      </c>
      <c r="O5268" s="561">
        <v>0</v>
      </c>
      <c r="P5268" s="561">
        <v>72976.054999999993</v>
      </c>
    </row>
    <row r="5269" spans="1:51">
      <c r="C5269" s="561" t="s">
        <v>1197</v>
      </c>
      <c r="D5269" s="561">
        <v>85658.115000000005</v>
      </c>
      <c r="E5269" s="561">
        <v>20826.062000000002</v>
      </c>
      <c r="F5269" s="561">
        <v>64832.053</v>
      </c>
      <c r="G5269" s="561">
        <v>1425</v>
      </c>
      <c r="H5269" s="561">
        <v>88230.867000000013</v>
      </c>
      <c r="I5269" s="561">
        <v>99</v>
      </c>
      <c r="J5269" s="561">
        <v>2237.10871</v>
      </c>
      <c r="K5269" s="561">
        <v>1420</v>
      </c>
      <c r="L5269" s="561">
        <v>85658.115000000005</v>
      </c>
      <c r="M5269" s="561">
        <v>85658.115000000005</v>
      </c>
      <c r="N5269" s="561">
        <v>20826.062000000002</v>
      </c>
      <c r="O5269" s="561">
        <v>0</v>
      </c>
    </row>
    <row r="5270" spans="1:51">
      <c r="C5270" s="561" t="s">
        <v>1199</v>
      </c>
      <c r="D5270" s="561">
        <v>10454.002</v>
      </c>
      <c r="E5270" s="561">
        <v>2310</v>
      </c>
      <c r="F5270" s="561">
        <v>8144.0020000000004</v>
      </c>
      <c r="G5270" s="561">
        <v>744</v>
      </c>
      <c r="H5270" s="561">
        <v>10961.199999999999</v>
      </c>
      <c r="I5270" s="561">
        <v>43</v>
      </c>
      <c r="J5270" s="561">
        <v>628.26955999999996</v>
      </c>
      <c r="K5270" s="561">
        <v>737</v>
      </c>
      <c r="L5270" s="561">
        <v>10454.002</v>
      </c>
      <c r="M5270" s="561">
        <v>10454.002</v>
      </c>
      <c r="N5270" s="561">
        <v>2310</v>
      </c>
      <c r="O5270" s="561">
        <v>0</v>
      </c>
      <c r="AL5270" s="561">
        <v>8144.0020000000004</v>
      </c>
    </row>
    <row r="5271" spans="1:51">
      <c r="A5271" s="561">
        <v>18</v>
      </c>
      <c r="B5271" s="561" t="s">
        <v>1667</v>
      </c>
      <c r="C5271" s="561" t="s">
        <v>1267</v>
      </c>
      <c r="D5271" s="561">
        <v>77774.648000000001</v>
      </c>
      <c r="E5271" s="561">
        <v>13883.942999999999</v>
      </c>
      <c r="F5271" s="561">
        <v>63890.705000000002</v>
      </c>
      <c r="G5271" s="561">
        <v>1608</v>
      </c>
      <c r="H5271" s="561">
        <v>81087.771000000008</v>
      </c>
      <c r="I5271" s="561">
        <v>164</v>
      </c>
      <c r="J5271" s="561">
        <v>2831.4221400000006</v>
      </c>
      <c r="K5271" s="561">
        <v>1598</v>
      </c>
      <c r="L5271" s="561">
        <v>77774.648000000001</v>
      </c>
      <c r="M5271" s="561">
        <v>77774.648000000001</v>
      </c>
      <c r="N5271" s="561">
        <v>13883.942999999999</v>
      </c>
      <c r="O5271" s="561">
        <v>0</v>
      </c>
      <c r="P5271" s="561">
        <v>63890.705000000002</v>
      </c>
    </row>
    <row r="5272" spans="1:51">
      <c r="C5272" s="561" t="s">
        <v>1197</v>
      </c>
      <c r="D5272" s="561">
        <v>69761.107000000004</v>
      </c>
      <c r="E5272" s="561">
        <v>12959.942999999999</v>
      </c>
      <c r="F5272" s="561">
        <v>56801.164000000004</v>
      </c>
      <c r="G5272" s="561">
        <v>1098</v>
      </c>
      <c r="H5272" s="561">
        <v>72874.932000000001</v>
      </c>
      <c r="I5272" s="561">
        <v>112</v>
      </c>
      <c r="J5272" s="561">
        <v>2540.2876600000004</v>
      </c>
      <c r="K5272" s="561">
        <v>1091</v>
      </c>
      <c r="L5272" s="561">
        <v>69761.107000000004</v>
      </c>
      <c r="M5272" s="561">
        <v>69761.107000000004</v>
      </c>
      <c r="N5272" s="561">
        <v>12959.942999999999</v>
      </c>
      <c r="O5272" s="561">
        <v>0</v>
      </c>
    </row>
    <row r="5273" spans="1:51">
      <c r="C5273" s="561" t="s">
        <v>1199</v>
      </c>
      <c r="D5273" s="561">
        <v>8013.5410000000002</v>
      </c>
      <c r="E5273" s="561">
        <v>924</v>
      </c>
      <c r="F5273" s="561">
        <v>7089.5410000000002</v>
      </c>
      <c r="G5273" s="561">
        <v>510</v>
      </c>
      <c r="H5273" s="561">
        <v>8212.8389999999999</v>
      </c>
      <c r="I5273" s="561">
        <v>52</v>
      </c>
      <c r="J5273" s="561">
        <v>291.13448</v>
      </c>
      <c r="K5273" s="561">
        <v>507</v>
      </c>
      <c r="L5273" s="561">
        <v>8013.5410000000002</v>
      </c>
      <c r="M5273" s="561">
        <v>8013.5410000000002</v>
      </c>
      <c r="N5273" s="561">
        <v>924</v>
      </c>
      <c r="O5273" s="561">
        <v>0</v>
      </c>
      <c r="AL5273" s="561">
        <v>7089.5410000000002</v>
      </c>
    </row>
    <row r="5274" spans="1:51">
      <c r="A5274" s="561">
        <v>19</v>
      </c>
      <c r="B5274" s="561" t="s">
        <v>1668</v>
      </c>
      <c r="C5274" s="561" t="s">
        <v>1267</v>
      </c>
      <c r="D5274" s="561">
        <v>328063.46400000004</v>
      </c>
      <c r="E5274" s="561">
        <v>67801.635999999999</v>
      </c>
      <c r="F5274" s="561">
        <v>260261.82800000007</v>
      </c>
      <c r="G5274" s="561">
        <v>6835</v>
      </c>
      <c r="H5274" s="561">
        <v>360252.77700000006</v>
      </c>
      <c r="I5274" s="561">
        <v>1220</v>
      </c>
      <c r="J5274" s="561">
        <v>31510.557130000001</v>
      </c>
      <c r="K5274" s="561">
        <v>6756</v>
      </c>
      <c r="L5274" s="561">
        <v>328063.46400000004</v>
      </c>
      <c r="M5274" s="561">
        <v>328063.46400000004</v>
      </c>
      <c r="N5274" s="561">
        <v>67801.635999999999</v>
      </c>
      <c r="O5274" s="561">
        <v>0</v>
      </c>
      <c r="P5274" s="561">
        <v>260261.82800000007</v>
      </c>
    </row>
    <row r="5275" spans="1:51">
      <c r="C5275" s="561" t="s">
        <v>1197</v>
      </c>
      <c r="D5275" s="561">
        <v>301171.61900000006</v>
      </c>
      <c r="E5275" s="561">
        <v>63985.688000000002</v>
      </c>
      <c r="F5275" s="561">
        <v>237185.93100000007</v>
      </c>
      <c r="G5275" s="561">
        <v>4905</v>
      </c>
      <c r="H5275" s="561">
        <v>330886.02900000004</v>
      </c>
      <c r="I5275" s="561">
        <v>931</v>
      </c>
      <c r="J5275" s="561">
        <v>29044.92971</v>
      </c>
      <c r="K5275" s="561">
        <v>4851</v>
      </c>
      <c r="L5275" s="561">
        <v>301171.61900000006</v>
      </c>
      <c r="M5275" s="561">
        <v>301171.61900000006</v>
      </c>
      <c r="N5275" s="561">
        <v>63985.688000000002</v>
      </c>
      <c r="O5275" s="561">
        <v>0</v>
      </c>
    </row>
    <row r="5276" spans="1:51">
      <c r="C5276" s="561" t="s">
        <v>1199</v>
      </c>
      <c r="D5276" s="561">
        <v>26891.845000000001</v>
      </c>
      <c r="E5276" s="561">
        <v>3815.9479999999999</v>
      </c>
      <c r="F5276" s="561">
        <v>23075.897000000001</v>
      </c>
      <c r="G5276" s="561">
        <v>1930</v>
      </c>
      <c r="H5276" s="561">
        <v>29366.748</v>
      </c>
      <c r="I5276" s="561">
        <v>289</v>
      </c>
      <c r="J5276" s="561">
        <v>2465.6274199999998</v>
      </c>
      <c r="K5276" s="561">
        <v>1905</v>
      </c>
      <c r="L5276" s="561">
        <v>26891.845000000001</v>
      </c>
      <c r="M5276" s="561">
        <v>26891.845000000001</v>
      </c>
      <c r="N5276" s="561">
        <v>3815.9479999999999</v>
      </c>
      <c r="O5276" s="561">
        <v>0</v>
      </c>
      <c r="AL5276" s="561">
        <v>23075.897000000001</v>
      </c>
    </row>
    <row r="5277" spans="1:51">
      <c r="A5277" s="561">
        <v>20</v>
      </c>
      <c r="B5277" s="561" t="s">
        <v>1669</v>
      </c>
      <c r="C5277" s="561" t="s">
        <v>1267</v>
      </c>
      <c r="D5277" s="561">
        <v>40347.778999999995</v>
      </c>
      <c r="E5277" s="561">
        <v>7551.48</v>
      </c>
      <c r="F5277" s="561">
        <v>32796.298999999999</v>
      </c>
      <c r="G5277" s="561">
        <v>863</v>
      </c>
      <c r="H5277" s="561">
        <v>42042.992999999995</v>
      </c>
      <c r="I5277" s="561">
        <v>65</v>
      </c>
      <c r="J5277" s="561">
        <v>1619.7803899999997</v>
      </c>
      <c r="K5277" s="561">
        <v>860</v>
      </c>
      <c r="L5277" s="561">
        <v>40347.778999999995</v>
      </c>
      <c r="M5277" s="561">
        <v>40347.778999999995</v>
      </c>
      <c r="N5277" s="561">
        <v>7551.48</v>
      </c>
      <c r="O5277" s="561">
        <v>0</v>
      </c>
      <c r="P5277" s="561">
        <v>32796.298999999999</v>
      </c>
    </row>
    <row r="5278" spans="1:51">
      <c r="C5278" s="561" t="s">
        <v>1197</v>
      </c>
      <c r="D5278" s="561">
        <v>34691.398999999998</v>
      </c>
      <c r="E5278" s="561">
        <v>6651.48</v>
      </c>
      <c r="F5278" s="561">
        <v>28039.918999999998</v>
      </c>
      <c r="G5278" s="561">
        <v>536</v>
      </c>
      <c r="H5278" s="561">
        <v>36346.859999999993</v>
      </c>
      <c r="I5278" s="561">
        <v>49</v>
      </c>
      <c r="J5278" s="561">
        <v>1578.4113899999998</v>
      </c>
      <c r="K5278" s="561">
        <v>533</v>
      </c>
      <c r="L5278" s="561">
        <v>34691.398999999998</v>
      </c>
      <c r="M5278" s="561">
        <v>34691.398999999998</v>
      </c>
      <c r="N5278" s="561">
        <v>6651.48</v>
      </c>
      <c r="O5278" s="561">
        <v>0</v>
      </c>
    </row>
    <row r="5279" spans="1:51">
      <c r="C5279" s="561" t="s">
        <v>1199</v>
      </c>
      <c r="D5279" s="561">
        <v>5656.38</v>
      </c>
      <c r="E5279" s="561">
        <v>900</v>
      </c>
      <c r="F5279" s="561">
        <v>4756.38</v>
      </c>
      <c r="G5279" s="561">
        <v>327</v>
      </c>
      <c r="H5279" s="561">
        <v>5696.1329999999998</v>
      </c>
      <c r="I5279" s="561">
        <v>16</v>
      </c>
      <c r="J5279" s="561">
        <v>41.369</v>
      </c>
      <c r="K5279" s="561">
        <v>327</v>
      </c>
      <c r="L5279" s="561">
        <v>5656.38</v>
      </c>
      <c r="M5279" s="561">
        <v>5656.38</v>
      </c>
      <c r="N5279" s="561">
        <v>900</v>
      </c>
      <c r="O5279" s="561">
        <v>0</v>
      </c>
      <c r="AL5279" s="561">
        <v>4756.38</v>
      </c>
    </row>
    <row r="5280" spans="1:51">
      <c r="A5280" s="561">
        <v>21</v>
      </c>
      <c r="B5280" s="561" t="s">
        <v>1670</v>
      </c>
      <c r="C5280" s="561" t="s">
        <v>1267</v>
      </c>
      <c r="D5280" s="561">
        <v>133670.60100000002</v>
      </c>
      <c r="E5280" s="561">
        <v>39401.014000000003</v>
      </c>
      <c r="F5280" s="561">
        <v>94269.587000000014</v>
      </c>
      <c r="G5280" s="561">
        <v>3387</v>
      </c>
      <c r="H5280" s="561">
        <v>140224.65900000001</v>
      </c>
      <c r="I5280" s="561">
        <v>345</v>
      </c>
      <c r="J5280" s="561">
        <v>6194.4991600000003</v>
      </c>
      <c r="K5280" s="561">
        <v>3378</v>
      </c>
      <c r="L5280" s="561">
        <v>133670.60100000002</v>
      </c>
      <c r="M5280" s="561">
        <v>133670.60100000002</v>
      </c>
      <c r="N5280" s="561">
        <v>39401.014000000003</v>
      </c>
      <c r="O5280" s="561">
        <v>0</v>
      </c>
      <c r="P5280" s="561">
        <v>94269.587000000014</v>
      </c>
    </row>
    <row r="5281" spans="1:38">
      <c r="C5281" s="561" t="s">
        <v>1197</v>
      </c>
      <c r="D5281" s="561">
        <v>108611.74100000002</v>
      </c>
      <c r="E5281" s="561">
        <v>34319.014000000003</v>
      </c>
      <c r="F5281" s="561">
        <v>74292.727000000014</v>
      </c>
      <c r="G5281" s="561">
        <v>1644</v>
      </c>
      <c r="H5281" s="561">
        <v>114457.05900000001</v>
      </c>
      <c r="I5281" s="561">
        <v>236</v>
      </c>
      <c r="J5281" s="561">
        <v>5587.9817400000002</v>
      </c>
      <c r="K5281" s="561">
        <v>1637</v>
      </c>
      <c r="L5281" s="561">
        <v>108611.74100000002</v>
      </c>
      <c r="M5281" s="561">
        <v>108611.74100000002</v>
      </c>
      <c r="N5281" s="561">
        <v>34319.014000000003</v>
      </c>
      <c r="O5281" s="561">
        <v>0</v>
      </c>
    </row>
    <row r="5282" spans="1:38">
      <c r="C5282" s="561" t="s">
        <v>1199</v>
      </c>
      <c r="D5282" s="561">
        <v>25058.86</v>
      </c>
      <c r="E5282" s="561">
        <v>5082</v>
      </c>
      <c r="F5282" s="561">
        <v>19976.86</v>
      </c>
      <c r="G5282" s="561">
        <v>1743</v>
      </c>
      <c r="H5282" s="561">
        <v>25767.599999999999</v>
      </c>
      <c r="I5282" s="561">
        <v>109</v>
      </c>
      <c r="J5282" s="561">
        <v>606.51742000000002</v>
      </c>
      <c r="K5282" s="561">
        <v>1741</v>
      </c>
      <c r="L5282" s="561">
        <v>25058.859999999997</v>
      </c>
      <c r="M5282" s="561">
        <v>25058.859999999997</v>
      </c>
      <c r="N5282" s="561">
        <v>5082</v>
      </c>
      <c r="O5282" s="561">
        <v>0</v>
      </c>
      <c r="AL5282" s="561">
        <v>19976.859999999997</v>
      </c>
    </row>
    <row r="5283" spans="1:38">
      <c r="A5283" s="561">
        <v>22</v>
      </c>
      <c r="B5283" s="561" t="s">
        <v>1671</v>
      </c>
      <c r="C5283" s="561" t="s">
        <v>1267</v>
      </c>
      <c r="D5283" s="561">
        <v>79383.579999999987</v>
      </c>
      <c r="E5283" s="561">
        <v>22706.383000000002</v>
      </c>
      <c r="F5283" s="561">
        <v>56677.197</v>
      </c>
      <c r="G5283" s="561">
        <v>1874</v>
      </c>
      <c r="H5283" s="561">
        <v>84869.108999999982</v>
      </c>
      <c r="I5283" s="561">
        <v>255</v>
      </c>
      <c r="J5283" s="561">
        <v>5407.8585400000002</v>
      </c>
      <c r="K5283" s="561">
        <v>1847</v>
      </c>
      <c r="L5283" s="561">
        <v>79383.579999999987</v>
      </c>
      <c r="M5283" s="561">
        <v>79383.579999999987</v>
      </c>
      <c r="N5283" s="561">
        <v>22706.383000000002</v>
      </c>
      <c r="O5283" s="561">
        <v>0</v>
      </c>
      <c r="P5283" s="561">
        <v>56677.197</v>
      </c>
    </row>
    <row r="5284" spans="1:38">
      <c r="C5284" s="561" t="s">
        <v>1197</v>
      </c>
      <c r="D5284" s="561">
        <v>70871.581999999995</v>
      </c>
      <c r="E5284" s="561">
        <v>20655.166000000001</v>
      </c>
      <c r="F5284" s="561">
        <v>50216.415999999997</v>
      </c>
      <c r="G5284" s="561">
        <v>1198</v>
      </c>
      <c r="H5284" s="561">
        <v>75756.61599999998</v>
      </c>
      <c r="I5284" s="561">
        <v>150</v>
      </c>
      <c r="J5284" s="561">
        <v>4688.9924600000004</v>
      </c>
      <c r="K5284" s="561">
        <v>1192</v>
      </c>
      <c r="L5284" s="561">
        <v>70871.581999999995</v>
      </c>
      <c r="M5284" s="561">
        <v>70871.581999999995</v>
      </c>
      <c r="N5284" s="561">
        <v>20655.166000000001</v>
      </c>
      <c r="O5284" s="561">
        <v>0</v>
      </c>
    </row>
    <row r="5285" spans="1:38">
      <c r="C5285" s="561" t="s">
        <v>1199</v>
      </c>
      <c r="D5285" s="561">
        <v>8511.9979999999996</v>
      </c>
      <c r="E5285" s="561">
        <v>2051.2170000000001</v>
      </c>
      <c r="F5285" s="561">
        <v>6460.780999999999</v>
      </c>
      <c r="G5285" s="561">
        <v>676</v>
      </c>
      <c r="H5285" s="561">
        <v>9112.4929999999986</v>
      </c>
      <c r="I5285" s="561">
        <v>105</v>
      </c>
      <c r="J5285" s="561">
        <v>718.8660799999999</v>
      </c>
      <c r="K5285" s="561">
        <v>655</v>
      </c>
      <c r="L5285" s="561">
        <v>8511.9979999999996</v>
      </c>
      <c r="M5285" s="561">
        <v>8511.9979999999996</v>
      </c>
      <c r="N5285" s="561">
        <v>2051.2170000000001</v>
      </c>
      <c r="O5285" s="561">
        <v>0</v>
      </c>
      <c r="AL5285" s="561">
        <v>6460.780999999999</v>
      </c>
    </row>
    <row r="5286" spans="1:38">
      <c r="A5286" s="561">
        <v>23</v>
      </c>
      <c r="B5286" s="561" t="s">
        <v>1672</v>
      </c>
      <c r="C5286" s="561" t="s">
        <v>1267</v>
      </c>
      <c r="D5286" s="561">
        <v>263187.837</v>
      </c>
      <c r="E5286" s="561">
        <v>72657.983000000007</v>
      </c>
      <c r="F5286" s="561">
        <v>190529.85399999999</v>
      </c>
      <c r="G5286" s="561">
        <v>4265</v>
      </c>
      <c r="H5286" s="561">
        <v>273798.85599999997</v>
      </c>
      <c r="I5286" s="561">
        <v>489</v>
      </c>
      <c r="J5286" s="561">
        <v>11673.475759999999</v>
      </c>
      <c r="K5286" s="561">
        <v>4247</v>
      </c>
      <c r="L5286" s="561">
        <v>263187.837</v>
      </c>
      <c r="M5286" s="561">
        <v>263187.837</v>
      </c>
      <c r="N5286" s="561">
        <v>72657.983000000007</v>
      </c>
      <c r="O5286" s="561">
        <v>0</v>
      </c>
      <c r="P5286" s="561">
        <v>190529.85399999999</v>
      </c>
    </row>
    <row r="5287" spans="1:38">
      <c r="C5287" s="561" t="s">
        <v>1197</v>
      </c>
      <c r="D5287" s="561">
        <v>258170.19100000002</v>
      </c>
      <c r="E5287" s="561">
        <v>71841.653000000006</v>
      </c>
      <c r="F5287" s="561">
        <v>186328.538</v>
      </c>
      <c r="G5287" s="561">
        <v>3895</v>
      </c>
      <c r="H5287" s="561">
        <v>268608.49</v>
      </c>
      <c r="I5287" s="561">
        <v>460</v>
      </c>
      <c r="J5287" s="561">
        <v>11527.85967</v>
      </c>
      <c r="K5287" s="561">
        <v>3882</v>
      </c>
      <c r="L5287" s="561">
        <v>258170.19100000002</v>
      </c>
      <c r="M5287" s="561">
        <v>258170.19100000002</v>
      </c>
      <c r="N5287" s="561">
        <v>71841.653000000006</v>
      </c>
      <c r="O5287" s="561">
        <v>0</v>
      </c>
    </row>
    <row r="5288" spans="1:38">
      <c r="C5288" s="561" t="s">
        <v>1199</v>
      </c>
      <c r="D5288" s="561">
        <v>5017.6459999999997</v>
      </c>
      <c r="E5288" s="561">
        <v>816.33</v>
      </c>
      <c r="F5288" s="561">
        <v>4201.3159999999998</v>
      </c>
      <c r="G5288" s="561">
        <v>370</v>
      </c>
      <c r="H5288" s="561">
        <v>5190.366</v>
      </c>
      <c r="I5288" s="561">
        <v>29</v>
      </c>
      <c r="J5288" s="561">
        <v>145.61608999999999</v>
      </c>
      <c r="K5288" s="561">
        <v>365</v>
      </c>
      <c r="L5288" s="561">
        <v>5017.6459999999997</v>
      </c>
      <c r="M5288" s="561">
        <v>5017.6459999999997</v>
      </c>
      <c r="N5288" s="561">
        <v>816.33</v>
      </c>
      <c r="O5288" s="561">
        <v>0</v>
      </c>
      <c r="AL5288" s="561">
        <v>4201.3159999999998</v>
      </c>
    </row>
    <row r="5289" spans="1:38">
      <c r="A5289" s="561">
        <v>24</v>
      </c>
      <c r="B5289" s="561" t="s">
        <v>1673</v>
      </c>
      <c r="C5289" s="561" t="s">
        <v>1267</v>
      </c>
      <c r="D5289" s="561">
        <v>96282.236000000004</v>
      </c>
      <c r="E5289" s="561">
        <v>24649.644</v>
      </c>
      <c r="F5289" s="561">
        <v>71632.592000000004</v>
      </c>
      <c r="G5289" s="561">
        <v>2450</v>
      </c>
      <c r="H5289" s="561">
        <v>100635.52200000001</v>
      </c>
      <c r="I5289" s="561">
        <v>203</v>
      </c>
      <c r="J5289" s="561">
        <v>4509.6690400000007</v>
      </c>
      <c r="K5289" s="561">
        <v>2422</v>
      </c>
      <c r="L5289" s="561">
        <v>96282.236000000004</v>
      </c>
      <c r="M5289" s="561">
        <v>96282.236000000004</v>
      </c>
      <c r="N5289" s="561">
        <v>24649.644</v>
      </c>
      <c r="O5289" s="561">
        <v>0</v>
      </c>
      <c r="P5289" s="561">
        <v>71632.592000000004</v>
      </c>
    </row>
    <row r="5290" spans="1:38">
      <c r="C5290" s="561" t="s">
        <v>1197</v>
      </c>
      <c r="D5290" s="561">
        <v>82028.471000000005</v>
      </c>
      <c r="E5290" s="561">
        <v>21283.644</v>
      </c>
      <c r="F5290" s="561">
        <v>60744.827000000005</v>
      </c>
      <c r="G5290" s="561">
        <v>1378</v>
      </c>
      <c r="H5290" s="561">
        <v>85943.482000000018</v>
      </c>
      <c r="I5290" s="561">
        <v>150</v>
      </c>
      <c r="J5290" s="561">
        <v>4071.3950400000003</v>
      </c>
      <c r="K5290" s="561">
        <v>1359</v>
      </c>
      <c r="L5290" s="561">
        <v>82028.471000000005</v>
      </c>
      <c r="M5290" s="561">
        <v>82028.471000000005</v>
      </c>
      <c r="N5290" s="561">
        <v>21283.644</v>
      </c>
      <c r="O5290" s="561">
        <v>0</v>
      </c>
    </row>
    <row r="5291" spans="1:38">
      <c r="C5291" s="561" t="s">
        <v>1199</v>
      </c>
      <c r="D5291" s="561">
        <v>14253.765000000001</v>
      </c>
      <c r="E5291" s="561">
        <v>3366</v>
      </c>
      <c r="F5291" s="561">
        <v>10887.765000000001</v>
      </c>
      <c r="G5291" s="561">
        <v>1072</v>
      </c>
      <c r="H5291" s="561">
        <v>14692.039999999997</v>
      </c>
      <c r="I5291" s="561">
        <v>53</v>
      </c>
      <c r="J5291" s="561">
        <v>438.274</v>
      </c>
      <c r="K5291" s="561">
        <v>1063</v>
      </c>
      <c r="L5291" s="561">
        <v>14253.765000000001</v>
      </c>
      <c r="M5291" s="561">
        <v>14253.765000000001</v>
      </c>
      <c r="N5291" s="561">
        <v>3366</v>
      </c>
      <c r="O5291" s="561">
        <v>0</v>
      </c>
      <c r="AL5291" s="561">
        <v>10887.765000000001</v>
      </c>
    </row>
    <row r="5292" spans="1:38">
      <c r="A5292" s="561">
        <v>25</v>
      </c>
      <c r="B5292" s="561" t="s">
        <v>1674</v>
      </c>
      <c r="C5292" s="561" t="s">
        <v>1267</v>
      </c>
      <c r="D5292" s="561">
        <v>190350.42300000001</v>
      </c>
      <c r="E5292" s="561">
        <v>37176.186000000002</v>
      </c>
      <c r="F5292" s="561">
        <v>153174.23699999999</v>
      </c>
      <c r="G5292" s="561">
        <v>3421</v>
      </c>
      <c r="H5292" s="561">
        <v>197412.19400000002</v>
      </c>
      <c r="I5292" s="561">
        <v>327</v>
      </c>
      <c r="J5292" s="561">
        <v>8116.2568600000004</v>
      </c>
      <c r="K5292" s="561">
        <v>3400</v>
      </c>
      <c r="L5292" s="561">
        <v>190350.42300000001</v>
      </c>
      <c r="M5292" s="561">
        <v>190350.42300000001</v>
      </c>
      <c r="N5292" s="561">
        <v>37176.186000000002</v>
      </c>
      <c r="O5292" s="561">
        <v>0</v>
      </c>
      <c r="P5292" s="561">
        <v>153174.23699999999</v>
      </c>
    </row>
    <row r="5293" spans="1:38">
      <c r="C5293" s="561" t="s">
        <v>1197</v>
      </c>
      <c r="D5293" s="561">
        <v>177877.084</v>
      </c>
      <c r="E5293" s="561">
        <v>35401</v>
      </c>
      <c r="F5293" s="561">
        <v>142476.084</v>
      </c>
      <c r="G5293" s="561">
        <v>2647</v>
      </c>
      <c r="H5293" s="561">
        <v>184760.89600000001</v>
      </c>
      <c r="I5293" s="561">
        <v>279</v>
      </c>
      <c r="J5293" s="561">
        <v>7944.38897</v>
      </c>
      <c r="K5293" s="561">
        <v>2629</v>
      </c>
      <c r="L5293" s="561">
        <v>177877.084</v>
      </c>
      <c r="M5293" s="561">
        <v>177877.084</v>
      </c>
      <c r="N5293" s="561">
        <v>35401</v>
      </c>
      <c r="O5293" s="561">
        <v>0</v>
      </c>
    </row>
    <row r="5294" spans="1:38">
      <c r="C5294" s="561" t="s">
        <v>1199</v>
      </c>
      <c r="D5294" s="561">
        <v>12473.339</v>
      </c>
      <c r="E5294" s="561">
        <v>1775.1859999999999</v>
      </c>
      <c r="F5294" s="561">
        <v>10698.153</v>
      </c>
      <c r="G5294" s="561">
        <v>774</v>
      </c>
      <c r="H5294" s="561">
        <v>12651.298000000001</v>
      </c>
      <c r="I5294" s="561">
        <v>48</v>
      </c>
      <c r="J5294" s="561">
        <v>171.86789000000002</v>
      </c>
      <c r="K5294" s="561">
        <v>771</v>
      </c>
      <c r="L5294" s="561">
        <v>12473.339</v>
      </c>
      <c r="M5294" s="561">
        <v>12473.339</v>
      </c>
      <c r="N5294" s="561">
        <v>1775.1859999999999</v>
      </c>
      <c r="O5294" s="561">
        <v>0</v>
      </c>
      <c r="AL5294" s="561">
        <v>10698.153</v>
      </c>
    </row>
    <row r="5295" spans="1:38">
      <c r="A5295" s="561">
        <v>26</v>
      </c>
      <c r="B5295" s="561" t="s">
        <v>1675</v>
      </c>
      <c r="C5295" s="561" t="s">
        <v>1267</v>
      </c>
      <c r="D5295" s="561">
        <v>77802.144</v>
      </c>
      <c r="E5295" s="561">
        <v>19456.788</v>
      </c>
      <c r="F5295" s="561">
        <v>58345.355999999992</v>
      </c>
      <c r="G5295" s="561">
        <v>1875</v>
      </c>
      <c r="H5295" s="561">
        <v>83003.902999999991</v>
      </c>
      <c r="I5295" s="561">
        <v>247</v>
      </c>
      <c r="J5295" s="561">
        <v>5293.3039700000008</v>
      </c>
      <c r="K5295" s="561">
        <v>1859</v>
      </c>
      <c r="L5295" s="561">
        <v>77802.144</v>
      </c>
      <c r="M5295" s="561">
        <v>77802.144</v>
      </c>
      <c r="N5295" s="561">
        <v>19456.788</v>
      </c>
      <c r="O5295" s="561">
        <v>0</v>
      </c>
      <c r="P5295" s="561">
        <v>58345.355999999992</v>
      </c>
    </row>
    <row r="5296" spans="1:38">
      <c r="C5296" s="561" t="s">
        <v>1197</v>
      </c>
      <c r="D5296" s="561">
        <v>65951.198999999993</v>
      </c>
      <c r="E5296" s="561">
        <v>16928.224999999999</v>
      </c>
      <c r="F5296" s="561">
        <v>49022.973999999995</v>
      </c>
      <c r="G5296" s="561">
        <v>1064</v>
      </c>
      <c r="H5296" s="561">
        <v>70387.396999999997</v>
      </c>
      <c r="I5296" s="561">
        <v>137</v>
      </c>
      <c r="J5296" s="561">
        <v>4532.2886000000008</v>
      </c>
      <c r="K5296" s="561">
        <v>1062</v>
      </c>
      <c r="L5296" s="561">
        <v>65951.198999999993</v>
      </c>
      <c r="M5296" s="561">
        <v>65951.198999999993</v>
      </c>
      <c r="N5296" s="561">
        <v>16928.224999999999</v>
      </c>
      <c r="O5296" s="561">
        <v>0</v>
      </c>
    </row>
    <row r="5297" spans="1:38">
      <c r="C5297" s="561" t="s">
        <v>1199</v>
      </c>
      <c r="D5297" s="561">
        <v>11850.945</v>
      </c>
      <c r="E5297" s="561">
        <v>2528.5630000000001</v>
      </c>
      <c r="F5297" s="561">
        <v>9322.3819999999996</v>
      </c>
      <c r="G5297" s="561">
        <v>811</v>
      </c>
      <c r="H5297" s="561">
        <v>12616.505999999999</v>
      </c>
      <c r="I5297" s="561">
        <v>110</v>
      </c>
      <c r="J5297" s="561">
        <v>761.01537000000008</v>
      </c>
      <c r="K5297" s="561">
        <v>797</v>
      </c>
      <c r="L5297" s="561">
        <v>11850.945</v>
      </c>
      <c r="M5297" s="561">
        <v>11850.945</v>
      </c>
      <c r="N5297" s="561">
        <v>2528.5630000000001</v>
      </c>
      <c r="O5297" s="561">
        <v>0</v>
      </c>
      <c r="AL5297" s="561">
        <v>9322.3819999999996</v>
      </c>
    </row>
    <row r="5298" spans="1:38">
      <c r="A5298" s="561">
        <v>27</v>
      </c>
      <c r="B5298" s="561" t="s">
        <v>1676</v>
      </c>
      <c r="C5298" s="561" t="s">
        <v>1267</v>
      </c>
      <c r="D5298" s="561">
        <v>73454.569999999992</v>
      </c>
      <c r="E5298" s="561">
        <v>13162.088</v>
      </c>
      <c r="F5298" s="561">
        <v>60292.481999999996</v>
      </c>
      <c r="G5298" s="561">
        <v>1814</v>
      </c>
      <c r="H5298" s="561">
        <v>79233.03</v>
      </c>
      <c r="I5298" s="561">
        <v>264</v>
      </c>
      <c r="J5298" s="561">
        <v>5076.0727199999992</v>
      </c>
      <c r="K5298" s="561">
        <v>1779</v>
      </c>
      <c r="L5298" s="561">
        <v>73454.569999999992</v>
      </c>
      <c r="M5298" s="561">
        <v>73454.569999999992</v>
      </c>
      <c r="N5298" s="561">
        <v>13162.088</v>
      </c>
      <c r="O5298" s="561">
        <v>0</v>
      </c>
      <c r="P5298" s="561">
        <v>60292.481999999996</v>
      </c>
    </row>
    <row r="5299" spans="1:38">
      <c r="C5299" s="561" t="s">
        <v>1197</v>
      </c>
      <c r="D5299" s="561">
        <v>63714.241999999998</v>
      </c>
      <c r="E5299" s="561">
        <v>12107.4</v>
      </c>
      <c r="F5299" s="561">
        <v>51606.841999999997</v>
      </c>
      <c r="G5299" s="561">
        <v>1066</v>
      </c>
      <c r="H5299" s="561">
        <v>68451.036999999997</v>
      </c>
      <c r="I5299" s="561">
        <v>153</v>
      </c>
      <c r="J5299" s="561">
        <v>4247.0946799999992</v>
      </c>
      <c r="K5299" s="561">
        <v>1060</v>
      </c>
      <c r="L5299" s="561">
        <v>63714.241999999998</v>
      </c>
      <c r="M5299" s="561">
        <v>63714.241999999998</v>
      </c>
      <c r="N5299" s="561">
        <v>12107.4</v>
      </c>
      <c r="O5299" s="561">
        <v>0</v>
      </c>
    </row>
    <row r="5300" spans="1:38">
      <c r="C5300" s="561" t="s">
        <v>1199</v>
      </c>
      <c r="D5300" s="561">
        <v>9740.3279999999995</v>
      </c>
      <c r="E5300" s="561">
        <v>1054.6880000000001</v>
      </c>
      <c r="F5300" s="561">
        <v>8685.64</v>
      </c>
      <c r="G5300" s="561">
        <v>748</v>
      </c>
      <c r="H5300" s="561">
        <v>10781.993000000002</v>
      </c>
      <c r="I5300" s="561">
        <v>111</v>
      </c>
      <c r="J5300" s="561">
        <v>828.97804000000008</v>
      </c>
      <c r="K5300" s="561">
        <v>719</v>
      </c>
      <c r="L5300" s="561">
        <v>9740.3279999999995</v>
      </c>
      <c r="M5300" s="561">
        <v>9740.3279999999995</v>
      </c>
      <c r="N5300" s="561">
        <v>1054.6880000000001</v>
      </c>
      <c r="O5300" s="561">
        <v>0</v>
      </c>
      <c r="AL5300" s="561">
        <v>8685.64</v>
      </c>
    </row>
    <row r="5301" spans="1:38">
      <c r="A5301" s="561">
        <v>28</v>
      </c>
      <c r="B5301" s="561" t="s">
        <v>1677</v>
      </c>
      <c r="C5301" s="561" t="s">
        <v>1267</v>
      </c>
      <c r="D5301" s="561">
        <v>91980.263999999996</v>
      </c>
      <c r="E5301" s="561">
        <v>22860.789000000001</v>
      </c>
      <c r="F5301" s="561">
        <v>69119.475000000006</v>
      </c>
      <c r="G5301" s="561">
        <v>2935</v>
      </c>
      <c r="H5301" s="561">
        <v>94480.493000000002</v>
      </c>
      <c r="I5301" s="561">
        <v>265</v>
      </c>
      <c r="J5301" s="561">
        <v>2394.7939400000005</v>
      </c>
      <c r="K5301" s="561">
        <v>2919</v>
      </c>
      <c r="L5301" s="561">
        <v>91980.263999999996</v>
      </c>
      <c r="M5301" s="561">
        <v>91980.263999999996</v>
      </c>
      <c r="N5301" s="561">
        <v>22860.789000000001</v>
      </c>
      <c r="O5301" s="561">
        <v>0</v>
      </c>
      <c r="P5301" s="561">
        <v>69119.475000000006</v>
      </c>
    </row>
    <row r="5302" spans="1:38">
      <c r="C5302" s="561" t="s">
        <v>1197</v>
      </c>
      <c r="D5302" s="561">
        <v>69849.603000000003</v>
      </c>
      <c r="E5302" s="561">
        <v>17745.789000000001</v>
      </c>
      <c r="F5302" s="561">
        <v>52103.813999999998</v>
      </c>
      <c r="G5302" s="561">
        <v>1350</v>
      </c>
      <c r="H5302" s="561">
        <v>71454.989000000001</v>
      </c>
      <c r="I5302" s="561">
        <v>116</v>
      </c>
      <c r="J5302" s="561">
        <v>1499.9467100000004</v>
      </c>
      <c r="K5302" s="561">
        <v>1348</v>
      </c>
      <c r="L5302" s="561">
        <v>69849.603000000003</v>
      </c>
      <c r="M5302" s="561">
        <v>69849.603000000003</v>
      </c>
      <c r="N5302" s="561">
        <v>17745.789000000001</v>
      </c>
      <c r="O5302" s="561">
        <v>0</v>
      </c>
    </row>
    <row r="5303" spans="1:38">
      <c r="C5303" s="561" t="s">
        <v>1199</v>
      </c>
      <c r="D5303" s="561">
        <v>22130.661</v>
      </c>
      <c r="E5303" s="561">
        <v>5115</v>
      </c>
      <c r="F5303" s="561">
        <v>17015.661</v>
      </c>
      <c r="G5303" s="561">
        <v>1585</v>
      </c>
      <c r="H5303" s="561">
        <v>23025.504000000001</v>
      </c>
      <c r="I5303" s="561">
        <v>149</v>
      </c>
      <c r="J5303" s="561">
        <v>894.84722999999985</v>
      </c>
      <c r="K5303" s="561">
        <v>1571</v>
      </c>
      <c r="L5303" s="561">
        <v>22130.661</v>
      </c>
      <c r="M5303" s="561">
        <v>22130.661</v>
      </c>
      <c r="N5303" s="561">
        <v>5115</v>
      </c>
      <c r="O5303" s="561">
        <v>0</v>
      </c>
      <c r="AL5303" s="561">
        <v>17015.661</v>
      </c>
    </row>
    <row r="5304" spans="1:38">
      <c r="A5304" s="561">
        <v>29</v>
      </c>
      <c r="B5304" s="561" t="s">
        <v>1678</v>
      </c>
      <c r="C5304" s="561" t="s">
        <v>1267</v>
      </c>
      <c r="D5304" s="561">
        <v>139253.595</v>
      </c>
      <c r="E5304" s="561">
        <v>33146.182000000001</v>
      </c>
      <c r="F5304" s="561">
        <v>106107.413</v>
      </c>
      <c r="G5304" s="561">
        <v>3280</v>
      </c>
      <c r="H5304" s="561">
        <v>145178.965</v>
      </c>
      <c r="I5304" s="561">
        <v>281</v>
      </c>
      <c r="J5304" s="561">
        <v>6102.4544099999994</v>
      </c>
      <c r="K5304" s="561">
        <v>3253</v>
      </c>
      <c r="L5304" s="561">
        <v>139253.595</v>
      </c>
      <c r="M5304" s="561">
        <v>139253.595</v>
      </c>
      <c r="N5304" s="561">
        <v>33146.182000000008</v>
      </c>
      <c r="O5304" s="561">
        <v>0</v>
      </c>
      <c r="P5304" s="561">
        <v>106107.41299999999</v>
      </c>
    </row>
    <row r="5305" spans="1:38">
      <c r="C5305" s="561" t="s">
        <v>1197</v>
      </c>
      <c r="D5305" s="561">
        <v>118394.56299999999</v>
      </c>
      <c r="E5305" s="561">
        <v>29516.028999999999</v>
      </c>
      <c r="F5305" s="561">
        <v>88878.534</v>
      </c>
      <c r="G5305" s="561">
        <v>1868</v>
      </c>
      <c r="H5305" s="561">
        <v>123855.463</v>
      </c>
      <c r="I5305" s="561">
        <v>205</v>
      </c>
      <c r="J5305" s="561">
        <v>5681.3138799999997</v>
      </c>
      <c r="K5305" s="561">
        <v>1855</v>
      </c>
      <c r="L5305" s="561">
        <v>118394.56299999999</v>
      </c>
      <c r="M5305" s="561">
        <v>118394.56299999999</v>
      </c>
      <c r="N5305" s="561">
        <v>29516.029000000006</v>
      </c>
      <c r="O5305" s="561">
        <v>0</v>
      </c>
    </row>
    <row r="5306" spans="1:38">
      <c r="C5306" s="561" t="s">
        <v>1199</v>
      </c>
      <c r="D5306" s="561">
        <v>20859.031999999999</v>
      </c>
      <c r="E5306" s="561">
        <v>3630.1529999999998</v>
      </c>
      <c r="F5306" s="561">
        <v>17228.879000000001</v>
      </c>
      <c r="G5306" s="561">
        <v>1412</v>
      </c>
      <c r="H5306" s="561">
        <v>21323.502</v>
      </c>
      <c r="I5306" s="561">
        <v>76</v>
      </c>
      <c r="J5306" s="561">
        <v>421.14053000000001</v>
      </c>
      <c r="K5306" s="561">
        <v>1398</v>
      </c>
      <c r="L5306" s="561">
        <v>20859.031999999999</v>
      </c>
      <c r="M5306" s="561">
        <v>20859.031999999999</v>
      </c>
      <c r="N5306" s="561">
        <v>3630.1529999999998</v>
      </c>
      <c r="O5306" s="561">
        <v>0</v>
      </c>
      <c r="AL5306" s="561">
        <v>17228.879000000001</v>
      </c>
    </row>
    <row r="5307" spans="1:38">
      <c r="A5307" s="561">
        <v>30</v>
      </c>
      <c r="B5307" s="561" t="s">
        <v>1679</v>
      </c>
      <c r="C5307" s="561" t="s">
        <v>1267</v>
      </c>
      <c r="D5307" s="561">
        <v>51989.798999999999</v>
      </c>
      <c r="E5307" s="561">
        <v>10338.369999999999</v>
      </c>
      <c r="F5307" s="561">
        <v>41651.429000000004</v>
      </c>
      <c r="G5307" s="561">
        <v>1522</v>
      </c>
      <c r="H5307" s="561">
        <v>54464.865999999995</v>
      </c>
      <c r="I5307" s="561">
        <v>133</v>
      </c>
      <c r="J5307" s="561">
        <v>2549.3599500000005</v>
      </c>
      <c r="K5307" s="561">
        <v>1509</v>
      </c>
      <c r="L5307" s="561">
        <v>51989.798999999999</v>
      </c>
      <c r="M5307" s="561">
        <v>51989.798999999999</v>
      </c>
      <c r="N5307" s="561">
        <v>10338.369999999999</v>
      </c>
      <c r="O5307" s="561">
        <v>0</v>
      </c>
      <c r="P5307" s="561">
        <v>41651.428999999996</v>
      </c>
    </row>
    <row r="5308" spans="1:38">
      <c r="C5308" s="561" t="s">
        <v>1197</v>
      </c>
      <c r="D5308" s="561">
        <v>40071.620000000003</v>
      </c>
      <c r="E5308" s="561">
        <v>8849.7199999999993</v>
      </c>
      <c r="F5308" s="561">
        <v>31221.9</v>
      </c>
      <c r="G5308" s="561">
        <v>690</v>
      </c>
      <c r="H5308" s="561">
        <v>42315.890999999996</v>
      </c>
      <c r="I5308" s="561">
        <v>87</v>
      </c>
      <c r="J5308" s="561">
        <v>2337.2218700000003</v>
      </c>
      <c r="K5308" s="561">
        <v>684</v>
      </c>
      <c r="L5308" s="561">
        <v>40071.619999999995</v>
      </c>
      <c r="M5308" s="561">
        <v>40071.619999999995</v>
      </c>
      <c r="N5308" s="561">
        <v>8849.7199999999993</v>
      </c>
      <c r="O5308" s="561">
        <v>0</v>
      </c>
    </row>
    <row r="5309" spans="1:38">
      <c r="C5309" s="561" t="s">
        <v>1199</v>
      </c>
      <c r="D5309" s="561">
        <v>11918.179</v>
      </c>
      <c r="E5309" s="561">
        <v>1488.65</v>
      </c>
      <c r="F5309" s="561">
        <v>10429.529</v>
      </c>
      <c r="G5309" s="561">
        <v>832</v>
      </c>
      <c r="H5309" s="561">
        <v>12148.974999999999</v>
      </c>
      <c r="I5309" s="561">
        <v>46</v>
      </c>
      <c r="J5309" s="561">
        <v>212.13808</v>
      </c>
      <c r="K5309" s="561">
        <v>825</v>
      </c>
      <c r="L5309" s="561">
        <v>11918.179</v>
      </c>
      <c r="M5309" s="561">
        <v>11918.179</v>
      </c>
      <c r="N5309" s="561">
        <v>1488.65</v>
      </c>
      <c r="O5309" s="561">
        <v>0</v>
      </c>
      <c r="AL5309" s="561">
        <v>10429.529</v>
      </c>
    </row>
    <row r="5310" spans="1:38">
      <c r="A5310" s="561">
        <v>31</v>
      </c>
      <c r="B5310" s="561" t="s">
        <v>1680</v>
      </c>
      <c r="C5310" s="561" t="s">
        <v>1267</v>
      </c>
      <c r="D5310" s="561">
        <v>132940.60700000002</v>
      </c>
      <c r="E5310" s="561">
        <v>36346.144</v>
      </c>
      <c r="F5310" s="561">
        <v>96594.463000000003</v>
      </c>
      <c r="G5310" s="561">
        <v>2698</v>
      </c>
      <c r="H5310" s="561">
        <v>137897.34700000001</v>
      </c>
      <c r="I5310" s="561">
        <v>246</v>
      </c>
      <c r="J5310" s="561">
        <v>4991.3144999999995</v>
      </c>
      <c r="K5310" s="561">
        <v>2690</v>
      </c>
      <c r="L5310" s="561">
        <v>132940.60700000002</v>
      </c>
      <c r="M5310" s="561">
        <v>132940.60700000002</v>
      </c>
      <c r="N5310" s="561">
        <v>36346.144</v>
      </c>
      <c r="O5310" s="561">
        <v>0</v>
      </c>
      <c r="P5310" s="561">
        <v>96594.463000000003</v>
      </c>
    </row>
    <row r="5311" spans="1:38">
      <c r="C5311" s="561" t="s">
        <v>1197</v>
      </c>
      <c r="D5311" s="561">
        <v>121428.19900000001</v>
      </c>
      <c r="E5311" s="561">
        <v>34036.144</v>
      </c>
      <c r="F5311" s="561">
        <v>87392.055000000008</v>
      </c>
      <c r="G5311" s="561">
        <v>1955</v>
      </c>
      <c r="H5311" s="561">
        <v>126040.052</v>
      </c>
      <c r="I5311" s="561">
        <v>184</v>
      </c>
      <c r="J5311" s="561">
        <v>4646.2664999999997</v>
      </c>
      <c r="K5311" s="561">
        <v>1949</v>
      </c>
      <c r="L5311" s="561">
        <v>121428.19900000001</v>
      </c>
      <c r="M5311" s="561">
        <v>121428.19900000001</v>
      </c>
      <c r="N5311" s="561">
        <v>34036.144</v>
      </c>
      <c r="O5311" s="561">
        <v>0</v>
      </c>
    </row>
    <row r="5312" spans="1:38">
      <c r="C5312" s="561" t="s">
        <v>1199</v>
      </c>
      <c r="D5312" s="561">
        <v>11512.407999999998</v>
      </c>
      <c r="E5312" s="561">
        <v>2310</v>
      </c>
      <c r="F5312" s="561">
        <v>9202.4079999999976</v>
      </c>
      <c r="G5312" s="561">
        <v>743</v>
      </c>
      <c r="H5312" s="561">
        <v>11857.295</v>
      </c>
      <c r="I5312" s="561">
        <v>62</v>
      </c>
      <c r="J5312" s="561">
        <v>345.04799999999994</v>
      </c>
      <c r="K5312" s="561">
        <v>741</v>
      </c>
      <c r="L5312" s="561">
        <v>11512.407999999998</v>
      </c>
      <c r="M5312" s="561">
        <v>11512.407999999998</v>
      </c>
      <c r="N5312" s="561">
        <v>2310</v>
      </c>
      <c r="O5312" s="561">
        <v>0</v>
      </c>
      <c r="AL5312" s="561">
        <v>9202.4079999999976</v>
      </c>
    </row>
    <row r="5313" spans="1:38">
      <c r="A5313" s="561">
        <v>32</v>
      </c>
      <c r="B5313" s="561" t="s">
        <v>1681</v>
      </c>
      <c r="C5313" s="561" t="s">
        <v>1267</v>
      </c>
      <c r="D5313" s="561">
        <v>168262.65900000004</v>
      </c>
      <c r="E5313" s="561">
        <v>37198.740000000005</v>
      </c>
      <c r="F5313" s="561">
        <v>131063.91900000002</v>
      </c>
      <c r="G5313" s="561">
        <v>3963</v>
      </c>
      <c r="H5313" s="561">
        <v>176705.45900000003</v>
      </c>
      <c r="I5313" s="561">
        <v>407</v>
      </c>
      <c r="J5313" s="561">
        <v>8219.3116300000002</v>
      </c>
      <c r="K5313" s="561">
        <v>3939</v>
      </c>
      <c r="L5313" s="561">
        <v>168262.65900000004</v>
      </c>
      <c r="M5313" s="561">
        <v>168262.65900000004</v>
      </c>
      <c r="N5313" s="561">
        <v>37198.740000000005</v>
      </c>
      <c r="O5313" s="561">
        <v>0</v>
      </c>
      <c r="P5313" s="561">
        <v>131063.91900000002</v>
      </c>
    </row>
    <row r="5314" spans="1:38">
      <c r="C5314" s="561" t="s">
        <v>1197</v>
      </c>
      <c r="D5314" s="561">
        <v>145367.19300000003</v>
      </c>
      <c r="E5314" s="561">
        <v>33023.19</v>
      </c>
      <c r="F5314" s="561">
        <v>112344.00300000003</v>
      </c>
      <c r="G5314" s="561">
        <v>2409</v>
      </c>
      <c r="H5314" s="561">
        <v>152750.75900000002</v>
      </c>
      <c r="I5314" s="561">
        <v>257</v>
      </c>
      <c r="J5314" s="561">
        <v>7234.9122900000002</v>
      </c>
      <c r="K5314" s="561">
        <v>2396</v>
      </c>
      <c r="L5314" s="561">
        <v>145367.19300000003</v>
      </c>
      <c r="M5314" s="561">
        <v>145367.19300000003</v>
      </c>
      <c r="N5314" s="561">
        <v>33023.19</v>
      </c>
      <c r="O5314" s="561">
        <v>0</v>
      </c>
    </row>
    <row r="5315" spans="1:38">
      <c r="C5315" s="561" t="s">
        <v>1199</v>
      </c>
      <c r="D5315" s="561">
        <v>22895.466</v>
      </c>
      <c r="E5315" s="561">
        <v>4175.55</v>
      </c>
      <c r="F5315" s="561">
        <v>18719.916000000001</v>
      </c>
      <c r="G5315" s="561">
        <v>1554</v>
      </c>
      <c r="H5315" s="561">
        <v>23954.7</v>
      </c>
      <c r="I5315" s="561">
        <v>150</v>
      </c>
      <c r="J5315" s="561">
        <v>984.39934000000005</v>
      </c>
      <c r="K5315" s="561">
        <v>1543</v>
      </c>
      <c r="L5315" s="561">
        <v>22895.466</v>
      </c>
      <c r="M5315" s="561">
        <v>22895.466</v>
      </c>
      <c r="N5315" s="561">
        <v>4175.55</v>
      </c>
      <c r="O5315" s="561">
        <v>0</v>
      </c>
      <c r="AL5315" s="561">
        <v>18719.916000000001</v>
      </c>
    </row>
    <row r="5316" spans="1:38">
      <c r="A5316" s="561">
        <v>33</v>
      </c>
      <c r="B5316" s="561" t="s">
        <v>1682</v>
      </c>
      <c r="C5316" s="561" t="s">
        <v>1267</v>
      </c>
      <c r="D5316" s="561">
        <v>232081.92300000001</v>
      </c>
      <c r="E5316" s="561">
        <v>59511.932999999997</v>
      </c>
      <c r="F5316" s="561">
        <v>172569.99</v>
      </c>
      <c r="G5316" s="561">
        <v>4739</v>
      </c>
      <c r="H5316" s="561">
        <v>246198.43600000002</v>
      </c>
      <c r="I5316" s="561">
        <v>588</v>
      </c>
      <c r="J5316" s="561">
        <v>14270.10109</v>
      </c>
      <c r="K5316" s="561">
        <v>4703</v>
      </c>
      <c r="L5316" s="561">
        <v>232081.92300000001</v>
      </c>
      <c r="M5316" s="561">
        <v>232081.92300000001</v>
      </c>
      <c r="N5316" s="561">
        <v>59511.932999999997</v>
      </c>
      <c r="O5316" s="561">
        <v>0</v>
      </c>
      <c r="P5316" s="561">
        <v>172569.99</v>
      </c>
    </row>
    <row r="5317" spans="1:38">
      <c r="C5317" s="561" t="s">
        <v>1197</v>
      </c>
      <c r="D5317" s="561">
        <v>204952.353</v>
      </c>
      <c r="E5317" s="561">
        <v>54172.14</v>
      </c>
      <c r="F5317" s="561">
        <v>150780.21299999999</v>
      </c>
      <c r="G5317" s="561">
        <v>2999</v>
      </c>
      <c r="H5317" s="561">
        <v>217617.74400000001</v>
      </c>
      <c r="I5317" s="561">
        <v>419</v>
      </c>
      <c r="J5317" s="561">
        <v>12961.65574</v>
      </c>
      <c r="K5317" s="561">
        <v>2982</v>
      </c>
      <c r="L5317" s="561">
        <v>204952.353</v>
      </c>
      <c r="M5317" s="561">
        <v>204952.353</v>
      </c>
      <c r="N5317" s="561">
        <v>54172.14</v>
      </c>
      <c r="O5317" s="561">
        <v>0</v>
      </c>
    </row>
    <row r="5318" spans="1:38">
      <c r="C5318" s="561" t="s">
        <v>1199</v>
      </c>
      <c r="D5318" s="561">
        <v>27129.57</v>
      </c>
      <c r="E5318" s="561">
        <v>5339.7929999999997</v>
      </c>
      <c r="F5318" s="561">
        <v>21789.777000000002</v>
      </c>
      <c r="G5318" s="561">
        <v>1740</v>
      </c>
      <c r="H5318" s="561">
        <v>28580.692000000003</v>
      </c>
      <c r="I5318" s="561">
        <v>169</v>
      </c>
      <c r="J5318" s="561">
        <v>1308.44535</v>
      </c>
      <c r="K5318" s="561">
        <v>1721</v>
      </c>
      <c r="L5318" s="561">
        <v>27129.57</v>
      </c>
      <c r="M5318" s="561">
        <v>27129.57</v>
      </c>
      <c r="N5318" s="561">
        <v>5339.7929999999997</v>
      </c>
      <c r="O5318" s="561">
        <v>0</v>
      </c>
      <c r="AL5318" s="561">
        <v>21789.777000000002</v>
      </c>
    </row>
    <row r="5319" spans="1:38">
      <c r="A5319" s="561">
        <v>34</v>
      </c>
      <c r="B5319" s="561" t="s">
        <v>1683</v>
      </c>
      <c r="C5319" s="561" t="s">
        <v>1267</v>
      </c>
      <c r="D5319" s="561">
        <v>123041.704</v>
      </c>
      <c r="E5319" s="561">
        <v>21656.589</v>
      </c>
      <c r="F5319" s="561">
        <v>101385.11500000001</v>
      </c>
      <c r="G5319" s="561">
        <v>2626</v>
      </c>
      <c r="H5319" s="561">
        <v>130972.878</v>
      </c>
      <c r="I5319" s="561">
        <v>349</v>
      </c>
      <c r="J5319" s="561">
        <v>8257.9906199999987</v>
      </c>
      <c r="K5319" s="561">
        <v>2613</v>
      </c>
      <c r="L5319" s="561">
        <v>123041.704</v>
      </c>
      <c r="M5319" s="561">
        <v>123041.704</v>
      </c>
      <c r="N5319" s="561">
        <v>21656.589</v>
      </c>
      <c r="O5319" s="561">
        <v>0</v>
      </c>
      <c r="P5319" s="561">
        <v>101385.11500000001</v>
      </c>
    </row>
    <row r="5320" spans="1:38">
      <c r="C5320" s="561" t="s">
        <v>1197</v>
      </c>
      <c r="D5320" s="561">
        <v>110722.811</v>
      </c>
      <c r="E5320" s="561">
        <v>19890.828000000001</v>
      </c>
      <c r="F5320" s="561">
        <v>90831.983000000007</v>
      </c>
      <c r="G5320" s="561">
        <v>1840</v>
      </c>
      <c r="H5320" s="561">
        <v>118164.148</v>
      </c>
      <c r="I5320" s="561">
        <v>258</v>
      </c>
      <c r="J5320" s="561">
        <v>7614.8651999999993</v>
      </c>
      <c r="K5320" s="561">
        <v>1832</v>
      </c>
      <c r="L5320" s="561">
        <v>110722.811</v>
      </c>
      <c r="M5320" s="561">
        <v>110722.811</v>
      </c>
      <c r="N5320" s="561">
        <v>19890.828000000001</v>
      </c>
      <c r="O5320" s="561">
        <v>0</v>
      </c>
    </row>
    <row r="5321" spans="1:38">
      <c r="C5321" s="561" t="s">
        <v>1199</v>
      </c>
      <c r="D5321" s="561">
        <v>12318.893000000004</v>
      </c>
      <c r="E5321" s="561">
        <v>1765.761</v>
      </c>
      <c r="F5321" s="561">
        <v>10553.132000000003</v>
      </c>
      <c r="G5321" s="561">
        <v>786</v>
      </c>
      <c r="H5321" s="561">
        <v>12808.73</v>
      </c>
      <c r="I5321" s="561">
        <v>91</v>
      </c>
      <c r="J5321" s="561">
        <v>643.12542000000008</v>
      </c>
      <c r="K5321" s="561">
        <v>781</v>
      </c>
      <c r="L5321" s="561">
        <v>12318.893000000004</v>
      </c>
      <c r="M5321" s="561">
        <v>12318.893000000004</v>
      </c>
      <c r="N5321" s="561">
        <v>1765.761</v>
      </c>
      <c r="O5321" s="561">
        <v>0</v>
      </c>
      <c r="AL5321" s="561">
        <v>10553.132000000003</v>
      </c>
    </row>
    <row r="5322" spans="1:38">
      <c r="A5322" s="561">
        <v>35</v>
      </c>
      <c r="B5322" s="561" t="s">
        <v>1684</v>
      </c>
      <c r="C5322" s="561" t="s">
        <v>1267</v>
      </c>
      <c r="D5322" s="561">
        <v>50376.141000000003</v>
      </c>
      <c r="E5322" s="561">
        <v>14105.157999999999</v>
      </c>
      <c r="F5322" s="561">
        <v>36270.983000000007</v>
      </c>
      <c r="G5322" s="561">
        <v>714</v>
      </c>
      <c r="H5322" s="561">
        <v>50628.858999999997</v>
      </c>
      <c r="I5322" s="561">
        <v>7</v>
      </c>
      <c r="J5322" s="561">
        <v>252.71899999999999</v>
      </c>
      <c r="K5322" s="561">
        <v>713</v>
      </c>
      <c r="L5322" s="561">
        <v>50376.141000000003</v>
      </c>
      <c r="M5322" s="561">
        <v>50376.141000000003</v>
      </c>
      <c r="N5322" s="561">
        <v>14105.157999999999</v>
      </c>
      <c r="O5322" s="561">
        <v>0</v>
      </c>
      <c r="P5322" s="561">
        <v>36270.983000000007</v>
      </c>
    </row>
    <row r="5323" spans="1:38">
      <c r="C5323" s="561" t="s">
        <v>1197</v>
      </c>
      <c r="D5323" s="561">
        <v>50376.141000000003</v>
      </c>
      <c r="E5323" s="561">
        <v>14105.157999999999</v>
      </c>
      <c r="F5323" s="561">
        <v>36270.983000000007</v>
      </c>
      <c r="G5323" s="561">
        <v>714</v>
      </c>
      <c r="H5323" s="561">
        <v>50628.858999999997</v>
      </c>
      <c r="I5323" s="561">
        <v>7</v>
      </c>
      <c r="J5323" s="561">
        <v>252.71899999999999</v>
      </c>
      <c r="K5323" s="561">
        <v>713</v>
      </c>
      <c r="L5323" s="561">
        <v>50376.141000000003</v>
      </c>
      <c r="M5323" s="561">
        <v>50376.141000000003</v>
      </c>
      <c r="N5323" s="561">
        <v>14105.157999999999</v>
      </c>
      <c r="O5323" s="561">
        <v>0</v>
      </c>
    </row>
    <row r="5324" spans="1:38">
      <c r="C5324" s="561" t="s">
        <v>1199</v>
      </c>
      <c r="D5324" s="561">
        <v>0</v>
      </c>
      <c r="F5324" s="561">
        <v>0</v>
      </c>
      <c r="G5324" s="561">
        <v>0</v>
      </c>
      <c r="H5324" s="561">
        <v>0</v>
      </c>
      <c r="I5324" s="561">
        <v>0</v>
      </c>
      <c r="J5324" s="561">
        <v>0</v>
      </c>
      <c r="K5324" s="561">
        <v>0</v>
      </c>
      <c r="L5324" s="561">
        <v>0</v>
      </c>
      <c r="M5324" s="561">
        <v>0</v>
      </c>
      <c r="N5324" s="561">
        <v>0</v>
      </c>
      <c r="O5324" s="561">
        <v>0</v>
      </c>
      <c r="P5324" s="561">
        <v>0</v>
      </c>
    </row>
    <row r="5325" spans="1:38">
      <c r="A5325" s="561">
        <v>36</v>
      </c>
      <c r="B5325" s="561" t="s">
        <v>1685</v>
      </c>
      <c r="C5325" s="561" t="s">
        <v>1267</v>
      </c>
      <c r="D5325" s="561">
        <v>239394.37700000004</v>
      </c>
      <c r="E5325" s="561">
        <v>67311.686000000002</v>
      </c>
      <c r="F5325" s="561">
        <v>172082.69100000002</v>
      </c>
      <c r="G5325" s="561">
        <v>5185</v>
      </c>
      <c r="H5325" s="561">
        <v>246295.31200000001</v>
      </c>
      <c r="I5325" s="561">
        <v>260</v>
      </c>
      <c r="J5325" s="561">
        <v>7216.7241299999996</v>
      </c>
      <c r="K5325" s="561">
        <v>5143</v>
      </c>
      <c r="L5325" s="561">
        <v>239394.37700000004</v>
      </c>
      <c r="M5325" s="561">
        <v>239394.37700000004</v>
      </c>
      <c r="N5325" s="561">
        <v>67311.686000000002</v>
      </c>
      <c r="O5325" s="561">
        <v>0</v>
      </c>
      <c r="P5325" s="561">
        <v>172082.69100000002</v>
      </c>
    </row>
    <row r="5326" spans="1:38">
      <c r="C5326" s="561" t="s">
        <v>1197</v>
      </c>
      <c r="D5326" s="561">
        <v>201218.07600000003</v>
      </c>
      <c r="E5326" s="561">
        <v>59127.686000000002</v>
      </c>
      <c r="F5326" s="561">
        <v>142090.39000000001</v>
      </c>
      <c r="G5326" s="561">
        <v>2654</v>
      </c>
      <c r="H5326" s="561">
        <v>207602.07500000001</v>
      </c>
      <c r="I5326" s="561">
        <v>168</v>
      </c>
      <c r="J5326" s="561">
        <v>6699.7872399999997</v>
      </c>
      <c r="K5326" s="561">
        <v>2618</v>
      </c>
      <c r="L5326" s="561">
        <v>201218.07600000003</v>
      </c>
      <c r="M5326" s="561">
        <v>201218.07600000003</v>
      </c>
      <c r="N5326" s="561">
        <v>59127.686000000002</v>
      </c>
      <c r="O5326" s="561">
        <v>0</v>
      </c>
    </row>
    <row r="5327" spans="1:38">
      <c r="C5327" s="561" t="s">
        <v>1199</v>
      </c>
      <c r="D5327" s="561">
        <v>38176.300999999999</v>
      </c>
      <c r="E5327" s="561">
        <v>8184</v>
      </c>
      <c r="F5327" s="561">
        <v>29992.300999999999</v>
      </c>
      <c r="G5327" s="561">
        <v>2531</v>
      </c>
      <c r="H5327" s="561">
        <v>38693.237000000001</v>
      </c>
      <c r="I5327" s="561">
        <v>92</v>
      </c>
      <c r="J5327" s="561">
        <v>516.93688999999995</v>
      </c>
      <c r="K5327" s="561">
        <v>2525</v>
      </c>
      <c r="L5327" s="561">
        <v>38176.300999999999</v>
      </c>
      <c r="M5327" s="561">
        <v>38176.300999999999</v>
      </c>
      <c r="N5327" s="561">
        <v>8184</v>
      </c>
      <c r="O5327" s="561">
        <v>0</v>
      </c>
      <c r="AL5327" s="561">
        <v>29992.300999999999</v>
      </c>
    </row>
    <row r="5328" spans="1:38">
      <c r="A5328" s="561">
        <v>37</v>
      </c>
      <c r="B5328" s="561" t="s">
        <v>1686</v>
      </c>
      <c r="C5328" s="561" t="s">
        <v>1267</v>
      </c>
      <c r="D5328" s="561">
        <v>99214.097999999998</v>
      </c>
      <c r="E5328" s="561">
        <v>30581.569</v>
      </c>
      <c r="F5328" s="561">
        <v>68632.52900000001</v>
      </c>
      <c r="G5328" s="561">
        <v>1641</v>
      </c>
      <c r="H5328" s="561">
        <v>100284.13300000002</v>
      </c>
      <c r="I5328" s="561">
        <v>44</v>
      </c>
      <c r="J5328" s="561">
        <v>1151.7079229999999</v>
      </c>
      <c r="K5328" s="561">
        <v>1632</v>
      </c>
      <c r="L5328" s="561">
        <v>99214.097999999998</v>
      </c>
      <c r="M5328" s="561">
        <v>99214.097999999998</v>
      </c>
      <c r="N5328" s="561">
        <v>30581.569</v>
      </c>
      <c r="O5328" s="561">
        <v>0</v>
      </c>
      <c r="P5328" s="561">
        <v>68632.52900000001</v>
      </c>
    </row>
    <row r="5329" spans="1:77">
      <c r="C5329" s="561" t="s">
        <v>1197</v>
      </c>
      <c r="D5329" s="561">
        <v>95089.078999999998</v>
      </c>
      <c r="E5329" s="561">
        <v>30050.263999999999</v>
      </c>
      <c r="F5329" s="561">
        <v>65038.815000000002</v>
      </c>
      <c r="G5329" s="561">
        <v>1390</v>
      </c>
      <c r="H5329" s="561">
        <v>96043.878000000012</v>
      </c>
      <c r="I5329" s="561">
        <v>32</v>
      </c>
      <c r="J5329" s="561">
        <v>1036.47137</v>
      </c>
      <c r="K5329" s="561">
        <v>1388</v>
      </c>
      <c r="L5329" s="561">
        <v>95089.078999999998</v>
      </c>
      <c r="M5329" s="561">
        <v>95089.078999999998</v>
      </c>
      <c r="N5329" s="561">
        <v>30050.263999999999</v>
      </c>
      <c r="O5329" s="561">
        <v>0</v>
      </c>
    </row>
    <row r="5330" spans="1:77">
      <c r="C5330" s="561" t="s">
        <v>1199</v>
      </c>
      <c r="D5330" s="561">
        <v>4125.0190000000002</v>
      </c>
      <c r="E5330" s="561">
        <v>531.30499999999995</v>
      </c>
      <c r="F5330" s="561">
        <v>3593.7140000000004</v>
      </c>
      <c r="G5330" s="561">
        <v>251</v>
      </c>
      <c r="H5330" s="561">
        <v>4240.2550000000001</v>
      </c>
      <c r="I5330" s="561">
        <v>12</v>
      </c>
      <c r="J5330" s="561">
        <v>115.23655299999999</v>
      </c>
      <c r="K5330" s="561">
        <v>244</v>
      </c>
      <c r="L5330" s="561">
        <v>4125.0190000000002</v>
      </c>
      <c r="M5330" s="561">
        <v>4125.0190000000002</v>
      </c>
      <c r="N5330" s="561">
        <v>531.30499999999995</v>
      </c>
      <c r="O5330" s="561">
        <v>0</v>
      </c>
      <c r="AL5330" s="561">
        <v>3593.7140000000004</v>
      </c>
    </row>
    <row r="5331" spans="1:77">
      <c r="A5331" s="561">
        <v>38</v>
      </c>
      <c r="B5331" s="561" t="s">
        <v>1687</v>
      </c>
      <c r="C5331" s="561" t="s">
        <v>1267</v>
      </c>
      <c r="D5331" s="561">
        <v>85663.861999999994</v>
      </c>
      <c r="E5331" s="561">
        <v>21711.712</v>
      </c>
      <c r="F5331" s="561">
        <v>63952.149999999994</v>
      </c>
      <c r="G5331" s="561">
        <v>6711</v>
      </c>
      <c r="H5331" s="561">
        <v>88523.364000000001</v>
      </c>
      <c r="I5331" s="561">
        <v>363</v>
      </c>
      <c r="J5331" s="561">
        <v>2863.1284899999996</v>
      </c>
      <c r="K5331" s="561">
        <v>6661</v>
      </c>
      <c r="L5331" s="561">
        <v>85663.861999999994</v>
      </c>
      <c r="M5331" s="561">
        <v>85663.861999999994</v>
      </c>
      <c r="N5331" s="561">
        <v>21711.712</v>
      </c>
      <c r="O5331" s="561">
        <v>0</v>
      </c>
      <c r="P5331" s="561">
        <v>63952.149999999994</v>
      </c>
    </row>
    <row r="5332" spans="1:77">
      <c r="C5332" s="561" t="s">
        <v>1197</v>
      </c>
      <c r="D5332" s="561">
        <v>0</v>
      </c>
      <c r="F5332" s="561">
        <v>0</v>
      </c>
      <c r="G5332" s="561">
        <v>0</v>
      </c>
      <c r="H5332" s="561">
        <v>0</v>
      </c>
      <c r="I5332" s="561">
        <v>0</v>
      </c>
      <c r="J5332" s="561">
        <v>0</v>
      </c>
      <c r="K5332" s="561">
        <v>0</v>
      </c>
      <c r="L5332" s="561">
        <v>0</v>
      </c>
      <c r="M5332" s="561">
        <v>0</v>
      </c>
      <c r="N5332" s="561">
        <v>0</v>
      </c>
      <c r="O5332" s="561">
        <v>0</v>
      </c>
      <c r="P5332" s="561">
        <v>0</v>
      </c>
    </row>
    <row r="5333" spans="1:77">
      <c r="C5333" s="561" t="s">
        <v>1199</v>
      </c>
      <c r="D5333" s="561">
        <v>85663.861999999994</v>
      </c>
      <c r="E5333" s="561">
        <v>21711.712</v>
      </c>
      <c r="F5333" s="561">
        <v>63952.149999999994</v>
      </c>
      <c r="G5333" s="561">
        <v>6711</v>
      </c>
      <c r="H5333" s="561">
        <v>88523.364000000001</v>
      </c>
      <c r="I5333" s="561">
        <v>363</v>
      </c>
      <c r="J5333" s="561">
        <v>2863.1284899999996</v>
      </c>
      <c r="K5333" s="561">
        <v>6661</v>
      </c>
      <c r="L5333" s="561">
        <v>85663.861999999994</v>
      </c>
      <c r="M5333" s="561">
        <v>85663.861999999994</v>
      </c>
      <c r="N5333" s="561">
        <v>21711.712</v>
      </c>
      <c r="O5333" s="561">
        <v>0</v>
      </c>
      <c r="BY5333" s="561">
        <v>63952.149999999994</v>
      </c>
    </row>
    <row r="5334" spans="1:77">
      <c r="A5334" s="561">
        <v>39</v>
      </c>
      <c r="B5334" s="561" t="s">
        <v>1688</v>
      </c>
      <c r="C5334" s="561" t="s">
        <v>1267</v>
      </c>
      <c r="D5334" s="561">
        <v>54852.827000000005</v>
      </c>
      <c r="E5334" s="561">
        <v>16458.93</v>
      </c>
      <c r="F5334" s="561">
        <v>38393.897000000004</v>
      </c>
      <c r="G5334" s="561">
        <v>3789</v>
      </c>
      <c r="H5334" s="561">
        <v>55356.088000000003</v>
      </c>
      <c r="I5334" s="561">
        <v>116</v>
      </c>
      <c r="J5334" s="561">
        <v>507.22218000000004</v>
      </c>
      <c r="K5334" s="561">
        <v>3781</v>
      </c>
      <c r="L5334" s="561">
        <v>54852.827000000005</v>
      </c>
      <c r="M5334" s="561">
        <v>54852.827000000005</v>
      </c>
      <c r="N5334" s="561">
        <v>16458.93</v>
      </c>
      <c r="O5334" s="561">
        <v>0</v>
      </c>
      <c r="P5334" s="561">
        <v>38393.897000000004</v>
      </c>
    </row>
    <row r="5335" spans="1:77">
      <c r="C5335" s="561" t="s">
        <v>1197</v>
      </c>
      <c r="D5335" s="561">
        <v>0</v>
      </c>
      <c r="F5335" s="561">
        <v>0</v>
      </c>
      <c r="G5335" s="561">
        <v>0</v>
      </c>
      <c r="H5335" s="561">
        <v>0</v>
      </c>
      <c r="I5335" s="561">
        <v>0</v>
      </c>
      <c r="J5335" s="561">
        <v>0</v>
      </c>
      <c r="K5335" s="561">
        <v>0</v>
      </c>
      <c r="L5335" s="561">
        <v>0</v>
      </c>
      <c r="M5335" s="561">
        <v>0</v>
      </c>
      <c r="N5335" s="561">
        <v>0</v>
      </c>
      <c r="O5335" s="561">
        <v>0</v>
      </c>
      <c r="P5335" s="561">
        <v>0</v>
      </c>
    </row>
    <row r="5336" spans="1:77">
      <c r="C5336" s="561" t="s">
        <v>1199</v>
      </c>
      <c r="D5336" s="561">
        <v>54852.827000000005</v>
      </c>
      <c r="E5336" s="561">
        <v>16458.93</v>
      </c>
      <c r="F5336" s="561">
        <v>38393.897000000004</v>
      </c>
      <c r="G5336" s="561">
        <v>3789</v>
      </c>
      <c r="H5336" s="561">
        <v>55356.088000000003</v>
      </c>
      <c r="I5336" s="561">
        <v>116</v>
      </c>
      <c r="J5336" s="561">
        <v>507.22218000000004</v>
      </c>
      <c r="K5336" s="561">
        <v>3781</v>
      </c>
      <c r="L5336" s="561">
        <v>54852.827000000005</v>
      </c>
      <c r="M5336" s="561">
        <v>54852.827000000005</v>
      </c>
      <c r="N5336" s="561">
        <v>16458.93</v>
      </c>
      <c r="O5336" s="561">
        <v>0</v>
      </c>
      <c r="BY5336" s="561">
        <v>38393.897000000004</v>
      </c>
    </row>
    <row r="5337" spans="1:77">
      <c r="A5337" s="561">
        <v>40</v>
      </c>
      <c r="B5337" s="561" t="s">
        <v>1689</v>
      </c>
      <c r="C5337" s="561" t="s">
        <v>1267</v>
      </c>
      <c r="D5337" s="561">
        <v>64964.036999999997</v>
      </c>
      <c r="E5337" s="561">
        <v>18560.07</v>
      </c>
      <c r="F5337" s="561">
        <v>46403.966999999997</v>
      </c>
      <c r="G5337" s="561">
        <v>4810</v>
      </c>
      <c r="H5337" s="561">
        <v>65837.672999999995</v>
      </c>
      <c r="I5337" s="561">
        <v>173</v>
      </c>
      <c r="J5337" s="561">
        <v>877.75666999999999</v>
      </c>
      <c r="K5337" s="561">
        <v>4779</v>
      </c>
      <c r="L5337" s="561">
        <v>64964.036999999997</v>
      </c>
      <c r="M5337" s="561">
        <v>64964.036999999997</v>
      </c>
      <c r="N5337" s="561">
        <v>18560.07</v>
      </c>
      <c r="O5337" s="561">
        <v>0</v>
      </c>
      <c r="P5337" s="561">
        <v>46403.966999999997</v>
      </c>
    </row>
    <row r="5338" spans="1:77">
      <c r="C5338" s="561" t="s">
        <v>1197</v>
      </c>
      <c r="D5338" s="561">
        <v>0</v>
      </c>
      <c r="F5338" s="561">
        <v>0</v>
      </c>
      <c r="G5338" s="561">
        <v>0</v>
      </c>
      <c r="H5338" s="561">
        <v>0</v>
      </c>
      <c r="I5338" s="561">
        <v>0</v>
      </c>
      <c r="J5338" s="561">
        <v>0</v>
      </c>
      <c r="K5338" s="561">
        <v>0</v>
      </c>
      <c r="L5338" s="561">
        <v>0</v>
      </c>
      <c r="M5338" s="561">
        <v>0</v>
      </c>
      <c r="N5338" s="561">
        <v>0</v>
      </c>
      <c r="O5338" s="561">
        <v>0</v>
      </c>
      <c r="P5338" s="561">
        <v>0</v>
      </c>
    </row>
    <row r="5339" spans="1:77">
      <c r="C5339" s="561" t="s">
        <v>1199</v>
      </c>
      <c r="D5339" s="561">
        <v>64964.036999999997</v>
      </c>
      <c r="E5339" s="561">
        <v>18560.07</v>
      </c>
      <c r="F5339" s="561">
        <v>46403.966999999997</v>
      </c>
      <c r="G5339" s="561">
        <v>4810</v>
      </c>
      <c r="H5339" s="561">
        <v>65837.672999999995</v>
      </c>
      <c r="I5339" s="561">
        <v>173</v>
      </c>
      <c r="J5339" s="561">
        <v>877.75666999999999</v>
      </c>
      <c r="K5339" s="561">
        <v>4779</v>
      </c>
      <c r="L5339" s="561">
        <v>64964.036999999997</v>
      </c>
      <c r="M5339" s="561">
        <v>64964.036999999997</v>
      </c>
      <c r="N5339" s="561">
        <v>18560.07</v>
      </c>
      <c r="O5339" s="561">
        <v>0</v>
      </c>
      <c r="BY5339" s="561">
        <v>46403.966999999997</v>
      </c>
    </row>
    <row r="5340" spans="1:77">
      <c r="A5340" s="561">
        <v>41</v>
      </c>
      <c r="B5340" s="561" t="s">
        <v>1690</v>
      </c>
      <c r="C5340" s="561" t="s">
        <v>1267</v>
      </c>
      <c r="D5340" s="561">
        <v>23744.665999999997</v>
      </c>
      <c r="E5340" s="561">
        <v>5867.982</v>
      </c>
      <c r="F5340" s="561">
        <v>17876.683999999997</v>
      </c>
      <c r="G5340" s="561">
        <v>1975</v>
      </c>
      <c r="H5340" s="561">
        <v>25468.452000000001</v>
      </c>
      <c r="I5340" s="561">
        <v>206</v>
      </c>
      <c r="J5340" s="561">
        <v>1660.6350199999997</v>
      </c>
      <c r="K5340" s="561">
        <v>1961</v>
      </c>
      <c r="L5340" s="561">
        <v>23744.665999999997</v>
      </c>
      <c r="M5340" s="561">
        <v>23744.665999999997</v>
      </c>
      <c r="N5340" s="561">
        <v>5867.982</v>
      </c>
      <c r="O5340" s="561">
        <v>0</v>
      </c>
      <c r="P5340" s="561">
        <v>17876.683999999997</v>
      </c>
    </row>
    <row r="5341" spans="1:77">
      <c r="C5341" s="561" t="s">
        <v>1197</v>
      </c>
      <c r="D5341" s="561">
        <v>0</v>
      </c>
      <c r="F5341" s="561">
        <v>0</v>
      </c>
      <c r="G5341" s="561">
        <v>0</v>
      </c>
      <c r="H5341" s="561">
        <v>0</v>
      </c>
      <c r="I5341" s="561">
        <v>0</v>
      </c>
      <c r="J5341" s="561">
        <v>0</v>
      </c>
      <c r="K5341" s="561">
        <v>0</v>
      </c>
      <c r="L5341" s="561">
        <v>0</v>
      </c>
      <c r="M5341" s="561">
        <v>0</v>
      </c>
      <c r="N5341" s="561">
        <v>0</v>
      </c>
      <c r="O5341" s="561">
        <v>0</v>
      </c>
      <c r="P5341" s="561">
        <v>0</v>
      </c>
    </row>
    <row r="5342" spans="1:77">
      <c r="C5342" s="561" t="s">
        <v>1199</v>
      </c>
      <c r="D5342" s="561">
        <v>23744.665999999997</v>
      </c>
      <c r="E5342" s="561">
        <v>5867.982</v>
      </c>
      <c r="F5342" s="561">
        <v>17876.683999999997</v>
      </c>
      <c r="G5342" s="561">
        <v>1975</v>
      </c>
      <c r="H5342" s="561">
        <v>25468.452000000001</v>
      </c>
      <c r="I5342" s="561">
        <v>206</v>
      </c>
      <c r="J5342" s="561">
        <v>1660.6350199999997</v>
      </c>
      <c r="K5342" s="561">
        <v>1961</v>
      </c>
      <c r="L5342" s="561">
        <v>23744.665999999997</v>
      </c>
      <c r="M5342" s="561">
        <v>23744.665999999997</v>
      </c>
      <c r="N5342" s="561">
        <v>5867.982</v>
      </c>
      <c r="O5342" s="561">
        <v>0</v>
      </c>
      <c r="BY5342" s="561">
        <v>17876.683999999997</v>
      </c>
    </row>
    <row r="5343" spans="1:77">
      <c r="A5343" s="561">
        <v>42</v>
      </c>
      <c r="B5343" s="561" t="s">
        <v>1691</v>
      </c>
      <c r="C5343" s="561" t="s">
        <v>1267</v>
      </c>
      <c r="D5343" s="561">
        <v>57743.453000000001</v>
      </c>
      <c r="E5343" s="561">
        <v>15840</v>
      </c>
      <c r="F5343" s="561">
        <v>41903.453000000001</v>
      </c>
      <c r="G5343" s="561">
        <v>4289</v>
      </c>
      <c r="H5343" s="561">
        <v>60328.903999999995</v>
      </c>
      <c r="I5343" s="561">
        <v>480</v>
      </c>
      <c r="J5343" s="561">
        <v>2585.0742700000001</v>
      </c>
      <c r="K5343" s="561">
        <v>4211</v>
      </c>
      <c r="L5343" s="561">
        <v>57743.453000000001</v>
      </c>
      <c r="M5343" s="561">
        <v>57743.453000000001</v>
      </c>
      <c r="N5343" s="561">
        <v>15840</v>
      </c>
      <c r="O5343" s="561">
        <v>0</v>
      </c>
      <c r="P5343" s="561">
        <v>41903.453000000001</v>
      </c>
    </row>
    <row r="5344" spans="1:77">
      <c r="C5344" s="561" t="s">
        <v>1197</v>
      </c>
      <c r="D5344" s="561">
        <v>0</v>
      </c>
      <c r="F5344" s="561">
        <v>0</v>
      </c>
      <c r="G5344" s="561">
        <v>0</v>
      </c>
      <c r="H5344" s="561">
        <v>0</v>
      </c>
      <c r="I5344" s="561">
        <v>0</v>
      </c>
      <c r="J5344" s="561">
        <v>0</v>
      </c>
      <c r="K5344" s="561">
        <v>0</v>
      </c>
      <c r="L5344" s="561">
        <v>0</v>
      </c>
      <c r="M5344" s="561">
        <v>0</v>
      </c>
      <c r="N5344" s="561">
        <v>0</v>
      </c>
      <c r="O5344" s="561">
        <v>0</v>
      </c>
      <c r="P5344" s="561">
        <v>0</v>
      </c>
    </row>
    <row r="5345" spans="1:111">
      <c r="C5345" s="561" t="s">
        <v>1199</v>
      </c>
      <c r="D5345" s="561">
        <v>57743.453000000001</v>
      </c>
      <c r="E5345" s="561">
        <v>15840</v>
      </c>
      <c r="F5345" s="561">
        <v>41903.453000000001</v>
      </c>
      <c r="G5345" s="561">
        <v>4289</v>
      </c>
      <c r="H5345" s="561">
        <v>60328.903999999995</v>
      </c>
      <c r="I5345" s="561">
        <v>480</v>
      </c>
      <c r="J5345" s="561">
        <v>2585.0742700000001</v>
      </c>
      <c r="K5345" s="561">
        <v>4211</v>
      </c>
      <c r="L5345" s="561">
        <v>57743.453000000001</v>
      </c>
      <c r="M5345" s="561">
        <v>57743.453000000001</v>
      </c>
      <c r="N5345" s="561">
        <v>15840</v>
      </c>
      <c r="O5345" s="561">
        <v>0</v>
      </c>
      <c r="BY5345" s="561">
        <v>41903.453000000001</v>
      </c>
    </row>
    <row r="5346" spans="1:111">
      <c r="A5346" s="561">
        <v>43</v>
      </c>
      <c r="B5346" s="561" t="s">
        <v>1692</v>
      </c>
      <c r="C5346" s="561" t="s">
        <v>1267</v>
      </c>
      <c r="D5346" s="561">
        <v>29798.639999999999</v>
      </c>
      <c r="E5346" s="561">
        <v>9240</v>
      </c>
      <c r="F5346" s="561">
        <v>20558.64</v>
      </c>
      <c r="G5346" s="561">
        <v>2591</v>
      </c>
      <c r="H5346" s="561">
        <v>30822.370000000003</v>
      </c>
      <c r="I5346" s="561">
        <v>220</v>
      </c>
      <c r="J5346" s="561">
        <v>1026.9284299999999</v>
      </c>
      <c r="K5346" s="561">
        <v>2568</v>
      </c>
      <c r="L5346" s="561">
        <v>29798.639999999999</v>
      </c>
      <c r="M5346" s="561">
        <v>29798.639999999999</v>
      </c>
      <c r="N5346" s="561">
        <v>9240</v>
      </c>
      <c r="O5346" s="561">
        <v>0</v>
      </c>
      <c r="P5346" s="561">
        <v>20558.64</v>
      </c>
    </row>
    <row r="5347" spans="1:111">
      <c r="C5347" s="561" t="s">
        <v>1197</v>
      </c>
      <c r="D5347" s="561">
        <v>0</v>
      </c>
      <c r="F5347" s="561">
        <v>0</v>
      </c>
      <c r="G5347" s="561">
        <v>0</v>
      </c>
      <c r="H5347" s="561">
        <v>0</v>
      </c>
      <c r="I5347" s="561">
        <v>0</v>
      </c>
      <c r="J5347" s="561">
        <v>0</v>
      </c>
      <c r="K5347" s="561">
        <v>0</v>
      </c>
      <c r="L5347" s="561">
        <v>0</v>
      </c>
      <c r="M5347" s="561">
        <v>0</v>
      </c>
      <c r="N5347" s="561">
        <v>0</v>
      </c>
      <c r="O5347" s="561">
        <v>0</v>
      </c>
      <c r="P5347" s="561">
        <v>0</v>
      </c>
    </row>
    <row r="5348" spans="1:111">
      <c r="C5348" s="561" t="s">
        <v>1199</v>
      </c>
      <c r="D5348" s="561">
        <v>29798.639999999999</v>
      </c>
      <c r="E5348" s="561">
        <v>9240</v>
      </c>
      <c r="F5348" s="561">
        <v>20558.64</v>
      </c>
      <c r="G5348" s="561">
        <v>2591</v>
      </c>
      <c r="H5348" s="561">
        <v>30822.370000000003</v>
      </c>
      <c r="I5348" s="561">
        <v>220</v>
      </c>
      <c r="J5348" s="561">
        <v>1026.9284299999999</v>
      </c>
      <c r="K5348" s="561">
        <v>2568</v>
      </c>
      <c r="L5348" s="561">
        <v>29798.639999999999</v>
      </c>
      <c r="M5348" s="561">
        <v>29798.639999999999</v>
      </c>
      <c r="N5348" s="561">
        <v>9240</v>
      </c>
      <c r="O5348" s="561">
        <v>0</v>
      </c>
      <c r="BY5348" s="561">
        <v>20558.64</v>
      </c>
    </row>
    <row r="5349" spans="1:111">
      <c r="A5349" s="561">
        <v>44</v>
      </c>
      <c r="B5349" s="561" t="s">
        <v>1693</v>
      </c>
      <c r="C5349" s="561" t="s">
        <v>1267</v>
      </c>
      <c r="D5349" s="561">
        <v>2585.1670000000004</v>
      </c>
      <c r="E5349" s="561">
        <v>1219.1969999999999</v>
      </c>
      <c r="F5349" s="561">
        <v>1365.9700000000005</v>
      </c>
      <c r="G5349" s="561">
        <v>219</v>
      </c>
      <c r="H5349" s="561">
        <v>2911.9790000000003</v>
      </c>
      <c r="I5349" s="561">
        <v>36</v>
      </c>
      <c r="J5349" s="561">
        <v>326.81344000000001</v>
      </c>
      <c r="K5349" s="561">
        <v>219</v>
      </c>
      <c r="L5349" s="561">
        <v>2585.1670000000004</v>
      </c>
      <c r="M5349" s="561">
        <v>2585.1670000000004</v>
      </c>
      <c r="N5349" s="561">
        <v>1219.1969999999999</v>
      </c>
      <c r="O5349" s="561">
        <v>0</v>
      </c>
      <c r="P5349" s="561">
        <v>1365.9700000000005</v>
      </c>
    </row>
    <row r="5350" spans="1:111">
      <c r="C5350" s="561" t="s">
        <v>1197</v>
      </c>
      <c r="D5350" s="561">
        <v>0</v>
      </c>
      <c r="F5350" s="561">
        <v>0</v>
      </c>
      <c r="G5350" s="561">
        <v>0</v>
      </c>
      <c r="H5350" s="561">
        <v>0</v>
      </c>
      <c r="I5350" s="561">
        <v>0</v>
      </c>
      <c r="J5350" s="561">
        <v>0</v>
      </c>
      <c r="K5350" s="561">
        <v>0</v>
      </c>
      <c r="L5350" s="561">
        <v>0</v>
      </c>
      <c r="M5350" s="561">
        <v>0</v>
      </c>
      <c r="N5350" s="561">
        <v>0</v>
      </c>
      <c r="O5350" s="561">
        <v>0</v>
      </c>
      <c r="P5350" s="561">
        <v>0</v>
      </c>
    </row>
    <row r="5351" spans="1:111">
      <c r="C5351" s="561" t="s">
        <v>1199</v>
      </c>
      <c r="D5351" s="561">
        <v>2585.1670000000004</v>
      </c>
      <c r="E5351" s="561">
        <v>1219.1969999999999</v>
      </c>
      <c r="F5351" s="561">
        <v>1365.9700000000005</v>
      </c>
      <c r="G5351" s="561">
        <v>219</v>
      </c>
      <c r="H5351" s="561">
        <v>2911.9790000000003</v>
      </c>
      <c r="I5351" s="561">
        <v>36</v>
      </c>
      <c r="J5351" s="561">
        <v>326.81344000000001</v>
      </c>
      <c r="K5351" s="561">
        <v>219</v>
      </c>
      <c r="L5351" s="561">
        <v>2585.1670000000004</v>
      </c>
      <c r="M5351" s="561">
        <v>2585.1670000000004</v>
      </c>
      <c r="N5351" s="561">
        <v>1219.1969999999999</v>
      </c>
      <c r="O5351" s="561">
        <v>0</v>
      </c>
      <c r="BM5351" s="561">
        <v>1365.9700000000005</v>
      </c>
    </row>
    <row r="5352" spans="1:111">
      <c r="A5352" s="561">
        <v>45</v>
      </c>
      <c r="B5352" s="561" t="s">
        <v>1694</v>
      </c>
      <c r="C5352" s="561" t="s">
        <v>1267</v>
      </c>
      <c r="D5352" s="561">
        <v>54413.681999999993</v>
      </c>
      <c r="E5352" s="561">
        <v>15110.699000000001</v>
      </c>
      <c r="F5352" s="561">
        <v>39302.982999999993</v>
      </c>
      <c r="G5352" s="561">
        <v>3727</v>
      </c>
      <c r="H5352" s="561">
        <v>55653.993999999999</v>
      </c>
      <c r="I5352" s="561">
        <v>250</v>
      </c>
      <c r="J5352" s="561">
        <v>1240.3129899999999</v>
      </c>
      <c r="K5352" s="561">
        <v>3725</v>
      </c>
      <c r="L5352" s="561">
        <v>54413.681999999993</v>
      </c>
      <c r="M5352" s="561">
        <v>54413.681999999993</v>
      </c>
      <c r="N5352" s="561">
        <v>15110.699000000001</v>
      </c>
      <c r="O5352" s="561">
        <v>0</v>
      </c>
      <c r="P5352" s="561">
        <v>39302.982999999993</v>
      </c>
    </row>
    <row r="5353" spans="1:111">
      <c r="C5353" s="561" t="s">
        <v>1197</v>
      </c>
      <c r="D5353" s="561">
        <v>0</v>
      </c>
      <c r="F5353" s="561">
        <v>0</v>
      </c>
      <c r="G5353" s="561">
        <v>0</v>
      </c>
      <c r="H5353" s="561">
        <v>0</v>
      </c>
      <c r="I5353" s="561">
        <v>0</v>
      </c>
      <c r="J5353" s="561">
        <v>0</v>
      </c>
      <c r="K5353" s="561">
        <v>0</v>
      </c>
      <c r="L5353" s="561">
        <v>0</v>
      </c>
      <c r="M5353" s="561">
        <v>0</v>
      </c>
      <c r="N5353" s="561">
        <v>0</v>
      </c>
      <c r="O5353" s="561">
        <v>0</v>
      </c>
      <c r="P5353" s="561">
        <v>0</v>
      </c>
    </row>
    <row r="5354" spans="1:111">
      <c r="C5354" s="561" t="s">
        <v>1199</v>
      </c>
      <c r="D5354" s="561">
        <v>54413.681999999993</v>
      </c>
      <c r="E5354" s="561">
        <v>15110.699000000001</v>
      </c>
      <c r="F5354" s="561">
        <v>39302.982999999993</v>
      </c>
      <c r="G5354" s="561">
        <v>3727</v>
      </c>
      <c r="H5354" s="561">
        <v>55653.993999999999</v>
      </c>
      <c r="I5354" s="561">
        <v>250</v>
      </c>
      <c r="J5354" s="561">
        <v>1240.3129899999999</v>
      </c>
      <c r="K5354" s="561">
        <v>3725</v>
      </c>
      <c r="L5354" s="561">
        <v>54413.681999999993</v>
      </c>
      <c r="M5354" s="561">
        <v>54413.681999999993</v>
      </c>
      <c r="N5354" s="561">
        <v>15110.699000000001</v>
      </c>
      <c r="O5354" s="561">
        <v>0</v>
      </c>
      <c r="BY5354" s="561">
        <v>39302.982999999993</v>
      </c>
    </row>
    <row r="5355" spans="1:111">
      <c r="A5355" s="561">
        <v>46</v>
      </c>
      <c r="B5355" s="561" t="s">
        <v>1292</v>
      </c>
      <c r="C5355" s="561" t="s">
        <v>1267</v>
      </c>
      <c r="D5355" s="561">
        <v>130392.60900000001</v>
      </c>
      <c r="E5355" s="561">
        <v>25372.62</v>
      </c>
      <c r="F5355" s="561">
        <v>105019.98900000002</v>
      </c>
      <c r="G5355" s="561">
        <v>421</v>
      </c>
      <c r="H5355" s="561">
        <v>130392.60900000001</v>
      </c>
      <c r="I5355" s="561">
        <v>0</v>
      </c>
      <c r="J5355" s="561">
        <v>0</v>
      </c>
      <c r="K5355" s="561">
        <v>421</v>
      </c>
      <c r="L5355" s="561">
        <v>130392.60900000001</v>
      </c>
      <c r="M5355" s="561">
        <v>130392.60900000001</v>
      </c>
      <c r="N5355" s="561">
        <v>25372.62</v>
      </c>
      <c r="O5355" s="561">
        <v>0</v>
      </c>
      <c r="P5355" s="561">
        <v>105019.98900000002</v>
      </c>
    </row>
    <row r="5356" spans="1:111">
      <c r="C5356" s="561" t="s">
        <v>1197</v>
      </c>
      <c r="D5356" s="561">
        <v>0</v>
      </c>
      <c r="F5356" s="561">
        <v>0</v>
      </c>
      <c r="G5356" s="561">
        <v>0</v>
      </c>
      <c r="H5356" s="561">
        <v>0</v>
      </c>
      <c r="I5356" s="561">
        <v>0</v>
      </c>
      <c r="J5356" s="561">
        <v>0</v>
      </c>
      <c r="K5356" s="561">
        <v>0</v>
      </c>
      <c r="L5356" s="561">
        <v>0</v>
      </c>
      <c r="M5356" s="561">
        <v>0</v>
      </c>
      <c r="N5356" s="561">
        <v>0</v>
      </c>
      <c r="O5356" s="561">
        <v>0</v>
      </c>
      <c r="P5356" s="561">
        <v>0</v>
      </c>
    </row>
    <row r="5357" spans="1:111">
      <c r="C5357" s="561" t="s">
        <v>1199</v>
      </c>
      <c r="D5357" s="561">
        <v>130392.60900000001</v>
      </c>
      <c r="E5357" s="561">
        <v>25372.62</v>
      </c>
      <c r="F5357" s="561">
        <v>105019.98900000002</v>
      </c>
      <c r="G5357" s="561">
        <v>421</v>
      </c>
      <c r="H5357" s="561">
        <v>130392.60900000001</v>
      </c>
      <c r="I5357" s="561">
        <v>0</v>
      </c>
      <c r="J5357" s="561">
        <v>0</v>
      </c>
      <c r="K5357" s="561">
        <v>421</v>
      </c>
      <c r="L5357" s="561">
        <v>130392.60900000001</v>
      </c>
      <c r="M5357" s="561">
        <v>130392.60900000001</v>
      </c>
      <c r="N5357" s="561">
        <v>25372.62</v>
      </c>
      <c r="O5357" s="561">
        <v>0</v>
      </c>
      <c r="AL5357" s="561">
        <v>105019.98900000002</v>
      </c>
    </row>
    <row r="5358" spans="1:111">
      <c r="A5358" s="1683" t="s">
        <v>1160</v>
      </c>
      <c r="B5358" s="1683"/>
      <c r="C5358" s="1683"/>
      <c r="D5358" s="1683"/>
      <c r="E5358" s="1683"/>
      <c r="F5358" s="1683"/>
      <c r="G5358" s="1683"/>
      <c r="H5358" s="1683"/>
      <c r="I5358" s="1683"/>
      <c r="J5358" s="1683"/>
      <c r="K5358" s="1683"/>
      <c r="L5358" s="1683"/>
      <c r="M5358" s="1683"/>
      <c r="N5358" s="1683"/>
      <c r="O5358" s="1683"/>
      <c r="P5358" s="1683"/>
    </row>
    <row r="5359" spans="1:111">
      <c r="A5359" s="1735" t="s">
        <v>1197</v>
      </c>
      <c r="B5359" s="1735"/>
      <c r="C5359" s="1735"/>
      <c r="D5359" s="1735"/>
      <c r="E5359" s="1735"/>
      <c r="F5359" s="1735"/>
      <c r="G5359" s="1735"/>
      <c r="H5359" s="1735"/>
      <c r="I5359" s="1735"/>
      <c r="J5359" s="1735"/>
      <c r="K5359" s="1735"/>
      <c r="L5359" s="1735"/>
      <c r="M5359" s="1735"/>
      <c r="N5359" s="1735"/>
      <c r="O5359" s="1735"/>
      <c r="P5359" s="1735"/>
      <c r="AL5359" s="561">
        <f>SUM(AL5360:AL5503)</f>
        <v>5742920.8781449683</v>
      </c>
      <c r="AM5359" s="561">
        <f t="shared" ref="AM5359:CX5359" si="126">SUM(AM5360:AM5503)</f>
        <v>0</v>
      </c>
      <c r="AN5359" s="561">
        <f t="shared" si="126"/>
        <v>0</v>
      </c>
      <c r="AO5359" s="561">
        <f t="shared" si="126"/>
        <v>0</v>
      </c>
      <c r="AP5359" s="561">
        <f t="shared" si="126"/>
        <v>0</v>
      </c>
      <c r="AQ5359" s="561">
        <f t="shared" si="126"/>
        <v>0</v>
      </c>
      <c r="AR5359" s="561">
        <f t="shared" si="126"/>
        <v>0</v>
      </c>
      <c r="AS5359" s="561">
        <f t="shared" si="126"/>
        <v>0</v>
      </c>
      <c r="AT5359" s="561">
        <f t="shared" si="126"/>
        <v>0</v>
      </c>
      <c r="AU5359" s="561">
        <f t="shared" si="126"/>
        <v>0</v>
      </c>
      <c r="AV5359" s="561">
        <f t="shared" si="126"/>
        <v>0</v>
      </c>
      <c r="AW5359" s="561">
        <f t="shared" si="126"/>
        <v>0</v>
      </c>
      <c r="AX5359" s="561">
        <f t="shared" si="126"/>
        <v>0</v>
      </c>
      <c r="AY5359" s="561">
        <f t="shared" si="126"/>
        <v>63637.520219999999</v>
      </c>
      <c r="AZ5359" s="561">
        <f t="shared" si="126"/>
        <v>0</v>
      </c>
      <c r="BA5359" s="561">
        <f t="shared" si="126"/>
        <v>0</v>
      </c>
      <c r="BB5359" s="561">
        <f t="shared" si="126"/>
        <v>477930.20707000006</v>
      </c>
      <c r="BC5359" s="561">
        <f t="shared" si="126"/>
        <v>0</v>
      </c>
      <c r="BD5359" s="561">
        <f t="shared" si="126"/>
        <v>0</v>
      </c>
      <c r="BE5359" s="561">
        <f t="shared" si="126"/>
        <v>0</v>
      </c>
      <c r="BF5359" s="561">
        <f t="shared" si="126"/>
        <v>0</v>
      </c>
      <c r="BG5359" s="561">
        <f t="shared" si="126"/>
        <v>0</v>
      </c>
      <c r="BH5359" s="561">
        <f t="shared" si="126"/>
        <v>0</v>
      </c>
      <c r="BI5359" s="561">
        <f t="shared" si="126"/>
        <v>0</v>
      </c>
      <c r="BJ5359" s="561">
        <f t="shared" si="126"/>
        <v>0</v>
      </c>
      <c r="BK5359" s="561">
        <f t="shared" si="126"/>
        <v>0</v>
      </c>
      <c r="BL5359" s="561">
        <f t="shared" si="126"/>
        <v>0</v>
      </c>
      <c r="BM5359" s="561">
        <f t="shared" si="126"/>
        <v>0</v>
      </c>
      <c r="BN5359" s="561">
        <f t="shared" si="126"/>
        <v>0</v>
      </c>
      <c r="BO5359" s="561">
        <f t="shared" si="126"/>
        <v>0</v>
      </c>
      <c r="BP5359" s="561">
        <f t="shared" si="126"/>
        <v>0</v>
      </c>
      <c r="BQ5359" s="561">
        <f t="shared" si="126"/>
        <v>0</v>
      </c>
      <c r="BR5359" s="561">
        <f t="shared" si="126"/>
        <v>0</v>
      </c>
      <c r="BS5359" s="561">
        <f t="shared" si="126"/>
        <v>0</v>
      </c>
      <c r="BT5359" s="561">
        <f t="shared" si="126"/>
        <v>0</v>
      </c>
      <c r="BU5359" s="561">
        <f t="shared" si="126"/>
        <v>0</v>
      </c>
      <c r="BV5359" s="561">
        <f t="shared" si="126"/>
        <v>0</v>
      </c>
      <c r="BW5359" s="561">
        <f t="shared" si="126"/>
        <v>0</v>
      </c>
      <c r="BX5359" s="561">
        <f t="shared" si="126"/>
        <v>0</v>
      </c>
      <c r="BY5359" s="561">
        <f t="shared" si="126"/>
        <v>0</v>
      </c>
      <c r="BZ5359" s="561">
        <f t="shared" si="126"/>
        <v>0</v>
      </c>
      <c r="CA5359" s="561">
        <f t="shared" si="126"/>
        <v>0</v>
      </c>
      <c r="CB5359" s="561">
        <f t="shared" si="126"/>
        <v>0</v>
      </c>
      <c r="CC5359" s="561">
        <f t="shared" si="126"/>
        <v>0</v>
      </c>
      <c r="CD5359" s="561">
        <f t="shared" si="126"/>
        <v>0</v>
      </c>
      <c r="CE5359" s="561">
        <f t="shared" si="126"/>
        <v>0</v>
      </c>
      <c r="CF5359" s="561">
        <f t="shared" si="126"/>
        <v>0</v>
      </c>
      <c r="CG5359" s="561">
        <f t="shared" si="126"/>
        <v>0</v>
      </c>
      <c r="CH5359" s="561">
        <f t="shared" si="126"/>
        <v>0</v>
      </c>
      <c r="CI5359" s="561">
        <f t="shared" si="126"/>
        <v>0</v>
      </c>
      <c r="CJ5359" s="561">
        <f t="shared" si="126"/>
        <v>0</v>
      </c>
      <c r="CK5359" s="561">
        <f t="shared" si="126"/>
        <v>0</v>
      </c>
      <c r="CL5359" s="561">
        <f t="shared" si="126"/>
        <v>0</v>
      </c>
      <c r="CM5359" s="561">
        <f t="shared" si="126"/>
        <v>0</v>
      </c>
      <c r="CN5359" s="561">
        <f t="shared" si="126"/>
        <v>0</v>
      </c>
      <c r="CO5359" s="561">
        <f t="shared" si="126"/>
        <v>0</v>
      </c>
      <c r="CP5359" s="561">
        <f t="shared" si="126"/>
        <v>0</v>
      </c>
      <c r="CQ5359" s="561">
        <f t="shared" si="126"/>
        <v>0</v>
      </c>
      <c r="CR5359" s="561">
        <f t="shared" si="126"/>
        <v>0</v>
      </c>
      <c r="CS5359" s="561">
        <f t="shared" si="126"/>
        <v>0</v>
      </c>
      <c r="CT5359" s="561">
        <f t="shared" si="126"/>
        <v>0</v>
      </c>
      <c r="CU5359" s="561">
        <f t="shared" si="126"/>
        <v>0</v>
      </c>
      <c r="CV5359" s="561">
        <f t="shared" si="126"/>
        <v>0</v>
      </c>
      <c r="CW5359" s="561">
        <f t="shared" si="126"/>
        <v>0</v>
      </c>
      <c r="CX5359" s="561">
        <f t="shared" si="126"/>
        <v>0</v>
      </c>
      <c r="CY5359" s="561">
        <f t="shared" ref="CY5359:DG5359" si="127">SUM(CY5360:CY5503)</f>
        <v>0</v>
      </c>
      <c r="CZ5359" s="561">
        <f t="shared" si="127"/>
        <v>0</v>
      </c>
      <c r="DA5359" s="561">
        <f t="shared" si="127"/>
        <v>0</v>
      </c>
      <c r="DB5359" s="561">
        <f t="shared" si="127"/>
        <v>0</v>
      </c>
      <c r="DC5359" s="561">
        <f t="shared" si="127"/>
        <v>0</v>
      </c>
      <c r="DD5359" s="561">
        <f t="shared" si="127"/>
        <v>0</v>
      </c>
      <c r="DE5359" s="561">
        <f t="shared" si="127"/>
        <v>0</v>
      </c>
      <c r="DF5359" s="561">
        <f t="shared" si="127"/>
        <v>0</v>
      </c>
      <c r="DG5359" s="561">
        <f t="shared" si="127"/>
        <v>0</v>
      </c>
    </row>
    <row r="5360" spans="1:111">
      <c r="A5360" s="561">
        <v>1</v>
      </c>
      <c r="B5360" s="561" t="s">
        <v>1695</v>
      </c>
      <c r="C5360" s="561" t="s">
        <v>1267</v>
      </c>
      <c r="D5360" s="561">
        <v>2993717</v>
      </c>
      <c r="E5360" s="561">
        <v>618648.6</v>
      </c>
      <c r="F5360" s="561">
        <v>2375068.4</v>
      </c>
      <c r="G5360" s="561">
        <v>26351</v>
      </c>
      <c r="H5360" s="561">
        <v>3173308.1472308771</v>
      </c>
      <c r="I5360" s="561">
        <v>181</v>
      </c>
      <c r="J5360" s="561">
        <v>130723.59355088009</v>
      </c>
      <c r="K5360" s="561">
        <v>26170</v>
      </c>
      <c r="L5360" s="561">
        <v>3042584.5536799999</v>
      </c>
      <c r="M5360" s="561">
        <v>2993717</v>
      </c>
      <c r="N5360" s="561">
        <v>481171.13399999996</v>
      </c>
      <c r="O5360" s="561">
        <v>137477.467</v>
      </c>
      <c r="P5360" s="561">
        <v>2375068.3999999994</v>
      </c>
      <c r="Q5360" s="561">
        <v>2375068.3999999994</v>
      </c>
    </row>
    <row r="5361" spans="1:54">
      <c r="C5361" s="561" t="s">
        <v>1197</v>
      </c>
      <c r="D5361" s="561">
        <v>2375625</v>
      </c>
      <c r="E5361" s="561">
        <v>522720</v>
      </c>
      <c r="F5361" s="561">
        <v>1852905</v>
      </c>
      <c r="G5361" s="561">
        <v>25741</v>
      </c>
      <c r="H5361" s="561">
        <v>2522354.3048824901</v>
      </c>
      <c r="I5361" s="561">
        <v>181</v>
      </c>
      <c r="J5361" s="561">
        <v>110757.822922493</v>
      </c>
      <c r="K5361" s="561">
        <v>25560</v>
      </c>
      <c r="L5361" s="561">
        <v>2411596.48196</v>
      </c>
      <c r="M5361" s="561">
        <v>2379805.6192699997</v>
      </c>
      <c r="N5361" s="561">
        <v>406560.00099999999</v>
      </c>
      <c r="O5361" s="561">
        <v>129989.83500000001</v>
      </c>
      <c r="Q5361" s="561">
        <v>1843255.7842699997</v>
      </c>
      <c r="AL5361" s="561">
        <v>1843255.7842699997</v>
      </c>
    </row>
    <row r="5362" spans="1:54">
      <c r="C5362" s="561" t="s">
        <v>1198</v>
      </c>
      <c r="D5362" s="561">
        <v>618092</v>
      </c>
      <c r="E5362" s="561">
        <v>95928.599999999991</v>
      </c>
      <c r="F5362" s="561">
        <v>522163.4</v>
      </c>
      <c r="G5362" s="561">
        <v>610</v>
      </c>
      <c r="H5362" s="561">
        <v>650953.842348387</v>
      </c>
      <c r="I5362" s="561">
        <v>0</v>
      </c>
      <c r="J5362" s="561">
        <v>19965.770628387101</v>
      </c>
      <c r="K5362" s="561">
        <v>610</v>
      </c>
      <c r="L5362" s="561">
        <v>630988.07171999989</v>
      </c>
      <c r="M5362" s="561">
        <v>613911.38073000009</v>
      </c>
      <c r="N5362" s="561">
        <v>74611.133000000002</v>
      </c>
      <c r="O5362" s="561">
        <v>7487.6319999999996</v>
      </c>
      <c r="P5362" s="561">
        <v>531812.61572999996</v>
      </c>
      <c r="Q5362" s="561">
        <v>531812.61572999996</v>
      </c>
    </row>
    <row r="5363" spans="1:54">
      <c r="C5363" s="561" t="s">
        <v>1199</v>
      </c>
      <c r="F5363" s="561">
        <v>0</v>
      </c>
      <c r="G5363" s="561">
        <v>0</v>
      </c>
      <c r="H5363" s="561">
        <v>0</v>
      </c>
      <c r="I5363" s="561">
        <v>0</v>
      </c>
      <c r="J5363" s="561">
        <v>0</v>
      </c>
      <c r="K5363" s="561">
        <v>0</v>
      </c>
      <c r="L5363" s="561">
        <v>0</v>
      </c>
      <c r="M5363" s="561">
        <v>0</v>
      </c>
      <c r="N5363" s="561">
        <v>0</v>
      </c>
      <c r="O5363" s="561">
        <v>0</v>
      </c>
      <c r="P5363" s="561">
        <v>0</v>
      </c>
      <c r="Q5363" s="561">
        <v>0</v>
      </c>
    </row>
    <row r="5364" spans="1:54">
      <c r="A5364" s="561">
        <v>2</v>
      </c>
      <c r="B5364" s="561" t="s">
        <v>1696</v>
      </c>
      <c r="C5364" s="561" t="s">
        <v>1267</v>
      </c>
      <c r="D5364" s="561">
        <v>91880</v>
      </c>
      <c r="E5364" s="561">
        <v>26364</v>
      </c>
      <c r="F5364" s="561">
        <v>65516</v>
      </c>
      <c r="G5364" s="561">
        <v>1462</v>
      </c>
      <c r="H5364" s="561">
        <v>95694.88607956015</v>
      </c>
      <c r="I5364" s="561">
        <v>6</v>
      </c>
      <c r="J5364" s="561">
        <v>2614.1061895601506</v>
      </c>
      <c r="K5364" s="561">
        <v>1456</v>
      </c>
      <c r="L5364" s="561">
        <v>93080.779890000005</v>
      </c>
      <c r="M5364" s="561">
        <v>91880.000999759839</v>
      </c>
      <c r="N5364" s="561">
        <v>24899.335000000003</v>
      </c>
      <c r="O5364" s="561">
        <v>1464.6660000000002</v>
      </c>
      <c r="P5364" s="561">
        <v>65516.000001537723</v>
      </c>
      <c r="Q5364" s="561">
        <v>65516</v>
      </c>
    </row>
    <row r="5365" spans="1:54">
      <c r="C5365" s="561" t="s">
        <v>1197</v>
      </c>
      <c r="D5365" s="561">
        <v>89280</v>
      </c>
      <c r="E5365" s="561">
        <v>25584</v>
      </c>
      <c r="F5365" s="561">
        <v>63696</v>
      </c>
      <c r="G5365" s="561">
        <v>1256</v>
      </c>
      <c r="H5365" s="561">
        <v>92841.839188022423</v>
      </c>
      <c r="I5365" s="561">
        <v>4</v>
      </c>
      <c r="J5365" s="561">
        <v>2556.9250780224233</v>
      </c>
      <c r="K5365" s="561">
        <v>1252</v>
      </c>
      <c r="L5365" s="561">
        <v>90284.914110000012</v>
      </c>
      <c r="M5365" s="561">
        <v>89221.521218222115</v>
      </c>
      <c r="N5365" s="561">
        <v>24162.668000000001</v>
      </c>
      <c r="O5365" s="561">
        <v>1421.3330000000001</v>
      </c>
      <c r="Q5365" s="561">
        <v>63637.520219999999</v>
      </c>
      <c r="AY5365" s="561">
        <v>63637.520219999999</v>
      </c>
    </row>
    <row r="5366" spans="1:54">
      <c r="C5366" s="561" t="s">
        <v>1198</v>
      </c>
      <c r="F5366" s="561">
        <v>0</v>
      </c>
      <c r="G5366" s="561">
        <v>0</v>
      </c>
      <c r="H5366" s="561">
        <v>0</v>
      </c>
      <c r="I5366" s="561">
        <v>0</v>
      </c>
      <c r="J5366" s="561">
        <v>0</v>
      </c>
      <c r="K5366" s="561">
        <v>0</v>
      </c>
      <c r="L5366" s="561">
        <v>0</v>
      </c>
      <c r="M5366" s="561">
        <v>0</v>
      </c>
      <c r="N5366" s="561">
        <v>0</v>
      </c>
      <c r="O5366" s="561">
        <v>0</v>
      </c>
      <c r="P5366" s="561">
        <v>0</v>
      </c>
      <c r="Q5366" s="561">
        <v>0</v>
      </c>
    </row>
    <row r="5367" spans="1:54">
      <c r="C5367" s="561" t="s">
        <v>1199</v>
      </c>
      <c r="D5367" s="561">
        <v>2600</v>
      </c>
      <c r="E5367" s="561">
        <v>780</v>
      </c>
      <c r="F5367" s="561">
        <v>1820</v>
      </c>
      <c r="G5367" s="561">
        <v>206</v>
      </c>
      <c r="H5367" s="561">
        <v>2853.0468915377269</v>
      </c>
      <c r="I5367" s="561">
        <v>2</v>
      </c>
      <c r="J5367" s="561">
        <v>57.181111537727105</v>
      </c>
      <c r="K5367" s="561">
        <v>204</v>
      </c>
      <c r="L5367" s="561">
        <v>2795.8657799999996</v>
      </c>
      <c r="M5367" s="561">
        <v>2658.4797815377301</v>
      </c>
      <c r="N5367" s="561">
        <v>736.66700000000014</v>
      </c>
      <c r="O5367" s="561">
        <v>43.332999999999998</v>
      </c>
      <c r="P5367" s="561">
        <v>1878.4797815377269</v>
      </c>
      <c r="Q5367" s="561">
        <v>1878.4797800000001</v>
      </c>
    </row>
    <row r="5368" spans="1:54">
      <c r="A5368" s="561">
        <v>3</v>
      </c>
      <c r="B5368" s="561" t="s">
        <v>1697</v>
      </c>
      <c r="C5368" s="561" t="s">
        <v>1267</v>
      </c>
      <c r="D5368" s="561">
        <v>648375</v>
      </c>
      <c r="E5368" s="561">
        <v>167032.5</v>
      </c>
      <c r="F5368" s="561">
        <v>481342.5</v>
      </c>
      <c r="G5368" s="561">
        <v>9684</v>
      </c>
      <c r="H5368" s="561">
        <v>662135.50949091429</v>
      </c>
      <c r="I5368" s="561">
        <v>25</v>
      </c>
      <c r="J5368" s="561">
        <v>13758.727427439762</v>
      </c>
      <c r="K5368" s="561">
        <v>9659</v>
      </c>
      <c r="L5368" s="561">
        <v>648376.78206347441</v>
      </c>
      <c r="M5368" s="561">
        <v>648374.99999347434</v>
      </c>
      <c r="N5368" s="561">
        <v>129914.16799999999</v>
      </c>
      <c r="O5368" s="561">
        <v>37118.332000000002</v>
      </c>
      <c r="P5368" s="561">
        <v>481342.50000000006</v>
      </c>
      <c r="Q5368" s="561">
        <v>481342.5</v>
      </c>
    </row>
    <row r="5369" spans="1:54">
      <c r="C5369" s="561" t="s">
        <v>1197</v>
      </c>
      <c r="D5369" s="561">
        <v>643475</v>
      </c>
      <c r="E5369" s="561">
        <v>166042.5</v>
      </c>
      <c r="F5369" s="561">
        <v>477432.5</v>
      </c>
      <c r="G5369" s="561">
        <v>9380</v>
      </c>
      <c r="H5369" s="561">
        <v>657718.89287761436</v>
      </c>
      <c r="I5369" s="561">
        <v>25</v>
      </c>
      <c r="J5369" s="561">
        <v>13744.403747439763</v>
      </c>
      <c r="K5369" s="561">
        <v>9355</v>
      </c>
      <c r="L5369" s="561">
        <v>643974.48913017451</v>
      </c>
      <c r="M5369" s="561">
        <v>643972.70706017443</v>
      </c>
      <c r="N5369" s="561">
        <v>129144.16799999999</v>
      </c>
      <c r="O5369" s="561">
        <v>36898.332000000002</v>
      </c>
      <c r="Q5369" s="561">
        <v>477930.20707</v>
      </c>
      <c r="BB5369" s="561">
        <v>477930.20707000006</v>
      </c>
    </row>
    <row r="5370" spans="1:54">
      <c r="C5370" s="561" t="s">
        <v>1198</v>
      </c>
      <c r="F5370" s="561">
        <v>0</v>
      </c>
      <c r="G5370" s="561">
        <v>0</v>
      </c>
      <c r="H5370" s="561">
        <v>0</v>
      </c>
      <c r="I5370" s="561">
        <v>0</v>
      </c>
      <c r="J5370" s="561">
        <v>0</v>
      </c>
      <c r="K5370" s="561">
        <v>0</v>
      </c>
      <c r="L5370" s="561">
        <v>0</v>
      </c>
      <c r="M5370" s="561">
        <v>0</v>
      </c>
      <c r="N5370" s="561">
        <v>0</v>
      </c>
      <c r="O5370" s="561">
        <v>0</v>
      </c>
      <c r="P5370" s="561">
        <v>0</v>
      </c>
      <c r="Q5370" s="561">
        <v>0</v>
      </c>
    </row>
    <row r="5371" spans="1:54">
      <c r="C5371" s="561" t="s">
        <v>1199</v>
      </c>
      <c r="D5371" s="561">
        <v>4900</v>
      </c>
      <c r="E5371" s="561">
        <v>990</v>
      </c>
      <c r="F5371" s="561">
        <v>3910</v>
      </c>
      <c r="G5371" s="561">
        <v>304</v>
      </c>
      <c r="H5371" s="561">
        <v>4416.6166132999415</v>
      </c>
      <c r="I5371" s="561">
        <v>0</v>
      </c>
      <c r="J5371" s="561">
        <v>14.323679999999968</v>
      </c>
      <c r="K5371" s="561">
        <v>304</v>
      </c>
      <c r="L5371" s="561">
        <v>4402.292933299942</v>
      </c>
      <c r="M5371" s="561">
        <v>4402.292933299942</v>
      </c>
      <c r="N5371" s="561">
        <v>770</v>
      </c>
      <c r="O5371" s="561">
        <v>220</v>
      </c>
      <c r="P5371" s="561">
        <v>3412.2929300000001</v>
      </c>
      <c r="Q5371" s="561">
        <v>3412.2929299999996</v>
      </c>
    </row>
    <row r="5372" spans="1:54">
      <c r="A5372" s="561">
        <v>4</v>
      </c>
      <c r="B5372" s="561" t="s">
        <v>1698</v>
      </c>
      <c r="C5372" s="561" t="s">
        <v>1267</v>
      </c>
      <c r="D5372" s="561">
        <v>518629</v>
      </c>
      <c r="E5372" s="561">
        <v>133280.4</v>
      </c>
      <c r="F5372" s="561">
        <v>385348.6</v>
      </c>
      <c r="G5372" s="561">
        <v>6661</v>
      </c>
      <c r="H5372" s="561">
        <v>534985.36178959918</v>
      </c>
      <c r="I5372" s="561">
        <v>24</v>
      </c>
      <c r="J5372" s="561">
        <v>12706.815359599197</v>
      </c>
      <c r="K5372" s="561">
        <v>6637</v>
      </c>
      <c r="L5372" s="561">
        <v>522278.54643000005</v>
      </c>
      <c r="M5372" s="561">
        <v>518629.00001000002</v>
      </c>
      <c r="N5372" s="561">
        <v>113645.99499989999</v>
      </c>
      <c r="O5372" s="561">
        <v>19634.852999999999</v>
      </c>
      <c r="P5372" s="561">
        <v>385348.60000009998</v>
      </c>
      <c r="Q5372" s="561">
        <v>385348.60000009998</v>
      </c>
    </row>
    <row r="5373" spans="1:54">
      <c r="C5373" s="561" t="s">
        <v>1197</v>
      </c>
      <c r="D5373" s="561">
        <v>516384</v>
      </c>
      <c r="E5373" s="561">
        <v>133056</v>
      </c>
      <c r="F5373" s="561">
        <v>383328</v>
      </c>
      <c r="G5373" s="561">
        <v>6535</v>
      </c>
      <c r="H5373" s="561">
        <v>532506.33688959922</v>
      </c>
      <c r="I5373" s="561">
        <v>24</v>
      </c>
      <c r="J5373" s="561">
        <v>12676.878599599197</v>
      </c>
      <c r="K5373" s="561">
        <v>6511</v>
      </c>
      <c r="L5373" s="561">
        <v>519829.45829000004</v>
      </c>
      <c r="M5373" s="561">
        <v>516179.91187000001</v>
      </c>
      <c r="N5373" s="561">
        <v>113471.015</v>
      </c>
      <c r="O5373" s="561">
        <v>19585.432000000001</v>
      </c>
      <c r="Q5373" s="561">
        <v>383123.91285999998</v>
      </c>
      <c r="AL5373" s="561">
        <v>383123.91285999998</v>
      </c>
    </row>
    <row r="5374" spans="1:54">
      <c r="C5374" s="561" t="s">
        <v>1198</v>
      </c>
      <c r="F5374" s="561">
        <v>0</v>
      </c>
      <c r="G5374" s="561">
        <v>0</v>
      </c>
      <c r="H5374" s="561">
        <v>0</v>
      </c>
      <c r="I5374" s="561">
        <v>0</v>
      </c>
      <c r="J5374" s="561">
        <v>0</v>
      </c>
      <c r="K5374" s="561">
        <v>0</v>
      </c>
      <c r="L5374" s="561">
        <v>0</v>
      </c>
      <c r="M5374" s="561">
        <v>0</v>
      </c>
      <c r="N5374" s="561">
        <v>0</v>
      </c>
      <c r="O5374" s="561">
        <v>0</v>
      </c>
      <c r="P5374" s="561">
        <v>0</v>
      </c>
      <c r="Q5374" s="561">
        <v>0</v>
      </c>
    </row>
    <row r="5375" spans="1:54">
      <c r="C5375" s="561" t="s">
        <v>1199</v>
      </c>
      <c r="D5375" s="561">
        <v>2245</v>
      </c>
      <c r="E5375" s="561">
        <v>224.4</v>
      </c>
      <c r="F5375" s="561">
        <v>2020.6</v>
      </c>
      <c r="G5375" s="561">
        <v>126</v>
      </c>
      <c r="H5375" s="561">
        <v>2479.0249000000003</v>
      </c>
      <c r="I5375" s="561">
        <v>0</v>
      </c>
      <c r="J5375" s="561">
        <v>29.936760000000049</v>
      </c>
      <c r="K5375" s="561">
        <v>126</v>
      </c>
      <c r="L5375" s="561">
        <v>2449.0881399999998</v>
      </c>
      <c r="M5375" s="561">
        <v>2449.0881399999998</v>
      </c>
      <c r="N5375" s="561">
        <v>174.9799999</v>
      </c>
      <c r="O5375" s="561">
        <v>49.420999999999999</v>
      </c>
      <c r="P5375" s="561">
        <v>2224.6871401000003</v>
      </c>
      <c r="Q5375" s="561">
        <v>2224.6871401000003</v>
      </c>
    </row>
    <row r="5376" spans="1:54">
      <c r="A5376" s="561">
        <v>5</v>
      </c>
      <c r="B5376" s="561" t="s">
        <v>1699</v>
      </c>
      <c r="C5376" s="561" t="s">
        <v>1267</v>
      </c>
      <c r="D5376" s="561">
        <v>574288</v>
      </c>
      <c r="E5376" s="561">
        <v>152786.4</v>
      </c>
      <c r="F5376" s="561">
        <v>421501.6</v>
      </c>
      <c r="G5376" s="561">
        <v>8633</v>
      </c>
      <c r="H5376" s="561">
        <v>799692.12645419152</v>
      </c>
      <c r="I5376" s="561">
        <v>99</v>
      </c>
      <c r="J5376" s="561">
        <v>107578.30814419157</v>
      </c>
      <c r="K5376" s="561">
        <v>8534</v>
      </c>
      <c r="L5376" s="561">
        <v>692113.81830999989</v>
      </c>
      <c r="M5376" s="561">
        <v>574287.99891952309</v>
      </c>
      <c r="N5376" s="561">
        <v>118833.86700000009</v>
      </c>
      <c r="O5376" s="561">
        <v>33952.531999999999</v>
      </c>
      <c r="P5376" s="561">
        <v>421501.59992000001</v>
      </c>
      <c r="Q5376" s="561">
        <v>421501.59991999995</v>
      </c>
    </row>
    <row r="5377" spans="1:38">
      <c r="C5377" s="561" t="s">
        <v>1197</v>
      </c>
      <c r="D5377" s="561">
        <v>574288</v>
      </c>
      <c r="E5377" s="561">
        <v>152786.4</v>
      </c>
      <c r="F5377" s="561">
        <v>421501.6</v>
      </c>
      <c r="G5377" s="561">
        <v>8633</v>
      </c>
      <c r="H5377" s="561">
        <v>799692.12645419152</v>
      </c>
      <c r="I5377" s="561">
        <v>99</v>
      </c>
      <c r="J5377" s="561">
        <v>107578.30814419157</v>
      </c>
      <c r="K5377" s="561">
        <v>8534</v>
      </c>
      <c r="L5377" s="561">
        <v>692113.81830999989</v>
      </c>
      <c r="M5377" s="561">
        <v>574287.99891952309</v>
      </c>
      <c r="N5377" s="561">
        <v>118833.86700000009</v>
      </c>
      <c r="O5377" s="561">
        <v>33952.531999999999</v>
      </c>
      <c r="Q5377" s="561">
        <v>421501.59991999995</v>
      </c>
      <c r="AL5377" s="561">
        <v>421501.59992000001</v>
      </c>
    </row>
    <row r="5378" spans="1:38">
      <c r="C5378" s="561" t="s">
        <v>1198</v>
      </c>
      <c r="F5378" s="561">
        <v>0</v>
      </c>
      <c r="G5378" s="561">
        <v>0</v>
      </c>
      <c r="H5378" s="561">
        <v>0</v>
      </c>
      <c r="I5378" s="561">
        <v>0</v>
      </c>
      <c r="J5378" s="561">
        <v>0</v>
      </c>
      <c r="K5378" s="561">
        <v>0</v>
      </c>
      <c r="L5378" s="561">
        <v>0</v>
      </c>
      <c r="M5378" s="561">
        <v>0</v>
      </c>
      <c r="N5378" s="561">
        <v>0</v>
      </c>
      <c r="O5378" s="561">
        <v>0</v>
      </c>
      <c r="P5378" s="561">
        <v>0</v>
      </c>
      <c r="Q5378" s="561">
        <v>0</v>
      </c>
    </row>
    <row r="5379" spans="1:38">
      <c r="C5379" s="561" t="s">
        <v>1199</v>
      </c>
      <c r="F5379" s="561">
        <v>0</v>
      </c>
      <c r="G5379" s="561">
        <v>0</v>
      </c>
      <c r="H5379" s="561">
        <v>0</v>
      </c>
      <c r="I5379" s="561">
        <v>0</v>
      </c>
      <c r="J5379" s="561">
        <v>0</v>
      </c>
      <c r="K5379" s="561">
        <v>0</v>
      </c>
      <c r="L5379" s="561">
        <v>0</v>
      </c>
      <c r="M5379" s="561">
        <v>0</v>
      </c>
      <c r="N5379" s="561">
        <v>0</v>
      </c>
      <c r="O5379" s="561">
        <v>0</v>
      </c>
      <c r="P5379" s="561">
        <v>0</v>
      </c>
      <c r="Q5379" s="561">
        <v>0</v>
      </c>
    </row>
    <row r="5380" spans="1:38">
      <c r="A5380" s="561">
        <v>6</v>
      </c>
      <c r="B5380" s="561" t="s">
        <v>1700</v>
      </c>
      <c r="C5380" s="561" t="s">
        <v>1267</v>
      </c>
      <c r="D5380" s="561">
        <v>189454</v>
      </c>
      <c r="E5380" s="561">
        <v>46014</v>
      </c>
      <c r="F5380" s="561">
        <v>143440</v>
      </c>
      <c r="G5380" s="561">
        <v>3128</v>
      </c>
      <c r="H5380" s="561">
        <v>192883.29530928069</v>
      </c>
      <c r="I5380" s="561">
        <v>6</v>
      </c>
      <c r="J5380" s="561">
        <v>3428.0167792806465</v>
      </c>
      <c r="K5380" s="561">
        <v>3122</v>
      </c>
      <c r="L5380" s="561">
        <v>189455.27853000004</v>
      </c>
      <c r="M5380" s="561">
        <v>189454.00000226591</v>
      </c>
      <c r="N5380" s="561">
        <v>40901.332999999999</v>
      </c>
      <c r="O5380" s="561">
        <v>5112.6660000000002</v>
      </c>
      <c r="P5380" s="561">
        <v>143440.00099999999</v>
      </c>
      <c r="Q5380" s="561">
        <v>143440</v>
      </c>
    </row>
    <row r="5381" spans="1:38">
      <c r="C5381" s="561" t="s">
        <v>1197</v>
      </c>
      <c r="D5381" s="561">
        <v>174005</v>
      </c>
      <c r="E5381" s="561">
        <v>43098</v>
      </c>
      <c r="F5381" s="561">
        <v>130907</v>
      </c>
      <c r="G5381" s="561">
        <v>2276</v>
      </c>
      <c r="H5381" s="561">
        <v>177510.72692074691</v>
      </c>
      <c r="I5381" s="561">
        <v>5</v>
      </c>
      <c r="J5381" s="561">
        <v>3156.9292607468542</v>
      </c>
      <c r="K5381" s="561">
        <v>2271</v>
      </c>
      <c r="L5381" s="561">
        <v>174353.79766000004</v>
      </c>
      <c r="M5381" s="561">
        <v>174352.51913115819</v>
      </c>
      <c r="N5381" s="561">
        <v>38309.332999999999</v>
      </c>
      <c r="O5381" s="561">
        <v>4788.6660000000002</v>
      </c>
      <c r="Q5381" s="561">
        <v>131254.51913</v>
      </c>
      <c r="AL5381" s="561">
        <v>131254.52012999999</v>
      </c>
    </row>
    <row r="5382" spans="1:38">
      <c r="C5382" s="561" t="s">
        <v>1198</v>
      </c>
      <c r="F5382" s="561">
        <v>0</v>
      </c>
      <c r="G5382" s="561">
        <v>0</v>
      </c>
      <c r="H5382" s="561">
        <v>0</v>
      </c>
      <c r="I5382" s="561">
        <v>0</v>
      </c>
      <c r="J5382" s="561">
        <v>0</v>
      </c>
      <c r="K5382" s="561">
        <v>0</v>
      </c>
      <c r="L5382" s="561">
        <v>0</v>
      </c>
      <c r="M5382" s="561">
        <v>0</v>
      </c>
      <c r="N5382" s="561">
        <v>0</v>
      </c>
      <c r="O5382" s="561">
        <v>0</v>
      </c>
      <c r="P5382" s="561">
        <v>0</v>
      </c>
      <c r="Q5382" s="561">
        <v>0</v>
      </c>
    </row>
    <row r="5383" spans="1:38">
      <c r="C5383" s="561" t="s">
        <v>1199</v>
      </c>
      <c r="D5383" s="561">
        <v>15449</v>
      </c>
      <c r="E5383" s="561">
        <v>2916</v>
      </c>
      <c r="F5383" s="561">
        <v>12533</v>
      </c>
      <c r="G5383" s="561">
        <v>852</v>
      </c>
      <c r="H5383" s="561">
        <v>15372.568388533791</v>
      </c>
      <c r="I5383" s="561">
        <v>1</v>
      </c>
      <c r="J5383" s="561">
        <v>271.08751853379226</v>
      </c>
      <c r="K5383" s="561">
        <v>851</v>
      </c>
      <c r="L5383" s="561">
        <v>15101.480869999998</v>
      </c>
      <c r="M5383" s="561">
        <v>15101.480871107729</v>
      </c>
      <c r="N5383" s="561">
        <v>2592</v>
      </c>
      <c r="O5383" s="561">
        <v>324</v>
      </c>
      <c r="P5383" s="561">
        <v>12185.480870000001</v>
      </c>
      <c r="Q5383" s="561">
        <v>12185.480870000001</v>
      </c>
    </row>
    <row r="5384" spans="1:38">
      <c r="A5384" s="561">
        <v>7</v>
      </c>
      <c r="B5384" s="561" t="s">
        <v>1701</v>
      </c>
      <c r="C5384" s="561" t="s">
        <v>1267</v>
      </c>
      <c r="D5384" s="561">
        <v>13200</v>
      </c>
      <c r="E5384" s="561">
        <v>3960</v>
      </c>
      <c r="F5384" s="561">
        <v>9240</v>
      </c>
      <c r="G5384" s="561">
        <v>136</v>
      </c>
      <c r="H5384" s="561">
        <v>13542.080633599151</v>
      </c>
      <c r="I5384" s="561">
        <v>2</v>
      </c>
      <c r="J5384" s="561">
        <v>359.99971359914969</v>
      </c>
      <c r="K5384" s="561">
        <v>134</v>
      </c>
      <c r="L5384" s="561">
        <v>13182.080920000002</v>
      </c>
      <c r="M5384" s="561">
        <v>13182.080920000002</v>
      </c>
      <c r="N5384" s="561">
        <v>3520</v>
      </c>
      <c r="O5384" s="561">
        <v>440</v>
      </c>
      <c r="P5384" s="561">
        <v>9222.0809200000003</v>
      </c>
      <c r="Q5384" s="561">
        <v>9222.0809200000003</v>
      </c>
    </row>
    <row r="5385" spans="1:38">
      <c r="C5385" s="561" t="s">
        <v>1197</v>
      </c>
      <c r="D5385" s="561">
        <v>13200</v>
      </c>
      <c r="E5385" s="561">
        <v>3960</v>
      </c>
      <c r="F5385" s="561">
        <v>9240</v>
      </c>
      <c r="G5385" s="561">
        <v>136</v>
      </c>
      <c r="H5385" s="561">
        <v>13542.080633599151</v>
      </c>
      <c r="I5385" s="561">
        <v>2</v>
      </c>
      <c r="J5385" s="561">
        <v>359.99971359914969</v>
      </c>
      <c r="K5385" s="561">
        <v>134</v>
      </c>
      <c r="L5385" s="561">
        <v>13182.080920000002</v>
      </c>
      <c r="M5385" s="561">
        <v>13182.080920000002</v>
      </c>
      <c r="N5385" s="561">
        <v>3520</v>
      </c>
      <c r="O5385" s="561">
        <v>440</v>
      </c>
      <c r="Q5385" s="561">
        <v>9222.0809200000003</v>
      </c>
      <c r="AL5385" s="561">
        <v>9222.0809200000003</v>
      </c>
    </row>
    <row r="5386" spans="1:38">
      <c r="C5386" s="561" t="s">
        <v>1198</v>
      </c>
      <c r="F5386" s="561">
        <v>0</v>
      </c>
      <c r="G5386" s="561">
        <v>0</v>
      </c>
      <c r="H5386" s="561">
        <v>0</v>
      </c>
      <c r="I5386" s="561">
        <v>0</v>
      </c>
      <c r="J5386" s="561">
        <v>0</v>
      </c>
      <c r="K5386" s="561">
        <v>0</v>
      </c>
      <c r="L5386" s="561">
        <v>0</v>
      </c>
      <c r="M5386" s="561">
        <v>0</v>
      </c>
      <c r="N5386" s="561">
        <v>0</v>
      </c>
      <c r="O5386" s="561">
        <v>0</v>
      </c>
      <c r="P5386" s="561">
        <v>0</v>
      </c>
      <c r="Q5386" s="561">
        <v>0</v>
      </c>
    </row>
    <row r="5387" spans="1:38">
      <c r="C5387" s="561" t="s">
        <v>1199</v>
      </c>
      <c r="F5387" s="561">
        <v>0</v>
      </c>
      <c r="G5387" s="561">
        <v>0</v>
      </c>
      <c r="H5387" s="561">
        <v>0</v>
      </c>
      <c r="I5387" s="561">
        <v>0</v>
      </c>
      <c r="J5387" s="561">
        <v>0</v>
      </c>
      <c r="K5387" s="561">
        <v>0</v>
      </c>
      <c r="L5387" s="561">
        <v>0</v>
      </c>
      <c r="M5387" s="561">
        <v>0</v>
      </c>
      <c r="N5387" s="561">
        <v>0</v>
      </c>
      <c r="O5387" s="561">
        <v>0</v>
      </c>
      <c r="P5387" s="561">
        <v>0</v>
      </c>
      <c r="Q5387" s="561">
        <v>0</v>
      </c>
    </row>
    <row r="5388" spans="1:38">
      <c r="A5388" s="561">
        <v>8</v>
      </c>
      <c r="B5388" s="561" t="s">
        <v>1702</v>
      </c>
      <c r="C5388" s="561" t="s">
        <v>1267</v>
      </c>
      <c r="D5388" s="561">
        <v>617300</v>
      </c>
      <c r="E5388" s="561">
        <v>176190</v>
      </c>
      <c r="F5388" s="561">
        <v>441110</v>
      </c>
      <c r="G5388" s="561">
        <v>8722</v>
      </c>
      <c r="H5388" s="561">
        <v>658771.80510999996</v>
      </c>
      <c r="I5388" s="561">
        <v>94</v>
      </c>
      <c r="J5388" s="561">
        <v>36608.886539999941</v>
      </c>
      <c r="K5388" s="561">
        <v>8628</v>
      </c>
      <c r="L5388" s="561">
        <v>622162.91856999998</v>
      </c>
      <c r="M5388" s="561">
        <v>617300.0006949699</v>
      </c>
      <c r="N5388" s="561">
        <v>149356.66800000001</v>
      </c>
      <c r="O5388" s="561">
        <v>26833.332999999999</v>
      </c>
      <c r="P5388" s="561">
        <v>441109.9996949698</v>
      </c>
      <c r="Q5388" s="561">
        <v>441110</v>
      </c>
    </row>
    <row r="5389" spans="1:38">
      <c r="C5389" s="561" t="s">
        <v>1197</v>
      </c>
      <c r="D5389" s="561">
        <v>605300</v>
      </c>
      <c r="E5389" s="561">
        <v>173880</v>
      </c>
      <c r="F5389" s="561">
        <v>431420</v>
      </c>
      <c r="G5389" s="561">
        <v>8062</v>
      </c>
      <c r="H5389" s="561">
        <v>646701.06733999995</v>
      </c>
      <c r="I5389" s="561">
        <v>92</v>
      </c>
      <c r="J5389" s="561">
        <v>36399.030349999943</v>
      </c>
      <c r="K5389" s="561">
        <v>7970</v>
      </c>
      <c r="L5389" s="561">
        <v>610302.03698999994</v>
      </c>
      <c r="M5389" s="561">
        <v>606129.22981496993</v>
      </c>
      <c r="N5389" s="561">
        <v>147560</v>
      </c>
      <c r="O5389" s="561">
        <v>26320</v>
      </c>
      <c r="Q5389" s="561">
        <v>432249.23012000002</v>
      </c>
      <c r="AL5389" s="561">
        <v>432249.22981496982</v>
      </c>
    </row>
    <row r="5390" spans="1:38">
      <c r="C5390" s="561" t="s">
        <v>1198</v>
      </c>
      <c r="F5390" s="561">
        <v>0</v>
      </c>
      <c r="G5390" s="561">
        <v>0</v>
      </c>
      <c r="H5390" s="561">
        <v>0</v>
      </c>
      <c r="I5390" s="561">
        <v>0</v>
      </c>
      <c r="J5390" s="561">
        <v>0</v>
      </c>
      <c r="K5390" s="561">
        <v>0</v>
      </c>
      <c r="L5390" s="561">
        <v>0</v>
      </c>
      <c r="M5390" s="561">
        <v>0</v>
      </c>
      <c r="N5390" s="561">
        <v>0</v>
      </c>
      <c r="O5390" s="561">
        <v>0</v>
      </c>
      <c r="P5390" s="561">
        <v>0</v>
      </c>
      <c r="Q5390" s="561">
        <v>0</v>
      </c>
    </row>
    <row r="5391" spans="1:38">
      <c r="C5391" s="561" t="s">
        <v>1199</v>
      </c>
      <c r="D5391" s="561">
        <v>12000</v>
      </c>
      <c r="E5391" s="561">
        <v>2310</v>
      </c>
      <c r="F5391" s="561">
        <v>9690</v>
      </c>
      <c r="G5391" s="561">
        <v>660</v>
      </c>
      <c r="H5391" s="561">
        <v>12070.73777</v>
      </c>
      <c r="I5391" s="561">
        <v>2</v>
      </c>
      <c r="J5391" s="561">
        <v>209.85618999999986</v>
      </c>
      <c r="K5391" s="561">
        <v>658</v>
      </c>
      <c r="L5391" s="561">
        <v>11860.881579999997</v>
      </c>
      <c r="M5391" s="561">
        <v>11170.77088</v>
      </c>
      <c r="N5391" s="561">
        <v>1796.6679999999997</v>
      </c>
      <c r="O5391" s="561">
        <v>513.33299999999997</v>
      </c>
      <c r="P5391" s="561">
        <v>8860.7698799999998</v>
      </c>
      <c r="Q5391" s="561">
        <v>8860.7698799999998</v>
      </c>
    </row>
    <row r="5392" spans="1:38">
      <c r="A5392" s="561">
        <v>9</v>
      </c>
      <c r="B5392" s="561" t="s">
        <v>1703</v>
      </c>
      <c r="C5392" s="561" t="s">
        <v>1267</v>
      </c>
      <c r="D5392" s="561">
        <v>633729</v>
      </c>
      <c r="E5392" s="561">
        <v>161018.69999999998</v>
      </c>
      <c r="F5392" s="561">
        <v>472710.30000000005</v>
      </c>
      <c r="G5392" s="561">
        <v>9100</v>
      </c>
      <c r="H5392" s="561">
        <v>661172.36919</v>
      </c>
      <c r="I5392" s="561">
        <v>43</v>
      </c>
      <c r="J5392" s="561">
        <v>27442.881380000028</v>
      </c>
      <c r="K5392" s="561">
        <v>9057</v>
      </c>
      <c r="L5392" s="561">
        <v>633729.48780999985</v>
      </c>
      <c r="M5392" s="561">
        <v>633728.99965999997</v>
      </c>
      <c r="N5392" s="561">
        <v>134211.63399999999</v>
      </c>
      <c r="O5392" s="561">
        <v>26807.066000000003</v>
      </c>
      <c r="P5392" s="561">
        <v>472710.29965999996</v>
      </c>
      <c r="Q5392" s="561">
        <v>472710.3</v>
      </c>
    </row>
    <row r="5393" spans="1:38">
      <c r="C5393" s="561" t="s">
        <v>1197</v>
      </c>
      <c r="D5393" s="561">
        <v>610354</v>
      </c>
      <c r="E5393" s="561">
        <v>157658.69999999998</v>
      </c>
      <c r="F5393" s="561">
        <v>452695.30000000005</v>
      </c>
      <c r="G5393" s="561">
        <v>7868</v>
      </c>
      <c r="H5393" s="561">
        <v>637510.0355</v>
      </c>
      <c r="I5393" s="561">
        <v>43</v>
      </c>
      <c r="J5393" s="561">
        <v>27136.52215000003</v>
      </c>
      <c r="K5393" s="561">
        <v>7825</v>
      </c>
      <c r="L5393" s="561">
        <v>610373.51334999991</v>
      </c>
      <c r="M5393" s="561">
        <v>610373.02520999999</v>
      </c>
      <c r="N5393" s="561">
        <v>131598.29999999999</v>
      </c>
      <c r="O5393" s="561">
        <v>26060.400000000001</v>
      </c>
      <c r="Q5393" s="561">
        <v>452714.32555000001</v>
      </c>
      <c r="AL5393" s="561">
        <v>452714.32520999998</v>
      </c>
    </row>
    <row r="5394" spans="1:38">
      <c r="C5394" s="561" t="s">
        <v>1198</v>
      </c>
      <c r="F5394" s="561">
        <v>0</v>
      </c>
      <c r="G5394" s="561">
        <v>0</v>
      </c>
      <c r="H5394" s="561">
        <v>0</v>
      </c>
      <c r="I5394" s="561">
        <v>0</v>
      </c>
      <c r="J5394" s="561">
        <v>0</v>
      </c>
      <c r="K5394" s="561">
        <v>0</v>
      </c>
      <c r="L5394" s="561">
        <v>0</v>
      </c>
      <c r="M5394" s="561">
        <v>0</v>
      </c>
      <c r="N5394" s="561">
        <v>0</v>
      </c>
      <c r="O5394" s="561">
        <v>0</v>
      </c>
      <c r="P5394" s="561">
        <v>0</v>
      </c>
      <c r="Q5394" s="561">
        <v>0</v>
      </c>
    </row>
    <row r="5395" spans="1:38">
      <c r="C5395" s="561" t="s">
        <v>1199</v>
      </c>
      <c r="D5395" s="561">
        <v>23375</v>
      </c>
      <c r="E5395" s="561">
        <v>3360</v>
      </c>
      <c r="F5395" s="561">
        <v>20015</v>
      </c>
      <c r="G5395" s="561">
        <v>1232</v>
      </c>
      <c r="H5395" s="561">
        <v>23662.333689999996</v>
      </c>
      <c r="I5395" s="561">
        <v>0</v>
      </c>
      <c r="J5395" s="561">
        <v>306.35922999999957</v>
      </c>
      <c r="K5395" s="561">
        <v>1232</v>
      </c>
      <c r="L5395" s="561">
        <v>23355.974459999998</v>
      </c>
      <c r="M5395" s="561">
        <v>23355.974449999994</v>
      </c>
      <c r="N5395" s="561">
        <v>2613.3340000000003</v>
      </c>
      <c r="O5395" s="561">
        <v>746.66599999999994</v>
      </c>
      <c r="P5395" s="561">
        <v>19995.974450000002</v>
      </c>
      <c r="Q5395" s="561">
        <v>19995.974450000002</v>
      </c>
    </row>
    <row r="5396" spans="1:38">
      <c r="A5396" s="561">
        <v>10</v>
      </c>
      <c r="B5396" s="561" t="s">
        <v>1704</v>
      </c>
      <c r="C5396" s="561" t="s">
        <v>1267</v>
      </c>
      <c r="D5396" s="561">
        <v>431741</v>
      </c>
      <c r="E5396" s="561">
        <v>109991.7</v>
      </c>
      <c r="F5396" s="561">
        <v>321749.3</v>
      </c>
      <c r="G5396" s="561">
        <v>7356</v>
      </c>
      <c r="H5396" s="561">
        <v>454679.05463999999</v>
      </c>
      <c r="I5396" s="561">
        <v>35</v>
      </c>
      <c r="J5396" s="561">
        <v>22935.140759999998</v>
      </c>
      <c r="K5396" s="561">
        <v>7321</v>
      </c>
      <c r="L5396" s="561">
        <v>431743.91387999995</v>
      </c>
      <c r="M5396" s="561">
        <v>431740.99999999994</v>
      </c>
      <c r="N5396" s="561">
        <v>91270.400000000009</v>
      </c>
      <c r="O5396" s="561">
        <v>18721.3</v>
      </c>
      <c r="P5396" s="561">
        <v>321749.3</v>
      </c>
      <c r="Q5396" s="561">
        <v>321749.3</v>
      </c>
    </row>
    <row r="5397" spans="1:38">
      <c r="C5397" s="561" t="s">
        <v>1197</v>
      </c>
      <c r="D5397" s="561">
        <v>402471</v>
      </c>
      <c r="E5397" s="561">
        <v>104951.7</v>
      </c>
      <c r="F5397" s="561">
        <v>297519.3</v>
      </c>
      <c r="G5397" s="561">
        <v>5668</v>
      </c>
      <c r="H5397" s="561">
        <v>425852.13626999996</v>
      </c>
      <c r="I5397" s="561">
        <v>31</v>
      </c>
      <c r="J5397" s="561">
        <v>22589.448349999999</v>
      </c>
      <c r="K5397" s="561">
        <v>5637</v>
      </c>
      <c r="L5397" s="561">
        <v>403262.68791999994</v>
      </c>
      <c r="M5397" s="561">
        <v>403259.77403999993</v>
      </c>
      <c r="N5397" s="561">
        <v>86790.400000000009</v>
      </c>
      <c r="O5397" s="561">
        <v>18161.3</v>
      </c>
      <c r="Q5397" s="561">
        <v>298308.07403999998</v>
      </c>
      <c r="AL5397" s="561">
        <v>298308.07403999998</v>
      </c>
    </row>
    <row r="5398" spans="1:38">
      <c r="C5398" s="561" t="s">
        <v>1198</v>
      </c>
      <c r="F5398" s="561">
        <v>0</v>
      </c>
      <c r="G5398" s="561">
        <v>0</v>
      </c>
      <c r="H5398" s="561">
        <v>0</v>
      </c>
      <c r="I5398" s="561">
        <v>0</v>
      </c>
      <c r="J5398" s="561">
        <v>0</v>
      </c>
      <c r="K5398" s="561">
        <v>0</v>
      </c>
      <c r="L5398" s="561">
        <v>0</v>
      </c>
      <c r="M5398" s="561">
        <v>0</v>
      </c>
      <c r="N5398" s="561">
        <v>0</v>
      </c>
      <c r="O5398" s="561">
        <v>0</v>
      </c>
      <c r="P5398" s="561">
        <v>0</v>
      </c>
      <c r="Q5398" s="561">
        <v>0</v>
      </c>
    </row>
    <row r="5399" spans="1:38">
      <c r="C5399" s="561" t="s">
        <v>1199</v>
      </c>
      <c r="D5399" s="561">
        <v>29270</v>
      </c>
      <c r="E5399" s="561">
        <v>5040</v>
      </c>
      <c r="F5399" s="561">
        <v>24230</v>
      </c>
      <c r="G5399" s="561">
        <v>1688</v>
      </c>
      <c r="H5399" s="561">
        <v>28826.918370000003</v>
      </c>
      <c r="I5399" s="561">
        <v>4</v>
      </c>
      <c r="J5399" s="561">
        <v>345.69241000000034</v>
      </c>
      <c r="K5399" s="561">
        <v>1684</v>
      </c>
      <c r="L5399" s="561">
        <v>28481.225960000003</v>
      </c>
      <c r="M5399" s="561">
        <v>28481.225960000003</v>
      </c>
      <c r="N5399" s="561">
        <v>4480</v>
      </c>
      <c r="O5399" s="561">
        <v>560</v>
      </c>
      <c r="P5399" s="561">
        <v>23441.225960000003</v>
      </c>
      <c r="Q5399" s="561">
        <v>23441.22596</v>
      </c>
    </row>
    <row r="5400" spans="1:38">
      <c r="A5400" s="561">
        <v>11</v>
      </c>
      <c r="B5400" s="561" t="s">
        <v>1705</v>
      </c>
      <c r="C5400" s="561" t="s">
        <v>1267</v>
      </c>
      <c r="D5400" s="561">
        <v>272065</v>
      </c>
      <c r="E5400" s="561">
        <v>64680</v>
      </c>
      <c r="F5400" s="561">
        <v>207385</v>
      </c>
      <c r="G5400" s="561">
        <v>4292</v>
      </c>
      <c r="H5400" s="561">
        <v>277672.9278</v>
      </c>
      <c r="I5400" s="561">
        <v>6</v>
      </c>
      <c r="J5400" s="561">
        <v>5607.779429999995</v>
      </c>
      <c r="K5400" s="561">
        <v>4286</v>
      </c>
      <c r="L5400" s="561">
        <v>272065.14837000001</v>
      </c>
      <c r="M5400" s="561">
        <v>272064.99997</v>
      </c>
      <c r="N5400" s="561">
        <v>52262.81900000001</v>
      </c>
      <c r="O5400" s="561">
        <v>12417.180000000002</v>
      </c>
      <c r="P5400" s="561">
        <v>207385.00097000002</v>
      </c>
      <c r="Q5400" s="561">
        <v>207385.00000000003</v>
      </c>
    </row>
    <row r="5401" spans="1:38">
      <c r="C5401" s="561" t="s">
        <v>1197</v>
      </c>
      <c r="D5401" s="561">
        <v>239615</v>
      </c>
      <c r="E5401" s="561">
        <v>56160</v>
      </c>
      <c r="F5401" s="561">
        <v>183455</v>
      </c>
      <c r="G5401" s="561">
        <v>2752</v>
      </c>
      <c r="H5401" s="561">
        <v>237810.22770000002</v>
      </c>
      <c r="I5401" s="561">
        <v>4</v>
      </c>
      <c r="J5401" s="561">
        <v>4004.0124399999931</v>
      </c>
      <c r="K5401" s="561">
        <v>2748</v>
      </c>
      <c r="L5401" s="561">
        <v>233806.21526000003</v>
      </c>
      <c r="M5401" s="561">
        <v>233806.06686000002</v>
      </c>
      <c r="N5401" s="561">
        <v>45634.237000000001</v>
      </c>
      <c r="O5401" s="561">
        <v>10525.762000000001</v>
      </c>
      <c r="Q5401" s="561">
        <v>177646.06689000002</v>
      </c>
      <c r="AL5401" s="561">
        <v>177646.06786000001</v>
      </c>
    </row>
    <row r="5402" spans="1:38">
      <c r="C5402" s="561" t="s">
        <v>1198</v>
      </c>
      <c r="D5402" s="561">
        <v>12300</v>
      </c>
      <c r="E5402" s="561">
        <v>3690</v>
      </c>
      <c r="F5402" s="561">
        <v>8610</v>
      </c>
      <c r="G5402" s="561">
        <v>22</v>
      </c>
      <c r="H5402" s="561">
        <v>13185.14104</v>
      </c>
      <c r="I5402" s="561">
        <v>0</v>
      </c>
      <c r="J5402" s="561">
        <v>1462.2069100000008</v>
      </c>
      <c r="K5402" s="561">
        <v>22</v>
      </c>
      <c r="L5402" s="561">
        <v>11722.93413</v>
      </c>
      <c r="M5402" s="561">
        <v>11722.93413</v>
      </c>
      <c r="N5402" s="561">
        <v>2871.915</v>
      </c>
      <c r="O5402" s="561">
        <v>818.08500000000004</v>
      </c>
      <c r="P5402" s="561">
        <v>8032.9341299999996</v>
      </c>
      <c r="Q5402" s="561">
        <v>8032.9341299999996</v>
      </c>
    </row>
    <row r="5403" spans="1:38">
      <c r="C5403" s="561" t="s">
        <v>1199</v>
      </c>
      <c r="D5403" s="561">
        <v>20150</v>
      </c>
      <c r="E5403" s="561">
        <v>4830</v>
      </c>
      <c r="F5403" s="561">
        <v>15320</v>
      </c>
      <c r="G5403" s="561">
        <v>1518</v>
      </c>
      <c r="H5403" s="561">
        <v>26677.55906</v>
      </c>
      <c r="I5403" s="561">
        <v>2</v>
      </c>
      <c r="J5403" s="561">
        <v>141.56008000000156</v>
      </c>
      <c r="K5403" s="561">
        <v>1516</v>
      </c>
      <c r="L5403" s="561">
        <v>26535.99898</v>
      </c>
      <c r="M5403" s="561">
        <v>26535.99898</v>
      </c>
      <c r="N5403" s="561">
        <v>3756.6670000000099</v>
      </c>
      <c r="O5403" s="561">
        <v>1073.3330000000001</v>
      </c>
      <c r="P5403" s="561">
        <v>21705.99898</v>
      </c>
      <c r="Q5403" s="561">
        <v>21705.99898</v>
      </c>
    </row>
    <row r="5404" spans="1:38">
      <c r="A5404" s="561">
        <v>12</v>
      </c>
      <c r="B5404" s="561" t="s">
        <v>1706</v>
      </c>
      <c r="C5404" s="561" t="s">
        <v>1267</v>
      </c>
      <c r="D5404" s="561">
        <v>429136</v>
      </c>
      <c r="E5404" s="561">
        <v>102633</v>
      </c>
      <c r="F5404" s="561">
        <v>326503</v>
      </c>
      <c r="G5404" s="561">
        <v>6224</v>
      </c>
      <c r="H5404" s="561">
        <v>449779.29525999993</v>
      </c>
      <c r="I5404" s="561">
        <v>45</v>
      </c>
      <c r="J5404" s="561">
        <v>20623.633729999976</v>
      </c>
      <c r="K5404" s="561">
        <v>6179</v>
      </c>
      <c r="L5404" s="561">
        <v>429136.95973</v>
      </c>
      <c r="M5404" s="561">
        <v>429135.99998000002</v>
      </c>
      <c r="N5404" s="561">
        <v>96931.167000000001</v>
      </c>
      <c r="O5404" s="561">
        <v>5701.8329999999996</v>
      </c>
      <c r="P5404" s="561">
        <v>326503</v>
      </c>
      <c r="Q5404" s="561">
        <v>326503</v>
      </c>
    </row>
    <row r="5405" spans="1:38">
      <c r="C5405" s="561" t="s">
        <v>1197</v>
      </c>
      <c r="D5405" s="561">
        <v>417154</v>
      </c>
      <c r="E5405" s="561">
        <v>100293</v>
      </c>
      <c r="F5405" s="561">
        <v>316861</v>
      </c>
      <c r="G5405" s="561">
        <v>5296</v>
      </c>
      <c r="H5405" s="561">
        <v>433852.21974999993</v>
      </c>
      <c r="I5405" s="561">
        <v>39</v>
      </c>
      <c r="J5405" s="561">
        <v>20336.672989999974</v>
      </c>
      <c r="K5405" s="561">
        <v>5257</v>
      </c>
      <c r="L5405" s="561">
        <v>413515.54676</v>
      </c>
      <c r="M5405" s="561">
        <v>413514.58701000002</v>
      </c>
      <c r="N5405" s="561">
        <v>94721.167000000001</v>
      </c>
      <c r="O5405" s="561">
        <v>5571.8329999999996</v>
      </c>
      <c r="Q5405" s="561">
        <v>313221.58701000002</v>
      </c>
      <c r="AL5405" s="561">
        <v>313221.58701000002</v>
      </c>
    </row>
    <row r="5406" spans="1:38">
      <c r="C5406" s="561" t="s">
        <v>1198</v>
      </c>
      <c r="F5406" s="561">
        <v>0</v>
      </c>
      <c r="G5406" s="561">
        <v>0</v>
      </c>
      <c r="H5406" s="561">
        <v>0</v>
      </c>
      <c r="I5406" s="561">
        <v>0</v>
      </c>
      <c r="J5406" s="561">
        <v>0</v>
      </c>
      <c r="K5406" s="561">
        <v>0</v>
      </c>
      <c r="L5406" s="561">
        <v>0</v>
      </c>
      <c r="M5406" s="561">
        <v>0</v>
      </c>
      <c r="N5406" s="561">
        <v>0</v>
      </c>
      <c r="O5406" s="561">
        <v>0</v>
      </c>
      <c r="P5406" s="561">
        <v>0</v>
      </c>
      <c r="Q5406" s="561">
        <v>0</v>
      </c>
    </row>
    <row r="5407" spans="1:38">
      <c r="C5407" s="561" t="s">
        <v>1199</v>
      </c>
      <c r="D5407" s="561">
        <v>11982</v>
      </c>
      <c r="E5407" s="561">
        <v>2340</v>
      </c>
      <c r="F5407" s="561">
        <v>9642</v>
      </c>
      <c r="G5407" s="561">
        <v>928</v>
      </c>
      <c r="H5407" s="561">
        <v>15927.075509999999</v>
      </c>
      <c r="I5407" s="561">
        <v>6</v>
      </c>
      <c r="J5407" s="561">
        <v>286.96074000000112</v>
      </c>
      <c r="K5407" s="561">
        <v>922</v>
      </c>
      <c r="L5407" s="561">
        <v>15621.412969999999</v>
      </c>
      <c r="M5407" s="561">
        <v>15621.412969999999</v>
      </c>
      <c r="N5407" s="561">
        <v>2210</v>
      </c>
      <c r="O5407" s="561">
        <v>130</v>
      </c>
      <c r="P5407" s="561">
        <v>13281.412989999999</v>
      </c>
      <c r="Q5407" s="561">
        <v>13281.412989999999</v>
      </c>
    </row>
    <row r="5408" spans="1:38">
      <c r="A5408" s="561">
        <v>13</v>
      </c>
      <c r="B5408" s="561" t="s">
        <v>1707</v>
      </c>
      <c r="C5408" s="561" t="s">
        <v>1267</v>
      </c>
      <c r="D5408" s="561">
        <v>333306</v>
      </c>
      <c r="E5408" s="561">
        <v>90661.8</v>
      </c>
      <c r="F5408" s="561">
        <v>242644.2</v>
      </c>
      <c r="G5408" s="561">
        <v>4900</v>
      </c>
      <c r="H5408" s="561">
        <v>346615.78058999998</v>
      </c>
      <c r="I5408" s="561">
        <v>44</v>
      </c>
      <c r="J5408" s="561">
        <v>13305.728550000003</v>
      </c>
      <c r="K5408" s="561">
        <v>4856</v>
      </c>
      <c r="L5408" s="561">
        <v>333310.05204000004</v>
      </c>
      <c r="M5408" s="561">
        <v>333306.00001000002</v>
      </c>
      <c r="N5408" s="561">
        <v>80588.267000000007</v>
      </c>
      <c r="O5408" s="561">
        <v>10073.532999999999</v>
      </c>
      <c r="P5408" s="561">
        <v>242644.20001000003</v>
      </c>
      <c r="Q5408" s="561">
        <v>242644.20000000004</v>
      </c>
    </row>
    <row r="5409" spans="1:38">
      <c r="C5409" s="561" t="s">
        <v>1197</v>
      </c>
      <c r="D5409" s="561">
        <v>330906</v>
      </c>
      <c r="E5409" s="561">
        <v>90031.8</v>
      </c>
      <c r="F5409" s="561">
        <v>240874.2</v>
      </c>
      <c r="G5409" s="561">
        <v>4744</v>
      </c>
      <c r="H5409" s="561">
        <v>344172.20329999999</v>
      </c>
      <c r="I5409" s="561">
        <v>44</v>
      </c>
      <c r="J5409" s="561">
        <v>13265.082810000004</v>
      </c>
      <c r="K5409" s="561">
        <v>4700</v>
      </c>
      <c r="L5409" s="561">
        <v>330907.12049000006</v>
      </c>
      <c r="M5409" s="561">
        <v>330903.06846000004</v>
      </c>
      <c r="N5409" s="561">
        <v>80028.267000000007</v>
      </c>
      <c r="O5409" s="561">
        <v>10003.532999999999</v>
      </c>
      <c r="Q5409" s="561">
        <v>240871.26846000005</v>
      </c>
      <c r="AL5409" s="561">
        <v>240871.26846000002</v>
      </c>
    </row>
    <row r="5410" spans="1:38">
      <c r="C5410" s="561" t="s">
        <v>1198</v>
      </c>
      <c r="F5410" s="561">
        <v>0</v>
      </c>
      <c r="G5410" s="561">
        <v>0</v>
      </c>
      <c r="H5410" s="561">
        <v>0</v>
      </c>
      <c r="I5410" s="561">
        <v>0</v>
      </c>
      <c r="J5410" s="561">
        <v>0</v>
      </c>
      <c r="K5410" s="561">
        <v>0</v>
      </c>
      <c r="L5410" s="561">
        <v>0</v>
      </c>
      <c r="M5410" s="561">
        <v>0</v>
      </c>
      <c r="N5410" s="561">
        <v>0</v>
      </c>
      <c r="O5410" s="561">
        <v>0</v>
      </c>
      <c r="P5410" s="561">
        <v>0</v>
      </c>
      <c r="Q5410" s="561">
        <v>0</v>
      </c>
    </row>
    <row r="5411" spans="1:38">
      <c r="C5411" s="561" t="s">
        <v>1199</v>
      </c>
      <c r="D5411" s="561">
        <v>2400</v>
      </c>
      <c r="E5411" s="561">
        <v>630</v>
      </c>
      <c r="F5411" s="561">
        <v>1770</v>
      </c>
      <c r="G5411" s="561">
        <v>156</v>
      </c>
      <c r="H5411" s="561">
        <v>2443.5772899999997</v>
      </c>
      <c r="I5411" s="561">
        <v>0</v>
      </c>
      <c r="J5411" s="561">
        <v>40.645739999999478</v>
      </c>
      <c r="K5411" s="561">
        <v>156</v>
      </c>
      <c r="L5411" s="561">
        <v>2402.9315500000002</v>
      </c>
      <c r="M5411" s="561">
        <v>2402.9315500000002</v>
      </c>
      <c r="N5411" s="561">
        <v>560</v>
      </c>
      <c r="O5411" s="561">
        <v>70</v>
      </c>
      <c r="P5411" s="561">
        <v>1772.93155</v>
      </c>
      <c r="Q5411" s="561">
        <v>1772.93154</v>
      </c>
    </row>
    <row r="5412" spans="1:38">
      <c r="A5412" s="561">
        <v>14</v>
      </c>
      <c r="B5412" s="561" t="s">
        <v>1708</v>
      </c>
      <c r="C5412" s="561" t="s">
        <v>1267</v>
      </c>
      <c r="D5412" s="561">
        <v>515795</v>
      </c>
      <c r="E5412" s="561">
        <v>133738.5</v>
      </c>
      <c r="F5412" s="561">
        <v>382056.5</v>
      </c>
      <c r="G5412" s="561">
        <v>6704</v>
      </c>
      <c r="H5412" s="561">
        <v>537604.77719999989</v>
      </c>
      <c r="I5412" s="561">
        <v>38</v>
      </c>
      <c r="J5412" s="561">
        <v>21805.77314999995</v>
      </c>
      <c r="K5412" s="561">
        <v>6666</v>
      </c>
      <c r="L5412" s="561">
        <v>515799.00404999993</v>
      </c>
      <c r="M5412" s="561">
        <v>515795.00000999996</v>
      </c>
      <c r="N5412" s="561">
        <v>108612.277</v>
      </c>
      <c r="O5412" s="561">
        <v>25126.222999999998</v>
      </c>
      <c r="P5412" s="561">
        <v>382056.50000999996</v>
      </c>
      <c r="Q5412" s="561">
        <v>382056.49999999994</v>
      </c>
    </row>
    <row r="5413" spans="1:38">
      <c r="C5413" s="561" t="s">
        <v>1197</v>
      </c>
      <c r="D5413" s="561">
        <v>510895</v>
      </c>
      <c r="E5413" s="561">
        <v>132268.5</v>
      </c>
      <c r="F5413" s="561">
        <v>378626.5</v>
      </c>
      <c r="G5413" s="561">
        <v>6436</v>
      </c>
      <c r="H5413" s="561">
        <v>533399.80862999987</v>
      </c>
      <c r="I5413" s="561">
        <v>29</v>
      </c>
      <c r="J5413" s="561">
        <v>21602.68010999995</v>
      </c>
      <c r="K5413" s="561">
        <v>6407</v>
      </c>
      <c r="L5413" s="561">
        <v>511797.12851999991</v>
      </c>
      <c r="M5413" s="561">
        <v>511793.12447999994</v>
      </c>
      <c r="N5413" s="561">
        <v>107305.61</v>
      </c>
      <c r="O5413" s="561">
        <v>24962.89</v>
      </c>
      <c r="Q5413" s="561">
        <v>379524.62447999994</v>
      </c>
      <c r="AL5413" s="561">
        <v>379524.62447999994</v>
      </c>
    </row>
    <row r="5414" spans="1:38">
      <c r="C5414" s="561" t="s">
        <v>1198</v>
      </c>
      <c r="F5414" s="561">
        <v>0</v>
      </c>
      <c r="G5414" s="561">
        <v>0</v>
      </c>
      <c r="H5414" s="561">
        <v>0</v>
      </c>
      <c r="I5414" s="561">
        <v>0</v>
      </c>
      <c r="J5414" s="561">
        <v>0</v>
      </c>
      <c r="K5414" s="561">
        <v>0</v>
      </c>
      <c r="L5414" s="561">
        <v>0</v>
      </c>
      <c r="M5414" s="561">
        <v>0</v>
      </c>
      <c r="N5414" s="561">
        <v>0</v>
      </c>
      <c r="O5414" s="561">
        <v>0</v>
      </c>
      <c r="P5414" s="561">
        <v>0</v>
      </c>
      <c r="Q5414" s="561">
        <v>0</v>
      </c>
    </row>
    <row r="5415" spans="1:38">
      <c r="C5415" s="561" t="s">
        <v>1199</v>
      </c>
      <c r="D5415" s="561">
        <v>4900</v>
      </c>
      <c r="E5415" s="561">
        <v>1470</v>
      </c>
      <c r="F5415" s="561">
        <v>3430</v>
      </c>
      <c r="G5415" s="561">
        <v>268</v>
      </c>
      <c r="H5415" s="561">
        <v>4204.96857</v>
      </c>
      <c r="I5415" s="561">
        <v>9</v>
      </c>
      <c r="J5415" s="561">
        <v>203.09303999999977</v>
      </c>
      <c r="K5415" s="561">
        <v>259</v>
      </c>
      <c r="L5415" s="561">
        <v>4001.8755300000003</v>
      </c>
      <c r="M5415" s="561">
        <v>4001.8755300000003</v>
      </c>
      <c r="N5415" s="561">
        <v>1306.6669999999999</v>
      </c>
      <c r="O5415" s="561">
        <v>163.333</v>
      </c>
      <c r="P5415" s="561">
        <v>2531.8755299999998</v>
      </c>
      <c r="Q5415" s="561">
        <v>2531.8755200000001</v>
      </c>
    </row>
    <row r="5416" spans="1:38">
      <c r="A5416" s="561">
        <v>15</v>
      </c>
      <c r="B5416" s="561" t="s">
        <v>1709</v>
      </c>
      <c r="C5416" s="561" t="s">
        <v>1267</v>
      </c>
      <c r="D5416" s="561">
        <v>514551</v>
      </c>
      <c r="E5416" s="561">
        <v>129612</v>
      </c>
      <c r="F5416" s="561">
        <v>384939</v>
      </c>
      <c r="G5416" s="561">
        <v>8127</v>
      </c>
      <c r="H5416" s="561">
        <v>539803.75982000004</v>
      </c>
      <c r="I5416" s="561">
        <v>75</v>
      </c>
      <c r="J5416" s="561">
        <v>19959.993010000075</v>
      </c>
      <c r="K5416" s="561">
        <v>8052</v>
      </c>
      <c r="L5416" s="561">
        <v>519843.76680999988</v>
      </c>
      <c r="M5416" s="561">
        <v>514550.66003999993</v>
      </c>
      <c r="N5416" s="561">
        <v>108892.58500000001</v>
      </c>
      <c r="O5416" s="561">
        <v>20719.415000000001</v>
      </c>
      <c r="P5416" s="561">
        <v>384938.66003999999</v>
      </c>
      <c r="Q5416" s="561">
        <v>384938.66003999999</v>
      </c>
    </row>
    <row r="5417" spans="1:38">
      <c r="C5417" s="561" t="s">
        <v>1197</v>
      </c>
      <c r="D5417" s="561">
        <v>496529</v>
      </c>
      <c r="E5417" s="561">
        <v>125496</v>
      </c>
      <c r="F5417" s="561">
        <v>371033</v>
      </c>
      <c r="G5417" s="561">
        <v>7017</v>
      </c>
      <c r="H5417" s="561">
        <v>521193.45335000008</v>
      </c>
      <c r="I5417" s="561">
        <v>51</v>
      </c>
      <c r="J5417" s="561">
        <v>19423.876360000075</v>
      </c>
      <c r="K5417" s="561">
        <v>6966</v>
      </c>
      <c r="L5417" s="561">
        <v>501769.57698999991</v>
      </c>
      <c r="M5417" s="561">
        <v>496476.47021999996</v>
      </c>
      <c r="N5417" s="561">
        <v>105233.91800000001</v>
      </c>
      <c r="O5417" s="561">
        <v>20262.082000000002</v>
      </c>
      <c r="Q5417" s="561">
        <v>370980.47022000002</v>
      </c>
      <c r="AL5417" s="561">
        <v>370980.47022000002</v>
      </c>
    </row>
    <row r="5418" spans="1:38">
      <c r="C5418" s="561" t="s">
        <v>1198</v>
      </c>
      <c r="F5418" s="561">
        <v>0</v>
      </c>
      <c r="G5418" s="561">
        <v>0</v>
      </c>
      <c r="H5418" s="561">
        <v>0</v>
      </c>
      <c r="I5418" s="561">
        <v>0</v>
      </c>
      <c r="J5418" s="561">
        <v>0</v>
      </c>
      <c r="K5418" s="561">
        <v>0</v>
      </c>
      <c r="L5418" s="561">
        <v>0</v>
      </c>
      <c r="M5418" s="561">
        <v>0</v>
      </c>
      <c r="N5418" s="561">
        <v>0</v>
      </c>
      <c r="O5418" s="561">
        <v>0</v>
      </c>
      <c r="P5418" s="561">
        <v>0</v>
      </c>
      <c r="Q5418" s="561">
        <v>0</v>
      </c>
    </row>
    <row r="5419" spans="1:38">
      <c r="C5419" s="561" t="s">
        <v>1199</v>
      </c>
      <c r="D5419" s="561">
        <v>18022</v>
      </c>
      <c r="E5419" s="561">
        <v>4116</v>
      </c>
      <c r="F5419" s="561">
        <v>13906</v>
      </c>
      <c r="G5419" s="561">
        <v>1110</v>
      </c>
      <c r="H5419" s="561">
        <v>18610.30647</v>
      </c>
      <c r="I5419" s="561">
        <v>24</v>
      </c>
      <c r="J5419" s="561">
        <v>536.11665000000164</v>
      </c>
      <c r="K5419" s="561">
        <v>1086</v>
      </c>
      <c r="L5419" s="561">
        <v>18074.189819999996</v>
      </c>
      <c r="M5419" s="561">
        <v>18074.189819999996</v>
      </c>
      <c r="N5419" s="561">
        <v>3658.6670000000004</v>
      </c>
      <c r="O5419" s="561">
        <v>457.33300000000003</v>
      </c>
      <c r="P5419" s="561">
        <v>13958.189819999996</v>
      </c>
      <c r="Q5419" s="561">
        <v>13958.189819999996</v>
      </c>
    </row>
    <row r="5420" spans="1:38">
      <c r="A5420" s="561">
        <v>16</v>
      </c>
      <c r="B5420" s="561" t="s">
        <v>1710</v>
      </c>
      <c r="C5420" s="561" t="s">
        <v>1267</v>
      </c>
      <c r="D5420" s="561">
        <v>301536</v>
      </c>
      <c r="E5420" s="561">
        <v>0</v>
      </c>
      <c r="F5420" s="561">
        <v>301536</v>
      </c>
      <c r="G5420" s="561">
        <v>3289</v>
      </c>
      <c r="H5420" s="561">
        <v>301536.11588000006</v>
      </c>
      <c r="I5420" s="561">
        <v>0</v>
      </c>
      <c r="J5420" s="561">
        <v>0</v>
      </c>
      <c r="K5420" s="561">
        <v>3289</v>
      </c>
      <c r="L5420" s="561">
        <v>301535.99993500003</v>
      </c>
      <c r="M5420" s="561">
        <v>301535.99993500003</v>
      </c>
      <c r="N5420" s="561">
        <v>0</v>
      </c>
      <c r="O5420" s="561">
        <v>0</v>
      </c>
      <c r="P5420" s="561">
        <v>301535.99993500003</v>
      </c>
      <c r="Q5420" s="561">
        <v>301535.99992999999</v>
      </c>
    </row>
    <row r="5421" spans="1:38">
      <c r="C5421" s="561" t="s">
        <v>1197</v>
      </c>
      <c r="D5421" s="561">
        <v>287336</v>
      </c>
      <c r="F5421" s="561">
        <v>287336</v>
      </c>
      <c r="G5421" s="561">
        <v>3211</v>
      </c>
      <c r="H5421" s="561">
        <v>289047.44889500004</v>
      </c>
      <c r="I5421" s="561">
        <v>0</v>
      </c>
      <c r="J5421" s="561">
        <v>0</v>
      </c>
      <c r="K5421" s="561">
        <v>3211</v>
      </c>
      <c r="L5421" s="561">
        <v>289047.33295000001</v>
      </c>
      <c r="M5421" s="561">
        <v>289047.33295000001</v>
      </c>
      <c r="N5421" s="561">
        <v>0</v>
      </c>
      <c r="O5421" s="561">
        <v>0</v>
      </c>
      <c r="Q5421" s="561">
        <v>289047.33295000001</v>
      </c>
      <c r="AL5421" s="561">
        <v>289047.33295000001</v>
      </c>
    </row>
    <row r="5422" spans="1:38">
      <c r="C5422" s="561" t="s">
        <v>1198</v>
      </c>
      <c r="F5422" s="561">
        <v>0</v>
      </c>
      <c r="G5422" s="561">
        <v>0</v>
      </c>
      <c r="H5422" s="561">
        <v>0</v>
      </c>
      <c r="I5422" s="561">
        <v>0</v>
      </c>
      <c r="J5422" s="561">
        <v>0</v>
      </c>
      <c r="K5422" s="561">
        <v>0</v>
      </c>
      <c r="L5422" s="561">
        <v>0</v>
      </c>
      <c r="M5422" s="561">
        <v>0</v>
      </c>
      <c r="N5422" s="561">
        <v>0</v>
      </c>
      <c r="O5422" s="561">
        <v>0</v>
      </c>
      <c r="P5422" s="561">
        <v>0</v>
      </c>
      <c r="Q5422" s="561">
        <v>0</v>
      </c>
    </row>
    <row r="5423" spans="1:38">
      <c r="C5423" s="561" t="s">
        <v>1199</v>
      </c>
      <c r="D5423" s="561">
        <v>14200</v>
      </c>
      <c r="F5423" s="561">
        <v>14200</v>
      </c>
      <c r="G5423" s="561">
        <v>78</v>
      </c>
      <c r="H5423" s="561">
        <v>12488.666985</v>
      </c>
      <c r="I5423" s="561">
        <v>0</v>
      </c>
      <c r="J5423" s="561">
        <v>0</v>
      </c>
      <c r="K5423" s="561">
        <v>78</v>
      </c>
      <c r="L5423" s="561">
        <v>12488.666985</v>
      </c>
      <c r="M5423" s="561">
        <v>12488.666985</v>
      </c>
      <c r="N5423" s="561">
        <v>0</v>
      </c>
      <c r="O5423" s="561">
        <v>0</v>
      </c>
      <c r="P5423" s="561">
        <v>12488.666985</v>
      </c>
      <c r="Q5423" s="561">
        <v>12488.666980000002</v>
      </c>
    </row>
    <row r="5424" spans="1:38">
      <c r="F5424" s="561">
        <v>0</v>
      </c>
      <c r="G5424" s="561">
        <v>0</v>
      </c>
      <c r="H5424" s="561">
        <v>0</v>
      </c>
      <c r="I5424" s="561">
        <v>0</v>
      </c>
      <c r="J5424" s="561">
        <v>0</v>
      </c>
      <c r="K5424" s="561">
        <v>0</v>
      </c>
      <c r="L5424" s="561">
        <v>0</v>
      </c>
      <c r="M5424" s="561">
        <v>0</v>
      </c>
      <c r="P5424" s="561">
        <v>0</v>
      </c>
      <c r="Q5424" s="561">
        <v>0</v>
      </c>
    </row>
    <row r="5425" spans="1:17">
      <c r="F5425" s="561">
        <v>0</v>
      </c>
      <c r="G5425" s="561">
        <v>0</v>
      </c>
      <c r="H5425" s="561">
        <v>0</v>
      </c>
      <c r="I5425" s="561">
        <v>0</v>
      </c>
      <c r="J5425" s="561">
        <v>0</v>
      </c>
      <c r="K5425" s="561">
        <v>0</v>
      </c>
      <c r="L5425" s="561">
        <v>0</v>
      </c>
      <c r="M5425" s="561">
        <v>0</v>
      </c>
      <c r="P5425" s="561">
        <v>0</v>
      </c>
      <c r="Q5425" s="561">
        <v>0</v>
      </c>
    </row>
    <row r="5426" spans="1:17">
      <c r="F5426" s="561">
        <v>0</v>
      </c>
      <c r="G5426" s="561">
        <v>0</v>
      </c>
      <c r="H5426" s="561">
        <v>0</v>
      </c>
      <c r="I5426" s="561">
        <v>0</v>
      </c>
      <c r="J5426" s="561">
        <v>0</v>
      </c>
      <c r="K5426" s="561">
        <v>0</v>
      </c>
      <c r="L5426" s="561">
        <v>0</v>
      </c>
      <c r="M5426" s="561">
        <v>0</v>
      </c>
      <c r="P5426" s="561">
        <v>0</v>
      </c>
      <c r="Q5426" s="561">
        <v>0</v>
      </c>
    </row>
    <row r="5427" spans="1:17">
      <c r="F5427" s="561">
        <v>0</v>
      </c>
      <c r="G5427" s="561">
        <v>0</v>
      </c>
      <c r="H5427" s="561">
        <v>0</v>
      </c>
      <c r="I5427" s="561">
        <v>0</v>
      </c>
      <c r="J5427" s="561">
        <v>0</v>
      </c>
      <c r="K5427" s="561">
        <v>0</v>
      </c>
      <c r="L5427" s="561">
        <v>0</v>
      </c>
      <c r="M5427" s="561">
        <v>0</v>
      </c>
      <c r="P5427" s="561">
        <v>0</v>
      </c>
      <c r="Q5427" s="561">
        <v>0</v>
      </c>
    </row>
    <row r="5428" spans="1:17">
      <c r="F5428" s="561">
        <v>0</v>
      </c>
      <c r="G5428" s="561">
        <v>0</v>
      </c>
      <c r="H5428" s="561">
        <v>0</v>
      </c>
      <c r="I5428" s="561">
        <v>0</v>
      </c>
      <c r="J5428" s="561">
        <v>0</v>
      </c>
      <c r="K5428" s="561">
        <v>0</v>
      </c>
      <c r="L5428" s="561">
        <v>0</v>
      </c>
      <c r="M5428" s="561">
        <v>0</v>
      </c>
      <c r="P5428" s="561">
        <v>0</v>
      </c>
      <c r="Q5428" s="561">
        <v>0</v>
      </c>
    </row>
    <row r="5429" spans="1:17">
      <c r="F5429" s="561">
        <v>0</v>
      </c>
      <c r="G5429" s="561">
        <v>0</v>
      </c>
      <c r="H5429" s="561">
        <v>0</v>
      </c>
      <c r="I5429" s="561">
        <v>0</v>
      </c>
      <c r="J5429" s="561">
        <v>0</v>
      </c>
      <c r="K5429" s="561">
        <v>0</v>
      </c>
      <c r="L5429" s="561">
        <v>0</v>
      </c>
      <c r="M5429" s="561">
        <v>0</v>
      </c>
      <c r="P5429" s="561">
        <v>0</v>
      </c>
      <c r="Q5429" s="561">
        <v>0</v>
      </c>
    </row>
    <row r="5430" spans="1:17">
      <c r="F5430" s="561">
        <v>0</v>
      </c>
      <c r="G5430" s="561">
        <v>0</v>
      </c>
      <c r="H5430" s="561">
        <v>0</v>
      </c>
      <c r="I5430" s="561">
        <v>0</v>
      </c>
      <c r="J5430" s="561">
        <v>0</v>
      </c>
      <c r="K5430" s="561">
        <v>0</v>
      </c>
      <c r="L5430" s="561">
        <v>0</v>
      </c>
      <c r="M5430" s="561">
        <v>0</v>
      </c>
      <c r="P5430" s="561">
        <v>0</v>
      </c>
      <c r="Q5430" s="561">
        <v>0</v>
      </c>
    </row>
    <row r="5431" spans="1:17">
      <c r="F5431" s="561">
        <v>0</v>
      </c>
      <c r="G5431" s="561">
        <v>0</v>
      </c>
      <c r="H5431" s="561">
        <v>0</v>
      </c>
      <c r="I5431" s="561">
        <v>0</v>
      </c>
      <c r="J5431" s="561">
        <v>0</v>
      </c>
      <c r="K5431" s="561">
        <v>0</v>
      </c>
      <c r="L5431" s="561">
        <v>0</v>
      </c>
      <c r="M5431" s="561">
        <v>0</v>
      </c>
      <c r="P5431" s="561">
        <v>0</v>
      </c>
      <c r="Q5431" s="561">
        <v>0</v>
      </c>
    </row>
    <row r="5432" spans="1:17">
      <c r="A5432" s="561">
        <v>17</v>
      </c>
      <c r="B5432" s="561" t="s">
        <v>1711</v>
      </c>
      <c r="C5432" s="561" t="s">
        <v>1267</v>
      </c>
      <c r="D5432" s="561">
        <v>23200</v>
      </c>
      <c r="E5432" s="561">
        <v>5460</v>
      </c>
      <c r="F5432" s="561">
        <v>17740</v>
      </c>
      <c r="G5432" s="561">
        <v>1271</v>
      </c>
      <c r="H5432" s="561">
        <v>23392.404060000001</v>
      </c>
      <c r="I5432" s="561">
        <v>1</v>
      </c>
      <c r="J5432" s="561">
        <v>189.87764000000084</v>
      </c>
      <c r="K5432" s="561">
        <v>1270</v>
      </c>
      <c r="L5432" s="561">
        <v>23202.526420000002</v>
      </c>
      <c r="M5432" s="561">
        <v>23200</v>
      </c>
      <c r="N5432" s="561">
        <v>4853.3339999999998</v>
      </c>
      <c r="O5432" s="561">
        <v>606.66600000000005</v>
      </c>
      <c r="P5432" s="561">
        <v>17740</v>
      </c>
      <c r="Q5432" s="561">
        <v>17740</v>
      </c>
    </row>
    <row r="5433" spans="1:17">
      <c r="C5433" s="561" t="s">
        <v>1197</v>
      </c>
      <c r="F5433" s="561">
        <v>0</v>
      </c>
      <c r="G5433" s="561">
        <v>0</v>
      </c>
      <c r="H5433" s="561">
        <v>0</v>
      </c>
      <c r="I5433" s="561">
        <v>0</v>
      </c>
      <c r="J5433" s="561">
        <v>0</v>
      </c>
      <c r="K5433" s="561">
        <v>0</v>
      </c>
      <c r="L5433" s="561">
        <v>0</v>
      </c>
      <c r="M5433" s="561">
        <v>0</v>
      </c>
      <c r="N5433" s="561">
        <v>0</v>
      </c>
      <c r="O5433" s="561">
        <v>0</v>
      </c>
      <c r="P5433" s="561">
        <v>0</v>
      </c>
      <c r="Q5433" s="561">
        <v>0</v>
      </c>
    </row>
    <row r="5434" spans="1:17">
      <c r="C5434" s="561" t="s">
        <v>1198</v>
      </c>
      <c r="F5434" s="561">
        <v>0</v>
      </c>
      <c r="G5434" s="561">
        <v>0</v>
      </c>
      <c r="H5434" s="561">
        <v>0</v>
      </c>
      <c r="I5434" s="561">
        <v>0</v>
      </c>
      <c r="J5434" s="561">
        <v>0</v>
      </c>
      <c r="K5434" s="561">
        <v>0</v>
      </c>
      <c r="L5434" s="561">
        <v>0</v>
      </c>
      <c r="M5434" s="561">
        <v>0</v>
      </c>
      <c r="N5434" s="561">
        <v>0</v>
      </c>
      <c r="O5434" s="561">
        <v>0</v>
      </c>
      <c r="P5434" s="561">
        <v>0</v>
      </c>
      <c r="Q5434" s="561">
        <v>0</v>
      </c>
    </row>
    <row r="5435" spans="1:17">
      <c r="C5435" s="561" t="s">
        <v>1199</v>
      </c>
      <c r="D5435" s="561">
        <v>23200</v>
      </c>
      <c r="E5435" s="561">
        <v>5460</v>
      </c>
      <c r="F5435" s="561">
        <v>17740</v>
      </c>
      <c r="G5435" s="561">
        <v>1271</v>
      </c>
      <c r="H5435" s="561">
        <v>23392.404060000001</v>
      </c>
      <c r="I5435" s="561">
        <v>1</v>
      </c>
      <c r="J5435" s="561">
        <v>189.87764000000084</v>
      </c>
      <c r="K5435" s="561">
        <v>1270</v>
      </c>
      <c r="L5435" s="561">
        <v>23202.526420000002</v>
      </c>
      <c r="M5435" s="561">
        <v>23200</v>
      </c>
      <c r="N5435" s="561">
        <v>4853.3339999999998</v>
      </c>
      <c r="O5435" s="561">
        <v>606.66600000000005</v>
      </c>
      <c r="P5435" s="561">
        <v>17740</v>
      </c>
      <c r="Q5435" s="561">
        <v>17740</v>
      </c>
    </row>
    <row r="5436" spans="1:17">
      <c r="A5436" s="561">
        <v>18</v>
      </c>
      <c r="B5436" s="561" t="s">
        <v>1712</v>
      </c>
      <c r="C5436" s="561" t="s">
        <v>1267</v>
      </c>
      <c r="D5436" s="561">
        <v>21916</v>
      </c>
      <c r="E5436" s="561">
        <v>4620</v>
      </c>
      <c r="F5436" s="561">
        <v>17296</v>
      </c>
      <c r="G5436" s="561">
        <v>1212</v>
      </c>
      <c r="H5436" s="561">
        <v>22285.715319999996</v>
      </c>
      <c r="I5436" s="561">
        <v>6</v>
      </c>
      <c r="J5436" s="561">
        <v>368.63925000000154</v>
      </c>
      <c r="K5436" s="561">
        <v>1206</v>
      </c>
      <c r="L5436" s="561">
        <v>21917.076069999999</v>
      </c>
      <c r="M5436" s="561">
        <v>21916</v>
      </c>
      <c r="N5436" s="561">
        <v>4106.6660000000002</v>
      </c>
      <c r="O5436" s="561">
        <v>513.33399999999995</v>
      </c>
      <c r="P5436" s="561">
        <v>17296</v>
      </c>
      <c r="Q5436" s="561">
        <v>17296</v>
      </c>
    </row>
    <row r="5437" spans="1:17">
      <c r="C5437" s="561" t="s">
        <v>1197</v>
      </c>
      <c r="F5437" s="561">
        <v>0</v>
      </c>
      <c r="G5437" s="561">
        <v>0</v>
      </c>
      <c r="H5437" s="561">
        <v>0</v>
      </c>
      <c r="I5437" s="561">
        <v>0</v>
      </c>
      <c r="J5437" s="561">
        <v>0</v>
      </c>
      <c r="K5437" s="561">
        <v>0</v>
      </c>
      <c r="L5437" s="561">
        <v>0</v>
      </c>
      <c r="M5437" s="561">
        <v>0</v>
      </c>
      <c r="N5437" s="561">
        <v>0</v>
      </c>
      <c r="O5437" s="561">
        <v>0</v>
      </c>
      <c r="P5437" s="561">
        <v>0</v>
      </c>
      <c r="Q5437" s="561">
        <v>0</v>
      </c>
    </row>
    <row r="5438" spans="1:17">
      <c r="C5438" s="561" t="s">
        <v>1198</v>
      </c>
      <c r="F5438" s="561">
        <v>0</v>
      </c>
      <c r="G5438" s="561">
        <v>0</v>
      </c>
      <c r="H5438" s="561">
        <v>0</v>
      </c>
      <c r="I5438" s="561">
        <v>0</v>
      </c>
      <c r="J5438" s="561">
        <v>0</v>
      </c>
      <c r="K5438" s="561">
        <v>0</v>
      </c>
      <c r="L5438" s="561">
        <v>0</v>
      </c>
      <c r="M5438" s="561">
        <v>0</v>
      </c>
      <c r="N5438" s="561">
        <v>0</v>
      </c>
      <c r="O5438" s="561">
        <v>0</v>
      </c>
      <c r="P5438" s="561">
        <v>0</v>
      </c>
      <c r="Q5438" s="561">
        <v>0</v>
      </c>
    </row>
    <row r="5439" spans="1:17">
      <c r="C5439" s="561" t="s">
        <v>1199</v>
      </c>
      <c r="D5439" s="561">
        <v>21916</v>
      </c>
      <c r="E5439" s="561">
        <v>4620</v>
      </c>
      <c r="F5439" s="561">
        <v>17296</v>
      </c>
      <c r="G5439" s="561">
        <v>1212</v>
      </c>
      <c r="H5439" s="561">
        <v>22285.715319999996</v>
      </c>
      <c r="I5439" s="561">
        <v>6</v>
      </c>
      <c r="J5439" s="561">
        <v>368.63925000000154</v>
      </c>
      <c r="K5439" s="561">
        <v>1206</v>
      </c>
      <c r="L5439" s="561">
        <v>21917.076069999999</v>
      </c>
      <c r="M5439" s="561">
        <v>21916</v>
      </c>
      <c r="N5439" s="561">
        <v>4106.6660000000002</v>
      </c>
      <c r="O5439" s="561">
        <v>513.33399999999995</v>
      </c>
      <c r="P5439" s="561">
        <v>17296</v>
      </c>
      <c r="Q5439" s="561">
        <v>17296</v>
      </c>
    </row>
    <row r="5440" spans="1:17">
      <c r="A5440" s="561">
        <v>19</v>
      </c>
      <c r="B5440" s="561" t="s">
        <v>1713</v>
      </c>
      <c r="C5440" s="561" t="s">
        <v>1267</v>
      </c>
      <c r="D5440" s="561">
        <v>7600</v>
      </c>
      <c r="E5440" s="561">
        <v>2100</v>
      </c>
      <c r="F5440" s="561">
        <v>5500</v>
      </c>
      <c r="G5440" s="561">
        <v>416</v>
      </c>
      <c r="H5440" s="561">
        <v>7715.7597100000003</v>
      </c>
      <c r="I5440" s="561">
        <v>1</v>
      </c>
      <c r="J5440" s="561">
        <v>115.20480999999961</v>
      </c>
      <c r="K5440" s="561">
        <v>415</v>
      </c>
      <c r="L5440" s="561">
        <v>7600.554900000001</v>
      </c>
      <c r="M5440" s="561">
        <v>7600.0000000000009</v>
      </c>
      <c r="N5440" s="561">
        <v>2100</v>
      </c>
      <c r="O5440" s="561">
        <v>0</v>
      </c>
      <c r="P5440" s="561">
        <v>5500.0000000000009</v>
      </c>
      <c r="Q5440" s="561">
        <v>5500.0000000000009</v>
      </c>
    </row>
    <row r="5441" spans="1:17">
      <c r="C5441" s="561" t="s">
        <v>1197</v>
      </c>
      <c r="F5441" s="561">
        <v>0</v>
      </c>
      <c r="G5441" s="561">
        <v>0</v>
      </c>
      <c r="H5441" s="561">
        <v>0</v>
      </c>
      <c r="I5441" s="561">
        <v>0</v>
      </c>
      <c r="J5441" s="561">
        <v>0</v>
      </c>
      <c r="K5441" s="561">
        <v>0</v>
      </c>
      <c r="L5441" s="561">
        <v>0</v>
      </c>
      <c r="M5441" s="561">
        <v>0</v>
      </c>
      <c r="N5441" s="561">
        <v>0</v>
      </c>
      <c r="O5441" s="561">
        <v>0</v>
      </c>
      <c r="P5441" s="561">
        <v>0</v>
      </c>
      <c r="Q5441" s="561">
        <v>0</v>
      </c>
    </row>
    <row r="5442" spans="1:17">
      <c r="C5442" s="561" t="s">
        <v>1198</v>
      </c>
      <c r="F5442" s="561">
        <v>0</v>
      </c>
      <c r="G5442" s="561">
        <v>0</v>
      </c>
      <c r="H5442" s="561">
        <v>0</v>
      </c>
      <c r="I5442" s="561">
        <v>0</v>
      </c>
      <c r="J5442" s="561">
        <v>0</v>
      </c>
      <c r="K5442" s="561">
        <v>0</v>
      </c>
      <c r="L5442" s="561">
        <v>0</v>
      </c>
      <c r="M5442" s="561">
        <v>0</v>
      </c>
      <c r="N5442" s="561">
        <v>0</v>
      </c>
      <c r="O5442" s="561">
        <v>0</v>
      </c>
      <c r="P5442" s="561">
        <v>0</v>
      </c>
      <c r="Q5442" s="561">
        <v>0</v>
      </c>
    </row>
    <row r="5443" spans="1:17">
      <c r="C5443" s="561" t="s">
        <v>1199</v>
      </c>
      <c r="D5443" s="561">
        <v>7600</v>
      </c>
      <c r="E5443" s="561">
        <v>2100</v>
      </c>
      <c r="F5443" s="561">
        <v>5500</v>
      </c>
      <c r="G5443" s="561">
        <v>416</v>
      </c>
      <c r="H5443" s="561">
        <v>7715.7597100000003</v>
      </c>
      <c r="I5443" s="561">
        <v>1</v>
      </c>
      <c r="J5443" s="561">
        <v>115.20480999999961</v>
      </c>
      <c r="K5443" s="561">
        <v>415</v>
      </c>
      <c r="L5443" s="561">
        <v>7600.554900000001</v>
      </c>
      <c r="M5443" s="561">
        <v>7600.0000000000009</v>
      </c>
      <c r="N5443" s="561">
        <v>2100</v>
      </c>
      <c r="O5443" s="561">
        <v>0</v>
      </c>
      <c r="P5443" s="561">
        <v>5500.0000000000009</v>
      </c>
      <c r="Q5443" s="561">
        <v>5500.0000000000009</v>
      </c>
    </row>
    <row r="5444" spans="1:17">
      <c r="A5444" s="561">
        <v>20</v>
      </c>
      <c r="B5444" s="561" t="s">
        <v>1714</v>
      </c>
      <c r="C5444" s="561" t="s">
        <v>1267</v>
      </c>
      <c r="D5444" s="561">
        <v>10450</v>
      </c>
      <c r="E5444" s="561">
        <v>2925</v>
      </c>
      <c r="F5444" s="561">
        <v>7525</v>
      </c>
      <c r="G5444" s="561">
        <v>579</v>
      </c>
      <c r="H5444" s="561">
        <v>10566.891309999999</v>
      </c>
      <c r="I5444" s="561">
        <v>2</v>
      </c>
      <c r="J5444" s="561">
        <v>117.60501999999985</v>
      </c>
      <c r="K5444" s="561">
        <v>577</v>
      </c>
      <c r="L5444" s="561">
        <v>10449.286289999998</v>
      </c>
      <c r="M5444" s="561">
        <v>10449.286289999998</v>
      </c>
      <c r="N5444" s="561">
        <v>2796.8939799999998</v>
      </c>
      <c r="O5444" s="561">
        <v>128.10602</v>
      </c>
      <c r="P5444" s="561">
        <v>7524.2862900000009</v>
      </c>
      <c r="Q5444" s="561">
        <v>7524.2862900000009</v>
      </c>
    </row>
    <row r="5445" spans="1:17">
      <c r="C5445" s="561" t="s">
        <v>1197</v>
      </c>
      <c r="F5445" s="561">
        <v>0</v>
      </c>
      <c r="G5445" s="561">
        <v>0</v>
      </c>
      <c r="H5445" s="561">
        <v>0</v>
      </c>
      <c r="I5445" s="561">
        <v>0</v>
      </c>
      <c r="J5445" s="561">
        <v>0</v>
      </c>
      <c r="K5445" s="561">
        <v>0</v>
      </c>
      <c r="L5445" s="561">
        <v>0</v>
      </c>
      <c r="M5445" s="561">
        <v>0</v>
      </c>
      <c r="N5445" s="561">
        <v>0</v>
      </c>
      <c r="O5445" s="561">
        <v>0</v>
      </c>
      <c r="P5445" s="561">
        <v>0</v>
      </c>
      <c r="Q5445" s="561">
        <v>0</v>
      </c>
    </row>
    <row r="5446" spans="1:17">
      <c r="C5446" s="561" t="s">
        <v>1198</v>
      </c>
      <c r="F5446" s="561">
        <v>0</v>
      </c>
      <c r="G5446" s="561">
        <v>0</v>
      </c>
      <c r="H5446" s="561">
        <v>0</v>
      </c>
      <c r="I5446" s="561">
        <v>0</v>
      </c>
      <c r="J5446" s="561">
        <v>0</v>
      </c>
      <c r="K5446" s="561">
        <v>0</v>
      </c>
      <c r="L5446" s="561">
        <v>0</v>
      </c>
      <c r="M5446" s="561">
        <v>0</v>
      </c>
      <c r="N5446" s="561">
        <v>0</v>
      </c>
      <c r="O5446" s="561">
        <v>0</v>
      </c>
      <c r="P5446" s="561">
        <v>0</v>
      </c>
      <c r="Q5446" s="561">
        <v>0</v>
      </c>
    </row>
    <row r="5447" spans="1:17">
      <c r="C5447" s="561" t="s">
        <v>1199</v>
      </c>
      <c r="D5447" s="561">
        <v>10450</v>
      </c>
      <c r="E5447" s="561">
        <v>2925</v>
      </c>
      <c r="F5447" s="561">
        <v>7525</v>
      </c>
      <c r="G5447" s="561">
        <v>579</v>
      </c>
      <c r="H5447" s="561">
        <v>10566.891309999999</v>
      </c>
      <c r="I5447" s="561">
        <v>2</v>
      </c>
      <c r="J5447" s="561">
        <v>117.60501999999985</v>
      </c>
      <c r="K5447" s="561">
        <v>577</v>
      </c>
      <c r="L5447" s="561">
        <v>10449.286289999998</v>
      </c>
      <c r="M5447" s="561">
        <v>10449.286289999998</v>
      </c>
      <c r="N5447" s="561">
        <v>2796.8939799999998</v>
      </c>
      <c r="O5447" s="561">
        <v>128.10602</v>
      </c>
      <c r="P5447" s="561">
        <v>7524.2862900000009</v>
      </c>
      <c r="Q5447" s="561">
        <v>7524.2862900000009</v>
      </c>
    </row>
    <row r="5448" spans="1:17">
      <c r="A5448" s="561">
        <v>21</v>
      </c>
      <c r="B5448" s="561" t="s">
        <v>1715</v>
      </c>
      <c r="C5448" s="561" t="s">
        <v>1267</v>
      </c>
      <c r="D5448" s="561">
        <v>15800</v>
      </c>
      <c r="E5448" s="561">
        <v>3990</v>
      </c>
      <c r="F5448" s="561">
        <v>11810</v>
      </c>
      <c r="G5448" s="561">
        <v>849</v>
      </c>
      <c r="H5448" s="561">
        <v>16133.267180000001</v>
      </c>
      <c r="I5448" s="561">
        <v>7</v>
      </c>
      <c r="J5448" s="561">
        <v>332.03973000000178</v>
      </c>
      <c r="K5448" s="561">
        <v>842</v>
      </c>
      <c r="L5448" s="561">
        <v>15801.22745</v>
      </c>
      <c r="M5448" s="561">
        <v>15800</v>
      </c>
      <c r="N5448" s="561">
        <v>3546.6659999999997</v>
      </c>
      <c r="O5448" s="561">
        <v>443.334</v>
      </c>
      <c r="P5448" s="561">
        <v>11810</v>
      </c>
      <c r="Q5448" s="561">
        <v>11810</v>
      </c>
    </row>
    <row r="5449" spans="1:17">
      <c r="C5449" s="561" t="s">
        <v>1197</v>
      </c>
      <c r="F5449" s="561">
        <v>0</v>
      </c>
      <c r="G5449" s="561">
        <v>0</v>
      </c>
      <c r="H5449" s="561">
        <v>0</v>
      </c>
      <c r="I5449" s="561">
        <v>0</v>
      </c>
      <c r="J5449" s="561">
        <v>0</v>
      </c>
      <c r="K5449" s="561">
        <v>0</v>
      </c>
      <c r="L5449" s="561">
        <v>0</v>
      </c>
      <c r="M5449" s="561">
        <v>0</v>
      </c>
      <c r="N5449" s="561">
        <v>0</v>
      </c>
      <c r="O5449" s="561">
        <v>0</v>
      </c>
      <c r="P5449" s="561">
        <v>0</v>
      </c>
      <c r="Q5449" s="561">
        <v>0</v>
      </c>
    </row>
    <row r="5450" spans="1:17">
      <c r="C5450" s="561" t="s">
        <v>1198</v>
      </c>
      <c r="F5450" s="561">
        <v>0</v>
      </c>
      <c r="G5450" s="561">
        <v>0</v>
      </c>
      <c r="H5450" s="561">
        <v>0</v>
      </c>
      <c r="I5450" s="561">
        <v>0</v>
      </c>
      <c r="J5450" s="561">
        <v>0</v>
      </c>
      <c r="K5450" s="561">
        <v>0</v>
      </c>
      <c r="L5450" s="561">
        <v>0</v>
      </c>
      <c r="M5450" s="561">
        <v>0</v>
      </c>
      <c r="N5450" s="561">
        <v>0</v>
      </c>
      <c r="O5450" s="561">
        <v>0</v>
      </c>
      <c r="P5450" s="561">
        <v>0</v>
      </c>
      <c r="Q5450" s="561">
        <v>0</v>
      </c>
    </row>
    <row r="5451" spans="1:17">
      <c r="C5451" s="561" t="s">
        <v>1199</v>
      </c>
      <c r="D5451" s="561">
        <v>15800</v>
      </c>
      <c r="E5451" s="561">
        <v>3990</v>
      </c>
      <c r="F5451" s="561">
        <v>11810</v>
      </c>
      <c r="G5451" s="561">
        <v>849</v>
      </c>
      <c r="H5451" s="561">
        <v>16133.267180000001</v>
      </c>
      <c r="I5451" s="561">
        <v>7</v>
      </c>
      <c r="J5451" s="561">
        <v>332.03973000000178</v>
      </c>
      <c r="K5451" s="561">
        <v>842</v>
      </c>
      <c r="L5451" s="561">
        <v>15801.22745</v>
      </c>
      <c r="M5451" s="561">
        <v>15800</v>
      </c>
      <c r="N5451" s="561">
        <v>3546.6659999999997</v>
      </c>
      <c r="O5451" s="561">
        <v>443.334</v>
      </c>
      <c r="P5451" s="561">
        <v>11810</v>
      </c>
      <c r="Q5451" s="561">
        <v>11810</v>
      </c>
    </row>
    <row r="5452" spans="1:17">
      <c r="A5452" s="561">
        <v>22</v>
      </c>
      <c r="B5452" s="561" t="s">
        <v>1716</v>
      </c>
      <c r="C5452" s="561" t="s">
        <v>1267</v>
      </c>
      <c r="D5452" s="561">
        <v>23000</v>
      </c>
      <c r="E5452" s="561">
        <v>6300</v>
      </c>
      <c r="F5452" s="561">
        <v>16700</v>
      </c>
      <c r="G5452" s="561">
        <v>1339</v>
      </c>
      <c r="H5452" s="561">
        <v>23181.314879999998</v>
      </c>
      <c r="I5452" s="561">
        <v>1</v>
      </c>
      <c r="J5452" s="561">
        <v>181.23939999999985</v>
      </c>
      <c r="K5452" s="561">
        <v>1338</v>
      </c>
      <c r="L5452" s="561">
        <v>23000.07548</v>
      </c>
      <c r="M5452" s="561">
        <v>23000</v>
      </c>
      <c r="N5452" s="561">
        <v>5717.3770599999998</v>
      </c>
      <c r="O5452" s="561">
        <v>582.62293999999997</v>
      </c>
      <c r="P5452" s="561">
        <v>16700</v>
      </c>
      <c r="Q5452" s="561">
        <v>16700</v>
      </c>
    </row>
    <row r="5453" spans="1:17">
      <c r="C5453" s="561" t="s">
        <v>1197</v>
      </c>
      <c r="F5453" s="561">
        <v>0</v>
      </c>
      <c r="G5453" s="561">
        <v>0</v>
      </c>
      <c r="H5453" s="561">
        <v>0</v>
      </c>
      <c r="I5453" s="561">
        <v>0</v>
      </c>
      <c r="J5453" s="561">
        <v>0</v>
      </c>
      <c r="K5453" s="561">
        <v>0</v>
      </c>
      <c r="L5453" s="561">
        <v>0</v>
      </c>
      <c r="M5453" s="561">
        <v>0</v>
      </c>
      <c r="N5453" s="561">
        <v>0</v>
      </c>
      <c r="O5453" s="561">
        <v>0</v>
      </c>
      <c r="P5453" s="561">
        <v>0</v>
      </c>
      <c r="Q5453" s="561">
        <v>0</v>
      </c>
    </row>
    <row r="5454" spans="1:17">
      <c r="C5454" s="561" t="s">
        <v>1198</v>
      </c>
      <c r="F5454" s="561">
        <v>0</v>
      </c>
      <c r="G5454" s="561">
        <v>0</v>
      </c>
      <c r="H5454" s="561">
        <v>0</v>
      </c>
      <c r="I5454" s="561">
        <v>0</v>
      </c>
      <c r="J5454" s="561">
        <v>0</v>
      </c>
      <c r="K5454" s="561">
        <v>0</v>
      </c>
      <c r="L5454" s="561">
        <v>0</v>
      </c>
      <c r="M5454" s="561">
        <v>0</v>
      </c>
      <c r="N5454" s="561">
        <v>0</v>
      </c>
      <c r="O5454" s="561">
        <v>0</v>
      </c>
      <c r="P5454" s="561">
        <v>0</v>
      </c>
      <c r="Q5454" s="561">
        <v>0</v>
      </c>
    </row>
    <row r="5455" spans="1:17">
      <c r="C5455" s="561" t="s">
        <v>1199</v>
      </c>
      <c r="D5455" s="561">
        <v>23000</v>
      </c>
      <c r="E5455" s="561">
        <v>6300</v>
      </c>
      <c r="F5455" s="561">
        <v>16700</v>
      </c>
      <c r="G5455" s="561">
        <v>1339</v>
      </c>
      <c r="H5455" s="561">
        <v>23181.314879999998</v>
      </c>
      <c r="I5455" s="561">
        <v>1</v>
      </c>
      <c r="J5455" s="561">
        <v>181.23939999999985</v>
      </c>
      <c r="K5455" s="561">
        <v>1338</v>
      </c>
      <c r="L5455" s="561">
        <v>23000.07548</v>
      </c>
      <c r="M5455" s="561">
        <v>23000</v>
      </c>
      <c r="N5455" s="561">
        <v>5717.3770599999998</v>
      </c>
      <c r="O5455" s="561">
        <v>582.62293999999997</v>
      </c>
      <c r="P5455" s="561">
        <v>16700</v>
      </c>
      <c r="Q5455" s="561">
        <v>16700</v>
      </c>
    </row>
    <row r="5456" spans="1:17">
      <c r="A5456" s="561">
        <v>23</v>
      </c>
      <c r="B5456" s="561" t="s">
        <v>1717</v>
      </c>
      <c r="C5456" s="561" t="s">
        <v>1267</v>
      </c>
      <c r="D5456" s="561">
        <v>13000</v>
      </c>
      <c r="E5456" s="561">
        <v>3900</v>
      </c>
      <c r="F5456" s="561">
        <v>9100</v>
      </c>
      <c r="G5456" s="561">
        <v>954</v>
      </c>
      <c r="H5456" s="561">
        <v>13038.588899999999</v>
      </c>
      <c r="I5456" s="561">
        <v>0</v>
      </c>
      <c r="J5456" s="561">
        <v>40.130379999998695</v>
      </c>
      <c r="K5456" s="561">
        <v>954</v>
      </c>
      <c r="L5456" s="561">
        <v>12998.45852</v>
      </c>
      <c r="M5456" s="561">
        <v>12998.45852</v>
      </c>
      <c r="N5456" s="561">
        <v>3466.6640000000002</v>
      </c>
      <c r="O5456" s="561">
        <v>433.33600000000001</v>
      </c>
      <c r="P5456" s="561">
        <v>9098.4585199999983</v>
      </c>
      <c r="Q5456" s="561">
        <v>9098.4585199999983</v>
      </c>
    </row>
    <row r="5457" spans="1:17">
      <c r="C5457" s="561" t="s">
        <v>1197</v>
      </c>
      <c r="F5457" s="561">
        <v>0</v>
      </c>
      <c r="G5457" s="561">
        <v>0</v>
      </c>
      <c r="H5457" s="561">
        <v>0</v>
      </c>
      <c r="I5457" s="561">
        <v>0</v>
      </c>
      <c r="J5457" s="561">
        <v>0</v>
      </c>
      <c r="K5457" s="561">
        <v>0</v>
      </c>
      <c r="L5457" s="561">
        <v>0</v>
      </c>
      <c r="M5457" s="561">
        <v>0</v>
      </c>
      <c r="N5457" s="561">
        <v>0</v>
      </c>
      <c r="O5457" s="561">
        <v>0</v>
      </c>
      <c r="P5457" s="561">
        <v>0</v>
      </c>
      <c r="Q5457" s="561">
        <v>0</v>
      </c>
    </row>
    <row r="5458" spans="1:17">
      <c r="C5458" s="561" t="s">
        <v>1198</v>
      </c>
      <c r="F5458" s="561">
        <v>0</v>
      </c>
      <c r="G5458" s="561">
        <v>0</v>
      </c>
      <c r="H5458" s="561">
        <v>0</v>
      </c>
      <c r="I5458" s="561">
        <v>0</v>
      </c>
      <c r="J5458" s="561">
        <v>0</v>
      </c>
      <c r="K5458" s="561">
        <v>0</v>
      </c>
      <c r="L5458" s="561">
        <v>0</v>
      </c>
      <c r="M5458" s="561">
        <v>0</v>
      </c>
      <c r="N5458" s="561">
        <v>0</v>
      </c>
      <c r="O5458" s="561">
        <v>0</v>
      </c>
      <c r="P5458" s="561">
        <v>0</v>
      </c>
      <c r="Q5458" s="561">
        <v>0</v>
      </c>
    </row>
    <row r="5459" spans="1:17">
      <c r="C5459" s="561" t="s">
        <v>1199</v>
      </c>
      <c r="D5459" s="561">
        <v>13000</v>
      </c>
      <c r="E5459" s="561">
        <v>3900</v>
      </c>
      <c r="F5459" s="561">
        <v>9100</v>
      </c>
      <c r="G5459" s="561">
        <v>954</v>
      </c>
      <c r="H5459" s="561">
        <v>13038.588899999999</v>
      </c>
      <c r="I5459" s="561">
        <v>0</v>
      </c>
      <c r="J5459" s="561">
        <v>40.130379999998695</v>
      </c>
      <c r="K5459" s="561">
        <v>954</v>
      </c>
      <c r="L5459" s="561">
        <v>12998.45852</v>
      </c>
      <c r="M5459" s="561">
        <v>12998.45852</v>
      </c>
      <c r="N5459" s="561">
        <v>3466.6640000000002</v>
      </c>
      <c r="O5459" s="561">
        <v>433.33600000000001</v>
      </c>
      <c r="P5459" s="561">
        <v>9098.4585199999983</v>
      </c>
      <c r="Q5459" s="561">
        <v>9098.4585199999983</v>
      </c>
    </row>
    <row r="5460" spans="1:17">
      <c r="A5460" s="561">
        <v>24</v>
      </c>
      <c r="B5460" s="561" t="s">
        <v>1718</v>
      </c>
      <c r="C5460" s="561" t="s">
        <v>1267</v>
      </c>
      <c r="D5460" s="561">
        <v>19596</v>
      </c>
      <c r="E5460" s="561">
        <v>5040</v>
      </c>
      <c r="F5460" s="561">
        <v>14556</v>
      </c>
      <c r="G5460" s="561">
        <v>1154</v>
      </c>
      <c r="H5460" s="561">
        <v>19752.953130000002</v>
      </c>
      <c r="I5460" s="561">
        <v>0</v>
      </c>
      <c r="J5460" s="561">
        <v>156.92496000000062</v>
      </c>
      <c r="K5460" s="561">
        <v>1154</v>
      </c>
      <c r="L5460" s="561">
        <v>19596.028169999998</v>
      </c>
      <c r="M5460" s="561">
        <v>19596</v>
      </c>
      <c r="N5460" s="561">
        <v>3920</v>
      </c>
      <c r="O5460" s="561">
        <v>1120</v>
      </c>
      <c r="P5460" s="561">
        <v>14556</v>
      </c>
      <c r="Q5460" s="561">
        <v>14556</v>
      </c>
    </row>
    <row r="5461" spans="1:17">
      <c r="C5461" s="561" t="s">
        <v>1197</v>
      </c>
      <c r="F5461" s="561">
        <v>0</v>
      </c>
      <c r="G5461" s="561">
        <v>0</v>
      </c>
      <c r="H5461" s="561">
        <v>0</v>
      </c>
      <c r="I5461" s="561">
        <v>0</v>
      </c>
      <c r="J5461" s="561">
        <v>0</v>
      </c>
      <c r="K5461" s="561">
        <v>0</v>
      </c>
      <c r="L5461" s="561">
        <v>0</v>
      </c>
      <c r="M5461" s="561">
        <v>0</v>
      </c>
      <c r="N5461" s="561">
        <v>0</v>
      </c>
      <c r="O5461" s="561">
        <v>0</v>
      </c>
      <c r="P5461" s="561">
        <v>0</v>
      </c>
      <c r="Q5461" s="561">
        <v>0</v>
      </c>
    </row>
    <row r="5462" spans="1:17">
      <c r="C5462" s="561" t="s">
        <v>1198</v>
      </c>
      <c r="F5462" s="561">
        <v>0</v>
      </c>
      <c r="G5462" s="561">
        <v>0</v>
      </c>
      <c r="H5462" s="561">
        <v>0</v>
      </c>
      <c r="I5462" s="561">
        <v>0</v>
      </c>
      <c r="J5462" s="561">
        <v>0</v>
      </c>
      <c r="K5462" s="561">
        <v>0</v>
      </c>
      <c r="L5462" s="561">
        <v>0</v>
      </c>
      <c r="M5462" s="561">
        <v>0</v>
      </c>
      <c r="N5462" s="561">
        <v>0</v>
      </c>
      <c r="O5462" s="561">
        <v>0</v>
      </c>
      <c r="P5462" s="561">
        <v>0</v>
      </c>
      <c r="Q5462" s="561">
        <v>0</v>
      </c>
    </row>
    <row r="5463" spans="1:17">
      <c r="C5463" s="561" t="s">
        <v>1199</v>
      </c>
      <c r="D5463" s="561">
        <v>19596</v>
      </c>
      <c r="E5463" s="561">
        <v>5040</v>
      </c>
      <c r="F5463" s="561">
        <v>14556</v>
      </c>
      <c r="G5463" s="561">
        <v>1154</v>
      </c>
      <c r="H5463" s="561">
        <v>19752.953130000002</v>
      </c>
      <c r="I5463" s="561">
        <v>0</v>
      </c>
      <c r="J5463" s="561">
        <v>156.92496000000062</v>
      </c>
      <c r="K5463" s="561">
        <v>1154</v>
      </c>
      <c r="L5463" s="561">
        <v>19596.028169999998</v>
      </c>
      <c r="M5463" s="561">
        <v>19596</v>
      </c>
      <c r="N5463" s="561">
        <v>3920</v>
      </c>
      <c r="O5463" s="561">
        <v>1120</v>
      </c>
      <c r="P5463" s="561">
        <v>14556</v>
      </c>
      <c r="Q5463" s="561">
        <v>14556</v>
      </c>
    </row>
    <row r="5464" spans="1:17">
      <c r="A5464" s="561">
        <v>25</v>
      </c>
      <c r="B5464" s="561" t="s">
        <v>1719</v>
      </c>
      <c r="C5464" s="561" t="s">
        <v>1267</v>
      </c>
      <c r="D5464" s="561">
        <v>234867</v>
      </c>
      <c r="E5464" s="561">
        <v>70460.099999999991</v>
      </c>
      <c r="F5464" s="561">
        <v>164406.90000000002</v>
      </c>
      <c r="G5464" s="561">
        <v>965</v>
      </c>
      <c r="H5464" s="561">
        <v>241155.96523999999</v>
      </c>
      <c r="I5464" s="561">
        <v>0</v>
      </c>
      <c r="J5464" s="561">
        <v>126.03603999999905</v>
      </c>
      <c r="K5464" s="561">
        <v>965</v>
      </c>
      <c r="L5464" s="561">
        <v>241029.92920000001</v>
      </c>
      <c r="M5464" s="561">
        <v>234867</v>
      </c>
      <c r="N5464" s="561">
        <v>70460.099999999991</v>
      </c>
      <c r="O5464" s="561">
        <v>0</v>
      </c>
      <c r="P5464" s="561">
        <v>164406.90000000002</v>
      </c>
      <c r="Q5464" s="561">
        <v>164406.90000000002</v>
      </c>
    </row>
    <row r="5465" spans="1:17">
      <c r="C5465" s="561" t="s">
        <v>1197</v>
      </c>
      <c r="F5465" s="561">
        <v>0</v>
      </c>
      <c r="G5465" s="561">
        <v>0</v>
      </c>
      <c r="H5465" s="561">
        <v>0</v>
      </c>
      <c r="I5465" s="561">
        <v>0</v>
      </c>
      <c r="J5465" s="561">
        <v>0</v>
      </c>
      <c r="K5465" s="561">
        <v>0</v>
      </c>
      <c r="L5465" s="561">
        <v>0</v>
      </c>
      <c r="M5465" s="561">
        <v>0</v>
      </c>
      <c r="N5465" s="561">
        <v>0</v>
      </c>
      <c r="O5465" s="561">
        <v>0</v>
      </c>
      <c r="P5465" s="561">
        <v>0</v>
      </c>
      <c r="Q5465" s="561">
        <v>0</v>
      </c>
    </row>
    <row r="5466" spans="1:17">
      <c r="C5466" s="561" t="s">
        <v>1198</v>
      </c>
      <c r="F5466" s="561">
        <v>0</v>
      </c>
      <c r="G5466" s="561">
        <v>0</v>
      </c>
      <c r="H5466" s="561">
        <v>0</v>
      </c>
      <c r="I5466" s="561">
        <v>0</v>
      </c>
      <c r="J5466" s="561">
        <v>0</v>
      </c>
      <c r="K5466" s="561">
        <v>0</v>
      </c>
      <c r="L5466" s="561">
        <v>0</v>
      </c>
      <c r="M5466" s="561">
        <v>0</v>
      </c>
      <c r="N5466" s="561">
        <v>0</v>
      </c>
      <c r="O5466" s="561">
        <v>0</v>
      </c>
      <c r="P5466" s="561">
        <v>0</v>
      </c>
      <c r="Q5466" s="561">
        <v>0</v>
      </c>
    </row>
    <row r="5467" spans="1:17">
      <c r="C5467" s="561" t="s">
        <v>1199</v>
      </c>
      <c r="D5467" s="561">
        <v>234867</v>
      </c>
      <c r="E5467" s="561">
        <v>70460.099999999991</v>
      </c>
      <c r="F5467" s="561">
        <v>164406.90000000002</v>
      </c>
      <c r="G5467" s="561">
        <v>965</v>
      </c>
      <c r="H5467" s="561">
        <v>241155.96523999999</v>
      </c>
      <c r="I5467" s="561">
        <v>0</v>
      </c>
      <c r="J5467" s="561">
        <v>126.03603999999905</v>
      </c>
      <c r="K5467" s="561">
        <v>965</v>
      </c>
      <c r="L5467" s="561">
        <v>241029.92920000001</v>
      </c>
      <c r="M5467" s="561">
        <v>234867</v>
      </c>
      <c r="N5467" s="561">
        <v>70460.099999999991</v>
      </c>
      <c r="O5467" s="561">
        <v>0</v>
      </c>
      <c r="P5467" s="561">
        <v>164406.90000000002</v>
      </c>
      <c r="Q5467" s="561">
        <v>164406.90000000002</v>
      </c>
    </row>
    <row r="5468" spans="1:17">
      <c r="A5468" s="561">
        <v>26</v>
      </c>
      <c r="B5468" s="561" t="s">
        <v>1720</v>
      </c>
      <c r="C5468" s="561" t="s">
        <v>1267</v>
      </c>
      <c r="D5468" s="561">
        <v>4589</v>
      </c>
      <c r="E5468" s="561">
        <v>1260</v>
      </c>
      <c r="F5468" s="561">
        <v>3329</v>
      </c>
      <c r="G5468" s="561">
        <v>254</v>
      </c>
      <c r="H5468" s="561">
        <v>4681.2649499999998</v>
      </c>
      <c r="I5468" s="561">
        <v>0</v>
      </c>
      <c r="J5468" s="561">
        <v>93.240779999999177</v>
      </c>
      <c r="K5468" s="561">
        <v>254</v>
      </c>
      <c r="L5468" s="561">
        <v>4588.0241700000006</v>
      </c>
      <c r="M5468" s="561">
        <v>4588.0241700000006</v>
      </c>
      <c r="N5468" s="561">
        <v>1120</v>
      </c>
      <c r="O5468" s="561">
        <v>140</v>
      </c>
      <c r="P5468" s="561">
        <v>3328.0241700000001</v>
      </c>
      <c r="Q5468" s="561">
        <v>3328.0241700000001</v>
      </c>
    </row>
    <row r="5469" spans="1:17">
      <c r="C5469" s="561" t="s">
        <v>1197</v>
      </c>
      <c r="F5469" s="561">
        <v>0</v>
      </c>
      <c r="G5469" s="561">
        <v>0</v>
      </c>
      <c r="H5469" s="561">
        <v>0</v>
      </c>
      <c r="I5469" s="561">
        <v>0</v>
      </c>
      <c r="J5469" s="561">
        <v>0</v>
      </c>
      <c r="K5469" s="561">
        <v>0</v>
      </c>
      <c r="L5469" s="561">
        <v>0</v>
      </c>
      <c r="M5469" s="561">
        <v>0</v>
      </c>
      <c r="N5469" s="561">
        <v>0</v>
      </c>
      <c r="O5469" s="561">
        <v>0</v>
      </c>
      <c r="P5469" s="561">
        <v>0</v>
      </c>
      <c r="Q5469" s="561">
        <v>0</v>
      </c>
    </row>
    <row r="5470" spans="1:17">
      <c r="C5470" s="561" t="s">
        <v>1198</v>
      </c>
      <c r="F5470" s="561">
        <v>0</v>
      </c>
      <c r="G5470" s="561">
        <v>0</v>
      </c>
      <c r="H5470" s="561">
        <v>0</v>
      </c>
      <c r="I5470" s="561">
        <v>0</v>
      </c>
      <c r="J5470" s="561">
        <v>0</v>
      </c>
      <c r="K5470" s="561">
        <v>0</v>
      </c>
      <c r="L5470" s="561">
        <v>0</v>
      </c>
      <c r="M5470" s="561">
        <v>0</v>
      </c>
      <c r="N5470" s="561">
        <v>0</v>
      </c>
      <c r="O5470" s="561">
        <v>0</v>
      </c>
      <c r="P5470" s="561">
        <v>0</v>
      </c>
      <c r="Q5470" s="561">
        <v>0</v>
      </c>
    </row>
    <row r="5471" spans="1:17">
      <c r="C5471" s="561" t="s">
        <v>1199</v>
      </c>
      <c r="D5471" s="561">
        <v>4589</v>
      </c>
      <c r="E5471" s="561">
        <v>1260</v>
      </c>
      <c r="F5471" s="561">
        <v>3329</v>
      </c>
      <c r="G5471" s="561">
        <v>254</v>
      </c>
      <c r="H5471" s="561">
        <v>4681.2649499999998</v>
      </c>
      <c r="I5471" s="561">
        <v>0</v>
      </c>
      <c r="J5471" s="561">
        <v>93.240779999999177</v>
      </c>
      <c r="K5471" s="561">
        <v>254</v>
      </c>
      <c r="L5471" s="561">
        <v>4588.0241700000006</v>
      </c>
      <c r="M5471" s="561">
        <v>4588.0241700000006</v>
      </c>
      <c r="N5471" s="561">
        <v>1120</v>
      </c>
      <c r="O5471" s="561">
        <v>140</v>
      </c>
      <c r="P5471" s="561">
        <v>3328.0241700000001</v>
      </c>
      <c r="Q5471" s="561">
        <v>3328.0241700000001</v>
      </c>
    </row>
    <row r="5472" spans="1:17">
      <c r="A5472" s="561">
        <v>27</v>
      </c>
      <c r="B5472" s="561" t="s">
        <v>1721</v>
      </c>
      <c r="C5472" s="561" t="s">
        <v>1267</v>
      </c>
      <c r="D5472" s="561">
        <v>68600</v>
      </c>
      <c r="E5472" s="561">
        <v>20580</v>
      </c>
      <c r="F5472" s="561">
        <v>48020</v>
      </c>
      <c r="G5472" s="561">
        <v>4427</v>
      </c>
      <c r="H5472" s="561">
        <v>70961.668999999994</v>
      </c>
      <c r="I5472" s="561">
        <v>31</v>
      </c>
      <c r="J5472" s="561">
        <v>2374.8511499999977</v>
      </c>
      <c r="K5472" s="561">
        <v>4396</v>
      </c>
      <c r="L5472" s="561">
        <v>68586.817850000007</v>
      </c>
      <c r="M5472" s="561">
        <v>68586.817850000007</v>
      </c>
      <c r="N5472" s="561">
        <v>20580</v>
      </c>
      <c r="O5472" s="561">
        <v>0</v>
      </c>
      <c r="P5472" s="561">
        <v>48006.817849999999</v>
      </c>
      <c r="Q5472" s="561">
        <v>48006.818180000002</v>
      </c>
    </row>
    <row r="5473" spans="1:17">
      <c r="C5473" s="561" t="s">
        <v>1197</v>
      </c>
      <c r="F5473" s="561">
        <v>0</v>
      </c>
      <c r="G5473" s="561">
        <v>0</v>
      </c>
      <c r="H5473" s="561">
        <v>0</v>
      </c>
      <c r="I5473" s="561">
        <v>0</v>
      </c>
      <c r="J5473" s="561">
        <v>0</v>
      </c>
      <c r="K5473" s="561">
        <v>0</v>
      </c>
      <c r="L5473" s="561">
        <v>0</v>
      </c>
      <c r="M5473" s="561">
        <v>0</v>
      </c>
      <c r="N5473" s="561">
        <v>0</v>
      </c>
      <c r="O5473" s="561">
        <v>0</v>
      </c>
      <c r="P5473" s="561">
        <v>0</v>
      </c>
      <c r="Q5473" s="561">
        <v>0</v>
      </c>
    </row>
    <row r="5474" spans="1:17">
      <c r="C5474" s="561" t="s">
        <v>1198</v>
      </c>
      <c r="F5474" s="561">
        <v>0</v>
      </c>
      <c r="G5474" s="561">
        <v>0</v>
      </c>
      <c r="H5474" s="561">
        <v>0</v>
      </c>
      <c r="I5474" s="561">
        <v>0</v>
      </c>
      <c r="J5474" s="561">
        <v>0</v>
      </c>
      <c r="K5474" s="561">
        <v>0</v>
      </c>
      <c r="L5474" s="561">
        <v>0</v>
      </c>
      <c r="M5474" s="561">
        <v>0</v>
      </c>
      <c r="N5474" s="561">
        <v>0</v>
      </c>
      <c r="O5474" s="561">
        <v>0</v>
      </c>
      <c r="P5474" s="561">
        <v>0</v>
      </c>
      <c r="Q5474" s="561">
        <v>0</v>
      </c>
    </row>
    <row r="5475" spans="1:17">
      <c r="C5475" s="561" t="s">
        <v>1199</v>
      </c>
      <c r="D5475" s="561">
        <v>68600</v>
      </c>
      <c r="E5475" s="561">
        <v>20580</v>
      </c>
      <c r="F5475" s="561">
        <v>48020</v>
      </c>
      <c r="G5475" s="561">
        <v>4427</v>
      </c>
      <c r="H5475" s="561">
        <v>70961.668999999994</v>
      </c>
      <c r="I5475" s="561">
        <v>31</v>
      </c>
      <c r="J5475" s="561">
        <v>2374.8511499999977</v>
      </c>
      <c r="K5475" s="561">
        <v>4396</v>
      </c>
      <c r="L5475" s="561">
        <v>68586.817850000007</v>
      </c>
      <c r="M5475" s="561">
        <v>68586.817850000007</v>
      </c>
      <c r="N5475" s="561">
        <v>20580</v>
      </c>
      <c r="O5475" s="561">
        <v>0</v>
      </c>
      <c r="P5475" s="561">
        <v>48006.817849999999</v>
      </c>
      <c r="Q5475" s="561">
        <v>48006.818180000002</v>
      </c>
    </row>
    <row r="5476" spans="1:17">
      <c r="A5476" s="561">
        <v>28</v>
      </c>
      <c r="B5476" s="561" t="s">
        <v>1722</v>
      </c>
      <c r="C5476" s="561" t="s">
        <v>1267</v>
      </c>
      <c r="D5476" s="561">
        <v>1750</v>
      </c>
      <c r="E5476" s="561">
        <v>525</v>
      </c>
      <c r="F5476" s="561">
        <v>1225</v>
      </c>
      <c r="G5476" s="561">
        <v>108</v>
      </c>
      <c r="H5476" s="561">
        <v>1794.84601</v>
      </c>
      <c r="I5476" s="561">
        <v>1</v>
      </c>
      <c r="J5476" s="561">
        <v>45.080569999999852</v>
      </c>
      <c r="K5476" s="561">
        <v>107</v>
      </c>
      <c r="L5476" s="561">
        <v>1749.7654400000001</v>
      </c>
      <c r="M5476" s="561">
        <v>1749.7654400000001</v>
      </c>
      <c r="N5476" s="561">
        <v>525</v>
      </c>
      <c r="O5476" s="561">
        <v>0</v>
      </c>
      <c r="P5476" s="561">
        <v>1224.7654400000001</v>
      </c>
      <c r="Q5476" s="561">
        <v>1224.7654400000001</v>
      </c>
    </row>
    <row r="5477" spans="1:17">
      <c r="C5477" s="561" t="s">
        <v>1197</v>
      </c>
      <c r="F5477" s="561">
        <v>0</v>
      </c>
      <c r="G5477" s="561">
        <v>0</v>
      </c>
      <c r="H5477" s="561">
        <v>0</v>
      </c>
      <c r="I5477" s="561">
        <v>0</v>
      </c>
      <c r="J5477" s="561">
        <v>0</v>
      </c>
      <c r="K5477" s="561">
        <v>0</v>
      </c>
      <c r="L5477" s="561">
        <v>0</v>
      </c>
      <c r="M5477" s="561">
        <v>0</v>
      </c>
      <c r="N5477" s="561">
        <v>0</v>
      </c>
      <c r="O5477" s="561">
        <v>0</v>
      </c>
      <c r="P5477" s="561">
        <v>0</v>
      </c>
      <c r="Q5477" s="561">
        <v>0</v>
      </c>
    </row>
    <row r="5478" spans="1:17">
      <c r="C5478" s="561" t="s">
        <v>1198</v>
      </c>
      <c r="F5478" s="561">
        <v>0</v>
      </c>
      <c r="G5478" s="561">
        <v>0</v>
      </c>
      <c r="H5478" s="561">
        <v>0</v>
      </c>
      <c r="I5478" s="561">
        <v>0</v>
      </c>
      <c r="J5478" s="561">
        <v>0</v>
      </c>
      <c r="K5478" s="561">
        <v>0</v>
      </c>
      <c r="L5478" s="561">
        <v>0</v>
      </c>
      <c r="M5478" s="561">
        <v>0</v>
      </c>
      <c r="N5478" s="561">
        <v>0</v>
      </c>
      <c r="O5478" s="561">
        <v>0</v>
      </c>
      <c r="P5478" s="561">
        <v>0</v>
      </c>
      <c r="Q5478" s="561">
        <v>0</v>
      </c>
    </row>
    <row r="5479" spans="1:17">
      <c r="C5479" s="561" t="s">
        <v>1199</v>
      </c>
      <c r="D5479" s="561">
        <v>1750</v>
      </c>
      <c r="E5479" s="561">
        <v>525</v>
      </c>
      <c r="F5479" s="561">
        <v>1225</v>
      </c>
      <c r="G5479" s="561">
        <v>108</v>
      </c>
      <c r="H5479" s="561">
        <v>1794.84601</v>
      </c>
      <c r="I5479" s="561">
        <v>1</v>
      </c>
      <c r="J5479" s="561">
        <v>45.080569999999852</v>
      </c>
      <c r="K5479" s="561">
        <v>107</v>
      </c>
      <c r="L5479" s="561">
        <v>1749.7654400000001</v>
      </c>
      <c r="M5479" s="561">
        <v>1749.7654400000001</v>
      </c>
      <c r="N5479" s="561">
        <v>525</v>
      </c>
      <c r="O5479" s="561">
        <v>0</v>
      </c>
      <c r="P5479" s="561">
        <v>1224.7654400000001</v>
      </c>
      <c r="Q5479" s="561">
        <v>1224.7654400000001</v>
      </c>
    </row>
    <row r="5480" spans="1:17">
      <c r="A5480" s="561">
        <v>29</v>
      </c>
      <c r="B5480" s="561" t="s">
        <v>1723</v>
      </c>
      <c r="C5480" s="561" t="s">
        <v>1267</v>
      </c>
      <c r="D5480" s="561">
        <v>76300</v>
      </c>
      <c r="E5480" s="561">
        <v>22890</v>
      </c>
      <c r="F5480" s="561">
        <v>53410</v>
      </c>
      <c r="G5480" s="561">
        <v>4153</v>
      </c>
      <c r="H5480" s="561">
        <v>77963.758959999992</v>
      </c>
      <c r="I5480" s="561">
        <v>4</v>
      </c>
      <c r="J5480" s="561">
        <v>1663.2727100000047</v>
      </c>
      <c r="K5480" s="561">
        <v>4149</v>
      </c>
      <c r="L5480" s="561">
        <v>76300.486250000002</v>
      </c>
      <c r="M5480" s="561">
        <v>76300</v>
      </c>
      <c r="N5480" s="561">
        <v>20346.666000000001</v>
      </c>
      <c r="O5480" s="561">
        <v>2543.3339999999998</v>
      </c>
      <c r="P5480" s="561">
        <v>53410.000000000007</v>
      </c>
      <c r="Q5480" s="561">
        <v>53410.000000000007</v>
      </c>
    </row>
    <row r="5481" spans="1:17">
      <c r="C5481" s="561" t="s">
        <v>1197</v>
      </c>
      <c r="F5481" s="561">
        <v>0</v>
      </c>
      <c r="G5481" s="561">
        <v>0</v>
      </c>
      <c r="H5481" s="561">
        <v>0</v>
      </c>
      <c r="I5481" s="561">
        <v>0</v>
      </c>
      <c r="J5481" s="561">
        <v>0</v>
      </c>
      <c r="K5481" s="561">
        <v>0</v>
      </c>
      <c r="L5481" s="561">
        <v>0</v>
      </c>
      <c r="M5481" s="561">
        <v>0</v>
      </c>
      <c r="N5481" s="561">
        <v>0</v>
      </c>
      <c r="O5481" s="561">
        <v>0</v>
      </c>
      <c r="P5481" s="561">
        <v>0</v>
      </c>
      <c r="Q5481" s="561">
        <v>0</v>
      </c>
    </row>
    <row r="5482" spans="1:17">
      <c r="C5482" s="561" t="s">
        <v>1198</v>
      </c>
      <c r="F5482" s="561">
        <v>0</v>
      </c>
      <c r="G5482" s="561">
        <v>0</v>
      </c>
      <c r="H5482" s="561">
        <v>0</v>
      </c>
      <c r="I5482" s="561">
        <v>0</v>
      </c>
      <c r="J5482" s="561">
        <v>0</v>
      </c>
      <c r="K5482" s="561">
        <v>0</v>
      </c>
      <c r="L5482" s="561">
        <v>0</v>
      </c>
      <c r="M5482" s="561">
        <v>0</v>
      </c>
      <c r="N5482" s="561">
        <v>0</v>
      </c>
      <c r="O5482" s="561">
        <v>0</v>
      </c>
      <c r="P5482" s="561">
        <v>0</v>
      </c>
      <c r="Q5482" s="561">
        <v>0</v>
      </c>
    </row>
    <row r="5483" spans="1:17">
      <c r="C5483" s="561" t="s">
        <v>1199</v>
      </c>
      <c r="D5483" s="561">
        <v>76300</v>
      </c>
      <c r="E5483" s="561">
        <v>22890</v>
      </c>
      <c r="F5483" s="561">
        <v>53410</v>
      </c>
      <c r="G5483" s="561">
        <v>4153</v>
      </c>
      <c r="H5483" s="561">
        <v>77963.758959999992</v>
      </c>
      <c r="I5483" s="561">
        <v>4</v>
      </c>
      <c r="J5483" s="561">
        <v>1663.2727100000047</v>
      </c>
      <c r="K5483" s="561">
        <v>4149</v>
      </c>
      <c r="L5483" s="561">
        <v>76300.486250000002</v>
      </c>
      <c r="M5483" s="561">
        <v>76300</v>
      </c>
      <c r="N5483" s="561">
        <v>20346.666000000001</v>
      </c>
      <c r="O5483" s="561">
        <v>2543.3339999999998</v>
      </c>
      <c r="P5483" s="561">
        <v>53410.000000000007</v>
      </c>
      <c r="Q5483" s="561">
        <v>53410.000000000007</v>
      </c>
    </row>
    <row r="5484" spans="1:17">
      <c r="A5484" s="561">
        <v>30</v>
      </c>
      <c r="B5484" s="561" t="s">
        <v>1724</v>
      </c>
      <c r="C5484" s="561" t="s">
        <v>1267</v>
      </c>
      <c r="D5484" s="561">
        <v>39987</v>
      </c>
      <c r="E5484" s="561">
        <v>9436.1999999999989</v>
      </c>
      <c r="F5484" s="561">
        <v>30550.800000000003</v>
      </c>
      <c r="G5484" s="561">
        <v>2266</v>
      </c>
      <c r="H5484" s="561">
        <v>41583.178019999999</v>
      </c>
      <c r="I5484" s="561">
        <v>29</v>
      </c>
      <c r="J5484" s="561">
        <v>1596.1285600000012</v>
      </c>
      <c r="K5484" s="561">
        <v>2237</v>
      </c>
      <c r="L5484" s="561">
        <v>39987.049459999995</v>
      </c>
      <c r="M5484" s="561">
        <v>39986.999999999993</v>
      </c>
      <c r="N5484" s="561">
        <v>7339.268</v>
      </c>
      <c r="O5484" s="561">
        <v>2096.9319999999998</v>
      </c>
      <c r="P5484" s="561">
        <v>30550.799999999996</v>
      </c>
      <c r="Q5484" s="561">
        <v>30550.799999999996</v>
      </c>
    </row>
    <row r="5485" spans="1:17">
      <c r="C5485" s="561" t="s">
        <v>1197</v>
      </c>
      <c r="F5485" s="561">
        <v>0</v>
      </c>
      <c r="G5485" s="561">
        <v>0</v>
      </c>
      <c r="H5485" s="561">
        <v>0</v>
      </c>
      <c r="I5485" s="561">
        <v>0</v>
      </c>
      <c r="J5485" s="561">
        <v>0</v>
      </c>
      <c r="K5485" s="561">
        <v>0</v>
      </c>
      <c r="L5485" s="561">
        <v>0</v>
      </c>
      <c r="M5485" s="561">
        <v>0</v>
      </c>
      <c r="N5485" s="561">
        <v>0</v>
      </c>
      <c r="O5485" s="561">
        <v>0</v>
      </c>
      <c r="P5485" s="561">
        <v>0</v>
      </c>
      <c r="Q5485" s="561">
        <v>0</v>
      </c>
    </row>
    <row r="5486" spans="1:17">
      <c r="C5486" s="561" t="s">
        <v>1198</v>
      </c>
      <c r="F5486" s="561">
        <v>0</v>
      </c>
      <c r="G5486" s="561">
        <v>0</v>
      </c>
      <c r="H5486" s="561">
        <v>0</v>
      </c>
      <c r="I5486" s="561">
        <v>0</v>
      </c>
      <c r="J5486" s="561">
        <v>0</v>
      </c>
      <c r="K5486" s="561">
        <v>0</v>
      </c>
      <c r="L5486" s="561">
        <v>0</v>
      </c>
      <c r="M5486" s="561">
        <v>0</v>
      </c>
      <c r="N5486" s="561">
        <v>0</v>
      </c>
      <c r="O5486" s="561">
        <v>0</v>
      </c>
      <c r="P5486" s="561">
        <v>0</v>
      </c>
      <c r="Q5486" s="561">
        <v>0</v>
      </c>
    </row>
    <row r="5487" spans="1:17">
      <c r="C5487" s="561" t="s">
        <v>1199</v>
      </c>
      <c r="D5487" s="561">
        <v>39987</v>
      </c>
      <c r="E5487" s="561">
        <v>9436.1999999999989</v>
      </c>
      <c r="F5487" s="561">
        <v>30550.800000000003</v>
      </c>
      <c r="G5487" s="561">
        <v>2266</v>
      </c>
      <c r="H5487" s="561">
        <v>41583.178019999999</v>
      </c>
      <c r="I5487" s="561">
        <v>29</v>
      </c>
      <c r="J5487" s="561">
        <v>1596.1285600000012</v>
      </c>
      <c r="K5487" s="561">
        <v>2237</v>
      </c>
      <c r="L5487" s="561">
        <v>39987.049459999995</v>
      </c>
      <c r="M5487" s="561">
        <v>39986.999999999993</v>
      </c>
      <c r="N5487" s="561">
        <v>7339.268</v>
      </c>
      <c r="O5487" s="561">
        <v>2096.9319999999998</v>
      </c>
      <c r="P5487" s="561">
        <v>30550.799999999996</v>
      </c>
      <c r="Q5487" s="561">
        <v>30550.799999999996</v>
      </c>
    </row>
    <row r="5488" spans="1:17">
      <c r="A5488" s="561">
        <v>31</v>
      </c>
      <c r="B5488" s="561" t="s">
        <v>1725</v>
      </c>
      <c r="C5488" s="561" t="s">
        <v>1267</v>
      </c>
      <c r="D5488" s="561">
        <v>35200</v>
      </c>
      <c r="E5488" s="561">
        <v>9660</v>
      </c>
      <c r="F5488" s="561">
        <v>25540</v>
      </c>
      <c r="G5488" s="561">
        <v>2098</v>
      </c>
      <c r="H5488" s="561">
        <v>35747.157709999999</v>
      </c>
      <c r="I5488" s="561">
        <v>6</v>
      </c>
      <c r="J5488" s="561">
        <v>547.38627999999153</v>
      </c>
      <c r="K5488" s="561">
        <v>2092</v>
      </c>
      <c r="L5488" s="561">
        <v>35199.771430000008</v>
      </c>
      <c r="M5488" s="561">
        <v>35199.771430000008</v>
      </c>
      <c r="N5488" s="561">
        <v>8586.6670000000013</v>
      </c>
      <c r="O5488" s="561">
        <v>1073.3330000000001</v>
      </c>
      <c r="P5488" s="561">
        <v>25539.771429999997</v>
      </c>
      <c r="Q5488" s="561">
        <v>25539.771429999997</v>
      </c>
    </row>
    <row r="5489" spans="1:111">
      <c r="C5489" s="561" t="s">
        <v>1197</v>
      </c>
      <c r="F5489" s="561">
        <v>0</v>
      </c>
      <c r="G5489" s="561">
        <v>0</v>
      </c>
      <c r="H5489" s="561">
        <v>0</v>
      </c>
      <c r="I5489" s="561">
        <v>0</v>
      </c>
      <c r="J5489" s="561">
        <v>0</v>
      </c>
      <c r="K5489" s="561">
        <v>0</v>
      </c>
      <c r="L5489" s="561">
        <v>0</v>
      </c>
      <c r="M5489" s="561">
        <v>0</v>
      </c>
      <c r="N5489" s="561">
        <v>0</v>
      </c>
      <c r="O5489" s="561">
        <v>0</v>
      </c>
      <c r="P5489" s="561">
        <v>0</v>
      </c>
      <c r="Q5489" s="561">
        <v>0</v>
      </c>
    </row>
    <row r="5490" spans="1:111">
      <c r="C5490" s="561" t="s">
        <v>1198</v>
      </c>
      <c r="F5490" s="561">
        <v>0</v>
      </c>
      <c r="G5490" s="561">
        <v>0</v>
      </c>
      <c r="H5490" s="561">
        <v>0</v>
      </c>
      <c r="I5490" s="561">
        <v>0</v>
      </c>
      <c r="J5490" s="561">
        <v>0</v>
      </c>
      <c r="K5490" s="561">
        <v>0</v>
      </c>
      <c r="L5490" s="561">
        <v>0</v>
      </c>
      <c r="M5490" s="561">
        <v>0</v>
      </c>
      <c r="N5490" s="561">
        <v>0</v>
      </c>
      <c r="O5490" s="561">
        <v>0</v>
      </c>
      <c r="P5490" s="561">
        <v>0</v>
      </c>
      <c r="Q5490" s="561">
        <v>0</v>
      </c>
    </row>
    <row r="5491" spans="1:111">
      <c r="C5491" s="561" t="s">
        <v>1199</v>
      </c>
      <c r="D5491" s="561">
        <v>35200</v>
      </c>
      <c r="E5491" s="561">
        <v>9660</v>
      </c>
      <c r="F5491" s="561">
        <v>25540</v>
      </c>
      <c r="G5491" s="561">
        <v>2098</v>
      </c>
      <c r="H5491" s="561">
        <v>35747.157709999999</v>
      </c>
      <c r="I5491" s="561">
        <v>6</v>
      </c>
      <c r="J5491" s="561">
        <v>547.38627999999153</v>
      </c>
      <c r="K5491" s="561">
        <v>2092</v>
      </c>
      <c r="L5491" s="561">
        <v>35199.771430000008</v>
      </c>
      <c r="M5491" s="561">
        <v>35199.771430000008</v>
      </c>
      <c r="N5491" s="561">
        <v>8586.6670000000013</v>
      </c>
      <c r="O5491" s="561">
        <v>1073.3330000000001</v>
      </c>
      <c r="P5491" s="561">
        <v>25539.771429999997</v>
      </c>
      <c r="Q5491" s="561">
        <v>25539.771429999997</v>
      </c>
    </row>
    <row r="5492" spans="1:111">
      <c r="A5492" s="561">
        <v>32</v>
      </c>
      <c r="B5492" s="561" t="s">
        <v>1726</v>
      </c>
      <c r="C5492" s="561" t="s">
        <v>1267</v>
      </c>
      <c r="D5492" s="561">
        <v>12000</v>
      </c>
      <c r="E5492" s="561">
        <v>3510</v>
      </c>
      <c r="F5492" s="561">
        <v>8490</v>
      </c>
      <c r="G5492" s="561">
        <v>675</v>
      </c>
      <c r="H5492" s="561">
        <v>12345.363700000002</v>
      </c>
      <c r="I5492" s="561">
        <v>2</v>
      </c>
      <c r="J5492" s="561">
        <v>344.78292999999996</v>
      </c>
      <c r="K5492" s="561">
        <v>673</v>
      </c>
      <c r="L5492" s="561">
        <v>12000.58077</v>
      </c>
      <c r="M5492" s="561">
        <v>12000</v>
      </c>
      <c r="N5492" s="561">
        <v>3510</v>
      </c>
      <c r="O5492" s="561">
        <v>0</v>
      </c>
      <c r="P5492" s="561">
        <v>8490</v>
      </c>
      <c r="Q5492" s="561">
        <v>8490</v>
      </c>
    </row>
    <row r="5493" spans="1:111">
      <c r="C5493" s="561" t="s">
        <v>1197</v>
      </c>
      <c r="F5493" s="561">
        <v>0</v>
      </c>
      <c r="G5493" s="561">
        <v>0</v>
      </c>
      <c r="H5493" s="561">
        <v>0</v>
      </c>
      <c r="I5493" s="561">
        <v>0</v>
      </c>
      <c r="J5493" s="561">
        <v>0</v>
      </c>
      <c r="K5493" s="561">
        <v>0</v>
      </c>
      <c r="L5493" s="561">
        <v>0</v>
      </c>
      <c r="M5493" s="561">
        <v>0</v>
      </c>
      <c r="N5493" s="561">
        <v>0</v>
      </c>
      <c r="O5493" s="561">
        <v>0</v>
      </c>
      <c r="P5493" s="561">
        <v>0</v>
      </c>
      <c r="Q5493" s="561">
        <v>0</v>
      </c>
    </row>
    <row r="5494" spans="1:111">
      <c r="C5494" s="561" t="s">
        <v>1198</v>
      </c>
      <c r="F5494" s="561">
        <v>0</v>
      </c>
      <c r="G5494" s="561">
        <v>0</v>
      </c>
      <c r="H5494" s="561">
        <v>0</v>
      </c>
      <c r="I5494" s="561">
        <v>0</v>
      </c>
      <c r="J5494" s="561">
        <v>0</v>
      </c>
      <c r="K5494" s="561">
        <v>0</v>
      </c>
      <c r="L5494" s="561">
        <v>0</v>
      </c>
      <c r="M5494" s="561">
        <v>0</v>
      </c>
      <c r="N5494" s="561">
        <v>0</v>
      </c>
      <c r="O5494" s="561">
        <v>0</v>
      </c>
      <c r="P5494" s="561">
        <v>0</v>
      </c>
      <c r="Q5494" s="561">
        <v>0</v>
      </c>
    </row>
    <row r="5495" spans="1:111">
      <c r="C5495" s="561" t="s">
        <v>1199</v>
      </c>
      <c r="D5495" s="561">
        <v>12000</v>
      </c>
      <c r="E5495" s="561">
        <v>3510</v>
      </c>
      <c r="F5495" s="561">
        <v>8490</v>
      </c>
      <c r="G5495" s="561">
        <v>675</v>
      </c>
      <c r="H5495" s="561">
        <v>12345.363700000002</v>
      </c>
      <c r="I5495" s="561">
        <v>2</v>
      </c>
      <c r="J5495" s="561">
        <v>344.78292999999996</v>
      </c>
      <c r="K5495" s="561">
        <v>673</v>
      </c>
      <c r="L5495" s="561">
        <v>12000.58077</v>
      </c>
      <c r="M5495" s="561">
        <v>12000</v>
      </c>
      <c r="N5495" s="561">
        <v>3510</v>
      </c>
      <c r="O5495" s="561">
        <v>0</v>
      </c>
      <c r="P5495" s="561">
        <v>8490</v>
      </c>
      <c r="Q5495" s="561">
        <v>8490</v>
      </c>
    </row>
    <row r="5496" spans="1:111">
      <c r="A5496" s="561">
        <v>33</v>
      </c>
      <c r="B5496" s="561" t="s">
        <v>1727</v>
      </c>
      <c r="C5496" s="561" t="s">
        <v>1267</v>
      </c>
      <c r="D5496" s="561">
        <v>51800</v>
      </c>
      <c r="E5496" s="561">
        <v>13440</v>
      </c>
      <c r="F5496" s="561">
        <v>38360</v>
      </c>
      <c r="G5496" s="561">
        <v>3135</v>
      </c>
      <c r="H5496" s="561">
        <v>52463.420339999997</v>
      </c>
      <c r="I5496" s="561">
        <v>15</v>
      </c>
      <c r="J5496" s="561">
        <v>673.6997999999985</v>
      </c>
      <c r="K5496" s="561">
        <v>3120</v>
      </c>
      <c r="L5496" s="561">
        <v>51789.720540000002</v>
      </c>
      <c r="M5496" s="561">
        <v>51789.720540000002</v>
      </c>
      <c r="N5496" s="561">
        <v>11946.666999990002</v>
      </c>
      <c r="O5496" s="561">
        <v>1493.3340000000001</v>
      </c>
      <c r="P5496" s="561">
        <v>38349.720540000002</v>
      </c>
      <c r="Q5496" s="561">
        <v>38349.720540000002</v>
      </c>
    </row>
    <row r="5497" spans="1:111">
      <c r="C5497" s="561" t="s">
        <v>1197</v>
      </c>
      <c r="F5497" s="561">
        <v>0</v>
      </c>
      <c r="G5497" s="561">
        <v>0</v>
      </c>
      <c r="H5497" s="561">
        <v>0</v>
      </c>
      <c r="I5497" s="561">
        <v>0</v>
      </c>
      <c r="J5497" s="561">
        <v>0</v>
      </c>
      <c r="K5497" s="561">
        <v>0</v>
      </c>
      <c r="L5497" s="561">
        <v>0</v>
      </c>
      <c r="M5497" s="561">
        <v>0</v>
      </c>
      <c r="N5497" s="561">
        <v>0</v>
      </c>
      <c r="O5497" s="561">
        <v>0</v>
      </c>
      <c r="P5497" s="561">
        <v>0</v>
      </c>
      <c r="Q5497" s="561">
        <v>0</v>
      </c>
    </row>
    <row r="5498" spans="1:111">
      <c r="C5498" s="561" t="s">
        <v>1198</v>
      </c>
      <c r="F5498" s="561">
        <v>0</v>
      </c>
      <c r="G5498" s="561">
        <v>0</v>
      </c>
      <c r="H5498" s="561">
        <v>0</v>
      </c>
      <c r="I5498" s="561">
        <v>0</v>
      </c>
      <c r="J5498" s="561">
        <v>0</v>
      </c>
      <c r="K5498" s="561">
        <v>0</v>
      </c>
      <c r="L5498" s="561">
        <v>0</v>
      </c>
      <c r="M5498" s="561">
        <v>0</v>
      </c>
      <c r="N5498" s="561">
        <v>0</v>
      </c>
      <c r="O5498" s="561">
        <v>0</v>
      </c>
      <c r="P5498" s="561">
        <v>0</v>
      </c>
      <c r="Q5498" s="561">
        <v>0</v>
      </c>
    </row>
    <row r="5499" spans="1:111">
      <c r="C5499" s="561" t="s">
        <v>1199</v>
      </c>
      <c r="D5499" s="561">
        <v>51800</v>
      </c>
      <c r="E5499" s="561">
        <v>13440</v>
      </c>
      <c r="F5499" s="561">
        <v>38360</v>
      </c>
      <c r="G5499" s="561">
        <v>3135</v>
      </c>
      <c r="H5499" s="561">
        <v>52463.420339999997</v>
      </c>
      <c r="I5499" s="561">
        <v>15</v>
      </c>
      <c r="J5499" s="561">
        <v>673.6997999999985</v>
      </c>
      <c r="K5499" s="561">
        <v>3120</v>
      </c>
      <c r="L5499" s="561">
        <v>51789.720540000002</v>
      </c>
      <c r="M5499" s="561">
        <v>51789.720540000002</v>
      </c>
      <c r="N5499" s="561">
        <v>11946.666999990002</v>
      </c>
      <c r="O5499" s="561">
        <v>1493.3340000000001</v>
      </c>
      <c r="P5499" s="561">
        <v>38349.720540000002</v>
      </c>
      <c r="Q5499" s="561">
        <v>38349.720540000002</v>
      </c>
    </row>
    <row r="5500" spans="1:111">
      <c r="A5500" s="561">
        <v>34</v>
      </c>
      <c r="B5500" s="561" t="s">
        <v>1728</v>
      </c>
      <c r="C5500" s="561" t="s">
        <v>1267</v>
      </c>
      <c r="D5500" s="561">
        <v>44000</v>
      </c>
      <c r="E5500" s="561">
        <v>12600</v>
      </c>
      <c r="F5500" s="561">
        <v>31400</v>
      </c>
      <c r="G5500" s="561">
        <v>2463</v>
      </c>
      <c r="H5500" s="561">
        <v>44397.18806</v>
      </c>
      <c r="I5500" s="561">
        <v>14</v>
      </c>
      <c r="J5500" s="561">
        <v>397.41686999999456</v>
      </c>
      <c r="K5500" s="561">
        <v>2449</v>
      </c>
      <c r="L5500" s="561">
        <v>43999.771189999999</v>
      </c>
      <c r="M5500" s="561">
        <v>43999.771189999999</v>
      </c>
      <c r="N5500" s="561">
        <v>12600</v>
      </c>
      <c r="O5500" s="561">
        <v>0</v>
      </c>
      <c r="P5500" s="561">
        <v>31399.771190000003</v>
      </c>
      <c r="Q5500" s="561">
        <v>31399.771190000003</v>
      </c>
    </row>
    <row r="5501" spans="1:111">
      <c r="C5501" s="561" t="s">
        <v>1197</v>
      </c>
      <c r="F5501" s="561">
        <v>0</v>
      </c>
      <c r="G5501" s="561">
        <v>0</v>
      </c>
      <c r="H5501" s="561">
        <v>0</v>
      </c>
      <c r="I5501" s="561">
        <v>0</v>
      </c>
      <c r="J5501" s="561">
        <v>0</v>
      </c>
      <c r="K5501" s="561">
        <v>0</v>
      </c>
      <c r="L5501" s="561">
        <v>0</v>
      </c>
      <c r="M5501" s="561">
        <v>0</v>
      </c>
      <c r="N5501" s="561">
        <v>0</v>
      </c>
      <c r="O5501" s="561">
        <v>0</v>
      </c>
      <c r="P5501" s="561">
        <v>0</v>
      </c>
      <c r="Q5501" s="561">
        <v>0</v>
      </c>
    </row>
    <row r="5502" spans="1:111">
      <c r="C5502" s="561" t="s">
        <v>1198</v>
      </c>
      <c r="F5502" s="561">
        <v>0</v>
      </c>
      <c r="G5502" s="561">
        <v>0</v>
      </c>
      <c r="H5502" s="561">
        <v>0</v>
      </c>
      <c r="I5502" s="561">
        <v>0</v>
      </c>
      <c r="J5502" s="561">
        <v>0</v>
      </c>
      <c r="K5502" s="561">
        <v>0</v>
      </c>
      <c r="L5502" s="561">
        <v>0</v>
      </c>
      <c r="M5502" s="561">
        <v>0</v>
      </c>
      <c r="N5502" s="561">
        <v>0</v>
      </c>
      <c r="O5502" s="561">
        <v>0</v>
      </c>
      <c r="P5502" s="561">
        <v>0</v>
      </c>
      <c r="Q5502" s="561">
        <v>0</v>
      </c>
    </row>
    <row r="5503" spans="1:111">
      <c r="C5503" s="561" t="s">
        <v>1199</v>
      </c>
      <c r="D5503" s="561">
        <v>44000</v>
      </c>
      <c r="E5503" s="561">
        <v>12600</v>
      </c>
      <c r="F5503" s="561">
        <v>31400</v>
      </c>
      <c r="G5503" s="561">
        <v>2463</v>
      </c>
      <c r="H5503" s="561">
        <v>44397.18806</v>
      </c>
      <c r="I5503" s="561">
        <v>14</v>
      </c>
      <c r="J5503" s="561">
        <v>397.41686999999456</v>
      </c>
      <c r="K5503" s="561">
        <v>2449</v>
      </c>
      <c r="L5503" s="561">
        <v>43999.771189999999</v>
      </c>
      <c r="M5503" s="561">
        <v>43999.771189999999</v>
      </c>
      <c r="N5503" s="561">
        <v>12600</v>
      </c>
      <c r="O5503" s="561">
        <v>0</v>
      </c>
      <c r="P5503" s="561">
        <v>31399.771190000003</v>
      </c>
      <c r="Q5503" s="561">
        <v>31399.771190000003</v>
      </c>
    </row>
    <row r="5504" spans="1:111">
      <c r="A5504" s="1735" t="s">
        <v>1198</v>
      </c>
      <c r="B5504" s="1735"/>
      <c r="C5504" s="1735"/>
      <c r="D5504" s="1735"/>
      <c r="E5504" s="1735"/>
      <c r="F5504" s="1735"/>
      <c r="G5504" s="1735"/>
      <c r="H5504" s="1735"/>
      <c r="I5504" s="1735"/>
      <c r="J5504" s="1735"/>
      <c r="K5504" s="1735"/>
      <c r="L5504" s="1735"/>
      <c r="M5504" s="1735"/>
      <c r="N5504" s="1735"/>
      <c r="O5504" s="1735"/>
      <c r="P5504" s="1735"/>
      <c r="AL5504" s="561">
        <f>SUM(AL5505:AL5648)</f>
        <v>539845.54985999991</v>
      </c>
      <c r="AM5504" s="561">
        <f t="shared" ref="AM5504:CX5504" si="128">SUM(AM5505:AM5648)</f>
        <v>0</v>
      </c>
      <c r="AN5504" s="561">
        <f t="shared" si="128"/>
        <v>0</v>
      </c>
      <c r="AO5504" s="561">
        <f t="shared" si="128"/>
        <v>0</v>
      </c>
      <c r="AP5504" s="561">
        <f t="shared" si="128"/>
        <v>0</v>
      </c>
      <c r="AQ5504" s="561">
        <f t="shared" si="128"/>
        <v>0</v>
      </c>
      <c r="AR5504" s="561">
        <f t="shared" si="128"/>
        <v>0</v>
      </c>
      <c r="AS5504" s="561">
        <f t="shared" si="128"/>
        <v>0</v>
      </c>
      <c r="AT5504" s="561">
        <f t="shared" si="128"/>
        <v>0</v>
      </c>
      <c r="AU5504" s="561">
        <f t="shared" si="128"/>
        <v>0</v>
      </c>
      <c r="AV5504" s="561">
        <f t="shared" si="128"/>
        <v>0</v>
      </c>
      <c r="AW5504" s="561">
        <f t="shared" si="128"/>
        <v>0</v>
      </c>
      <c r="AX5504" s="561">
        <f t="shared" si="128"/>
        <v>0</v>
      </c>
      <c r="AY5504" s="561">
        <f t="shared" si="128"/>
        <v>0</v>
      </c>
      <c r="AZ5504" s="561">
        <f t="shared" si="128"/>
        <v>0</v>
      </c>
      <c r="BA5504" s="561">
        <f t="shared" si="128"/>
        <v>0</v>
      </c>
      <c r="BB5504" s="561">
        <f t="shared" si="128"/>
        <v>0</v>
      </c>
      <c r="BC5504" s="561">
        <f t="shared" si="128"/>
        <v>0</v>
      </c>
      <c r="BD5504" s="561">
        <f t="shared" si="128"/>
        <v>0</v>
      </c>
      <c r="BE5504" s="561">
        <f t="shared" si="128"/>
        <v>0</v>
      </c>
      <c r="BF5504" s="561">
        <f t="shared" si="128"/>
        <v>0</v>
      </c>
      <c r="BG5504" s="561">
        <f t="shared" si="128"/>
        <v>0</v>
      </c>
      <c r="BH5504" s="561">
        <f t="shared" si="128"/>
        <v>0</v>
      </c>
      <c r="BI5504" s="561">
        <f t="shared" si="128"/>
        <v>0</v>
      </c>
      <c r="BJ5504" s="561">
        <f t="shared" si="128"/>
        <v>0</v>
      </c>
      <c r="BK5504" s="561">
        <f t="shared" si="128"/>
        <v>0</v>
      </c>
      <c r="BL5504" s="561">
        <f t="shared" si="128"/>
        <v>0</v>
      </c>
      <c r="BM5504" s="561">
        <f t="shared" si="128"/>
        <v>0</v>
      </c>
      <c r="BN5504" s="561">
        <f t="shared" si="128"/>
        <v>0</v>
      </c>
      <c r="BO5504" s="561">
        <f t="shared" si="128"/>
        <v>0</v>
      </c>
      <c r="BP5504" s="561">
        <f t="shared" si="128"/>
        <v>0</v>
      </c>
      <c r="BQ5504" s="561">
        <f t="shared" si="128"/>
        <v>0</v>
      </c>
      <c r="BR5504" s="561">
        <f t="shared" si="128"/>
        <v>0</v>
      </c>
      <c r="BS5504" s="561">
        <f t="shared" si="128"/>
        <v>0</v>
      </c>
      <c r="BT5504" s="561">
        <f t="shared" si="128"/>
        <v>0</v>
      </c>
      <c r="BU5504" s="561">
        <f t="shared" si="128"/>
        <v>0</v>
      </c>
      <c r="BV5504" s="561">
        <f t="shared" si="128"/>
        <v>0</v>
      </c>
      <c r="BW5504" s="561">
        <f t="shared" si="128"/>
        <v>0</v>
      </c>
      <c r="BX5504" s="561">
        <f t="shared" si="128"/>
        <v>0</v>
      </c>
      <c r="BY5504" s="561">
        <f t="shared" si="128"/>
        <v>0</v>
      </c>
      <c r="BZ5504" s="561">
        <f t="shared" si="128"/>
        <v>0</v>
      </c>
      <c r="CA5504" s="561">
        <f t="shared" si="128"/>
        <v>0</v>
      </c>
      <c r="CB5504" s="561">
        <f t="shared" si="128"/>
        <v>0</v>
      </c>
      <c r="CC5504" s="561">
        <f t="shared" si="128"/>
        <v>0</v>
      </c>
      <c r="CD5504" s="561">
        <f t="shared" si="128"/>
        <v>0</v>
      </c>
      <c r="CE5504" s="561">
        <f t="shared" si="128"/>
        <v>0</v>
      </c>
      <c r="CF5504" s="561">
        <f t="shared" si="128"/>
        <v>0</v>
      </c>
      <c r="CG5504" s="561">
        <f t="shared" si="128"/>
        <v>0</v>
      </c>
      <c r="CH5504" s="561">
        <f t="shared" si="128"/>
        <v>0</v>
      </c>
      <c r="CI5504" s="561">
        <f t="shared" si="128"/>
        <v>0</v>
      </c>
      <c r="CJ5504" s="561">
        <f t="shared" si="128"/>
        <v>0</v>
      </c>
      <c r="CK5504" s="561">
        <f t="shared" si="128"/>
        <v>0</v>
      </c>
      <c r="CL5504" s="561">
        <f t="shared" si="128"/>
        <v>0</v>
      </c>
      <c r="CM5504" s="561">
        <f t="shared" si="128"/>
        <v>0</v>
      </c>
      <c r="CN5504" s="561">
        <f t="shared" si="128"/>
        <v>0</v>
      </c>
      <c r="CO5504" s="561">
        <f t="shared" si="128"/>
        <v>0</v>
      </c>
      <c r="CP5504" s="561">
        <f t="shared" si="128"/>
        <v>0</v>
      </c>
      <c r="CQ5504" s="561">
        <f t="shared" si="128"/>
        <v>0</v>
      </c>
      <c r="CR5504" s="561">
        <f t="shared" si="128"/>
        <v>0</v>
      </c>
      <c r="CS5504" s="561">
        <f t="shared" si="128"/>
        <v>0</v>
      </c>
      <c r="CT5504" s="561">
        <f t="shared" si="128"/>
        <v>0</v>
      </c>
      <c r="CU5504" s="561">
        <f t="shared" si="128"/>
        <v>0</v>
      </c>
      <c r="CV5504" s="561">
        <f t="shared" si="128"/>
        <v>0</v>
      </c>
      <c r="CW5504" s="561">
        <f t="shared" si="128"/>
        <v>0</v>
      </c>
      <c r="CX5504" s="561">
        <f t="shared" si="128"/>
        <v>0</v>
      </c>
      <c r="CY5504" s="561">
        <f t="shared" ref="CY5504:DG5504" si="129">SUM(CY5505:CY5648)</f>
        <v>0</v>
      </c>
      <c r="CZ5504" s="561">
        <f t="shared" si="129"/>
        <v>0</v>
      </c>
      <c r="DA5504" s="561">
        <f t="shared" si="129"/>
        <v>0</v>
      </c>
      <c r="DB5504" s="561">
        <f t="shared" si="129"/>
        <v>0</v>
      </c>
      <c r="DC5504" s="561">
        <f t="shared" si="129"/>
        <v>0</v>
      </c>
      <c r="DD5504" s="561">
        <f t="shared" si="129"/>
        <v>0</v>
      </c>
      <c r="DE5504" s="561">
        <f t="shared" si="129"/>
        <v>0</v>
      </c>
      <c r="DF5504" s="561">
        <f t="shared" si="129"/>
        <v>0</v>
      </c>
      <c r="DG5504" s="561">
        <f t="shared" si="129"/>
        <v>0</v>
      </c>
    </row>
    <row r="5505" spans="1:38">
      <c r="A5505" s="561">
        <v>1</v>
      </c>
      <c r="B5505" s="561" t="s">
        <v>1695</v>
      </c>
      <c r="C5505" s="561" t="s">
        <v>1267</v>
      </c>
      <c r="D5505" s="561">
        <v>2993717</v>
      </c>
      <c r="E5505" s="561">
        <v>618648.6</v>
      </c>
      <c r="F5505" s="561">
        <v>2375068.4</v>
      </c>
      <c r="G5505" s="561">
        <v>26351</v>
      </c>
      <c r="H5505" s="561">
        <v>3173308.1472308771</v>
      </c>
      <c r="I5505" s="561">
        <v>181</v>
      </c>
      <c r="J5505" s="561">
        <v>130723.59355088009</v>
      </c>
      <c r="K5505" s="561">
        <v>26170</v>
      </c>
      <c r="L5505" s="561">
        <v>3042584.5536799999</v>
      </c>
      <c r="M5505" s="561">
        <v>2993717</v>
      </c>
      <c r="N5505" s="561">
        <v>481171.13399999996</v>
      </c>
      <c r="O5505" s="561">
        <v>137477.467</v>
      </c>
      <c r="P5505" s="561">
        <v>2375068.3999999994</v>
      </c>
      <c r="AL5505" s="561" t="s">
        <v>1729</v>
      </c>
    </row>
    <row r="5506" spans="1:38">
      <c r="C5506" s="561" t="s">
        <v>1197</v>
      </c>
      <c r="D5506" s="561">
        <v>2375625</v>
      </c>
      <c r="E5506" s="561">
        <v>522720</v>
      </c>
      <c r="F5506" s="561">
        <v>1852905</v>
      </c>
      <c r="G5506" s="561">
        <v>25741</v>
      </c>
      <c r="H5506" s="561">
        <v>2522354.3048824901</v>
      </c>
      <c r="I5506" s="561">
        <v>181</v>
      </c>
      <c r="J5506" s="561">
        <v>110757.822922493</v>
      </c>
      <c r="K5506" s="561">
        <v>25560</v>
      </c>
      <c r="L5506" s="561">
        <v>2411596.48196</v>
      </c>
      <c r="M5506" s="561">
        <v>2379805.6192699997</v>
      </c>
      <c r="N5506" s="561">
        <v>406560.00099999999</v>
      </c>
      <c r="O5506" s="561">
        <v>129989.83500000001</v>
      </c>
    </row>
    <row r="5507" spans="1:38">
      <c r="C5507" s="561" t="s">
        <v>1198</v>
      </c>
      <c r="D5507" s="561">
        <v>618092</v>
      </c>
      <c r="E5507" s="561">
        <v>95928.599999999991</v>
      </c>
      <c r="F5507" s="561">
        <v>522163.4</v>
      </c>
      <c r="G5507" s="561">
        <v>610</v>
      </c>
      <c r="H5507" s="561">
        <v>650953.842348387</v>
      </c>
      <c r="I5507" s="561">
        <v>0</v>
      </c>
      <c r="J5507" s="561">
        <v>19965.770628387101</v>
      </c>
      <c r="K5507" s="561">
        <v>610</v>
      </c>
      <c r="L5507" s="561">
        <v>630988.07171999989</v>
      </c>
      <c r="M5507" s="561">
        <v>613911.38073000009</v>
      </c>
      <c r="N5507" s="561">
        <v>74611.133000000002</v>
      </c>
      <c r="O5507" s="561">
        <v>7487.6319999999996</v>
      </c>
      <c r="AL5507" s="561">
        <v>531812.61572999996</v>
      </c>
    </row>
    <row r="5508" spans="1:38">
      <c r="C5508" s="561" t="s">
        <v>1199</v>
      </c>
      <c r="F5508" s="561">
        <v>0</v>
      </c>
      <c r="G5508" s="561">
        <v>0</v>
      </c>
      <c r="H5508" s="561">
        <v>0</v>
      </c>
      <c r="I5508" s="561">
        <v>0</v>
      </c>
      <c r="J5508" s="561">
        <v>0</v>
      </c>
      <c r="K5508" s="561">
        <v>0</v>
      </c>
      <c r="L5508" s="561">
        <v>0</v>
      </c>
      <c r="M5508" s="561">
        <v>0</v>
      </c>
      <c r="N5508" s="561">
        <v>0</v>
      </c>
      <c r="O5508" s="561">
        <v>0</v>
      </c>
      <c r="P5508" s="561">
        <v>0</v>
      </c>
    </row>
    <row r="5509" spans="1:38">
      <c r="A5509" s="561">
        <v>2</v>
      </c>
      <c r="B5509" s="561" t="s">
        <v>1696</v>
      </c>
      <c r="C5509" s="561" t="s">
        <v>1267</v>
      </c>
      <c r="D5509" s="561">
        <v>91880</v>
      </c>
      <c r="E5509" s="561">
        <v>26364</v>
      </c>
      <c r="F5509" s="561">
        <v>65516</v>
      </c>
      <c r="G5509" s="561">
        <v>1462</v>
      </c>
      <c r="H5509" s="561">
        <v>95694.88607956015</v>
      </c>
      <c r="I5509" s="561">
        <v>6</v>
      </c>
      <c r="J5509" s="561">
        <v>2614.1061895601506</v>
      </c>
      <c r="K5509" s="561">
        <v>1456</v>
      </c>
      <c r="L5509" s="561">
        <v>93080.779890000005</v>
      </c>
      <c r="M5509" s="561">
        <v>91880.000999759839</v>
      </c>
      <c r="N5509" s="561">
        <v>24899.335000000003</v>
      </c>
      <c r="O5509" s="561">
        <v>1464.6660000000002</v>
      </c>
      <c r="P5509" s="561">
        <v>65516.000001537723</v>
      </c>
    </row>
    <row r="5510" spans="1:38">
      <c r="C5510" s="561" t="s">
        <v>1197</v>
      </c>
      <c r="D5510" s="561">
        <v>89280</v>
      </c>
      <c r="E5510" s="561">
        <v>25584</v>
      </c>
      <c r="F5510" s="561">
        <v>63696</v>
      </c>
      <c r="G5510" s="561">
        <v>1256</v>
      </c>
      <c r="H5510" s="561">
        <v>92841.839188022423</v>
      </c>
      <c r="I5510" s="561">
        <v>4</v>
      </c>
      <c r="J5510" s="561">
        <v>2556.9250780224233</v>
      </c>
      <c r="K5510" s="561">
        <v>1252</v>
      </c>
      <c r="L5510" s="561">
        <v>90284.914110000012</v>
      </c>
      <c r="M5510" s="561">
        <v>89221.521218222115</v>
      </c>
      <c r="N5510" s="561">
        <v>24162.668000000001</v>
      </c>
      <c r="O5510" s="561">
        <v>1421.3330000000001</v>
      </c>
    </row>
    <row r="5511" spans="1:38">
      <c r="C5511" s="561" t="s">
        <v>1198</v>
      </c>
      <c r="F5511" s="561">
        <v>0</v>
      </c>
      <c r="G5511" s="561">
        <v>0</v>
      </c>
      <c r="H5511" s="561">
        <v>0</v>
      </c>
      <c r="I5511" s="561">
        <v>0</v>
      </c>
      <c r="J5511" s="561">
        <v>0</v>
      </c>
      <c r="K5511" s="561">
        <v>0</v>
      </c>
      <c r="L5511" s="561">
        <v>0</v>
      </c>
      <c r="M5511" s="561">
        <v>0</v>
      </c>
      <c r="N5511" s="561">
        <v>0</v>
      </c>
      <c r="O5511" s="561">
        <v>0</v>
      </c>
      <c r="P5511" s="561">
        <v>0</v>
      </c>
    </row>
    <row r="5512" spans="1:38">
      <c r="C5512" s="561" t="s">
        <v>1199</v>
      </c>
      <c r="D5512" s="561">
        <v>2600</v>
      </c>
      <c r="E5512" s="561">
        <v>780</v>
      </c>
      <c r="F5512" s="561">
        <v>1820</v>
      </c>
      <c r="G5512" s="561">
        <v>206</v>
      </c>
      <c r="H5512" s="561">
        <v>2853.0468915377269</v>
      </c>
      <c r="I5512" s="561">
        <v>2</v>
      </c>
      <c r="J5512" s="561">
        <v>57.181111537727105</v>
      </c>
      <c r="K5512" s="561">
        <v>204</v>
      </c>
      <c r="L5512" s="561">
        <v>2795.8657799999996</v>
      </c>
      <c r="M5512" s="561">
        <v>2658.4797815377301</v>
      </c>
      <c r="N5512" s="561">
        <v>736.66700000000014</v>
      </c>
      <c r="O5512" s="561">
        <v>43.332999999999998</v>
      </c>
      <c r="P5512" s="561">
        <v>1878.4797815377269</v>
      </c>
    </row>
    <row r="5513" spans="1:38">
      <c r="A5513" s="561">
        <v>3</v>
      </c>
      <c r="B5513" s="561" t="s">
        <v>1697</v>
      </c>
      <c r="C5513" s="561" t="s">
        <v>1267</v>
      </c>
      <c r="D5513" s="561">
        <v>648375</v>
      </c>
      <c r="E5513" s="561">
        <v>167032.5</v>
      </c>
      <c r="F5513" s="561">
        <v>481342.5</v>
      </c>
      <c r="G5513" s="561">
        <v>9684</v>
      </c>
      <c r="H5513" s="561">
        <v>662135.50949091429</v>
      </c>
      <c r="I5513" s="561">
        <v>25</v>
      </c>
      <c r="J5513" s="561">
        <v>13758.727427439762</v>
      </c>
      <c r="K5513" s="561">
        <v>9659</v>
      </c>
      <c r="L5513" s="561">
        <v>648376.78206347441</v>
      </c>
      <c r="M5513" s="561">
        <v>648374.99999347434</v>
      </c>
      <c r="N5513" s="561">
        <v>129914.16799999999</v>
      </c>
      <c r="O5513" s="561">
        <v>37118.332000000002</v>
      </c>
      <c r="P5513" s="561">
        <v>481342.50000000006</v>
      </c>
    </row>
    <row r="5514" spans="1:38">
      <c r="C5514" s="561" t="s">
        <v>1197</v>
      </c>
      <c r="D5514" s="561">
        <v>643475</v>
      </c>
      <c r="E5514" s="561">
        <v>166042.5</v>
      </c>
      <c r="F5514" s="561">
        <v>477432.5</v>
      </c>
      <c r="G5514" s="561">
        <v>9380</v>
      </c>
      <c r="H5514" s="561">
        <v>657718.89287761436</v>
      </c>
      <c r="I5514" s="561">
        <v>25</v>
      </c>
      <c r="J5514" s="561">
        <v>13744.403747439763</v>
      </c>
      <c r="K5514" s="561">
        <v>9355</v>
      </c>
      <c r="L5514" s="561">
        <v>643974.48913017451</v>
      </c>
      <c r="M5514" s="561">
        <v>643972.70706017443</v>
      </c>
      <c r="N5514" s="561">
        <v>129144.16799999999</v>
      </c>
      <c r="O5514" s="561">
        <v>36898.332000000002</v>
      </c>
    </row>
    <row r="5515" spans="1:38">
      <c r="C5515" s="561" t="s">
        <v>1198</v>
      </c>
      <c r="F5515" s="561">
        <v>0</v>
      </c>
      <c r="G5515" s="561">
        <v>0</v>
      </c>
      <c r="H5515" s="561">
        <v>0</v>
      </c>
      <c r="I5515" s="561">
        <v>0</v>
      </c>
      <c r="J5515" s="561">
        <v>0</v>
      </c>
      <c r="K5515" s="561">
        <v>0</v>
      </c>
      <c r="L5515" s="561">
        <v>0</v>
      </c>
      <c r="M5515" s="561">
        <v>0</v>
      </c>
      <c r="N5515" s="561">
        <v>0</v>
      </c>
      <c r="O5515" s="561">
        <v>0</v>
      </c>
      <c r="P5515" s="561">
        <v>0</v>
      </c>
    </row>
    <row r="5516" spans="1:38">
      <c r="C5516" s="561" t="s">
        <v>1199</v>
      </c>
      <c r="D5516" s="561">
        <v>4900</v>
      </c>
      <c r="E5516" s="561">
        <v>990</v>
      </c>
      <c r="F5516" s="561">
        <v>3910</v>
      </c>
      <c r="G5516" s="561">
        <v>304</v>
      </c>
      <c r="H5516" s="561">
        <v>4416.6166132999415</v>
      </c>
      <c r="I5516" s="561">
        <v>0</v>
      </c>
      <c r="J5516" s="561">
        <v>14.323679999999968</v>
      </c>
      <c r="K5516" s="561">
        <v>304</v>
      </c>
      <c r="L5516" s="561">
        <v>4402.292933299942</v>
      </c>
      <c r="M5516" s="561">
        <v>4402.292933299942</v>
      </c>
      <c r="N5516" s="561">
        <v>770</v>
      </c>
      <c r="O5516" s="561">
        <v>220</v>
      </c>
      <c r="P5516" s="561">
        <v>3412.2929300000001</v>
      </c>
    </row>
    <row r="5517" spans="1:38">
      <c r="A5517" s="561">
        <v>4</v>
      </c>
      <c r="B5517" s="561" t="s">
        <v>1698</v>
      </c>
      <c r="C5517" s="561" t="s">
        <v>1267</v>
      </c>
      <c r="D5517" s="561">
        <v>518629</v>
      </c>
      <c r="E5517" s="561">
        <v>133280.4</v>
      </c>
      <c r="F5517" s="561">
        <v>385348.6</v>
      </c>
      <c r="G5517" s="561">
        <v>6661</v>
      </c>
      <c r="H5517" s="561">
        <v>534985.36178959918</v>
      </c>
      <c r="I5517" s="561">
        <v>24</v>
      </c>
      <c r="J5517" s="561">
        <v>12706.815359599197</v>
      </c>
      <c r="K5517" s="561">
        <v>6637</v>
      </c>
      <c r="L5517" s="561">
        <v>522278.54643000005</v>
      </c>
      <c r="M5517" s="561">
        <v>518629.00001000002</v>
      </c>
      <c r="N5517" s="561">
        <v>113645.99499989999</v>
      </c>
      <c r="O5517" s="561">
        <v>19634.852999999999</v>
      </c>
      <c r="P5517" s="561">
        <v>385348.60000009998</v>
      </c>
    </row>
    <row r="5518" spans="1:38">
      <c r="C5518" s="561" t="s">
        <v>1197</v>
      </c>
      <c r="D5518" s="561">
        <v>516384</v>
      </c>
      <c r="E5518" s="561">
        <v>133056</v>
      </c>
      <c r="F5518" s="561">
        <v>383328</v>
      </c>
      <c r="G5518" s="561">
        <v>6535</v>
      </c>
      <c r="H5518" s="561">
        <v>532506.33688959922</v>
      </c>
      <c r="I5518" s="561">
        <v>24</v>
      </c>
      <c r="J5518" s="561">
        <v>12676.878599599197</v>
      </c>
      <c r="K5518" s="561">
        <v>6511</v>
      </c>
      <c r="L5518" s="561">
        <v>519829.45829000004</v>
      </c>
      <c r="M5518" s="561">
        <v>516179.91187000001</v>
      </c>
      <c r="N5518" s="561">
        <v>113471.015</v>
      </c>
      <c r="O5518" s="561">
        <v>19585.432000000001</v>
      </c>
    </row>
    <row r="5519" spans="1:38">
      <c r="C5519" s="561" t="s">
        <v>1198</v>
      </c>
      <c r="F5519" s="561">
        <v>0</v>
      </c>
      <c r="G5519" s="561">
        <v>0</v>
      </c>
      <c r="H5519" s="561">
        <v>0</v>
      </c>
      <c r="I5519" s="561">
        <v>0</v>
      </c>
      <c r="J5519" s="561">
        <v>0</v>
      </c>
      <c r="K5519" s="561">
        <v>0</v>
      </c>
      <c r="L5519" s="561">
        <v>0</v>
      </c>
      <c r="M5519" s="561">
        <v>0</v>
      </c>
      <c r="N5519" s="561">
        <v>0</v>
      </c>
      <c r="O5519" s="561">
        <v>0</v>
      </c>
      <c r="P5519" s="561">
        <v>0</v>
      </c>
    </row>
    <row r="5520" spans="1:38">
      <c r="C5520" s="561" t="s">
        <v>1199</v>
      </c>
      <c r="D5520" s="561">
        <v>2245</v>
      </c>
      <c r="E5520" s="561">
        <v>224.4</v>
      </c>
      <c r="F5520" s="561">
        <v>2020.6</v>
      </c>
      <c r="G5520" s="561">
        <v>126</v>
      </c>
      <c r="H5520" s="561">
        <v>2479.0249000000003</v>
      </c>
      <c r="I5520" s="561">
        <v>0</v>
      </c>
      <c r="J5520" s="561">
        <v>29.936760000000049</v>
      </c>
      <c r="K5520" s="561">
        <v>126</v>
      </c>
      <c r="L5520" s="561">
        <v>2449.0881399999998</v>
      </c>
      <c r="M5520" s="561">
        <v>2449.0881399999998</v>
      </c>
      <c r="N5520" s="561">
        <v>174.9799999</v>
      </c>
      <c r="O5520" s="561">
        <v>49.420999999999999</v>
      </c>
      <c r="P5520" s="561">
        <v>2224.6871401000003</v>
      </c>
    </row>
    <row r="5521" spans="1:16">
      <c r="A5521" s="561">
        <v>5</v>
      </c>
      <c r="B5521" s="561" t="s">
        <v>1699</v>
      </c>
      <c r="C5521" s="561" t="s">
        <v>1267</v>
      </c>
      <c r="D5521" s="561">
        <v>574288</v>
      </c>
      <c r="E5521" s="561">
        <v>152786.4</v>
      </c>
      <c r="F5521" s="561">
        <v>421501.6</v>
      </c>
      <c r="G5521" s="561">
        <v>8633</v>
      </c>
      <c r="H5521" s="561">
        <v>799692.12645419152</v>
      </c>
      <c r="I5521" s="561">
        <v>99</v>
      </c>
      <c r="J5521" s="561">
        <v>107578.30814419157</v>
      </c>
      <c r="K5521" s="561">
        <v>8534</v>
      </c>
      <c r="L5521" s="561">
        <v>692113.81830999989</v>
      </c>
      <c r="M5521" s="561">
        <v>574287.99891952309</v>
      </c>
      <c r="N5521" s="561">
        <v>118833.86700000009</v>
      </c>
      <c r="O5521" s="561">
        <v>33952.531999999999</v>
      </c>
      <c r="P5521" s="561">
        <v>421501.59992000001</v>
      </c>
    </row>
    <row r="5522" spans="1:16">
      <c r="C5522" s="561" t="s">
        <v>1197</v>
      </c>
      <c r="D5522" s="561">
        <v>574288</v>
      </c>
      <c r="E5522" s="561">
        <v>152786.4</v>
      </c>
      <c r="F5522" s="561">
        <v>421501.6</v>
      </c>
      <c r="G5522" s="561">
        <v>8633</v>
      </c>
      <c r="H5522" s="561">
        <v>799692.12645419152</v>
      </c>
      <c r="I5522" s="561">
        <v>99</v>
      </c>
      <c r="J5522" s="561">
        <v>107578.30814419157</v>
      </c>
      <c r="K5522" s="561">
        <v>8534</v>
      </c>
      <c r="L5522" s="561">
        <v>692113.81830999989</v>
      </c>
      <c r="M5522" s="561">
        <v>574287.99891952309</v>
      </c>
      <c r="N5522" s="561">
        <v>118833.86700000009</v>
      </c>
      <c r="O5522" s="561">
        <v>33952.531999999999</v>
      </c>
    </row>
    <row r="5523" spans="1:16">
      <c r="C5523" s="561" t="s">
        <v>1198</v>
      </c>
      <c r="F5523" s="561">
        <v>0</v>
      </c>
      <c r="G5523" s="561">
        <v>0</v>
      </c>
      <c r="H5523" s="561">
        <v>0</v>
      </c>
      <c r="I5523" s="561">
        <v>0</v>
      </c>
      <c r="J5523" s="561">
        <v>0</v>
      </c>
      <c r="K5523" s="561">
        <v>0</v>
      </c>
      <c r="L5523" s="561">
        <v>0</v>
      </c>
      <c r="M5523" s="561">
        <v>0</v>
      </c>
      <c r="N5523" s="561">
        <v>0</v>
      </c>
      <c r="O5523" s="561">
        <v>0</v>
      </c>
      <c r="P5523" s="561">
        <v>0</v>
      </c>
    </row>
    <row r="5524" spans="1:16">
      <c r="C5524" s="561" t="s">
        <v>1199</v>
      </c>
      <c r="F5524" s="561">
        <v>0</v>
      </c>
      <c r="G5524" s="561">
        <v>0</v>
      </c>
      <c r="H5524" s="561">
        <v>0</v>
      </c>
      <c r="I5524" s="561">
        <v>0</v>
      </c>
      <c r="J5524" s="561">
        <v>0</v>
      </c>
      <c r="K5524" s="561">
        <v>0</v>
      </c>
      <c r="L5524" s="561">
        <v>0</v>
      </c>
      <c r="M5524" s="561">
        <v>0</v>
      </c>
      <c r="N5524" s="561">
        <v>0</v>
      </c>
      <c r="O5524" s="561">
        <v>0</v>
      </c>
      <c r="P5524" s="561">
        <v>0</v>
      </c>
    </row>
    <row r="5525" spans="1:16">
      <c r="A5525" s="561">
        <v>6</v>
      </c>
      <c r="B5525" s="561" t="s">
        <v>1700</v>
      </c>
      <c r="C5525" s="561" t="s">
        <v>1267</v>
      </c>
      <c r="D5525" s="561">
        <v>189454</v>
      </c>
      <c r="E5525" s="561">
        <v>46014</v>
      </c>
      <c r="F5525" s="561">
        <v>143440</v>
      </c>
      <c r="G5525" s="561">
        <v>3128</v>
      </c>
      <c r="H5525" s="561">
        <v>192883.29530928069</v>
      </c>
      <c r="I5525" s="561">
        <v>6</v>
      </c>
      <c r="J5525" s="561">
        <v>3428.0167792806465</v>
      </c>
      <c r="K5525" s="561">
        <v>3122</v>
      </c>
      <c r="L5525" s="561">
        <v>189455.27853000004</v>
      </c>
      <c r="M5525" s="561">
        <v>189454.00000226591</v>
      </c>
      <c r="N5525" s="561">
        <v>40901.332999999999</v>
      </c>
      <c r="O5525" s="561">
        <v>5112.6660000000002</v>
      </c>
      <c r="P5525" s="561">
        <v>143440.00099999999</v>
      </c>
    </row>
    <row r="5526" spans="1:16">
      <c r="C5526" s="561" t="s">
        <v>1197</v>
      </c>
      <c r="D5526" s="561">
        <v>174005</v>
      </c>
      <c r="E5526" s="561">
        <v>43098</v>
      </c>
      <c r="F5526" s="561">
        <v>130907</v>
      </c>
      <c r="G5526" s="561">
        <v>2276</v>
      </c>
      <c r="H5526" s="561">
        <v>177510.72692074691</v>
      </c>
      <c r="I5526" s="561">
        <v>5</v>
      </c>
      <c r="J5526" s="561">
        <v>3156.9292607468542</v>
      </c>
      <c r="K5526" s="561">
        <v>2271</v>
      </c>
      <c r="L5526" s="561">
        <v>174353.79766000004</v>
      </c>
      <c r="M5526" s="561">
        <v>174352.51913115819</v>
      </c>
      <c r="N5526" s="561">
        <v>38309.332999999999</v>
      </c>
      <c r="O5526" s="561">
        <v>4788.6660000000002</v>
      </c>
    </row>
    <row r="5527" spans="1:16">
      <c r="C5527" s="561" t="s">
        <v>1198</v>
      </c>
      <c r="F5527" s="561">
        <v>0</v>
      </c>
      <c r="G5527" s="561">
        <v>0</v>
      </c>
      <c r="H5527" s="561">
        <v>0</v>
      </c>
      <c r="I5527" s="561">
        <v>0</v>
      </c>
      <c r="J5527" s="561">
        <v>0</v>
      </c>
      <c r="K5527" s="561">
        <v>0</v>
      </c>
      <c r="L5527" s="561">
        <v>0</v>
      </c>
      <c r="M5527" s="561">
        <v>0</v>
      </c>
      <c r="N5527" s="561">
        <v>0</v>
      </c>
      <c r="O5527" s="561">
        <v>0</v>
      </c>
      <c r="P5527" s="561">
        <v>0</v>
      </c>
    </row>
    <row r="5528" spans="1:16">
      <c r="C5528" s="561" t="s">
        <v>1199</v>
      </c>
      <c r="D5528" s="561">
        <v>15449</v>
      </c>
      <c r="E5528" s="561">
        <v>2916</v>
      </c>
      <c r="F5528" s="561">
        <v>12533</v>
      </c>
      <c r="G5528" s="561">
        <v>852</v>
      </c>
      <c r="H5528" s="561">
        <v>15372.568388533791</v>
      </c>
      <c r="I5528" s="561">
        <v>1</v>
      </c>
      <c r="J5528" s="561">
        <v>271.08751853379226</v>
      </c>
      <c r="K5528" s="561">
        <v>851</v>
      </c>
      <c r="L5528" s="561">
        <v>15101.480869999998</v>
      </c>
      <c r="M5528" s="561">
        <v>15101.480871107729</v>
      </c>
      <c r="N5528" s="561">
        <v>2592</v>
      </c>
      <c r="O5528" s="561">
        <v>324</v>
      </c>
      <c r="P5528" s="561">
        <v>12185.480870000001</v>
      </c>
    </row>
    <row r="5529" spans="1:16">
      <c r="A5529" s="561">
        <v>7</v>
      </c>
      <c r="B5529" s="561" t="s">
        <v>1701</v>
      </c>
      <c r="C5529" s="561" t="s">
        <v>1267</v>
      </c>
      <c r="D5529" s="561">
        <v>13200</v>
      </c>
      <c r="E5529" s="561">
        <v>3960</v>
      </c>
      <c r="F5529" s="561">
        <v>9240</v>
      </c>
      <c r="G5529" s="561">
        <v>136</v>
      </c>
      <c r="H5529" s="561">
        <v>13542.080633599151</v>
      </c>
      <c r="I5529" s="561">
        <v>2</v>
      </c>
      <c r="J5529" s="561">
        <v>359.99971359914969</v>
      </c>
      <c r="K5529" s="561">
        <v>134</v>
      </c>
      <c r="L5529" s="561">
        <v>13182.080920000002</v>
      </c>
      <c r="M5529" s="561">
        <v>13182.080920000002</v>
      </c>
      <c r="N5529" s="561">
        <v>3520</v>
      </c>
      <c r="O5529" s="561">
        <v>440</v>
      </c>
      <c r="P5529" s="561">
        <v>9222.0809200000003</v>
      </c>
    </row>
    <row r="5530" spans="1:16">
      <c r="C5530" s="561" t="s">
        <v>1197</v>
      </c>
      <c r="D5530" s="561">
        <v>13200</v>
      </c>
      <c r="E5530" s="561">
        <v>3960</v>
      </c>
      <c r="F5530" s="561">
        <v>9240</v>
      </c>
      <c r="G5530" s="561">
        <v>136</v>
      </c>
      <c r="H5530" s="561">
        <v>13542.080633599151</v>
      </c>
      <c r="I5530" s="561">
        <v>2</v>
      </c>
      <c r="J5530" s="561">
        <v>359.99971359914969</v>
      </c>
      <c r="K5530" s="561">
        <v>134</v>
      </c>
      <c r="L5530" s="561">
        <v>13182.080920000002</v>
      </c>
      <c r="M5530" s="561">
        <v>13182.080920000002</v>
      </c>
      <c r="N5530" s="561">
        <v>3520</v>
      </c>
      <c r="O5530" s="561">
        <v>440</v>
      </c>
    </row>
    <row r="5531" spans="1:16">
      <c r="C5531" s="561" t="s">
        <v>1198</v>
      </c>
      <c r="F5531" s="561">
        <v>0</v>
      </c>
      <c r="G5531" s="561">
        <v>0</v>
      </c>
      <c r="H5531" s="561">
        <v>0</v>
      </c>
      <c r="I5531" s="561">
        <v>0</v>
      </c>
      <c r="J5531" s="561">
        <v>0</v>
      </c>
      <c r="K5531" s="561">
        <v>0</v>
      </c>
      <c r="L5531" s="561">
        <v>0</v>
      </c>
      <c r="M5531" s="561">
        <v>0</v>
      </c>
      <c r="N5531" s="561">
        <v>0</v>
      </c>
      <c r="O5531" s="561">
        <v>0</v>
      </c>
      <c r="P5531" s="561">
        <v>0</v>
      </c>
    </row>
    <row r="5532" spans="1:16">
      <c r="C5532" s="561" t="s">
        <v>1199</v>
      </c>
      <c r="F5532" s="561">
        <v>0</v>
      </c>
      <c r="G5532" s="561">
        <v>0</v>
      </c>
      <c r="H5532" s="561">
        <v>0</v>
      </c>
      <c r="I5532" s="561">
        <v>0</v>
      </c>
      <c r="J5532" s="561">
        <v>0</v>
      </c>
      <c r="K5532" s="561">
        <v>0</v>
      </c>
      <c r="L5532" s="561">
        <v>0</v>
      </c>
      <c r="M5532" s="561">
        <v>0</v>
      </c>
      <c r="N5532" s="561">
        <v>0</v>
      </c>
      <c r="O5532" s="561">
        <v>0</v>
      </c>
      <c r="P5532" s="561">
        <v>0</v>
      </c>
    </row>
    <row r="5533" spans="1:16">
      <c r="A5533" s="561">
        <v>8</v>
      </c>
      <c r="B5533" s="561" t="s">
        <v>1702</v>
      </c>
      <c r="C5533" s="561" t="s">
        <v>1267</v>
      </c>
      <c r="D5533" s="561">
        <v>617300</v>
      </c>
      <c r="E5533" s="561">
        <v>176190</v>
      </c>
      <c r="F5533" s="561">
        <v>441110</v>
      </c>
      <c r="G5533" s="561">
        <v>8722</v>
      </c>
      <c r="H5533" s="561">
        <v>658771.80510999996</v>
      </c>
      <c r="I5533" s="561">
        <v>94</v>
      </c>
      <c r="J5533" s="561">
        <v>36608.886539999941</v>
      </c>
      <c r="K5533" s="561">
        <v>8628</v>
      </c>
      <c r="L5533" s="561">
        <v>622162.91856999998</v>
      </c>
      <c r="M5533" s="561">
        <v>617300.0006949699</v>
      </c>
      <c r="N5533" s="561">
        <v>149356.66800000001</v>
      </c>
      <c r="O5533" s="561">
        <v>26833.332999999999</v>
      </c>
      <c r="P5533" s="561">
        <v>441109.9996949698</v>
      </c>
    </row>
    <row r="5534" spans="1:16">
      <c r="C5534" s="561" t="s">
        <v>1197</v>
      </c>
      <c r="D5534" s="561">
        <v>605300</v>
      </c>
      <c r="E5534" s="561">
        <v>173880</v>
      </c>
      <c r="F5534" s="561">
        <v>431420</v>
      </c>
      <c r="G5534" s="561">
        <v>8062</v>
      </c>
      <c r="H5534" s="561">
        <v>646701.06733999995</v>
      </c>
      <c r="I5534" s="561">
        <v>92</v>
      </c>
      <c r="J5534" s="561">
        <v>36399.030349999943</v>
      </c>
      <c r="K5534" s="561">
        <v>7970</v>
      </c>
      <c r="L5534" s="561">
        <v>610302.03698999994</v>
      </c>
      <c r="M5534" s="561">
        <v>606129.22981496993</v>
      </c>
      <c r="N5534" s="561">
        <v>147560</v>
      </c>
      <c r="O5534" s="561">
        <v>26320</v>
      </c>
    </row>
    <row r="5535" spans="1:16">
      <c r="C5535" s="561" t="s">
        <v>1198</v>
      </c>
      <c r="F5535" s="561">
        <v>0</v>
      </c>
      <c r="G5535" s="561">
        <v>0</v>
      </c>
      <c r="H5535" s="561">
        <v>0</v>
      </c>
      <c r="I5535" s="561">
        <v>0</v>
      </c>
      <c r="J5535" s="561">
        <v>0</v>
      </c>
      <c r="K5535" s="561">
        <v>0</v>
      </c>
      <c r="L5535" s="561">
        <v>0</v>
      </c>
      <c r="M5535" s="561">
        <v>0</v>
      </c>
      <c r="N5535" s="561">
        <v>0</v>
      </c>
      <c r="O5535" s="561">
        <v>0</v>
      </c>
      <c r="P5535" s="561">
        <v>0</v>
      </c>
    </row>
    <row r="5536" spans="1:16">
      <c r="C5536" s="561" t="s">
        <v>1199</v>
      </c>
      <c r="D5536" s="561">
        <v>12000</v>
      </c>
      <c r="E5536" s="561">
        <v>2310</v>
      </c>
      <c r="F5536" s="561">
        <v>9690</v>
      </c>
      <c r="G5536" s="561">
        <v>660</v>
      </c>
      <c r="H5536" s="561">
        <v>12070.73777</v>
      </c>
      <c r="I5536" s="561">
        <v>2</v>
      </c>
      <c r="J5536" s="561">
        <v>209.85618999999986</v>
      </c>
      <c r="K5536" s="561">
        <v>658</v>
      </c>
      <c r="L5536" s="561">
        <v>11860.881579999997</v>
      </c>
      <c r="M5536" s="561">
        <v>11170.77088</v>
      </c>
      <c r="N5536" s="561">
        <v>1796.6679999999997</v>
      </c>
      <c r="O5536" s="561">
        <v>513.33299999999997</v>
      </c>
      <c r="P5536" s="561">
        <v>8860.7698799999998</v>
      </c>
    </row>
    <row r="5537" spans="1:38">
      <c r="A5537" s="561">
        <v>9</v>
      </c>
      <c r="B5537" s="561" t="s">
        <v>1703</v>
      </c>
      <c r="C5537" s="561" t="s">
        <v>1267</v>
      </c>
      <c r="D5537" s="561">
        <v>633729</v>
      </c>
      <c r="E5537" s="561">
        <v>161018.69999999998</v>
      </c>
      <c r="F5537" s="561">
        <v>472710.30000000005</v>
      </c>
      <c r="G5537" s="561">
        <v>9100</v>
      </c>
      <c r="H5537" s="561">
        <v>661172.36919</v>
      </c>
      <c r="I5537" s="561">
        <v>43</v>
      </c>
      <c r="J5537" s="561">
        <v>27442.881380000028</v>
      </c>
      <c r="K5537" s="561">
        <v>9057</v>
      </c>
      <c r="L5537" s="561">
        <v>633729.48780999985</v>
      </c>
      <c r="M5537" s="561">
        <v>633728.99965999997</v>
      </c>
      <c r="N5537" s="561">
        <v>134211.63399999999</v>
      </c>
      <c r="O5537" s="561">
        <v>26807.066000000003</v>
      </c>
      <c r="P5537" s="561">
        <v>472710.29965999996</v>
      </c>
    </row>
    <row r="5538" spans="1:38">
      <c r="C5538" s="561" t="s">
        <v>1197</v>
      </c>
      <c r="D5538" s="561">
        <v>610354</v>
      </c>
      <c r="E5538" s="561">
        <v>157658.69999999998</v>
      </c>
      <c r="F5538" s="561">
        <v>452695.30000000005</v>
      </c>
      <c r="G5538" s="561">
        <v>7868</v>
      </c>
      <c r="H5538" s="561">
        <v>637510.0355</v>
      </c>
      <c r="I5538" s="561">
        <v>43</v>
      </c>
      <c r="J5538" s="561">
        <v>27136.52215000003</v>
      </c>
      <c r="K5538" s="561">
        <v>7825</v>
      </c>
      <c r="L5538" s="561">
        <v>610373.51334999991</v>
      </c>
      <c r="M5538" s="561">
        <v>610373.02520999999</v>
      </c>
      <c r="N5538" s="561">
        <v>131598.29999999999</v>
      </c>
      <c r="O5538" s="561">
        <v>26060.400000000001</v>
      </c>
    </row>
    <row r="5539" spans="1:38">
      <c r="C5539" s="561" t="s">
        <v>1198</v>
      </c>
      <c r="F5539" s="561">
        <v>0</v>
      </c>
      <c r="G5539" s="561">
        <v>0</v>
      </c>
      <c r="H5539" s="561">
        <v>0</v>
      </c>
      <c r="I5539" s="561">
        <v>0</v>
      </c>
      <c r="J5539" s="561">
        <v>0</v>
      </c>
      <c r="K5539" s="561">
        <v>0</v>
      </c>
      <c r="L5539" s="561">
        <v>0</v>
      </c>
      <c r="M5539" s="561">
        <v>0</v>
      </c>
      <c r="N5539" s="561">
        <v>0</v>
      </c>
      <c r="O5539" s="561">
        <v>0</v>
      </c>
      <c r="P5539" s="561">
        <v>0</v>
      </c>
    </row>
    <row r="5540" spans="1:38">
      <c r="C5540" s="561" t="s">
        <v>1199</v>
      </c>
      <c r="D5540" s="561">
        <v>23375</v>
      </c>
      <c r="E5540" s="561">
        <v>3360</v>
      </c>
      <c r="F5540" s="561">
        <v>20015</v>
      </c>
      <c r="G5540" s="561">
        <v>1232</v>
      </c>
      <c r="H5540" s="561">
        <v>23662.333689999996</v>
      </c>
      <c r="I5540" s="561">
        <v>0</v>
      </c>
      <c r="J5540" s="561">
        <v>306.35922999999957</v>
      </c>
      <c r="K5540" s="561">
        <v>1232</v>
      </c>
      <c r="L5540" s="561">
        <v>23355.974459999998</v>
      </c>
      <c r="M5540" s="561">
        <v>23355.974449999994</v>
      </c>
      <c r="N5540" s="561">
        <v>2613.3340000000003</v>
      </c>
      <c r="O5540" s="561">
        <v>746.66599999999994</v>
      </c>
      <c r="P5540" s="561">
        <v>19995.974450000002</v>
      </c>
    </row>
    <row r="5541" spans="1:38">
      <c r="A5541" s="561">
        <v>10</v>
      </c>
      <c r="B5541" s="561" t="s">
        <v>1704</v>
      </c>
      <c r="C5541" s="561" t="s">
        <v>1267</v>
      </c>
      <c r="D5541" s="561">
        <v>431741</v>
      </c>
      <c r="E5541" s="561">
        <v>109991.7</v>
      </c>
      <c r="F5541" s="561">
        <v>321749.3</v>
      </c>
      <c r="G5541" s="561">
        <v>7356</v>
      </c>
      <c r="H5541" s="561">
        <v>454679.05463999999</v>
      </c>
      <c r="I5541" s="561">
        <v>35</v>
      </c>
      <c r="J5541" s="561">
        <v>22935.140759999998</v>
      </c>
      <c r="K5541" s="561">
        <v>7321</v>
      </c>
      <c r="L5541" s="561">
        <v>431743.91387999995</v>
      </c>
      <c r="M5541" s="561">
        <v>431740.99999999994</v>
      </c>
      <c r="N5541" s="561">
        <v>91270.400000000009</v>
      </c>
      <c r="O5541" s="561">
        <v>18721.3</v>
      </c>
      <c r="P5541" s="561">
        <v>321749.3</v>
      </c>
    </row>
    <row r="5542" spans="1:38">
      <c r="C5542" s="561" t="s">
        <v>1197</v>
      </c>
      <c r="D5542" s="561">
        <v>402471</v>
      </c>
      <c r="E5542" s="561">
        <v>104951.7</v>
      </c>
      <c r="F5542" s="561">
        <v>297519.3</v>
      </c>
      <c r="G5542" s="561">
        <v>5668</v>
      </c>
      <c r="H5542" s="561">
        <v>425852.13626999996</v>
      </c>
      <c r="I5542" s="561">
        <v>31</v>
      </c>
      <c r="J5542" s="561">
        <v>22589.448349999999</v>
      </c>
      <c r="K5542" s="561">
        <v>5637</v>
      </c>
      <c r="L5542" s="561">
        <v>403262.68791999994</v>
      </c>
      <c r="M5542" s="561">
        <v>403259.77403999993</v>
      </c>
      <c r="N5542" s="561">
        <v>86790.400000000009</v>
      </c>
      <c r="O5542" s="561">
        <v>18161.3</v>
      </c>
    </row>
    <row r="5543" spans="1:38">
      <c r="C5543" s="561" t="s">
        <v>1198</v>
      </c>
      <c r="F5543" s="561">
        <v>0</v>
      </c>
      <c r="G5543" s="561">
        <v>0</v>
      </c>
      <c r="H5543" s="561">
        <v>0</v>
      </c>
      <c r="I5543" s="561">
        <v>0</v>
      </c>
      <c r="J5543" s="561">
        <v>0</v>
      </c>
      <c r="K5543" s="561">
        <v>0</v>
      </c>
      <c r="L5543" s="561">
        <v>0</v>
      </c>
      <c r="M5543" s="561">
        <v>0</v>
      </c>
      <c r="N5543" s="561">
        <v>0</v>
      </c>
      <c r="O5543" s="561">
        <v>0</v>
      </c>
      <c r="P5543" s="561">
        <v>0</v>
      </c>
    </row>
    <row r="5544" spans="1:38">
      <c r="C5544" s="561" t="s">
        <v>1199</v>
      </c>
      <c r="D5544" s="561">
        <v>29270</v>
      </c>
      <c r="E5544" s="561">
        <v>5040</v>
      </c>
      <c r="F5544" s="561">
        <v>24230</v>
      </c>
      <c r="G5544" s="561">
        <v>1688</v>
      </c>
      <c r="H5544" s="561">
        <v>28826.918370000003</v>
      </c>
      <c r="I5544" s="561">
        <v>4</v>
      </c>
      <c r="J5544" s="561">
        <v>345.69241000000034</v>
      </c>
      <c r="K5544" s="561">
        <v>1684</v>
      </c>
      <c r="L5544" s="561">
        <v>28481.225960000003</v>
      </c>
      <c r="M5544" s="561">
        <v>28481.225960000003</v>
      </c>
      <c r="N5544" s="561">
        <v>4480</v>
      </c>
      <c r="O5544" s="561">
        <v>560</v>
      </c>
      <c r="P5544" s="561">
        <v>23441.225960000003</v>
      </c>
    </row>
    <row r="5545" spans="1:38">
      <c r="A5545" s="561">
        <v>11</v>
      </c>
      <c r="B5545" s="561" t="s">
        <v>1705</v>
      </c>
      <c r="C5545" s="561" t="s">
        <v>1267</v>
      </c>
      <c r="D5545" s="561">
        <v>272065</v>
      </c>
      <c r="E5545" s="561">
        <v>64680</v>
      </c>
      <c r="F5545" s="561">
        <v>207385</v>
      </c>
      <c r="G5545" s="561">
        <v>4292</v>
      </c>
      <c r="H5545" s="561">
        <v>277672.9278</v>
      </c>
      <c r="I5545" s="561">
        <v>6</v>
      </c>
      <c r="J5545" s="561">
        <v>5607.779429999995</v>
      </c>
      <c r="K5545" s="561">
        <v>4286</v>
      </c>
      <c r="L5545" s="561">
        <v>272065.14837000001</v>
      </c>
      <c r="M5545" s="561">
        <v>272064.99997</v>
      </c>
      <c r="N5545" s="561">
        <v>52262.81900000001</v>
      </c>
      <c r="O5545" s="561">
        <v>12417.180000000002</v>
      </c>
      <c r="P5545" s="561">
        <v>207385.00097000002</v>
      </c>
    </row>
    <row r="5546" spans="1:38">
      <c r="C5546" s="561" t="s">
        <v>1197</v>
      </c>
      <c r="D5546" s="561">
        <v>239615</v>
      </c>
      <c r="E5546" s="561">
        <v>56160</v>
      </c>
      <c r="F5546" s="561">
        <v>183455</v>
      </c>
      <c r="G5546" s="561">
        <v>2752</v>
      </c>
      <c r="H5546" s="561">
        <v>237810.22770000002</v>
      </c>
      <c r="I5546" s="561">
        <v>4</v>
      </c>
      <c r="J5546" s="561">
        <v>4004.0124399999931</v>
      </c>
      <c r="K5546" s="561">
        <v>2748</v>
      </c>
      <c r="L5546" s="561">
        <v>233806.21526000003</v>
      </c>
      <c r="M5546" s="561">
        <v>233806.06686000002</v>
      </c>
      <c r="N5546" s="561">
        <v>45634.237000000001</v>
      </c>
      <c r="O5546" s="561">
        <v>10525.762000000001</v>
      </c>
    </row>
    <row r="5547" spans="1:38">
      <c r="C5547" s="561" t="s">
        <v>1198</v>
      </c>
      <c r="D5547" s="561">
        <v>12300</v>
      </c>
      <c r="E5547" s="561">
        <v>3690</v>
      </c>
      <c r="F5547" s="561">
        <v>8610</v>
      </c>
      <c r="G5547" s="561">
        <v>22</v>
      </c>
      <c r="H5547" s="561">
        <v>13185.14104</v>
      </c>
      <c r="I5547" s="561">
        <v>0</v>
      </c>
      <c r="J5547" s="561">
        <v>1462.2069100000008</v>
      </c>
      <c r="K5547" s="561">
        <v>22</v>
      </c>
      <c r="L5547" s="561">
        <v>11722.93413</v>
      </c>
      <c r="M5547" s="561">
        <v>11722.93413</v>
      </c>
      <c r="N5547" s="561">
        <v>2871.915</v>
      </c>
      <c r="O5547" s="561">
        <v>818.08500000000004</v>
      </c>
      <c r="AL5547" s="561">
        <v>8032.9341299999996</v>
      </c>
    </row>
    <row r="5548" spans="1:38">
      <c r="C5548" s="561" t="s">
        <v>1199</v>
      </c>
      <c r="D5548" s="561">
        <v>20150</v>
      </c>
      <c r="E5548" s="561">
        <v>4830</v>
      </c>
      <c r="F5548" s="561">
        <v>15320</v>
      </c>
      <c r="G5548" s="561">
        <v>1518</v>
      </c>
      <c r="H5548" s="561">
        <v>26677.55906</v>
      </c>
      <c r="I5548" s="561">
        <v>2</v>
      </c>
      <c r="J5548" s="561">
        <v>141.56008000000156</v>
      </c>
      <c r="K5548" s="561">
        <v>1516</v>
      </c>
      <c r="L5548" s="561">
        <v>26535.99898</v>
      </c>
      <c r="M5548" s="561">
        <v>26535.99898</v>
      </c>
      <c r="N5548" s="561">
        <v>3756.6670000000099</v>
      </c>
      <c r="O5548" s="561">
        <v>1073.3330000000001</v>
      </c>
      <c r="P5548" s="561">
        <v>21705.99898</v>
      </c>
    </row>
    <row r="5549" spans="1:38">
      <c r="A5549" s="561">
        <v>12</v>
      </c>
      <c r="B5549" s="561" t="s">
        <v>1706</v>
      </c>
      <c r="C5549" s="561" t="s">
        <v>1267</v>
      </c>
      <c r="D5549" s="561">
        <v>429136</v>
      </c>
      <c r="E5549" s="561">
        <v>102633</v>
      </c>
      <c r="F5549" s="561">
        <v>326503</v>
      </c>
      <c r="G5549" s="561">
        <v>6224</v>
      </c>
      <c r="H5549" s="561">
        <v>449779.29525999993</v>
      </c>
      <c r="I5549" s="561">
        <v>45</v>
      </c>
      <c r="J5549" s="561">
        <v>20623.633729999976</v>
      </c>
      <c r="K5549" s="561">
        <v>6179</v>
      </c>
      <c r="L5549" s="561">
        <v>429136.95973</v>
      </c>
      <c r="M5549" s="561">
        <v>429135.99998000002</v>
      </c>
      <c r="N5549" s="561">
        <v>96931.167000000001</v>
      </c>
      <c r="O5549" s="561">
        <v>5701.8329999999996</v>
      </c>
      <c r="P5549" s="561">
        <v>326503</v>
      </c>
    </row>
    <row r="5550" spans="1:38">
      <c r="C5550" s="561" t="s">
        <v>1197</v>
      </c>
      <c r="D5550" s="561">
        <v>417154</v>
      </c>
      <c r="E5550" s="561">
        <v>100293</v>
      </c>
      <c r="F5550" s="561">
        <v>316861</v>
      </c>
      <c r="G5550" s="561">
        <v>5296</v>
      </c>
      <c r="H5550" s="561">
        <v>433852.21974999993</v>
      </c>
      <c r="I5550" s="561">
        <v>39</v>
      </c>
      <c r="J5550" s="561">
        <v>20336.672989999974</v>
      </c>
      <c r="K5550" s="561">
        <v>5257</v>
      </c>
      <c r="L5550" s="561">
        <v>413515.54676</v>
      </c>
      <c r="M5550" s="561">
        <v>413514.58701000002</v>
      </c>
      <c r="N5550" s="561">
        <v>94721.167000000001</v>
      </c>
      <c r="O5550" s="561">
        <v>5571.8329999999996</v>
      </c>
    </row>
    <row r="5551" spans="1:38">
      <c r="C5551" s="561" t="s">
        <v>1198</v>
      </c>
      <c r="F5551" s="561">
        <v>0</v>
      </c>
      <c r="G5551" s="561">
        <v>0</v>
      </c>
      <c r="H5551" s="561">
        <v>0</v>
      </c>
      <c r="I5551" s="561">
        <v>0</v>
      </c>
      <c r="J5551" s="561">
        <v>0</v>
      </c>
      <c r="K5551" s="561">
        <v>0</v>
      </c>
      <c r="L5551" s="561">
        <v>0</v>
      </c>
      <c r="M5551" s="561">
        <v>0</v>
      </c>
      <c r="N5551" s="561">
        <v>0</v>
      </c>
      <c r="O5551" s="561">
        <v>0</v>
      </c>
      <c r="P5551" s="561">
        <v>0</v>
      </c>
    </row>
    <row r="5552" spans="1:38">
      <c r="C5552" s="561" t="s">
        <v>1199</v>
      </c>
      <c r="D5552" s="561">
        <v>11982</v>
      </c>
      <c r="E5552" s="561">
        <v>2340</v>
      </c>
      <c r="F5552" s="561">
        <v>9642</v>
      </c>
      <c r="G5552" s="561">
        <v>928</v>
      </c>
      <c r="H5552" s="561">
        <v>15927.075509999999</v>
      </c>
      <c r="I5552" s="561">
        <v>6</v>
      </c>
      <c r="J5552" s="561">
        <v>286.96074000000112</v>
      </c>
      <c r="K5552" s="561">
        <v>922</v>
      </c>
      <c r="L5552" s="561">
        <v>15621.412969999999</v>
      </c>
      <c r="M5552" s="561">
        <v>15621.412969999999</v>
      </c>
      <c r="N5552" s="561">
        <v>2210</v>
      </c>
      <c r="O5552" s="561">
        <v>130</v>
      </c>
      <c r="P5552" s="561">
        <v>13281.412989999999</v>
      </c>
    </row>
    <row r="5553" spans="1:16">
      <c r="A5553" s="561">
        <v>13</v>
      </c>
      <c r="B5553" s="561" t="s">
        <v>1707</v>
      </c>
      <c r="C5553" s="561" t="s">
        <v>1267</v>
      </c>
      <c r="D5553" s="561">
        <v>333306</v>
      </c>
      <c r="E5553" s="561">
        <v>90661.8</v>
      </c>
      <c r="F5553" s="561">
        <v>242644.2</v>
      </c>
      <c r="G5553" s="561">
        <v>4900</v>
      </c>
      <c r="H5553" s="561">
        <v>346615.78058999998</v>
      </c>
      <c r="I5553" s="561">
        <v>44</v>
      </c>
      <c r="J5553" s="561">
        <v>13305.728550000003</v>
      </c>
      <c r="K5553" s="561">
        <v>4856</v>
      </c>
      <c r="L5553" s="561">
        <v>333310.05204000004</v>
      </c>
      <c r="M5553" s="561">
        <v>333306.00001000002</v>
      </c>
      <c r="N5553" s="561">
        <v>80588.267000000007</v>
      </c>
      <c r="O5553" s="561">
        <v>10073.532999999999</v>
      </c>
      <c r="P5553" s="561">
        <v>242644.20001000003</v>
      </c>
    </row>
    <row r="5554" spans="1:16">
      <c r="C5554" s="561" t="s">
        <v>1197</v>
      </c>
      <c r="D5554" s="561">
        <v>330906</v>
      </c>
      <c r="E5554" s="561">
        <v>90031.8</v>
      </c>
      <c r="F5554" s="561">
        <v>240874.2</v>
      </c>
      <c r="G5554" s="561">
        <v>4744</v>
      </c>
      <c r="H5554" s="561">
        <v>344172.20329999999</v>
      </c>
      <c r="I5554" s="561">
        <v>44</v>
      </c>
      <c r="J5554" s="561">
        <v>13265.082810000004</v>
      </c>
      <c r="K5554" s="561">
        <v>4700</v>
      </c>
      <c r="L5554" s="561">
        <v>330907.12049000006</v>
      </c>
      <c r="M5554" s="561">
        <v>330903.06846000004</v>
      </c>
      <c r="N5554" s="561">
        <v>80028.267000000007</v>
      </c>
      <c r="O5554" s="561">
        <v>10003.532999999999</v>
      </c>
    </row>
    <row r="5555" spans="1:16">
      <c r="C5555" s="561" t="s">
        <v>1198</v>
      </c>
      <c r="F5555" s="561">
        <v>0</v>
      </c>
      <c r="G5555" s="561">
        <v>0</v>
      </c>
      <c r="H5555" s="561">
        <v>0</v>
      </c>
      <c r="I5555" s="561">
        <v>0</v>
      </c>
      <c r="J5555" s="561">
        <v>0</v>
      </c>
      <c r="K5555" s="561">
        <v>0</v>
      </c>
      <c r="L5555" s="561">
        <v>0</v>
      </c>
      <c r="M5555" s="561">
        <v>0</v>
      </c>
      <c r="N5555" s="561">
        <v>0</v>
      </c>
      <c r="O5555" s="561">
        <v>0</v>
      </c>
      <c r="P5555" s="561">
        <v>0</v>
      </c>
    </row>
    <row r="5556" spans="1:16">
      <c r="C5556" s="561" t="s">
        <v>1199</v>
      </c>
      <c r="D5556" s="561">
        <v>2400</v>
      </c>
      <c r="E5556" s="561">
        <v>630</v>
      </c>
      <c r="F5556" s="561">
        <v>1770</v>
      </c>
      <c r="G5556" s="561">
        <v>156</v>
      </c>
      <c r="H5556" s="561">
        <v>2443.5772899999997</v>
      </c>
      <c r="I5556" s="561">
        <v>0</v>
      </c>
      <c r="J5556" s="561">
        <v>40.645739999999478</v>
      </c>
      <c r="K5556" s="561">
        <v>156</v>
      </c>
      <c r="L5556" s="561">
        <v>2402.9315500000002</v>
      </c>
      <c r="M5556" s="561">
        <v>2402.9315500000002</v>
      </c>
      <c r="N5556" s="561">
        <v>560</v>
      </c>
      <c r="O5556" s="561">
        <v>70</v>
      </c>
      <c r="P5556" s="561">
        <v>1772.93155</v>
      </c>
    </row>
    <row r="5557" spans="1:16">
      <c r="A5557" s="561">
        <v>14</v>
      </c>
      <c r="B5557" s="561" t="s">
        <v>1708</v>
      </c>
      <c r="C5557" s="561" t="s">
        <v>1267</v>
      </c>
      <c r="D5557" s="561">
        <v>515795</v>
      </c>
      <c r="E5557" s="561">
        <v>133738.5</v>
      </c>
      <c r="F5557" s="561">
        <v>382056.5</v>
      </c>
      <c r="G5557" s="561">
        <v>6704</v>
      </c>
      <c r="H5557" s="561">
        <v>537604.77719999989</v>
      </c>
      <c r="I5557" s="561">
        <v>38</v>
      </c>
      <c r="J5557" s="561">
        <v>21805.77314999995</v>
      </c>
      <c r="K5557" s="561">
        <v>6666</v>
      </c>
      <c r="L5557" s="561">
        <v>515799.00404999993</v>
      </c>
      <c r="M5557" s="561">
        <v>515795.00000999996</v>
      </c>
      <c r="N5557" s="561">
        <v>108612.277</v>
      </c>
      <c r="O5557" s="561">
        <v>25126.222999999998</v>
      </c>
      <c r="P5557" s="561">
        <v>382056.50000999996</v>
      </c>
    </row>
    <row r="5558" spans="1:16">
      <c r="C5558" s="561" t="s">
        <v>1197</v>
      </c>
      <c r="D5558" s="561">
        <v>510895</v>
      </c>
      <c r="E5558" s="561">
        <v>132268.5</v>
      </c>
      <c r="F5558" s="561">
        <v>378626.5</v>
      </c>
      <c r="G5558" s="561">
        <v>6436</v>
      </c>
      <c r="H5558" s="561">
        <v>533399.80862999987</v>
      </c>
      <c r="I5558" s="561">
        <v>29</v>
      </c>
      <c r="J5558" s="561">
        <v>21602.68010999995</v>
      </c>
      <c r="K5558" s="561">
        <v>6407</v>
      </c>
      <c r="L5558" s="561">
        <v>511797.12851999991</v>
      </c>
      <c r="M5558" s="561">
        <v>511793.12447999994</v>
      </c>
      <c r="N5558" s="561">
        <v>107305.61</v>
      </c>
      <c r="O5558" s="561">
        <v>24962.89</v>
      </c>
    </row>
    <row r="5559" spans="1:16">
      <c r="C5559" s="561" t="s">
        <v>1198</v>
      </c>
      <c r="F5559" s="561">
        <v>0</v>
      </c>
      <c r="G5559" s="561">
        <v>0</v>
      </c>
      <c r="H5559" s="561">
        <v>0</v>
      </c>
      <c r="I5559" s="561">
        <v>0</v>
      </c>
      <c r="J5559" s="561">
        <v>0</v>
      </c>
      <c r="K5559" s="561">
        <v>0</v>
      </c>
      <c r="L5559" s="561">
        <v>0</v>
      </c>
      <c r="M5559" s="561">
        <v>0</v>
      </c>
      <c r="N5559" s="561">
        <v>0</v>
      </c>
      <c r="O5559" s="561">
        <v>0</v>
      </c>
      <c r="P5559" s="561">
        <v>0</v>
      </c>
    </row>
    <row r="5560" spans="1:16">
      <c r="C5560" s="561" t="s">
        <v>1199</v>
      </c>
      <c r="D5560" s="561">
        <v>4900</v>
      </c>
      <c r="E5560" s="561">
        <v>1470</v>
      </c>
      <c r="F5560" s="561">
        <v>3430</v>
      </c>
      <c r="G5560" s="561">
        <v>268</v>
      </c>
      <c r="H5560" s="561">
        <v>4204.96857</v>
      </c>
      <c r="I5560" s="561">
        <v>9</v>
      </c>
      <c r="J5560" s="561">
        <v>203.09303999999977</v>
      </c>
      <c r="K5560" s="561">
        <v>259</v>
      </c>
      <c r="L5560" s="561">
        <v>4001.8755300000003</v>
      </c>
      <c r="M5560" s="561">
        <v>4001.8755300000003</v>
      </c>
      <c r="N5560" s="561">
        <v>1306.6669999999999</v>
      </c>
      <c r="O5560" s="561">
        <v>163.333</v>
      </c>
      <c r="P5560" s="561">
        <v>2531.8755299999998</v>
      </c>
    </row>
    <row r="5561" spans="1:16">
      <c r="A5561" s="561">
        <v>15</v>
      </c>
      <c r="B5561" s="561" t="s">
        <v>1709</v>
      </c>
      <c r="C5561" s="561" t="s">
        <v>1267</v>
      </c>
      <c r="D5561" s="561">
        <v>514551</v>
      </c>
      <c r="E5561" s="561">
        <v>129612</v>
      </c>
      <c r="F5561" s="561">
        <v>384939</v>
      </c>
      <c r="G5561" s="561">
        <v>8127</v>
      </c>
      <c r="H5561" s="561">
        <v>539803.75982000004</v>
      </c>
      <c r="I5561" s="561">
        <v>75</v>
      </c>
      <c r="J5561" s="561">
        <v>19959.993010000075</v>
      </c>
      <c r="K5561" s="561">
        <v>8052</v>
      </c>
      <c r="L5561" s="561">
        <v>519843.76680999988</v>
      </c>
      <c r="M5561" s="561">
        <v>514550.66003999993</v>
      </c>
      <c r="N5561" s="561">
        <v>108892.58500000001</v>
      </c>
      <c r="O5561" s="561">
        <v>20719.415000000001</v>
      </c>
      <c r="P5561" s="561">
        <v>384938.66003999999</v>
      </c>
    </row>
    <row r="5562" spans="1:16">
      <c r="C5562" s="561" t="s">
        <v>1197</v>
      </c>
      <c r="D5562" s="561">
        <v>496529</v>
      </c>
      <c r="E5562" s="561">
        <v>125496</v>
      </c>
      <c r="F5562" s="561">
        <v>371033</v>
      </c>
      <c r="G5562" s="561">
        <v>7017</v>
      </c>
      <c r="H5562" s="561">
        <v>521193.45335000008</v>
      </c>
      <c r="I5562" s="561">
        <v>51</v>
      </c>
      <c r="J5562" s="561">
        <v>19423.876360000075</v>
      </c>
      <c r="K5562" s="561">
        <v>6966</v>
      </c>
      <c r="L5562" s="561">
        <v>501769.57698999991</v>
      </c>
      <c r="M5562" s="561">
        <v>496476.47021999996</v>
      </c>
      <c r="N5562" s="561">
        <v>105233.91800000001</v>
      </c>
      <c r="O5562" s="561">
        <v>20262.082000000002</v>
      </c>
    </row>
    <row r="5563" spans="1:16">
      <c r="C5563" s="561" t="s">
        <v>1198</v>
      </c>
      <c r="F5563" s="561">
        <v>0</v>
      </c>
      <c r="G5563" s="561">
        <v>0</v>
      </c>
      <c r="H5563" s="561">
        <v>0</v>
      </c>
      <c r="I5563" s="561">
        <v>0</v>
      </c>
      <c r="J5563" s="561">
        <v>0</v>
      </c>
      <c r="K5563" s="561">
        <v>0</v>
      </c>
      <c r="L5563" s="561">
        <v>0</v>
      </c>
      <c r="M5563" s="561">
        <v>0</v>
      </c>
      <c r="N5563" s="561">
        <v>0</v>
      </c>
      <c r="O5563" s="561">
        <v>0</v>
      </c>
      <c r="P5563" s="561">
        <v>0</v>
      </c>
    </row>
    <row r="5564" spans="1:16">
      <c r="C5564" s="561" t="s">
        <v>1199</v>
      </c>
      <c r="D5564" s="561">
        <v>18022</v>
      </c>
      <c r="E5564" s="561">
        <v>4116</v>
      </c>
      <c r="F5564" s="561">
        <v>13906</v>
      </c>
      <c r="G5564" s="561">
        <v>1110</v>
      </c>
      <c r="H5564" s="561">
        <v>18610.30647</v>
      </c>
      <c r="I5564" s="561">
        <v>24</v>
      </c>
      <c r="J5564" s="561">
        <v>536.11665000000164</v>
      </c>
      <c r="K5564" s="561">
        <v>1086</v>
      </c>
      <c r="L5564" s="561">
        <v>18074.189819999996</v>
      </c>
      <c r="M5564" s="561">
        <v>18074.189819999996</v>
      </c>
      <c r="N5564" s="561">
        <v>3658.6670000000004</v>
      </c>
      <c r="O5564" s="561">
        <v>457.33300000000003</v>
      </c>
      <c r="P5564" s="561">
        <v>13958.189819999996</v>
      </c>
    </row>
    <row r="5565" spans="1:16">
      <c r="A5565" s="561">
        <v>16</v>
      </c>
      <c r="B5565" s="561" t="s">
        <v>1710</v>
      </c>
      <c r="C5565" s="561" t="s">
        <v>1267</v>
      </c>
      <c r="D5565" s="561">
        <v>301536</v>
      </c>
      <c r="E5565" s="561">
        <v>0</v>
      </c>
      <c r="F5565" s="561">
        <v>301536</v>
      </c>
      <c r="G5565" s="561">
        <v>3289</v>
      </c>
      <c r="H5565" s="561">
        <v>301536.11588000006</v>
      </c>
      <c r="I5565" s="561">
        <v>0</v>
      </c>
      <c r="J5565" s="561">
        <v>0</v>
      </c>
      <c r="K5565" s="561">
        <v>3289</v>
      </c>
      <c r="L5565" s="561">
        <v>301535.99993500003</v>
      </c>
      <c r="M5565" s="561">
        <v>301535.99993500003</v>
      </c>
      <c r="N5565" s="561">
        <v>0</v>
      </c>
      <c r="O5565" s="561">
        <v>0</v>
      </c>
      <c r="P5565" s="561">
        <v>301535.99993500003</v>
      </c>
    </row>
    <row r="5566" spans="1:16">
      <c r="C5566" s="561" t="s">
        <v>1197</v>
      </c>
      <c r="D5566" s="561">
        <v>287336</v>
      </c>
      <c r="F5566" s="561">
        <v>287336</v>
      </c>
      <c r="G5566" s="561">
        <v>3211</v>
      </c>
      <c r="H5566" s="561">
        <v>289047.44889500004</v>
      </c>
      <c r="I5566" s="561">
        <v>0</v>
      </c>
      <c r="J5566" s="561">
        <v>0</v>
      </c>
      <c r="K5566" s="561">
        <v>3211</v>
      </c>
      <c r="L5566" s="561">
        <v>289047.33295000001</v>
      </c>
      <c r="M5566" s="561">
        <v>289047.33295000001</v>
      </c>
      <c r="N5566" s="561">
        <v>0</v>
      </c>
      <c r="O5566" s="561">
        <v>0</v>
      </c>
    </row>
    <row r="5567" spans="1:16">
      <c r="C5567" s="561" t="s">
        <v>1198</v>
      </c>
      <c r="F5567" s="561">
        <v>0</v>
      </c>
      <c r="G5567" s="561">
        <v>0</v>
      </c>
      <c r="H5567" s="561">
        <v>0</v>
      </c>
      <c r="I5567" s="561">
        <v>0</v>
      </c>
      <c r="J5567" s="561">
        <v>0</v>
      </c>
      <c r="K5567" s="561">
        <v>0</v>
      </c>
      <c r="L5567" s="561">
        <v>0</v>
      </c>
      <c r="M5567" s="561">
        <v>0</v>
      </c>
      <c r="N5567" s="561">
        <v>0</v>
      </c>
      <c r="O5567" s="561">
        <v>0</v>
      </c>
      <c r="P5567" s="561">
        <v>0</v>
      </c>
    </row>
    <row r="5568" spans="1:16">
      <c r="C5568" s="561" t="s">
        <v>1199</v>
      </c>
      <c r="D5568" s="561">
        <v>14200</v>
      </c>
      <c r="F5568" s="561">
        <v>14200</v>
      </c>
      <c r="G5568" s="561">
        <v>78</v>
      </c>
      <c r="H5568" s="561">
        <v>12488.666985</v>
      </c>
      <c r="I5568" s="561">
        <v>0</v>
      </c>
      <c r="J5568" s="561">
        <v>0</v>
      </c>
      <c r="K5568" s="561">
        <v>78</v>
      </c>
      <c r="L5568" s="561">
        <v>12488.666985</v>
      </c>
      <c r="M5568" s="561">
        <v>12488.666985</v>
      </c>
      <c r="N5568" s="561">
        <v>0</v>
      </c>
      <c r="O5568" s="561">
        <v>0</v>
      </c>
      <c r="P5568" s="561">
        <v>12488.666985</v>
      </c>
    </row>
    <row r="5569" spans="1:16">
      <c r="F5569" s="561">
        <v>0</v>
      </c>
      <c r="G5569" s="561">
        <v>0</v>
      </c>
      <c r="H5569" s="561">
        <v>0</v>
      </c>
      <c r="I5569" s="561">
        <v>0</v>
      </c>
      <c r="J5569" s="561">
        <v>0</v>
      </c>
      <c r="K5569" s="561">
        <v>0</v>
      </c>
      <c r="L5569" s="561">
        <v>0</v>
      </c>
      <c r="M5569" s="561">
        <v>0</v>
      </c>
      <c r="P5569" s="561">
        <v>0</v>
      </c>
    </row>
    <row r="5570" spans="1:16">
      <c r="F5570" s="561">
        <v>0</v>
      </c>
      <c r="G5570" s="561">
        <v>0</v>
      </c>
      <c r="H5570" s="561">
        <v>0</v>
      </c>
      <c r="I5570" s="561">
        <v>0</v>
      </c>
      <c r="J5570" s="561">
        <v>0</v>
      </c>
      <c r="K5570" s="561">
        <v>0</v>
      </c>
      <c r="L5570" s="561">
        <v>0</v>
      </c>
      <c r="M5570" s="561">
        <v>0</v>
      </c>
      <c r="P5570" s="561">
        <v>0</v>
      </c>
    </row>
    <row r="5571" spans="1:16">
      <c r="F5571" s="561">
        <v>0</v>
      </c>
      <c r="G5571" s="561">
        <v>0</v>
      </c>
      <c r="H5571" s="561">
        <v>0</v>
      </c>
      <c r="I5571" s="561">
        <v>0</v>
      </c>
      <c r="J5571" s="561">
        <v>0</v>
      </c>
      <c r="K5571" s="561">
        <v>0</v>
      </c>
      <c r="L5571" s="561">
        <v>0</v>
      </c>
      <c r="M5571" s="561">
        <v>0</v>
      </c>
      <c r="P5571" s="561">
        <v>0</v>
      </c>
    </row>
    <row r="5572" spans="1:16">
      <c r="F5572" s="561">
        <v>0</v>
      </c>
      <c r="G5572" s="561">
        <v>0</v>
      </c>
      <c r="H5572" s="561">
        <v>0</v>
      </c>
      <c r="I5572" s="561">
        <v>0</v>
      </c>
      <c r="J5572" s="561">
        <v>0</v>
      </c>
      <c r="K5572" s="561">
        <v>0</v>
      </c>
      <c r="L5572" s="561">
        <v>0</v>
      </c>
      <c r="M5572" s="561">
        <v>0</v>
      </c>
      <c r="P5572" s="561">
        <v>0</v>
      </c>
    </row>
    <row r="5573" spans="1:16">
      <c r="F5573" s="561">
        <v>0</v>
      </c>
      <c r="G5573" s="561">
        <v>0</v>
      </c>
      <c r="H5573" s="561">
        <v>0</v>
      </c>
      <c r="I5573" s="561">
        <v>0</v>
      </c>
      <c r="J5573" s="561">
        <v>0</v>
      </c>
      <c r="K5573" s="561">
        <v>0</v>
      </c>
      <c r="L5573" s="561">
        <v>0</v>
      </c>
      <c r="M5573" s="561">
        <v>0</v>
      </c>
      <c r="P5573" s="561">
        <v>0</v>
      </c>
    </row>
    <row r="5574" spans="1:16">
      <c r="F5574" s="561">
        <v>0</v>
      </c>
      <c r="G5574" s="561">
        <v>0</v>
      </c>
      <c r="H5574" s="561">
        <v>0</v>
      </c>
      <c r="I5574" s="561">
        <v>0</v>
      </c>
      <c r="J5574" s="561">
        <v>0</v>
      </c>
      <c r="K5574" s="561">
        <v>0</v>
      </c>
      <c r="L5574" s="561">
        <v>0</v>
      </c>
      <c r="M5574" s="561">
        <v>0</v>
      </c>
      <c r="P5574" s="561">
        <v>0</v>
      </c>
    </row>
    <row r="5575" spans="1:16">
      <c r="F5575" s="561">
        <v>0</v>
      </c>
      <c r="G5575" s="561">
        <v>0</v>
      </c>
      <c r="H5575" s="561">
        <v>0</v>
      </c>
      <c r="I5575" s="561">
        <v>0</v>
      </c>
      <c r="J5575" s="561">
        <v>0</v>
      </c>
      <c r="K5575" s="561">
        <v>0</v>
      </c>
      <c r="L5575" s="561">
        <v>0</v>
      </c>
      <c r="M5575" s="561">
        <v>0</v>
      </c>
      <c r="P5575" s="561">
        <v>0</v>
      </c>
    </row>
    <row r="5576" spans="1:16">
      <c r="F5576" s="561">
        <v>0</v>
      </c>
      <c r="G5576" s="561">
        <v>0</v>
      </c>
      <c r="H5576" s="561">
        <v>0</v>
      </c>
      <c r="I5576" s="561">
        <v>0</v>
      </c>
      <c r="J5576" s="561">
        <v>0</v>
      </c>
      <c r="K5576" s="561">
        <v>0</v>
      </c>
      <c r="L5576" s="561">
        <v>0</v>
      </c>
      <c r="M5576" s="561">
        <v>0</v>
      </c>
      <c r="P5576" s="561">
        <v>0</v>
      </c>
    </row>
    <row r="5577" spans="1:16">
      <c r="A5577" s="561">
        <v>17</v>
      </c>
      <c r="B5577" s="561" t="s">
        <v>1711</v>
      </c>
      <c r="C5577" s="561" t="s">
        <v>1267</v>
      </c>
      <c r="D5577" s="561">
        <v>23200</v>
      </c>
      <c r="E5577" s="561">
        <v>5460</v>
      </c>
      <c r="F5577" s="561">
        <v>17740</v>
      </c>
      <c r="G5577" s="561">
        <v>1271</v>
      </c>
      <c r="H5577" s="561">
        <v>23392.404060000001</v>
      </c>
      <c r="I5577" s="561">
        <v>1</v>
      </c>
      <c r="J5577" s="561">
        <v>189.87764000000084</v>
      </c>
      <c r="K5577" s="561">
        <v>1270</v>
      </c>
      <c r="L5577" s="561">
        <v>23202.526420000002</v>
      </c>
      <c r="M5577" s="561">
        <v>23200</v>
      </c>
      <c r="N5577" s="561">
        <v>4853.3339999999998</v>
      </c>
      <c r="O5577" s="561">
        <v>606.66600000000005</v>
      </c>
      <c r="P5577" s="561">
        <v>17740</v>
      </c>
    </row>
    <row r="5578" spans="1:16">
      <c r="C5578" s="561" t="s">
        <v>1197</v>
      </c>
      <c r="F5578" s="561">
        <v>0</v>
      </c>
      <c r="G5578" s="561">
        <v>0</v>
      </c>
      <c r="H5578" s="561">
        <v>0</v>
      </c>
      <c r="I5578" s="561">
        <v>0</v>
      </c>
      <c r="J5578" s="561">
        <v>0</v>
      </c>
      <c r="K5578" s="561">
        <v>0</v>
      </c>
      <c r="L5578" s="561">
        <v>0</v>
      </c>
      <c r="M5578" s="561">
        <v>0</v>
      </c>
      <c r="N5578" s="561">
        <v>0</v>
      </c>
      <c r="O5578" s="561">
        <v>0</v>
      </c>
      <c r="P5578" s="561">
        <v>0</v>
      </c>
    </row>
    <row r="5579" spans="1:16">
      <c r="C5579" s="561" t="s">
        <v>1198</v>
      </c>
      <c r="F5579" s="561">
        <v>0</v>
      </c>
      <c r="G5579" s="561">
        <v>0</v>
      </c>
      <c r="H5579" s="561">
        <v>0</v>
      </c>
      <c r="I5579" s="561">
        <v>0</v>
      </c>
      <c r="J5579" s="561">
        <v>0</v>
      </c>
      <c r="K5579" s="561">
        <v>0</v>
      </c>
      <c r="L5579" s="561">
        <v>0</v>
      </c>
      <c r="M5579" s="561">
        <v>0</v>
      </c>
      <c r="N5579" s="561">
        <v>0</v>
      </c>
      <c r="O5579" s="561">
        <v>0</v>
      </c>
      <c r="P5579" s="561">
        <v>0</v>
      </c>
    </row>
    <row r="5580" spans="1:16">
      <c r="C5580" s="561" t="s">
        <v>1199</v>
      </c>
      <c r="D5580" s="561">
        <v>23200</v>
      </c>
      <c r="E5580" s="561">
        <v>5460</v>
      </c>
      <c r="F5580" s="561">
        <v>17740</v>
      </c>
      <c r="G5580" s="561">
        <v>1271</v>
      </c>
      <c r="H5580" s="561">
        <v>23392.404060000001</v>
      </c>
      <c r="I5580" s="561">
        <v>1</v>
      </c>
      <c r="J5580" s="561">
        <v>189.87764000000084</v>
      </c>
      <c r="K5580" s="561">
        <v>1270</v>
      </c>
      <c r="L5580" s="561">
        <v>23202.526420000002</v>
      </c>
      <c r="M5580" s="561">
        <v>23200</v>
      </c>
      <c r="N5580" s="561">
        <v>4853.3339999999998</v>
      </c>
      <c r="O5580" s="561">
        <v>606.66600000000005</v>
      </c>
      <c r="P5580" s="561">
        <v>17740</v>
      </c>
    </row>
    <row r="5581" spans="1:16">
      <c r="A5581" s="561">
        <v>18</v>
      </c>
      <c r="B5581" s="561" t="s">
        <v>1712</v>
      </c>
      <c r="C5581" s="561" t="s">
        <v>1267</v>
      </c>
      <c r="D5581" s="561">
        <v>21916</v>
      </c>
      <c r="E5581" s="561">
        <v>4620</v>
      </c>
      <c r="F5581" s="561">
        <v>17296</v>
      </c>
      <c r="G5581" s="561">
        <v>1212</v>
      </c>
      <c r="H5581" s="561">
        <v>22285.715319999996</v>
      </c>
      <c r="I5581" s="561">
        <v>6</v>
      </c>
      <c r="J5581" s="561">
        <v>368.63925000000154</v>
      </c>
      <c r="K5581" s="561">
        <v>1206</v>
      </c>
      <c r="L5581" s="561">
        <v>21917.076069999999</v>
      </c>
      <c r="M5581" s="561">
        <v>21916</v>
      </c>
      <c r="N5581" s="561">
        <v>4106.6660000000002</v>
      </c>
      <c r="O5581" s="561">
        <v>513.33399999999995</v>
      </c>
      <c r="P5581" s="561">
        <v>17296</v>
      </c>
    </row>
    <row r="5582" spans="1:16">
      <c r="C5582" s="561" t="s">
        <v>1197</v>
      </c>
      <c r="F5582" s="561">
        <v>0</v>
      </c>
      <c r="G5582" s="561">
        <v>0</v>
      </c>
      <c r="H5582" s="561">
        <v>0</v>
      </c>
      <c r="I5582" s="561">
        <v>0</v>
      </c>
      <c r="J5582" s="561">
        <v>0</v>
      </c>
      <c r="K5582" s="561">
        <v>0</v>
      </c>
      <c r="L5582" s="561">
        <v>0</v>
      </c>
      <c r="M5582" s="561">
        <v>0</v>
      </c>
      <c r="N5582" s="561">
        <v>0</v>
      </c>
      <c r="O5582" s="561">
        <v>0</v>
      </c>
      <c r="P5582" s="561">
        <v>0</v>
      </c>
    </row>
    <row r="5583" spans="1:16">
      <c r="C5583" s="561" t="s">
        <v>1198</v>
      </c>
      <c r="F5583" s="561">
        <v>0</v>
      </c>
      <c r="G5583" s="561">
        <v>0</v>
      </c>
      <c r="H5583" s="561">
        <v>0</v>
      </c>
      <c r="I5583" s="561">
        <v>0</v>
      </c>
      <c r="J5583" s="561">
        <v>0</v>
      </c>
      <c r="K5583" s="561">
        <v>0</v>
      </c>
      <c r="L5583" s="561">
        <v>0</v>
      </c>
      <c r="M5583" s="561">
        <v>0</v>
      </c>
      <c r="N5583" s="561">
        <v>0</v>
      </c>
      <c r="O5583" s="561">
        <v>0</v>
      </c>
      <c r="P5583" s="561">
        <v>0</v>
      </c>
    </row>
    <row r="5584" spans="1:16">
      <c r="C5584" s="561" t="s">
        <v>1199</v>
      </c>
      <c r="D5584" s="561">
        <v>21916</v>
      </c>
      <c r="E5584" s="561">
        <v>4620</v>
      </c>
      <c r="F5584" s="561">
        <v>17296</v>
      </c>
      <c r="G5584" s="561">
        <v>1212</v>
      </c>
      <c r="H5584" s="561">
        <v>22285.715319999996</v>
      </c>
      <c r="I5584" s="561">
        <v>6</v>
      </c>
      <c r="J5584" s="561">
        <v>368.63925000000154</v>
      </c>
      <c r="K5584" s="561">
        <v>1206</v>
      </c>
      <c r="L5584" s="561">
        <v>21917.076069999999</v>
      </c>
      <c r="M5584" s="561">
        <v>21916</v>
      </c>
      <c r="N5584" s="561">
        <v>4106.6660000000002</v>
      </c>
      <c r="O5584" s="561">
        <v>513.33399999999995</v>
      </c>
      <c r="P5584" s="561">
        <v>17296</v>
      </c>
    </row>
    <row r="5585" spans="1:16">
      <c r="A5585" s="561">
        <v>19</v>
      </c>
      <c r="B5585" s="561" t="s">
        <v>1713</v>
      </c>
      <c r="C5585" s="561" t="s">
        <v>1267</v>
      </c>
      <c r="D5585" s="561">
        <v>7600</v>
      </c>
      <c r="E5585" s="561">
        <v>2100</v>
      </c>
      <c r="F5585" s="561">
        <v>5500</v>
      </c>
      <c r="G5585" s="561">
        <v>416</v>
      </c>
      <c r="H5585" s="561">
        <v>7715.7597100000003</v>
      </c>
      <c r="I5585" s="561">
        <v>1</v>
      </c>
      <c r="J5585" s="561">
        <v>115.20480999999961</v>
      </c>
      <c r="K5585" s="561">
        <v>415</v>
      </c>
      <c r="L5585" s="561">
        <v>7600.554900000001</v>
      </c>
      <c r="M5585" s="561">
        <v>7600.0000000000009</v>
      </c>
      <c r="N5585" s="561">
        <v>2100</v>
      </c>
      <c r="O5585" s="561">
        <v>0</v>
      </c>
      <c r="P5585" s="561">
        <v>5500.0000000000009</v>
      </c>
    </row>
    <row r="5586" spans="1:16">
      <c r="C5586" s="561" t="s">
        <v>1197</v>
      </c>
      <c r="F5586" s="561">
        <v>0</v>
      </c>
      <c r="G5586" s="561">
        <v>0</v>
      </c>
      <c r="H5586" s="561">
        <v>0</v>
      </c>
      <c r="I5586" s="561">
        <v>0</v>
      </c>
      <c r="J5586" s="561">
        <v>0</v>
      </c>
      <c r="K5586" s="561">
        <v>0</v>
      </c>
      <c r="L5586" s="561">
        <v>0</v>
      </c>
      <c r="M5586" s="561">
        <v>0</v>
      </c>
      <c r="N5586" s="561">
        <v>0</v>
      </c>
      <c r="O5586" s="561">
        <v>0</v>
      </c>
      <c r="P5586" s="561">
        <v>0</v>
      </c>
    </row>
    <row r="5587" spans="1:16">
      <c r="C5587" s="561" t="s">
        <v>1198</v>
      </c>
      <c r="F5587" s="561">
        <v>0</v>
      </c>
      <c r="G5587" s="561">
        <v>0</v>
      </c>
      <c r="H5587" s="561">
        <v>0</v>
      </c>
      <c r="I5587" s="561">
        <v>0</v>
      </c>
      <c r="J5587" s="561">
        <v>0</v>
      </c>
      <c r="K5587" s="561">
        <v>0</v>
      </c>
      <c r="L5587" s="561">
        <v>0</v>
      </c>
      <c r="M5587" s="561">
        <v>0</v>
      </c>
      <c r="N5587" s="561">
        <v>0</v>
      </c>
      <c r="O5587" s="561">
        <v>0</v>
      </c>
      <c r="P5587" s="561">
        <v>0</v>
      </c>
    </row>
    <row r="5588" spans="1:16">
      <c r="C5588" s="561" t="s">
        <v>1199</v>
      </c>
      <c r="D5588" s="561">
        <v>7600</v>
      </c>
      <c r="E5588" s="561">
        <v>2100</v>
      </c>
      <c r="F5588" s="561">
        <v>5500</v>
      </c>
      <c r="G5588" s="561">
        <v>416</v>
      </c>
      <c r="H5588" s="561">
        <v>7715.7597100000003</v>
      </c>
      <c r="I5588" s="561">
        <v>1</v>
      </c>
      <c r="J5588" s="561">
        <v>115.20480999999961</v>
      </c>
      <c r="K5588" s="561">
        <v>415</v>
      </c>
      <c r="L5588" s="561">
        <v>7600.554900000001</v>
      </c>
      <c r="M5588" s="561">
        <v>7600.0000000000009</v>
      </c>
      <c r="N5588" s="561">
        <v>2100</v>
      </c>
      <c r="O5588" s="561">
        <v>0</v>
      </c>
      <c r="P5588" s="561">
        <v>5500.0000000000009</v>
      </c>
    </row>
    <row r="5589" spans="1:16">
      <c r="A5589" s="561">
        <v>20</v>
      </c>
      <c r="B5589" s="561" t="s">
        <v>1714</v>
      </c>
      <c r="C5589" s="561" t="s">
        <v>1267</v>
      </c>
      <c r="D5589" s="561">
        <v>10450</v>
      </c>
      <c r="E5589" s="561">
        <v>2925</v>
      </c>
      <c r="F5589" s="561">
        <v>7525</v>
      </c>
      <c r="G5589" s="561">
        <v>579</v>
      </c>
      <c r="H5589" s="561">
        <v>10566.891309999999</v>
      </c>
      <c r="I5589" s="561">
        <v>2</v>
      </c>
      <c r="J5589" s="561">
        <v>117.60501999999985</v>
      </c>
      <c r="K5589" s="561">
        <v>577</v>
      </c>
      <c r="L5589" s="561">
        <v>10449.286289999998</v>
      </c>
      <c r="M5589" s="561">
        <v>10449.286289999998</v>
      </c>
      <c r="N5589" s="561">
        <v>2796.8939799999998</v>
      </c>
      <c r="O5589" s="561">
        <v>128.10602</v>
      </c>
      <c r="P5589" s="561">
        <v>7524.2862900000009</v>
      </c>
    </row>
    <row r="5590" spans="1:16">
      <c r="C5590" s="561" t="s">
        <v>1197</v>
      </c>
      <c r="F5590" s="561">
        <v>0</v>
      </c>
      <c r="G5590" s="561">
        <v>0</v>
      </c>
      <c r="H5590" s="561">
        <v>0</v>
      </c>
      <c r="I5590" s="561">
        <v>0</v>
      </c>
      <c r="J5590" s="561">
        <v>0</v>
      </c>
      <c r="K5590" s="561">
        <v>0</v>
      </c>
      <c r="L5590" s="561">
        <v>0</v>
      </c>
      <c r="M5590" s="561">
        <v>0</v>
      </c>
      <c r="N5590" s="561">
        <v>0</v>
      </c>
      <c r="O5590" s="561">
        <v>0</v>
      </c>
      <c r="P5590" s="561">
        <v>0</v>
      </c>
    </row>
    <row r="5591" spans="1:16">
      <c r="C5591" s="561" t="s">
        <v>1198</v>
      </c>
      <c r="F5591" s="561">
        <v>0</v>
      </c>
      <c r="G5591" s="561">
        <v>0</v>
      </c>
      <c r="H5591" s="561">
        <v>0</v>
      </c>
      <c r="I5591" s="561">
        <v>0</v>
      </c>
      <c r="J5591" s="561">
        <v>0</v>
      </c>
      <c r="K5591" s="561">
        <v>0</v>
      </c>
      <c r="L5591" s="561">
        <v>0</v>
      </c>
      <c r="M5591" s="561">
        <v>0</v>
      </c>
      <c r="N5591" s="561">
        <v>0</v>
      </c>
      <c r="O5591" s="561">
        <v>0</v>
      </c>
      <c r="P5591" s="561">
        <v>0</v>
      </c>
    </row>
    <row r="5592" spans="1:16">
      <c r="C5592" s="561" t="s">
        <v>1199</v>
      </c>
      <c r="D5592" s="561">
        <v>10450</v>
      </c>
      <c r="E5592" s="561">
        <v>2925</v>
      </c>
      <c r="F5592" s="561">
        <v>7525</v>
      </c>
      <c r="G5592" s="561">
        <v>579</v>
      </c>
      <c r="H5592" s="561">
        <v>10566.891309999999</v>
      </c>
      <c r="I5592" s="561">
        <v>2</v>
      </c>
      <c r="J5592" s="561">
        <v>117.60501999999985</v>
      </c>
      <c r="K5592" s="561">
        <v>577</v>
      </c>
      <c r="L5592" s="561">
        <v>10449.286289999998</v>
      </c>
      <c r="M5592" s="561">
        <v>10449.286289999998</v>
      </c>
      <c r="N5592" s="561">
        <v>2796.8939799999998</v>
      </c>
      <c r="O5592" s="561">
        <v>128.10602</v>
      </c>
      <c r="P5592" s="561">
        <v>7524.2862900000009</v>
      </c>
    </row>
    <row r="5593" spans="1:16">
      <c r="A5593" s="561">
        <v>21</v>
      </c>
      <c r="B5593" s="561" t="s">
        <v>1715</v>
      </c>
      <c r="C5593" s="561" t="s">
        <v>1267</v>
      </c>
      <c r="D5593" s="561">
        <v>15800</v>
      </c>
      <c r="E5593" s="561">
        <v>3990</v>
      </c>
      <c r="F5593" s="561">
        <v>11810</v>
      </c>
      <c r="G5593" s="561">
        <v>849</v>
      </c>
      <c r="H5593" s="561">
        <v>16133.267180000001</v>
      </c>
      <c r="I5593" s="561">
        <v>7</v>
      </c>
      <c r="J5593" s="561">
        <v>332.03973000000178</v>
      </c>
      <c r="K5593" s="561">
        <v>842</v>
      </c>
      <c r="L5593" s="561">
        <v>15801.22745</v>
      </c>
      <c r="M5593" s="561">
        <v>15800</v>
      </c>
      <c r="N5593" s="561">
        <v>3546.6659999999997</v>
      </c>
      <c r="O5593" s="561">
        <v>443.334</v>
      </c>
      <c r="P5593" s="561">
        <v>11810</v>
      </c>
    </row>
    <row r="5594" spans="1:16">
      <c r="C5594" s="561" t="s">
        <v>1197</v>
      </c>
      <c r="F5594" s="561">
        <v>0</v>
      </c>
      <c r="G5594" s="561">
        <v>0</v>
      </c>
      <c r="H5594" s="561">
        <v>0</v>
      </c>
      <c r="I5594" s="561">
        <v>0</v>
      </c>
      <c r="J5594" s="561">
        <v>0</v>
      </c>
      <c r="K5594" s="561">
        <v>0</v>
      </c>
      <c r="L5594" s="561">
        <v>0</v>
      </c>
      <c r="M5594" s="561">
        <v>0</v>
      </c>
      <c r="N5594" s="561">
        <v>0</v>
      </c>
      <c r="O5594" s="561">
        <v>0</v>
      </c>
      <c r="P5594" s="561">
        <v>0</v>
      </c>
    </row>
    <row r="5595" spans="1:16">
      <c r="C5595" s="561" t="s">
        <v>1198</v>
      </c>
      <c r="F5595" s="561">
        <v>0</v>
      </c>
      <c r="G5595" s="561">
        <v>0</v>
      </c>
      <c r="H5595" s="561">
        <v>0</v>
      </c>
      <c r="I5595" s="561">
        <v>0</v>
      </c>
      <c r="J5595" s="561">
        <v>0</v>
      </c>
      <c r="K5595" s="561">
        <v>0</v>
      </c>
      <c r="L5595" s="561">
        <v>0</v>
      </c>
      <c r="M5595" s="561">
        <v>0</v>
      </c>
      <c r="N5595" s="561">
        <v>0</v>
      </c>
      <c r="O5595" s="561">
        <v>0</v>
      </c>
      <c r="P5595" s="561">
        <v>0</v>
      </c>
    </row>
    <row r="5596" spans="1:16">
      <c r="C5596" s="561" t="s">
        <v>1199</v>
      </c>
      <c r="D5596" s="561">
        <v>15800</v>
      </c>
      <c r="E5596" s="561">
        <v>3990</v>
      </c>
      <c r="F5596" s="561">
        <v>11810</v>
      </c>
      <c r="G5596" s="561">
        <v>849</v>
      </c>
      <c r="H5596" s="561">
        <v>16133.267180000001</v>
      </c>
      <c r="I5596" s="561">
        <v>7</v>
      </c>
      <c r="J5596" s="561">
        <v>332.03973000000178</v>
      </c>
      <c r="K5596" s="561">
        <v>842</v>
      </c>
      <c r="L5596" s="561">
        <v>15801.22745</v>
      </c>
      <c r="M5596" s="561">
        <v>15800</v>
      </c>
      <c r="N5596" s="561">
        <v>3546.6659999999997</v>
      </c>
      <c r="O5596" s="561">
        <v>443.334</v>
      </c>
      <c r="P5596" s="561">
        <v>11810</v>
      </c>
    </row>
    <row r="5597" spans="1:16">
      <c r="A5597" s="561">
        <v>22</v>
      </c>
      <c r="B5597" s="561" t="s">
        <v>1716</v>
      </c>
      <c r="C5597" s="561" t="s">
        <v>1267</v>
      </c>
      <c r="D5597" s="561">
        <v>23000</v>
      </c>
      <c r="E5597" s="561">
        <v>6300</v>
      </c>
      <c r="F5597" s="561">
        <v>16700</v>
      </c>
      <c r="G5597" s="561">
        <v>1339</v>
      </c>
      <c r="H5597" s="561">
        <v>23181.314879999998</v>
      </c>
      <c r="I5597" s="561">
        <v>1</v>
      </c>
      <c r="J5597" s="561">
        <v>181.23939999999985</v>
      </c>
      <c r="K5597" s="561">
        <v>1338</v>
      </c>
      <c r="L5597" s="561">
        <v>23000.07548</v>
      </c>
      <c r="M5597" s="561">
        <v>23000</v>
      </c>
      <c r="N5597" s="561">
        <v>5717.3770599999998</v>
      </c>
      <c r="O5597" s="561">
        <v>582.62293999999997</v>
      </c>
      <c r="P5597" s="561">
        <v>16700</v>
      </c>
    </row>
    <row r="5598" spans="1:16">
      <c r="C5598" s="561" t="s">
        <v>1197</v>
      </c>
      <c r="F5598" s="561">
        <v>0</v>
      </c>
      <c r="G5598" s="561">
        <v>0</v>
      </c>
      <c r="H5598" s="561">
        <v>0</v>
      </c>
      <c r="I5598" s="561">
        <v>0</v>
      </c>
      <c r="J5598" s="561">
        <v>0</v>
      </c>
      <c r="K5598" s="561">
        <v>0</v>
      </c>
      <c r="L5598" s="561">
        <v>0</v>
      </c>
      <c r="M5598" s="561">
        <v>0</v>
      </c>
      <c r="N5598" s="561">
        <v>0</v>
      </c>
      <c r="O5598" s="561">
        <v>0</v>
      </c>
      <c r="P5598" s="561">
        <v>0</v>
      </c>
    </row>
    <row r="5599" spans="1:16">
      <c r="C5599" s="561" t="s">
        <v>1198</v>
      </c>
      <c r="F5599" s="561">
        <v>0</v>
      </c>
      <c r="G5599" s="561">
        <v>0</v>
      </c>
      <c r="H5599" s="561">
        <v>0</v>
      </c>
      <c r="I5599" s="561">
        <v>0</v>
      </c>
      <c r="J5599" s="561">
        <v>0</v>
      </c>
      <c r="K5599" s="561">
        <v>0</v>
      </c>
      <c r="L5599" s="561">
        <v>0</v>
      </c>
      <c r="M5599" s="561">
        <v>0</v>
      </c>
      <c r="N5599" s="561">
        <v>0</v>
      </c>
      <c r="O5599" s="561">
        <v>0</v>
      </c>
      <c r="P5599" s="561">
        <v>0</v>
      </c>
    </row>
    <row r="5600" spans="1:16">
      <c r="C5600" s="561" t="s">
        <v>1199</v>
      </c>
      <c r="D5600" s="561">
        <v>23000</v>
      </c>
      <c r="E5600" s="561">
        <v>6300</v>
      </c>
      <c r="F5600" s="561">
        <v>16700</v>
      </c>
      <c r="G5600" s="561">
        <v>1339</v>
      </c>
      <c r="H5600" s="561">
        <v>23181.314879999998</v>
      </c>
      <c r="I5600" s="561">
        <v>1</v>
      </c>
      <c r="J5600" s="561">
        <v>181.23939999999985</v>
      </c>
      <c r="K5600" s="561">
        <v>1338</v>
      </c>
      <c r="L5600" s="561">
        <v>23000.07548</v>
      </c>
      <c r="M5600" s="561">
        <v>23000</v>
      </c>
      <c r="N5600" s="561">
        <v>5717.3770599999998</v>
      </c>
      <c r="O5600" s="561">
        <v>582.62293999999997</v>
      </c>
      <c r="P5600" s="561">
        <v>16700</v>
      </c>
    </row>
    <row r="5601" spans="1:16">
      <c r="A5601" s="561">
        <v>23</v>
      </c>
      <c r="B5601" s="561" t="s">
        <v>1717</v>
      </c>
      <c r="C5601" s="561" t="s">
        <v>1267</v>
      </c>
      <c r="D5601" s="561">
        <v>13000</v>
      </c>
      <c r="E5601" s="561">
        <v>3900</v>
      </c>
      <c r="F5601" s="561">
        <v>9100</v>
      </c>
      <c r="G5601" s="561">
        <v>954</v>
      </c>
      <c r="H5601" s="561">
        <v>13038.588899999999</v>
      </c>
      <c r="I5601" s="561">
        <v>0</v>
      </c>
      <c r="J5601" s="561">
        <v>40.130379999998695</v>
      </c>
      <c r="K5601" s="561">
        <v>954</v>
      </c>
      <c r="L5601" s="561">
        <v>12998.45852</v>
      </c>
      <c r="M5601" s="561">
        <v>12998.45852</v>
      </c>
      <c r="N5601" s="561">
        <v>3466.6640000000002</v>
      </c>
      <c r="O5601" s="561">
        <v>433.33600000000001</v>
      </c>
      <c r="P5601" s="561">
        <v>9098.4585199999983</v>
      </c>
    </row>
    <row r="5602" spans="1:16">
      <c r="C5602" s="561" t="s">
        <v>1197</v>
      </c>
      <c r="F5602" s="561">
        <v>0</v>
      </c>
      <c r="G5602" s="561">
        <v>0</v>
      </c>
      <c r="H5602" s="561">
        <v>0</v>
      </c>
      <c r="I5602" s="561">
        <v>0</v>
      </c>
      <c r="J5602" s="561">
        <v>0</v>
      </c>
      <c r="K5602" s="561">
        <v>0</v>
      </c>
      <c r="L5602" s="561">
        <v>0</v>
      </c>
      <c r="M5602" s="561">
        <v>0</v>
      </c>
      <c r="N5602" s="561">
        <v>0</v>
      </c>
      <c r="O5602" s="561">
        <v>0</v>
      </c>
      <c r="P5602" s="561">
        <v>0</v>
      </c>
    </row>
    <row r="5603" spans="1:16">
      <c r="C5603" s="561" t="s">
        <v>1198</v>
      </c>
      <c r="F5603" s="561">
        <v>0</v>
      </c>
      <c r="G5603" s="561">
        <v>0</v>
      </c>
      <c r="H5603" s="561">
        <v>0</v>
      </c>
      <c r="I5603" s="561">
        <v>0</v>
      </c>
      <c r="J5603" s="561">
        <v>0</v>
      </c>
      <c r="K5603" s="561">
        <v>0</v>
      </c>
      <c r="L5603" s="561">
        <v>0</v>
      </c>
      <c r="M5603" s="561">
        <v>0</v>
      </c>
      <c r="N5603" s="561">
        <v>0</v>
      </c>
      <c r="O5603" s="561">
        <v>0</v>
      </c>
      <c r="P5603" s="561">
        <v>0</v>
      </c>
    </row>
    <row r="5604" spans="1:16">
      <c r="C5604" s="561" t="s">
        <v>1199</v>
      </c>
      <c r="D5604" s="561">
        <v>13000</v>
      </c>
      <c r="E5604" s="561">
        <v>3900</v>
      </c>
      <c r="F5604" s="561">
        <v>9100</v>
      </c>
      <c r="G5604" s="561">
        <v>954</v>
      </c>
      <c r="H5604" s="561">
        <v>13038.588899999999</v>
      </c>
      <c r="I5604" s="561">
        <v>0</v>
      </c>
      <c r="J5604" s="561">
        <v>40.130379999998695</v>
      </c>
      <c r="K5604" s="561">
        <v>954</v>
      </c>
      <c r="L5604" s="561">
        <v>12998.45852</v>
      </c>
      <c r="M5604" s="561">
        <v>12998.45852</v>
      </c>
      <c r="N5604" s="561">
        <v>3466.6640000000002</v>
      </c>
      <c r="O5604" s="561">
        <v>433.33600000000001</v>
      </c>
      <c r="P5604" s="561">
        <v>9098.4585199999983</v>
      </c>
    </row>
    <row r="5605" spans="1:16">
      <c r="A5605" s="561">
        <v>24</v>
      </c>
      <c r="B5605" s="561" t="s">
        <v>1718</v>
      </c>
      <c r="C5605" s="561" t="s">
        <v>1267</v>
      </c>
      <c r="D5605" s="561">
        <v>19596</v>
      </c>
      <c r="E5605" s="561">
        <v>5040</v>
      </c>
      <c r="F5605" s="561">
        <v>14556</v>
      </c>
      <c r="G5605" s="561">
        <v>1154</v>
      </c>
      <c r="H5605" s="561">
        <v>19752.953130000002</v>
      </c>
      <c r="I5605" s="561">
        <v>0</v>
      </c>
      <c r="J5605" s="561">
        <v>156.92496000000062</v>
      </c>
      <c r="K5605" s="561">
        <v>1154</v>
      </c>
      <c r="L5605" s="561">
        <v>19596.028169999998</v>
      </c>
      <c r="M5605" s="561">
        <v>19596</v>
      </c>
      <c r="N5605" s="561">
        <v>3920</v>
      </c>
      <c r="O5605" s="561">
        <v>1120</v>
      </c>
      <c r="P5605" s="561">
        <v>14556</v>
      </c>
    </row>
    <row r="5606" spans="1:16">
      <c r="C5606" s="561" t="s">
        <v>1197</v>
      </c>
      <c r="F5606" s="561">
        <v>0</v>
      </c>
      <c r="G5606" s="561">
        <v>0</v>
      </c>
      <c r="H5606" s="561">
        <v>0</v>
      </c>
      <c r="I5606" s="561">
        <v>0</v>
      </c>
      <c r="J5606" s="561">
        <v>0</v>
      </c>
      <c r="K5606" s="561">
        <v>0</v>
      </c>
      <c r="L5606" s="561">
        <v>0</v>
      </c>
      <c r="M5606" s="561">
        <v>0</v>
      </c>
      <c r="N5606" s="561">
        <v>0</v>
      </c>
      <c r="O5606" s="561">
        <v>0</v>
      </c>
      <c r="P5606" s="561">
        <v>0</v>
      </c>
    </row>
    <row r="5607" spans="1:16">
      <c r="C5607" s="561" t="s">
        <v>1198</v>
      </c>
      <c r="F5607" s="561">
        <v>0</v>
      </c>
      <c r="G5607" s="561">
        <v>0</v>
      </c>
      <c r="H5607" s="561">
        <v>0</v>
      </c>
      <c r="I5607" s="561">
        <v>0</v>
      </c>
      <c r="J5607" s="561">
        <v>0</v>
      </c>
      <c r="K5607" s="561">
        <v>0</v>
      </c>
      <c r="L5607" s="561">
        <v>0</v>
      </c>
      <c r="M5607" s="561">
        <v>0</v>
      </c>
      <c r="N5607" s="561">
        <v>0</v>
      </c>
      <c r="O5607" s="561">
        <v>0</v>
      </c>
      <c r="P5607" s="561">
        <v>0</v>
      </c>
    </row>
    <row r="5608" spans="1:16">
      <c r="C5608" s="561" t="s">
        <v>1199</v>
      </c>
      <c r="D5608" s="561">
        <v>19596</v>
      </c>
      <c r="E5608" s="561">
        <v>5040</v>
      </c>
      <c r="F5608" s="561">
        <v>14556</v>
      </c>
      <c r="G5608" s="561">
        <v>1154</v>
      </c>
      <c r="H5608" s="561">
        <v>19752.953130000002</v>
      </c>
      <c r="I5608" s="561">
        <v>0</v>
      </c>
      <c r="J5608" s="561">
        <v>156.92496000000062</v>
      </c>
      <c r="K5608" s="561">
        <v>1154</v>
      </c>
      <c r="L5608" s="561">
        <v>19596.028169999998</v>
      </c>
      <c r="M5608" s="561">
        <v>19596</v>
      </c>
      <c r="N5608" s="561">
        <v>3920</v>
      </c>
      <c r="O5608" s="561">
        <v>1120</v>
      </c>
      <c r="P5608" s="561">
        <v>14556</v>
      </c>
    </row>
    <row r="5609" spans="1:16">
      <c r="A5609" s="561">
        <v>25</v>
      </c>
      <c r="B5609" s="561" t="s">
        <v>1719</v>
      </c>
      <c r="C5609" s="561" t="s">
        <v>1267</v>
      </c>
      <c r="D5609" s="561">
        <v>234867</v>
      </c>
      <c r="E5609" s="561">
        <v>70460.099999999991</v>
      </c>
      <c r="F5609" s="561">
        <v>164406.90000000002</v>
      </c>
      <c r="G5609" s="561">
        <v>965</v>
      </c>
      <c r="H5609" s="561">
        <v>241155.96523999999</v>
      </c>
      <c r="I5609" s="561">
        <v>0</v>
      </c>
      <c r="J5609" s="561">
        <v>126.03603999999905</v>
      </c>
      <c r="K5609" s="561">
        <v>965</v>
      </c>
      <c r="L5609" s="561">
        <v>241029.92920000001</v>
      </c>
      <c r="M5609" s="561">
        <v>234867</v>
      </c>
      <c r="N5609" s="561">
        <v>70460.099999999991</v>
      </c>
      <c r="O5609" s="561">
        <v>0</v>
      </c>
      <c r="P5609" s="561">
        <v>164406.90000000002</v>
      </c>
    </row>
    <row r="5610" spans="1:16">
      <c r="C5610" s="561" t="s">
        <v>1197</v>
      </c>
      <c r="F5610" s="561">
        <v>0</v>
      </c>
      <c r="G5610" s="561">
        <v>0</v>
      </c>
      <c r="H5610" s="561">
        <v>0</v>
      </c>
      <c r="I5610" s="561">
        <v>0</v>
      </c>
      <c r="J5610" s="561">
        <v>0</v>
      </c>
      <c r="K5610" s="561">
        <v>0</v>
      </c>
      <c r="L5610" s="561">
        <v>0</v>
      </c>
      <c r="M5610" s="561">
        <v>0</v>
      </c>
      <c r="N5610" s="561">
        <v>0</v>
      </c>
      <c r="O5610" s="561">
        <v>0</v>
      </c>
      <c r="P5610" s="561">
        <v>0</v>
      </c>
    </row>
    <row r="5611" spans="1:16">
      <c r="C5611" s="561" t="s">
        <v>1198</v>
      </c>
      <c r="F5611" s="561">
        <v>0</v>
      </c>
      <c r="G5611" s="561">
        <v>0</v>
      </c>
      <c r="H5611" s="561">
        <v>0</v>
      </c>
      <c r="I5611" s="561">
        <v>0</v>
      </c>
      <c r="J5611" s="561">
        <v>0</v>
      </c>
      <c r="K5611" s="561">
        <v>0</v>
      </c>
      <c r="L5611" s="561">
        <v>0</v>
      </c>
      <c r="M5611" s="561">
        <v>0</v>
      </c>
      <c r="N5611" s="561">
        <v>0</v>
      </c>
      <c r="O5611" s="561">
        <v>0</v>
      </c>
      <c r="P5611" s="561">
        <v>0</v>
      </c>
    </row>
    <row r="5612" spans="1:16">
      <c r="C5612" s="561" t="s">
        <v>1199</v>
      </c>
      <c r="D5612" s="561">
        <v>234867</v>
      </c>
      <c r="E5612" s="561">
        <v>70460.099999999991</v>
      </c>
      <c r="F5612" s="561">
        <v>164406.90000000002</v>
      </c>
      <c r="G5612" s="561">
        <v>965</v>
      </c>
      <c r="H5612" s="561">
        <v>241155.96523999999</v>
      </c>
      <c r="I5612" s="561">
        <v>0</v>
      </c>
      <c r="J5612" s="561">
        <v>126.03603999999905</v>
      </c>
      <c r="K5612" s="561">
        <v>965</v>
      </c>
      <c r="L5612" s="561">
        <v>241029.92920000001</v>
      </c>
      <c r="M5612" s="561">
        <v>234867</v>
      </c>
      <c r="N5612" s="561">
        <v>70460.099999999991</v>
      </c>
      <c r="O5612" s="561">
        <v>0</v>
      </c>
      <c r="P5612" s="561">
        <v>164406.90000000002</v>
      </c>
    </row>
    <row r="5613" spans="1:16">
      <c r="A5613" s="561">
        <v>26</v>
      </c>
      <c r="B5613" s="561" t="s">
        <v>1720</v>
      </c>
      <c r="C5613" s="561" t="s">
        <v>1267</v>
      </c>
      <c r="D5613" s="561">
        <v>4589</v>
      </c>
      <c r="E5613" s="561">
        <v>1260</v>
      </c>
      <c r="F5613" s="561">
        <v>3329</v>
      </c>
      <c r="G5613" s="561">
        <v>254</v>
      </c>
      <c r="H5613" s="561">
        <v>4681.2649499999998</v>
      </c>
      <c r="I5613" s="561">
        <v>0</v>
      </c>
      <c r="J5613" s="561">
        <v>93.240779999999177</v>
      </c>
      <c r="K5613" s="561">
        <v>254</v>
      </c>
      <c r="L5613" s="561">
        <v>4588.0241700000006</v>
      </c>
      <c r="M5613" s="561">
        <v>4588.0241700000006</v>
      </c>
      <c r="N5613" s="561">
        <v>1120</v>
      </c>
      <c r="O5613" s="561">
        <v>140</v>
      </c>
      <c r="P5613" s="561">
        <v>3328.0241700000001</v>
      </c>
    </row>
    <row r="5614" spans="1:16">
      <c r="C5614" s="561" t="s">
        <v>1197</v>
      </c>
      <c r="F5614" s="561">
        <v>0</v>
      </c>
      <c r="G5614" s="561">
        <v>0</v>
      </c>
      <c r="H5614" s="561">
        <v>0</v>
      </c>
      <c r="I5614" s="561">
        <v>0</v>
      </c>
      <c r="J5614" s="561">
        <v>0</v>
      </c>
      <c r="K5614" s="561">
        <v>0</v>
      </c>
      <c r="L5614" s="561">
        <v>0</v>
      </c>
      <c r="M5614" s="561">
        <v>0</v>
      </c>
      <c r="N5614" s="561">
        <v>0</v>
      </c>
      <c r="O5614" s="561">
        <v>0</v>
      </c>
      <c r="P5614" s="561">
        <v>0</v>
      </c>
    </row>
    <row r="5615" spans="1:16">
      <c r="C5615" s="561" t="s">
        <v>1198</v>
      </c>
      <c r="F5615" s="561">
        <v>0</v>
      </c>
      <c r="G5615" s="561">
        <v>0</v>
      </c>
      <c r="H5615" s="561">
        <v>0</v>
      </c>
      <c r="I5615" s="561">
        <v>0</v>
      </c>
      <c r="J5615" s="561">
        <v>0</v>
      </c>
      <c r="K5615" s="561">
        <v>0</v>
      </c>
      <c r="L5615" s="561">
        <v>0</v>
      </c>
      <c r="M5615" s="561">
        <v>0</v>
      </c>
      <c r="N5615" s="561">
        <v>0</v>
      </c>
      <c r="O5615" s="561">
        <v>0</v>
      </c>
      <c r="P5615" s="561">
        <v>0</v>
      </c>
    </row>
    <row r="5616" spans="1:16">
      <c r="C5616" s="561" t="s">
        <v>1199</v>
      </c>
      <c r="D5616" s="561">
        <v>4589</v>
      </c>
      <c r="E5616" s="561">
        <v>1260</v>
      </c>
      <c r="F5616" s="561">
        <v>3329</v>
      </c>
      <c r="G5616" s="561">
        <v>254</v>
      </c>
      <c r="H5616" s="561">
        <v>4681.2649499999998</v>
      </c>
      <c r="I5616" s="561">
        <v>0</v>
      </c>
      <c r="J5616" s="561">
        <v>93.240779999999177</v>
      </c>
      <c r="K5616" s="561">
        <v>254</v>
      </c>
      <c r="L5616" s="561">
        <v>4588.0241700000006</v>
      </c>
      <c r="M5616" s="561">
        <v>4588.0241700000006</v>
      </c>
      <c r="N5616" s="561">
        <v>1120</v>
      </c>
      <c r="O5616" s="561">
        <v>140</v>
      </c>
      <c r="P5616" s="561">
        <v>3328.0241700000001</v>
      </c>
    </row>
    <row r="5617" spans="1:16">
      <c r="A5617" s="561">
        <v>27</v>
      </c>
      <c r="B5617" s="561" t="s">
        <v>1721</v>
      </c>
      <c r="C5617" s="561" t="s">
        <v>1267</v>
      </c>
      <c r="D5617" s="561">
        <v>68600</v>
      </c>
      <c r="E5617" s="561">
        <v>20580</v>
      </c>
      <c r="F5617" s="561">
        <v>48020</v>
      </c>
      <c r="G5617" s="561">
        <v>4427</v>
      </c>
      <c r="H5617" s="561">
        <v>70961.668999999994</v>
      </c>
      <c r="I5617" s="561">
        <v>31</v>
      </c>
      <c r="J5617" s="561">
        <v>2374.8511499999977</v>
      </c>
      <c r="K5617" s="561">
        <v>4396</v>
      </c>
      <c r="L5617" s="561">
        <v>68586.817850000007</v>
      </c>
      <c r="M5617" s="561">
        <v>68586.817850000007</v>
      </c>
      <c r="N5617" s="561">
        <v>20580</v>
      </c>
      <c r="O5617" s="561">
        <v>0</v>
      </c>
      <c r="P5617" s="561">
        <v>48006.817849999999</v>
      </c>
    </row>
    <row r="5618" spans="1:16">
      <c r="C5618" s="561" t="s">
        <v>1197</v>
      </c>
      <c r="F5618" s="561">
        <v>0</v>
      </c>
      <c r="G5618" s="561">
        <v>0</v>
      </c>
      <c r="H5618" s="561">
        <v>0</v>
      </c>
      <c r="I5618" s="561">
        <v>0</v>
      </c>
      <c r="J5618" s="561">
        <v>0</v>
      </c>
      <c r="K5618" s="561">
        <v>0</v>
      </c>
      <c r="L5618" s="561">
        <v>0</v>
      </c>
      <c r="M5618" s="561">
        <v>0</v>
      </c>
      <c r="N5618" s="561">
        <v>0</v>
      </c>
      <c r="O5618" s="561">
        <v>0</v>
      </c>
      <c r="P5618" s="561">
        <v>0</v>
      </c>
    </row>
    <row r="5619" spans="1:16">
      <c r="C5619" s="561" t="s">
        <v>1198</v>
      </c>
      <c r="F5619" s="561">
        <v>0</v>
      </c>
      <c r="G5619" s="561">
        <v>0</v>
      </c>
      <c r="H5619" s="561">
        <v>0</v>
      </c>
      <c r="I5619" s="561">
        <v>0</v>
      </c>
      <c r="J5619" s="561">
        <v>0</v>
      </c>
      <c r="K5619" s="561">
        <v>0</v>
      </c>
      <c r="L5619" s="561">
        <v>0</v>
      </c>
      <c r="M5619" s="561">
        <v>0</v>
      </c>
      <c r="N5619" s="561">
        <v>0</v>
      </c>
      <c r="O5619" s="561">
        <v>0</v>
      </c>
      <c r="P5619" s="561">
        <v>0</v>
      </c>
    </row>
    <row r="5620" spans="1:16">
      <c r="C5620" s="561" t="s">
        <v>1199</v>
      </c>
      <c r="D5620" s="561">
        <v>68600</v>
      </c>
      <c r="E5620" s="561">
        <v>20580</v>
      </c>
      <c r="F5620" s="561">
        <v>48020</v>
      </c>
      <c r="G5620" s="561">
        <v>4427</v>
      </c>
      <c r="H5620" s="561">
        <v>70961.668999999994</v>
      </c>
      <c r="I5620" s="561">
        <v>31</v>
      </c>
      <c r="J5620" s="561">
        <v>2374.8511499999977</v>
      </c>
      <c r="K5620" s="561">
        <v>4396</v>
      </c>
      <c r="L5620" s="561">
        <v>68586.817850000007</v>
      </c>
      <c r="M5620" s="561">
        <v>68586.817850000007</v>
      </c>
      <c r="N5620" s="561">
        <v>20580</v>
      </c>
      <c r="O5620" s="561">
        <v>0</v>
      </c>
      <c r="P5620" s="561">
        <v>48006.817849999999</v>
      </c>
    </row>
    <row r="5621" spans="1:16">
      <c r="A5621" s="561">
        <v>28</v>
      </c>
      <c r="B5621" s="561" t="s">
        <v>1722</v>
      </c>
      <c r="C5621" s="561" t="s">
        <v>1267</v>
      </c>
      <c r="D5621" s="561">
        <v>1750</v>
      </c>
      <c r="E5621" s="561">
        <v>525</v>
      </c>
      <c r="F5621" s="561">
        <v>1225</v>
      </c>
      <c r="G5621" s="561">
        <v>108</v>
      </c>
      <c r="H5621" s="561">
        <v>1794.84601</v>
      </c>
      <c r="I5621" s="561">
        <v>1</v>
      </c>
      <c r="J5621" s="561">
        <v>45.080569999999852</v>
      </c>
      <c r="K5621" s="561">
        <v>107</v>
      </c>
      <c r="L5621" s="561">
        <v>1749.7654400000001</v>
      </c>
      <c r="M5621" s="561">
        <v>1749.7654400000001</v>
      </c>
      <c r="N5621" s="561">
        <v>525</v>
      </c>
      <c r="O5621" s="561">
        <v>0</v>
      </c>
      <c r="P5621" s="561">
        <v>1224.7654400000001</v>
      </c>
    </row>
    <row r="5622" spans="1:16">
      <c r="C5622" s="561" t="s">
        <v>1197</v>
      </c>
      <c r="F5622" s="561">
        <v>0</v>
      </c>
      <c r="G5622" s="561">
        <v>0</v>
      </c>
      <c r="H5622" s="561">
        <v>0</v>
      </c>
      <c r="I5622" s="561">
        <v>0</v>
      </c>
      <c r="J5622" s="561">
        <v>0</v>
      </c>
      <c r="K5622" s="561">
        <v>0</v>
      </c>
      <c r="L5622" s="561">
        <v>0</v>
      </c>
      <c r="M5622" s="561">
        <v>0</v>
      </c>
      <c r="N5622" s="561">
        <v>0</v>
      </c>
      <c r="O5622" s="561">
        <v>0</v>
      </c>
      <c r="P5622" s="561">
        <v>0</v>
      </c>
    </row>
    <row r="5623" spans="1:16">
      <c r="C5623" s="561" t="s">
        <v>1198</v>
      </c>
      <c r="F5623" s="561">
        <v>0</v>
      </c>
      <c r="G5623" s="561">
        <v>0</v>
      </c>
      <c r="H5623" s="561">
        <v>0</v>
      </c>
      <c r="I5623" s="561">
        <v>0</v>
      </c>
      <c r="J5623" s="561">
        <v>0</v>
      </c>
      <c r="K5623" s="561">
        <v>0</v>
      </c>
      <c r="L5623" s="561">
        <v>0</v>
      </c>
      <c r="M5623" s="561">
        <v>0</v>
      </c>
      <c r="N5623" s="561">
        <v>0</v>
      </c>
      <c r="O5623" s="561">
        <v>0</v>
      </c>
      <c r="P5623" s="561">
        <v>0</v>
      </c>
    </row>
    <row r="5624" spans="1:16">
      <c r="C5624" s="561" t="s">
        <v>1199</v>
      </c>
      <c r="D5624" s="561">
        <v>1750</v>
      </c>
      <c r="E5624" s="561">
        <v>525</v>
      </c>
      <c r="F5624" s="561">
        <v>1225</v>
      </c>
      <c r="G5624" s="561">
        <v>108</v>
      </c>
      <c r="H5624" s="561">
        <v>1794.84601</v>
      </c>
      <c r="I5624" s="561">
        <v>1</v>
      </c>
      <c r="J5624" s="561">
        <v>45.080569999999852</v>
      </c>
      <c r="K5624" s="561">
        <v>107</v>
      </c>
      <c r="L5624" s="561">
        <v>1749.7654400000001</v>
      </c>
      <c r="M5624" s="561">
        <v>1749.7654400000001</v>
      </c>
      <c r="N5624" s="561">
        <v>525</v>
      </c>
      <c r="O5624" s="561">
        <v>0</v>
      </c>
      <c r="P5624" s="561">
        <v>1224.7654400000001</v>
      </c>
    </row>
    <row r="5625" spans="1:16">
      <c r="A5625" s="561">
        <v>29</v>
      </c>
      <c r="B5625" s="561" t="s">
        <v>1723</v>
      </c>
      <c r="C5625" s="561" t="s">
        <v>1267</v>
      </c>
      <c r="D5625" s="561">
        <v>76300</v>
      </c>
      <c r="E5625" s="561">
        <v>22890</v>
      </c>
      <c r="F5625" s="561">
        <v>53410</v>
      </c>
      <c r="G5625" s="561">
        <v>4153</v>
      </c>
      <c r="H5625" s="561">
        <v>77963.758959999992</v>
      </c>
      <c r="I5625" s="561">
        <v>4</v>
      </c>
      <c r="J5625" s="561">
        <v>1663.2727100000047</v>
      </c>
      <c r="K5625" s="561">
        <v>4149</v>
      </c>
      <c r="L5625" s="561">
        <v>76300.486250000002</v>
      </c>
      <c r="M5625" s="561">
        <v>76300</v>
      </c>
      <c r="N5625" s="561">
        <v>20346.666000000001</v>
      </c>
      <c r="O5625" s="561">
        <v>2543.3339999999998</v>
      </c>
      <c r="P5625" s="561">
        <v>53410.000000000007</v>
      </c>
    </row>
    <row r="5626" spans="1:16">
      <c r="C5626" s="561" t="s">
        <v>1197</v>
      </c>
      <c r="F5626" s="561">
        <v>0</v>
      </c>
      <c r="G5626" s="561">
        <v>0</v>
      </c>
      <c r="H5626" s="561">
        <v>0</v>
      </c>
      <c r="I5626" s="561">
        <v>0</v>
      </c>
      <c r="J5626" s="561">
        <v>0</v>
      </c>
      <c r="K5626" s="561">
        <v>0</v>
      </c>
      <c r="L5626" s="561">
        <v>0</v>
      </c>
      <c r="M5626" s="561">
        <v>0</v>
      </c>
      <c r="N5626" s="561">
        <v>0</v>
      </c>
      <c r="O5626" s="561">
        <v>0</v>
      </c>
      <c r="P5626" s="561">
        <v>0</v>
      </c>
    </row>
    <row r="5627" spans="1:16">
      <c r="C5627" s="561" t="s">
        <v>1198</v>
      </c>
      <c r="F5627" s="561">
        <v>0</v>
      </c>
      <c r="G5627" s="561">
        <v>0</v>
      </c>
      <c r="H5627" s="561">
        <v>0</v>
      </c>
      <c r="I5627" s="561">
        <v>0</v>
      </c>
      <c r="J5627" s="561">
        <v>0</v>
      </c>
      <c r="K5627" s="561">
        <v>0</v>
      </c>
      <c r="L5627" s="561">
        <v>0</v>
      </c>
      <c r="M5627" s="561">
        <v>0</v>
      </c>
      <c r="N5627" s="561">
        <v>0</v>
      </c>
      <c r="O5627" s="561">
        <v>0</v>
      </c>
      <c r="P5627" s="561">
        <v>0</v>
      </c>
    </row>
    <row r="5628" spans="1:16">
      <c r="C5628" s="561" t="s">
        <v>1199</v>
      </c>
      <c r="D5628" s="561">
        <v>76300</v>
      </c>
      <c r="E5628" s="561">
        <v>22890</v>
      </c>
      <c r="F5628" s="561">
        <v>53410</v>
      </c>
      <c r="G5628" s="561">
        <v>4153</v>
      </c>
      <c r="H5628" s="561">
        <v>77963.758959999992</v>
      </c>
      <c r="I5628" s="561">
        <v>4</v>
      </c>
      <c r="J5628" s="561">
        <v>1663.2727100000047</v>
      </c>
      <c r="K5628" s="561">
        <v>4149</v>
      </c>
      <c r="L5628" s="561">
        <v>76300.486250000002</v>
      </c>
      <c r="M5628" s="561">
        <v>76300</v>
      </c>
      <c r="N5628" s="561">
        <v>20346.666000000001</v>
      </c>
      <c r="O5628" s="561">
        <v>2543.3339999999998</v>
      </c>
      <c r="P5628" s="561">
        <v>53410.000000000007</v>
      </c>
    </row>
    <row r="5629" spans="1:16">
      <c r="A5629" s="561">
        <v>30</v>
      </c>
      <c r="B5629" s="561" t="s">
        <v>1724</v>
      </c>
      <c r="C5629" s="561" t="s">
        <v>1267</v>
      </c>
      <c r="D5629" s="561">
        <v>39987</v>
      </c>
      <c r="E5629" s="561">
        <v>9436.1999999999989</v>
      </c>
      <c r="F5629" s="561">
        <v>30550.800000000003</v>
      </c>
      <c r="G5629" s="561">
        <v>2266</v>
      </c>
      <c r="H5629" s="561">
        <v>41583.178019999999</v>
      </c>
      <c r="I5629" s="561">
        <v>29</v>
      </c>
      <c r="J5629" s="561">
        <v>1596.1285600000012</v>
      </c>
      <c r="K5629" s="561">
        <v>2237</v>
      </c>
      <c r="L5629" s="561">
        <v>39987.049459999995</v>
      </c>
      <c r="M5629" s="561">
        <v>39986.999999999993</v>
      </c>
      <c r="N5629" s="561">
        <v>7339.268</v>
      </c>
      <c r="O5629" s="561">
        <v>2096.9319999999998</v>
      </c>
      <c r="P5629" s="561">
        <v>30550.799999999996</v>
      </c>
    </row>
    <row r="5630" spans="1:16">
      <c r="C5630" s="561" t="s">
        <v>1197</v>
      </c>
      <c r="F5630" s="561">
        <v>0</v>
      </c>
      <c r="G5630" s="561">
        <v>0</v>
      </c>
      <c r="H5630" s="561">
        <v>0</v>
      </c>
      <c r="I5630" s="561">
        <v>0</v>
      </c>
      <c r="J5630" s="561">
        <v>0</v>
      </c>
      <c r="K5630" s="561">
        <v>0</v>
      </c>
      <c r="L5630" s="561">
        <v>0</v>
      </c>
      <c r="M5630" s="561">
        <v>0</v>
      </c>
      <c r="N5630" s="561">
        <v>0</v>
      </c>
      <c r="O5630" s="561">
        <v>0</v>
      </c>
      <c r="P5630" s="561">
        <v>0</v>
      </c>
    </row>
    <row r="5631" spans="1:16">
      <c r="C5631" s="561" t="s">
        <v>1198</v>
      </c>
      <c r="F5631" s="561">
        <v>0</v>
      </c>
      <c r="G5631" s="561">
        <v>0</v>
      </c>
      <c r="H5631" s="561">
        <v>0</v>
      </c>
      <c r="I5631" s="561">
        <v>0</v>
      </c>
      <c r="J5631" s="561">
        <v>0</v>
      </c>
      <c r="K5631" s="561">
        <v>0</v>
      </c>
      <c r="L5631" s="561">
        <v>0</v>
      </c>
      <c r="M5631" s="561">
        <v>0</v>
      </c>
      <c r="N5631" s="561">
        <v>0</v>
      </c>
      <c r="O5631" s="561">
        <v>0</v>
      </c>
      <c r="P5631" s="561">
        <v>0</v>
      </c>
    </row>
    <row r="5632" spans="1:16">
      <c r="C5632" s="561" t="s">
        <v>1199</v>
      </c>
      <c r="D5632" s="561">
        <v>39987</v>
      </c>
      <c r="E5632" s="561">
        <v>9436.1999999999989</v>
      </c>
      <c r="F5632" s="561">
        <v>30550.800000000003</v>
      </c>
      <c r="G5632" s="561">
        <v>2266</v>
      </c>
      <c r="H5632" s="561">
        <v>41583.178019999999</v>
      </c>
      <c r="I5632" s="561">
        <v>29</v>
      </c>
      <c r="J5632" s="561">
        <v>1596.1285600000012</v>
      </c>
      <c r="K5632" s="561">
        <v>2237</v>
      </c>
      <c r="L5632" s="561">
        <v>39987.049459999995</v>
      </c>
      <c r="M5632" s="561">
        <v>39986.999999999993</v>
      </c>
      <c r="N5632" s="561">
        <v>7339.268</v>
      </c>
      <c r="O5632" s="561">
        <v>2096.9319999999998</v>
      </c>
      <c r="P5632" s="561">
        <v>30550.799999999996</v>
      </c>
    </row>
    <row r="5633" spans="1:16">
      <c r="A5633" s="561">
        <v>31</v>
      </c>
      <c r="B5633" s="561" t="s">
        <v>1725</v>
      </c>
      <c r="C5633" s="561" t="s">
        <v>1267</v>
      </c>
      <c r="D5633" s="561">
        <v>35200</v>
      </c>
      <c r="E5633" s="561">
        <v>9660</v>
      </c>
      <c r="F5633" s="561">
        <v>25540</v>
      </c>
      <c r="G5633" s="561">
        <v>2098</v>
      </c>
      <c r="H5633" s="561">
        <v>35747.157709999999</v>
      </c>
      <c r="I5633" s="561">
        <v>6</v>
      </c>
      <c r="J5633" s="561">
        <v>547.38627999999153</v>
      </c>
      <c r="K5633" s="561">
        <v>2092</v>
      </c>
      <c r="L5633" s="561">
        <v>35199.771430000008</v>
      </c>
      <c r="M5633" s="561">
        <v>35199.771430000008</v>
      </c>
      <c r="N5633" s="561">
        <v>8586.6670000000013</v>
      </c>
      <c r="O5633" s="561">
        <v>1073.3330000000001</v>
      </c>
      <c r="P5633" s="561">
        <v>25539.771429999997</v>
      </c>
    </row>
    <row r="5634" spans="1:16">
      <c r="C5634" s="561" t="s">
        <v>1197</v>
      </c>
      <c r="F5634" s="561">
        <v>0</v>
      </c>
      <c r="G5634" s="561">
        <v>0</v>
      </c>
      <c r="H5634" s="561">
        <v>0</v>
      </c>
      <c r="I5634" s="561">
        <v>0</v>
      </c>
      <c r="J5634" s="561">
        <v>0</v>
      </c>
      <c r="K5634" s="561">
        <v>0</v>
      </c>
      <c r="L5634" s="561">
        <v>0</v>
      </c>
      <c r="M5634" s="561">
        <v>0</v>
      </c>
      <c r="N5634" s="561">
        <v>0</v>
      </c>
      <c r="O5634" s="561">
        <v>0</v>
      </c>
      <c r="P5634" s="561">
        <v>0</v>
      </c>
    </row>
    <row r="5635" spans="1:16">
      <c r="C5635" s="561" t="s">
        <v>1198</v>
      </c>
      <c r="F5635" s="561">
        <v>0</v>
      </c>
      <c r="G5635" s="561">
        <v>0</v>
      </c>
      <c r="H5635" s="561">
        <v>0</v>
      </c>
      <c r="I5635" s="561">
        <v>0</v>
      </c>
      <c r="J5635" s="561">
        <v>0</v>
      </c>
      <c r="K5635" s="561">
        <v>0</v>
      </c>
      <c r="L5635" s="561">
        <v>0</v>
      </c>
      <c r="M5635" s="561">
        <v>0</v>
      </c>
      <c r="N5635" s="561">
        <v>0</v>
      </c>
      <c r="O5635" s="561">
        <v>0</v>
      </c>
      <c r="P5635" s="561">
        <v>0</v>
      </c>
    </row>
    <row r="5636" spans="1:16">
      <c r="C5636" s="561" t="s">
        <v>1199</v>
      </c>
      <c r="D5636" s="561">
        <v>35200</v>
      </c>
      <c r="E5636" s="561">
        <v>9660</v>
      </c>
      <c r="F5636" s="561">
        <v>25540</v>
      </c>
      <c r="G5636" s="561">
        <v>2098</v>
      </c>
      <c r="H5636" s="561">
        <v>35747.157709999999</v>
      </c>
      <c r="I5636" s="561">
        <v>6</v>
      </c>
      <c r="J5636" s="561">
        <v>547.38627999999153</v>
      </c>
      <c r="K5636" s="561">
        <v>2092</v>
      </c>
      <c r="L5636" s="561">
        <v>35199.771430000008</v>
      </c>
      <c r="M5636" s="561">
        <v>35199.771430000008</v>
      </c>
      <c r="N5636" s="561">
        <v>8586.6670000000013</v>
      </c>
      <c r="O5636" s="561">
        <v>1073.3330000000001</v>
      </c>
      <c r="P5636" s="561">
        <v>25539.771429999997</v>
      </c>
    </row>
    <row r="5637" spans="1:16">
      <c r="A5637" s="561">
        <v>32</v>
      </c>
      <c r="B5637" s="561" t="s">
        <v>1726</v>
      </c>
      <c r="C5637" s="561" t="s">
        <v>1267</v>
      </c>
      <c r="D5637" s="561">
        <v>12000</v>
      </c>
      <c r="E5637" s="561">
        <v>3510</v>
      </c>
      <c r="F5637" s="561">
        <v>8490</v>
      </c>
      <c r="G5637" s="561">
        <v>675</v>
      </c>
      <c r="H5637" s="561">
        <v>12345.363700000002</v>
      </c>
      <c r="I5637" s="561">
        <v>2</v>
      </c>
      <c r="J5637" s="561">
        <v>344.78292999999996</v>
      </c>
      <c r="K5637" s="561">
        <v>673</v>
      </c>
      <c r="L5637" s="561">
        <v>12000.58077</v>
      </c>
      <c r="M5637" s="561">
        <v>12000</v>
      </c>
      <c r="N5637" s="561">
        <v>3510</v>
      </c>
      <c r="O5637" s="561">
        <v>0</v>
      </c>
      <c r="P5637" s="561">
        <v>8490</v>
      </c>
    </row>
    <row r="5638" spans="1:16">
      <c r="C5638" s="561" t="s">
        <v>1197</v>
      </c>
      <c r="F5638" s="561">
        <v>0</v>
      </c>
      <c r="G5638" s="561">
        <v>0</v>
      </c>
      <c r="H5638" s="561">
        <v>0</v>
      </c>
      <c r="I5638" s="561">
        <v>0</v>
      </c>
      <c r="J5638" s="561">
        <v>0</v>
      </c>
      <c r="K5638" s="561">
        <v>0</v>
      </c>
      <c r="L5638" s="561">
        <v>0</v>
      </c>
      <c r="M5638" s="561">
        <v>0</v>
      </c>
      <c r="N5638" s="561">
        <v>0</v>
      </c>
      <c r="O5638" s="561">
        <v>0</v>
      </c>
      <c r="P5638" s="561">
        <v>0</v>
      </c>
    </row>
    <row r="5639" spans="1:16">
      <c r="C5639" s="561" t="s">
        <v>1198</v>
      </c>
      <c r="F5639" s="561">
        <v>0</v>
      </c>
      <c r="G5639" s="561">
        <v>0</v>
      </c>
      <c r="H5639" s="561">
        <v>0</v>
      </c>
      <c r="I5639" s="561">
        <v>0</v>
      </c>
      <c r="J5639" s="561">
        <v>0</v>
      </c>
      <c r="K5639" s="561">
        <v>0</v>
      </c>
      <c r="L5639" s="561">
        <v>0</v>
      </c>
      <c r="M5639" s="561">
        <v>0</v>
      </c>
      <c r="N5639" s="561">
        <v>0</v>
      </c>
      <c r="O5639" s="561">
        <v>0</v>
      </c>
      <c r="P5639" s="561">
        <v>0</v>
      </c>
    </row>
    <row r="5640" spans="1:16">
      <c r="C5640" s="561" t="s">
        <v>1199</v>
      </c>
      <c r="D5640" s="561">
        <v>12000</v>
      </c>
      <c r="E5640" s="561">
        <v>3510</v>
      </c>
      <c r="F5640" s="561">
        <v>8490</v>
      </c>
      <c r="G5640" s="561">
        <v>675</v>
      </c>
      <c r="H5640" s="561">
        <v>12345.363700000002</v>
      </c>
      <c r="I5640" s="561">
        <v>2</v>
      </c>
      <c r="J5640" s="561">
        <v>344.78292999999996</v>
      </c>
      <c r="K5640" s="561">
        <v>673</v>
      </c>
      <c r="L5640" s="561">
        <v>12000.58077</v>
      </c>
      <c r="M5640" s="561">
        <v>12000</v>
      </c>
      <c r="N5640" s="561">
        <v>3510</v>
      </c>
      <c r="O5640" s="561">
        <v>0</v>
      </c>
      <c r="P5640" s="561">
        <v>8490</v>
      </c>
    </row>
    <row r="5641" spans="1:16">
      <c r="A5641" s="561">
        <v>33</v>
      </c>
      <c r="B5641" s="561" t="s">
        <v>1727</v>
      </c>
      <c r="C5641" s="561" t="s">
        <v>1267</v>
      </c>
      <c r="D5641" s="561">
        <v>51800</v>
      </c>
      <c r="E5641" s="561">
        <v>13440</v>
      </c>
      <c r="F5641" s="561">
        <v>38360</v>
      </c>
      <c r="G5641" s="561">
        <v>3135</v>
      </c>
      <c r="H5641" s="561">
        <v>52463.420339999997</v>
      </c>
      <c r="I5641" s="561">
        <v>15</v>
      </c>
      <c r="J5641" s="561">
        <v>673.6997999999985</v>
      </c>
      <c r="K5641" s="561">
        <v>3120</v>
      </c>
      <c r="L5641" s="561">
        <v>51789.720540000002</v>
      </c>
      <c r="M5641" s="561">
        <v>51789.720540000002</v>
      </c>
      <c r="N5641" s="561">
        <v>11946.666999990002</v>
      </c>
      <c r="O5641" s="561">
        <v>1493.3340000000001</v>
      </c>
      <c r="P5641" s="561">
        <v>38349.720540000002</v>
      </c>
    </row>
    <row r="5642" spans="1:16">
      <c r="C5642" s="561" t="s">
        <v>1197</v>
      </c>
      <c r="F5642" s="561">
        <v>0</v>
      </c>
      <c r="G5642" s="561">
        <v>0</v>
      </c>
      <c r="H5642" s="561">
        <v>0</v>
      </c>
      <c r="I5642" s="561">
        <v>0</v>
      </c>
      <c r="J5642" s="561">
        <v>0</v>
      </c>
      <c r="K5642" s="561">
        <v>0</v>
      </c>
      <c r="L5642" s="561">
        <v>0</v>
      </c>
      <c r="M5642" s="561">
        <v>0</v>
      </c>
      <c r="N5642" s="561">
        <v>0</v>
      </c>
      <c r="O5642" s="561">
        <v>0</v>
      </c>
      <c r="P5642" s="561">
        <v>0</v>
      </c>
    </row>
    <row r="5643" spans="1:16">
      <c r="C5643" s="561" t="s">
        <v>1198</v>
      </c>
      <c r="F5643" s="561">
        <v>0</v>
      </c>
      <c r="G5643" s="561">
        <v>0</v>
      </c>
      <c r="H5643" s="561">
        <v>0</v>
      </c>
      <c r="I5643" s="561">
        <v>0</v>
      </c>
      <c r="J5643" s="561">
        <v>0</v>
      </c>
      <c r="K5643" s="561">
        <v>0</v>
      </c>
      <c r="L5643" s="561">
        <v>0</v>
      </c>
      <c r="M5643" s="561">
        <v>0</v>
      </c>
      <c r="N5643" s="561">
        <v>0</v>
      </c>
      <c r="O5643" s="561">
        <v>0</v>
      </c>
      <c r="P5643" s="561">
        <v>0</v>
      </c>
    </row>
    <row r="5644" spans="1:16">
      <c r="C5644" s="561" t="s">
        <v>1199</v>
      </c>
      <c r="D5644" s="561">
        <v>51800</v>
      </c>
      <c r="E5644" s="561">
        <v>13440</v>
      </c>
      <c r="F5644" s="561">
        <v>38360</v>
      </c>
      <c r="G5644" s="561">
        <v>3135</v>
      </c>
      <c r="H5644" s="561">
        <v>52463.420339999997</v>
      </c>
      <c r="I5644" s="561">
        <v>15</v>
      </c>
      <c r="J5644" s="561">
        <v>673.6997999999985</v>
      </c>
      <c r="K5644" s="561">
        <v>3120</v>
      </c>
      <c r="L5644" s="561">
        <v>51789.720540000002</v>
      </c>
      <c r="M5644" s="561">
        <v>51789.720540000002</v>
      </c>
      <c r="N5644" s="561">
        <v>11946.666999990002</v>
      </c>
      <c r="O5644" s="561">
        <v>1493.3340000000001</v>
      </c>
      <c r="P5644" s="561">
        <v>38349.720540000002</v>
      </c>
    </row>
    <row r="5645" spans="1:16">
      <c r="A5645" s="561">
        <v>34</v>
      </c>
      <c r="B5645" s="561" t="s">
        <v>1728</v>
      </c>
      <c r="C5645" s="561" t="s">
        <v>1267</v>
      </c>
      <c r="D5645" s="561">
        <v>44000</v>
      </c>
      <c r="E5645" s="561">
        <v>12600</v>
      </c>
      <c r="F5645" s="561">
        <v>31400</v>
      </c>
      <c r="G5645" s="561">
        <v>2463</v>
      </c>
      <c r="H5645" s="561">
        <v>44397.18806</v>
      </c>
      <c r="I5645" s="561">
        <v>14</v>
      </c>
      <c r="J5645" s="561">
        <v>397.41686999999456</v>
      </c>
      <c r="K5645" s="561">
        <v>2449</v>
      </c>
      <c r="L5645" s="561">
        <v>43999.771189999999</v>
      </c>
      <c r="M5645" s="561">
        <v>43999.771189999999</v>
      </c>
      <c r="N5645" s="561">
        <v>12600</v>
      </c>
      <c r="O5645" s="561">
        <v>0</v>
      </c>
      <c r="P5645" s="561">
        <v>31399.771190000003</v>
      </c>
    </row>
    <row r="5646" spans="1:16">
      <c r="C5646" s="561" t="s">
        <v>1197</v>
      </c>
      <c r="F5646" s="561">
        <v>0</v>
      </c>
      <c r="G5646" s="561">
        <v>0</v>
      </c>
      <c r="H5646" s="561">
        <v>0</v>
      </c>
      <c r="I5646" s="561">
        <v>0</v>
      </c>
      <c r="J5646" s="561">
        <v>0</v>
      </c>
      <c r="K5646" s="561">
        <v>0</v>
      </c>
      <c r="L5646" s="561">
        <v>0</v>
      </c>
      <c r="M5646" s="561">
        <v>0</v>
      </c>
      <c r="N5646" s="561">
        <v>0</v>
      </c>
      <c r="O5646" s="561">
        <v>0</v>
      </c>
      <c r="P5646" s="561">
        <v>0</v>
      </c>
    </row>
    <row r="5647" spans="1:16">
      <c r="C5647" s="561" t="s">
        <v>1198</v>
      </c>
      <c r="F5647" s="561">
        <v>0</v>
      </c>
      <c r="G5647" s="561">
        <v>0</v>
      </c>
      <c r="H5647" s="561">
        <v>0</v>
      </c>
      <c r="I5647" s="561">
        <v>0</v>
      </c>
      <c r="J5647" s="561">
        <v>0</v>
      </c>
      <c r="K5647" s="561">
        <v>0</v>
      </c>
      <c r="L5647" s="561">
        <v>0</v>
      </c>
      <c r="M5647" s="561">
        <v>0</v>
      </c>
      <c r="N5647" s="561">
        <v>0</v>
      </c>
      <c r="O5647" s="561">
        <v>0</v>
      </c>
      <c r="P5647" s="561">
        <v>0</v>
      </c>
    </row>
    <row r="5648" spans="1:16">
      <c r="C5648" s="561" t="s">
        <v>1199</v>
      </c>
      <c r="D5648" s="561">
        <v>44000</v>
      </c>
      <c r="E5648" s="561">
        <v>12600</v>
      </c>
      <c r="F5648" s="561">
        <v>31400</v>
      </c>
      <c r="G5648" s="561">
        <v>2463</v>
      </c>
      <c r="H5648" s="561">
        <v>44397.18806</v>
      </c>
      <c r="I5648" s="561">
        <v>14</v>
      </c>
      <c r="J5648" s="561">
        <v>397.41686999999456</v>
      </c>
      <c r="K5648" s="561">
        <v>2449</v>
      </c>
      <c r="L5648" s="561">
        <v>43999.771189999999</v>
      </c>
      <c r="M5648" s="561">
        <v>43999.771189999999</v>
      </c>
      <c r="N5648" s="561">
        <v>12600</v>
      </c>
      <c r="O5648" s="561">
        <v>0</v>
      </c>
      <c r="P5648" s="561">
        <v>31399.771190000003</v>
      </c>
    </row>
    <row r="5649" spans="1:111">
      <c r="A5649" s="1735" t="s">
        <v>1199</v>
      </c>
      <c r="B5649" s="1735"/>
      <c r="C5649" s="1735"/>
      <c r="D5649" s="1735"/>
      <c r="E5649" s="1735"/>
      <c r="F5649" s="1735"/>
      <c r="G5649" s="1735"/>
      <c r="H5649" s="1735"/>
      <c r="I5649" s="1735"/>
      <c r="J5649" s="1735"/>
      <c r="K5649" s="1735"/>
      <c r="L5649" s="1735"/>
      <c r="M5649" s="1735"/>
      <c r="N5649" s="1735"/>
      <c r="O5649" s="1735"/>
      <c r="P5649" s="1735"/>
      <c r="AL5649" s="561">
        <f>SUM(AL5650:AL5793)</f>
        <v>316910.11415510002</v>
      </c>
      <c r="AM5649" s="561">
        <f t="shared" ref="AM5649:CX5649" si="130">SUM(AM5650:AM5793)</f>
        <v>0</v>
      </c>
      <c r="AN5649" s="561">
        <f t="shared" si="130"/>
        <v>0</v>
      </c>
      <c r="AO5649" s="561">
        <f t="shared" si="130"/>
        <v>0</v>
      </c>
      <c r="AP5649" s="561">
        <f t="shared" si="130"/>
        <v>0</v>
      </c>
      <c r="AQ5649" s="561">
        <f t="shared" si="130"/>
        <v>0</v>
      </c>
      <c r="AR5649" s="561">
        <f t="shared" si="130"/>
        <v>0</v>
      </c>
      <c r="AS5649" s="561">
        <f t="shared" si="130"/>
        <v>0</v>
      </c>
      <c r="AT5649" s="561">
        <f t="shared" si="130"/>
        <v>0</v>
      </c>
      <c r="AU5649" s="561">
        <f t="shared" si="130"/>
        <v>0</v>
      </c>
      <c r="AV5649" s="561">
        <f t="shared" si="130"/>
        <v>0</v>
      </c>
      <c r="AW5649" s="561">
        <f t="shared" si="130"/>
        <v>0</v>
      </c>
      <c r="AX5649" s="561">
        <f t="shared" si="130"/>
        <v>0</v>
      </c>
      <c r="AY5649" s="561">
        <f t="shared" si="130"/>
        <v>1878.4797815377269</v>
      </c>
      <c r="AZ5649" s="561">
        <f t="shared" si="130"/>
        <v>0</v>
      </c>
      <c r="BA5649" s="561">
        <f t="shared" si="130"/>
        <v>0</v>
      </c>
      <c r="BB5649" s="561">
        <f t="shared" si="130"/>
        <v>3412.2929300000001</v>
      </c>
      <c r="BC5649" s="561">
        <f t="shared" si="130"/>
        <v>0</v>
      </c>
      <c r="BD5649" s="561">
        <f t="shared" si="130"/>
        <v>0</v>
      </c>
      <c r="BE5649" s="561">
        <f t="shared" si="130"/>
        <v>0</v>
      </c>
      <c r="BF5649" s="561">
        <f t="shared" si="130"/>
        <v>0</v>
      </c>
      <c r="BG5649" s="561">
        <f t="shared" si="130"/>
        <v>0</v>
      </c>
      <c r="BH5649" s="561">
        <f t="shared" si="130"/>
        <v>0</v>
      </c>
      <c r="BI5649" s="561">
        <f t="shared" si="130"/>
        <v>0</v>
      </c>
      <c r="BJ5649" s="561">
        <f t="shared" si="130"/>
        <v>0</v>
      </c>
      <c r="BK5649" s="561">
        <f t="shared" si="130"/>
        <v>0</v>
      </c>
      <c r="BL5649" s="561">
        <f t="shared" si="130"/>
        <v>0</v>
      </c>
      <c r="BM5649" s="561">
        <f t="shared" si="130"/>
        <v>1224.7654400000001</v>
      </c>
      <c r="BN5649" s="561">
        <f t="shared" si="130"/>
        <v>0</v>
      </c>
      <c r="BO5649" s="561">
        <f t="shared" si="130"/>
        <v>0</v>
      </c>
      <c r="BP5649" s="561">
        <f t="shared" si="130"/>
        <v>0</v>
      </c>
      <c r="BQ5649" s="561">
        <f t="shared" si="130"/>
        <v>0</v>
      </c>
      <c r="BR5649" s="561">
        <f t="shared" si="130"/>
        <v>0</v>
      </c>
      <c r="BS5649" s="561">
        <f t="shared" si="130"/>
        <v>0</v>
      </c>
      <c r="BT5649" s="561">
        <f t="shared" si="130"/>
        <v>0</v>
      </c>
      <c r="BU5649" s="561">
        <f t="shared" si="130"/>
        <v>0</v>
      </c>
      <c r="BV5649" s="561">
        <f t="shared" si="130"/>
        <v>0</v>
      </c>
      <c r="BW5649" s="561">
        <f t="shared" si="130"/>
        <v>0</v>
      </c>
      <c r="BX5649" s="561">
        <f t="shared" si="130"/>
        <v>0</v>
      </c>
      <c r="BY5649" s="561">
        <f t="shared" si="130"/>
        <v>0</v>
      </c>
      <c r="BZ5649" s="561">
        <f t="shared" si="130"/>
        <v>310753.64999000001</v>
      </c>
      <c r="CA5649" s="561">
        <f t="shared" si="130"/>
        <v>0</v>
      </c>
      <c r="CB5649" s="561">
        <f t="shared" si="130"/>
        <v>0</v>
      </c>
      <c r="CC5649" s="561">
        <f t="shared" si="130"/>
        <v>0</v>
      </c>
      <c r="CD5649" s="561">
        <f t="shared" si="130"/>
        <v>0</v>
      </c>
      <c r="CE5649" s="561">
        <f t="shared" si="130"/>
        <v>0</v>
      </c>
      <c r="CF5649" s="561">
        <f t="shared" si="130"/>
        <v>0</v>
      </c>
      <c r="CG5649" s="561">
        <f t="shared" si="130"/>
        <v>0</v>
      </c>
      <c r="CH5649" s="561">
        <f t="shared" si="130"/>
        <v>0</v>
      </c>
      <c r="CI5649" s="561">
        <f t="shared" si="130"/>
        <v>0</v>
      </c>
      <c r="CJ5649" s="561">
        <f t="shared" si="130"/>
        <v>0</v>
      </c>
      <c r="CK5649" s="561">
        <f t="shared" si="130"/>
        <v>0</v>
      </c>
      <c r="CL5649" s="561">
        <f t="shared" si="130"/>
        <v>0</v>
      </c>
      <c r="CM5649" s="561">
        <f t="shared" si="130"/>
        <v>0</v>
      </c>
      <c r="CN5649" s="561">
        <f t="shared" si="130"/>
        <v>0</v>
      </c>
      <c r="CO5649" s="561">
        <f t="shared" si="130"/>
        <v>0</v>
      </c>
      <c r="CP5649" s="561">
        <f t="shared" si="130"/>
        <v>0</v>
      </c>
      <c r="CQ5649" s="561">
        <f t="shared" si="130"/>
        <v>0</v>
      </c>
      <c r="CR5649" s="561">
        <f t="shared" si="130"/>
        <v>0</v>
      </c>
      <c r="CS5649" s="561">
        <f t="shared" si="130"/>
        <v>0</v>
      </c>
      <c r="CT5649" s="561">
        <f t="shared" si="130"/>
        <v>0</v>
      </c>
      <c r="CU5649" s="561">
        <f t="shared" si="130"/>
        <v>0</v>
      </c>
      <c r="CV5649" s="561">
        <f t="shared" si="130"/>
        <v>0</v>
      </c>
      <c r="CW5649" s="561">
        <f t="shared" si="130"/>
        <v>0</v>
      </c>
      <c r="CX5649" s="561">
        <f t="shared" si="130"/>
        <v>0</v>
      </c>
      <c r="CY5649" s="561">
        <f t="shared" ref="CY5649:DG5649" si="131">SUM(CY5650:CY5793)</f>
        <v>0</v>
      </c>
      <c r="CZ5649" s="561">
        <f t="shared" si="131"/>
        <v>0</v>
      </c>
      <c r="DA5649" s="561">
        <f t="shared" si="131"/>
        <v>0</v>
      </c>
      <c r="DB5649" s="561">
        <f t="shared" si="131"/>
        <v>0</v>
      </c>
      <c r="DC5649" s="561">
        <f t="shared" si="131"/>
        <v>0</v>
      </c>
      <c r="DD5649" s="561">
        <f t="shared" si="131"/>
        <v>0</v>
      </c>
      <c r="DE5649" s="561">
        <f t="shared" si="131"/>
        <v>0</v>
      </c>
      <c r="DF5649" s="561">
        <f t="shared" si="131"/>
        <v>0</v>
      </c>
      <c r="DG5649" s="561">
        <f t="shared" si="131"/>
        <v>0</v>
      </c>
    </row>
    <row r="5650" spans="1:111">
      <c r="A5650" s="561">
        <v>1</v>
      </c>
      <c r="B5650" s="561" t="s">
        <v>1695</v>
      </c>
      <c r="C5650" s="561" t="s">
        <v>1267</v>
      </c>
      <c r="D5650" s="561">
        <v>2993717</v>
      </c>
      <c r="E5650" s="561">
        <v>618648.6</v>
      </c>
      <c r="F5650" s="561">
        <v>2375068.4</v>
      </c>
      <c r="G5650" s="561">
        <v>26351</v>
      </c>
      <c r="H5650" s="561">
        <v>3173308.1472308771</v>
      </c>
      <c r="I5650" s="561">
        <v>181</v>
      </c>
      <c r="J5650" s="561">
        <v>130723.59355088009</v>
      </c>
      <c r="K5650" s="561">
        <v>26170</v>
      </c>
      <c r="L5650" s="561">
        <v>3042584.5536799999</v>
      </c>
      <c r="M5650" s="561">
        <v>2993717</v>
      </c>
      <c r="N5650" s="561">
        <v>481171.13399999996</v>
      </c>
      <c r="O5650" s="561">
        <v>137477.467</v>
      </c>
      <c r="P5650" s="561">
        <v>2375068.3999999994</v>
      </c>
    </row>
    <row r="5651" spans="1:111">
      <c r="C5651" s="561" t="s">
        <v>1197</v>
      </c>
      <c r="D5651" s="561">
        <v>2375625</v>
      </c>
      <c r="E5651" s="561">
        <v>522720</v>
      </c>
      <c r="F5651" s="561">
        <v>1852905</v>
      </c>
      <c r="G5651" s="561">
        <v>25741</v>
      </c>
      <c r="H5651" s="561">
        <v>2522354.3048824901</v>
      </c>
      <c r="I5651" s="561">
        <v>181</v>
      </c>
      <c r="J5651" s="561">
        <v>110757.822922493</v>
      </c>
      <c r="K5651" s="561">
        <v>25560</v>
      </c>
      <c r="L5651" s="561">
        <v>2411596.48196</v>
      </c>
      <c r="M5651" s="561">
        <v>2379805.6192699997</v>
      </c>
      <c r="N5651" s="561">
        <v>406560.00099999999</v>
      </c>
      <c r="O5651" s="561">
        <v>129989.83500000001</v>
      </c>
    </row>
    <row r="5652" spans="1:111">
      <c r="C5652" s="561" t="s">
        <v>1198</v>
      </c>
      <c r="D5652" s="561">
        <v>618092</v>
      </c>
      <c r="E5652" s="561">
        <v>95928.599999999991</v>
      </c>
      <c r="F5652" s="561">
        <v>522163.4</v>
      </c>
      <c r="G5652" s="561">
        <v>610</v>
      </c>
      <c r="H5652" s="561">
        <v>650953.842348387</v>
      </c>
      <c r="I5652" s="561">
        <v>0</v>
      </c>
      <c r="J5652" s="561">
        <v>19965.770628387101</v>
      </c>
      <c r="K5652" s="561">
        <v>610</v>
      </c>
      <c r="L5652" s="561">
        <v>630988.07171999989</v>
      </c>
      <c r="M5652" s="561">
        <v>613911.38073000009</v>
      </c>
      <c r="N5652" s="561">
        <v>74611.133000000002</v>
      </c>
      <c r="O5652" s="561">
        <v>7487.6319999999996</v>
      </c>
    </row>
    <row r="5653" spans="1:111">
      <c r="C5653" s="561" t="s">
        <v>1199</v>
      </c>
      <c r="F5653" s="561">
        <v>0</v>
      </c>
      <c r="G5653" s="561">
        <v>0</v>
      </c>
      <c r="H5653" s="561">
        <v>0</v>
      </c>
      <c r="I5653" s="561">
        <v>0</v>
      </c>
      <c r="J5653" s="561">
        <v>0</v>
      </c>
      <c r="K5653" s="561">
        <v>0</v>
      </c>
      <c r="L5653" s="561">
        <v>0</v>
      </c>
      <c r="M5653" s="561">
        <v>0</v>
      </c>
      <c r="N5653" s="561">
        <v>0</v>
      </c>
      <c r="O5653" s="561">
        <v>0</v>
      </c>
      <c r="P5653" s="561">
        <v>0</v>
      </c>
    </row>
    <row r="5654" spans="1:111">
      <c r="A5654" s="561">
        <v>2</v>
      </c>
      <c r="B5654" s="561" t="s">
        <v>1696</v>
      </c>
      <c r="C5654" s="561" t="s">
        <v>1267</v>
      </c>
      <c r="D5654" s="561">
        <v>91880</v>
      </c>
      <c r="E5654" s="561">
        <v>26364</v>
      </c>
      <c r="F5654" s="561">
        <v>65516</v>
      </c>
      <c r="G5654" s="561">
        <v>1462</v>
      </c>
      <c r="H5654" s="561">
        <v>95694.88607956015</v>
      </c>
      <c r="I5654" s="561">
        <v>6</v>
      </c>
      <c r="J5654" s="561">
        <v>2614.1061895601506</v>
      </c>
      <c r="K5654" s="561">
        <v>1456</v>
      </c>
      <c r="L5654" s="561">
        <v>93080.779890000005</v>
      </c>
      <c r="M5654" s="561">
        <v>91880.000999759839</v>
      </c>
      <c r="N5654" s="561">
        <v>24899.335000000003</v>
      </c>
      <c r="O5654" s="561">
        <v>1464.6660000000002</v>
      </c>
      <c r="P5654" s="561">
        <v>65516.000001537723</v>
      </c>
    </row>
    <row r="5655" spans="1:111">
      <c r="C5655" s="561" t="s">
        <v>1197</v>
      </c>
      <c r="D5655" s="561">
        <v>89280</v>
      </c>
      <c r="E5655" s="561">
        <v>25584</v>
      </c>
      <c r="F5655" s="561">
        <v>63696</v>
      </c>
      <c r="G5655" s="561">
        <v>1256</v>
      </c>
      <c r="H5655" s="561">
        <v>92841.839188022423</v>
      </c>
      <c r="I5655" s="561">
        <v>4</v>
      </c>
      <c r="J5655" s="561">
        <v>2556.9250780224233</v>
      </c>
      <c r="K5655" s="561">
        <v>1252</v>
      </c>
      <c r="L5655" s="561">
        <v>90284.914110000012</v>
      </c>
      <c r="M5655" s="561">
        <v>89221.521218222115</v>
      </c>
      <c r="N5655" s="561">
        <v>24162.668000000001</v>
      </c>
      <c r="O5655" s="561">
        <v>1421.3330000000001</v>
      </c>
    </row>
    <row r="5656" spans="1:111">
      <c r="C5656" s="561" t="s">
        <v>1198</v>
      </c>
      <c r="F5656" s="561">
        <v>0</v>
      </c>
      <c r="G5656" s="561">
        <v>0</v>
      </c>
      <c r="H5656" s="561">
        <v>0</v>
      </c>
      <c r="I5656" s="561">
        <v>0</v>
      </c>
      <c r="J5656" s="561">
        <v>0</v>
      </c>
      <c r="K5656" s="561">
        <v>0</v>
      </c>
      <c r="L5656" s="561">
        <v>0</v>
      </c>
      <c r="M5656" s="561">
        <v>0</v>
      </c>
      <c r="N5656" s="561">
        <v>0</v>
      </c>
      <c r="O5656" s="561">
        <v>0</v>
      </c>
      <c r="P5656" s="561">
        <v>0</v>
      </c>
    </row>
    <row r="5657" spans="1:111">
      <c r="C5657" s="561" t="s">
        <v>1199</v>
      </c>
      <c r="D5657" s="561">
        <v>2600</v>
      </c>
      <c r="E5657" s="561">
        <v>780</v>
      </c>
      <c r="F5657" s="561">
        <v>1820</v>
      </c>
      <c r="G5657" s="561">
        <v>206</v>
      </c>
      <c r="H5657" s="561">
        <v>2853.0468915377269</v>
      </c>
      <c r="I5657" s="561">
        <v>2</v>
      </c>
      <c r="J5657" s="561">
        <v>57.181111537727105</v>
      </c>
      <c r="K5657" s="561">
        <v>204</v>
      </c>
      <c r="L5657" s="561">
        <v>2795.8657799999996</v>
      </c>
      <c r="M5657" s="561">
        <v>2658.4797815377301</v>
      </c>
      <c r="N5657" s="561">
        <v>736.66700000000014</v>
      </c>
      <c r="O5657" s="561">
        <v>43.332999999999998</v>
      </c>
      <c r="AY5657" s="561">
        <v>1878.4797815377269</v>
      </c>
    </row>
    <row r="5658" spans="1:111">
      <c r="A5658" s="561">
        <v>3</v>
      </c>
      <c r="B5658" s="561" t="s">
        <v>1697</v>
      </c>
      <c r="C5658" s="561" t="s">
        <v>1267</v>
      </c>
      <c r="D5658" s="561">
        <v>648375</v>
      </c>
      <c r="E5658" s="561">
        <v>167032.5</v>
      </c>
      <c r="F5658" s="561">
        <v>481342.5</v>
      </c>
      <c r="G5658" s="561">
        <v>9684</v>
      </c>
      <c r="H5658" s="561">
        <v>662135.50949091429</v>
      </c>
      <c r="I5658" s="561">
        <v>25</v>
      </c>
      <c r="J5658" s="561">
        <v>13758.727427439762</v>
      </c>
      <c r="K5658" s="561">
        <v>9659</v>
      </c>
      <c r="L5658" s="561">
        <v>648376.78206347441</v>
      </c>
      <c r="M5658" s="561">
        <v>648374.99999347434</v>
      </c>
      <c r="N5658" s="561">
        <v>129914.16799999999</v>
      </c>
      <c r="O5658" s="561">
        <v>37118.332000000002</v>
      </c>
      <c r="P5658" s="561">
        <v>481342.50000000006</v>
      </c>
    </row>
    <row r="5659" spans="1:111">
      <c r="C5659" s="561" t="s">
        <v>1197</v>
      </c>
      <c r="D5659" s="561">
        <v>643475</v>
      </c>
      <c r="E5659" s="561">
        <v>166042.5</v>
      </c>
      <c r="F5659" s="561">
        <v>477432.5</v>
      </c>
      <c r="G5659" s="561">
        <v>9380</v>
      </c>
      <c r="H5659" s="561">
        <v>657718.89287761436</v>
      </c>
      <c r="I5659" s="561">
        <v>25</v>
      </c>
      <c r="J5659" s="561">
        <v>13744.403747439763</v>
      </c>
      <c r="K5659" s="561">
        <v>9355</v>
      </c>
      <c r="L5659" s="561">
        <v>643974.48913017451</v>
      </c>
      <c r="M5659" s="561">
        <v>643972.70706017443</v>
      </c>
      <c r="N5659" s="561">
        <v>129144.16799999999</v>
      </c>
      <c r="O5659" s="561">
        <v>36898.332000000002</v>
      </c>
    </row>
    <row r="5660" spans="1:111">
      <c r="C5660" s="561" t="s">
        <v>1198</v>
      </c>
      <c r="F5660" s="561">
        <v>0</v>
      </c>
      <c r="G5660" s="561">
        <v>0</v>
      </c>
      <c r="H5660" s="561">
        <v>0</v>
      </c>
      <c r="I5660" s="561">
        <v>0</v>
      </c>
      <c r="J5660" s="561">
        <v>0</v>
      </c>
      <c r="K5660" s="561">
        <v>0</v>
      </c>
      <c r="L5660" s="561">
        <v>0</v>
      </c>
      <c r="M5660" s="561">
        <v>0</v>
      </c>
      <c r="N5660" s="561">
        <v>0</v>
      </c>
      <c r="O5660" s="561">
        <v>0</v>
      </c>
      <c r="P5660" s="561">
        <v>0</v>
      </c>
    </row>
    <row r="5661" spans="1:111">
      <c r="C5661" s="561" t="s">
        <v>1199</v>
      </c>
      <c r="D5661" s="561">
        <v>4900</v>
      </c>
      <c r="E5661" s="561">
        <v>990</v>
      </c>
      <c r="F5661" s="561">
        <v>3910</v>
      </c>
      <c r="G5661" s="561">
        <v>304</v>
      </c>
      <c r="H5661" s="561">
        <v>4416.6166132999415</v>
      </c>
      <c r="I5661" s="561">
        <v>0</v>
      </c>
      <c r="J5661" s="561">
        <v>14.323679999999968</v>
      </c>
      <c r="K5661" s="561">
        <v>304</v>
      </c>
      <c r="L5661" s="561">
        <v>4402.292933299942</v>
      </c>
      <c r="M5661" s="561">
        <v>4402.292933299942</v>
      </c>
      <c r="N5661" s="561">
        <v>770</v>
      </c>
      <c r="O5661" s="561">
        <v>220</v>
      </c>
      <c r="BB5661" s="561">
        <v>3412.2929300000001</v>
      </c>
    </row>
    <row r="5662" spans="1:111">
      <c r="A5662" s="561">
        <v>4</v>
      </c>
      <c r="B5662" s="561" t="s">
        <v>1698</v>
      </c>
      <c r="C5662" s="561" t="s">
        <v>1267</v>
      </c>
      <c r="D5662" s="561">
        <v>518629</v>
      </c>
      <c r="E5662" s="561">
        <v>133280.4</v>
      </c>
      <c r="F5662" s="561">
        <v>385348.6</v>
      </c>
      <c r="G5662" s="561">
        <v>6661</v>
      </c>
      <c r="H5662" s="561">
        <v>534985.36178959918</v>
      </c>
      <c r="I5662" s="561">
        <v>24</v>
      </c>
      <c r="J5662" s="561">
        <v>12706.815359599197</v>
      </c>
      <c r="K5662" s="561">
        <v>6637</v>
      </c>
      <c r="L5662" s="561">
        <v>522278.54643000005</v>
      </c>
      <c r="M5662" s="561">
        <v>518629.00001000002</v>
      </c>
      <c r="N5662" s="561">
        <v>113645.99499989999</v>
      </c>
      <c r="O5662" s="561">
        <v>19634.852999999999</v>
      </c>
      <c r="P5662" s="561">
        <v>385348.60000009998</v>
      </c>
    </row>
    <row r="5663" spans="1:111">
      <c r="C5663" s="561" t="s">
        <v>1197</v>
      </c>
      <c r="D5663" s="561">
        <v>516384</v>
      </c>
      <c r="E5663" s="561">
        <v>133056</v>
      </c>
      <c r="F5663" s="561">
        <v>383328</v>
      </c>
      <c r="G5663" s="561">
        <v>6535</v>
      </c>
      <c r="H5663" s="561">
        <v>532506.33688959922</v>
      </c>
      <c r="I5663" s="561">
        <v>24</v>
      </c>
      <c r="J5663" s="561">
        <v>12676.878599599197</v>
      </c>
      <c r="K5663" s="561">
        <v>6511</v>
      </c>
      <c r="L5663" s="561">
        <v>519829.45829000004</v>
      </c>
      <c r="M5663" s="561">
        <v>516179.91187000001</v>
      </c>
      <c r="N5663" s="561">
        <v>113471.015</v>
      </c>
      <c r="O5663" s="561">
        <v>19585.432000000001</v>
      </c>
    </row>
    <row r="5664" spans="1:111">
      <c r="C5664" s="561" t="s">
        <v>1198</v>
      </c>
      <c r="F5664" s="561">
        <v>0</v>
      </c>
      <c r="G5664" s="561">
        <v>0</v>
      </c>
      <c r="H5664" s="561">
        <v>0</v>
      </c>
      <c r="I5664" s="561">
        <v>0</v>
      </c>
      <c r="J5664" s="561">
        <v>0</v>
      </c>
      <c r="K5664" s="561">
        <v>0</v>
      </c>
      <c r="L5664" s="561">
        <v>0</v>
      </c>
      <c r="M5664" s="561">
        <v>0</v>
      </c>
      <c r="N5664" s="561">
        <v>0</v>
      </c>
      <c r="O5664" s="561">
        <v>0</v>
      </c>
      <c r="P5664" s="561">
        <v>0</v>
      </c>
    </row>
    <row r="5665" spans="1:38">
      <c r="C5665" s="561" t="s">
        <v>1199</v>
      </c>
      <c r="D5665" s="561">
        <v>2245</v>
      </c>
      <c r="E5665" s="561">
        <v>224.4</v>
      </c>
      <c r="F5665" s="561">
        <v>2020.6</v>
      </c>
      <c r="G5665" s="561">
        <v>126</v>
      </c>
      <c r="H5665" s="561">
        <v>2479.0249000000003</v>
      </c>
      <c r="I5665" s="561">
        <v>0</v>
      </c>
      <c r="J5665" s="561">
        <v>29.936760000000049</v>
      </c>
      <c r="K5665" s="561">
        <v>126</v>
      </c>
      <c r="L5665" s="561">
        <v>2449.0881399999998</v>
      </c>
      <c r="M5665" s="561">
        <v>2449.0881399999998</v>
      </c>
      <c r="N5665" s="561">
        <v>174.9799999</v>
      </c>
      <c r="O5665" s="561">
        <v>49.420999999999999</v>
      </c>
      <c r="AL5665" s="561">
        <v>2224.6871401000003</v>
      </c>
    </row>
    <row r="5666" spans="1:38">
      <c r="A5666" s="561">
        <v>5</v>
      </c>
      <c r="B5666" s="561" t="s">
        <v>1699</v>
      </c>
      <c r="C5666" s="561" t="s">
        <v>1267</v>
      </c>
      <c r="D5666" s="561">
        <v>574288</v>
      </c>
      <c r="E5666" s="561">
        <v>152786.4</v>
      </c>
      <c r="F5666" s="561">
        <v>421501.6</v>
      </c>
      <c r="G5666" s="561">
        <v>8633</v>
      </c>
      <c r="H5666" s="561">
        <v>799692.12645419152</v>
      </c>
      <c r="I5666" s="561">
        <v>99</v>
      </c>
      <c r="J5666" s="561">
        <v>107578.30814419157</v>
      </c>
      <c r="K5666" s="561">
        <v>8534</v>
      </c>
      <c r="L5666" s="561">
        <v>692113.81830999989</v>
      </c>
      <c r="M5666" s="561">
        <v>574287.99891952309</v>
      </c>
      <c r="N5666" s="561">
        <v>118833.86700000009</v>
      </c>
      <c r="O5666" s="561">
        <v>33952.531999999999</v>
      </c>
      <c r="P5666" s="561">
        <v>421501.59992000001</v>
      </c>
    </row>
    <row r="5667" spans="1:38">
      <c r="C5667" s="561" t="s">
        <v>1197</v>
      </c>
      <c r="D5667" s="561">
        <v>574288</v>
      </c>
      <c r="E5667" s="561">
        <v>152786.4</v>
      </c>
      <c r="F5667" s="561">
        <v>421501.6</v>
      </c>
      <c r="G5667" s="561">
        <v>8633</v>
      </c>
      <c r="H5667" s="561">
        <v>799692.12645419152</v>
      </c>
      <c r="I5667" s="561">
        <v>99</v>
      </c>
      <c r="J5667" s="561">
        <v>107578.30814419157</v>
      </c>
      <c r="K5667" s="561">
        <v>8534</v>
      </c>
      <c r="L5667" s="561">
        <v>692113.81830999989</v>
      </c>
      <c r="M5667" s="561">
        <v>574287.99891952309</v>
      </c>
      <c r="N5667" s="561">
        <v>118833.86700000009</v>
      </c>
      <c r="O5667" s="561">
        <v>33952.531999999999</v>
      </c>
    </row>
    <row r="5668" spans="1:38">
      <c r="C5668" s="561" t="s">
        <v>1198</v>
      </c>
      <c r="F5668" s="561">
        <v>0</v>
      </c>
      <c r="G5668" s="561">
        <v>0</v>
      </c>
      <c r="H5668" s="561">
        <v>0</v>
      </c>
      <c r="I5668" s="561">
        <v>0</v>
      </c>
      <c r="J5668" s="561">
        <v>0</v>
      </c>
      <c r="K5668" s="561">
        <v>0</v>
      </c>
      <c r="L5668" s="561">
        <v>0</v>
      </c>
      <c r="M5668" s="561">
        <v>0</v>
      </c>
      <c r="N5668" s="561">
        <v>0</v>
      </c>
      <c r="O5668" s="561">
        <v>0</v>
      </c>
      <c r="P5668" s="561">
        <v>0</v>
      </c>
    </row>
    <row r="5669" spans="1:38">
      <c r="C5669" s="561" t="s">
        <v>1199</v>
      </c>
      <c r="F5669" s="561">
        <v>0</v>
      </c>
      <c r="G5669" s="561">
        <v>0</v>
      </c>
      <c r="H5669" s="561">
        <v>0</v>
      </c>
      <c r="I5669" s="561">
        <v>0</v>
      </c>
      <c r="J5669" s="561">
        <v>0</v>
      </c>
      <c r="K5669" s="561">
        <v>0</v>
      </c>
      <c r="L5669" s="561">
        <v>0</v>
      </c>
      <c r="M5669" s="561">
        <v>0</v>
      </c>
      <c r="N5669" s="561">
        <v>0</v>
      </c>
      <c r="O5669" s="561">
        <v>0</v>
      </c>
      <c r="P5669" s="561">
        <v>0</v>
      </c>
    </row>
    <row r="5670" spans="1:38">
      <c r="A5670" s="561">
        <v>6</v>
      </c>
      <c r="B5670" s="561" t="s">
        <v>1700</v>
      </c>
      <c r="C5670" s="561" t="s">
        <v>1267</v>
      </c>
      <c r="D5670" s="561">
        <v>189454</v>
      </c>
      <c r="E5670" s="561">
        <v>46014</v>
      </c>
      <c r="F5670" s="561">
        <v>143440</v>
      </c>
      <c r="G5670" s="561">
        <v>3128</v>
      </c>
      <c r="H5670" s="561">
        <v>192883.29530928069</v>
      </c>
      <c r="I5670" s="561">
        <v>6</v>
      </c>
      <c r="J5670" s="561">
        <v>3428.0167792806465</v>
      </c>
      <c r="K5670" s="561">
        <v>3122</v>
      </c>
      <c r="L5670" s="561">
        <v>189455.27853000004</v>
      </c>
      <c r="M5670" s="561">
        <v>189454.00000226591</v>
      </c>
      <c r="N5670" s="561">
        <v>40901.332999999999</v>
      </c>
      <c r="O5670" s="561">
        <v>5112.6660000000002</v>
      </c>
      <c r="P5670" s="561">
        <v>143440.00099999999</v>
      </c>
    </row>
    <row r="5671" spans="1:38">
      <c r="C5671" s="561" t="s">
        <v>1197</v>
      </c>
      <c r="D5671" s="561">
        <v>174005</v>
      </c>
      <c r="E5671" s="561">
        <v>43098</v>
      </c>
      <c r="F5671" s="561">
        <v>130907</v>
      </c>
      <c r="G5671" s="561">
        <v>2276</v>
      </c>
      <c r="H5671" s="561">
        <v>177510.72692074691</v>
      </c>
      <c r="I5671" s="561">
        <v>5</v>
      </c>
      <c r="J5671" s="561">
        <v>3156.9292607468542</v>
      </c>
      <c r="K5671" s="561">
        <v>2271</v>
      </c>
      <c r="L5671" s="561">
        <v>174353.79766000004</v>
      </c>
      <c r="M5671" s="561">
        <v>174352.51913115819</v>
      </c>
      <c r="N5671" s="561">
        <v>38309.332999999999</v>
      </c>
      <c r="O5671" s="561">
        <v>4788.6660000000002</v>
      </c>
    </row>
    <row r="5672" spans="1:38">
      <c r="C5672" s="561" t="s">
        <v>1198</v>
      </c>
      <c r="F5672" s="561">
        <v>0</v>
      </c>
      <c r="G5672" s="561">
        <v>0</v>
      </c>
      <c r="H5672" s="561">
        <v>0</v>
      </c>
      <c r="I5672" s="561">
        <v>0</v>
      </c>
      <c r="J5672" s="561">
        <v>0</v>
      </c>
      <c r="K5672" s="561">
        <v>0</v>
      </c>
      <c r="L5672" s="561">
        <v>0</v>
      </c>
      <c r="M5672" s="561">
        <v>0</v>
      </c>
      <c r="N5672" s="561">
        <v>0</v>
      </c>
      <c r="O5672" s="561">
        <v>0</v>
      </c>
      <c r="P5672" s="561">
        <v>0</v>
      </c>
    </row>
    <row r="5673" spans="1:38">
      <c r="C5673" s="561" t="s">
        <v>1199</v>
      </c>
      <c r="D5673" s="561">
        <v>15449</v>
      </c>
      <c r="E5673" s="561">
        <v>2916</v>
      </c>
      <c r="F5673" s="561">
        <v>12533</v>
      </c>
      <c r="G5673" s="561">
        <v>852</v>
      </c>
      <c r="H5673" s="561">
        <v>15372.568388533791</v>
      </c>
      <c r="I5673" s="561">
        <v>1</v>
      </c>
      <c r="J5673" s="561">
        <v>271.08751853379226</v>
      </c>
      <c r="K5673" s="561">
        <v>851</v>
      </c>
      <c r="L5673" s="561">
        <v>15101.480869999998</v>
      </c>
      <c r="M5673" s="561">
        <v>15101.480871107729</v>
      </c>
      <c r="N5673" s="561">
        <v>2592</v>
      </c>
      <c r="O5673" s="561">
        <v>324</v>
      </c>
      <c r="AL5673" s="561">
        <v>12185.480870000001</v>
      </c>
    </row>
    <row r="5674" spans="1:38">
      <c r="A5674" s="561">
        <v>7</v>
      </c>
      <c r="B5674" s="561" t="s">
        <v>1701</v>
      </c>
      <c r="C5674" s="561" t="s">
        <v>1267</v>
      </c>
      <c r="D5674" s="561">
        <v>13200</v>
      </c>
      <c r="E5674" s="561">
        <v>3960</v>
      </c>
      <c r="F5674" s="561">
        <v>9240</v>
      </c>
      <c r="G5674" s="561">
        <v>136</v>
      </c>
      <c r="H5674" s="561">
        <v>13542.080633599151</v>
      </c>
      <c r="I5674" s="561">
        <v>2</v>
      </c>
      <c r="J5674" s="561">
        <v>359.99971359914969</v>
      </c>
      <c r="K5674" s="561">
        <v>134</v>
      </c>
      <c r="L5674" s="561">
        <v>13182.080920000002</v>
      </c>
      <c r="M5674" s="561">
        <v>13182.080920000002</v>
      </c>
      <c r="N5674" s="561">
        <v>3520</v>
      </c>
      <c r="O5674" s="561">
        <v>440</v>
      </c>
      <c r="P5674" s="561">
        <v>9222.0809200000003</v>
      </c>
    </row>
    <row r="5675" spans="1:38">
      <c r="C5675" s="561" t="s">
        <v>1197</v>
      </c>
      <c r="D5675" s="561">
        <v>13200</v>
      </c>
      <c r="E5675" s="561">
        <v>3960</v>
      </c>
      <c r="F5675" s="561">
        <v>9240</v>
      </c>
      <c r="G5675" s="561">
        <v>136</v>
      </c>
      <c r="H5675" s="561">
        <v>13542.080633599151</v>
      </c>
      <c r="I5675" s="561">
        <v>2</v>
      </c>
      <c r="J5675" s="561">
        <v>359.99971359914969</v>
      </c>
      <c r="K5675" s="561">
        <v>134</v>
      </c>
      <c r="L5675" s="561">
        <v>13182.080920000002</v>
      </c>
      <c r="M5675" s="561">
        <v>13182.080920000002</v>
      </c>
      <c r="N5675" s="561">
        <v>3520</v>
      </c>
      <c r="O5675" s="561">
        <v>440</v>
      </c>
    </row>
    <row r="5676" spans="1:38">
      <c r="C5676" s="561" t="s">
        <v>1198</v>
      </c>
      <c r="F5676" s="561">
        <v>0</v>
      </c>
      <c r="G5676" s="561">
        <v>0</v>
      </c>
      <c r="H5676" s="561">
        <v>0</v>
      </c>
      <c r="I5676" s="561">
        <v>0</v>
      </c>
      <c r="J5676" s="561">
        <v>0</v>
      </c>
      <c r="K5676" s="561">
        <v>0</v>
      </c>
      <c r="L5676" s="561">
        <v>0</v>
      </c>
      <c r="M5676" s="561">
        <v>0</v>
      </c>
      <c r="N5676" s="561">
        <v>0</v>
      </c>
      <c r="O5676" s="561">
        <v>0</v>
      </c>
      <c r="P5676" s="561">
        <v>0</v>
      </c>
    </row>
    <row r="5677" spans="1:38">
      <c r="C5677" s="561" t="s">
        <v>1199</v>
      </c>
      <c r="F5677" s="561">
        <v>0</v>
      </c>
      <c r="G5677" s="561">
        <v>0</v>
      </c>
      <c r="H5677" s="561">
        <v>0</v>
      </c>
      <c r="I5677" s="561">
        <v>0</v>
      </c>
      <c r="J5677" s="561">
        <v>0</v>
      </c>
      <c r="K5677" s="561">
        <v>0</v>
      </c>
      <c r="L5677" s="561">
        <v>0</v>
      </c>
      <c r="M5677" s="561">
        <v>0</v>
      </c>
      <c r="N5677" s="561">
        <v>0</v>
      </c>
      <c r="O5677" s="561">
        <v>0</v>
      </c>
      <c r="P5677" s="561">
        <v>0</v>
      </c>
    </row>
    <row r="5678" spans="1:38">
      <c r="A5678" s="561">
        <v>8</v>
      </c>
      <c r="B5678" s="561" t="s">
        <v>1702</v>
      </c>
      <c r="C5678" s="561" t="s">
        <v>1267</v>
      </c>
      <c r="D5678" s="561">
        <v>617300</v>
      </c>
      <c r="E5678" s="561">
        <v>176190</v>
      </c>
      <c r="F5678" s="561">
        <v>441110</v>
      </c>
      <c r="G5678" s="561">
        <v>8722</v>
      </c>
      <c r="H5678" s="561">
        <v>658771.80510999996</v>
      </c>
      <c r="I5678" s="561">
        <v>94</v>
      </c>
      <c r="J5678" s="561">
        <v>36608.886539999941</v>
      </c>
      <c r="K5678" s="561">
        <v>8628</v>
      </c>
      <c r="L5678" s="561">
        <v>622162.91856999998</v>
      </c>
      <c r="M5678" s="561">
        <v>617300.0006949699</v>
      </c>
      <c r="N5678" s="561">
        <v>149356.66800000001</v>
      </c>
      <c r="O5678" s="561">
        <v>26833.332999999999</v>
      </c>
      <c r="P5678" s="561">
        <v>441109.9996949698</v>
      </c>
    </row>
    <row r="5679" spans="1:38">
      <c r="C5679" s="561" t="s">
        <v>1197</v>
      </c>
      <c r="D5679" s="561">
        <v>605300</v>
      </c>
      <c r="E5679" s="561">
        <v>173880</v>
      </c>
      <c r="F5679" s="561">
        <v>431420</v>
      </c>
      <c r="G5679" s="561">
        <v>8062</v>
      </c>
      <c r="H5679" s="561">
        <v>646701.06733999995</v>
      </c>
      <c r="I5679" s="561">
        <v>92</v>
      </c>
      <c r="J5679" s="561">
        <v>36399.030349999943</v>
      </c>
      <c r="K5679" s="561">
        <v>7970</v>
      </c>
      <c r="L5679" s="561">
        <v>610302.03698999994</v>
      </c>
      <c r="M5679" s="561">
        <v>606129.22981496993</v>
      </c>
      <c r="N5679" s="561">
        <v>147560</v>
      </c>
      <c r="O5679" s="561">
        <v>26320</v>
      </c>
    </row>
    <row r="5680" spans="1:38">
      <c r="C5680" s="561" t="s">
        <v>1198</v>
      </c>
      <c r="F5680" s="561">
        <v>0</v>
      </c>
      <c r="G5680" s="561">
        <v>0</v>
      </c>
      <c r="H5680" s="561">
        <v>0</v>
      </c>
      <c r="I5680" s="561">
        <v>0</v>
      </c>
      <c r="J5680" s="561">
        <v>0</v>
      </c>
      <c r="K5680" s="561">
        <v>0</v>
      </c>
      <c r="L5680" s="561">
        <v>0</v>
      </c>
      <c r="M5680" s="561">
        <v>0</v>
      </c>
      <c r="N5680" s="561">
        <v>0</v>
      </c>
      <c r="O5680" s="561">
        <v>0</v>
      </c>
      <c r="P5680" s="561">
        <v>0</v>
      </c>
    </row>
    <row r="5681" spans="1:38">
      <c r="C5681" s="561" t="s">
        <v>1199</v>
      </c>
      <c r="D5681" s="561">
        <v>12000</v>
      </c>
      <c r="E5681" s="561">
        <v>2310</v>
      </c>
      <c r="F5681" s="561">
        <v>9690</v>
      </c>
      <c r="G5681" s="561">
        <v>660</v>
      </c>
      <c r="H5681" s="561">
        <v>12070.73777</v>
      </c>
      <c r="I5681" s="561">
        <v>2</v>
      </c>
      <c r="J5681" s="561">
        <v>209.85618999999986</v>
      </c>
      <c r="K5681" s="561">
        <v>658</v>
      </c>
      <c r="L5681" s="561">
        <v>11860.881579999997</v>
      </c>
      <c r="M5681" s="561">
        <v>11170.77088</v>
      </c>
      <c r="N5681" s="561">
        <v>1796.6679999999997</v>
      </c>
      <c r="O5681" s="561">
        <v>513.33299999999997</v>
      </c>
      <c r="AL5681" s="561">
        <v>8860.7698799999998</v>
      </c>
    </row>
    <row r="5682" spans="1:38">
      <c r="A5682" s="561">
        <v>9</v>
      </c>
      <c r="B5682" s="561" t="s">
        <v>1703</v>
      </c>
      <c r="C5682" s="561" t="s">
        <v>1267</v>
      </c>
      <c r="D5682" s="561">
        <v>633729</v>
      </c>
      <c r="E5682" s="561">
        <v>161018.69999999998</v>
      </c>
      <c r="F5682" s="561">
        <v>472710.30000000005</v>
      </c>
      <c r="G5682" s="561">
        <v>9100</v>
      </c>
      <c r="H5682" s="561">
        <v>661172.36919</v>
      </c>
      <c r="I5682" s="561">
        <v>43</v>
      </c>
      <c r="J5682" s="561">
        <v>27442.881380000028</v>
      </c>
      <c r="K5682" s="561">
        <v>9057</v>
      </c>
      <c r="L5682" s="561">
        <v>633729.48780999985</v>
      </c>
      <c r="M5682" s="561">
        <v>633728.99965999997</v>
      </c>
      <c r="N5682" s="561">
        <v>134211.63399999999</v>
      </c>
      <c r="O5682" s="561">
        <v>26807.066000000003</v>
      </c>
      <c r="P5682" s="561">
        <v>472710.29965999996</v>
      </c>
    </row>
    <row r="5683" spans="1:38">
      <c r="C5683" s="561" t="s">
        <v>1197</v>
      </c>
      <c r="D5683" s="561">
        <v>610354</v>
      </c>
      <c r="E5683" s="561">
        <v>157658.69999999998</v>
      </c>
      <c r="F5683" s="561">
        <v>452695.30000000005</v>
      </c>
      <c r="G5683" s="561">
        <v>7868</v>
      </c>
      <c r="H5683" s="561">
        <v>637510.0355</v>
      </c>
      <c r="I5683" s="561">
        <v>43</v>
      </c>
      <c r="J5683" s="561">
        <v>27136.52215000003</v>
      </c>
      <c r="K5683" s="561">
        <v>7825</v>
      </c>
      <c r="L5683" s="561">
        <v>610373.51334999991</v>
      </c>
      <c r="M5683" s="561">
        <v>610373.02520999999</v>
      </c>
      <c r="N5683" s="561">
        <v>131598.29999999999</v>
      </c>
      <c r="O5683" s="561">
        <v>26060.400000000001</v>
      </c>
    </row>
    <row r="5684" spans="1:38">
      <c r="C5684" s="561" t="s">
        <v>1198</v>
      </c>
      <c r="F5684" s="561">
        <v>0</v>
      </c>
      <c r="G5684" s="561">
        <v>0</v>
      </c>
      <c r="H5684" s="561">
        <v>0</v>
      </c>
      <c r="I5684" s="561">
        <v>0</v>
      </c>
      <c r="J5684" s="561">
        <v>0</v>
      </c>
      <c r="K5684" s="561">
        <v>0</v>
      </c>
      <c r="L5684" s="561">
        <v>0</v>
      </c>
      <c r="M5684" s="561">
        <v>0</v>
      </c>
      <c r="N5684" s="561">
        <v>0</v>
      </c>
      <c r="O5684" s="561">
        <v>0</v>
      </c>
      <c r="P5684" s="561">
        <v>0</v>
      </c>
    </row>
    <row r="5685" spans="1:38">
      <c r="C5685" s="561" t="s">
        <v>1199</v>
      </c>
      <c r="D5685" s="561">
        <v>23375</v>
      </c>
      <c r="E5685" s="561">
        <v>3360</v>
      </c>
      <c r="F5685" s="561">
        <v>20015</v>
      </c>
      <c r="G5685" s="561">
        <v>1232</v>
      </c>
      <c r="H5685" s="561">
        <v>23662.333689999996</v>
      </c>
      <c r="I5685" s="561">
        <v>0</v>
      </c>
      <c r="J5685" s="561">
        <v>306.35922999999957</v>
      </c>
      <c r="K5685" s="561">
        <v>1232</v>
      </c>
      <c r="L5685" s="561">
        <v>23355.974459999998</v>
      </c>
      <c r="M5685" s="561">
        <v>23355.974449999994</v>
      </c>
      <c r="N5685" s="561">
        <v>2613.3340000000003</v>
      </c>
      <c r="O5685" s="561">
        <v>746.66599999999994</v>
      </c>
      <c r="AL5685" s="561">
        <v>19995.974450000002</v>
      </c>
    </row>
    <row r="5686" spans="1:38">
      <c r="A5686" s="561">
        <v>10</v>
      </c>
      <c r="B5686" s="561" t="s">
        <v>1704</v>
      </c>
      <c r="C5686" s="561" t="s">
        <v>1267</v>
      </c>
      <c r="D5686" s="561">
        <v>431741</v>
      </c>
      <c r="E5686" s="561">
        <v>109991.7</v>
      </c>
      <c r="F5686" s="561">
        <v>321749.3</v>
      </c>
      <c r="G5686" s="561">
        <v>7356</v>
      </c>
      <c r="H5686" s="561">
        <v>454679.05463999999</v>
      </c>
      <c r="I5686" s="561">
        <v>35</v>
      </c>
      <c r="J5686" s="561">
        <v>22935.140759999998</v>
      </c>
      <c r="K5686" s="561">
        <v>7321</v>
      </c>
      <c r="L5686" s="561">
        <v>431743.91387999995</v>
      </c>
      <c r="M5686" s="561">
        <v>431740.99999999994</v>
      </c>
      <c r="N5686" s="561">
        <v>91270.400000000009</v>
      </c>
      <c r="O5686" s="561">
        <v>18721.3</v>
      </c>
      <c r="P5686" s="561">
        <v>321749.3</v>
      </c>
    </row>
    <row r="5687" spans="1:38">
      <c r="C5687" s="561" t="s">
        <v>1197</v>
      </c>
      <c r="D5687" s="561">
        <v>402471</v>
      </c>
      <c r="E5687" s="561">
        <v>104951.7</v>
      </c>
      <c r="F5687" s="561">
        <v>297519.3</v>
      </c>
      <c r="G5687" s="561">
        <v>5668</v>
      </c>
      <c r="H5687" s="561">
        <v>425852.13626999996</v>
      </c>
      <c r="I5687" s="561">
        <v>31</v>
      </c>
      <c r="J5687" s="561">
        <v>22589.448349999999</v>
      </c>
      <c r="K5687" s="561">
        <v>5637</v>
      </c>
      <c r="L5687" s="561">
        <v>403262.68791999994</v>
      </c>
      <c r="M5687" s="561">
        <v>403259.77403999993</v>
      </c>
      <c r="N5687" s="561">
        <v>86790.400000000009</v>
      </c>
      <c r="O5687" s="561">
        <v>18161.3</v>
      </c>
    </row>
    <row r="5688" spans="1:38">
      <c r="C5688" s="561" t="s">
        <v>1198</v>
      </c>
      <c r="F5688" s="561">
        <v>0</v>
      </c>
      <c r="G5688" s="561">
        <v>0</v>
      </c>
      <c r="H5688" s="561">
        <v>0</v>
      </c>
      <c r="I5688" s="561">
        <v>0</v>
      </c>
      <c r="J5688" s="561">
        <v>0</v>
      </c>
      <c r="K5688" s="561">
        <v>0</v>
      </c>
      <c r="L5688" s="561">
        <v>0</v>
      </c>
      <c r="M5688" s="561">
        <v>0</v>
      </c>
      <c r="N5688" s="561">
        <v>0</v>
      </c>
      <c r="O5688" s="561">
        <v>0</v>
      </c>
      <c r="P5688" s="561">
        <v>0</v>
      </c>
    </row>
    <row r="5689" spans="1:38">
      <c r="C5689" s="561" t="s">
        <v>1199</v>
      </c>
      <c r="D5689" s="561">
        <v>29270</v>
      </c>
      <c r="E5689" s="561">
        <v>5040</v>
      </c>
      <c r="F5689" s="561">
        <v>24230</v>
      </c>
      <c r="G5689" s="561">
        <v>1688</v>
      </c>
      <c r="H5689" s="561">
        <v>28826.918370000003</v>
      </c>
      <c r="I5689" s="561">
        <v>4</v>
      </c>
      <c r="J5689" s="561">
        <v>345.69241000000034</v>
      </c>
      <c r="K5689" s="561">
        <v>1684</v>
      </c>
      <c r="L5689" s="561">
        <v>28481.225960000003</v>
      </c>
      <c r="M5689" s="561">
        <v>28481.225960000003</v>
      </c>
      <c r="N5689" s="561">
        <v>4480</v>
      </c>
      <c r="O5689" s="561">
        <v>560</v>
      </c>
      <c r="AL5689" s="561">
        <v>23441.225960000003</v>
      </c>
    </row>
    <row r="5690" spans="1:38">
      <c r="A5690" s="561">
        <v>11</v>
      </c>
      <c r="B5690" s="561" t="s">
        <v>1705</v>
      </c>
      <c r="C5690" s="561" t="s">
        <v>1267</v>
      </c>
      <c r="D5690" s="561">
        <v>272065</v>
      </c>
      <c r="E5690" s="561">
        <v>64680</v>
      </c>
      <c r="F5690" s="561">
        <v>207385</v>
      </c>
      <c r="G5690" s="561">
        <v>4292</v>
      </c>
      <c r="H5690" s="561">
        <v>277672.9278</v>
      </c>
      <c r="I5690" s="561">
        <v>6</v>
      </c>
      <c r="J5690" s="561">
        <v>5607.779429999995</v>
      </c>
      <c r="K5690" s="561">
        <v>4286</v>
      </c>
      <c r="L5690" s="561">
        <v>272065.14837000001</v>
      </c>
      <c r="M5690" s="561">
        <v>272064.99997</v>
      </c>
      <c r="N5690" s="561">
        <v>52262.81900000001</v>
      </c>
      <c r="O5690" s="561">
        <v>12417.180000000002</v>
      </c>
      <c r="P5690" s="561">
        <v>207385.00097000002</v>
      </c>
    </row>
    <row r="5691" spans="1:38">
      <c r="C5691" s="561" t="s">
        <v>1197</v>
      </c>
      <c r="D5691" s="561">
        <v>239615</v>
      </c>
      <c r="E5691" s="561">
        <v>56160</v>
      </c>
      <c r="F5691" s="561">
        <v>183455</v>
      </c>
      <c r="G5691" s="561">
        <v>2752</v>
      </c>
      <c r="H5691" s="561">
        <v>237810.22770000002</v>
      </c>
      <c r="I5691" s="561">
        <v>4</v>
      </c>
      <c r="J5691" s="561">
        <v>4004.0124399999931</v>
      </c>
      <c r="K5691" s="561">
        <v>2748</v>
      </c>
      <c r="L5691" s="561">
        <v>233806.21526000003</v>
      </c>
      <c r="M5691" s="561">
        <v>233806.06686000002</v>
      </c>
      <c r="N5691" s="561">
        <v>45634.237000000001</v>
      </c>
      <c r="O5691" s="561">
        <v>10525.762000000001</v>
      </c>
    </row>
    <row r="5692" spans="1:38">
      <c r="C5692" s="561" t="s">
        <v>1198</v>
      </c>
      <c r="D5692" s="561">
        <v>12300</v>
      </c>
      <c r="E5692" s="561">
        <v>3690</v>
      </c>
      <c r="F5692" s="561">
        <v>8610</v>
      </c>
      <c r="G5692" s="561">
        <v>22</v>
      </c>
      <c r="H5692" s="561">
        <v>13185.14104</v>
      </c>
      <c r="I5692" s="561">
        <v>0</v>
      </c>
      <c r="J5692" s="561">
        <v>1462.2069100000008</v>
      </c>
      <c r="K5692" s="561">
        <v>22</v>
      </c>
      <c r="L5692" s="561">
        <v>11722.93413</v>
      </c>
      <c r="M5692" s="561">
        <v>11722.93413</v>
      </c>
      <c r="N5692" s="561">
        <v>2871.915</v>
      </c>
      <c r="O5692" s="561">
        <v>818.08500000000004</v>
      </c>
    </row>
    <row r="5693" spans="1:38">
      <c r="C5693" s="561" t="s">
        <v>1199</v>
      </c>
      <c r="D5693" s="561">
        <v>20150</v>
      </c>
      <c r="E5693" s="561">
        <v>4830</v>
      </c>
      <c r="F5693" s="561">
        <v>15320</v>
      </c>
      <c r="G5693" s="561">
        <v>1518</v>
      </c>
      <c r="H5693" s="561">
        <v>26677.55906</v>
      </c>
      <c r="I5693" s="561">
        <v>2</v>
      </c>
      <c r="J5693" s="561">
        <v>141.56008000000156</v>
      </c>
      <c r="K5693" s="561">
        <v>1516</v>
      </c>
      <c r="L5693" s="561">
        <v>26535.99898</v>
      </c>
      <c r="M5693" s="561">
        <v>26535.99898</v>
      </c>
      <c r="N5693" s="561">
        <v>3756.6670000000099</v>
      </c>
      <c r="O5693" s="561">
        <v>1073.3330000000001</v>
      </c>
      <c r="AL5693" s="561">
        <v>21705.99898</v>
      </c>
    </row>
    <row r="5694" spans="1:38">
      <c r="A5694" s="561">
        <v>12</v>
      </c>
      <c r="B5694" s="561" t="s">
        <v>1706</v>
      </c>
      <c r="C5694" s="561" t="s">
        <v>1267</v>
      </c>
      <c r="D5694" s="561">
        <v>429136</v>
      </c>
      <c r="E5694" s="561">
        <v>102633</v>
      </c>
      <c r="F5694" s="561">
        <v>326503</v>
      </c>
      <c r="G5694" s="561">
        <v>6224</v>
      </c>
      <c r="H5694" s="561">
        <v>449779.29525999993</v>
      </c>
      <c r="I5694" s="561">
        <v>45</v>
      </c>
      <c r="J5694" s="561">
        <v>20623.633729999976</v>
      </c>
      <c r="K5694" s="561">
        <v>6179</v>
      </c>
      <c r="L5694" s="561">
        <v>429136.95973</v>
      </c>
      <c r="M5694" s="561">
        <v>429135.99998000002</v>
      </c>
      <c r="N5694" s="561">
        <v>96931.167000000001</v>
      </c>
      <c r="O5694" s="561">
        <v>5701.8329999999996</v>
      </c>
      <c r="P5694" s="561">
        <v>326503</v>
      </c>
    </row>
    <row r="5695" spans="1:38">
      <c r="C5695" s="561" t="s">
        <v>1197</v>
      </c>
      <c r="D5695" s="561">
        <v>417154</v>
      </c>
      <c r="E5695" s="561">
        <v>100293</v>
      </c>
      <c r="F5695" s="561">
        <v>316861</v>
      </c>
      <c r="G5695" s="561">
        <v>5296</v>
      </c>
      <c r="H5695" s="561">
        <v>433852.21974999993</v>
      </c>
      <c r="I5695" s="561">
        <v>39</v>
      </c>
      <c r="J5695" s="561">
        <v>20336.672989999974</v>
      </c>
      <c r="K5695" s="561">
        <v>5257</v>
      </c>
      <c r="L5695" s="561">
        <v>413515.54676</v>
      </c>
      <c r="M5695" s="561">
        <v>413514.58701000002</v>
      </c>
      <c r="N5695" s="561">
        <v>94721.167000000001</v>
      </c>
      <c r="O5695" s="561">
        <v>5571.8329999999996</v>
      </c>
    </row>
    <row r="5696" spans="1:38">
      <c r="C5696" s="561" t="s">
        <v>1198</v>
      </c>
      <c r="F5696" s="561">
        <v>0</v>
      </c>
      <c r="G5696" s="561">
        <v>0</v>
      </c>
      <c r="H5696" s="561">
        <v>0</v>
      </c>
      <c r="I5696" s="561">
        <v>0</v>
      </c>
      <c r="J5696" s="561">
        <v>0</v>
      </c>
      <c r="K5696" s="561">
        <v>0</v>
      </c>
      <c r="L5696" s="561">
        <v>0</v>
      </c>
      <c r="M5696" s="561">
        <v>0</v>
      </c>
      <c r="N5696" s="561">
        <v>0</v>
      </c>
      <c r="O5696" s="561">
        <v>0</v>
      </c>
      <c r="P5696" s="561">
        <v>0</v>
      </c>
    </row>
    <row r="5697" spans="1:38">
      <c r="C5697" s="561" t="s">
        <v>1199</v>
      </c>
      <c r="D5697" s="561">
        <v>11982</v>
      </c>
      <c r="E5697" s="561">
        <v>2340</v>
      </c>
      <c r="F5697" s="561">
        <v>9642</v>
      </c>
      <c r="G5697" s="561">
        <v>928</v>
      </c>
      <c r="H5697" s="561">
        <v>15927.075509999999</v>
      </c>
      <c r="I5697" s="561">
        <v>6</v>
      </c>
      <c r="J5697" s="561">
        <v>286.96074000000112</v>
      </c>
      <c r="K5697" s="561">
        <v>922</v>
      </c>
      <c r="L5697" s="561">
        <v>15621.412969999999</v>
      </c>
      <c r="M5697" s="561">
        <v>15621.412969999999</v>
      </c>
      <c r="N5697" s="561">
        <v>2210</v>
      </c>
      <c r="O5697" s="561">
        <v>130</v>
      </c>
      <c r="AL5697" s="561">
        <v>13281.412989999999</v>
      </c>
    </row>
    <row r="5698" spans="1:38">
      <c r="A5698" s="561">
        <v>13</v>
      </c>
      <c r="B5698" s="561" t="s">
        <v>1707</v>
      </c>
      <c r="C5698" s="561" t="s">
        <v>1267</v>
      </c>
      <c r="D5698" s="561">
        <v>333306</v>
      </c>
      <c r="E5698" s="561">
        <v>90661.8</v>
      </c>
      <c r="F5698" s="561">
        <v>242644.2</v>
      </c>
      <c r="G5698" s="561">
        <v>4900</v>
      </c>
      <c r="H5698" s="561">
        <v>346615.78058999998</v>
      </c>
      <c r="I5698" s="561">
        <v>44</v>
      </c>
      <c r="J5698" s="561">
        <v>13305.728550000003</v>
      </c>
      <c r="K5698" s="561">
        <v>4856</v>
      </c>
      <c r="L5698" s="561">
        <v>333310.05204000004</v>
      </c>
      <c r="M5698" s="561">
        <v>333306.00001000002</v>
      </c>
      <c r="N5698" s="561">
        <v>80588.267000000007</v>
      </c>
      <c r="O5698" s="561">
        <v>10073.532999999999</v>
      </c>
      <c r="P5698" s="561">
        <v>242644.20001000003</v>
      </c>
    </row>
    <row r="5699" spans="1:38">
      <c r="C5699" s="561" t="s">
        <v>1197</v>
      </c>
      <c r="D5699" s="561">
        <v>330906</v>
      </c>
      <c r="E5699" s="561">
        <v>90031.8</v>
      </c>
      <c r="F5699" s="561">
        <v>240874.2</v>
      </c>
      <c r="G5699" s="561">
        <v>4744</v>
      </c>
      <c r="H5699" s="561">
        <v>344172.20329999999</v>
      </c>
      <c r="I5699" s="561">
        <v>44</v>
      </c>
      <c r="J5699" s="561">
        <v>13265.082810000004</v>
      </c>
      <c r="K5699" s="561">
        <v>4700</v>
      </c>
      <c r="L5699" s="561">
        <v>330907.12049000006</v>
      </c>
      <c r="M5699" s="561">
        <v>330903.06846000004</v>
      </c>
      <c r="N5699" s="561">
        <v>80028.267000000007</v>
      </c>
      <c r="O5699" s="561">
        <v>10003.532999999999</v>
      </c>
    </row>
    <row r="5700" spans="1:38">
      <c r="C5700" s="561" t="s">
        <v>1198</v>
      </c>
      <c r="F5700" s="561">
        <v>0</v>
      </c>
      <c r="G5700" s="561">
        <v>0</v>
      </c>
      <c r="H5700" s="561">
        <v>0</v>
      </c>
      <c r="I5700" s="561">
        <v>0</v>
      </c>
      <c r="J5700" s="561">
        <v>0</v>
      </c>
      <c r="K5700" s="561">
        <v>0</v>
      </c>
      <c r="L5700" s="561">
        <v>0</v>
      </c>
      <c r="M5700" s="561">
        <v>0</v>
      </c>
      <c r="N5700" s="561">
        <v>0</v>
      </c>
      <c r="O5700" s="561">
        <v>0</v>
      </c>
      <c r="P5700" s="561">
        <v>0</v>
      </c>
    </row>
    <row r="5701" spans="1:38">
      <c r="C5701" s="561" t="s">
        <v>1199</v>
      </c>
      <c r="D5701" s="561">
        <v>2400</v>
      </c>
      <c r="E5701" s="561">
        <v>630</v>
      </c>
      <c r="F5701" s="561">
        <v>1770</v>
      </c>
      <c r="G5701" s="561">
        <v>156</v>
      </c>
      <c r="H5701" s="561">
        <v>2443.5772899999997</v>
      </c>
      <c r="I5701" s="561">
        <v>0</v>
      </c>
      <c r="J5701" s="561">
        <v>40.645739999999478</v>
      </c>
      <c r="K5701" s="561">
        <v>156</v>
      </c>
      <c r="L5701" s="561">
        <v>2402.9315500000002</v>
      </c>
      <c r="M5701" s="561">
        <v>2402.9315500000002</v>
      </c>
      <c r="N5701" s="561">
        <v>560</v>
      </c>
      <c r="O5701" s="561">
        <v>70</v>
      </c>
      <c r="AL5701" s="561">
        <v>1772.93155</v>
      </c>
    </row>
    <row r="5702" spans="1:38">
      <c r="A5702" s="561">
        <v>14</v>
      </c>
      <c r="B5702" s="561" t="s">
        <v>1708</v>
      </c>
      <c r="C5702" s="561" t="s">
        <v>1267</v>
      </c>
      <c r="D5702" s="561">
        <v>515795</v>
      </c>
      <c r="E5702" s="561">
        <v>133738.5</v>
      </c>
      <c r="F5702" s="561">
        <v>382056.5</v>
      </c>
      <c r="G5702" s="561">
        <v>6704</v>
      </c>
      <c r="H5702" s="561">
        <v>537604.77719999989</v>
      </c>
      <c r="I5702" s="561">
        <v>38</v>
      </c>
      <c r="J5702" s="561">
        <v>21805.77314999995</v>
      </c>
      <c r="K5702" s="561">
        <v>6666</v>
      </c>
      <c r="L5702" s="561">
        <v>515799.00404999993</v>
      </c>
      <c r="M5702" s="561">
        <v>515795.00000999996</v>
      </c>
      <c r="N5702" s="561">
        <v>108612.277</v>
      </c>
      <c r="O5702" s="561">
        <v>25126.222999999998</v>
      </c>
      <c r="P5702" s="561">
        <v>382056.50000999996</v>
      </c>
    </row>
    <row r="5703" spans="1:38">
      <c r="C5703" s="561" t="s">
        <v>1197</v>
      </c>
      <c r="D5703" s="561">
        <v>510895</v>
      </c>
      <c r="E5703" s="561">
        <v>132268.5</v>
      </c>
      <c r="F5703" s="561">
        <v>378626.5</v>
      </c>
      <c r="G5703" s="561">
        <v>6436</v>
      </c>
      <c r="H5703" s="561">
        <v>533399.80862999987</v>
      </c>
      <c r="I5703" s="561">
        <v>29</v>
      </c>
      <c r="J5703" s="561">
        <v>21602.68010999995</v>
      </c>
      <c r="K5703" s="561">
        <v>6407</v>
      </c>
      <c r="L5703" s="561">
        <v>511797.12851999991</v>
      </c>
      <c r="M5703" s="561">
        <v>511793.12447999994</v>
      </c>
      <c r="N5703" s="561">
        <v>107305.61</v>
      </c>
      <c r="O5703" s="561">
        <v>24962.89</v>
      </c>
    </row>
    <row r="5704" spans="1:38">
      <c r="C5704" s="561" t="s">
        <v>1198</v>
      </c>
      <c r="F5704" s="561">
        <v>0</v>
      </c>
      <c r="G5704" s="561">
        <v>0</v>
      </c>
      <c r="H5704" s="561">
        <v>0</v>
      </c>
      <c r="I5704" s="561">
        <v>0</v>
      </c>
      <c r="J5704" s="561">
        <v>0</v>
      </c>
      <c r="K5704" s="561">
        <v>0</v>
      </c>
      <c r="L5704" s="561">
        <v>0</v>
      </c>
      <c r="M5704" s="561">
        <v>0</v>
      </c>
      <c r="N5704" s="561">
        <v>0</v>
      </c>
      <c r="O5704" s="561">
        <v>0</v>
      </c>
      <c r="P5704" s="561">
        <v>0</v>
      </c>
    </row>
    <row r="5705" spans="1:38">
      <c r="C5705" s="561" t="s">
        <v>1199</v>
      </c>
      <c r="D5705" s="561">
        <v>4900</v>
      </c>
      <c r="E5705" s="561">
        <v>1470</v>
      </c>
      <c r="F5705" s="561">
        <v>3430</v>
      </c>
      <c r="G5705" s="561">
        <v>268</v>
      </c>
      <c r="H5705" s="561">
        <v>4204.96857</v>
      </c>
      <c r="I5705" s="561">
        <v>9</v>
      </c>
      <c r="J5705" s="561">
        <v>203.09303999999977</v>
      </c>
      <c r="K5705" s="561">
        <v>259</v>
      </c>
      <c r="L5705" s="561">
        <v>4001.8755300000003</v>
      </c>
      <c r="M5705" s="561">
        <v>4001.8755300000003</v>
      </c>
      <c r="N5705" s="561">
        <v>1306.6669999999999</v>
      </c>
      <c r="O5705" s="561">
        <v>163.333</v>
      </c>
      <c r="AL5705" s="561">
        <v>2531.8755299999998</v>
      </c>
    </row>
    <row r="5706" spans="1:38">
      <c r="A5706" s="561">
        <v>15</v>
      </c>
      <c r="B5706" s="561" t="s">
        <v>1709</v>
      </c>
      <c r="C5706" s="561" t="s">
        <v>1267</v>
      </c>
      <c r="D5706" s="561">
        <v>514551</v>
      </c>
      <c r="E5706" s="561">
        <v>129612</v>
      </c>
      <c r="F5706" s="561">
        <v>384939</v>
      </c>
      <c r="G5706" s="561">
        <v>8127</v>
      </c>
      <c r="H5706" s="561">
        <v>539803.75982000004</v>
      </c>
      <c r="I5706" s="561">
        <v>75</v>
      </c>
      <c r="J5706" s="561">
        <v>19959.993010000075</v>
      </c>
      <c r="K5706" s="561">
        <v>8052</v>
      </c>
      <c r="L5706" s="561">
        <v>519843.76680999988</v>
      </c>
      <c r="M5706" s="561">
        <v>514550.66003999993</v>
      </c>
      <c r="N5706" s="561">
        <v>108892.58500000001</v>
      </c>
      <c r="O5706" s="561">
        <v>20719.415000000001</v>
      </c>
      <c r="P5706" s="561">
        <v>384938.66003999999</v>
      </c>
    </row>
    <row r="5707" spans="1:38">
      <c r="C5707" s="561" t="s">
        <v>1197</v>
      </c>
      <c r="D5707" s="561">
        <v>496529</v>
      </c>
      <c r="E5707" s="561">
        <v>125496</v>
      </c>
      <c r="F5707" s="561">
        <v>371033</v>
      </c>
      <c r="G5707" s="561">
        <v>7017</v>
      </c>
      <c r="H5707" s="561">
        <v>521193.45335000008</v>
      </c>
      <c r="I5707" s="561">
        <v>51</v>
      </c>
      <c r="J5707" s="561">
        <v>19423.876360000075</v>
      </c>
      <c r="K5707" s="561">
        <v>6966</v>
      </c>
      <c r="L5707" s="561">
        <v>501769.57698999991</v>
      </c>
      <c r="M5707" s="561">
        <v>496476.47021999996</v>
      </c>
      <c r="N5707" s="561">
        <v>105233.91800000001</v>
      </c>
      <c r="O5707" s="561">
        <v>20262.082000000002</v>
      </c>
    </row>
    <row r="5708" spans="1:38">
      <c r="C5708" s="561" t="s">
        <v>1198</v>
      </c>
      <c r="F5708" s="561">
        <v>0</v>
      </c>
      <c r="G5708" s="561">
        <v>0</v>
      </c>
      <c r="H5708" s="561">
        <v>0</v>
      </c>
      <c r="I5708" s="561">
        <v>0</v>
      </c>
      <c r="J5708" s="561">
        <v>0</v>
      </c>
      <c r="K5708" s="561">
        <v>0</v>
      </c>
      <c r="L5708" s="561">
        <v>0</v>
      </c>
      <c r="M5708" s="561">
        <v>0</v>
      </c>
      <c r="N5708" s="561">
        <v>0</v>
      </c>
      <c r="O5708" s="561">
        <v>0</v>
      </c>
      <c r="P5708" s="561">
        <v>0</v>
      </c>
    </row>
    <row r="5709" spans="1:38">
      <c r="C5709" s="561" t="s">
        <v>1199</v>
      </c>
      <c r="D5709" s="561">
        <v>18022</v>
      </c>
      <c r="E5709" s="561">
        <v>4116</v>
      </c>
      <c r="F5709" s="561">
        <v>13906</v>
      </c>
      <c r="G5709" s="561">
        <v>1110</v>
      </c>
      <c r="H5709" s="561">
        <v>18610.30647</v>
      </c>
      <c r="I5709" s="561">
        <v>24</v>
      </c>
      <c r="J5709" s="561">
        <v>536.11665000000164</v>
      </c>
      <c r="K5709" s="561">
        <v>1086</v>
      </c>
      <c r="L5709" s="561">
        <v>18074.189819999996</v>
      </c>
      <c r="M5709" s="561">
        <v>18074.189819999996</v>
      </c>
      <c r="N5709" s="561">
        <v>3658.6670000000004</v>
      </c>
      <c r="O5709" s="561">
        <v>457.33300000000003</v>
      </c>
      <c r="AL5709" s="561">
        <v>13958.189819999996</v>
      </c>
    </row>
    <row r="5710" spans="1:38">
      <c r="A5710" s="561">
        <v>16</v>
      </c>
      <c r="B5710" s="561" t="s">
        <v>1710</v>
      </c>
      <c r="C5710" s="561" t="s">
        <v>1267</v>
      </c>
      <c r="D5710" s="561">
        <v>301536</v>
      </c>
      <c r="E5710" s="561">
        <v>0</v>
      </c>
      <c r="F5710" s="561">
        <v>301536</v>
      </c>
      <c r="G5710" s="561">
        <v>3289</v>
      </c>
      <c r="H5710" s="561">
        <v>301536.11588000006</v>
      </c>
      <c r="I5710" s="561">
        <v>0</v>
      </c>
      <c r="J5710" s="561">
        <v>0</v>
      </c>
      <c r="K5710" s="561">
        <v>3289</v>
      </c>
      <c r="L5710" s="561">
        <v>301535.99993500003</v>
      </c>
      <c r="M5710" s="561">
        <v>301535.99993500003</v>
      </c>
      <c r="N5710" s="561">
        <v>0</v>
      </c>
      <c r="O5710" s="561">
        <v>0</v>
      </c>
      <c r="P5710" s="561">
        <v>301535.99993500003</v>
      </c>
    </row>
    <row r="5711" spans="1:38">
      <c r="C5711" s="561" t="s">
        <v>1197</v>
      </c>
      <c r="D5711" s="561">
        <v>287336</v>
      </c>
      <c r="F5711" s="561">
        <v>287336</v>
      </c>
      <c r="G5711" s="561">
        <v>3211</v>
      </c>
      <c r="H5711" s="561">
        <v>289047.44889500004</v>
      </c>
      <c r="I5711" s="561">
        <v>0</v>
      </c>
      <c r="J5711" s="561">
        <v>0</v>
      </c>
      <c r="K5711" s="561">
        <v>3211</v>
      </c>
      <c r="L5711" s="561">
        <v>289047.33295000001</v>
      </c>
      <c r="M5711" s="561">
        <v>289047.33295000001</v>
      </c>
      <c r="N5711" s="561">
        <v>0</v>
      </c>
      <c r="O5711" s="561">
        <v>0</v>
      </c>
    </row>
    <row r="5712" spans="1:38">
      <c r="C5712" s="561" t="s">
        <v>1198</v>
      </c>
      <c r="F5712" s="561">
        <v>0</v>
      </c>
      <c r="G5712" s="561">
        <v>0</v>
      </c>
      <c r="H5712" s="561">
        <v>0</v>
      </c>
      <c r="I5712" s="561">
        <v>0</v>
      </c>
      <c r="J5712" s="561">
        <v>0</v>
      </c>
      <c r="K5712" s="561">
        <v>0</v>
      </c>
      <c r="L5712" s="561">
        <v>0</v>
      </c>
      <c r="M5712" s="561">
        <v>0</v>
      </c>
      <c r="N5712" s="561">
        <v>0</v>
      </c>
      <c r="O5712" s="561">
        <v>0</v>
      </c>
      <c r="P5712" s="561">
        <v>0</v>
      </c>
    </row>
    <row r="5713" spans="1:78">
      <c r="C5713" s="561" t="s">
        <v>1199</v>
      </c>
      <c r="D5713" s="561">
        <v>14200</v>
      </c>
      <c r="F5713" s="561">
        <v>14200</v>
      </c>
      <c r="G5713" s="561">
        <v>78</v>
      </c>
      <c r="H5713" s="561">
        <v>12488.666985</v>
      </c>
      <c r="I5713" s="561">
        <v>0</v>
      </c>
      <c r="J5713" s="561">
        <v>0</v>
      </c>
      <c r="K5713" s="561">
        <v>78</v>
      </c>
      <c r="L5713" s="561">
        <v>12488.666985</v>
      </c>
      <c r="M5713" s="561">
        <v>12488.666985</v>
      </c>
      <c r="N5713" s="561">
        <v>0</v>
      </c>
      <c r="O5713" s="561">
        <v>0</v>
      </c>
      <c r="AL5713" s="561">
        <v>12488.666985</v>
      </c>
    </row>
    <row r="5714" spans="1:78">
      <c r="F5714" s="561">
        <v>0</v>
      </c>
      <c r="G5714" s="561">
        <v>0</v>
      </c>
      <c r="H5714" s="561">
        <v>0</v>
      </c>
      <c r="I5714" s="561">
        <v>0</v>
      </c>
      <c r="J5714" s="561">
        <v>0</v>
      </c>
      <c r="K5714" s="561">
        <v>0</v>
      </c>
      <c r="L5714" s="561">
        <v>0</v>
      </c>
      <c r="M5714" s="561">
        <v>0</v>
      </c>
      <c r="P5714" s="561">
        <v>0</v>
      </c>
    </row>
    <row r="5715" spans="1:78">
      <c r="F5715" s="561">
        <v>0</v>
      </c>
      <c r="G5715" s="561">
        <v>0</v>
      </c>
      <c r="H5715" s="561">
        <v>0</v>
      </c>
      <c r="I5715" s="561">
        <v>0</v>
      </c>
      <c r="J5715" s="561">
        <v>0</v>
      </c>
      <c r="K5715" s="561">
        <v>0</v>
      </c>
      <c r="L5715" s="561">
        <v>0</v>
      </c>
      <c r="M5715" s="561">
        <v>0</v>
      </c>
      <c r="P5715" s="561">
        <v>0</v>
      </c>
    </row>
    <row r="5716" spans="1:78">
      <c r="F5716" s="561">
        <v>0</v>
      </c>
      <c r="G5716" s="561">
        <v>0</v>
      </c>
      <c r="H5716" s="561">
        <v>0</v>
      </c>
      <c r="I5716" s="561">
        <v>0</v>
      </c>
      <c r="J5716" s="561">
        <v>0</v>
      </c>
      <c r="K5716" s="561">
        <v>0</v>
      </c>
      <c r="L5716" s="561">
        <v>0</v>
      </c>
      <c r="M5716" s="561">
        <v>0</v>
      </c>
      <c r="P5716" s="561">
        <v>0</v>
      </c>
    </row>
    <row r="5717" spans="1:78">
      <c r="F5717" s="561">
        <v>0</v>
      </c>
      <c r="G5717" s="561">
        <v>0</v>
      </c>
      <c r="H5717" s="561">
        <v>0</v>
      </c>
      <c r="I5717" s="561">
        <v>0</v>
      </c>
      <c r="J5717" s="561">
        <v>0</v>
      </c>
      <c r="K5717" s="561">
        <v>0</v>
      </c>
      <c r="L5717" s="561">
        <v>0</v>
      </c>
      <c r="M5717" s="561">
        <v>0</v>
      </c>
      <c r="P5717" s="561">
        <v>0</v>
      </c>
    </row>
    <row r="5718" spans="1:78">
      <c r="F5718" s="561">
        <v>0</v>
      </c>
      <c r="G5718" s="561">
        <v>0</v>
      </c>
      <c r="H5718" s="561">
        <v>0</v>
      </c>
      <c r="I5718" s="561">
        <v>0</v>
      </c>
      <c r="J5718" s="561">
        <v>0</v>
      </c>
      <c r="K5718" s="561">
        <v>0</v>
      </c>
      <c r="L5718" s="561">
        <v>0</v>
      </c>
      <c r="M5718" s="561">
        <v>0</v>
      </c>
      <c r="P5718" s="561">
        <v>0</v>
      </c>
    </row>
    <row r="5719" spans="1:78">
      <c r="F5719" s="561">
        <v>0</v>
      </c>
      <c r="G5719" s="561">
        <v>0</v>
      </c>
      <c r="H5719" s="561">
        <v>0</v>
      </c>
      <c r="I5719" s="561">
        <v>0</v>
      </c>
      <c r="J5719" s="561">
        <v>0</v>
      </c>
      <c r="K5719" s="561">
        <v>0</v>
      </c>
      <c r="L5719" s="561">
        <v>0</v>
      </c>
      <c r="M5719" s="561">
        <v>0</v>
      </c>
      <c r="P5719" s="561">
        <v>0</v>
      </c>
    </row>
    <row r="5720" spans="1:78">
      <c r="F5720" s="561">
        <v>0</v>
      </c>
      <c r="G5720" s="561">
        <v>0</v>
      </c>
      <c r="H5720" s="561">
        <v>0</v>
      </c>
      <c r="I5720" s="561">
        <v>0</v>
      </c>
      <c r="J5720" s="561">
        <v>0</v>
      </c>
      <c r="K5720" s="561">
        <v>0</v>
      </c>
      <c r="L5720" s="561">
        <v>0</v>
      </c>
      <c r="M5720" s="561">
        <v>0</v>
      </c>
      <c r="P5720" s="561">
        <v>0</v>
      </c>
    </row>
    <row r="5721" spans="1:78">
      <c r="F5721" s="561">
        <v>0</v>
      </c>
      <c r="G5721" s="561">
        <v>0</v>
      </c>
      <c r="H5721" s="561">
        <v>0</v>
      </c>
      <c r="I5721" s="561">
        <v>0</v>
      </c>
      <c r="J5721" s="561">
        <v>0</v>
      </c>
      <c r="K5721" s="561">
        <v>0</v>
      </c>
      <c r="L5721" s="561">
        <v>0</v>
      </c>
      <c r="M5721" s="561">
        <v>0</v>
      </c>
      <c r="P5721" s="561">
        <v>0</v>
      </c>
    </row>
    <row r="5722" spans="1:78">
      <c r="A5722" s="561">
        <v>17</v>
      </c>
      <c r="B5722" s="561" t="s">
        <v>1711</v>
      </c>
      <c r="C5722" s="561" t="s">
        <v>1267</v>
      </c>
      <c r="D5722" s="561">
        <v>23200</v>
      </c>
      <c r="E5722" s="561">
        <v>5460</v>
      </c>
      <c r="F5722" s="561">
        <v>17740</v>
      </c>
      <c r="G5722" s="561">
        <v>1271</v>
      </c>
      <c r="H5722" s="561">
        <v>23392.404060000001</v>
      </c>
      <c r="I5722" s="561">
        <v>1</v>
      </c>
      <c r="J5722" s="561">
        <v>189.87764000000084</v>
      </c>
      <c r="K5722" s="561">
        <v>1270</v>
      </c>
      <c r="L5722" s="561">
        <v>23202.526420000002</v>
      </c>
      <c r="M5722" s="561">
        <v>23200</v>
      </c>
      <c r="N5722" s="561">
        <v>4853.3339999999998</v>
      </c>
      <c r="O5722" s="561">
        <v>606.66600000000005</v>
      </c>
      <c r="P5722" s="561">
        <v>17740</v>
      </c>
    </row>
    <row r="5723" spans="1:78">
      <c r="C5723" s="561" t="s">
        <v>1197</v>
      </c>
      <c r="F5723" s="561">
        <v>0</v>
      </c>
      <c r="G5723" s="561">
        <v>0</v>
      </c>
      <c r="H5723" s="561">
        <v>0</v>
      </c>
      <c r="I5723" s="561">
        <v>0</v>
      </c>
      <c r="J5723" s="561">
        <v>0</v>
      </c>
      <c r="K5723" s="561">
        <v>0</v>
      </c>
      <c r="L5723" s="561">
        <v>0</v>
      </c>
      <c r="M5723" s="561">
        <v>0</v>
      </c>
      <c r="N5723" s="561">
        <v>0</v>
      </c>
      <c r="O5723" s="561">
        <v>0</v>
      </c>
      <c r="P5723" s="561">
        <v>0</v>
      </c>
    </row>
    <row r="5724" spans="1:78">
      <c r="C5724" s="561" t="s">
        <v>1198</v>
      </c>
      <c r="F5724" s="561">
        <v>0</v>
      </c>
      <c r="G5724" s="561">
        <v>0</v>
      </c>
      <c r="H5724" s="561">
        <v>0</v>
      </c>
      <c r="I5724" s="561">
        <v>0</v>
      </c>
      <c r="J5724" s="561">
        <v>0</v>
      </c>
      <c r="K5724" s="561">
        <v>0</v>
      </c>
      <c r="L5724" s="561">
        <v>0</v>
      </c>
      <c r="M5724" s="561">
        <v>0</v>
      </c>
      <c r="N5724" s="561">
        <v>0</v>
      </c>
      <c r="O5724" s="561">
        <v>0</v>
      </c>
      <c r="P5724" s="561">
        <v>0</v>
      </c>
    </row>
    <row r="5725" spans="1:78">
      <c r="C5725" s="561" t="s">
        <v>1199</v>
      </c>
      <c r="D5725" s="561">
        <v>23200</v>
      </c>
      <c r="E5725" s="561">
        <v>5460</v>
      </c>
      <c r="F5725" s="561">
        <v>17740</v>
      </c>
      <c r="G5725" s="561">
        <v>1271</v>
      </c>
      <c r="H5725" s="561">
        <v>23392.404060000001</v>
      </c>
      <c r="I5725" s="561">
        <v>1</v>
      </c>
      <c r="J5725" s="561">
        <v>189.87764000000084</v>
      </c>
      <c r="K5725" s="561">
        <v>1270</v>
      </c>
      <c r="L5725" s="561">
        <v>23202.526420000002</v>
      </c>
      <c r="M5725" s="561">
        <v>23200</v>
      </c>
      <c r="N5725" s="561">
        <v>4853.3339999999998</v>
      </c>
      <c r="O5725" s="561">
        <v>606.66600000000005</v>
      </c>
      <c r="BZ5725" s="561">
        <v>17740</v>
      </c>
    </row>
    <row r="5726" spans="1:78">
      <c r="A5726" s="561">
        <v>18</v>
      </c>
      <c r="B5726" s="561" t="s">
        <v>1712</v>
      </c>
      <c r="C5726" s="561" t="s">
        <v>1267</v>
      </c>
      <c r="D5726" s="561">
        <v>21916</v>
      </c>
      <c r="E5726" s="561">
        <v>4620</v>
      </c>
      <c r="F5726" s="561">
        <v>17296</v>
      </c>
      <c r="G5726" s="561">
        <v>1212</v>
      </c>
      <c r="H5726" s="561">
        <v>22285.715319999996</v>
      </c>
      <c r="I5726" s="561">
        <v>6</v>
      </c>
      <c r="J5726" s="561">
        <v>368.63925000000154</v>
      </c>
      <c r="K5726" s="561">
        <v>1206</v>
      </c>
      <c r="L5726" s="561">
        <v>21917.076069999999</v>
      </c>
      <c r="M5726" s="561">
        <v>21916</v>
      </c>
      <c r="N5726" s="561">
        <v>4106.6660000000002</v>
      </c>
      <c r="O5726" s="561">
        <v>513.33399999999995</v>
      </c>
      <c r="P5726" s="561">
        <v>17296</v>
      </c>
    </row>
    <row r="5727" spans="1:78">
      <c r="C5727" s="561" t="s">
        <v>1197</v>
      </c>
      <c r="F5727" s="561">
        <v>0</v>
      </c>
      <c r="G5727" s="561">
        <v>0</v>
      </c>
      <c r="H5727" s="561">
        <v>0</v>
      </c>
      <c r="I5727" s="561">
        <v>0</v>
      </c>
      <c r="J5727" s="561">
        <v>0</v>
      </c>
      <c r="K5727" s="561">
        <v>0</v>
      </c>
      <c r="L5727" s="561">
        <v>0</v>
      </c>
      <c r="M5727" s="561">
        <v>0</v>
      </c>
      <c r="N5727" s="561">
        <v>0</v>
      </c>
      <c r="O5727" s="561">
        <v>0</v>
      </c>
      <c r="P5727" s="561">
        <v>0</v>
      </c>
    </row>
    <row r="5728" spans="1:78">
      <c r="C5728" s="561" t="s">
        <v>1198</v>
      </c>
      <c r="F5728" s="561">
        <v>0</v>
      </c>
      <c r="G5728" s="561">
        <v>0</v>
      </c>
      <c r="H5728" s="561">
        <v>0</v>
      </c>
      <c r="I5728" s="561">
        <v>0</v>
      </c>
      <c r="J5728" s="561">
        <v>0</v>
      </c>
      <c r="K5728" s="561">
        <v>0</v>
      </c>
      <c r="L5728" s="561">
        <v>0</v>
      </c>
      <c r="M5728" s="561">
        <v>0</v>
      </c>
      <c r="N5728" s="561">
        <v>0</v>
      </c>
      <c r="O5728" s="561">
        <v>0</v>
      </c>
      <c r="P5728" s="561">
        <v>0</v>
      </c>
    </row>
    <row r="5729" spans="1:78">
      <c r="C5729" s="561" t="s">
        <v>1199</v>
      </c>
      <c r="D5729" s="561">
        <v>21916</v>
      </c>
      <c r="E5729" s="561">
        <v>4620</v>
      </c>
      <c r="F5729" s="561">
        <v>17296</v>
      </c>
      <c r="G5729" s="561">
        <v>1212</v>
      </c>
      <c r="H5729" s="561">
        <v>22285.715319999996</v>
      </c>
      <c r="I5729" s="561">
        <v>6</v>
      </c>
      <c r="J5729" s="561">
        <v>368.63925000000154</v>
      </c>
      <c r="K5729" s="561">
        <v>1206</v>
      </c>
      <c r="L5729" s="561">
        <v>21917.076069999999</v>
      </c>
      <c r="M5729" s="561">
        <v>21916</v>
      </c>
      <c r="N5729" s="561">
        <v>4106.6660000000002</v>
      </c>
      <c r="O5729" s="561">
        <v>513.33399999999995</v>
      </c>
      <c r="BZ5729" s="561">
        <v>17296</v>
      </c>
    </row>
    <row r="5730" spans="1:78">
      <c r="A5730" s="561">
        <v>19</v>
      </c>
      <c r="B5730" s="561" t="s">
        <v>1713</v>
      </c>
      <c r="C5730" s="561" t="s">
        <v>1267</v>
      </c>
      <c r="D5730" s="561">
        <v>7600</v>
      </c>
      <c r="E5730" s="561">
        <v>2100</v>
      </c>
      <c r="F5730" s="561">
        <v>5500</v>
      </c>
      <c r="G5730" s="561">
        <v>416</v>
      </c>
      <c r="H5730" s="561">
        <v>7715.7597100000003</v>
      </c>
      <c r="I5730" s="561">
        <v>1</v>
      </c>
      <c r="J5730" s="561">
        <v>115.20480999999961</v>
      </c>
      <c r="K5730" s="561">
        <v>415</v>
      </c>
      <c r="L5730" s="561">
        <v>7600.554900000001</v>
      </c>
      <c r="M5730" s="561">
        <v>7600.0000000000009</v>
      </c>
      <c r="N5730" s="561">
        <v>2100</v>
      </c>
      <c r="O5730" s="561">
        <v>0</v>
      </c>
      <c r="P5730" s="561">
        <v>5500.0000000000009</v>
      </c>
    </row>
    <row r="5731" spans="1:78">
      <c r="C5731" s="561" t="s">
        <v>1197</v>
      </c>
      <c r="F5731" s="561">
        <v>0</v>
      </c>
      <c r="G5731" s="561">
        <v>0</v>
      </c>
      <c r="H5731" s="561">
        <v>0</v>
      </c>
      <c r="I5731" s="561">
        <v>0</v>
      </c>
      <c r="J5731" s="561">
        <v>0</v>
      </c>
      <c r="K5731" s="561">
        <v>0</v>
      </c>
      <c r="L5731" s="561">
        <v>0</v>
      </c>
      <c r="M5731" s="561">
        <v>0</v>
      </c>
      <c r="N5731" s="561">
        <v>0</v>
      </c>
      <c r="O5731" s="561">
        <v>0</v>
      </c>
      <c r="P5731" s="561">
        <v>0</v>
      </c>
    </row>
    <row r="5732" spans="1:78">
      <c r="C5732" s="561" t="s">
        <v>1198</v>
      </c>
      <c r="F5732" s="561">
        <v>0</v>
      </c>
      <c r="G5732" s="561">
        <v>0</v>
      </c>
      <c r="H5732" s="561">
        <v>0</v>
      </c>
      <c r="I5732" s="561">
        <v>0</v>
      </c>
      <c r="J5732" s="561">
        <v>0</v>
      </c>
      <c r="K5732" s="561">
        <v>0</v>
      </c>
      <c r="L5732" s="561">
        <v>0</v>
      </c>
      <c r="M5732" s="561">
        <v>0</v>
      </c>
      <c r="N5732" s="561">
        <v>0</v>
      </c>
      <c r="O5732" s="561">
        <v>0</v>
      </c>
      <c r="P5732" s="561">
        <v>0</v>
      </c>
    </row>
    <row r="5733" spans="1:78">
      <c r="C5733" s="561" t="s">
        <v>1199</v>
      </c>
      <c r="D5733" s="561">
        <v>7600</v>
      </c>
      <c r="E5733" s="561">
        <v>2100</v>
      </c>
      <c r="F5733" s="561">
        <v>5500</v>
      </c>
      <c r="G5733" s="561">
        <v>416</v>
      </c>
      <c r="H5733" s="561">
        <v>7715.7597100000003</v>
      </c>
      <c r="I5733" s="561">
        <v>1</v>
      </c>
      <c r="J5733" s="561">
        <v>115.20480999999961</v>
      </c>
      <c r="K5733" s="561">
        <v>415</v>
      </c>
      <c r="L5733" s="561">
        <v>7600.554900000001</v>
      </c>
      <c r="M5733" s="561">
        <v>7600.0000000000009</v>
      </c>
      <c r="N5733" s="561">
        <v>2100</v>
      </c>
      <c r="O5733" s="561">
        <v>0</v>
      </c>
      <c r="AL5733" s="561">
        <v>5500.0000000000009</v>
      </c>
    </row>
    <row r="5734" spans="1:78">
      <c r="A5734" s="561">
        <v>20</v>
      </c>
      <c r="B5734" s="561" t="s">
        <v>1714</v>
      </c>
      <c r="C5734" s="561" t="s">
        <v>1267</v>
      </c>
      <c r="D5734" s="561">
        <v>10450</v>
      </c>
      <c r="E5734" s="561">
        <v>2925</v>
      </c>
      <c r="F5734" s="561">
        <v>7525</v>
      </c>
      <c r="G5734" s="561">
        <v>579</v>
      </c>
      <c r="H5734" s="561">
        <v>10566.891309999999</v>
      </c>
      <c r="I5734" s="561">
        <v>2</v>
      </c>
      <c r="J5734" s="561">
        <v>117.60501999999985</v>
      </c>
      <c r="K5734" s="561">
        <v>577</v>
      </c>
      <c r="L5734" s="561">
        <v>10449.286289999998</v>
      </c>
      <c r="M5734" s="561">
        <v>10449.286289999998</v>
      </c>
      <c r="N5734" s="561">
        <v>2796.8939799999998</v>
      </c>
      <c r="O5734" s="561">
        <v>128.10602</v>
      </c>
      <c r="P5734" s="561">
        <v>7524.2862900000009</v>
      </c>
    </row>
    <row r="5735" spans="1:78">
      <c r="C5735" s="561" t="s">
        <v>1197</v>
      </c>
      <c r="F5735" s="561">
        <v>0</v>
      </c>
      <c r="G5735" s="561">
        <v>0</v>
      </c>
      <c r="H5735" s="561">
        <v>0</v>
      </c>
      <c r="I5735" s="561">
        <v>0</v>
      </c>
      <c r="J5735" s="561">
        <v>0</v>
      </c>
      <c r="K5735" s="561">
        <v>0</v>
      </c>
      <c r="L5735" s="561">
        <v>0</v>
      </c>
      <c r="M5735" s="561">
        <v>0</v>
      </c>
      <c r="N5735" s="561">
        <v>0</v>
      </c>
      <c r="O5735" s="561">
        <v>0</v>
      </c>
      <c r="P5735" s="561">
        <v>0</v>
      </c>
    </row>
    <row r="5736" spans="1:78">
      <c r="C5736" s="561" t="s">
        <v>1198</v>
      </c>
      <c r="F5736" s="561">
        <v>0</v>
      </c>
      <c r="G5736" s="561">
        <v>0</v>
      </c>
      <c r="H5736" s="561">
        <v>0</v>
      </c>
      <c r="I5736" s="561">
        <v>0</v>
      </c>
      <c r="J5736" s="561">
        <v>0</v>
      </c>
      <c r="K5736" s="561">
        <v>0</v>
      </c>
      <c r="L5736" s="561">
        <v>0</v>
      </c>
      <c r="M5736" s="561">
        <v>0</v>
      </c>
      <c r="N5736" s="561">
        <v>0</v>
      </c>
      <c r="O5736" s="561">
        <v>0</v>
      </c>
      <c r="P5736" s="561">
        <v>0</v>
      </c>
    </row>
    <row r="5737" spans="1:78">
      <c r="C5737" s="561" t="s">
        <v>1199</v>
      </c>
      <c r="D5737" s="561">
        <v>10450</v>
      </c>
      <c r="E5737" s="561">
        <v>2925</v>
      </c>
      <c r="F5737" s="561">
        <v>7525</v>
      </c>
      <c r="G5737" s="561">
        <v>579</v>
      </c>
      <c r="H5737" s="561">
        <v>10566.891309999999</v>
      </c>
      <c r="I5737" s="561">
        <v>2</v>
      </c>
      <c r="J5737" s="561">
        <v>117.60501999999985</v>
      </c>
      <c r="K5737" s="561">
        <v>577</v>
      </c>
      <c r="L5737" s="561">
        <v>10449.286289999998</v>
      </c>
      <c r="M5737" s="561">
        <v>10449.286289999998</v>
      </c>
      <c r="N5737" s="561">
        <v>2796.8939799999998</v>
      </c>
      <c r="O5737" s="561">
        <v>128.10602</v>
      </c>
      <c r="BZ5737" s="561">
        <v>7524.2862900000009</v>
      </c>
    </row>
    <row r="5738" spans="1:78">
      <c r="A5738" s="561">
        <v>21</v>
      </c>
      <c r="B5738" s="561" t="s">
        <v>1715</v>
      </c>
      <c r="C5738" s="561" t="s">
        <v>1267</v>
      </c>
      <c r="D5738" s="561">
        <v>15800</v>
      </c>
      <c r="E5738" s="561">
        <v>3990</v>
      </c>
      <c r="F5738" s="561">
        <v>11810</v>
      </c>
      <c r="G5738" s="561">
        <v>849</v>
      </c>
      <c r="H5738" s="561">
        <v>16133.267180000001</v>
      </c>
      <c r="I5738" s="561">
        <v>7</v>
      </c>
      <c r="J5738" s="561">
        <v>332.03973000000178</v>
      </c>
      <c r="K5738" s="561">
        <v>842</v>
      </c>
      <c r="L5738" s="561">
        <v>15801.22745</v>
      </c>
      <c r="M5738" s="561">
        <v>15800</v>
      </c>
      <c r="N5738" s="561">
        <v>3546.6659999999997</v>
      </c>
      <c r="O5738" s="561">
        <v>443.334</v>
      </c>
      <c r="P5738" s="561">
        <v>11810</v>
      </c>
    </row>
    <row r="5739" spans="1:78">
      <c r="C5739" s="561" t="s">
        <v>1197</v>
      </c>
      <c r="F5739" s="561">
        <v>0</v>
      </c>
      <c r="G5739" s="561">
        <v>0</v>
      </c>
      <c r="H5739" s="561">
        <v>0</v>
      </c>
      <c r="I5739" s="561">
        <v>0</v>
      </c>
      <c r="J5739" s="561">
        <v>0</v>
      </c>
      <c r="K5739" s="561">
        <v>0</v>
      </c>
      <c r="L5739" s="561">
        <v>0</v>
      </c>
      <c r="M5739" s="561">
        <v>0</v>
      </c>
      <c r="N5739" s="561">
        <v>0</v>
      </c>
      <c r="O5739" s="561">
        <v>0</v>
      </c>
      <c r="P5739" s="561">
        <v>0</v>
      </c>
    </row>
    <row r="5740" spans="1:78">
      <c r="C5740" s="561" t="s">
        <v>1198</v>
      </c>
      <c r="F5740" s="561">
        <v>0</v>
      </c>
      <c r="G5740" s="561">
        <v>0</v>
      </c>
      <c r="H5740" s="561">
        <v>0</v>
      </c>
      <c r="I5740" s="561">
        <v>0</v>
      </c>
      <c r="J5740" s="561">
        <v>0</v>
      </c>
      <c r="K5740" s="561">
        <v>0</v>
      </c>
      <c r="L5740" s="561">
        <v>0</v>
      </c>
      <c r="M5740" s="561">
        <v>0</v>
      </c>
      <c r="N5740" s="561">
        <v>0</v>
      </c>
      <c r="O5740" s="561">
        <v>0</v>
      </c>
      <c r="P5740" s="561">
        <v>0</v>
      </c>
    </row>
    <row r="5741" spans="1:78">
      <c r="C5741" s="561" t="s">
        <v>1199</v>
      </c>
      <c r="D5741" s="561">
        <v>15800</v>
      </c>
      <c r="E5741" s="561">
        <v>3990</v>
      </c>
      <c r="F5741" s="561">
        <v>11810</v>
      </c>
      <c r="G5741" s="561">
        <v>849</v>
      </c>
      <c r="H5741" s="561">
        <v>16133.267180000001</v>
      </c>
      <c r="I5741" s="561">
        <v>7</v>
      </c>
      <c r="J5741" s="561">
        <v>332.03973000000178</v>
      </c>
      <c r="K5741" s="561">
        <v>842</v>
      </c>
      <c r="L5741" s="561">
        <v>15801.22745</v>
      </c>
      <c r="M5741" s="561">
        <v>15800</v>
      </c>
      <c r="N5741" s="561">
        <v>3546.6659999999997</v>
      </c>
      <c r="O5741" s="561">
        <v>443.334</v>
      </c>
      <c r="BZ5741" s="561">
        <v>11810</v>
      </c>
    </row>
    <row r="5742" spans="1:78">
      <c r="A5742" s="561">
        <v>22</v>
      </c>
      <c r="B5742" s="561" t="s">
        <v>1716</v>
      </c>
      <c r="C5742" s="561" t="s">
        <v>1267</v>
      </c>
      <c r="D5742" s="561">
        <v>23000</v>
      </c>
      <c r="E5742" s="561">
        <v>6300</v>
      </c>
      <c r="F5742" s="561">
        <v>16700</v>
      </c>
      <c r="G5742" s="561">
        <v>1339</v>
      </c>
      <c r="H5742" s="561">
        <v>23181.314879999998</v>
      </c>
      <c r="I5742" s="561">
        <v>1</v>
      </c>
      <c r="J5742" s="561">
        <v>181.23939999999985</v>
      </c>
      <c r="K5742" s="561">
        <v>1338</v>
      </c>
      <c r="L5742" s="561">
        <v>23000.07548</v>
      </c>
      <c r="M5742" s="561">
        <v>23000</v>
      </c>
      <c r="N5742" s="561">
        <v>5717.3770599999998</v>
      </c>
      <c r="O5742" s="561">
        <v>582.62293999999997</v>
      </c>
      <c r="P5742" s="561">
        <v>16700</v>
      </c>
    </row>
    <row r="5743" spans="1:78">
      <c r="C5743" s="561" t="s">
        <v>1197</v>
      </c>
      <c r="F5743" s="561">
        <v>0</v>
      </c>
      <c r="G5743" s="561">
        <v>0</v>
      </c>
      <c r="H5743" s="561">
        <v>0</v>
      </c>
      <c r="I5743" s="561">
        <v>0</v>
      </c>
      <c r="J5743" s="561">
        <v>0</v>
      </c>
      <c r="K5743" s="561">
        <v>0</v>
      </c>
      <c r="L5743" s="561">
        <v>0</v>
      </c>
      <c r="M5743" s="561">
        <v>0</v>
      </c>
      <c r="N5743" s="561">
        <v>0</v>
      </c>
      <c r="O5743" s="561">
        <v>0</v>
      </c>
      <c r="P5743" s="561">
        <v>0</v>
      </c>
    </row>
    <row r="5744" spans="1:78">
      <c r="C5744" s="561" t="s">
        <v>1198</v>
      </c>
      <c r="F5744" s="561">
        <v>0</v>
      </c>
      <c r="G5744" s="561">
        <v>0</v>
      </c>
      <c r="H5744" s="561">
        <v>0</v>
      </c>
      <c r="I5744" s="561">
        <v>0</v>
      </c>
      <c r="J5744" s="561">
        <v>0</v>
      </c>
      <c r="K5744" s="561">
        <v>0</v>
      </c>
      <c r="L5744" s="561">
        <v>0</v>
      </c>
      <c r="M5744" s="561">
        <v>0</v>
      </c>
      <c r="N5744" s="561">
        <v>0</v>
      </c>
      <c r="O5744" s="561">
        <v>0</v>
      </c>
      <c r="P5744" s="561">
        <v>0</v>
      </c>
    </row>
    <row r="5745" spans="1:78">
      <c r="C5745" s="561" t="s">
        <v>1199</v>
      </c>
      <c r="D5745" s="561">
        <v>23000</v>
      </c>
      <c r="E5745" s="561">
        <v>6300</v>
      </c>
      <c r="F5745" s="561">
        <v>16700</v>
      </c>
      <c r="G5745" s="561">
        <v>1339</v>
      </c>
      <c r="H5745" s="561">
        <v>23181.314879999998</v>
      </c>
      <c r="I5745" s="561">
        <v>1</v>
      </c>
      <c r="J5745" s="561">
        <v>181.23939999999985</v>
      </c>
      <c r="K5745" s="561">
        <v>1338</v>
      </c>
      <c r="L5745" s="561">
        <v>23000.07548</v>
      </c>
      <c r="M5745" s="561">
        <v>23000</v>
      </c>
      <c r="N5745" s="561">
        <v>5717.3770599999998</v>
      </c>
      <c r="O5745" s="561">
        <v>582.62293999999997</v>
      </c>
      <c r="BZ5745" s="561">
        <v>16700</v>
      </c>
    </row>
    <row r="5746" spans="1:78">
      <c r="A5746" s="561">
        <v>23</v>
      </c>
      <c r="B5746" s="561" t="s">
        <v>1717</v>
      </c>
      <c r="C5746" s="561" t="s">
        <v>1267</v>
      </c>
      <c r="D5746" s="561">
        <v>13000</v>
      </c>
      <c r="E5746" s="561">
        <v>3900</v>
      </c>
      <c r="F5746" s="561">
        <v>9100</v>
      </c>
      <c r="G5746" s="561">
        <v>954</v>
      </c>
      <c r="H5746" s="561">
        <v>13038.588899999999</v>
      </c>
      <c r="I5746" s="561">
        <v>0</v>
      </c>
      <c r="J5746" s="561">
        <v>40.130379999998695</v>
      </c>
      <c r="K5746" s="561">
        <v>954</v>
      </c>
      <c r="L5746" s="561">
        <v>12998.45852</v>
      </c>
      <c r="M5746" s="561">
        <v>12998.45852</v>
      </c>
      <c r="N5746" s="561">
        <v>3466.6640000000002</v>
      </c>
      <c r="O5746" s="561">
        <v>433.33600000000001</v>
      </c>
      <c r="P5746" s="561">
        <v>9098.4585199999983</v>
      </c>
    </row>
    <row r="5747" spans="1:78">
      <c r="C5747" s="561" t="s">
        <v>1197</v>
      </c>
      <c r="F5747" s="561">
        <v>0</v>
      </c>
      <c r="G5747" s="561">
        <v>0</v>
      </c>
      <c r="H5747" s="561">
        <v>0</v>
      </c>
      <c r="I5747" s="561">
        <v>0</v>
      </c>
      <c r="J5747" s="561">
        <v>0</v>
      </c>
      <c r="K5747" s="561">
        <v>0</v>
      </c>
      <c r="L5747" s="561">
        <v>0</v>
      </c>
      <c r="M5747" s="561">
        <v>0</v>
      </c>
      <c r="N5747" s="561">
        <v>0</v>
      </c>
      <c r="O5747" s="561">
        <v>0</v>
      </c>
      <c r="P5747" s="561">
        <v>0</v>
      </c>
    </row>
    <row r="5748" spans="1:78">
      <c r="C5748" s="561" t="s">
        <v>1198</v>
      </c>
      <c r="F5748" s="561">
        <v>0</v>
      </c>
      <c r="G5748" s="561">
        <v>0</v>
      </c>
      <c r="H5748" s="561">
        <v>0</v>
      </c>
      <c r="I5748" s="561">
        <v>0</v>
      </c>
      <c r="J5748" s="561">
        <v>0</v>
      </c>
      <c r="K5748" s="561">
        <v>0</v>
      </c>
      <c r="L5748" s="561">
        <v>0</v>
      </c>
      <c r="M5748" s="561">
        <v>0</v>
      </c>
      <c r="N5748" s="561">
        <v>0</v>
      </c>
      <c r="O5748" s="561">
        <v>0</v>
      </c>
      <c r="P5748" s="561">
        <v>0</v>
      </c>
    </row>
    <row r="5749" spans="1:78">
      <c r="C5749" s="561" t="s">
        <v>1199</v>
      </c>
      <c r="D5749" s="561">
        <v>13000</v>
      </c>
      <c r="E5749" s="561">
        <v>3900</v>
      </c>
      <c r="F5749" s="561">
        <v>9100</v>
      </c>
      <c r="G5749" s="561">
        <v>954</v>
      </c>
      <c r="H5749" s="561">
        <v>13038.588899999999</v>
      </c>
      <c r="I5749" s="561">
        <v>0</v>
      </c>
      <c r="J5749" s="561">
        <v>40.130379999998695</v>
      </c>
      <c r="K5749" s="561">
        <v>954</v>
      </c>
      <c r="L5749" s="561">
        <v>12998.45852</v>
      </c>
      <c r="M5749" s="561">
        <v>12998.45852</v>
      </c>
      <c r="N5749" s="561">
        <v>3466.6640000000002</v>
      </c>
      <c r="O5749" s="561">
        <v>433.33600000000001</v>
      </c>
      <c r="BZ5749" s="561">
        <v>9098.4585199999983</v>
      </c>
    </row>
    <row r="5750" spans="1:78">
      <c r="A5750" s="561">
        <v>24</v>
      </c>
      <c r="B5750" s="561" t="s">
        <v>1718</v>
      </c>
      <c r="C5750" s="561" t="s">
        <v>1267</v>
      </c>
      <c r="D5750" s="561">
        <v>19596</v>
      </c>
      <c r="E5750" s="561">
        <v>5040</v>
      </c>
      <c r="F5750" s="561">
        <v>14556</v>
      </c>
      <c r="G5750" s="561">
        <v>1154</v>
      </c>
      <c r="H5750" s="561">
        <v>19752.953130000002</v>
      </c>
      <c r="I5750" s="561">
        <v>0</v>
      </c>
      <c r="J5750" s="561">
        <v>156.92496000000062</v>
      </c>
      <c r="K5750" s="561">
        <v>1154</v>
      </c>
      <c r="L5750" s="561">
        <v>19596.028169999998</v>
      </c>
      <c r="M5750" s="561">
        <v>19596</v>
      </c>
      <c r="N5750" s="561">
        <v>3920</v>
      </c>
      <c r="O5750" s="561">
        <v>1120</v>
      </c>
      <c r="P5750" s="561">
        <v>14556</v>
      </c>
    </row>
    <row r="5751" spans="1:78">
      <c r="C5751" s="561" t="s">
        <v>1197</v>
      </c>
      <c r="F5751" s="561">
        <v>0</v>
      </c>
      <c r="G5751" s="561">
        <v>0</v>
      </c>
      <c r="H5751" s="561">
        <v>0</v>
      </c>
      <c r="I5751" s="561">
        <v>0</v>
      </c>
      <c r="J5751" s="561">
        <v>0</v>
      </c>
      <c r="K5751" s="561">
        <v>0</v>
      </c>
      <c r="L5751" s="561">
        <v>0</v>
      </c>
      <c r="M5751" s="561">
        <v>0</v>
      </c>
      <c r="N5751" s="561">
        <v>0</v>
      </c>
      <c r="O5751" s="561">
        <v>0</v>
      </c>
      <c r="P5751" s="561">
        <v>0</v>
      </c>
    </row>
    <row r="5752" spans="1:78">
      <c r="C5752" s="561" t="s">
        <v>1198</v>
      </c>
      <c r="F5752" s="561">
        <v>0</v>
      </c>
      <c r="G5752" s="561">
        <v>0</v>
      </c>
      <c r="H5752" s="561">
        <v>0</v>
      </c>
      <c r="I5752" s="561">
        <v>0</v>
      </c>
      <c r="J5752" s="561">
        <v>0</v>
      </c>
      <c r="K5752" s="561">
        <v>0</v>
      </c>
      <c r="L5752" s="561">
        <v>0</v>
      </c>
      <c r="M5752" s="561">
        <v>0</v>
      </c>
      <c r="N5752" s="561">
        <v>0</v>
      </c>
      <c r="O5752" s="561">
        <v>0</v>
      </c>
      <c r="P5752" s="561">
        <v>0</v>
      </c>
    </row>
    <row r="5753" spans="1:78">
      <c r="C5753" s="561" t="s">
        <v>1199</v>
      </c>
      <c r="D5753" s="561">
        <v>19596</v>
      </c>
      <c r="E5753" s="561">
        <v>5040</v>
      </c>
      <c r="F5753" s="561">
        <v>14556</v>
      </c>
      <c r="G5753" s="561">
        <v>1154</v>
      </c>
      <c r="H5753" s="561">
        <v>19752.953130000002</v>
      </c>
      <c r="I5753" s="561">
        <v>0</v>
      </c>
      <c r="J5753" s="561">
        <v>156.92496000000062</v>
      </c>
      <c r="K5753" s="561">
        <v>1154</v>
      </c>
      <c r="L5753" s="561">
        <v>19596.028169999998</v>
      </c>
      <c r="M5753" s="561">
        <v>19596</v>
      </c>
      <c r="N5753" s="561">
        <v>3920</v>
      </c>
      <c r="O5753" s="561">
        <v>1120</v>
      </c>
      <c r="AL5753" s="561">
        <v>14556</v>
      </c>
    </row>
    <row r="5754" spans="1:78">
      <c r="A5754" s="561">
        <v>25</v>
      </c>
      <c r="B5754" s="561" t="s">
        <v>1719</v>
      </c>
      <c r="C5754" s="561" t="s">
        <v>1267</v>
      </c>
      <c r="D5754" s="561">
        <v>234867</v>
      </c>
      <c r="E5754" s="561">
        <v>70460.099999999991</v>
      </c>
      <c r="F5754" s="561">
        <v>164406.90000000002</v>
      </c>
      <c r="G5754" s="561">
        <v>965</v>
      </c>
      <c r="H5754" s="561">
        <v>241155.96523999999</v>
      </c>
      <c r="I5754" s="561">
        <v>0</v>
      </c>
      <c r="J5754" s="561">
        <v>126.03603999999905</v>
      </c>
      <c r="K5754" s="561">
        <v>965</v>
      </c>
      <c r="L5754" s="561">
        <v>241029.92920000001</v>
      </c>
      <c r="M5754" s="561">
        <v>234867</v>
      </c>
      <c r="N5754" s="561">
        <v>70460.099999999991</v>
      </c>
      <c r="O5754" s="561">
        <v>0</v>
      </c>
      <c r="P5754" s="561">
        <v>164406.90000000002</v>
      </c>
    </row>
    <row r="5755" spans="1:78">
      <c r="C5755" s="561" t="s">
        <v>1197</v>
      </c>
      <c r="F5755" s="561">
        <v>0</v>
      </c>
      <c r="G5755" s="561">
        <v>0</v>
      </c>
      <c r="H5755" s="561">
        <v>0</v>
      </c>
      <c r="I5755" s="561">
        <v>0</v>
      </c>
      <c r="J5755" s="561">
        <v>0</v>
      </c>
      <c r="K5755" s="561">
        <v>0</v>
      </c>
      <c r="L5755" s="561">
        <v>0</v>
      </c>
      <c r="M5755" s="561">
        <v>0</v>
      </c>
      <c r="N5755" s="561">
        <v>0</v>
      </c>
      <c r="O5755" s="561">
        <v>0</v>
      </c>
      <c r="P5755" s="561">
        <v>0</v>
      </c>
    </row>
    <row r="5756" spans="1:78">
      <c r="C5756" s="561" t="s">
        <v>1198</v>
      </c>
      <c r="F5756" s="561">
        <v>0</v>
      </c>
      <c r="G5756" s="561">
        <v>0</v>
      </c>
      <c r="H5756" s="561">
        <v>0</v>
      </c>
      <c r="I5756" s="561">
        <v>0</v>
      </c>
      <c r="J5756" s="561">
        <v>0</v>
      </c>
      <c r="K5756" s="561">
        <v>0</v>
      </c>
      <c r="L5756" s="561">
        <v>0</v>
      </c>
      <c r="M5756" s="561">
        <v>0</v>
      </c>
      <c r="N5756" s="561">
        <v>0</v>
      </c>
      <c r="O5756" s="561">
        <v>0</v>
      </c>
      <c r="P5756" s="561">
        <v>0</v>
      </c>
    </row>
    <row r="5757" spans="1:78">
      <c r="C5757" s="561" t="s">
        <v>1199</v>
      </c>
      <c r="D5757" s="561">
        <v>234867</v>
      </c>
      <c r="E5757" s="561">
        <v>70460.099999999991</v>
      </c>
      <c r="F5757" s="561">
        <v>164406.90000000002</v>
      </c>
      <c r="G5757" s="561">
        <v>965</v>
      </c>
      <c r="H5757" s="561">
        <v>241155.96523999999</v>
      </c>
      <c r="I5757" s="561">
        <v>0</v>
      </c>
      <c r="J5757" s="561">
        <v>126.03603999999905</v>
      </c>
      <c r="K5757" s="561">
        <v>965</v>
      </c>
      <c r="L5757" s="561">
        <v>241029.92920000001</v>
      </c>
      <c r="M5757" s="561">
        <v>234867</v>
      </c>
      <c r="N5757" s="561">
        <v>70460.099999999991</v>
      </c>
      <c r="O5757" s="561">
        <v>0</v>
      </c>
      <c r="AL5757" s="561">
        <v>164406.90000000002</v>
      </c>
    </row>
    <row r="5758" spans="1:78">
      <c r="A5758" s="561">
        <v>26</v>
      </c>
      <c r="B5758" s="561" t="s">
        <v>1720</v>
      </c>
      <c r="C5758" s="561" t="s">
        <v>1267</v>
      </c>
      <c r="D5758" s="561">
        <v>4589</v>
      </c>
      <c r="E5758" s="561">
        <v>1260</v>
      </c>
      <c r="F5758" s="561">
        <v>3329</v>
      </c>
      <c r="G5758" s="561">
        <v>254</v>
      </c>
      <c r="H5758" s="561">
        <v>4681.2649499999998</v>
      </c>
      <c r="I5758" s="561">
        <v>0</v>
      </c>
      <c r="J5758" s="561">
        <v>93.240779999999177</v>
      </c>
      <c r="K5758" s="561">
        <v>254</v>
      </c>
      <c r="L5758" s="561">
        <v>4588.0241700000006</v>
      </c>
      <c r="M5758" s="561">
        <v>4588.0241700000006</v>
      </c>
      <c r="N5758" s="561">
        <v>1120</v>
      </c>
      <c r="O5758" s="561">
        <v>140</v>
      </c>
      <c r="P5758" s="561">
        <v>3328.0241700000001</v>
      </c>
    </row>
    <row r="5759" spans="1:78">
      <c r="C5759" s="561" t="s">
        <v>1197</v>
      </c>
      <c r="F5759" s="561">
        <v>0</v>
      </c>
      <c r="G5759" s="561">
        <v>0</v>
      </c>
      <c r="H5759" s="561">
        <v>0</v>
      </c>
      <c r="I5759" s="561">
        <v>0</v>
      </c>
      <c r="J5759" s="561">
        <v>0</v>
      </c>
      <c r="K5759" s="561">
        <v>0</v>
      </c>
      <c r="L5759" s="561">
        <v>0</v>
      </c>
      <c r="M5759" s="561">
        <v>0</v>
      </c>
      <c r="N5759" s="561">
        <v>0</v>
      </c>
      <c r="O5759" s="561">
        <v>0</v>
      </c>
      <c r="P5759" s="561">
        <v>0</v>
      </c>
    </row>
    <row r="5760" spans="1:78">
      <c r="C5760" s="561" t="s">
        <v>1198</v>
      </c>
      <c r="F5760" s="561">
        <v>0</v>
      </c>
      <c r="G5760" s="561">
        <v>0</v>
      </c>
      <c r="H5760" s="561">
        <v>0</v>
      </c>
      <c r="I5760" s="561">
        <v>0</v>
      </c>
      <c r="J5760" s="561">
        <v>0</v>
      </c>
      <c r="K5760" s="561">
        <v>0</v>
      </c>
      <c r="L5760" s="561">
        <v>0</v>
      </c>
      <c r="M5760" s="561">
        <v>0</v>
      </c>
      <c r="N5760" s="561">
        <v>0</v>
      </c>
      <c r="O5760" s="561">
        <v>0</v>
      </c>
      <c r="P5760" s="561">
        <v>0</v>
      </c>
    </row>
    <row r="5761" spans="1:78">
      <c r="C5761" s="561" t="s">
        <v>1199</v>
      </c>
      <c r="D5761" s="561">
        <v>4589</v>
      </c>
      <c r="E5761" s="561">
        <v>1260</v>
      </c>
      <c r="F5761" s="561">
        <v>3329</v>
      </c>
      <c r="G5761" s="561">
        <v>254</v>
      </c>
      <c r="H5761" s="561">
        <v>4681.2649499999998</v>
      </c>
      <c r="I5761" s="561">
        <v>0</v>
      </c>
      <c r="J5761" s="561">
        <v>93.240779999999177</v>
      </c>
      <c r="K5761" s="561">
        <v>254</v>
      </c>
      <c r="L5761" s="561">
        <v>4588.0241700000006</v>
      </c>
      <c r="M5761" s="561">
        <v>4588.0241700000006</v>
      </c>
      <c r="N5761" s="561">
        <v>1120</v>
      </c>
      <c r="O5761" s="561">
        <v>140</v>
      </c>
      <c r="BZ5761" s="561">
        <v>3328.0241700000001</v>
      </c>
    </row>
    <row r="5762" spans="1:78">
      <c r="A5762" s="561">
        <v>27</v>
      </c>
      <c r="B5762" s="561" t="s">
        <v>1721</v>
      </c>
      <c r="C5762" s="561" t="s">
        <v>1267</v>
      </c>
      <c r="D5762" s="561">
        <v>68600</v>
      </c>
      <c r="E5762" s="561">
        <v>20580</v>
      </c>
      <c r="F5762" s="561">
        <v>48020</v>
      </c>
      <c r="G5762" s="561">
        <v>4427</v>
      </c>
      <c r="H5762" s="561">
        <v>70961.668999999994</v>
      </c>
      <c r="I5762" s="561">
        <v>31</v>
      </c>
      <c r="J5762" s="561">
        <v>2374.8511499999977</v>
      </c>
      <c r="K5762" s="561">
        <v>4396</v>
      </c>
      <c r="L5762" s="561">
        <v>68586.817850000007</v>
      </c>
      <c r="M5762" s="561">
        <v>68586.817850000007</v>
      </c>
      <c r="N5762" s="561">
        <v>20580</v>
      </c>
      <c r="O5762" s="561">
        <v>0</v>
      </c>
      <c r="P5762" s="561">
        <v>48006.817849999999</v>
      </c>
    </row>
    <row r="5763" spans="1:78">
      <c r="C5763" s="561" t="s">
        <v>1197</v>
      </c>
      <c r="F5763" s="561">
        <v>0</v>
      </c>
      <c r="G5763" s="561">
        <v>0</v>
      </c>
      <c r="H5763" s="561">
        <v>0</v>
      </c>
      <c r="I5763" s="561">
        <v>0</v>
      </c>
      <c r="J5763" s="561">
        <v>0</v>
      </c>
      <c r="K5763" s="561">
        <v>0</v>
      </c>
      <c r="L5763" s="561">
        <v>0</v>
      </c>
      <c r="M5763" s="561">
        <v>0</v>
      </c>
      <c r="N5763" s="561">
        <v>0</v>
      </c>
      <c r="O5763" s="561">
        <v>0</v>
      </c>
      <c r="P5763" s="561">
        <v>0</v>
      </c>
    </row>
    <row r="5764" spans="1:78">
      <c r="C5764" s="561" t="s">
        <v>1198</v>
      </c>
      <c r="F5764" s="561">
        <v>0</v>
      </c>
      <c r="G5764" s="561">
        <v>0</v>
      </c>
      <c r="H5764" s="561">
        <v>0</v>
      </c>
      <c r="I5764" s="561">
        <v>0</v>
      </c>
      <c r="J5764" s="561">
        <v>0</v>
      </c>
      <c r="K5764" s="561">
        <v>0</v>
      </c>
      <c r="L5764" s="561">
        <v>0</v>
      </c>
      <c r="M5764" s="561">
        <v>0</v>
      </c>
      <c r="N5764" s="561">
        <v>0</v>
      </c>
      <c r="O5764" s="561">
        <v>0</v>
      </c>
      <c r="P5764" s="561">
        <v>0</v>
      </c>
    </row>
    <row r="5765" spans="1:78">
      <c r="C5765" s="561" t="s">
        <v>1199</v>
      </c>
      <c r="D5765" s="561">
        <v>68600</v>
      </c>
      <c r="E5765" s="561">
        <v>20580</v>
      </c>
      <c r="F5765" s="561">
        <v>48020</v>
      </c>
      <c r="G5765" s="561">
        <v>4427</v>
      </c>
      <c r="H5765" s="561">
        <v>70961.668999999994</v>
      </c>
      <c r="I5765" s="561">
        <v>31</v>
      </c>
      <c r="J5765" s="561">
        <v>2374.8511499999977</v>
      </c>
      <c r="K5765" s="561">
        <v>4396</v>
      </c>
      <c r="L5765" s="561">
        <v>68586.817850000007</v>
      </c>
      <c r="M5765" s="561">
        <v>68586.817850000007</v>
      </c>
      <c r="N5765" s="561">
        <v>20580</v>
      </c>
      <c r="O5765" s="561">
        <v>0</v>
      </c>
      <c r="BZ5765" s="561">
        <v>48006.817849999999</v>
      </c>
    </row>
    <row r="5766" spans="1:78">
      <c r="A5766" s="561">
        <v>28</v>
      </c>
      <c r="B5766" s="561" t="s">
        <v>1722</v>
      </c>
      <c r="C5766" s="561" t="s">
        <v>1267</v>
      </c>
      <c r="D5766" s="561">
        <v>1750</v>
      </c>
      <c r="E5766" s="561">
        <v>525</v>
      </c>
      <c r="F5766" s="561">
        <v>1225</v>
      </c>
      <c r="G5766" s="561">
        <v>108</v>
      </c>
      <c r="H5766" s="561">
        <v>1794.84601</v>
      </c>
      <c r="I5766" s="561">
        <v>1</v>
      </c>
      <c r="J5766" s="561">
        <v>45.080569999999852</v>
      </c>
      <c r="K5766" s="561">
        <v>107</v>
      </c>
      <c r="L5766" s="561">
        <v>1749.7654400000001</v>
      </c>
      <c r="M5766" s="561">
        <v>1749.7654400000001</v>
      </c>
      <c r="N5766" s="561">
        <v>525</v>
      </c>
      <c r="O5766" s="561">
        <v>0</v>
      </c>
      <c r="P5766" s="561">
        <v>1224.7654400000001</v>
      </c>
    </row>
    <row r="5767" spans="1:78">
      <c r="C5767" s="561" t="s">
        <v>1197</v>
      </c>
      <c r="F5767" s="561">
        <v>0</v>
      </c>
      <c r="G5767" s="561">
        <v>0</v>
      </c>
      <c r="H5767" s="561">
        <v>0</v>
      </c>
      <c r="I5767" s="561">
        <v>0</v>
      </c>
      <c r="J5767" s="561">
        <v>0</v>
      </c>
      <c r="K5767" s="561">
        <v>0</v>
      </c>
      <c r="L5767" s="561">
        <v>0</v>
      </c>
      <c r="M5767" s="561">
        <v>0</v>
      </c>
      <c r="N5767" s="561">
        <v>0</v>
      </c>
      <c r="O5767" s="561">
        <v>0</v>
      </c>
      <c r="P5767" s="561">
        <v>0</v>
      </c>
    </row>
    <row r="5768" spans="1:78">
      <c r="C5768" s="561" t="s">
        <v>1198</v>
      </c>
      <c r="F5768" s="561">
        <v>0</v>
      </c>
      <c r="G5768" s="561">
        <v>0</v>
      </c>
      <c r="H5768" s="561">
        <v>0</v>
      </c>
      <c r="I5768" s="561">
        <v>0</v>
      </c>
      <c r="J5768" s="561">
        <v>0</v>
      </c>
      <c r="K5768" s="561">
        <v>0</v>
      </c>
      <c r="L5768" s="561">
        <v>0</v>
      </c>
      <c r="M5768" s="561">
        <v>0</v>
      </c>
      <c r="N5768" s="561">
        <v>0</v>
      </c>
      <c r="O5768" s="561">
        <v>0</v>
      </c>
      <c r="P5768" s="561">
        <v>0</v>
      </c>
    </row>
    <row r="5769" spans="1:78">
      <c r="C5769" s="561" t="s">
        <v>1199</v>
      </c>
      <c r="D5769" s="561">
        <v>1750</v>
      </c>
      <c r="E5769" s="561">
        <v>525</v>
      </c>
      <c r="F5769" s="561">
        <v>1225</v>
      </c>
      <c r="G5769" s="561">
        <v>108</v>
      </c>
      <c r="H5769" s="561">
        <v>1794.84601</v>
      </c>
      <c r="I5769" s="561">
        <v>1</v>
      </c>
      <c r="J5769" s="561">
        <v>45.080569999999852</v>
      </c>
      <c r="K5769" s="561">
        <v>107</v>
      </c>
      <c r="L5769" s="561">
        <v>1749.7654400000001</v>
      </c>
      <c r="M5769" s="561">
        <v>1749.7654400000001</v>
      </c>
      <c r="N5769" s="561">
        <v>525</v>
      </c>
      <c r="O5769" s="561">
        <v>0</v>
      </c>
      <c r="BM5769" s="561">
        <v>1224.7654400000001</v>
      </c>
    </row>
    <row r="5770" spans="1:78">
      <c r="A5770" s="561">
        <v>29</v>
      </c>
      <c r="B5770" s="561" t="s">
        <v>1723</v>
      </c>
      <c r="C5770" s="561" t="s">
        <v>1267</v>
      </c>
      <c r="D5770" s="561">
        <v>76300</v>
      </c>
      <c r="E5770" s="561">
        <v>22890</v>
      </c>
      <c r="F5770" s="561">
        <v>53410</v>
      </c>
      <c r="G5770" s="561">
        <v>4153</v>
      </c>
      <c r="H5770" s="561">
        <v>77963.758959999992</v>
      </c>
      <c r="I5770" s="561">
        <v>4</v>
      </c>
      <c r="J5770" s="561">
        <v>1663.2727100000047</v>
      </c>
      <c r="K5770" s="561">
        <v>4149</v>
      </c>
      <c r="L5770" s="561">
        <v>76300.486250000002</v>
      </c>
      <c r="M5770" s="561">
        <v>76300</v>
      </c>
      <c r="N5770" s="561">
        <v>20346.666000000001</v>
      </c>
      <c r="O5770" s="561">
        <v>2543.3339999999998</v>
      </c>
      <c r="P5770" s="561">
        <v>53410.000000000007</v>
      </c>
    </row>
    <row r="5771" spans="1:78">
      <c r="C5771" s="561" t="s">
        <v>1197</v>
      </c>
      <c r="F5771" s="561">
        <v>0</v>
      </c>
      <c r="G5771" s="561">
        <v>0</v>
      </c>
      <c r="H5771" s="561">
        <v>0</v>
      </c>
      <c r="I5771" s="561">
        <v>0</v>
      </c>
      <c r="J5771" s="561">
        <v>0</v>
      </c>
      <c r="K5771" s="561">
        <v>0</v>
      </c>
      <c r="L5771" s="561">
        <v>0</v>
      </c>
      <c r="M5771" s="561">
        <v>0</v>
      </c>
      <c r="N5771" s="561">
        <v>0</v>
      </c>
      <c r="O5771" s="561">
        <v>0</v>
      </c>
      <c r="P5771" s="561">
        <v>0</v>
      </c>
    </row>
    <row r="5772" spans="1:78">
      <c r="C5772" s="561" t="s">
        <v>1198</v>
      </c>
      <c r="F5772" s="561">
        <v>0</v>
      </c>
      <c r="G5772" s="561">
        <v>0</v>
      </c>
      <c r="H5772" s="561">
        <v>0</v>
      </c>
      <c r="I5772" s="561">
        <v>0</v>
      </c>
      <c r="J5772" s="561">
        <v>0</v>
      </c>
      <c r="K5772" s="561">
        <v>0</v>
      </c>
      <c r="L5772" s="561">
        <v>0</v>
      </c>
      <c r="M5772" s="561">
        <v>0</v>
      </c>
      <c r="N5772" s="561">
        <v>0</v>
      </c>
      <c r="O5772" s="561">
        <v>0</v>
      </c>
      <c r="P5772" s="561">
        <v>0</v>
      </c>
    </row>
    <row r="5773" spans="1:78">
      <c r="C5773" s="561" t="s">
        <v>1199</v>
      </c>
      <c r="D5773" s="561">
        <v>76300</v>
      </c>
      <c r="E5773" s="561">
        <v>22890</v>
      </c>
      <c r="F5773" s="561">
        <v>53410</v>
      </c>
      <c r="G5773" s="561">
        <v>4153</v>
      </c>
      <c r="H5773" s="561">
        <v>77963.758959999992</v>
      </c>
      <c r="I5773" s="561">
        <v>4</v>
      </c>
      <c r="J5773" s="561">
        <v>1663.2727100000047</v>
      </c>
      <c r="K5773" s="561">
        <v>4149</v>
      </c>
      <c r="L5773" s="561">
        <v>76300.486250000002</v>
      </c>
      <c r="M5773" s="561">
        <v>76300</v>
      </c>
      <c r="N5773" s="561">
        <v>20346.666000000001</v>
      </c>
      <c r="O5773" s="561">
        <v>2543.3339999999998</v>
      </c>
      <c r="BZ5773" s="561">
        <v>53410.000000000007</v>
      </c>
    </row>
    <row r="5774" spans="1:78">
      <c r="A5774" s="561">
        <v>30</v>
      </c>
      <c r="B5774" s="561" t="s">
        <v>1724</v>
      </c>
      <c r="C5774" s="561" t="s">
        <v>1267</v>
      </c>
      <c r="D5774" s="561">
        <v>39987</v>
      </c>
      <c r="E5774" s="561">
        <v>9436.1999999999989</v>
      </c>
      <c r="F5774" s="561">
        <v>30550.800000000003</v>
      </c>
      <c r="G5774" s="561">
        <v>2266</v>
      </c>
      <c r="H5774" s="561">
        <v>41583.178019999999</v>
      </c>
      <c r="I5774" s="561">
        <v>29</v>
      </c>
      <c r="J5774" s="561">
        <v>1596.1285600000012</v>
      </c>
      <c r="K5774" s="561">
        <v>2237</v>
      </c>
      <c r="L5774" s="561">
        <v>39987.049459999995</v>
      </c>
      <c r="M5774" s="561">
        <v>39986.999999999993</v>
      </c>
      <c r="N5774" s="561">
        <v>7339.268</v>
      </c>
      <c r="O5774" s="561">
        <v>2096.9319999999998</v>
      </c>
      <c r="P5774" s="561">
        <v>30550.799999999996</v>
      </c>
    </row>
    <row r="5775" spans="1:78">
      <c r="C5775" s="561" t="s">
        <v>1197</v>
      </c>
      <c r="F5775" s="561">
        <v>0</v>
      </c>
      <c r="G5775" s="561">
        <v>0</v>
      </c>
      <c r="H5775" s="561">
        <v>0</v>
      </c>
      <c r="I5775" s="561">
        <v>0</v>
      </c>
      <c r="J5775" s="561">
        <v>0</v>
      </c>
      <c r="K5775" s="561">
        <v>0</v>
      </c>
      <c r="L5775" s="561">
        <v>0</v>
      </c>
      <c r="M5775" s="561">
        <v>0</v>
      </c>
      <c r="N5775" s="561">
        <v>0</v>
      </c>
      <c r="O5775" s="561">
        <v>0</v>
      </c>
      <c r="P5775" s="561">
        <v>0</v>
      </c>
    </row>
    <row r="5776" spans="1:78">
      <c r="C5776" s="561" t="s">
        <v>1198</v>
      </c>
      <c r="F5776" s="561">
        <v>0</v>
      </c>
      <c r="G5776" s="561">
        <v>0</v>
      </c>
      <c r="H5776" s="561">
        <v>0</v>
      </c>
      <c r="I5776" s="561">
        <v>0</v>
      </c>
      <c r="J5776" s="561">
        <v>0</v>
      </c>
      <c r="K5776" s="561">
        <v>0</v>
      </c>
      <c r="L5776" s="561">
        <v>0</v>
      </c>
      <c r="M5776" s="561">
        <v>0</v>
      </c>
      <c r="N5776" s="561">
        <v>0</v>
      </c>
      <c r="O5776" s="561">
        <v>0</v>
      </c>
      <c r="P5776" s="561">
        <v>0</v>
      </c>
    </row>
    <row r="5777" spans="1:78">
      <c r="C5777" s="561" t="s">
        <v>1199</v>
      </c>
      <c r="D5777" s="561">
        <v>39987</v>
      </c>
      <c r="E5777" s="561">
        <v>9436.1999999999989</v>
      </c>
      <c r="F5777" s="561">
        <v>30550.800000000003</v>
      </c>
      <c r="G5777" s="561">
        <v>2266</v>
      </c>
      <c r="H5777" s="561">
        <v>41583.178019999999</v>
      </c>
      <c r="I5777" s="561">
        <v>29</v>
      </c>
      <c r="J5777" s="561">
        <v>1596.1285600000012</v>
      </c>
      <c r="K5777" s="561">
        <v>2237</v>
      </c>
      <c r="L5777" s="561">
        <v>39987.049459999995</v>
      </c>
      <c r="M5777" s="561">
        <v>39986.999999999993</v>
      </c>
      <c r="N5777" s="561">
        <v>7339.268</v>
      </c>
      <c r="O5777" s="561">
        <v>2096.9319999999998</v>
      </c>
      <c r="BZ5777" s="561">
        <v>30550.799999999996</v>
      </c>
    </row>
    <row r="5778" spans="1:78">
      <c r="A5778" s="561">
        <v>31</v>
      </c>
      <c r="B5778" s="561" t="s">
        <v>1725</v>
      </c>
      <c r="C5778" s="561" t="s">
        <v>1267</v>
      </c>
      <c r="D5778" s="561">
        <v>35200</v>
      </c>
      <c r="E5778" s="561">
        <v>9660</v>
      </c>
      <c r="F5778" s="561">
        <v>25540</v>
      </c>
      <c r="G5778" s="561">
        <v>2098</v>
      </c>
      <c r="H5778" s="561">
        <v>35747.157709999999</v>
      </c>
      <c r="I5778" s="561">
        <v>6</v>
      </c>
      <c r="J5778" s="561">
        <v>547.38627999999153</v>
      </c>
      <c r="K5778" s="561">
        <v>2092</v>
      </c>
      <c r="L5778" s="561">
        <v>35199.771430000008</v>
      </c>
      <c r="M5778" s="561">
        <v>35199.771430000008</v>
      </c>
      <c r="N5778" s="561">
        <v>8586.6670000000013</v>
      </c>
      <c r="O5778" s="561">
        <v>1073.3330000000001</v>
      </c>
      <c r="P5778" s="561">
        <v>25539.771429999997</v>
      </c>
    </row>
    <row r="5779" spans="1:78">
      <c r="C5779" s="561" t="s">
        <v>1197</v>
      </c>
      <c r="F5779" s="561">
        <v>0</v>
      </c>
      <c r="G5779" s="561">
        <v>0</v>
      </c>
      <c r="H5779" s="561">
        <v>0</v>
      </c>
      <c r="I5779" s="561">
        <v>0</v>
      </c>
      <c r="J5779" s="561">
        <v>0</v>
      </c>
      <c r="K5779" s="561">
        <v>0</v>
      </c>
      <c r="L5779" s="561">
        <v>0</v>
      </c>
      <c r="M5779" s="561">
        <v>0</v>
      </c>
      <c r="N5779" s="561">
        <v>0</v>
      </c>
      <c r="O5779" s="561">
        <v>0</v>
      </c>
      <c r="P5779" s="561">
        <v>0</v>
      </c>
    </row>
    <row r="5780" spans="1:78">
      <c r="C5780" s="561" t="s">
        <v>1198</v>
      </c>
      <c r="F5780" s="561">
        <v>0</v>
      </c>
      <c r="G5780" s="561">
        <v>0</v>
      </c>
      <c r="H5780" s="561">
        <v>0</v>
      </c>
      <c r="I5780" s="561">
        <v>0</v>
      </c>
      <c r="J5780" s="561">
        <v>0</v>
      </c>
      <c r="K5780" s="561">
        <v>0</v>
      </c>
      <c r="L5780" s="561">
        <v>0</v>
      </c>
      <c r="M5780" s="561">
        <v>0</v>
      </c>
      <c r="N5780" s="561">
        <v>0</v>
      </c>
      <c r="O5780" s="561">
        <v>0</v>
      </c>
      <c r="P5780" s="561">
        <v>0</v>
      </c>
    </row>
    <row r="5781" spans="1:78">
      <c r="C5781" s="561" t="s">
        <v>1199</v>
      </c>
      <c r="D5781" s="561">
        <v>35200</v>
      </c>
      <c r="E5781" s="561">
        <v>9660</v>
      </c>
      <c r="F5781" s="561">
        <v>25540</v>
      </c>
      <c r="G5781" s="561">
        <v>2098</v>
      </c>
      <c r="H5781" s="561">
        <v>35747.157709999999</v>
      </c>
      <c r="I5781" s="561">
        <v>6</v>
      </c>
      <c r="J5781" s="561">
        <v>547.38627999999153</v>
      </c>
      <c r="K5781" s="561">
        <v>2092</v>
      </c>
      <c r="L5781" s="561">
        <v>35199.771430000008</v>
      </c>
      <c r="M5781" s="561">
        <v>35199.771430000008</v>
      </c>
      <c r="N5781" s="561">
        <v>8586.6670000000013</v>
      </c>
      <c r="O5781" s="561">
        <v>1073.3330000000001</v>
      </c>
      <c r="BZ5781" s="561">
        <v>25539.771429999997</v>
      </c>
    </row>
    <row r="5782" spans="1:78">
      <c r="A5782" s="561">
        <v>32</v>
      </c>
      <c r="B5782" s="561" t="s">
        <v>1726</v>
      </c>
      <c r="C5782" s="561" t="s">
        <v>1267</v>
      </c>
      <c r="D5782" s="561">
        <v>12000</v>
      </c>
      <c r="E5782" s="561">
        <v>3510</v>
      </c>
      <c r="F5782" s="561">
        <v>8490</v>
      </c>
      <c r="G5782" s="561">
        <v>675</v>
      </c>
      <c r="H5782" s="561">
        <v>12345.363700000002</v>
      </c>
      <c r="I5782" s="561">
        <v>2</v>
      </c>
      <c r="J5782" s="561">
        <v>344.78292999999996</v>
      </c>
      <c r="K5782" s="561">
        <v>673</v>
      </c>
      <c r="L5782" s="561">
        <v>12000.58077</v>
      </c>
      <c r="M5782" s="561">
        <v>12000</v>
      </c>
      <c r="N5782" s="561">
        <v>3510</v>
      </c>
      <c r="O5782" s="561">
        <v>0</v>
      </c>
      <c r="P5782" s="561">
        <v>8490</v>
      </c>
    </row>
    <row r="5783" spans="1:78">
      <c r="C5783" s="561" t="s">
        <v>1197</v>
      </c>
      <c r="F5783" s="561">
        <v>0</v>
      </c>
      <c r="G5783" s="561">
        <v>0</v>
      </c>
      <c r="H5783" s="561">
        <v>0</v>
      </c>
      <c r="I5783" s="561">
        <v>0</v>
      </c>
      <c r="J5783" s="561">
        <v>0</v>
      </c>
      <c r="K5783" s="561">
        <v>0</v>
      </c>
      <c r="L5783" s="561">
        <v>0</v>
      </c>
      <c r="M5783" s="561">
        <v>0</v>
      </c>
      <c r="N5783" s="561">
        <v>0</v>
      </c>
      <c r="O5783" s="561">
        <v>0</v>
      </c>
      <c r="P5783" s="561">
        <v>0</v>
      </c>
    </row>
    <row r="5784" spans="1:78">
      <c r="C5784" s="561" t="s">
        <v>1198</v>
      </c>
      <c r="F5784" s="561">
        <v>0</v>
      </c>
      <c r="G5784" s="561">
        <v>0</v>
      </c>
      <c r="H5784" s="561">
        <v>0</v>
      </c>
      <c r="I5784" s="561">
        <v>0</v>
      </c>
      <c r="J5784" s="561">
        <v>0</v>
      </c>
      <c r="K5784" s="561">
        <v>0</v>
      </c>
      <c r="L5784" s="561">
        <v>0</v>
      </c>
      <c r="M5784" s="561">
        <v>0</v>
      </c>
      <c r="N5784" s="561">
        <v>0</v>
      </c>
      <c r="O5784" s="561">
        <v>0</v>
      </c>
      <c r="P5784" s="561">
        <v>0</v>
      </c>
    </row>
    <row r="5785" spans="1:78">
      <c r="C5785" s="561" t="s">
        <v>1199</v>
      </c>
      <c r="D5785" s="561">
        <v>12000</v>
      </c>
      <c r="E5785" s="561">
        <v>3510</v>
      </c>
      <c r="F5785" s="561">
        <v>8490</v>
      </c>
      <c r="G5785" s="561">
        <v>675</v>
      </c>
      <c r="H5785" s="561">
        <v>12345.363700000002</v>
      </c>
      <c r="I5785" s="561">
        <v>2</v>
      </c>
      <c r="J5785" s="561">
        <v>344.78292999999996</v>
      </c>
      <c r="K5785" s="561">
        <v>673</v>
      </c>
      <c r="L5785" s="561">
        <v>12000.58077</v>
      </c>
      <c r="M5785" s="561">
        <v>12000</v>
      </c>
      <c r="N5785" s="561">
        <v>3510</v>
      </c>
      <c r="O5785" s="561">
        <v>0</v>
      </c>
      <c r="P5785" s="561">
        <v>8490</v>
      </c>
    </row>
    <row r="5786" spans="1:78">
      <c r="A5786" s="561">
        <v>33</v>
      </c>
      <c r="B5786" s="561" t="s">
        <v>1727</v>
      </c>
      <c r="C5786" s="561" t="s">
        <v>1267</v>
      </c>
      <c r="D5786" s="561">
        <v>51800</v>
      </c>
      <c r="E5786" s="561">
        <v>13440</v>
      </c>
      <c r="F5786" s="561">
        <v>38360</v>
      </c>
      <c r="G5786" s="561">
        <v>3135</v>
      </c>
      <c r="H5786" s="561">
        <v>52463.420339999997</v>
      </c>
      <c r="I5786" s="561">
        <v>15</v>
      </c>
      <c r="J5786" s="561">
        <v>673.6997999999985</v>
      </c>
      <c r="K5786" s="561">
        <v>3120</v>
      </c>
      <c r="L5786" s="561">
        <v>51789.720540000002</v>
      </c>
      <c r="M5786" s="561">
        <v>51789.720540000002</v>
      </c>
      <c r="N5786" s="561">
        <v>11946.666999990002</v>
      </c>
      <c r="O5786" s="561">
        <v>1493.3340000000001</v>
      </c>
      <c r="P5786" s="561">
        <v>38349.720540000002</v>
      </c>
    </row>
    <row r="5787" spans="1:78">
      <c r="C5787" s="561" t="s">
        <v>1197</v>
      </c>
      <c r="F5787" s="561">
        <v>0</v>
      </c>
      <c r="G5787" s="561">
        <v>0</v>
      </c>
      <c r="H5787" s="561">
        <v>0</v>
      </c>
      <c r="I5787" s="561">
        <v>0</v>
      </c>
      <c r="J5787" s="561">
        <v>0</v>
      </c>
      <c r="K5787" s="561">
        <v>0</v>
      </c>
      <c r="L5787" s="561">
        <v>0</v>
      </c>
      <c r="M5787" s="561">
        <v>0</v>
      </c>
      <c r="N5787" s="561">
        <v>0</v>
      </c>
      <c r="O5787" s="561">
        <v>0</v>
      </c>
      <c r="P5787" s="561">
        <v>0</v>
      </c>
    </row>
    <row r="5788" spans="1:78">
      <c r="C5788" s="561" t="s">
        <v>1198</v>
      </c>
      <c r="F5788" s="561">
        <v>0</v>
      </c>
      <c r="G5788" s="561">
        <v>0</v>
      </c>
      <c r="H5788" s="561">
        <v>0</v>
      </c>
      <c r="I5788" s="561">
        <v>0</v>
      </c>
      <c r="J5788" s="561">
        <v>0</v>
      </c>
      <c r="K5788" s="561">
        <v>0</v>
      </c>
      <c r="L5788" s="561">
        <v>0</v>
      </c>
      <c r="M5788" s="561">
        <v>0</v>
      </c>
      <c r="N5788" s="561">
        <v>0</v>
      </c>
      <c r="O5788" s="561">
        <v>0</v>
      </c>
      <c r="P5788" s="561">
        <v>0</v>
      </c>
    </row>
    <row r="5789" spans="1:78">
      <c r="C5789" s="561" t="s">
        <v>1199</v>
      </c>
      <c r="D5789" s="561">
        <v>51800</v>
      </c>
      <c r="E5789" s="561">
        <v>13440</v>
      </c>
      <c r="F5789" s="561">
        <v>38360</v>
      </c>
      <c r="G5789" s="561">
        <v>3135</v>
      </c>
      <c r="H5789" s="561">
        <v>52463.420339999997</v>
      </c>
      <c r="I5789" s="561">
        <v>15</v>
      </c>
      <c r="J5789" s="561">
        <v>673.6997999999985</v>
      </c>
      <c r="K5789" s="561">
        <v>3120</v>
      </c>
      <c r="L5789" s="561">
        <v>51789.720540000002</v>
      </c>
      <c r="M5789" s="561">
        <v>51789.720540000002</v>
      </c>
      <c r="N5789" s="561">
        <v>11946.666999990002</v>
      </c>
      <c r="O5789" s="561">
        <v>1493.3340000000001</v>
      </c>
      <c r="BZ5789" s="561">
        <v>38349.720540000002</v>
      </c>
    </row>
    <row r="5790" spans="1:78">
      <c r="A5790" s="561">
        <v>34</v>
      </c>
      <c r="B5790" s="561" t="s">
        <v>1728</v>
      </c>
      <c r="C5790" s="561" t="s">
        <v>1267</v>
      </c>
      <c r="D5790" s="561">
        <v>44000</v>
      </c>
      <c r="E5790" s="561">
        <v>12600</v>
      </c>
      <c r="F5790" s="561">
        <v>31400</v>
      </c>
      <c r="G5790" s="561">
        <v>2463</v>
      </c>
      <c r="H5790" s="561">
        <v>44397.18806</v>
      </c>
      <c r="I5790" s="561">
        <v>14</v>
      </c>
      <c r="J5790" s="561">
        <v>397.41686999999456</v>
      </c>
      <c r="K5790" s="561">
        <v>2449</v>
      </c>
      <c r="L5790" s="561">
        <v>43999.771189999999</v>
      </c>
      <c r="M5790" s="561">
        <v>43999.771189999999</v>
      </c>
      <c r="N5790" s="561">
        <v>12600</v>
      </c>
      <c r="O5790" s="561">
        <v>0</v>
      </c>
      <c r="P5790" s="561">
        <v>31399.771190000003</v>
      </c>
    </row>
    <row r="5791" spans="1:78">
      <c r="C5791" s="561" t="s">
        <v>1197</v>
      </c>
      <c r="F5791" s="561">
        <v>0</v>
      </c>
      <c r="G5791" s="561">
        <v>0</v>
      </c>
      <c r="H5791" s="561">
        <v>0</v>
      </c>
      <c r="I5791" s="561">
        <v>0</v>
      </c>
      <c r="J5791" s="561">
        <v>0</v>
      </c>
      <c r="K5791" s="561">
        <v>0</v>
      </c>
      <c r="L5791" s="561">
        <v>0</v>
      </c>
      <c r="M5791" s="561">
        <v>0</v>
      </c>
      <c r="N5791" s="561">
        <v>0</v>
      </c>
      <c r="O5791" s="561">
        <v>0</v>
      </c>
      <c r="P5791" s="561">
        <v>0</v>
      </c>
    </row>
    <row r="5792" spans="1:78">
      <c r="C5792" s="561" t="s">
        <v>1198</v>
      </c>
      <c r="F5792" s="561">
        <v>0</v>
      </c>
      <c r="G5792" s="561">
        <v>0</v>
      </c>
      <c r="H5792" s="561">
        <v>0</v>
      </c>
      <c r="I5792" s="561">
        <v>0</v>
      </c>
      <c r="J5792" s="561">
        <v>0</v>
      </c>
      <c r="K5792" s="561">
        <v>0</v>
      </c>
      <c r="L5792" s="561">
        <v>0</v>
      </c>
      <c r="M5792" s="561">
        <v>0</v>
      </c>
      <c r="N5792" s="561">
        <v>0</v>
      </c>
      <c r="O5792" s="561">
        <v>0</v>
      </c>
      <c r="P5792" s="561">
        <v>0</v>
      </c>
    </row>
    <row r="5793" spans="1:111">
      <c r="C5793" s="561" t="s">
        <v>1199</v>
      </c>
      <c r="D5793" s="561">
        <v>44000</v>
      </c>
      <c r="E5793" s="561">
        <v>12600</v>
      </c>
      <c r="F5793" s="561">
        <v>31400</v>
      </c>
      <c r="G5793" s="561">
        <v>2463</v>
      </c>
      <c r="H5793" s="561">
        <v>44397.18806</v>
      </c>
      <c r="I5793" s="561">
        <v>14</v>
      </c>
      <c r="J5793" s="561">
        <v>397.41686999999456</v>
      </c>
      <c r="K5793" s="561">
        <v>2449</v>
      </c>
      <c r="L5793" s="561">
        <v>43999.771189999999</v>
      </c>
      <c r="M5793" s="561">
        <v>43999.771189999999</v>
      </c>
      <c r="N5793" s="561">
        <v>12600</v>
      </c>
      <c r="O5793" s="561">
        <v>0</v>
      </c>
      <c r="BZ5793" s="561">
        <v>31399.771190000003</v>
      </c>
    </row>
    <row r="5794" spans="1:111">
      <c r="A5794" s="1683" t="s">
        <v>1161</v>
      </c>
      <c r="B5794" s="1683"/>
      <c r="C5794" s="1683"/>
      <c r="D5794" s="1683"/>
      <c r="E5794" s="1683"/>
      <c r="F5794" s="1683"/>
      <c r="G5794" s="1683"/>
      <c r="H5794" s="1683"/>
      <c r="I5794" s="1683"/>
      <c r="J5794" s="1683"/>
      <c r="K5794" s="1683"/>
      <c r="L5794" s="1683"/>
      <c r="M5794" s="1683"/>
      <c r="N5794" s="1683"/>
      <c r="O5794" s="1683"/>
      <c r="P5794" s="1683"/>
    </row>
    <row r="5795" spans="1:111">
      <c r="A5795" s="1735" t="s">
        <v>1197</v>
      </c>
      <c r="B5795" s="1735"/>
      <c r="C5795" s="1735"/>
      <c r="D5795" s="1735"/>
      <c r="E5795" s="1735"/>
      <c r="F5795" s="1735"/>
      <c r="G5795" s="1735"/>
      <c r="H5795" s="1735"/>
      <c r="I5795" s="1735"/>
      <c r="J5795" s="1735"/>
      <c r="K5795" s="1735"/>
      <c r="L5795" s="1735"/>
      <c r="M5795" s="1735"/>
      <c r="N5795" s="1735"/>
      <c r="O5795" s="1735"/>
      <c r="P5795" s="1735"/>
      <c r="AL5795" s="561">
        <f>SUM(AL5796:AL5911)</f>
        <v>2078652.57</v>
      </c>
      <c r="AM5795" s="561">
        <f t="shared" ref="AM5795:CX5795" si="132">SUM(AM5796:AM5911)</f>
        <v>0</v>
      </c>
      <c r="AN5795" s="561">
        <f t="shared" si="132"/>
        <v>0</v>
      </c>
      <c r="AO5795" s="561">
        <f t="shared" si="132"/>
        <v>0</v>
      </c>
      <c r="AP5795" s="561">
        <f t="shared" si="132"/>
        <v>0</v>
      </c>
      <c r="AQ5795" s="561">
        <f t="shared" si="132"/>
        <v>0</v>
      </c>
      <c r="AR5795" s="561">
        <f t="shared" si="132"/>
        <v>0</v>
      </c>
      <c r="AS5795" s="561">
        <f t="shared" si="132"/>
        <v>0</v>
      </c>
      <c r="AT5795" s="561">
        <f t="shared" si="132"/>
        <v>0</v>
      </c>
      <c r="AU5795" s="561">
        <f t="shared" si="132"/>
        <v>0</v>
      </c>
      <c r="AV5795" s="561">
        <f t="shared" si="132"/>
        <v>0</v>
      </c>
      <c r="AW5795" s="561">
        <f t="shared" si="132"/>
        <v>0</v>
      </c>
      <c r="AX5795" s="561">
        <f t="shared" si="132"/>
        <v>0</v>
      </c>
      <c r="AY5795" s="561">
        <f t="shared" si="132"/>
        <v>25450.42</v>
      </c>
      <c r="AZ5795" s="561">
        <f t="shared" si="132"/>
        <v>0</v>
      </c>
      <c r="BA5795" s="561">
        <f t="shared" si="132"/>
        <v>0</v>
      </c>
      <c r="BB5795" s="561">
        <f t="shared" si="132"/>
        <v>975922.04</v>
      </c>
      <c r="BC5795" s="561">
        <f t="shared" si="132"/>
        <v>0</v>
      </c>
      <c r="BD5795" s="561">
        <f t="shared" si="132"/>
        <v>0</v>
      </c>
      <c r="BE5795" s="561">
        <f t="shared" si="132"/>
        <v>0</v>
      </c>
      <c r="BF5795" s="561">
        <f t="shared" si="132"/>
        <v>0</v>
      </c>
      <c r="BG5795" s="561">
        <f t="shared" si="132"/>
        <v>0</v>
      </c>
      <c r="BH5795" s="561">
        <f t="shared" si="132"/>
        <v>0</v>
      </c>
      <c r="BI5795" s="561">
        <f t="shared" si="132"/>
        <v>0</v>
      </c>
      <c r="BJ5795" s="561">
        <f t="shared" si="132"/>
        <v>0</v>
      </c>
      <c r="BK5795" s="561">
        <f t="shared" si="132"/>
        <v>0</v>
      </c>
      <c r="BL5795" s="561">
        <f t="shared" si="132"/>
        <v>0</v>
      </c>
      <c r="BM5795" s="561">
        <f t="shared" si="132"/>
        <v>0</v>
      </c>
      <c r="BN5795" s="561">
        <f t="shared" si="132"/>
        <v>0</v>
      </c>
      <c r="BO5795" s="561">
        <f t="shared" si="132"/>
        <v>0</v>
      </c>
      <c r="BP5795" s="561">
        <f t="shared" si="132"/>
        <v>0</v>
      </c>
      <c r="BQ5795" s="561">
        <f t="shared" si="132"/>
        <v>0</v>
      </c>
      <c r="BR5795" s="561">
        <f t="shared" si="132"/>
        <v>0</v>
      </c>
      <c r="BS5795" s="561">
        <f t="shared" si="132"/>
        <v>0</v>
      </c>
      <c r="BT5795" s="561">
        <f t="shared" si="132"/>
        <v>0</v>
      </c>
      <c r="BU5795" s="561">
        <f t="shared" si="132"/>
        <v>0</v>
      </c>
      <c r="BV5795" s="561">
        <f t="shared" si="132"/>
        <v>0</v>
      </c>
      <c r="BW5795" s="561">
        <f t="shared" si="132"/>
        <v>0</v>
      </c>
      <c r="BX5795" s="561">
        <f t="shared" si="132"/>
        <v>0</v>
      </c>
      <c r="BY5795" s="561">
        <f t="shared" si="132"/>
        <v>0</v>
      </c>
      <c r="BZ5795" s="561">
        <f t="shared" si="132"/>
        <v>0</v>
      </c>
      <c r="CA5795" s="561">
        <f t="shared" si="132"/>
        <v>0</v>
      </c>
      <c r="CB5795" s="561">
        <f t="shared" si="132"/>
        <v>0</v>
      </c>
      <c r="CC5795" s="561">
        <f t="shared" si="132"/>
        <v>0</v>
      </c>
      <c r="CD5795" s="561">
        <f t="shared" si="132"/>
        <v>0</v>
      </c>
      <c r="CE5795" s="561">
        <f t="shared" si="132"/>
        <v>0</v>
      </c>
      <c r="CF5795" s="561">
        <f t="shared" si="132"/>
        <v>0</v>
      </c>
      <c r="CG5795" s="561">
        <f t="shared" si="132"/>
        <v>0</v>
      </c>
      <c r="CH5795" s="561">
        <f t="shared" si="132"/>
        <v>0</v>
      </c>
      <c r="CI5795" s="561">
        <f t="shared" si="132"/>
        <v>0</v>
      </c>
      <c r="CJ5795" s="561">
        <f t="shared" si="132"/>
        <v>0</v>
      </c>
      <c r="CK5795" s="561">
        <f t="shared" si="132"/>
        <v>0</v>
      </c>
      <c r="CL5795" s="561">
        <f t="shared" si="132"/>
        <v>0</v>
      </c>
      <c r="CM5795" s="561">
        <f t="shared" si="132"/>
        <v>0</v>
      </c>
      <c r="CN5795" s="561">
        <f t="shared" si="132"/>
        <v>0</v>
      </c>
      <c r="CO5795" s="561">
        <f t="shared" si="132"/>
        <v>0</v>
      </c>
      <c r="CP5795" s="561">
        <f t="shared" si="132"/>
        <v>0</v>
      </c>
      <c r="CQ5795" s="561">
        <f t="shared" si="132"/>
        <v>0</v>
      </c>
      <c r="CR5795" s="561">
        <f t="shared" si="132"/>
        <v>0</v>
      </c>
      <c r="CS5795" s="561">
        <f t="shared" si="132"/>
        <v>0</v>
      </c>
      <c r="CT5795" s="561">
        <f t="shared" si="132"/>
        <v>0</v>
      </c>
      <c r="CU5795" s="561">
        <f t="shared" si="132"/>
        <v>0</v>
      </c>
      <c r="CV5795" s="561">
        <f t="shared" si="132"/>
        <v>0</v>
      </c>
      <c r="CW5795" s="561">
        <f t="shared" si="132"/>
        <v>0</v>
      </c>
      <c r="CX5795" s="561">
        <f t="shared" si="132"/>
        <v>0</v>
      </c>
      <c r="CY5795" s="561">
        <f t="shared" ref="CY5795:DG5795" si="133">SUM(CY5796:CY5911)</f>
        <v>0</v>
      </c>
      <c r="CZ5795" s="561">
        <f t="shared" si="133"/>
        <v>0</v>
      </c>
      <c r="DA5795" s="561">
        <f t="shared" si="133"/>
        <v>0</v>
      </c>
      <c r="DB5795" s="561">
        <f t="shared" si="133"/>
        <v>0</v>
      </c>
      <c r="DC5795" s="561">
        <f t="shared" si="133"/>
        <v>0</v>
      </c>
      <c r="DD5795" s="561">
        <f t="shared" si="133"/>
        <v>0</v>
      </c>
      <c r="DE5795" s="561">
        <f t="shared" si="133"/>
        <v>0</v>
      </c>
      <c r="DF5795" s="561">
        <f t="shared" si="133"/>
        <v>0</v>
      </c>
      <c r="DG5795" s="561">
        <f t="shared" si="133"/>
        <v>0</v>
      </c>
    </row>
    <row r="5796" spans="1:111">
      <c r="B5796" s="561" t="s">
        <v>1730</v>
      </c>
      <c r="C5796" s="561" t="s">
        <v>1196</v>
      </c>
      <c r="D5796" s="561">
        <v>1526236.8</v>
      </c>
      <c r="E5796" s="561">
        <v>368417</v>
      </c>
      <c r="F5796" s="561">
        <v>1157819.8</v>
      </c>
      <c r="G5796" s="561">
        <v>16176</v>
      </c>
      <c r="H5796" s="561">
        <v>1571155.54</v>
      </c>
      <c r="I5796" s="561">
        <v>1240</v>
      </c>
      <c r="J5796" s="561">
        <v>74426.59</v>
      </c>
      <c r="K5796" s="561">
        <v>15931</v>
      </c>
      <c r="L5796" s="561">
        <v>1526236.7999999998</v>
      </c>
      <c r="M5796" s="561">
        <v>1526236.7999999998</v>
      </c>
      <c r="N5796" s="561">
        <v>368417</v>
      </c>
      <c r="O5796" s="561">
        <v>0</v>
      </c>
      <c r="P5796" s="561">
        <v>1157819.7999999998</v>
      </c>
      <c r="Q5796" s="561">
        <v>1157819.8</v>
      </c>
    </row>
    <row r="5797" spans="1:111">
      <c r="C5797" s="561" t="s">
        <v>1197</v>
      </c>
      <c r="D5797" s="561">
        <v>1184024.8</v>
      </c>
      <c r="E5797" s="561">
        <v>291985.40000000002</v>
      </c>
      <c r="F5797" s="561">
        <v>892039.4</v>
      </c>
      <c r="G5797" s="561">
        <v>14659</v>
      </c>
      <c r="H5797" s="561">
        <v>1207183.8700000001</v>
      </c>
      <c r="I5797" s="561">
        <v>1213</v>
      </c>
      <c r="J5797" s="561">
        <v>64995.880000000005</v>
      </c>
      <c r="K5797" s="561">
        <v>14420</v>
      </c>
      <c r="L5797" s="561">
        <v>1168395.8999999999</v>
      </c>
      <c r="M5797" s="561">
        <v>1168395.8999999999</v>
      </c>
      <c r="N5797" s="561">
        <v>291985.40000000002</v>
      </c>
      <c r="O5797" s="561">
        <v>0</v>
      </c>
      <c r="Q5797" s="561">
        <v>892039.4</v>
      </c>
      <c r="AL5797" s="561">
        <v>876410.49999999988</v>
      </c>
    </row>
    <row r="5798" spans="1:111">
      <c r="C5798" s="561" t="s">
        <v>1198</v>
      </c>
      <c r="D5798" s="561">
        <v>294228</v>
      </c>
      <c r="E5798" s="561">
        <v>68331.600000000006</v>
      </c>
      <c r="F5798" s="561">
        <v>225896.4</v>
      </c>
      <c r="G5798" s="561">
        <v>351</v>
      </c>
      <c r="H5798" s="561">
        <v>311663.33999999997</v>
      </c>
      <c r="I5798" s="561">
        <v>16</v>
      </c>
      <c r="J5798" s="561">
        <v>8993.31</v>
      </c>
      <c r="K5798" s="561">
        <v>347</v>
      </c>
      <c r="L5798" s="561">
        <v>305855.5</v>
      </c>
      <c r="M5798" s="561">
        <v>305855.5</v>
      </c>
      <c r="N5798" s="561">
        <v>68331.600000000006</v>
      </c>
      <c r="O5798" s="561">
        <v>0</v>
      </c>
      <c r="P5798" s="561">
        <v>237523.9</v>
      </c>
      <c r="Q5798" s="561">
        <v>225896.4</v>
      </c>
    </row>
    <row r="5799" spans="1:111">
      <c r="C5799" s="561" t="s">
        <v>1199</v>
      </c>
      <c r="D5799" s="561">
        <v>47984</v>
      </c>
      <c r="E5799" s="561">
        <v>8100</v>
      </c>
      <c r="F5799" s="561">
        <v>39884</v>
      </c>
      <c r="G5799" s="561">
        <v>1166</v>
      </c>
      <c r="H5799" s="561">
        <v>52308.329999999994</v>
      </c>
      <c r="I5799" s="561">
        <v>11</v>
      </c>
      <c r="J5799" s="561">
        <v>437.4</v>
      </c>
      <c r="K5799" s="561">
        <v>1164</v>
      </c>
      <c r="L5799" s="561">
        <v>51985.399999999994</v>
      </c>
      <c r="M5799" s="561">
        <v>51985.399999999994</v>
      </c>
      <c r="N5799" s="561">
        <v>8100</v>
      </c>
      <c r="O5799" s="561">
        <v>0</v>
      </c>
      <c r="P5799" s="561">
        <v>43885.399999999994</v>
      </c>
      <c r="Q5799" s="561">
        <v>39884</v>
      </c>
    </row>
    <row r="5800" spans="1:111">
      <c r="C5800" s="561" t="s">
        <v>1200</v>
      </c>
      <c r="D5800" s="561">
        <v>0</v>
      </c>
      <c r="M5800" s="561">
        <v>0</v>
      </c>
      <c r="O5800" s="561">
        <v>0</v>
      </c>
      <c r="P5800" s="561">
        <v>0</v>
      </c>
    </row>
    <row r="5801" spans="1:111">
      <c r="B5801" s="561" t="s">
        <v>1731</v>
      </c>
      <c r="C5801" s="561" t="s">
        <v>1196</v>
      </c>
      <c r="D5801" s="561">
        <v>440200</v>
      </c>
      <c r="E5801" s="561">
        <v>131100</v>
      </c>
      <c r="F5801" s="561">
        <v>309100</v>
      </c>
      <c r="G5801" s="561">
        <v>5880</v>
      </c>
      <c r="H5801" s="561">
        <v>458223.56</v>
      </c>
      <c r="I5801" s="561">
        <v>472</v>
      </c>
      <c r="J5801" s="561">
        <v>23065.62</v>
      </c>
      <c r="K5801" s="561">
        <v>5834</v>
      </c>
      <c r="L5801" s="561">
        <v>440200</v>
      </c>
      <c r="M5801" s="561">
        <v>440200</v>
      </c>
      <c r="N5801" s="561">
        <v>131100</v>
      </c>
      <c r="O5801" s="561">
        <v>0</v>
      </c>
      <c r="P5801" s="561">
        <v>309100</v>
      </c>
      <c r="Q5801" s="561">
        <v>309100</v>
      </c>
    </row>
    <row r="5802" spans="1:111">
      <c r="C5802" s="561" t="s">
        <v>1197</v>
      </c>
      <c r="D5802" s="561">
        <v>434000</v>
      </c>
      <c r="E5802" s="561">
        <v>130200</v>
      </c>
      <c r="F5802" s="561">
        <v>303800</v>
      </c>
      <c r="G5802" s="561">
        <v>5618</v>
      </c>
      <c r="H5802" s="561">
        <v>451996.57</v>
      </c>
      <c r="I5802" s="561">
        <v>451</v>
      </c>
      <c r="J5802" s="561">
        <v>22540.52</v>
      </c>
      <c r="K5802" s="561">
        <v>5585</v>
      </c>
      <c r="L5802" s="561">
        <v>434498.9</v>
      </c>
      <c r="M5802" s="561">
        <v>434498.9</v>
      </c>
      <c r="N5802" s="561">
        <v>130200</v>
      </c>
      <c r="O5802" s="561">
        <v>0</v>
      </c>
      <c r="Q5802" s="561">
        <v>304739.20000000001</v>
      </c>
      <c r="AL5802" s="561">
        <v>304298.90000000002</v>
      </c>
    </row>
    <row r="5803" spans="1:111">
      <c r="C5803" s="561" t="s">
        <v>1198</v>
      </c>
      <c r="D5803" s="561">
        <v>0</v>
      </c>
      <c r="E5803" s="561">
        <v>0</v>
      </c>
      <c r="G5803" s="561">
        <v>1</v>
      </c>
      <c r="H5803" s="561">
        <v>248.8</v>
      </c>
      <c r="I5803" s="561">
        <v>1</v>
      </c>
      <c r="J5803" s="561">
        <v>248.8</v>
      </c>
      <c r="L5803" s="561">
        <v>0</v>
      </c>
      <c r="M5803" s="561">
        <v>0</v>
      </c>
      <c r="O5803" s="561">
        <v>0</v>
      </c>
      <c r="P5803" s="561">
        <v>0</v>
      </c>
      <c r="Q5803" s="561">
        <v>0</v>
      </c>
    </row>
    <row r="5804" spans="1:111">
      <c r="C5804" s="561" t="s">
        <v>1199</v>
      </c>
      <c r="D5804" s="561">
        <v>6200</v>
      </c>
      <c r="E5804" s="561">
        <v>900</v>
      </c>
      <c r="F5804" s="561">
        <v>5300</v>
      </c>
      <c r="G5804" s="561">
        <v>261</v>
      </c>
      <c r="H5804" s="561">
        <v>5978.19</v>
      </c>
      <c r="I5804" s="561">
        <v>20</v>
      </c>
      <c r="J5804" s="561">
        <v>276.3</v>
      </c>
      <c r="K5804" s="561">
        <v>249</v>
      </c>
      <c r="L5804" s="561">
        <v>5701.1</v>
      </c>
      <c r="M5804" s="561">
        <v>5701.1</v>
      </c>
      <c r="N5804" s="561">
        <v>900</v>
      </c>
      <c r="O5804" s="561">
        <v>0</v>
      </c>
      <c r="P5804" s="561">
        <v>4801.1000000000004</v>
      </c>
      <c r="Q5804" s="561">
        <v>4360.8</v>
      </c>
    </row>
    <row r="5805" spans="1:111">
      <c r="C5805" s="561" t="s">
        <v>1200</v>
      </c>
      <c r="D5805" s="561">
        <v>0</v>
      </c>
      <c r="L5805" s="561">
        <v>0</v>
      </c>
      <c r="M5805" s="561">
        <v>0</v>
      </c>
      <c r="O5805" s="561">
        <v>0</v>
      </c>
      <c r="P5805" s="561">
        <v>0</v>
      </c>
    </row>
    <row r="5806" spans="1:111">
      <c r="B5806" s="561" t="s">
        <v>1732</v>
      </c>
      <c r="C5806" s="561" t="s">
        <v>1196</v>
      </c>
      <c r="D5806" s="561">
        <v>922990.6</v>
      </c>
      <c r="E5806" s="561">
        <v>234906</v>
      </c>
      <c r="F5806" s="561">
        <v>688084.6</v>
      </c>
      <c r="G5806" s="561">
        <v>13671</v>
      </c>
      <c r="H5806" s="561">
        <v>950198.94</v>
      </c>
      <c r="I5806" s="561">
        <v>773</v>
      </c>
      <c r="J5806" s="561">
        <v>30064.399999999998</v>
      </c>
      <c r="K5806" s="561">
        <v>13651</v>
      </c>
      <c r="L5806" s="561">
        <v>922990.60000000009</v>
      </c>
      <c r="M5806" s="561">
        <v>922990.60000000009</v>
      </c>
      <c r="N5806" s="561">
        <v>234906</v>
      </c>
      <c r="O5806" s="561">
        <v>0</v>
      </c>
      <c r="P5806" s="561">
        <v>688084.60000000009</v>
      </c>
      <c r="Q5806" s="561">
        <v>688084.6</v>
      </c>
    </row>
    <row r="5807" spans="1:111">
      <c r="C5807" s="561" t="s">
        <v>1197</v>
      </c>
      <c r="D5807" s="561">
        <v>875366.5</v>
      </c>
      <c r="E5807" s="561">
        <v>231270</v>
      </c>
      <c r="F5807" s="561">
        <v>644096.5</v>
      </c>
      <c r="G5807" s="561">
        <v>12796</v>
      </c>
      <c r="H5807" s="561">
        <v>901655.27</v>
      </c>
      <c r="I5807" s="561">
        <v>761</v>
      </c>
      <c r="J5807" s="561">
        <v>28753.8</v>
      </c>
      <c r="K5807" s="561">
        <v>12776</v>
      </c>
      <c r="L5807" s="561">
        <v>875762.64</v>
      </c>
      <c r="M5807" s="561">
        <v>875762.64</v>
      </c>
      <c r="N5807" s="561">
        <v>231270</v>
      </c>
      <c r="O5807" s="561">
        <v>0</v>
      </c>
      <c r="Q5807" s="561">
        <v>644096.5</v>
      </c>
      <c r="BB5807" s="561">
        <v>644492.64</v>
      </c>
    </row>
    <row r="5808" spans="1:111">
      <c r="C5808" s="561" t="s">
        <v>1198</v>
      </c>
      <c r="D5808" s="561">
        <v>32330</v>
      </c>
      <c r="E5808" s="561">
        <v>2880</v>
      </c>
      <c r="F5808" s="561">
        <v>29450</v>
      </c>
      <c r="G5808" s="561">
        <v>103</v>
      </c>
      <c r="H5808" s="561">
        <v>31896.22</v>
      </c>
      <c r="I5808" s="561">
        <v>0</v>
      </c>
      <c r="J5808" s="561">
        <v>0</v>
      </c>
      <c r="K5808" s="561">
        <v>103</v>
      </c>
      <c r="L5808" s="561">
        <v>31896.3</v>
      </c>
      <c r="M5808" s="561">
        <v>31896.3</v>
      </c>
      <c r="N5808" s="561">
        <v>2880</v>
      </c>
      <c r="O5808" s="561">
        <v>0</v>
      </c>
      <c r="P5808" s="561">
        <v>29016.3</v>
      </c>
      <c r="Q5808" s="561">
        <v>29450</v>
      </c>
    </row>
    <row r="5809" spans="2:54">
      <c r="C5809" s="561" t="s">
        <v>1199</v>
      </c>
      <c r="D5809" s="561">
        <v>9115</v>
      </c>
      <c r="E5809" s="561">
        <v>756</v>
      </c>
      <c r="F5809" s="561">
        <v>8359</v>
      </c>
      <c r="G5809" s="561">
        <v>772</v>
      </c>
      <c r="H5809" s="561">
        <v>9220.35</v>
      </c>
      <c r="I5809" s="561">
        <v>12</v>
      </c>
      <c r="J5809" s="561">
        <v>62.599999999999994</v>
      </c>
      <c r="K5809" s="561">
        <v>772</v>
      </c>
      <c r="L5809" s="561">
        <v>9152.56</v>
      </c>
      <c r="M5809" s="561">
        <v>9152.56</v>
      </c>
      <c r="N5809" s="561">
        <v>756</v>
      </c>
      <c r="O5809" s="561">
        <v>0</v>
      </c>
      <c r="P5809" s="561">
        <v>8396.56</v>
      </c>
      <c r="Q5809" s="561">
        <v>8359</v>
      </c>
    </row>
    <row r="5810" spans="2:54">
      <c r="C5810" s="561" t="s">
        <v>1202</v>
      </c>
      <c r="D5810" s="561">
        <v>6179.1</v>
      </c>
      <c r="E5810" s="561">
        <v>0</v>
      </c>
      <c r="F5810" s="561">
        <v>6179.1</v>
      </c>
      <c r="H5810" s="561">
        <v>7427.1</v>
      </c>
      <c r="J5810" s="561">
        <v>1248</v>
      </c>
      <c r="L5810" s="561">
        <v>6179.1</v>
      </c>
      <c r="M5810" s="561">
        <v>6179.1</v>
      </c>
      <c r="P5810" s="561">
        <v>6179.1</v>
      </c>
      <c r="Q5810" s="561">
        <v>6179.1</v>
      </c>
    </row>
    <row r="5811" spans="2:54">
      <c r="C5811" s="561" t="s">
        <v>1200</v>
      </c>
      <c r="D5811" s="561">
        <v>0</v>
      </c>
      <c r="L5811" s="561">
        <v>0</v>
      </c>
      <c r="M5811" s="561">
        <v>0</v>
      </c>
      <c r="O5811" s="561">
        <v>0</v>
      </c>
      <c r="P5811" s="561">
        <v>0</v>
      </c>
    </row>
    <row r="5812" spans="2:54">
      <c r="B5812" s="561" t="s">
        <v>1733</v>
      </c>
      <c r="C5812" s="561" t="s">
        <v>1196</v>
      </c>
      <c r="D5812" s="561">
        <v>56762</v>
      </c>
      <c r="E5812" s="561">
        <v>15831</v>
      </c>
      <c r="F5812" s="561">
        <v>40931</v>
      </c>
      <c r="G5812" s="561">
        <v>2246</v>
      </c>
      <c r="H5812" s="561">
        <v>56936.62</v>
      </c>
      <c r="I5812" s="561">
        <v>11</v>
      </c>
      <c r="J5812" s="561">
        <v>139.29999999999998</v>
      </c>
      <c r="K5812" s="561">
        <v>2246</v>
      </c>
      <c r="L5812" s="561">
        <v>56762</v>
      </c>
      <c r="M5812" s="561">
        <v>56762</v>
      </c>
      <c r="N5812" s="561">
        <v>15831</v>
      </c>
      <c r="O5812" s="561">
        <v>0</v>
      </c>
      <c r="P5812" s="561">
        <v>40931</v>
      </c>
      <c r="Q5812" s="561">
        <v>40931</v>
      </c>
    </row>
    <row r="5813" spans="2:54">
      <c r="C5813" s="561" t="s">
        <v>1197</v>
      </c>
      <c r="D5813" s="561">
        <v>35770</v>
      </c>
      <c r="E5813" s="561">
        <v>10731</v>
      </c>
      <c r="F5813" s="561">
        <v>25039</v>
      </c>
      <c r="G5813" s="561">
        <v>567</v>
      </c>
      <c r="H5813" s="561">
        <v>36339.54</v>
      </c>
      <c r="I5813" s="561">
        <v>7</v>
      </c>
      <c r="J5813" s="561">
        <v>134.69999999999999</v>
      </c>
      <c r="K5813" s="561">
        <v>567</v>
      </c>
      <c r="L5813" s="561">
        <v>36181.42</v>
      </c>
      <c r="M5813" s="561">
        <v>36181.42</v>
      </c>
      <c r="N5813" s="561">
        <v>10731</v>
      </c>
      <c r="O5813" s="561">
        <v>0</v>
      </c>
      <c r="Q5813" s="561">
        <v>25039</v>
      </c>
      <c r="AY5813" s="561">
        <v>25450.42</v>
      </c>
    </row>
    <row r="5814" spans="2:54">
      <c r="C5814" s="561" t="s">
        <v>1198</v>
      </c>
      <c r="M5814" s="561">
        <v>0</v>
      </c>
      <c r="N5814" s="561">
        <v>0</v>
      </c>
      <c r="O5814" s="561">
        <v>0</v>
      </c>
      <c r="P5814" s="561">
        <v>0</v>
      </c>
      <c r="Q5814" s="561">
        <v>0</v>
      </c>
    </row>
    <row r="5815" spans="2:54">
      <c r="C5815" s="561" t="s">
        <v>1199</v>
      </c>
      <c r="D5815" s="561">
        <v>20992</v>
      </c>
      <c r="E5815" s="561">
        <v>5100</v>
      </c>
      <c r="F5815" s="561">
        <v>15892</v>
      </c>
      <c r="G5815" s="561">
        <v>1679</v>
      </c>
      <c r="H5815" s="561">
        <v>20597.080000000002</v>
      </c>
      <c r="I5815" s="561">
        <v>4</v>
      </c>
      <c r="J5815" s="561">
        <v>4.5999999999999996</v>
      </c>
      <c r="K5815" s="561">
        <v>1679</v>
      </c>
      <c r="L5815" s="561">
        <v>20580.579999999998</v>
      </c>
      <c r="M5815" s="561">
        <v>20580.579999999998</v>
      </c>
      <c r="N5815" s="561">
        <v>5100</v>
      </c>
      <c r="O5815" s="561">
        <v>0</v>
      </c>
      <c r="P5815" s="561">
        <v>15480.579999999998</v>
      </c>
      <c r="Q5815" s="561">
        <v>15892</v>
      </c>
    </row>
    <row r="5816" spans="2:54">
      <c r="C5816" s="561" t="s">
        <v>1200</v>
      </c>
      <c r="D5816" s="561">
        <v>0</v>
      </c>
      <c r="M5816" s="561">
        <v>0</v>
      </c>
      <c r="O5816" s="561">
        <v>0</v>
      </c>
      <c r="P5816" s="561">
        <v>0</v>
      </c>
    </row>
    <row r="5817" spans="2:54">
      <c r="B5817" s="561" t="s">
        <v>1734</v>
      </c>
      <c r="C5817" s="561" t="s">
        <v>1196</v>
      </c>
      <c r="D5817" s="561">
        <v>244830</v>
      </c>
      <c r="E5817" s="561">
        <v>90750</v>
      </c>
      <c r="F5817" s="561">
        <v>154080</v>
      </c>
      <c r="G5817" s="561">
        <v>4643</v>
      </c>
      <c r="H5817" s="561">
        <v>246918.53</v>
      </c>
      <c r="I5817" s="561">
        <v>135</v>
      </c>
      <c r="J5817" s="561">
        <v>1687.61</v>
      </c>
      <c r="K5817" s="561">
        <v>4635</v>
      </c>
      <c r="L5817" s="561">
        <v>244830</v>
      </c>
      <c r="M5817" s="561">
        <v>244830</v>
      </c>
      <c r="N5817" s="561">
        <v>90750</v>
      </c>
      <c r="O5817" s="561">
        <v>0</v>
      </c>
      <c r="P5817" s="561">
        <v>154080</v>
      </c>
      <c r="Q5817" s="561">
        <v>154080</v>
      </c>
    </row>
    <row r="5818" spans="2:54">
      <c r="C5818" s="561" t="s">
        <v>1197</v>
      </c>
      <c r="D5818" s="561">
        <v>242000</v>
      </c>
      <c r="E5818" s="561">
        <v>90000</v>
      </c>
      <c r="F5818" s="561">
        <v>152000</v>
      </c>
      <c r="G5818" s="561">
        <v>4383</v>
      </c>
      <c r="H5818" s="561">
        <v>243536.52</v>
      </c>
      <c r="I5818" s="561">
        <v>134</v>
      </c>
      <c r="J5818" s="561">
        <v>1683.11</v>
      </c>
      <c r="K5818" s="561">
        <v>4375</v>
      </c>
      <c r="L5818" s="561">
        <v>241461.1</v>
      </c>
      <c r="M5818" s="561">
        <v>241461.1</v>
      </c>
      <c r="N5818" s="561">
        <v>90000</v>
      </c>
      <c r="O5818" s="561">
        <v>0</v>
      </c>
      <c r="Q5818" s="561">
        <v>152330</v>
      </c>
      <c r="BB5818" s="561">
        <v>151461.1</v>
      </c>
    </row>
    <row r="5819" spans="2:54">
      <c r="C5819" s="561" t="s">
        <v>1198</v>
      </c>
      <c r="H5819" s="561">
        <v>0</v>
      </c>
      <c r="L5819" s="561">
        <v>0</v>
      </c>
      <c r="M5819" s="561">
        <v>0</v>
      </c>
      <c r="O5819" s="561">
        <v>0</v>
      </c>
      <c r="P5819" s="561">
        <v>0</v>
      </c>
      <c r="Q5819" s="561">
        <v>0</v>
      </c>
    </row>
    <row r="5820" spans="2:54">
      <c r="C5820" s="561" t="s">
        <v>1199</v>
      </c>
      <c r="D5820" s="561">
        <v>2830</v>
      </c>
      <c r="E5820" s="561">
        <v>750</v>
      </c>
      <c r="F5820" s="561">
        <v>2080</v>
      </c>
      <c r="G5820" s="561">
        <v>260</v>
      </c>
      <c r="H5820" s="561">
        <v>3382.01</v>
      </c>
      <c r="I5820" s="561">
        <v>1</v>
      </c>
      <c r="J5820" s="561">
        <v>4.5</v>
      </c>
      <c r="K5820" s="561">
        <v>260</v>
      </c>
      <c r="L5820" s="561">
        <v>3368.9</v>
      </c>
      <c r="M5820" s="561">
        <v>3368.9</v>
      </c>
      <c r="N5820" s="561">
        <v>750</v>
      </c>
      <c r="O5820" s="561">
        <v>0</v>
      </c>
      <c r="P5820" s="561">
        <v>2618.9</v>
      </c>
      <c r="Q5820" s="561">
        <v>1750</v>
      </c>
    </row>
    <row r="5821" spans="2:54">
      <c r="C5821" s="561" t="s">
        <v>1200</v>
      </c>
      <c r="D5821" s="561">
        <v>0</v>
      </c>
      <c r="M5821" s="561">
        <v>0</v>
      </c>
      <c r="O5821" s="561">
        <v>0</v>
      </c>
      <c r="P5821" s="561">
        <v>0</v>
      </c>
    </row>
    <row r="5822" spans="2:54">
      <c r="B5822" s="561" t="s">
        <v>1735</v>
      </c>
      <c r="C5822" s="561" t="s">
        <v>1196</v>
      </c>
      <c r="D5822" s="561">
        <v>39626</v>
      </c>
      <c r="E5822" s="561">
        <v>11040</v>
      </c>
      <c r="F5822" s="561">
        <v>28586</v>
      </c>
      <c r="G5822" s="561">
        <v>2703</v>
      </c>
      <c r="H5822" s="561">
        <v>40197.29</v>
      </c>
      <c r="I5822" s="561">
        <v>7</v>
      </c>
      <c r="J5822" s="561">
        <v>63.2</v>
      </c>
      <c r="K5822" s="561">
        <v>2702</v>
      </c>
      <c r="L5822" s="561">
        <v>39626.000000000007</v>
      </c>
      <c r="M5822" s="561">
        <v>39626.000000000007</v>
      </c>
      <c r="N5822" s="561">
        <v>11040</v>
      </c>
      <c r="O5822" s="561">
        <v>0</v>
      </c>
      <c r="P5822" s="561">
        <v>28586.000000000007</v>
      </c>
      <c r="Q5822" s="561">
        <v>28586</v>
      </c>
    </row>
    <row r="5823" spans="2:54">
      <c r="C5823" s="561" t="s">
        <v>1197</v>
      </c>
      <c r="M5823" s="561">
        <v>0</v>
      </c>
      <c r="O5823" s="561">
        <v>0</v>
      </c>
      <c r="P5823" s="561">
        <v>0</v>
      </c>
    </row>
    <row r="5824" spans="2:54">
      <c r="C5824" s="561" t="s">
        <v>1198</v>
      </c>
      <c r="M5824" s="561">
        <v>0</v>
      </c>
      <c r="O5824" s="561">
        <v>0</v>
      </c>
      <c r="P5824" s="561">
        <v>0</v>
      </c>
    </row>
    <row r="5825" spans="2:54">
      <c r="C5825" s="561" t="s">
        <v>1199</v>
      </c>
      <c r="D5825" s="561">
        <v>39626</v>
      </c>
      <c r="E5825" s="561">
        <v>11040</v>
      </c>
      <c r="F5825" s="561">
        <v>28586</v>
      </c>
      <c r="G5825" s="561">
        <v>2703</v>
      </c>
      <c r="H5825" s="561">
        <v>40197.29</v>
      </c>
      <c r="I5825" s="561">
        <v>7</v>
      </c>
      <c r="J5825" s="561">
        <v>63.2</v>
      </c>
      <c r="K5825" s="561">
        <v>2702</v>
      </c>
      <c r="L5825" s="561">
        <v>39626.000000000007</v>
      </c>
      <c r="M5825" s="561">
        <v>39626.000000000007</v>
      </c>
      <c r="N5825" s="561">
        <v>11040</v>
      </c>
      <c r="O5825" s="561">
        <v>0</v>
      </c>
      <c r="P5825" s="561">
        <v>28586.000000000007</v>
      </c>
      <c r="Q5825" s="561">
        <v>28586</v>
      </c>
    </row>
    <row r="5826" spans="2:54">
      <c r="C5826" s="561" t="s">
        <v>1200</v>
      </c>
      <c r="D5826" s="561">
        <v>0</v>
      </c>
      <c r="M5826" s="561">
        <v>0</v>
      </c>
      <c r="O5826" s="561">
        <v>0</v>
      </c>
      <c r="P5826" s="561">
        <v>0</v>
      </c>
    </row>
    <row r="5827" spans="2:54">
      <c r="B5827" s="561" t="s">
        <v>1736</v>
      </c>
      <c r="C5827" s="561" t="s">
        <v>1196</v>
      </c>
      <c r="D5827" s="561">
        <v>43869</v>
      </c>
      <c r="E5827" s="561">
        <v>11667.9</v>
      </c>
      <c r="F5827" s="561">
        <v>32201.1</v>
      </c>
      <c r="G5827" s="561">
        <v>3020</v>
      </c>
      <c r="H5827" s="561">
        <v>44106.26</v>
      </c>
      <c r="I5827" s="561">
        <v>19</v>
      </c>
      <c r="J5827" s="561">
        <v>163</v>
      </c>
      <c r="K5827" s="561">
        <v>3012</v>
      </c>
      <c r="L5827" s="561">
        <v>43869</v>
      </c>
      <c r="M5827" s="561">
        <v>43869</v>
      </c>
      <c r="N5827" s="561">
        <v>11667.9</v>
      </c>
      <c r="O5827" s="561">
        <v>0</v>
      </c>
      <c r="P5827" s="561">
        <v>32201.1</v>
      </c>
      <c r="Q5827" s="561">
        <v>32201.1</v>
      </c>
    </row>
    <row r="5828" spans="2:54">
      <c r="C5828" s="561" t="s">
        <v>1197</v>
      </c>
      <c r="M5828" s="561">
        <v>0</v>
      </c>
      <c r="O5828" s="561">
        <v>0</v>
      </c>
      <c r="P5828" s="561">
        <v>0</v>
      </c>
    </row>
    <row r="5829" spans="2:54">
      <c r="C5829" s="561" t="s">
        <v>1198</v>
      </c>
      <c r="M5829" s="561">
        <v>0</v>
      </c>
      <c r="O5829" s="561">
        <v>0</v>
      </c>
      <c r="P5829" s="561">
        <v>0</v>
      </c>
    </row>
    <row r="5830" spans="2:54">
      <c r="C5830" s="561" t="s">
        <v>1199</v>
      </c>
      <c r="D5830" s="561">
        <v>43869</v>
      </c>
      <c r="E5830" s="561">
        <v>11667.9</v>
      </c>
      <c r="F5830" s="561">
        <v>32201.1</v>
      </c>
      <c r="G5830" s="561">
        <v>3020</v>
      </c>
      <c r="H5830" s="561">
        <v>44106.26</v>
      </c>
      <c r="I5830" s="561">
        <v>19</v>
      </c>
      <c r="J5830" s="561">
        <v>163</v>
      </c>
      <c r="K5830" s="561">
        <v>3012</v>
      </c>
      <c r="L5830" s="561">
        <v>43869</v>
      </c>
      <c r="M5830" s="561">
        <v>43869</v>
      </c>
      <c r="N5830" s="561">
        <v>11667.9</v>
      </c>
      <c r="O5830" s="561">
        <v>0</v>
      </c>
      <c r="P5830" s="561">
        <v>32201.1</v>
      </c>
      <c r="Q5830" s="561">
        <v>32201.1</v>
      </c>
    </row>
    <row r="5831" spans="2:54">
      <c r="C5831" s="561" t="s">
        <v>1200</v>
      </c>
      <c r="D5831" s="561">
        <v>0</v>
      </c>
      <c r="M5831" s="561">
        <v>0</v>
      </c>
      <c r="O5831" s="561">
        <v>0</v>
      </c>
      <c r="P5831" s="561">
        <v>0</v>
      </c>
    </row>
    <row r="5832" spans="2:54">
      <c r="B5832" s="561" t="s">
        <v>1737</v>
      </c>
      <c r="C5832" s="561" t="s">
        <v>1196</v>
      </c>
      <c r="D5832" s="561">
        <v>11992</v>
      </c>
      <c r="E5832" s="561">
        <v>4590</v>
      </c>
      <c r="F5832" s="561">
        <v>7402</v>
      </c>
      <c r="G5832" s="561">
        <v>1092</v>
      </c>
      <c r="H5832" s="561">
        <v>12022.7</v>
      </c>
      <c r="I5832" s="561">
        <v>17</v>
      </c>
      <c r="J5832" s="561">
        <v>1577.4</v>
      </c>
      <c r="K5832" s="561">
        <v>1091</v>
      </c>
      <c r="L5832" s="561">
        <v>11992</v>
      </c>
      <c r="M5832" s="561">
        <v>11992</v>
      </c>
      <c r="N5832" s="561">
        <v>4590</v>
      </c>
      <c r="O5832" s="561">
        <v>0</v>
      </c>
      <c r="P5832" s="561">
        <v>7402</v>
      </c>
      <c r="Q5832" s="561">
        <v>7402</v>
      </c>
    </row>
    <row r="5833" spans="2:54">
      <c r="C5833" s="561" t="s">
        <v>1197</v>
      </c>
      <c r="M5833" s="561">
        <v>0</v>
      </c>
      <c r="O5833" s="561">
        <v>0</v>
      </c>
      <c r="P5833" s="561">
        <v>0</v>
      </c>
    </row>
    <row r="5834" spans="2:54">
      <c r="C5834" s="561" t="s">
        <v>1198</v>
      </c>
      <c r="M5834" s="561">
        <v>0</v>
      </c>
      <c r="O5834" s="561">
        <v>0</v>
      </c>
      <c r="P5834" s="561">
        <v>0</v>
      </c>
    </row>
    <row r="5835" spans="2:54">
      <c r="C5835" s="561" t="s">
        <v>1199</v>
      </c>
      <c r="D5835" s="561">
        <v>11992</v>
      </c>
      <c r="E5835" s="561">
        <v>4590</v>
      </c>
      <c r="F5835" s="561">
        <v>7402</v>
      </c>
      <c r="G5835" s="561">
        <v>1092</v>
      </c>
      <c r="H5835" s="561">
        <v>12022.7</v>
      </c>
      <c r="I5835" s="561">
        <v>17</v>
      </c>
      <c r="J5835" s="561">
        <v>1577.4</v>
      </c>
      <c r="K5835" s="561">
        <v>1091</v>
      </c>
      <c r="L5835" s="561">
        <v>11992</v>
      </c>
      <c r="M5835" s="561">
        <v>11992</v>
      </c>
      <c r="N5835" s="561">
        <v>4590</v>
      </c>
      <c r="O5835" s="561">
        <v>0</v>
      </c>
      <c r="P5835" s="561">
        <v>7402</v>
      </c>
      <c r="Q5835" s="561">
        <v>7402</v>
      </c>
    </row>
    <row r="5836" spans="2:54">
      <c r="C5836" s="561" t="s">
        <v>1200</v>
      </c>
      <c r="D5836" s="561">
        <v>0</v>
      </c>
      <c r="M5836" s="561">
        <v>0</v>
      </c>
      <c r="O5836" s="561">
        <v>0</v>
      </c>
      <c r="P5836" s="561">
        <v>0</v>
      </c>
    </row>
    <row r="5837" spans="2:54">
      <c r="B5837" s="561" t="s">
        <v>1738</v>
      </c>
      <c r="C5837" s="561" t="s">
        <v>1196</v>
      </c>
      <c r="D5837" s="561">
        <v>268035</v>
      </c>
      <c r="E5837" s="561">
        <v>88110</v>
      </c>
      <c r="F5837" s="561">
        <v>179925</v>
      </c>
      <c r="G5837" s="561">
        <v>5105</v>
      </c>
      <c r="H5837" s="561">
        <v>267909.56999999995</v>
      </c>
      <c r="I5837" s="561">
        <v>351</v>
      </c>
      <c r="J5837" s="561">
        <v>1910.24</v>
      </c>
      <c r="K5837" s="561">
        <v>5116</v>
      </c>
      <c r="L5837" s="561">
        <v>268035</v>
      </c>
      <c r="M5837" s="561">
        <v>268035</v>
      </c>
      <c r="N5837" s="561">
        <v>88110</v>
      </c>
      <c r="O5837" s="561">
        <v>0</v>
      </c>
      <c r="P5837" s="561">
        <v>179925</v>
      </c>
      <c r="Q5837" s="561">
        <v>179925.00000000003</v>
      </c>
    </row>
    <row r="5838" spans="2:54">
      <c r="C5838" s="561" t="s">
        <v>1197</v>
      </c>
      <c r="D5838" s="561">
        <v>267375</v>
      </c>
      <c r="E5838" s="561">
        <v>87450</v>
      </c>
      <c r="F5838" s="561">
        <v>179925</v>
      </c>
      <c r="G5838" s="561">
        <v>5062</v>
      </c>
      <c r="H5838" s="561">
        <v>267013.84999999998</v>
      </c>
      <c r="I5838" s="561">
        <v>351</v>
      </c>
      <c r="J5838" s="561">
        <v>1910.24</v>
      </c>
      <c r="K5838" s="561">
        <v>5074</v>
      </c>
      <c r="L5838" s="561">
        <v>267418.3</v>
      </c>
      <c r="M5838" s="561">
        <v>267418.3</v>
      </c>
      <c r="N5838" s="561">
        <v>87450</v>
      </c>
      <c r="O5838" s="561">
        <v>0</v>
      </c>
      <c r="Q5838" s="561">
        <v>179968.30000000002</v>
      </c>
      <c r="BB5838" s="561">
        <v>179968.3</v>
      </c>
    </row>
    <row r="5839" spans="2:54">
      <c r="C5839" s="561" t="s">
        <v>1198</v>
      </c>
      <c r="M5839" s="561">
        <v>0</v>
      </c>
      <c r="O5839" s="561">
        <v>0</v>
      </c>
      <c r="P5839" s="561">
        <v>0</v>
      </c>
    </row>
    <row r="5840" spans="2:54">
      <c r="C5840" s="561" t="s">
        <v>1199</v>
      </c>
      <c r="D5840" s="561">
        <v>660</v>
      </c>
      <c r="E5840" s="561">
        <v>660</v>
      </c>
      <c r="F5840" s="561">
        <v>0</v>
      </c>
      <c r="G5840" s="561">
        <v>43</v>
      </c>
      <c r="H5840" s="561">
        <v>895.72</v>
      </c>
      <c r="I5840" s="561">
        <v>0</v>
      </c>
      <c r="J5840" s="561">
        <v>0</v>
      </c>
      <c r="K5840" s="561">
        <v>42</v>
      </c>
      <c r="L5840" s="561">
        <v>616.70000000000005</v>
      </c>
      <c r="M5840" s="561">
        <v>616.70000000000005</v>
      </c>
      <c r="N5840" s="561">
        <v>660</v>
      </c>
      <c r="O5840" s="561">
        <v>0</v>
      </c>
      <c r="P5840" s="561">
        <v>-43.299999999999955</v>
      </c>
      <c r="Q5840" s="561">
        <v>-43.3</v>
      </c>
    </row>
    <row r="5841" spans="2:38">
      <c r="C5841" s="561" t="s">
        <v>1200</v>
      </c>
      <c r="D5841" s="561">
        <v>0</v>
      </c>
      <c r="M5841" s="561">
        <v>0</v>
      </c>
      <c r="O5841" s="561">
        <v>0</v>
      </c>
      <c r="P5841" s="561">
        <v>0</v>
      </c>
    </row>
    <row r="5842" spans="2:38">
      <c r="B5842" s="561" t="s">
        <v>1739</v>
      </c>
      <c r="C5842" s="561" t="s">
        <v>1196</v>
      </c>
      <c r="D5842" s="561">
        <v>32366</v>
      </c>
      <c r="E5842" s="561">
        <v>9750</v>
      </c>
      <c r="F5842" s="561">
        <v>22616</v>
      </c>
      <c r="G5842" s="561">
        <v>2533</v>
      </c>
      <c r="H5842" s="561">
        <v>34178.9</v>
      </c>
      <c r="I5842" s="561">
        <v>126</v>
      </c>
      <c r="J5842" s="561">
        <v>1099.3499999999999</v>
      </c>
      <c r="K5842" s="561">
        <v>2477</v>
      </c>
      <c r="L5842" s="561">
        <v>32366</v>
      </c>
      <c r="M5842" s="561">
        <v>32366</v>
      </c>
      <c r="N5842" s="561">
        <v>9750</v>
      </c>
      <c r="O5842" s="561">
        <v>0</v>
      </c>
      <c r="P5842" s="561">
        <v>22616</v>
      </c>
      <c r="Q5842" s="561">
        <v>22616</v>
      </c>
    </row>
    <row r="5843" spans="2:38">
      <c r="C5843" s="561" t="s">
        <v>1197</v>
      </c>
      <c r="M5843" s="561">
        <v>0</v>
      </c>
      <c r="O5843" s="561">
        <v>0</v>
      </c>
      <c r="P5843" s="561">
        <v>0</v>
      </c>
    </row>
    <row r="5844" spans="2:38">
      <c r="C5844" s="561" t="s">
        <v>1198</v>
      </c>
      <c r="M5844" s="561">
        <v>0</v>
      </c>
      <c r="O5844" s="561">
        <v>0</v>
      </c>
      <c r="P5844" s="561">
        <v>0</v>
      </c>
    </row>
    <row r="5845" spans="2:38">
      <c r="C5845" s="561" t="s">
        <v>1199</v>
      </c>
      <c r="D5845" s="561">
        <v>32366</v>
      </c>
      <c r="E5845" s="561">
        <v>9750</v>
      </c>
      <c r="F5845" s="561">
        <v>22616</v>
      </c>
      <c r="G5845" s="561">
        <v>2533</v>
      </c>
      <c r="H5845" s="561">
        <v>34178.9</v>
      </c>
      <c r="I5845" s="561">
        <v>126</v>
      </c>
      <c r="J5845" s="561">
        <v>1099.3499999999999</v>
      </c>
      <c r="K5845" s="561">
        <v>2477</v>
      </c>
      <c r="L5845" s="561">
        <v>32366</v>
      </c>
      <c r="M5845" s="561">
        <v>32366</v>
      </c>
      <c r="N5845" s="561">
        <v>9750</v>
      </c>
      <c r="O5845" s="561">
        <v>0</v>
      </c>
      <c r="P5845" s="561">
        <v>22616</v>
      </c>
      <c r="Q5845" s="561">
        <v>22616</v>
      </c>
    </row>
    <row r="5846" spans="2:38">
      <c r="C5846" s="561" t="s">
        <v>1200</v>
      </c>
      <c r="D5846" s="561">
        <v>0</v>
      </c>
      <c r="M5846" s="561">
        <v>0</v>
      </c>
      <c r="O5846" s="561">
        <v>0</v>
      </c>
      <c r="P5846" s="561">
        <v>0</v>
      </c>
    </row>
    <row r="5847" spans="2:38">
      <c r="B5847" s="561" t="s">
        <v>1740</v>
      </c>
      <c r="C5847" s="561" t="s">
        <v>1196</v>
      </c>
      <c r="D5847" s="561">
        <v>22601</v>
      </c>
      <c r="E5847" s="561">
        <v>6900</v>
      </c>
      <c r="F5847" s="561">
        <v>15701</v>
      </c>
      <c r="G5847" s="561">
        <v>2110</v>
      </c>
      <c r="H5847" s="561">
        <v>23738.6</v>
      </c>
      <c r="I5847" s="561">
        <v>53</v>
      </c>
      <c r="J5847" s="561">
        <v>316.58999999999997</v>
      </c>
      <c r="K5847" s="561">
        <v>2092</v>
      </c>
      <c r="L5847" s="561">
        <v>22601</v>
      </c>
      <c r="M5847" s="561">
        <v>22601</v>
      </c>
      <c r="N5847" s="561">
        <v>6900</v>
      </c>
      <c r="O5847" s="561">
        <v>0</v>
      </c>
      <c r="P5847" s="561">
        <v>15701</v>
      </c>
      <c r="Q5847" s="561">
        <v>15701</v>
      </c>
    </row>
    <row r="5848" spans="2:38">
      <c r="C5848" s="561" t="s">
        <v>1197</v>
      </c>
      <c r="M5848" s="561">
        <v>0</v>
      </c>
      <c r="O5848" s="561">
        <v>0</v>
      </c>
      <c r="P5848" s="561">
        <v>0</v>
      </c>
    </row>
    <row r="5849" spans="2:38">
      <c r="C5849" s="561" t="s">
        <v>1198</v>
      </c>
      <c r="M5849" s="561">
        <v>0</v>
      </c>
      <c r="O5849" s="561">
        <v>0</v>
      </c>
      <c r="P5849" s="561">
        <v>0</v>
      </c>
    </row>
    <row r="5850" spans="2:38">
      <c r="C5850" s="561" t="s">
        <v>1199</v>
      </c>
      <c r="D5850" s="561">
        <v>22601</v>
      </c>
      <c r="E5850" s="561">
        <v>6900</v>
      </c>
      <c r="F5850" s="561">
        <v>15701</v>
      </c>
      <c r="G5850" s="561">
        <v>2110</v>
      </c>
      <c r="H5850" s="561">
        <v>23738.6</v>
      </c>
      <c r="I5850" s="561">
        <v>53</v>
      </c>
      <c r="J5850" s="561">
        <v>316.58999999999997</v>
      </c>
      <c r="K5850" s="561">
        <v>2092</v>
      </c>
      <c r="L5850" s="561">
        <v>22601</v>
      </c>
      <c r="M5850" s="561">
        <v>22601</v>
      </c>
      <c r="N5850" s="561">
        <v>6900</v>
      </c>
      <c r="O5850" s="561">
        <v>0</v>
      </c>
      <c r="P5850" s="561">
        <v>15701</v>
      </c>
      <c r="Q5850" s="561">
        <v>15701</v>
      </c>
    </row>
    <row r="5851" spans="2:38">
      <c r="C5851" s="561" t="s">
        <v>1200</v>
      </c>
      <c r="D5851" s="561">
        <v>0</v>
      </c>
      <c r="M5851" s="561">
        <v>0</v>
      </c>
      <c r="O5851" s="561">
        <v>0</v>
      </c>
      <c r="P5851" s="561">
        <v>0</v>
      </c>
    </row>
    <row r="5852" spans="2:38">
      <c r="B5852" s="561" t="s">
        <v>1741</v>
      </c>
      <c r="C5852" s="561" t="s">
        <v>1196</v>
      </c>
      <c r="D5852" s="561">
        <v>510870</v>
      </c>
      <c r="E5852" s="561">
        <v>147150</v>
      </c>
      <c r="F5852" s="561">
        <v>363720</v>
      </c>
      <c r="G5852" s="561">
        <v>8395</v>
      </c>
      <c r="H5852" s="561">
        <v>536256.11</v>
      </c>
      <c r="I5852" s="561">
        <v>612</v>
      </c>
      <c r="J5852" s="561">
        <v>26699.42</v>
      </c>
      <c r="K5852" s="561">
        <v>8277</v>
      </c>
      <c r="L5852" s="561">
        <v>510870</v>
      </c>
      <c r="M5852" s="561">
        <v>510870</v>
      </c>
      <c r="N5852" s="561">
        <v>147150</v>
      </c>
      <c r="O5852" s="561">
        <v>0</v>
      </c>
      <c r="P5852" s="561">
        <v>363720</v>
      </c>
      <c r="Q5852" s="561">
        <v>363720</v>
      </c>
    </row>
    <row r="5853" spans="2:38">
      <c r="C5853" s="561" t="s">
        <v>1197</v>
      </c>
      <c r="D5853" s="561">
        <v>497900</v>
      </c>
      <c r="E5853" s="561">
        <v>145800</v>
      </c>
      <c r="F5853" s="561">
        <v>352100</v>
      </c>
      <c r="G5853" s="561">
        <v>8012</v>
      </c>
      <c r="H5853" s="561">
        <v>523363.47000000003</v>
      </c>
      <c r="I5853" s="561">
        <v>608</v>
      </c>
      <c r="J5853" s="561">
        <v>26649.82</v>
      </c>
      <c r="K5853" s="561">
        <v>7895</v>
      </c>
      <c r="L5853" s="561">
        <v>497844.1</v>
      </c>
      <c r="M5853" s="561">
        <v>497844.1</v>
      </c>
      <c r="N5853" s="561">
        <v>145800</v>
      </c>
      <c r="O5853" s="561">
        <v>0</v>
      </c>
      <c r="Q5853" s="561">
        <v>352100</v>
      </c>
      <c r="AL5853" s="561">
        <v>352044.1</v>
      </c>
    </row>
    <row r="5854" spans="2:38">
      <c r="C5854" s="561" t="s">
        <v>1198</v>
      </c>
      <c r="M5854" s="561">
        <v>0</v>
      </c>
      <c r="O5854" s="561">
        <v>0</v>
      </c>
      <c r="P5854" s="561">
        <v>0</v>
      </c>
    </row>
    <row r="5855" spans="2:38">
      <c r="C5855" s="561" t="s">
        <v>1199</v>
      </c>
      <c r="D5855" s="561">
        <v>12970</v>
      </c>
      <c r="E5855" s="561">
        <v>1350</v>
      </c>
      <c r="F5855" s="561">
        <v>11620</v>
      </c>
      <c r="G5855" s="561">
        <v>383</v>
      </c>
      <c r="H5855" s="561">
        <v>12892.64</v>
      </c>
      <c r="I5855" s="561">
        <v>4</v>
      </c>
      <c r="J5855" s="561">
        <v>49.6</v>
      </c>
      <c r="K5855" s="561">
        <v>382</v>
      </c>
      <c r="L5855" s="561">
        <v>13025.9</v>
      </c>
      <c r="M5855" s="561">
        <v>13025.9</v>
      </c>
      <c r="N5855" s="561">
        <v>1350</v>
      </c>
      <c r="O5855" s="561">
        <v>0</v>
      </c>
      <c r="P5855" s="561">
        <v>11675.9</v>
      </c>
      <c r="Q5855" s="561">
        <v>11620</v>
      </c>
    </row>
    <row r="5856" spans="2:38">
      <c r="C5856" s="561" t="s">
        <v>1200</v>
      </c>
      <c r="D5856" s="561">
        <v>0</v>
      </c>
      <c r="M5856" s="561">
        <v>0</v>
      </c>
      <c r="O5856" s="561">
        <v>0</v>
      </c>
      <c r="P5856" s="561">
        <v>0</v>
      </c>
    </row>
    <row r="5857" spans="2:38">
      <c r="B5857" s="561" t="s">
        <v>1742</v>
      </c>
      <c r="C5857" s="561" t="s">
        <v>1196</v>
      </c>
      <c r="D5857" s="561">
        <v>105495</v>
      </c>
      <c r="E5857" s="561">
        <v>26520</v>
      </c>
      <c r="F5857" s="561">
        <v>78975</v>
      </c>
      <c r="G5857" s="561">
        <v>3166</v>
      </c>
      <c r="H5857" s="561">
        <v>107325.84999999999</v>
      </c>
      <c r="I5857" s="561">
        <v>92</v>
      </c>
      <c r="J5857" s="561">
        <v>2395.92</v>
      </c>
      <c r="K5857" s="561">
        <v>3160</v>
      </c>
      <c r="L5857" s="561">
        <v>105495</v>
      </c>
      <c r="M5857" s="561">
        <v>105495</v>
      </c>
      <c r="N5857" s="561">
        <v>26520</v>
      </c>
      <c r="O5857" s="561">
        <v>0</v>
      </c>
      <c r="P5857" s="561">
        <v>78975</v>
      </c>
      <c r="Q5857" s="561">
        <v>78975</v>
      </c>
    </row>
    <row r="5858" spans="2:38">
      <c r="C5858" s="561" t="s">
        <v>1197</v>
      </c>
      <c r="D5858" s="561">
        <v>75823</v>
      </c>
      <c r="E5858" s="561">
        <v>18600</v>
      </c>
      <c r="F5858" s="561">
        <v>57223</v>
      </c>
      <c r="G5858" s="561">
        <v>1055</v>
      </c>
      <c r="H5858" s="561">
        <v>78212.12999999999</v>
      </c>
      <c r="I5858" s="561">
        <v>81</v>
      </c>
      <c r="J5858" s="561">
        <v>2306.02</v>
      </c>
      <c r="K5858" s="561">
        <v>1054</v>
      </c>
      <c r="L5858" s="561">
        <v>76472.7</v>
      </c>
      <c r="M5858" s="561">
        <v>76472.7</v>
      </c>
      <c r="N5858" s="561">
        <v>18600</v>
      </c>
      <c r="O5858" s="561">
        <v>0</v>
      </c>
      <c r="Q5858" s="561">
        <v>57223</v>
      </c>
      <c r="AL5858" s="561">
        <v>57872.7</v>
      </c>
    </row>
    <row r="5859" spans="2:38">
      <c r="C5859" s="561" t="s">
        <v>1198</v>
      </c>
      <c r="M5859" s="561">
        <v>0</v>
      </c>
      <c r="O5859" s="561">
        <v>0</v>
      </c>
      <c r="P5859" s="561">
        <v>0</v>
      </c>
    </row>
    <row r="5860" spans="2:38">
      <c r="C5860" s="561" t="s">
        <v>1199</v>
      </c>
      <c r="D5860" s="561">
        <v>29672</v>
      </c>
      <c r="E5860" s="561">
        <v>7920</v>
      </c>
      <c r="F5860" s="561">
        <v>21752</v>
      </c>
      <c r="G5860" s="561">
        <v>2111</v>
      </c>
      <c r="H5860" s="561">
        <v>29113.72</v>
      </c>
      <c r="I5860" s="561">
        <v>11</v>
      </c>
      <c r="J5860" s="561">
        <v>89.9</v>
      </c>
      <c r="K5860" s="561">
        <v>2106</v>
      </c>
      <c r="L5860" s="561">
        <v>29022.3</v>
      </c>
      <c r="M5860" s="561">
        <v>29022.3</v>
      </c>
      <c r="N5860" s="561">
        <v>7920</v>
      </c>
      <c r="O5860" s="561">
        <v>0</v>
      </c>
      <c r="P5860" s="561">
        <v>21102.3</v>
      </c>
      <c r="Q5860" s="561">
        <v>21752</v>
      </c>
    </row>
    <row r="5861" spans="2:38">
      <c r="C5861" s="561" t="s">
        <v>1200</v>
      </c>
      <c r="D5861" s="561">
        <v>0</v>
      </c>
      <c r="M5861" s="561">
        <v>0</v>
      </c>
      <c r="O5861" s="561">
        <v>0</v>
      </c>
      <c r="P5861" s="561">
        <v>0</v>
      </c>
    </row>
    <row r="5862" spans="2:38">
      <c r="B5862" s="561" t="s">
        <v>1743</v>
      </c>
      <c r="C5862" s="561" t="s">
        <v>1196</v>
      </c>
      <c r="D5862" s="561">
        <v>213048</v>
      </c>
      <c r="E5862" s="561">
        <v>64860</v>
      </c>
      <c r="F5862" s="561">
        <v>148188</v>
      </c>
      <c r="G5862" s="561">
        <v>3729</v>
      </c>
      <c r="H5862" s="561">
        <v>221902.41999999998</v>
      </c>
      <c r="I5862" s="561">
        <v>262</v>
      </c>
      <c r="J5862" s="561">
        <v>9744.57</v>
      </c>
      <c r="K5862" s="561">
        <v>3692</v>
      </c>
      <c r="L5862" s="561">
        <v>213048</v>
      </c>
      <c r="M5862" s="561">
        <v>213048</v>
      </c>
      <c r="N5862" s="561">
        <v>64860</v>
      </c>
      <c r="O5862" s="561">
        <v>0</v>
      </c>
      <c r="P5862" s="561">
        <v>148188</v>
      </c>
      <c r="Q5862" s="561">
        <v>148188</v>
      </c>
    </row>
    <row r="5863" spans="2:38">
      <c r="C5863" s="561" t="s">
        <v>1197</v>
      </c>
      <c r="D5863" s="561">
        <v>213048</v>
      </c>
      <c r="E5863" s="561">
        <v>64860</v>
      </c>
      <c r="F5863" s="561">
        <v>148188</v>
      </c>
      <c r="G5863" s="561">
        <v>3729</v>
      </c>
      <c r="H5863" s="561">
        <v>221902.41999999998</v>
      </c>
      <c r="I5863" s="561">
        <v>262</v>
      </c>
      <c r="J5863" s="561">
        <v>9744.57</v>
      </c>
      <c r="K5863" s="561">
        <v>3692</v>
      </c>
      <c r="L5863" s="561">
        <v>213048</v>
      </c>
      <c r="M5863" s="561">
        <v>213048</v>
      </c>
      <c r="N5863" s="561">
        <v>64860</v>
      </c>
      <c r="O5863" s="561">
        <v>0</v>
      </c>
      <c r="Q5863" s="561">
        <v>148188</v>
      </c>
      <c r="AL5863" s="561">
        <v>148188</v>
      </c>
    </row>
    <row r="5864" spans="2:38">
      <c r="C5864" s="561" t="s">
        <v>1198</v>
      </c>
      <c r="M5864" s="561">
        <v>0</v>
      </c>
      <c r="O5864" s="561">
        <v>0</v>
      </c>
      <c r="P5864" s="561">
        <v>0</v>
      </c>
    </row>
    <row r="5865" spans="2:38">
      <c r="C5865" s="561" t="s">
        <v>1199</v>
      </c>
      <c r="D5865" s="561">
        <v>0</v>
      </c>
      <c r="M5865" s="561">
        <v>0</v>
      </c>
      <c r="O5865" s="561">
        <v>0</v>
      </c>
      <c r="P5865" s="561">
        <v>0</v>
      </c>
    </row>
    <row r="5866" spans="2:38">
      <c r="C5866" s="561" t="s">
        <v>1200</v>
      </c>
      <c r="D5866" s="561">
        <v>0</v>
      </c>
      <c r="M5866" s="561">
        <v>0</v>
      </c>
      <c r="O5866" s="561">
        <v>0</v>
      </c>
      <c r="P5866" s="561">
        <v>0</v>
      </c>
    </row>
    <row r="5867" spans="2:38">
      <c r="B5867" s="561" t="s">
        <v>1744</v>
      </c>
      <c r="C5867" s="561" t="s">
        <v>1196</v>
      </c>
      <c r="D5867" s="561">
        <v>51851.7</v>
      </c>
      <c r="E5867" s="561">
        <v>14016.3</v>
      </c>
      <c r="F5867" s="561">
        <v>37835.4</v>
      </c>
      <c r="G5867" s="561">
        <v>3344</v>
      </c>
      <c r="H5867" s="561">
        <v>52247.880000000005</v>
      </c>
      <c r="I5867" s="561">
        <v>38</v>
      </c>
      <c r="J5867" s="561">
        <v>396.2</v>
      </c>
      <c r="K5867" s="561">
        <v>3334</v>
      </c>
      <c r="L5867" s="561">
        <v>51851.700000000004</v>
      </c>
      <c r="M5867" s="561">
        <v>51851.700000000004</v>
      </c>
      <c r="N5867" s="561">
        <v>14016.3</v>
      </c>
      <c r="O5867" s="561">
        <v>0</v>
      </c>
      <c r="P5867" s="561">
        <v>37835.400000000009</v>
      </c>
      <c r="Q5867" s="561">
        <v>37835.4</v>
      </c>
    </row>
    <row r="5868" spans="2:38">
      <c r="C5868" s="561" t="s">
        <v>1197</v>
      </c>
      <c r="M5868" s="561">
        <v>0</v>
      </c>
      <c r="O5868" s="561">
        <v>0</v>
      </c>
      <c r="P5868" s="561">
        <v>0</v>
      </c>
    </row>
    <row r="5869" spans="2:38">
      <c r="C5869" s="561" t="s">
        <v>1198</v>
      </c>
      <c r="M5869" s="561">
        <v>0</v>
      </c>
      <c r="O5869" s="561">
        <v>0</v>
      </c>
      <c r="P5869" s="561">
        <v>0</v>
      </c>
    </row>
    <row r="5870" spans="2:38">
      <c r="C5870" s="561" t="s">
        <v>1199</v>
      </c>
      <c r="D5870" s="561">
        <v>51851.7</v>
      </c>
      <c r="E5870" s="561">
        <v>14016.3</v>
      </c>
      <c r="F5870" s="561">
        <v>37835.4</v>
      </c>
      <c r="G5870" s="561">
        <v>3344</v>
      </c>
      <c r="H5870" s="561">
        <v>52247.880000000005</v>
      </c>
      <c r="I5870" s="561">
        <v>38</v>
      </c>
      <c r="J5870" s="561">
        <v>396.2</v>
      </c>
      <c r="K5870" s="561">
        <v>3334</v>
      </c>
      <c r="L5870" s="561">
        <v>51851.700000000004</v>
      </c>
      <c r="M5870" s="561">
        <v>51851.700000000004</v>
      </c>
      <c r="N5870" s="561">
        <v>14016.3</v>
      </c>
      <c r="O5870" s="561">
        <v>0</v>
      </c>
      <c r="P5870" s="561">
        <v>37835.400000000009</v>
      </c>
      <c r="Q5870" s="561">
        <v>37835.4</v>
      </c>
    </row>
    <row r="5871" spans="2:38">
      <c r="C5871" s="561" t="s">
        <v>1200</v>
      </c>
      <c r="D5871" s="561">
        <v>0</v>
      </c>
      <c r="M5871" s="561">
        <v>0</v>
      </c>
      <c r="O5871" s="561">
        <v>0</v>
      </c>
      <c r="P5871" s="561">
        <v>0</v>
      </c>
    </row>
    <row r="5872" spans="2:38">
      <c r="B5872" s="561" t="s">
        <v>1745</v>
      </c>
      <c r="C5872" s="561" t="s">
        <v>1196</v>
      </c>
      <c r="D5872" s="561">
        <v>30091</v>
      </c>
      <c r="E5872" s="561">
        <v>11939.4</v>
      </c>
      <c r="F5872" s="561">
        <v>18151.599999999999</v>
      </c>
      <c r="G5872" s="561">
        <v>879</v>
      </c>
      <c r="H5872" s="561">
        <v>38142.370000000003</v>
      </c>
      <c r="I5872" s="561">
        <v>97</v>
      </c>
      <c r="J5872" s="561">
        <v>8045.7</v>
      </c>
      <c r="K5872" s="561">
        <v>842</v>
      </c>
      <c r="L5872" s="561">
        <v>30090.999999999996</v>
      </c>
      <c r="M5872" s="561">
        <v>30090.999999999996</v>
      </c>
      <c r="N5872" s="561">
        <v>11939.4</v>
      </c>
      <c r="O5872" s="561">
        <v>0</v>
      </c>
      <c r="P5872" s="561">
        <v>18151.599999999999</v>
      </c>
      <c r="Q5872" s="561">
        <v>18151.600000000002</v>
      </c>
    </row>
    <row r="5873" spans="2:38">
      <c r="C5873" s="561" t="s">
        <v>1197</v>
      </c>
      <c r="D5873" s="561">
        <v>27551</v>
      </c>
      <c r="E5873" s="561">
        <v>10725</v>
      </c>
      <c r="F5873" s="561">
        <v>16826</v>
      </c>
      <c r="G5873" s="561">
        <v>608</v>
      </c>
      <c r="H5873" s="561">
        <v>34536.630000000005</v>
      </c>
      <c r="I5873" s="561">
        <v>83</v>
      </c>
      <c r="J5873" s="561">
        <v>6996.5</v>
      </c>
      <c r="K5873" s="561">
        <v>580</v>
      </c>
      <c r="L5873" s="561">
        <v>27536.559999999998</v>
      </c>
      <c r="M5873" s="561">
        <v>27536.559999999998</v>
      </c>
      <c r="N5873" s="561">
        <v>10725</v>
      </c>
      <c r="O5873" s="561">
        <v>0</v>
      </c>
      <c r="Q5873" s="561">
        <v>16826.100000000002</v>
      </c>
      <c r="AL5873" s="561">
        <v>16811.559999999998</v>
      </c>
    </row>
    <row r="5874" spans="2:38">
      <c r="C5874" s="561" t="s">
        <v>1198</v>
      </c>
      <c r="M5874" s="561">
        <v>0</v>
      </c>
      <c r="O5874" s="561">
        <v>0</v>
      </c>
      <c r="P5874" s="561">
        <v>0</v>
      </c>
    </row>
    <row r="5875" spans="2:38">
      <c r="C5875" s="561" t="s">
        <v>1199</v>
      </c>
      <c r="D5875" s="561">
        <v>2540</v>
      </c>
      <c r="E5875" s="561">
        <v>1214.4000000000001</v>
      </c>
      <c r="F5875" s="561">
        <v>1325.6</v>
      </c>
      <c r="G5875" s="561">
        <v>271</v>
      </c>
      <c r="H5875" s="561">
        <v>3605.7400000000002</v>
      </c>
      <c r="I5875" s="561">
        <v>14</v>
      </c>
      <c r="J5875" s="561">
        <v>1049.2</v>
      </c>
      <c r="K5875" s="561">
        <v>262</v>
      </c>
      <c r="L5875" s="561">
        <v>2554.4399999999996</v>
      </c>
      <c r="M5875" s="561">
        <v>2554.4399999999996</v>
      </c>
      <c r="N5875" s="561">
        <v>1214.4000000000001</v>
      </c>
      <c r="O5875" s="561">
        <v>0</v>
      </c>
      <c r="P5875" s="561">
        <v>1340.0399999999995</v>
      </c>
      <c r="Q5875" s="561">
        <v>1325.5</v>
      </c>
    </row>
    <row r="5876" spans="2:38">
      <c r="C5876" s="561" t="s">
        <v>1200</v>
      </c>
      <c r="D5876" s="561">
        <v>0</v>
      </c>
      <c r="M5876" s="561">
        <v>0</v>
      </c>
      <c r="O5876" s="561">
        <v>0</v>
      </c>
      <c r="P5876" s="561">
        <v>0</v>
      </c>
    </row>
    <row r="5877" spans="2:38">
      <c r="B5877" s="561" t="s">
        <v>1746</v>
      </c>
      <c r="C5877" s="561" t="s">
        <v>1196</v>
      </c>
      <c r="D5877" s="561">
        <v>229905.4</v>
      </c>
      <c r="E5877" s="561">
        <v>69360</v>
      </c>
      <c r="F5877" s="561">
        <v>160545.4</v>
      </c>
      <c r="G5877" s="561">
        <v>5974</v>
      </c>
      <c r="H5877" s="561">
        <v>234596.69</v>
      </c>
      <c r="I5877" s="561">
        <v>193</v>
      </c>
      <c r="J5877" s="561">
        <v>5260.9100000000008</v>
      </c>
      <c r="K5877" s="561">
        <v>5957</v>
      </c>
      <c r="L5877" s="561">
        <v>229905.40000000002</v>
      </c>
      <c r="M5877" s="561">
        <v>229905.40000000002</v>
      </c>
      <c r="N5877" s="561">
        <v>69360</v>
      </c>
      <c r="O5877" s="561">
        <v>0</v>
      </c>
      <c r="P5877" s="561">
        <v>160545.40000000002</v>
      </c>
      <c r="Q5877" s="561">
        <v>160545.4</v>
      </c>
    </row>
    <row r="5878" spans="2:38">
      <c r="C5878" s="561" t="s">
        <v>1197</v>
      </c>
      <c r="D5878" s="561">
        <v>187779</v>
      </c>
      <c r="E5878" s="561">
        <v>57060</v>
      </c>
      <c r="F5878" s="561">
        <v>130719</v>
      </c>
      <c r="G5878" s="561">
        <v>3153</v>
      </c>
      <c r="H5878" s="561">
        <v>192255.4</v>
      </c>
      <c r="I5878" s="561">
        <v>158</v>
      </c>
      <c r="J5878" s="561">
        <v>5000.8600000000006</v>
      </c>
      <c r="K5878" s="561">
        <v>3145</v>
      </c>
      <c r="L5878" s="561">
        <v>187882.7</v>
      </c>
      <c r="M5878" s="561">
        <v>187882.7</v>
      </c>
      <c r="N5878" s="561">
        <v>57060</v>
      </c>
      <c r="O5878" s="561">
        <v>0</v>
      </c>
      <c r="Q5878" s="561">
        <v>130719</v>
      </c>
      <c r="AL5878" s="561">
        <v>130822.70000000001</v>
      </c>
    </row>
    <row r="5879" spans="2:38">
      <c r="C5879" s="561" t="s">
        <v>1198</v>
      </c>
      <c r="M5879" s="561">
        <v>0</v>
      </c>
      <c r="O5879" s="561">
        <v>0</v>
      </c>
      <c r="P5879" s="561">
        <v>0</v>
      </c>
    </row>
    <row r="5880" spans="2:38">
      <c r="C5880" s="561" t="s">
        <v>1199</v>
      </c>
      <c r="D5880" s="561">
        <v>42126.400000000001</v>
      </c>
      <c r="E5880" s="561">
        <v>12300</v>
      </c>
      <c r="F5880" s="561">
        <v>29826.400000000001</v>
      </c>
      <c r="G5880" s="561">
        <v>2821</v>
      </c>
      <c r="H5880" s="561">
        <v>42341.29</v>
      </c>
      <c r="I5880" s="561">
        <v>35</v>
      </c>
      <c r="J5880" s="561">
        <v>260.05</v>
      </c>
      <c r="K5880" s="561">
        <v>2812</v>
      </c>
      <c r="L5880" s="561">
        <v>42022.700000000004</v>
      </c>
      <c r="M5880" s="561">
        <v>42022.700000000004</v>
      </c>
      <c r="N5880" s="561">
        <v>12300</v>
      </c>
      <c r="O5880" s="561">
        <v>0</v>
      </c>
      <c r="P5880" s="561">
        <v>29722.700000000004</v>
      </c>
      <c r="Q5880" s="561">
        <v>29826.399999999998</v>
      </c>
    </row>
    <row r="5881" spans="2:38">
      <c r="C5881" s="561" t="s">
        <v>1200</v>
      </c>
      <c r="D5881" s="561">
        <v>0</v>
      </c>
      <c r="M5881" s="561">
        <v>0</v>
      </c>
      <c r="O5881" s="561">
        <v>0</v>
      </c>
      <c r="P5881" s="561">
        <v>0</v>
      </c>
    </row>
    <row r="5882" spans="2:38">
      <c r="B5882" s="561" t="s">
        <v>1747</v>
      </c>
      <c r="C5882" s="561" t="s">
        <v>1196</v>
      </c>
      <c r="D5882" s="561">
        <v>96433.9</v>
      </c>
      <c r="E5882" s="561">
        <v>30234</v>
      </c>
      <c r="F5882" s="561">
        <v>66199.899999999994</v>
      </c>
      <c r="G5882" s="561">
        <v>3201</v>
      </c>
      <c r="H5882" s="561">
        <v>98205.81</v>
      </c>
      <c r="I5882" s="561">
        <v>71</v>
      </c>
      <c r="J5882" s="561">
        <v>1755.7699999999998</v>
      </c>
      <c r="K5882" s="561">
        <v>3195</v>
      </c>
      <c r="L5882" s="561">
        <v>96433.900000000009</v>
      </c>
      <c r="M5882" s="561">
        <v>96433.900000000009</v>
      </c>
      <c r="N5882" s="561">
        <v>30234</v>
      </c>
      <c r="O5882" s="561">
        <v>0</v>
      </c>
      <c r="P5882" s="561">
        <v>66199.900000000009</v>
      </c>
      <c r="Q5882" s="561">
        <v>66199.899999999994</v>
      </c>
    </row>
    <row r="5883" spans="2:38">
      <c r="C5883" s="561" t="s">
        <v>1197</v>
      </c>
      <c r="D5883" s="561">
        <v>66700</v>
      </c>
      <c r="E5883" s="561">
        <v>20184</v>
      </c>
      <c r="F5883" s="561">
        <v>46516</v>
      </c>
      <c r="G5883" s="561">
        <v>1095</v>
      </c>
      <c r="H5883" s="561">
        <v>68442.45</v>
      </c>
      <c r="I5883" s="561">
        <v>46</v>
      </c>
      <c r="J5883" s="561">
        <v>1558.1699999999998</v>
      </c>
      <c r="K5883" s="561">
        <v>1093</v>
      </c>
      <c r="L5883" s="561">
        <v>66909.8</v>
      </c>
      <c r="M5883" s="561">
        <v>66909.8</v>
      </c>
      <c r="N5883" s="561">
        <v>20184</v>
      </c>
      <c r="O5883" s="561">
        <v>0</v>
      </c>
      <c r="Q5883" s="561">
        <v>46516</v>
      </c>
      <c r="AL5883" s="561">
        <v>46725.8</v>
      </c>
    </row>
    <row r="5884" spans="2:38">
      <c r="C5884" s="561" t="s">
        <v>1198</v>
      </c>
      <c r="L5884" s="561">
        <v>0</v>
      </c>
      <c r="M5884" s="561">
        <v>0</v>
      </c>
      <c r="O5884" s="561">
        <v>0</v>
      </c>
      <c r="P5884" s="561">
        <v>0</v>
      </c>
    </row>
    <row r="5885" spans="2:38">
      <c r="C5885" s="561" t="s">
        <v>1199</v>
      </c>
      <c r="D5885" s="561">
        <v>29733.9</v>
      </c>
      <c r="E5885" s="561">
        <v>10050</v>
      </c>
      <c r="F5885" s="561">
        <v>19683.900000000001</v>
      </c>
      <c r="G5885" s="561">
        <v>2106</v>
      </c>
      <c r="H5885" s="561">
        <v>29763.359999999997</v>
      </c>
      <c r="I5885" s="561">
        <v>25</v>
      </c>
      <c r="J5885" s="561">
        <v>197.6</v>
      </c>
      <c r="K5885" s="561">
        <v>2102</v>
      </c>
      <c r="L5885" s="561">
        <v>29524.100000000002</v>
      </c>
      <c r="M5885" s="561">
        <v>29524.100000000002</v>
      </c>
      <c r="N5885" s="561">
        <v>10050</v>
      </c>
      <c r="O5885" s="561">
        <v>0</v>
      </c>
      <c r="P5885" s="561">
        <v>19474.100000000002</v>
      </c>
      <c r="Q5885" s="561">
        <v>19683.900000000001</v>
      </c>
    </row>
    <row r="5886" spans="2:38">
      <c r="C5886" s="561" t="s">
        <v>1200</v>
      </c>
      <c r="D5886" s="561">
        <v>0</v>
      </c>
      <c r="L5886" s="561">
        <v>0</v>
      </c>
      <c r="M5886" s="561">
        <v>0</v>
      </c>
      <c r="O5886" s="561">
        <v>0</v>
      </c>
      <c r="P5886" s="561">
        <v>0</v>
      </c>
    </row>
    <row r="5887" spans="2:38">
      <c r="B5887" s="561" t="s">
        <v>1748</v>
      </c>
      <c r="C5887" s="561" t="s">
        <v>1196</v>
      </c>
      <c r="D5887" s="561">
        <v>109918</v>
      </c>
      <c r="E5887" s="561">
        <v>32975.4</v>
      </c>
      <c r="F5887" s="561">
        <v>76942.600000000006</v>
      </c>
      <c r="G5887" s="561">
        <v>4079</v>
      </c>
      <c r="H5887" s="561">
        <v>112311.86</v>
      </c>
      <c r="I5887" s="561">
        <v>110</v>
      </c>
      <c r="J5887" s="561">
        <v>2594.1</v>
      </c>
      <c r="K5887" s="561">
        <v>4070</v>
      </c>
      <c r="L5887" s="561">
        <v>109918</v>
      </c>
      <c r="M5887" s="561">
        <v>109918</v>
      </c>
      <c r="N5887" s="561">
        <v>32975.4</v>
      </c>
      <c r="O5887" s="561">
        <v>0</v>
      </c>
      <c r="P5887" s="561">
        <v>76942.600000000006</v>
      </c>
      <c r="Q5887" s="561">
        <v>76942.600000000006</v>
      </c>
    </row>
    <row r="5888" spans="2:38">
      <c r="C5888" s="561" t="s">
        <v>1197</v>
      </c>
      <c r="D5888" s="561">
        <v>73648</v>
      </c>
      <c r="E5888" s="561">
        <v>22094.400000000001</v>
      </c>
      <c r="F5888" s="561">
        <v>51553.599999999999</v>
      </c>
      <c r="G5888" s="561">
        <v>1298</v>
      </c>
      <c r="H5888" s="561">
        <v>75700.59</v>
      </c>
      <c r="I5888" s="561">
        <v>98</v>
      </c>
      <c r="J5888" s="561">
        <v>2521.5</v>
      </c>
      <c r="K5888" s="561">
        <v>1293</v>
      </c>
      <c r="L5888" s="561">
        <v>73648.02</v>
      </c>
      <c r="M5888" s="561">
        <v>73648.02</v>
      </c>
      <c r="N5888" s="561">
        <v>22094.400000000001</v>
      </c>
      <c r="O5888" s="561">
        <v>0</v>
      </c>
      <c r="Q5888" s="561">
        <v>51553.600000000006</v>
      </c>
      <c r="AL5888" s="561">
        <v>51553.62</v>
      </c>
    </row>
    <row r="5889" spans="2:38">
      <c r="C5889" s="561" t="s">
        <v>1198</v>
      </c>
      <c r="M5889" s="561">
        <v>0</v>
      </c>
      <c r="O5889" s="561">
        <v>0</v>
      </c>
      <c r="P5889" s="561">
        <v>0</v>
      </c>
    </row>
    <row r="5890" spans="2:38">
      <c r="C5890" s="561" t="s">
        <v>1199</v>
      </c>
      <c r="D5890" s="561">
        <v>36270</v>
      </c>
      <c r="E5890" s="561">
        <v>10881</v>
      </c>
      <c r="F5890" s="561">
        <v>25389</v>
      </c>
      <c r="G5890" s="561">
        <v>2781</v>
      </c>
      <c r="H5890" s="561">
        <v>36611.270000000004</v>
      </c>
      <c r="I5890" s="561">
        <v>12</v>
      </c>
      <c r="J5890" s="561">
        <v>72.599999999999994</v>
      </c>
      <c r="K5890" s="561">
        <v>2777</v>
      </c>
      <c r="L5890" s="561">
        <v>36269.980000000003</v>
      </c>
      <c r="M5890" s="561">
        <v>36269.980000000003</v>
      </c>
      <c r="N5890" s="561">
        <v>10881</v>
      </c>
      <c r="O5890" s="561">
        <v>0</v>
      </c>
      <c r="P5890" s="561">
        <v>25388.980000000003</v>
      </c>
      <c r="Q5890" s="561">
        <v>25389</v>
      </c>
    </row>
    <row r="5891" spans="2:38">
      <c r="C5891" s="561" t="s">
        <v>1200</v>
      </c>
      <c r="D5891" s="561">
        <v>0</v>
      </c>
      <c r="M5891" s="561">
        <v>0</v>
      </c>
      <c r="O5891" s="561">
        <v>0</v>
      </c>
      <c r="P5891" s="561">
        <v>0</v>
      </c>
    </row>
    <row r="5892" spans="2:38">
      <c r="B5892" s="561" t="s">
        <v>1749</v>
      </c>
      <c r="C5892" s="561" t="s">
        <v>1196</v>
      </c>
      <c r="D5892" s="561">
        <v>112881</v>
      </c>
      <c r="E5892" s="561">
        <v>33915</v>
      </c>
      <c r="F5892" s="561">
        <v>78966</v>
      </c>
      <c r="G5892" s="561">
        <v>2770</v>
      </c>
      <c r="H5892" s="561">
        <v>116543.07999999999</v>
      </c>
      <c r="I5892" s="561">
        <v>120</v>
      </c>
      <c r="J5892" s="561">
        <v>3644.1800000000003</v>
      </c>
      <c r="K5892" s="561">
        <v>2750</v>
      </c>
      <c r="L5892" s="561">
        <v>112881</v>
      </c>
      <c r="M5892" s="561">
        <v>112881</v>
      </c>
      <c r="N5892" s="561">
        <v>33915</v>
      </c>
      <c r="O5892" s="561">
        <v>0</v>
      </c>
      <c r="P5892" s="561">
        <v>78966</v>
      </c>
      <c r="Q5892" s="561">
        <v>78966</v>
      </c>
    </row>
    <row r="5893" spans="2:38">
      <c r="C5893" s="561" t="s">
        <v>1197</v>
      </c>
      <c r="D5893" s="561">
        <v>96003</v>
      </c>
      <c r="E5893" s="561">
        <v>27975</v>
      </c>
      <c r="F5893" s="561">
        <v>68028</v>
      </c>
      <c r="G5893" s="561">
        <v>1703</v>
      </c>
      <c r="H5893" s="561">
        <v>99169.37999999999</v>
      </c>
      <c r="I5893" s="561">
        <v>96</v>
      </c>
      <c r="J5893" s="561">
        <v>3407.1600000000003</v>
      </c>
      <c r="K5893" s="561">
        <v>1691</v>
      </c>
      <c r="L5893" s="561">
        <v>95748.53</v>
      </c>
      <c r="M5893" s="561">
        <v>95748.53</v>
      </c>
      <c r="N5893" s="561">
        <v>27975</v>
      </c>
      <c r="O5893" s="561">
        <v>0</v>
      </c>
      <c r="Q5893" s="561">
        <v>68028</v>
      </c>
      <c r="AL5893" s="561">
        <v>67773.53</v>
      </c>
    </row>
    <row r="5894" spans="2:38">
      <c r="C5894" s="561" t="s">
        <v>1198</v>
      </c>
      <c r="M5894" s="561">
        <v>0</v>
      </c>
      <c r="O5894" s="561">
        <v>0</v>
      </c>
      <c r="P5894" s="561">
        <v>0</v>
      </c>
    </row>
    <row r="5895" spans="2:38">
      <c r="C5895" s="561" t="s">
        <v>1199</v>
      </c>
      <c r="D5895" s="561">
        <v>16878</v>
      </c>
      <c r="E5895" s="561">
        <v>5940</v>
      </c>
      <c r="F5895" s="561">
        <v>10938</v>
      </c>
      <c r="G5895" s="561">
        <v>1067</v>
      </c>
      <c r="H5895" s="561">
        <v>17373.7</v>
      </c>
      <c r="I5895" s="561">
        <v>24</v>
      </c>
      <c r="J5895" s="561">
        <v>237.01999999999998</v>
      </c>
      <c r="K5895" s="561">
        <v>1059</v>
      </c>
      <c r="L5895" s="561">
        <v>17132.47</v>
      </c>
      <c r="M5895" s="561">
        <v>17132.47</v>
      </c>
      <c r="N5895" s="561">
        <v>5940</v>
      </c>
      <c r="O5895" s="561">
        <v>0</v>
      </c>
      <c r="P5895" s="561">
        <v>11192.470000000001</v>
      </c>
      <c r="Q5895" s="561">
        <v>10938</v>
      </c>
    </row>
    <row r="5896" spans="2:38">
      <c r="C5896" s="561" t="s">
        <v>1200</v>
      </c>
      <c r="D5896" s="561">
        <v>0</v>
      </c>
      <c r="M5896" s="561">
        <v>0</v>
      </c>
      <c r="O5896" s="561">
        <v>0</v>
      </c>
      <c r="P5896" s="561">
        <v>0</v>
      </c>
    </row>
    <row r="5897" spans="2:38">
      <c r="B5897" s="561" t="s">
        <v>1750</v>
      </c>
      <c r="C5897" s="561" t="s">
        <v>1196</v>
      </c>
      <c r="D5897" s="561">
        <v>34696.199999999997</v>
      </c>
      <c r="E5897" s="561">
        <v>10444.26</v>
      </c>
      <c r="F5897" s="561">
        <v>24251.94</v>
      </c>
      <c r="G5897" s="561">
        <v>712</v>
      </c>
      <c r="H5897" s="561">
        <v>34964.42</v>
      </c>
      <c r="I5897" s="561">
        <v>3</v>
      </c>
      <c r="J5897" s="561">
        <v>124.6</v>
      </c>
      <c r="K5897" s="561">
        <v>711</v>
      </c>
      <c r="L5897" s="561">
        <v>34696.199999999997</v>
      </c>
      <c r="M5897" s="561">
        <v>34696.199999999997</v>
      </c>
      <c r="N5897" s="561">
        <v>10444.26</v>
      </c>
      <c r="O5897" s="561">
        <v>0</v>
      </c>
      <c r="P5897" s="561">
        <v>24251.939999999995</v>
      </c>
      <c r="Q5897" s="561">
        <v>24251.940000000002</v>
      </c>
    </row>
    <row r="5898" spans="2:38">
      <c r="C5898" s="561" t="s">
        <v>1197</v>
      </c>
      <c r="D5898" s="561">
        <v>26440</v>
      </c>
      <c r="E5898" s="561">
        <v>6732</v>
      </c>
      <c r="F5898" s="561">
        <v>19708</v>
      </c>
      <c r="G5898" s="561">
        <v>373</v>
      </c>
      <c r="H5898" s="561">
        <v>26261.53</v>
      </c>
      <c r="I5898" s="561">
        <v>3</v>
      </c>
      <c r="J5898" s="561">
        <v>124.6</v>
      </c>
      <c r="K5898" s="561">
        <v>372</v>
      </c>
      <c r="L5898" s="561">
        <v>26105.21</v>
      </c>
      <c r="M5898" s="561">
        <v>26105.21</v>
      </c>
      <c r="N5898" s="561">
        <v>6732</v>
      </c>
      <c r="O5898" s="561">
        <v>0</v>
      </c>
      <c r="Q5898" s="561">
        <v>19708.04</v>
      </c>
      <c r="AL5898" s="561">
        <v>19373.21</v>
      </c>
    </row>
    <row r="5899" spans="2:38">
      <c r="C5899" s="561" t="s">
        <v>1198</v>
      </c>
      <c r="D5899" s="561">
        <v>3859.2</v>
      </c>
      <c r="E5899" s="561">
        <v>1012.26</v>
      </c>
      <c r="F5899" s="561">
        <v>2846.94</v>
      </c>
      <c r="G5899" s="561">
        <v>9</v>
      </c>
      <c r="H5899" s="561">
        <v>2821.7</v>
      </c>
      <c r="I5899" s="561">
        <v>0</v>
      </c>
      <c r="J5899" s="561">
        <v>0</v>
      </c>
      <c r="K5899" s="561">
        <v>9</v>
      </c>
      <c r="L5899" s="561">
        <v>2821.7</v>
      </c>
      <c r="M5899" s="561">
        <v>2821.7</v>
      </c>
      <c r="N5899" s="561">
        <v>1012.26</v>
      </c>
      <c r="O5899" s="561">
        <v>0</v>
      </c>
      <c r="P5899" s="561">
        <v>1809.4399999999998</v>
      </c>
      <c r="Q5899" s="561">
        <v>2846.9</v>
      </c>
    </row>
    <row r="5900" spans="2:38">
      <c r="C5900" s="561" t="s">
        <v>1199</v>
      </c>
      <c r="D5900" s="561">
        <v>4397</v>
      </c>
      <c r="E5900" s="561">
        <v>2700</v>
      </c>
      <c r="F5900" s="561">
        <v>1697</v>
      </c>
      <c r="G5900" s="561">
        <v>330</v>
      </c>
      <c r="H5900" s="561">
        <v>5881.19</v>
      </c>
      <c r="I5900" s="561">
        <v>0</v>
      </c>
      <c r="J5900" s="561">
        <v>0</v>
      </c>
      <c r="K5900" s="561">
        <v>330</v>
      </c>
      <c r="L5900" s="561">
        <v>5769.29</v>
      </c>
      <c r="M5900" s="561">
        <v>5769.29</v>
      </c>
      <c r="N5900" s="561">
        <v>2700</v>
      </c>
      <c r="O5900" s="561">
        <v>0</v>
      </c>
      <c r="P5900" s="561">
        <v>3069.29</v>
      </c>
      <c r="Q5900" s="561">
        <v>1697</v>
      </c>
    </row>
    <row r="5901" spans="2:38">
      <c r="C5901" s="561" t="s">
        <v>1200</v>
      </c>
      <c r="D5901" s="561">
        <v>0</v>
      </c>
      <c r="M5901" s="561">
        <v>0</v>
      </c>
      <c r="O5901" s="561">
        <v>0</v>
      </c>
      <c r="P5901" s="561">
        <v>0</v>
      </c>
    </row>
    <row r="5902" spans="2:38">
      <c r="B5902" s="561" t="s">
        <v>1751</v>
      </c>
      <c r="C5902" s="561" t="s">
        <v>1196</v>
      </c>
      <c r="D5902" s="561">
        <v>15739</v>
      </c>
      <c r="E5902" s="561">
        <v>6822</v>
      </c>
      <c r="F5902" s="561">
        <v>8917</v>
      </c>
      <c r="G5902" s="561">
        <v>663</v>
      </c>
      <c r="H5902" s="561">
        <v>15776.830000000002</v>
      </c>
      <c r="I5902" s="561">
        <v>4</v>
      </c>
      <c r="J5902" s="561">
        <v>37.700000000000003</v>
      </c>
      <c r="K5902" s="561">
        <v>663</v>
      </c>
      <c r="L5902" s="561">
        <v>15739</v>
      </c>
      <c r="M5902" s="561">
        <v>15739</v>
      </c>
      <c r="N5902" s="561">
        <v>6822</v>
      </c>
      <c r="O5902" s="561">
        <v>0</v>
      </c>
      <c r="P5902" s="561">
        <v>8917</v>
      </c>
      <c r="Q5902" s="561">
        <v>8917</v>
      </c>
    </row>
    <row r="5903" spans="2:38">
      <c r="C5903" s="561" t="s">
        <v>1197</v>
      </c>
      <c r="D5903" s="561">
        <v>11800</v>
      </c>
      <c r="E5903" s="561">
        <v>4950</v>
      </c>
      <c r="F5903" s="561">
        <v>6850</v>
      </c>
      <c r="G5903" s="561">
        <v>245</v>
      </c>
      <c r="H5903" s="561">
        <v>11493.03</v>
      </c>
      <c r="I5903" s="561">
        <v>2</v>
      </c>
      <c r="J5903" s="561">
        <v>33.5</v>
      </c>
      <c r="K5903" s="561">
        <v>245</v>
      </c>
      <c r="L5903" s="561">
        <v>11459.25</v>
      </c>
      <c r="M5903" s="561">
        <v>11459.25</v>
      </c>
      <c r="N5903" s="561">
        <v>4681.3</v>
      </c>
      <c r="O5903" s="561">
        <v>0</v>
      </c>
      <c r="Q5903" s="561">
        <v>6929.1</v>
      </c>
      <c r="AL5903" s="561">
        <v>6777.95</v>
      </c>
    </row>
    <row r="5904" spans="2:38">
      <c r="C5904" s="561" t="s">
        <v>1198</v>
      </c>
      <c r="M5904" s="561">
        <v>0</v>
      </c>
      <c r="O5904" s="561">
        <v>0</v>
      </c>
      <c r="P5904" s="561">
        <v>0</v>
      </c>
    </row>
    <row r="5905" spans="1:111">
      <c r="C5905" s="561" t="s">
        <v>1199</v>
      </c>
      <c r="D5905" s="561">
        <v>3939</v>
      </c>
      <c r="E5905" s="561">
        <v>1872</v>
      </c>
      <c r="F5905" s="561">
        <v>2067</v>
      </c>
      <c r="G5905" s="561">
        <v>418</v>
      </c>
      <c r="H5905" s="561">
        <v>4283.8</v>
      </c>
      <c r="I5905" s="561">
        <v>2</v>
      </c>
      <c r="J5905" s="561">
        <v>4.2</v>
      </c>
      <c r="K5905" s="561">
        <v>418</v>
      </c>
      <c r="L5905" s="561">
        <v>4279.75</v>
      </c>
      <c r="M5905" s="561">
        <v>4279.75</v>
      </c>
      <c r="N5905" s="561">
        <v>2140.6999999999998</v>
      </c>
      <c r="O5905" s="561">
        <v>0</v>
      </c>
      <c r="P5905" s="561">
        <v>2139.0500000000002</v>
      </c>
      <c r="Q5905" s="561">
        <v>1987.9</v>
      </c>
    </row>
    <row r="5906" spans="1:111">
      <c r="C5906" s="561" t="s">
        <v>1200</v>
      </c>
      <c r="D5906" s="561">
        <v>0</v>
      </c>
      <c r="M5906" s="561">
        <v>0</v>
      </c>
      <c r="O5906" s="561">
        <v>0</v>
      </c>
      <c r="P5906" s="561">
        <v>0</v>
      </c>
    </row>
    <row r="5907" spans="1:111">
      <c r="B5907" s="561" t="s">
        <v>1752</v>
      </c>
      <c r="C5907" s="561" t="s">
        <v>1196</v>
      </c>
      <c r="D5907" s="561">
        <v>67251</v>
      </c>
      <c r="E5907" s="561">
        <v>16812.599999999999</v>
      </c>
      <c r="F5907" s="561">
        <v>50438.400000000001</v>
      </c>
      <c r="G5907" s="561">
        <v>262</v>
      </c>
      <c r="H5907" s="561">
        <v>67294.73</v>
      </c>
      <c r="I5907" s="561">
        <v>1</v>
      </c>
      <c r="J5907" s="561">
        <v>13.7</v>
      </c>
      <c r="K5907" s="561">
        <v>262</v>
      </c>
      <c r="L5907" s="561">
        <v>67251</v>
      </c>
      <c r="M5907" s="561">
        <v>67251</v>
      </c>
      <c r="N5907" s="561">
        <v>16812.599999999999</v>
      </c>
      <c r="O5907" s="561">
        <v>0</v>
      </c>
      <c r="P5907" s="561">
        <v>50438.400000000001</v>
      </c>
      <c r="Q5907" s="561">
        <v>50438.400000000001</v>
      </c>
    </row>
    <row r="5908" spans="1:111">
      <c r="C5908" s="561" t="s">
        <v>1197</v>
      </c>
      <c r="M5908" s="561">
        <v>0</v>
      </c>
      <c r="O5908" s="561">
        <v>0</v>
      </c>
      <c r="P5908" s="561">
        <v>0</v>
      </c>
    </row>
    <row r="5909" spans="1:111">
      <c r="C5909" s="561" t="s">
        <v>1198</v>
      </c>
      <c r="M5909" s="561">
        <v>0</v>
      </c>
      <c r="O5909" s="561">
        <v>0</v>
      </c>
      <c r="P5909" s="561">
        <v>0</v>
      </c>
    </row>
    <row r="5910" spans="1:111">
      <c r="C5910" s="561" t="s">
        <v>1199</v>
      </c>
      <c r="D5910" s="561">
        <v>67251</v>
      </c>
      <c r="E5910" s="561">
        <v>16812.599999999999</v>
      </c>
      <c r="F5910" s="561">
        <v>50438.400000000001</v>
      </c>
      <c r="G5910" s="561">
        <v>262</v>
      </c>
      <c r="H5910" s="561">
        <v>67294.73</v>
      </c>
      <c r="I5910" s="561">
        <v>1</v>
      </c>
      <c r="J5910" s="561">
        <v>13.7</v>
      </c>
      <c r="K5910" s="561">
        <v>262</v>
      </c>
      <c r="L5910" s="561">
        <v>67251</v>
      </c>
      <c r="M5910" s="561">
        <v>67251</v>
      </c>
      <c r="N5910" s="561">
        <v>16812.599999999999</v>
      </c>
      <c r="O5910" s="561">
        <v>0</v>
      </c>
      <c r="P5910" s="561">
        <v>50438.400000000001</v>
      </c>
      <c r="Q5910" s="561">
        <v>50438.400000000001</v>
      </c>
    </row>
    <row r="5911" spans="1:111">
      <c r="C5911" s="561" t="s">
        <v>1200</v>
      </c>
      <c r="D5911" s="561">
        <v>0</v>
      </c>
      <c r="M5911" s="561">
        <v>0</v>
      </c>
      <c r="O5911" s="561">
        <v>0</v>
      </c>
      <c r="P5911" s="561">
        <v>0</v>
      </c>
    </row>
    <row r="5912" spans="1:111">
      <c r="A5912" s="1735" t="s">
        <v>1198</v>
      </c>
      <c r="B5912" s="1735"/>
      <c r="C5912" s="1735"/>
      <c r="D5912" s="1735"/>
      <c r="E5912" s="1735"/>
      <c r="F5912" s="1735"/>
      <c r="G5912" s="1735"/>
      <c r="H5912" s="1735"/>
      <c r="I5912" s="1735"/>
      <c r="J5912" s="1735"/>
      <c r="K5912" s="1735"/>
      <c r="L5912" s="1735"/>
      <c r="M5912" s="1735"/>
      <c r="N5912" s="1735"/>
      <c r="O5912" s="1735"/>
      <c r="P5912" s="1735"/>
      <c r="AL5912" s="561">
        <f>SUM(AL5913:AL6028)</f>
        <v>237523.9</v>
      </c>
      <c r="AM5912" s="561">
        <f t="shared" ref="AM5912:CX5912" si="134">SUM(AM5913:AM6028)</f>
        <v>0</v>
      </c>
      <c r="AN5912" s="561">
        <f t="shared" si="134"/>
        <v>0</v>
      </c>
      <c r="AO5912" s="561">
        <f t="shared" si="134"/>
        <v>0</v>
      </c>
      <c r="AP5912" s="561">
        <f t="shared" si="134"/>
        <v>0</v>
      </c>
      <c r="AQ5912" s="561">
        <f t="shared" si="134"/>
        <v>0</v>
      </c>
      <c r="AR5912" s="561">
        <f t="shared" si="134"/>
        <v>0</v>
      </c>
      <c r="AS5912" s="561">
        <f t="shared" si="134"/>
        <v>0</v>
      </c>
      <c r="AT5912" s="561">
        <f t="shared" si="134"/>
        <v>0</v>
      </c>
      <c r="AU5912" s="561">
        <f t="shared" si="134"/>
        <v>0</v>
      </c>
      <c r="AV5912" s="561">
        <f t="shared" si="134"/>
        <v>0</v>
      </c>
      <c r="AW5912" s="561">
        <f t="shared" si="134"/>
        <v>0</v>
      </c>
      <c r="AX5912" s="561">
        <f t="shared" si="134"/>
        <v>0</v>
      </c>
      <c r="AY5912" s="561">
        <f t="shared" si="134"/>
        <v>0</v>
      </c>
      <c r="AZ5912" s="561">
        <f t="shared" si="134"/>
        <v>0</v>
      </c>
      <c r="BA5912" s="561">
        <f t="shared" si="134"/>
        <v>0</v>
      </c>
      <c r="BB5912" s="561">
        <f t="shared" si="134"/>
        <v>29016.3</v>
      </c>
      <c r="BC5912" s="561">
        <f t="shared" si="134"/>
        <v>0</v>
      </c>
      <c r="BD5912" s="561">
        <f t="shared" si="134"/>
        <v>0</v>
      </c>
      <c r="BE5912" s="561">
        <f t="shared" si="134"/>
        <v>0</v>
      </c>
      <c r="BF5912" s="561">
        <f t="shared" si="134"/>
        <v>0</v>
      </c>
      <c r="BG5912" s="561">
        <f t="shared" si="134"/>
        <v>0</v>
      </c>
      <c r="BH5912" s="561">
        <f t="shared" si="134"/>
        <v>0</v>
      </c>
      <c r="BI5912" s="561">
        <f t="shared" si="134"/>
        <v>0</v>
      </c>
      <c r="BJ5912" s="561">
        <f t="shared" si="134"/>
        <v>0</v>
      </c>
      <c r="BK5912" s="561">
        <f t="shared" si="134"/>
        <v>0</v>
      </c>
      <c r="BL5912" s="561">
        <f t="shared" si="134"/>
        <v>0</v>
      </c>
      <c r="BM5912" s="561">
        <f t="shared" si="134"/>
        <v>0</v>
      </c>
      <c r="BN5912" s="561">
        <f t="shared" si="134"/>
        <v>0</v>
      </c>
      <c r="BO5912" s="561">
        <f t="shared" si="134"/>
        <v>0</v>
      </c>
      <c r="BP5912" s="561">
        <f t="shared" si="134"/>
        <v>0</v>
      </c>
      <c r="BQ5912" s="561">
        <f t="shared" si="134"/>
        <v>0</v>
      </c>
      <c r="BR5912" s="561">
        <f t="shared" si="134"/>
        <v>0</v>
      </c>
      <c r="BS5912" s="561">
        <f t="shared" si="134"/>
        <v>0</v>
      </c>
      <c r="BT5912" s="561">
        <f t="shared" si="134"/>
        <v>0</v>
      </c>
      <c r="BU5912" s="561">
        <f t="shared" si="134"/>
        <v>0</v>
      </c>
      <c r="BV5912" s="561">
        <f t="shared" si="134"/>
        <v>0</v>
      </c>
      <c r="BW5912" s="561">
        <f t="shared" si="134"/>
        <v>0</v>
      </c>
      <c r="BX5912" s="561">
        <f t="shared" si="134"/>
        <v>0</v>
      </c>
      <c r="BY5912" s="561">
        <f t="shared" si="134"/>
        <v>0</v>
      </c>
      <c r="BZ5912" s="561">
        <f t="shared" si="134"/>
        <v>0</v>
      </c>
      <c r="CA5912" s="561">
        <f t="shared" si="134"/>
        <v>0</v>
      </c>
      <c r="CB5912" s="561">
        <f t="shared" si="134"/>
        <v>0</v>
      </c>
      <c r="CC5912" s="561">
        <f t="shared" si="134"/>
        <v>0</v>
      </c>
      <c r="CD5912" s="561">
        <f t="shared" si="134"/>
        <v>0</v>
      </c>
      <c r="CE5912" s="561">
        <f t="shared" si="134"/>
        <v>0</v>
      </c>
      <c r="CF5912" s="561">
        <f t="shared" si="134"/>
        <v>0</v>
      </c>
      <c r="CG5912" s="561">
        <f t="shared" si="134"/>
        <v>0</v>
      </c>
      <c r="CH5912" s="561">
        <f t="shared" si="134"/>
        <v>0</v>
      </c>
      <c r="CI5912" s="561">
        <f t="shared" si="134"/>
        <v>0</v>
      </c>
      <c r="CJ5912" s="561">
        <f t="shared" si="134"/>
        <v>0</v>
      </c>
      <c r="CK5912" s="561">
        <f t="shared" si="134"/>
        <v>0</v>
      </c>
      <c r="CL5912" s="561">
        <f t="shared" si="134"/>
        <v>0</v>
      </c>
      <c r="CM5912" s="561">
        <f t="shared" si="134"/>
        <v>0</v>
      </c>
      <c r="CN5912" s="561">
        <f t="shared" si="134"/>
        <v>0</v>
      </c>
      <c r="CO5912" s="561">
        <f t="shared" si="134"/>
        <v>0</v>
      </c>
      <c r="CP5912" s="561">
        <f t="shared" si="134"/>
        <v>0</v>
      </c>
      <c r="CQ5912" s="561">
        <f t="shared" si="134"/>
        <v>0</v>
      </c>
      <c r="CR5912" s="561">
        <f t="shared" si="134"/>
        <v>0</v>
      </c>
      <c r="CS5912" s="561">
        <f t="shared" si="134"/>
        <v>0</v>
      </c>
      <c r="CT5912" s="561">
        <f t="shared" si="134"/>
        <v>0</v>
      </c>
      <c r="CU5912" s="561">
        <f t="shared" si="134"/>
        <v>0</v>
      </c>
      <c r="CV5912" s="561">
        <f t="shared" si="134"/>
        <v>0</v>
      </c>
      <c r="CW5912" s="561">
        <f t="shared" si="134"/>
        <v>0</v>
      </c>
      <c r="CX5912" s="561">
        <f t="shared" si="134"/>
        <v>0</v>
      </c>
      <c r="CY5912" s="561">
        <f t="shared" ref="CY5912:DG5912" si="135">SUM(CY5913:CY6028)</f>
        <v>0</v>
      </c>
      <c r="CZ5912" s="561">
        <f t="shared" si="135"/>
        <v>0</v>
      </c>
      <c r="DA5912" s="561">
        <f t="shared" si="135"/>
        <v>0</v>
      </c>
      <c r="DB5912" s="561">
        <f t="shared" si="135"/>
        <v>0</v>
      </c>
      <c r="DC5912" s="561">
        <f t="shared" si="135"/>
        <v>0</v>
      </c>
      <c r="DD5912" s="561">
        <f t="shared" si="135"/>
        <v>0</v>
      </c>
      <c r="DE5912" s="561">
        <f t="shared" si="135"/>
        <v>0</v>
      </c>
      <c r="DF5912" s="561">
        <f t="shared" si="135"/>
        <v>0</v>
      </c>
      <c r="DG5912" s="561">
        <f t="shared" si="135"/>
        <v>0</v>
      </c>
    </row>
    <row r="5913" spans="1:111">
      <c r="B5913" s="561" t="s">
        <v>1730</v>
      </c>
      <c r="C5913" s="561" t="s">
        <v>1196</v>
      </c>
      <c r="D5913" s="561">
        <v>1526236.8</v>
      </c>
      <c r="E5913" s="561">
        <v>368417</v>
      </c>
      <c r="F5913" s="561">
        <v>1157819.8</v>
      </c>
      <c r="G5913" s="561">
        <v>16176</v>
      </c>
      <c r="H5913" s="561">
        <v>1571155.54</v>
      </c>
      <c r="I5913" s="561">
        <v>1240</v>
      </c>
      <c r="J5913" s="561">
        <v>74426.59</v>
      </c>
      <c r="K5913" s="561">
        <v>15931</v>
      </c>
      <c r="L5913" s="561">
        <v>1526236.7999999998</v>
      </c>
      <c r="M5913" s="561">
        <v>1526236.7999999998</v>
      </c>
      <c r="N5913" s="561">
        <v>368417</v>
      </c>
      <c r="O5913" s="561">
        <v>0</v>
      </c>
      <c r="P5913" s="561">
        <v>1157819.7999999998</v>
      </c>
    </row>
    <row r="5914" spans="1:111">
      <c r="C5914" s="561" t="s">
        <v>1197</v>
      </c>
      <c r="D5914" s="561">
        <v>1184024.8</v>
      </c>
      <c r="E5914" s="561">
        <v>291985.40000000002</v>
      </c>
      <c r="F5914" s="561">
        <v>892039.4</v>
      </c>
      <c r="G5914" s="561">
        <v>14659</v>
      </c>
      <c r="H5914" s="561">
        <v>1207183.8700000001</v>
      </c>
      <c r="I5914" s="561">
        <v>1213</v>
      </c>
      <c r="J5914" s="561">
        <v>64995.880000000005</v>
      </c>
      <c r="K5914" s="561">
        <v>14420</v>
      </c>
      <c r="L5914" s="561">
        <v>1168395.8999999999</v>
      </c>
      <c r="M5914" s="561">
        <v>1168395.8999999999</v>
      </c>
      <c r="N5914" s="561">
        <v>291985.40000000002</v>
      </c>
      <c r="O5914" s="561">
        <v>0</v>
      </c>
    </row>
    <row r="5915" spans="1:111">
      <c r="C5915" s="561" t="s">
        <v>1198</v>
      </c>
      <c r="D5915" s="561">
        <v>294228</v>
      </c>
      <c r="E5915" s="561">
        <v>68331.600000000006</v>
      </c>
      <c r="F5915" s="561">
        <v>225896.4</v>
      </c>
      <c r="G5915" s="561">
        <v>351</v>
      </c>
      <c r="H5915" s="561">
        <v>311663.33999999997</v>
      </c>
      <c r="I5915" s="561">
        <v>16</v>
      </c>
      <c r="J5915" s="561">
        <v>8993.31</v>
      </c>
      <c r="K5915" s="561">
        <v>347</v>
      </c>
      <c r="L5915" s="561">
        <v>305855.5</v>
      </c>
      <c r="M5915" s="561">
        <v>305855.5</v>
      </c>
      <c r="N5915" s="561">
        <v>68331.600000000006</v>
      </c>
      <c r="O5915" s="561">
        <v>0</v>
      </c>
      <c r="AL5915" s="561">
        <v>237523.9</v>
      </c>
    </row>
    <row r="5916" spans="1:111">
      <c r="C5916" s="561" t="s">
        <v>1199</v>
      </c>
      <c r="D5916" s="561">
        <v>47984</v>
      </c>
      <c r="E5916" s="561">
        <v>8100</v>
      </c>
      <c r="F5916" s="561">
        <v>39884</v>
      </c>
      <c r="G5916" s="561">
        <v>1166</v>
      </c>
      <c r="H5916" s="561">
        <v>52308.329999999994</v>
      </c>
      <c r="I5916" s="561">
        <v>11</v>
      </c>
      <c r="J5916" s="561">
        <v>437.4</v>
      </c>
      <c r="K5916" s="561">
        <v>1164</v>
      </c>
      <c r="L5916" s="561">
        <v>51985.399999999994</v>
      </c>
      <c r="M5916" s="561">
        <v>51985.399999999994</v>
      </c>
      <c r="N5916" s="561">
        <v>8100</v>
      </c>
      <c r="O5916" s="561">
        <v>0</v>
      </c>
      <c r="P5916" s="561">
        <v>43885.399999999994</v>
      </c>
    </row>
    <row r="5917" spans="1:111">
      <c r="C5917" s="561" t="s">
        <v>1200</v>
      </c>
      <c r="D5917" s="561">
        <v>0</v>
      </c>
      <c r="M5917" s="561">
        <v>0</v>
      </c>
      <c r="O5917" s="561">
        <v>0</v>
      </c>
      <c r="P5917" s="561">
        <v>0</v>
      </c>
    </row>
    <row r="5918" spans="1:111">
      <c r="B5918" s="561" t="s">
        <v>1731</v>
      </c>
      <c r="C5918" s="561" t="s">
        <v>1196</v>
      </c>
      <c r="D5918" s="561">
        <v>440200</v>
      </c>
      <c r="E5918" s="561">
        <v>131100</v>
      </c>
      <c r="F5918" s="561">
        <v>309100</v>
      </c>
      <c r="G5918" s="561">
        <v>5880</v>
      </c>
      <c r="H5918" s="561">
        <v>458223.56</v>
      </c>
      <c r="I5918" s="561">
        <v>472</v>
      </c>
      <c r="J5918" s="561">
        <v>23065.62</v>
      </c>
      <c r="K5918" s="561">
        <v>5834</v>
      </c>
      <c r="L5918" s="561">
        <v>440200</v>
      </c>
      <c r="M5918" s="561">
        <v>440200</v>
      </c>
      <c r="N5918" s="561">
        <v>131100</v>
      </c>
      <c r="O5918" s="561">
        <v>0</v>
      </c>
      <c r="P5918" s="561">
        <v>309100</v>
      </c>
    </row>
    <row r="5919" spans="1:111">
      <c r="C5919" s="561" t="s">
        <v>1197</v>
      </c>
      <c r="D5919" s="561">
        <v>434000</v>
      </c>
      <c r="E5919" s="561">
        <v>130200</v>
      </c>
      <c r="F5919" s="561">
        <v>303800</v>
      </c>
      <c r="G5919" s="561">
        <v>5618</v>
      </c>
      <c r="H5919" s="561">
        <v>451996.57</v>
      </c>
      <c r="I5919" s="561">
        <v>451</v>
      </c>
      <c r="J5919" s="561">
        <v>22540.52</v>
      </c>
      <c r="K5919" s="561">
        <v>5585</v>
      </c>
      <c r="L5919" s="561">
        <v>434498.9</v>
      </c>
      <c r="M5919" s="561">
        <v>434498.9</v>
      </c>
      <c r="N5919" s="561">
        <v>130200</v>
      </c>
      <c r="O5919" s="561">
        <v>0</v>
      </c>
    </row>
    <row r="5920" spans="1:111">
      <c r="C5920" s="561" t="s">
        <v>1198</v>
      </c>
      <c r="D5920" s="561">
        <v>0</v>
      </c>
      <c r="E5920" s="561">
        <v>0</v>
      </c>
      <c r="G5920" s="561">
        <v>1</v>
      </c>
      <c r="H5920" s="561">
        <v>248.8</v>
      </c>
      <c r="I5920" s="561">
        <v>1</v>
      </c>
      <c r="J5920" s="561">
        <v>248.8</v>
      </c>
      <c r="L5920" s="561">
        <v>0</v>
      </c>
      <c r="M5920" s="561">
        <v>0</v>
      </c>
      <c r="O5920" s="561">
        <v>0</v>
      </c>
      <c r="P5920" s="561">
        <v>0</v>
      </c>
    </row>
    <row r="5921" spans="2:54">
      <c r="C5921" s="561" t="s">
        <v>1199</v>
      </c>
      <c r="D5921" s="561">
        <v>6200</v>
      </c>
      <c r="E5921" s="561">
        <v>900</v>
      </c>
      <c r="F5921" s="561">
        <v>5300</v>
      </c>
      <c r="G5921" s="561">
        <v>261</v>
      </c>
      <c r="H5921" s="561">
        <v>5978.19</v>
      </c>
      <c r="I5921" s="561">
        <v>20</v>
      </c>
      <c r="J5921" s="561">
        <v>276.3</v>
      </c>
      <c r="K5921" s="561">
        <v>249</v>
      </c>
      <c r="L5921" s="561">
        <v>5701.1</v>
      </c>
      <c r="M5921" s="561">
        <v>5701.1</v>
      </c>
      <c r="N5921" s="561">
        <v>900</v>
      </c>
      <c r="O5921" s="561">
        <v>0</v>
      </c>
      <c r="P5921" s="561">
        <v>4801.1000000000004</v>
      </c>
    </row>
    <row r="5922" spans="2:54">
      <c r="C5922" s="561" t="s">
        <v>1200</v>
      </c>
      <c r="D5922" s="561">
        <v>0</v>
      </c>
      <c r="L5922" s="561">
        <v>0</v>
      </c>
      <c r="M5922" s="561">
        <v>0</v>
      </c>
      <c r="O5922" s="561">
        <v>0</v>
      </c>
      <c r="P5922" s="561">
        <v>0</v>
      </c>
    </row>
    <row r="5923" spans="2:54">
      <c r="B5923" s="561" t="s">
        <v>1732</v>
      </c>
      <c r="C5923" s="561" t="s">
        <v>1196</v>
      </c>
      <c r="D5923" s="561">
        <v>922990.6</v>
      </c>
      <c r="E5923" s="561">
        <v>234906</v>
      </c>
      <c r="F5923" s="561">
        <v>688084.6</v>
      </c>
      <c r="G5923" s="561">
        <v>13671</v>
      </c>
      <c r="H5923" s="561">
        <v>950198.94</v>
      </c>
      <c r="I5923" s="561">
        <v>773</v>
      </c>
      <c r="J5923" s="561">
        <v>30064.399999999998</v>
      </c>
      <c r="K5923" s="561">
        <v>13651</v>
      </c>
      <c r="L5923" s="561">
        <v>922990.60000000009</v>
      </c>
      <c r="M5923" s="561">
        <v>922990.60000000009</v>
      </c>
      <c r="N5923" s="561">
        <v>234906</v>
      </c>
      <c r="O5923" s="561">
        <v>0</v>
      </c>
      <c r="P5923" s="561">
        <v>688084.60000000009</v>
      </c>
    </row>
    <row r="5924" spans="2:54">
      <c r="C5924" s="561" t="s">
        <v>1197</v>
      </c>
      <c r="D5924" s="561">
        <v>875366.5</v>
      </c>
      <c r="E5924" s="561">
        <v>231270</v>
      </c>
      <c r="F5924" s="561">
        <v>644096.5</v>
      </c>
      <c r="G5924" s="561">
        <v>12796</v>
      </c>
      <c r="H5924" s="561">
        <v>901655.27</v>
      </c>
      <c r="I5924" s="561">
        <v>761</v>
      </c>
      <c r="J5924" s="561">
        <v>28753.8</v>
      </c>
      <c r="K5924" s="561">
        <v>12776</v>
      </c>
      <c r="L5924" s="561">
        <v>875762.64</v>
      </c>
      <c r="M5924" s="561">
        <v>875762.64</v>
      </c>
      <c r="N5924" s="561">
        <v>231270</v>
      </c>
      <c r="O5924" s="561">
        <v>0</v>
      </c>
    </row>
    <row r="5925" spans="2:54">
      <c r="C5925" s="561" t="s">
        <v>1198</v>
      </c>
      <c r="D5925" s="561">
        <v>32330</v>
      </c>
      <c r="E5925" s="561">
        <v>2880</v>
      </c>
      <c r="F5925" s="561">
        <v>29450</v>
      </c>
      <c r="G5925" s="561">
        <v>103</v>
      </c>
      <c r="H5925" s="561">
        <v>31896.22</v>
      </c>
      <c r="I5925" s="561">
        <v>0</v>
      </c>
      <c r="J5925" s="561">
        <v>0</v>
      </c>
      <c r="K5925" s="561">
        <v>103</v>
      </c>
      <c r="L5925" s="561">
        <v>31896.3</v>
      </c>
      <c r="M5925" s="561">
        <v>31896.3</v>
      </c>
      <c r="N5925" s="561">
        <v>2880</v>
      </c>
      <c r="O5925" s="561">
        <v>0</v>
      </c>
      <c r="BB5925" s="561">
        <v>29016.3</v>
      </c>
    </row>
    <row r="5926" spans="2:54">
      <c r="C5926" s="561" t="s">
        <v>1199</v>
      </c>
      <c r="D5926" s="561">
        <v>9115</v>
      </c>
      <c r="E5926" s="561">
        <v>756</v>
      </c>
      <c r="F5926" s="561">
        <v>8359</v>
      </c>
      <c r="G5926" s="561">
        <v>772</v>
      </c>
      <c r="H5926" s="561">
        <v>9220.35</v>
      </c>
      <c r="I5926" s="561">
        <v>12</v>
      </c>
      <c r="J5926" s="561">
        <v>62.599999999999994</v>
      </c>
      <c r="K5926" s="561">
        <v>772</v>
      </c>
      <c r="L5926" s="561">
        <v>9152.56</v>
      </c>
      <c r="M5926" s="561">
        <v>9152.56</v>
      </c>
      <c r="N5926" s="561">
        <v>756</v>
      </c>
      <c r="O5926" s="561">
        <v>0</v>
      </c>
      <c r="P5926" s="561">
        <v>8396.56</v>
      </c>
    </row>
    <row r="5927" spans="2:54">
      <c r="C5927" s="561" t="s">
        <v>1202</v>
      </c>
      <c r="D5927" s="561">
        <v>6179.1</v>
      </c>
      <c r="E5927" s="561">
        <v>0</v>
      </c>
      <c r="F5927" s="561">
        <v>6179.1</v>
      </c>
      <c r="H5927" s="561">
        <v>7427.1</v>
      </c>
      <c r="J5927" s="561">
        <v>1248</v>
      </c>
      <c r="L5927" s="561">
        <v>6179.1</v>
      </c>
      <c r="M5927" s="561">
        <v>6179.1</v>
      </c>
      <c r="P5927" s="561">
        <v>6179.1</v>
      </c>
    </row>
    <row r="5928" spans="2:54">
      <c r="C5928" s="561" t="s">
        <v>1200</v>
      </c>
      <c r="D5928" s="561">
        <v>0</v>
      </c>
      <c r="L5928" s="561">
        <v>0</v>
      </c>
      <c r="M5928" s="561">
        <v>0</v>
      </c>
      <c r="O5928" s="561">
        <v>0</v>
      </c>
      <c r="P5928" s="561">
        <v>0</v>
      </c>
    </row>
    <row r="5929" spans="2:54">
      <c r="B5929" s="561" t="s">
        <v>1733</v>
      </c>
      <c r="C5929" s="561" t="s">
        <v>1196</v>
      </c>
      <c r="D5929" s="561">
        <v>56762</v>
      </c>
      <c r="E5929" s="561">
        <v>15831</v>
      </c>
      <c r="F5929" s="561">
        <v>40931</v>
      </c>
      <c r="G5929" s="561">
        <v>2246</v>
      </c>
      <c r="H5929" s="561">
        <v>56936.62</v>
      </c>
      <c r="I5929" s="561">
        <v>11</v>
      </c>
      <c r="J5929" s="561">
        <v>139.29999999999998</v>
      </c>
      <c r="K5929" s="561">
        <v>2246</v>
      </c>
      <c r="L5929" s="561">
        <v>56762</v>
      </c>
      <c r="M5929" s="561">
        <v>56762</v>
      </c>
      <c r="N5929" s="561">
        <v>15831</v>
      </c>
      <c r="O5929" s="561">
        <v>0</v>
      </c>
      <c r="P5929" s="561">
        <v>40931</v>
      </c>
    </row>
    <row r="5930" spans="2:54">
      <c r="C5930" s="561" t="s">
        <v>1197</v>
      </c>
      <c r="D5930" s="561">
        <v>35770</v>
      </c>
      <c r="E5930" s="561">
        <v>10731</v>
      </c>
      <c r="F5930" s="561">
        <v>25039</v>
      </c>
      <c r="G5930" s="561">
        <v>567</v>
      </c>
      <c r="H5930" s="561">
        <v>36339.54</v>
      </c>
      <c r="I5930" s="561">
        <v>7</v>
      </c>
      <c r="J5930" s="561">
        <v>134.69999999999999</v>
      </c>
      <c r="K5930" s="561">
        <v>567</v>
      </c>
      <c r="L5930" s="561">
        <v>36181.42</v>
      </c>
      <c r="M5930" s="561">
        <v>36181.42</v>
      </c>
      <c r="N5930" s="561">
        <v>10731</v>
      </c>
      <c r="O5930" s="561">
        <v>0</v>
      </c>
    </row>
    <row r="5931" spans="2:54">
      <c r="C5931" s="561" t="s">
        <v>1198</v>
      </c>
      <c r="M5931" s="561">
        <v>0</v>
      </c>
      <c r="N5931" s="561">
        <v>0</v>
      </c>
      <c r="O5931" s="561">
        <v>0</v>
      </c>
      <c r="P5931" s="561">
        <v>0</v>
      </c>
    </row>
    <row r="5932" spans="2:54">
      <c r="C5932" s="561" t="s">
        <v>1199</v>
      </c>
      <c r="D5932" s="561">
        <v>20992</v>
      </c>
      <c r="E5932" s="561">
        <v>5100</v>
      </c>
      <c r="F5932" s="561">
        <v>15892</v>
      </c>
      <c r="G5932" s="561">
        <v>1679</v>
      </c>
      <c r="H5932" s="561">
        <v>20597.080000000002</v>
      </c>
      <c r="I5932" s="561">
        <v>4</v>
      </c>
      <c r="J5932" s="561">
        <v>4.5999999999999996</v>
      </c>
      <c r="K5932" s="561">
        <v>1679</v>
      </c>
      <c r="L5932" s="561">
        <v>20580.579999999998</v>
      </c>
      <c r="M5932" s="561">
        <v>20580.579999999998</v>
      </c>
      <c r="N5932" s="561">
        <v>5100</v>
      </c>
      <c r="O5932" s="561">
        <v>0</v>
      </c>
      <c r="P5932" s="561">
        <v>15480.579999999998</v>
      </c>
    </row>
    <row r="5933" spans="2:54">
      <c r="C5933" s="561" t="s">
        <v>1200</v>
      </c>
      <c r="D5933" s="561">
        <v>0</v>
      </c>
      <c r="M5933" s="561">
        <v>0</v>
      </c>
      <c r="O5933" s="561">
        <v>0</v>
      </c>
      <c r="P5933" s="561">
        <v>0</v>
      </c>
    </row>
    <row r="5934" spans="2:54">
      <c r="B5934" s="561" t="s">
        <v>1734</v>
      </c>
      <c r="C5934" s="561" t="s">
        <v>1196</v>
      </c>
      <c r="D5934" s="561">
        <v>244830</v>
      </c>
      <c r="E5934" s="561">
        <v>90750</v>
      </c>
      <c r="F5934" s="561">
        <v>154080</v>
      </c>
      <c r="G5934" s="561">
        <v>4643</v>
      </c>
      <c r="H5934" s="561">
        <v>246918.53</v>
      </c>
      <c r="I5934" s="561">
        <v>135</v>
      </c>
      <c r="J5934" s="561">
        <v>1687.61</v>
      </c>
      <c r="K5934" s="561">
        <v>4635</v>
      </c>
      <c r="L5934" s="561">
        <v>244830</v>
      </c>
      <c r="M5934" s="561">
        <v>244830</v>
      </c>
      <c r="N5934" s="561">
        <v>90750</v>
      </c>
      <c r="O5934" s="561">
        <v>0</v>
      </c>
      <c r="P5934" s="561">
        <v>154080</v>
      </c>
    </row>
    <row r="5935" spans="2:54">
      <c r="C5935" s="561" t="s">
        <v>1197</v>
      </c>
      <c r="D5935" s="561">
        <v>242000</v>
      </c>
      <c r="E5935" s="561">
        <v>90000</v>
      </c>
      <c r="F5935" s="561">
        <v>152000</v>
      </c>
      <c r="G5935" s="561">
        <v>4383</v>
      </c>
      <c r="H5935" s="561">
        <v>243536.52</v>
      </c>
      <c r="I5935" s="561">
        <v>134</v>
      </c>
      <c r="J5935" s="561">
        <v>1683.11</v>
      </c>
      <c r="K5935" s="561">
        <v>4375</v>
      </c>
      <c r="L5935" s="561">
        <v>241461.1</v>
      </c>
      <c r="M5935" s="561">
        <v>241461.1</v>
      </c>
      <c r="N5935" s="561">
        <v>90000</v>
      </c>
      <c r="O5935" s="561">
        <v>0</v>
      </c>
    </row>
    <row r="5936" spans="2:54">
      <c r="C5936" s="561" t="s">
        <v>1198</v>
      </c>
      <c r="H5936" s="561">
        <v>0</v>
      </c>
      <c r="L5936" s="561">
        <v>0</v>
      </c>
      <c r="M5936" s="561">
        <v>0</v>
      </c>
      <c r="O5936" s="561">
        <v>0</v>
      </c>
      <c r="P5936" s="561">
        <v>0</v>
      </c>
    </row>
    <row r="5937" spans="2:16">
      <c r="C5937" s="561" t="s">
        <v>1199</v>
      </c>
      <c r="D5937" s="561">
        <v>2830</v>
      </c>
      <c r="E5937" s="561">
        <v>750</v>
      </c>
      <c r="F5937" s="561">
        <v>2080</v>
      </c>
      <c r="G5937" s="561">
        <v>260</v>
      </c>
      <c r="H5937" s="561">
        <v>3382.01</v>
      </c>
      <c r="I5937" s="561">
        <v>1</v>
      </c>
      <c r="J5937" s="561">
        <v>4.5</v>
      </c>
      <c r="K5937" s="561">
        <v>260</v>
      </c>
      <c r="L5937" s="561">
        <v>3368.9</v>
      </c>
      <c r="M5937" s="561">
        <v>3368.9</v>
      </c>
      <c r="N5937" s="561">
        <v>750</v>
      </c>
      <c r="O5937" s="561">
        <v>0</v>
      </c>
      <c r="P5937" s="561">
        <v>2618.9</v>
      </c>
    </row>
    <row r="5938" spans="2:16">
      <c r="C5938" s="561" t="s">
        <v>1200</v>
      </c>
      <c r="D5938" s="561">
        <v>0</v>
      </c>
      <c r="M5938" s="561">
        <v>0</v>
      </c>
      <c r="O5938" s="561">
        <v>0</v>
      </c>
      <c r="P5938" s="561">
        <v>0</v>
      </c>
    </row>
    <row r="5939" spans="2:16">
      <c r="B5939" s="561" t="s">
        <v>1735</v>
      </c>
      <c r="C5939" s="561" t="s">
        <v>1196</v>
      </c>
      <c r="D5939" s="561">
        <v>39626</v>
      </c>
      <c r="E5939" s="561">
        <v>11040</v>
      </c>
      <c r="F5939" s="561">
        <v>28586</v>
      </c>
      <c r="G5939" s="561">
        <v>2703</v>
      </c>
      <c r="H5939" s="561">
        <v>40197.29</v>
      </c>
      <c r="I5939" s="561">
        <v>7</v>
      </c>
      <c r="J5939" s="561">
        <v>63.2</v>
      </c>
      <c r="K5939" s="561">
        <v>2702</v>
      </c>
      <c r="L5939" s="561">
        <v>39626.000000000007</v>
      </c>
      <c r="M5939" s="561">
        <v>39626.000000000007</v>
      </c>
      <c r="N5939" s="561">
        <v>11040</v>
      </c>
      <c r="O5939" s="561">
        <v>0</v>
      </c>
      <c r="P5939" s="561">
        <v>28586.000000000007</v>
      </c>
    </row>
    <row r="5940" spans="2:16">
      <c r="C5940" s="561" t="s">
        <v>1197</v>
      </c>
      <c r="M5940" s="561">
        <v>0</v>
      </c>
      <c r="O5940" s="561">
        <v>0</v>
      </c>
      <c r="P5940" s="561">
        <v>0</v>
      </c>
    </row>
    <row r="5941" spans="2:16">
      <c r="C5941" s="561" t="s">
        <v>1198</v>
      </c>
      <c r="M5941" s="561">
        <v>0</v>
      </c>
      <c r="O5941" s="561">
        <v>0</v>
      </c>
      <c r="P5941" s="561">
        <v>0</v>
      </c>
    </row>
    <row r="5942" spans="2:16">
      <c r="C5942" s="561" t="s">
        <v>1199</v>
      </c>
      <c r="D5942" s="561">
        <v>39626</v>
      </c>
      <c r="E5942" s="561">
        <v>11040</v>
      </c>
      <c r="F5942" s="561">
        <v>28586</v>
      </c>
      <c r="G5942" s="561">
        <v>2703</v>
      </c>
      <c r="H5942" s="561">
        <v>40197.29</v>
      </c>
      <c r="I5942" s="561">
        <v>7</v>
      </c>
      <c r="J5942" s="561">
        <v>63.2</v>
      </c>
      <c r="K5942" s="561">
        <v>2702</v>
      </c>
      <c r="L5942" s="561">
        <v>39626.000000000007</v>
      </c>
      <c r="M5942" s="561">
        <v>39626.000000000007</v>
      </c>
      <c r="N5942" s="561">
        <v>11040</v>
      </c>
      <c r="O5942" s="561">
        <v>0</v>
      </c>
      <c r="P5942" s="561">
        <v>28586.000000000007</v>
      </c>
    </row>
    <row r="5943" spans="2:16">
      <c r="C5943" s="561" t="s">
        <v>1200</v>
      </c>
      <c r="D5943" s="561">
        <v>0</v>
      </c>
      <c r="M5943" s="561">
        <v>0</v>
      </c>
      <c r="O5943" s="561">
        <v>0</v>
      </c>
      <c r="P5943" s="561">
        <v>0</v>
      </c>
    </row>
    <row r="5944" spans="2:16">
      <c r="B5944" s="561" t="s">
        <v>1736</v>
      </c>
      <c r="C5944" s="561" t="s">
        <v>1196</v>
      </c>
      <c r="D5944" s="561">
        <v>43869</v>
      </c>
      <c r="E5944" s="561">
        <v>11667.9</v>
      </c>
      <c r="F5944" s="561">
        <v>32201.1</v>
      </c>
      <c r="G5944" s="561">
        <v>3020</v>
      </c>
      <c r="H5944" s="561">
        <v>44106.26</v>
      </c>
      <c r="I5944" s="561">
        <v>19</v>
      </c>
      <c r="J5944" s="561">
        <v>163</v>
      </c>
      <c r="K5944" s="561">
        <v>3012</v>
      </c>
      <c r="L5944" s="561">
        <v>43869</v>
      </c>
      <c r="M5944" s="561">
        <v>43869</v>
      </c>
      <c r="N5944" s="561">
        <v>11667.9</v>
      </c>
      <c r="O5944" s="561">
        <v>0</v>
      </c>
      <c r="P5944" s="561">
        <v>32201.1</v>
      </c>
    </row>
    <row r="5945" spans="2:16">
      <c r="C5945" s="561" t="s">
        <v>1197</v>
      </c>
      <c r="M5945" s="561">
        <v>0</v>
      </c>
      <c r="O5945" s="561">
        <v>0</v>
      </c>
      <c r="P5945" s="561">
        <v>0</v>
      </c>
    </row>
    <row r="5946" spans="2:16">
      <c r="C5946" s="561" t="s">
        <v>1198</v>
      </c>
      <c r="M5946" s="561">
        <v>0</v>
      </c>
      <c r="O5946" s="561">
        <v>0</v>
      </c>
      <c r="P5946" s="561">
        <v>0</v>
      </c>
    </row>
    <row r="5947" spans="2:16">
      <c r="C5947" s="561" t="s">
        <v>1199</v>
      </c>
      <c r="D5947" s="561">
        <v>43869</v>
      </c>
      <c r="E5947" s="561">
        <v>11667.9</v>
      </c>
      <c r="F5947" s="561">
        <v>32201.1</v>
      </c>
      <c r="G5947" s="561">
        <v>3020</v>
      </c>
      <c r="H5947" s="561">
        <v>44106.26</v>
      </c>
      <c r="I5947" s="561">
        <v>19</v>
      </c>
      <c r="J5947" s="561">
        <v>163</v>
      </c>
      <c r="K5947" s="561">
        <v>3012</v>
      </c>
      <c r="L5947" s="561">
        <v>43869</v>
      </c>
      <c r="M5947" s="561">
        <v>43869</v>
      </c>
      <c r="N5947" s="561">
        <v>11667.9</v>
      </c>
      <c r="O5947" s="561">
        <v>0</v>
      </c>
      <c r="P5947" s="561">
        <v>32201.1</v>
      </c>
    </row>
    <row r="5948" spans="2:16">
      <c r="C5948" s="561" t="s">
        <v>1200</v>
      </c>
      <c r="D5948" s="561">
        <v>0</v>
      </c>
      <c r="M5948" s="561">
        <v>0</v>
      </c>
      <c r="O5948" s="561">
        <v>0</v>
      </c>
      <c r="P5948" s="561">
        <v>0</v>
      </c>
    </row>
    <row r="5949" spans="2:16">
      <c r="B5949" s="561" t="s">
        <v>1737</v>
      </c>
      <c r="C5949" s="561" t="s">
        <v>1196</v>
      </c>
      <c r="D5949" s="561">
        <v>11992</v>
      </c>
      <c r="E5949" s="561">
        <v>4590</v>
      </c>
      <c r="F5949" s="561">
        <v>7402</v>
      </c>
      <c r="G5949" s="561">
        <v>1092</v>
      </c>
      <c r="H5949" s="561">
        <v>12022.7</v>
      </c>
      <c r="I5949" s="561">
        <v>17</v>
      </c>
      <c r="J5949" s="561">
        <v>1577.4</v>
      </c>
      <c r="K5949" s="561">
        <v>1091</v>
      </c>
      <c r="L5949" s="561">
        <v>11992</v>
      </c>
      <c r="M5949" s="561">
        <v>11992</v>
      </c>
      <c r="N5949" s="561">
        <v>4590</v>
      </c>
      <c r="O5949" s="561">
        <v>0</v>
      </c>
      <c r="P5949" s="561">
        <v>7402</v>
      </c>
    </row>
    <row r="5950" spans="2:16">
      <c r="C5950" s="561" t="s">
        <v>1197</v>
      </c>
      <c r="M5950" s="561">
        <v>0</v>
      </c>
      <c r="O5950" s="561">
        <v>0</v>
      </c>
      <c r="P5950" s="561">
        <v>0</v>
      </c>
    </row>
    <row r="5951" spans="2:16">
      <c r="C5951" s="561" t="s">
        <v>1198</v>
      </c>
      <c r="M5951" s="561">
        <v>0</v>
      </c>
      <c r="O5951" s="561">
        <v>0</v>
      </c>
      <c r="P5951" s="561">
        <v>0</v>
      </c>
    </row>
    <row r="5952" spans="2:16">
      <c r="C5952" s="561" t="s">
        <v>1199</v>
      </c>
      <c r="D5952" s="561">
        <v>11992</v>
      </c>
      <c r="E5952" s="561">
        <v>4590</v>
      </c>
      <c r="F5952" s="561">
        <v>7402</v>
      </c>
      <c r="G5952" s="561">
        <v>1092</v>
      </c>
      <c r="H5952" s="561">
        <v>12022.7</v>
      </c>
      <c r="I5952" s="561">
        <v>17</v>
      </c>
      <c r="J5952" s="561">
        <v>1577.4</v>
      </c>
      <c r="K5952" s="561">
        <v>1091</v>
      </c>
      <c r="L5952" s="561">
        <v>11992</v>
      </c>
      <c r="M5952" s="561">
        <v>11992</v>
      </c>
      <c r="N5952" s="561">
        <v>4590</v>
      </c>
      <c r="O5952" s="561">
        <v>0</v>
      </c>
      <c r="P5952" s="561">
        <v>7402</v>
      </c>
    </row>
    <row r="5953" spans="2:16">
      <c r="C5953" s="561" t="s">
        <v>1200</v>
      </c>
      <c r="D5953" s="561">
        <v>0</v>
      </c>
      <c r="M5953" s="561">
        <v>0</v>
      </c>
      <c r="O5953" s="561">
        <v>0</v>
      </c>
      <c r="P5953" s="561">
        <v>0</v>
      </c>
    </row>
    <row r="5954" spans="2:16">
      <c r="B5954" s="561" t="s">
        <v>1738</v>
      </c>
      <c r="C5954" s="561" t="s">
        <v>1196</v>
      </c>
      <c r="D5954" s="561">
        <v>268035</v>
      </c>
      <c r="E5954" s="561">
        <v>88110</v>
      </c>
      <c r="F5954" s="561">
        <v>179925</v>
      </c>
      <c r="G5954" s="561">
        <v>5105</v>
      </c>
      <c r="H5954" s="561">
        <v>267909.56999999995</v>
      </c>
      <c r="I5954" s="561">
        <v>351</v>
      </c>
      <c r="J5954" s="561">
        <v>1910.24</v>
      </c>
      <c r="K5954" s="561">
        <v>5116</v>
      </c>
      <c r="L5954" s="561">
        <v>268035</v>
      </c>
      <c r="M5954" s="561">
        <v>268035</v>
      </c>
      <c r="N5954" s="561">
        <v>88110</v>
      </c>
      <c r="O5954" s="561">
        <v>0</v>
      </c>
      <c r="P5954" s="561">
        <v>179925</v>
      </c>
    </row>
    <row r="5955" spans="2:16">
      <c r="C5955" s="561" t="s">
        <v>1197</v>
      </c>
      <c r="D5955" s="561">
        <v>267375</v>
      </c>
      <c r="E5955" s="561">
        <v>87450</v>
      </c>
      <c r="F5955" s="561">
        <v>179925</v>
      </c>
      <c r="G5955" s="561">
        <v>5062</v>
      </c>
      <c r="H5955" s="561">
        <v>267013.84999999998</v>
      </c>
      <c r="I5955" s="561">
        <v>351</v>
      </c>
      <c r="J5955" s="561">
        <v>1910.24</v>
      </c>
      <c r="K5955" s="561">
        <v>5074</v>
      </c>
      <c r="L5955" s="561">
        <v>267418.3</v>
      </c>
      <c r="M5955" s="561">
        <v>267418.3</v>
      </c>
      <c r="N5955" s="561">
        <v>87450</v>
      </c>
      <c r="O5955" s="561">
        <v>0</v>
      </c>
    </row>
    <row r="5956" spans="2:16">
      <c r="C5956" s="561" t="s">
        <v>1198</v>
      </c>
      <c r="M5956" s="561">
        <v>0</v>
      </c>
      <c r="O5956" s="561">
        <v>0</v>
      </c>
      <c r="P5956" s="561">
        <v>0</v>
      </c>
    </row>
    <row r="5957" spans="2:16">
      <c r="C5957" s="561" t="s">
        <v>1199</v>
      </c>
      <c r="D5957" s="561">
        <v>660</v>
      </c>
      <c r="E5957" s="561">
        <v>660</v>
      </c>
      <c r="F5957" s="561">
        <v>0</v>
      </c>
      <c r="G5957" s="561">
        <v>43</v>
      </c>
      <c r="H5957" s="561">
        <v>895.72</v>
      </c>
      <c r="I5957" s="561">
        <v>0</v>
      </c>
      <c r="J5957" s="561">
        <v>0</v>
      </c>
      <c r="K5957" s="561">
        <v>42</v>
      </c>
      <c r="L5957" s="561">
        <v>616.70000000000005</v>
      </c>
      <c r="M5957" s="561">
        <v>616.70000000000005</v>
      </c>
      <c r="N5957" s="561">
        <v>660</v>
      </c>
      <c r="O5957" s="561">
        <v>0</v>
      </c>
      <c r="P5957" s="561">
        <v>-43.299999999999955</v>
      </c>
    </row>
    <row r="5958" spans="2:16">
      <c r="C5958" s="561" t="s">
        <v>1200</v>
      </c>
      <c r="D5958" s="561">
        <v>0</v>
      </c>
      <c r="M5958" s="561">
        <v>0</v>
      </c>
      <c r="O5958" s="561">
        <v>0</v>
      </c>
      <c r="P5958" s="561">
        <v>0</v>
      </c>
    </row>
    <row r="5959" spans="2:16">
      <c r="B5959" s="561" t="s">
        <v>1739</v>
      </c>
      <c r="C5959" s="561" t="s">
        <v>1196</v>
      </c>
      <c r="D5959" s="561">
        <v>32366</v>
      </c>
      <c r="E5959" s="561">
        <v>9750</v>
      </c>
      <c r="F5959" s="561">
        <v>22616</v>
      </c>
      <c r="G5959" s="561">
        <v>2533</v>
      </c>
      <c r="H5959" s="561">
        <v>34178.9</v>
      </c>
      <c r="I5959" s="561">
        <v>126</v>
      </c>
      <c r="J5959" s="561">
        <v>1099.3499999999999</v>
      </c>
      <c r="K5959" s="561">
        <v>2477</v>
      </c>
      <c r="L5959" s="561">
        <v>32366</v>
      </c>
      <c r="M5959" s="561">
        <v>32366</v>
      </c>
      <c r="N5959" s="561">
        <v>9750</v>
      </c>
      <c r="O5959" s="561">
        <v>0</v>
      </c>
      <c r="P5959" s="561">
        <v>22616</v>
      </c>
    </row>
    <row r="5960" spans="2:16">
      <c r="C5960" s="561" t="s">
        <v>1197</v>
      </c>
      <c r="M5960" s="561">
        <v>0</v>
      </c>
      <c r="O5960" s="561">
        <v>0</v>
      </c>
      <c r="P5960" s="561">
        <v>0</v>
      </c>
    </row>
    <row r="5961" spans="2:16">
      <c r="C5961" s="561" t="s">
        <v>1198</v>
      </c>
      <c r="M5961" s="561">
        <v>0</v>
      </c>
      <c r="O5961" s="561">
        <v>0</v>
      </c>
      <c r="P5961" s="561">
        <v>0</v>
      </c>
    </row>
    <row r="5962" spans="2:16">
      <c r="C5962" s="561" t="s">
        <v>1199</v>
      </c>
      <c r="D5962" s="561">
        <v>32366</v>
      </c>
      <c r="E5962" s="561">
        <v>9750</v>
      </c>
      <c r="F5962" s="561">
        <v>22616</v>
      </c>
      <c r="G5962" s="561">
        <v>2533</v>
      </c>
      <c r="H5962" s="561">
        <v>34178.9</v>
      </c>
      <c r="I5962" s="561">
        <v>126</v>
      </c>
      <c r="J5962" s="561">
        <v>1099.3499999999999</v>
      </c>
      <c r="K5962" s="561">
        <v>2477</v>
      </c>
      <c r="L5962" s="561">
        <v>32366</v>
      </c>
      <c r="M5962" s="561">
        <v>32366</v>
      </c>
      <c r="N5962" s="561">
        <v>9750</v>
      </c>
      <c r="O5962" s="561">
        <v>0</v>
      </c>
      <c r="P5962" s="561">
        <v>22616</v>
      </c>
    </row>
    <row r="5963" spans="2:16">
      <c r="C5963" s="561" t="s">
        <v>1200</v>
      </c>
      <c r="D5963" s="561">
        <v>0</v>
      </c>
      <c r="M5963" s="561">
        <v>0</v>
      </c>
      <c r="O5963" s="561">
        <v>0</v>
      </c>
      <c r="P5963" s="561">
        <v>0</v>
      </c>
    </row>
    <row r="5964" spans="2:16">
      <c r="B5964" s="561" t="s">
        <v>1740</v>
      </c>
      <c r="C5964" s="561" t="s">
        <v>1196</v>
      </c>
      <c r="D5964" s="561">
        <v>22601</v>
      </c>
      <c r="E5964" s="561">
        <v>6900</v>
      </c>
      <c r="F5964" s="561">
        <v>15701</v>
      </c>
      <c r="G5964" s="561">
        <v>2110</v>
      </c>
      <c r="H5964" s="561">
        <v>23738.6</v>
      </c>
      <c r="I5964" s="561">
        <v>53</v>
      </c>
      <c r="J5964" s="561">
        <v>316.58999999999997</v>
      </c>
      <c r="K5964" s="561">
        <v>2092</v>
      </c>
      <c r="L5964" s="561">
        <v>22601</v>
      </c>
      <c r="M5964" s="561">
        <v>22601</v>
      </c>
      <c r="N5964" s="561">
        <v>6900</v>
      </c>
      <c r="O5964" s="561">
        <v>0</v>
      </c>
      <c r="P5964" s="561">
        <v>15701</v>
      </c>
    </row>
    <row r="5965" spans="2:16">
      <c r="C5965" s="561" t="s">
        <v>1197</v>
      </c>
      <c r="M5965" s="561">
        <v>0</v>
      </c>
      <c r="O5965" s="561">
        <v>0</v>
      </c>
      <c r="P5965" s="561">
        <v>0</v>
      </c>
    </row>
    <row r="5966" spans="2:16">
      <c r="C5966" s="561" t="s">
        <v>1198</v>
      </c>
      <c r="M5966" s="561">
        <v>0</v>
      </c>
      <c r="O5966" s="561">
        <v>0</v>
      </c>
      <c r="P5966" s="561">
        <v>0</v>
      </c>
    </row>
    <row r="5967" spans="2:16">
      <c r="C5967" s="561" t="s">
        <v>1199</v>
      </c>
      <c r="D5967" s="561">
        <v>22601</v>
      </c>
      <c r="E5967" s="561">
        <v>6900</v>
      </c>
      <c r="F5967" s="561">
        <v>15701</v>
      </c>
      <c r="G5967" s="561">
        <v>2110</v>
      </c>
      <c r="H5967" s="561">
        <v>23738.6</v>
      </c>
      <c r="I5967" s="561">
        <v>53</v>
      </c>
      <c r="J5967" s="561">
        <v>316.58999999999997</v>
      </c>
      <c r="K5967" s="561">
        <v>2092</v>
      </c>
      <c r="L5967" s="561">
        <v>22601</v>
      </c>
      <c r="M5967" s="561">
        <v>22601</v>
      </c>
      <c r="N5967" s="561">
        <v>6900</v>
      </c>
      <c r="O5967" s="561">
        <v>0</v>
      </c>
      <c r="P5967" s="561">
        <v>15701</v>
      </c>
    </row>
    <row r="5968" spans="2:16">
      <c r="C5968" s="561" t="s">
        <v>1200</v>
      </c>
      <c r="D5968" s="561">
        <v>0</v>
      </c>
      <c r="M5968" s="561">
        <v>0</v>
      </c>
      <c r="O5968" s="561">
        <v>0</v>
      </c>
      <c r="P5968" s="561">
        <v>0</v>
      </c>
    </row>
    <row r="5969" spans="2:16">
      <c r="B5969" s="561" t="s">
        <v>1741</v>
      </c>
      <c r="C5969" s="561" t="s">
        <v>1196</v>
      </c>
      <c r="D5969" s="561">
        <v>510870</v>
      </c>
      <c r="E5969" s="561">
        <v>147150</v>
      </c>
      <c r="F5969" s="561">
        <v>363720</v>
      </c>
      <c r="G5969" s="561">
        <v>8395</v>
      </c>
      <c r="H5969" s="561">
        <v>536256.11</v>
      </c>
      <c r="I5969" s="561">
        <v>612</v>
      </c>
      <c r="J5969" s="561">
        <v>26699.42</v>
      </c>
      <c r="K5969" s="561">
        <v>8277</v>
      </c>
      <c r="L5969" s="561">
        <v>510870</v>
      </c>
      <c r="M5969" s="561">
        <v>510870</v>
      </c>
      <c r="N5969" s="561">
        <v>147150</v>
      </c>
      <c r="O5969" s="561">
        <v>0</v>
      </c>
      <c r="P5969" s="561">
        <v>363720</v>
      </c>
    </row>
    <row r="5970" spans="2:16">
      <c r="C5970" s="561" t="s">
        <v>1197</v>
      </c>
      <c r="D5970" s="561">
        <v>497900</v>
      </c>
      <c r="E5970" s="561">
        <v>145800</v>
      </c>
      <c r="F5970" s="561">
        <v>352100</v>
      </c>
      <c r="G5970" s="561">
        <v>8012</v>
      </c>
      <c r="H5970" s="561">
        <v>523363.47000000003</v>
      </c>
      <c r="I5970" s="561">
        <v>608</v>
      </c>
      <c r="J5970" s="561">
        <v>26649.82</v>
      </c>
      <c r="K5970" s="561">
        <v>7895</v>
      </c>
      <c r="L5970" s="561">
        <v>497844.1</v>
      </c>
      <c r="M5970" s="561">
        <v>497844.1</v>
      </c>
      <c r="N5970" s="561">
        <v>145800</v>
      </c>
      <c r="O5970" s="561">
        <v>0</v>
      </c>
    </row>
    <row r="5971" spans="2:16">
      <c r="C5971" s="561" t="s">
        <v>1198</v>
      </c>
      <c r="M5971" s="561">
        <v>0</v>
      </c>
      <c r="O5971" s="561">
        <v>0</v>
      </c>
      <c r="P5971" s="561">
        <v>0</v>
      </c>
    </row>
    <row r="5972" spans="2:16">
      <c r="C5972" s="561" t="s">
        <v>1199</v>
      </c>
      <c r="D5972" s="561">
        <v>12970</v>
      </c>
      <c r="E5972" s="561">
        <v>1350</v>
      </c>
      <c r="F5972" s="561">
        <v>11620</v>
      </c>
      <c r="G5972" s="561">
        <v>383</v>
      </c>
      <c r="H5972" s="561">
        <v>12892.64</v>
      </c>
      <c r="I5972" s="561">
        <v>4</v>
      </c>
      <c r="J5972" s="561">
        <v>49.6</v>
      </c>
      <c r="K5972" s="561">
        <v>382</v>
      </c>
      <c r="L5972" s="561">
        <v>13025.9</v>
      </c>
      <c r="M5972" s="561">
        <v>13025.9</v>
      </c>
      <c r="N5972" s="561">
        <v>1350</v>
      </c>
      <c r="O5972" s="561">
        <v>0</v>
      </c>
      <c r="P5972" s="561">
        <v>11675.9</v>
      </c>
    </row>
    <row r="5973" spans="2:16">
      <c r="C5973" s="561" t="s">
        <v>1200</v>
      </c>
      <c r="D5973" s="561">
        <v>0</v>
      </c>
      <c r="M5973" s="561">
        <v>0</v>
      </c>
      <c r="O5973" s="561">
        <v>0</v>
      </c>
      <c r="P5973" s="561">
        <v>0</v>
      </c>
    </row>
    <row r="5974" spans="2:16">
      <c r="B5974" s="561" t="s">
        <v>1742</v>
      </c>
      <c r="C5974" s="561" t="s">
        <v>1196</v>
      </c>
      <c r="D5974" s="561">
        <v>105495</v>
      </c>
      <c r="E5974" s="561">
        <v>26520</v>
      </c>
      <c r="F5974" s="561">
        <v>78975</v>
      </c>
      <c r="G5974" s="561">
        <v>3166</v>
      </c>
      <c r="H5974" s="561">
        <v>107325.84999999999</v>
      </c>
      <c r="I5974" s="561">
        <v>92</v>
      </c>
      <c r="J5974" s="561">
        <v>2395.92</v>
      </c>
      <c r="K5974" s="561">
        <v>3160</v>
      </c>
      <c r="L5974" s="561">
        <v>105495</v>
      </c>
      <c r="M5974" s="561">
        <v>105495</v>
      </c>
      <c r="N5974" s="561">
        <v>26520</v>
      </c>
      <c r="O5974" s="561">
        <v>0</v>
      </c>
      <c r="P5974" s="561">
        <v>78975</v>
      </c>
    </row>
    <row r="5975" spans="2:16">
      <c r="C5975" s="561" t="s">
        <v>1197</v>
      </c>
      <c r="D5975" s="561">
        <v>75823</v>
      </c>
      <c r="E5975" s="561">
        <v>18600</v>
      </c>
      <c r="F5975" s="561">
        <v>57223</v>
      </c>
      <c r="G5975" s="561">
        <v>1055</v>
      </c>
      <c r="H5975" s="561">
        <v>78212.12999999999</v>
      </c>
      <c r="I5975" s="561">
        <v>81</v>
      </c>
      <c r="J5975" s="561">
        <v>2306.02</v>
      </c>
      <c r="K5975" s="561">
        <v>1054</v>
      </c>
      <c r="L5975" s="561">
        <v>76472.7</v>
      </c>
      <c r="M5975" s="561">
        <v>76472.7</v>
      </c>
      <c r="N5975" s="561">
        <v>18600</v>
      </c>
      <c r="O5975" s="561">
        <v>0</v>
      </c>
    </row>
    <row r="5976" spans="2:16">
      <c r="C5976" s="561" t="s">
        <v>1198</v>
      </c>
      <c r="M5976" s="561">
        <v>0</v>
      </c>
      <c r="O5976" s="561">
        <v>0</v>
      </c>
      <c r="P5976" s="561">
        <v>0</v>
      </c>
    </row>
    <row r="5977" spans="2:16">
      <c r="C5977" s="561" t="s">
        <v>1199</v>
      </c>
      <c r="D5977" s="561">
        <v>29672</v>
      </c>
      <c r="E5977" s="561">
        <v>7920</v>
      </c>
      <c r="F5977" s="561">
        <v>21752</v>
      </c>
      <c r="G5977" s="561">
        <v>2111</v>
      </c>
      <c r="H5977" s="561">
        <v>29113.72</v>
      </c>
      <c r="I5977" s="561">
        <v>11</v>
      </c>
      <c r="J5977" s="561">
        <v>89.9</v>
      </c>
      <c r="K5977" s="561">
        <v>2106</v>
      </c>
      <c r="L5977" s="561">
        <v>29022.3</v>
      </c>
      <c r="M5977" s="561">
        <v>29022.3</v>
      </c>
      <c r="N5977" s="561">
        <v>7920</v>
      </c>
      <c r="O5977" s="561">
        <v>0</v>
      </c>
      <c r="P5977" s="561">
        <v>21102.3</v>
      </c>
    </row>
    <row r="5978" spans="2:16">
      <c r="C5978" s="561" t="s">
        <v>1200</v>
      </c>
      <c r="D5978" s="561">
        <v>0</v>
      </c>
      <c r="M5978" s="561">
        <v>0</v>
      </c>
      <c r="O5978" s="561">
        <v>0</v>
      </c>
      <c r="P5978" s="561">
        <v>0</v>
      </c>
    </row>
    <row r="5979" spans="2:16">
      <c r="B5979" s="561" t="s">
        <v>1743</v>
      </c>
      <c r="C5979" s="561" t="s">
        <v>1196</v>
      </c>
      <c r="D5979" s="561">
        <v>213048</v>
      </c>
      <c r="E5979" s="561">
        <v>64860</v>
      </c>
      <c r="F5979" s="561">
        <v>148188</v>
      </c>
      <c r="G5979" s="561">
        <v>3729</v>
      </c>
      <c r="H5979" s="561">
        <v>221902.41999999998</v>
      </c>
      <c r="I5979" s="561">
        <v>262</v>
      </c>
      <c r="J5979" s="561">
        <v>9744.57</v>
      </c>
      <c r="K5979" s="561">
        <v>3692</v>
      </c>
      <c r="L5979" s="561">
        <v>213048</v>
      </c>
      <c r="M5979" s="561">
        <v>213048</v>
      </c>
      <c r="N5979" s="561">
        <v>64860</v>
      </c>
      <c r="O5979" s="561">
        <v>0</v>
      </c>
      <c r="P5979" s="561">
        <v>148188</v>
      </c>
    </row>
    <row r="5980" spans="2:16">
      <c r="C5980" s="561" t="s">
        <v>1197</v>
      </c>
      <c r="D5980" s="561">
        <v>213048</v>
      </c>
      <c r="E5980" s="561">
        <v>64860</v>
      </c>
      <c r="F5980" s="561">
        <v>148188</v>
      </c>
      <c r="G5980" s="561">
        <v>3729</v>
      </c>
      <c r="H5980" s="561">
        <v>221902.41999999998</v>
      </c>
      <c r="I5980" s="561">
        <v>262</v>
      </c>
      <c r="J5980" s="561">
        <v>9744.57</v>
      </c>
      <c r="K5980" s="561">
        <v>3692</v>
      </c>
      <c r="L5980" s="561">
        <v>213048</v>
      </c>
      <c r="M5980" s="561">
        <v>213048</v>
      </c>
      <c r="N5980" s="561">
        <v>64860</v>
      </c>
      <c r="O5980" s="561">
        <v>0</v>
      </c>
    </row>
    <row r="5981" spans="2:16">
      <c r="C5981" s="561" t="s">
        <v>1198</v>
      </c>
      <c r="M5981" s="561">
        <v>0</v>
      </c>
      <c r="O5981" s="561">
        <v>0</v>
      </c>
      <c r="P5981" s="561">
        <v>0</v>
      </c>
    </row>
    <row r="5982" spans="2:16">
      <c r="C5982" s="561" t="s">
        <v>1199</v>
      </c>
      <c r="D5982" s="561">
        <v>0</v>
      </c>
      <c r="M5982" s="561">
        <v>0</v>
      </c>
      <c r="O5982" s="561">
        <v>0</v>
      </c>
      <c r="P5982" s="561">
        <v>0</v>
      </c>
    </row>
    <row r="5983" spans="2:16">
      <c r="C5983" s="561" t="s">
        <v>1200</v>
      </c>
      <c r="D5983" s="561">
        <v>0</v>
      </c>
      <c r="M5983" s="561">
        <v>0</v>
      </c>
      <c r="O5983" s="561">
        <v>0</v>
      </c>
      <c r="P5983" s="561">
        <v>0</v>
      </c>
    </row>
    <row r="5984" spans="2:16">
      <c r="B5984" s="561" t="s">
        <v>1744</v>
      </c>
      <c r="C5984" s="561" t="s">
        <v>1196</v>
      </c>
      <c r="D5984" s="561">
        <v>51851.7</v>
      </c>
      <c r="E5984" s="561">
        <v>14016.3</v>
      </c>
      <c r="F5984" s="561">
        <v>37835.4</v>
      </c>
      <c r="G5984" s="561">
        <v>3344</v>
      </c>
      <c r="H5984" s="561">
        <v>52247.880000000005</v>
      </c>
      <c r="I5984" s="561">
        <v>38</v>
      </c>
      <c r="J5984" s="561">
        <v>396.2</v>
      </c>
      <c r="K5984" s="561">
        <v>3334</v>
      </c>
      <c r="L5984" s="561">
        <v>51851.700000000004</v>
      </c>
      <c r="M5984" s="561">
        <v>51851.700000000004</v>
      </c>
      <c r="N5984" s="561">
        <v>14016.3</v>
      </c>
      <c r="O5984" s="561">
        <v>0</v>
      </c>
      <c r="P5984" s="561">
        <v>37835.400000000009</v>
      </c>
    </row>
    <row r="5985" spans="2:16">
      <c r="C5985" s="561" t="s">
        <v>1197</v>
      </c>
      <c r="M5985" s="561">
        <v>0</v>
      </c>
      <c r="O5985" s="561">
        <v>0</v>
      </c>
      <c r="P5985" s="561">
        <v>0</v>
      </c>
    </row>
    <row r="5986" spans="2:16">
      <c r="C5986" s="561" t="s">
        <v>1198</v>
      </c>
      <c r="M5986" s="561">
        <v>0</v>
      </c>
      <c r="O5986" s="561">
        <v>0</v>
      </c>
      <c r="P5986" s="561">
        <v>0</v>
      </c>
    </row>
    <row r="5987" spans="2:16">
      <c r="C5987" s="561" t="s">
        <v>1199</v>
      </c>
      <c r="D5987" s="561">
        <v>51851.7</v>
      </c>
      <c r="E5987" s="561">
        <v>14016.3</v>
      </c>
      <c r="F5987" s="561">
        <v>37835.4</v>
      </c>
      <c r="G5987" s="561">
        <v>3344</v>
      </c>
      <c r="H5987" s="561">
        <v>52247.880000000005</v>
      </c>
      <c r="I5987" s="561">
        <v>38</v>
      </c>
      <c r="J5987" s="561">
        <v>396.2</v>
      </c>
      <c r="K5987" s="561">
        <v>3334</v>
      </c>
      <c r="L5987" s="561">
        <v>51851.700000000004</v>
      </c>
      <c r="M5987" s="561">
        <v>51851.700000000004</v>
      </c>
      <c r="N5987" s="561">
        <v>14016.3</v>
      </c>
      <c r="O5987" s="561">
        <v>0</v>
      </c>
      <c r="P5987" s="561">
        <v>37835.400000000009</v>
      </c>
    </row>
    <row r="5988" spans="2:16">
      <c r="C5988" s="561" t="s">
        <v>1200</v>
      </c>
      <c r="D5988" s="561">
        <v>0</v>
      </c>
      <c r="M5988" s="561">
        <v>0</v>
      </c>
      <c r="O5988" s="561">
        <v>0</v>
      </c>
      <c r="P5988" s="561">
        <v>0</v>
      </c>
    </row>
    <row r="5989" spans="2:16">
      <c r="B5989" s="561" t="s">
        <v>1745</v>
      </c>
      <c r="C5989" s="561" t="s">
        <v>1196</v>
      </c>
      <c r="D5989" s="561">
        <v>30091</v>
      </c>
      <c r="E5989" s="561">
        <v>11939.4</v>
      </c>
      <c r="F5989" s="561">
        <v>18151.599999999999</v>
      </c>
      <c r="G5989" s="561">
        <v>879</v>
      </c>
      <c r="H5989" s="561">
        <v>38142.370000000003</v>
      </c>
      <c r="I5989" s="561">
        <v>97</v>
      </c>
      <c r="J5989" s="561">
        <v>8045.7</v>
      </c>
      <c r="K5989" s="561">
        <v>842</v>
      </c>
      <c r="L5989" s="561">
        <v>30090.999999999996</v>
      </c>
      <c r="M5989" s="561">
        <v>30090.999999999996</v>
      </c>
      <c r="N5989" s="561">
        <v>11939.4</v>
      </c>
      <c r="O5989" s="561">
        <v>0</v>
      </c>
      <c r="P5989" s="561">
        <v>18151.599999999999</v>
      </c>
    </row>
    <row r="5990" spans="2:16">
      <c r="C5990" s="561" t="s">
        <v>1197</v>
      </c>
      <c r="D5990" s="561">
        <v>27551</v>
      </c>
      <c r="E5990" s="561">
        <v>10725</v>
      </c>
      <c r="F5990" s="561">
        <v>16826</v>
      </c>
      <c r="G5990" s="561">
        <v>608</v>
      </c>
      <c r="H5990" s="561">
        <v>34536.630000000005</v>
      </c>
      <c r="I5990" s="561">
        <v>83</v>
      </c>
      <c r="J5990" s="561">
        <v>6996.5</v>
      </c>
      <c r="K5990" s="561">
        <v>580</v>
      </c>
      <c r="L5990" s="561">
        <v>27536.559999999998</v>
      </c>
      <c r="M5990" s="561">
        <v>27536.559999999998</v>
      </c>
      <c r="N5990" s="561">
        <v>10725</v>
      </c>
      <c r="O5990" s="561">
        <v>0</v>
      </c>
    </row>
    <row r="5991" spans="2:16">
      <c r="C5991" s="561" t="s">
        <v>1198</v>
      </c>
      <c r="M5991" s="561">
        <v>0</v>
      </c>
      <c r="O5991" s="561">
        <v>0</v>
      </c>
      <c r="P5991" s="561">
        <v>0</v>
      </c>
    </row>
    <row r="5992" spans="2:16">
      <c r="C5992" s="561" t="s">
        <v>1199</v>
      </c>
      <c r="D5992" s="561">
        <v>2540</v>
      </c>
      <c r="E5992" s="561">
        <v>1214.4000000000001</v>
      </c>
      <c r="F5992" s="561">
        <v>1325.6</v>
      </c>
      <c r="G5992" s="561">
        <v>271</v>
      </c>
      <c r="H5992" s="561">
        <v>3605.7400000000002</v>
      </c>
      <c r="I5992" s="561">
        <v>14</v>
      </c>
      <c r="J5992" s="561">
        <v>1049.2</v>
      </c>
      <c r="K5992" s="561">
        <v>262</v>
      </c>
      <c r="L5992" s="561">
        <v>2554.4399999999996</v>
      </c>
      <c r="M5992" s="561">
        <v>2554.4399999999996</v>
      </c>
      <c r="N5992" s="561">
        <v>1214.4000000000001</v>
      </c>
      <c r="O5992" s="561">
        <v>0</v>
      </c>
      <c r="P5992" s="561">
        <v>1340.0399999999995</v>
      </c>
    </row>
    <row r="5993" spans="2:16">
      <c r="C5993" s="561" t="s">
        <v>1200</v>
      </c>
      <c r="D5993" s="561">
        <v>0</v>
      </c>
      <c r="M5993" s="561">
        <v>0</v>
      </c>
      <c r="O5993" s="561">
        <v>0</v>
      </c>
      <c r="P5993" s="561">
        <v>0</v>
      </c>
    </row>
    <row r="5994" spans="2:16">
      <c r="B5994" s="561" t="s">
        <v>1746</v>
      </c>
      <c r="C5994" s="561" t="s">
        <v>1196</v>
      </c>
      <c r="D5994" s="561">
        <v>229905.4</v>
      </c>
      <c r="E5994" s="561">
        <v>69360</v>
      </c>
      <c r="F5994" s="561">
        <v>160545.4</v>
      </c>
      <c r="G5994" s="561">
        <v>5974</v>
      </c>
      <c r="H5994" s="561">
        <v>234596.69</v>
      </c>
      <c r="I5994" s="561">
        <v>193</v>
      </c>
      <c r="J5994" s="561">
        <v>5260.9100000000008</v>
      </c>
      <c r="K5994" s="561">
        <v>5957</v>
      </c>
      <c r="L5994" s="561">
        <v>229905.40000000002</v>
      </c>
      <c r="M5994" s="561">
        <v>229905.40000000002</v>
      </c>
      <c r="N5994" s="561">
        <v>69360</v>
      </c>
      <c r="O5994" s="561">
        <v>0</v>
      </c>
      <c r="P5994" s="561">
        <v>160545.40000000002</v>
      </c>
    </row>
    <row r="5995" spans="2:16">
      <c r="C5995" s="561" t="s">
        <v>1197</v>
      </c>
      <c r="D5995" s="561">
        <v>187779</v>
      </c>
      <c r="E5995" s="561">
        <v>57060</v>
      </c>
      <c r="F5995" s="561">
        <v>130719</v>
      </c>
      <c r="G5995" s="561">
        <v>3153</v>
      </c>
      <c r="H5995" s="561">
        <v>192255.4</v>
      </c>
      <c r="I5995" s="561">
        <v>158</v>
      </c>
      <c r="J5995" s="561">
        <v>5000.8600000000006</v>
      </c>
      <c r="K5995" s="561">
        <v>3145</v>
      </c>
      <c r="L5995" s="561">
        <v>187882.7</v>
      </c>
      <c r="M5995" s="561">
        <v>187882.7</v>
      </c>
      <c r="N5995" s="561">
        <v>57060</v>
      </c>
      <c r="O5995" s="561">
        <v>0</v>
      </c>
    </row>
    <row r="5996" spans="2:16">
      <c r="C5996" s="561" t="s">
        <v>1198</v>
      </c>
      <c r="M5996" s="561">
        <v>0</v>
      </c>
      <c r="O5996" s="561">
        <v>0</v>
      </c>
      <c r="P5996" s="561">
        <v>0</v>
      </c>
    </row>
    <row r="5997" spans="2:16">
      <c r="C5997" s="561" t="s">
        <v>1199</v>
      </c>
      <c r="D5997" s="561">
        <v>42126.400000000001</v>
      </c>
      <c r="E5997" s="561">
        <v>12300</v>
      </c>
      <c r="F5997" s="561">
        <v>29826.400000000001</v>
      </c>
      <c r="G5997" s="561">
        <v>2821</v>
      </c>
      <c r="H5997" s="561">
        <v>42341.29</v>
      </c>
      <c r="I5997" s="561">
        <v>35</v>
      </c>
      <c r="J5997" s="561">
        <v>260.05</v>
      </c>
      <c r="K5997" s="561">
        <v>2812</v>
      </c>
      <c r="L5997" s="561">
        <v>42022.700000000004</v>
      </c>
      <c r="M5997" s="561">
        <v>42022.700000000004</v>
      </c>
      <c r="N5997" s="561">
        <v>12300</v>
      </c>
      <c r="O5997" s="561">
        <v>0</v>
      </c>
      <c r="P5997" s="561">
        <v>29722.700000000004</v>
      </c>
    </row>
    <row r="5998" spans="2:16">
      <c r="C5998" s="561" t="s">
        <v>1200</v>
      </c>
      <c r="D5998" s="561">
        <v>0</v>
      </c>
      <c r="M5998" s="561">
        <v>0</v>
      </c>
      <c r="O5998" s="561">
        <v>0</v>
      </c>
      <c r="P5998" s="561">
        <v>0</v>
      </c>
    </row>
    <row r="5999" spans="2:16">
      <c r="B5999" s="561" t="s">
        <v>1747</v>
      </c>
      <c r="C5999" s="561" t="s">
        <v>1196</v>
      </c>
      <c r="D5999" s="561">
        <v>96433.9</v>
      </c>
      <c r="E5999" s="561">
        <v>30234</v>
      </c>
      <c r="F5999" s="561">
        <v>66199.899999999994</v>
      </c>
      <c r="G5999" s="561">
        <v>3201</v>
      </c>
      <c r="H5999" s="561">
        <v>98205.81</v>
      </c>
      <c r="I5999" s="561">
        <v>71</v>
      </c>
      <c r="J5999" s="561">
        <v>1755.7699999999998</v>
      </c>
      <c r="K5999" s="561">
        <v>3195</v>
      </c>
      <c r="L5999" s="561">
        <v>96433.900000000009</v>
      </c>
      <c r="M5999" s="561">
        <v>96433.900000000009</v>
      </c>
      <c r="N5999" s="561">
        <v>30234</v>
      </c>
      <c r="O5999" s="561">
        <v>0</v>
      </c>
      <c r="P5999" s="561">
        <v>66199.900000000009</v>
      </c>
    </row>
    <row r="6000" spans="2:16">
      <c r="C6000" s="561" t="s">
        <v>1197</v>
      </c>
      <c r="D6000" s="561">
        <v>66700</v>
      </c>
      <c r="E6000" s="561">
        <v>20184</v>
      </c>
      <c r="F6000" s="561">
        <v>46516</v>
      </c>
      <c r="G6000" s="561">
        <v>1095</v>
      </c>
      <c r="H6000" s="561">
        <v>68442.45</v>
      </c>
      <c r="I6000" s="561">
        <v>46</v>
      </c>
      <c r="J6000" s="561">
        <v>1558.1699999999998</v>
      </c>
      <c r="K6000" s="561">
        <v>1093</v>
      </c>
      <c r="L6000" s="561">
        <v>66909.8</v>
      </c>
      <c r="M6000" s="561">
        <v>66909.8</v>
      </c>
      <c r="N6000" s="561">
        <v>20184</v>
      </c>
      <c r="O6000" s="561">
        <v>0</v>
      </c>
    </row>
    <row r="6001" spans="2:16">
      <c r="C6001" s="561" t="s">
        <v>1198</v>
      </c>
      <c r="L6001" s="561">
        <v>0</v>
      </c>
      <c r="M6001" s="561">
        <v>0</v>
      </c>
      <c r="O6001" s="561">
        <v>0</v>
      </c>
      <c r="P6001" s="561">
        <v>0</v>
      </c>
    </row>
    <row r="6002" spans="2:16">
      <c r="C6002" s="561" t="s">
        <v>1199</v>
      </c>
      <c r="D6002" s="561">
        <v>29733.9</v>
      </c>
      <c r="E6002" s="561">
        <v>10050</v>
      </c>
      <c r="F6002" s="561">
        <v>19683.900000000001</v>
      </c>
      <c r="G6002" s="561">
        <v>2106</v>
      </c>
      <c r="H6002" s="561">
        <v>29763.359999999997</v>
      </c>
      <c r="I6002" s="561">
        <v>25</v>
      </c>
      <c r="J6002" s="561">
        <v>197.6</v>
      </c>
      <c r="K6002" s="561">
        <v>2102</v>
      </c>
      <c r="L6002" s="561">
        <v>29524.100000000002</v>
      </c>
      <c r="M6002" s="561">
        <v>29524.100000000002</v>
      </c>
      <c r="N6002" s="561">
        <v>10050</v>
      </c>
      <c r="O6002" s="561">
        <v>0</v>
      </c>
      <c r="P6002" s="561">
        <v>19474.100000000002</v>
      </c>
    </row>
    <row r="6003" spans="2:16">
      <c r="C6003" s="561" t="s">
        <v>1200</v>
      </c>
      <c r="D6003" s="561">
        <v>0</v>
      </c>
      <c r="L6003" s="561">
        <v>0</v>
      </c>
      <c r="M6003" s="561">
        <v>0</v>
      </c>
      <c r="O6003" s="561">
        <v>0</v>
      </c>
      <c r="P6003" s="561">
        <v>0</v>
      </c>
    </row>
    <row r="6004" spans="2:16">
      <c r="B6004" s="561" t="s">
        <v>1748</v>
      </c>
      <c r="C6004" s="561" t="s">
        <v>1196</v>
      </c>
      <c r="D6004" s="561">
        <v>109918</v>
      </c>
      <c r="E6004" s="561">
        <v>32975.4</v>
      </c>
      <c r="F6004" s="561">
        <v>76942.600000000006</v>
      </c>
      <c r="G6004" s="561">
        <v>4079</v>
      </c>
      <c r="H6004" s="561">
        <v>112311.86</v>
      </c>
      <c r="I6004" s="561">
        <v>110</v>
      </c>
      <c r="J6004" s="561">
        <v>2594.1</v>
      </c>
      <c r="K6004" s="561">
        <v>4070</v>
      </c>
      <c r="L6004" s="561">
        <v>109918</v>
      </c>
      <c r="M6004" s="561">
        <v>109918</v>
      </c>
      <c r="N6004" s="561">
        <v>32975.4</v>
      </c>
      <c r="O6004" s="561">
        <v>0</v>
      </c>
      <c r="P6004" s="561">
        <v>76942.600000000006</v>
      </c>
    </row>
    <row r="6005" spans="2:16">
      <c r="C6005" s="561" t="s">
        <v>1197</v>
      </c>
      <c r="D6005" s="561">
        <v>73648</v>
      </c>
      <c r="E6005" s="561">
        <v>22094.400000000001</v>
      </c>
      <c r="F6005" s="561">
        <v>51553.599999999999</v>
      </c>
      <c r="G6005" s="561">
        <v>1298</v>
      </c>
      <c r="H6005" s="561">
        <v>75700.59</v>
      </c>
      <c r="I6005" s="561">
        <v>98</v>
      </c>
      <c r="J6005" s="561">
        <v>2521.5</v>
      </c>
      <c r="K6005" s="561">
        <v>1293</v>
      </c>
      <c r="L6005" s="561">
        <v>73648.02</v>
      </c>
      <c r="M6005" s="561">
        <v>73648.02</v>
      </c>
      <c r="N6005" s="561">
        <v>22094.400000000001</v>
      </c>
      <c r="O6005" s="561">
        <v>0</v>
      </c>
    </row>
    <row r="6006" spans="2:16">
      <c r="C6006" s="561" t="s">
        <v>1198</v>
      </c>
      <c r="M6006" s="561">
        <v>0</v>
      </c>
      <c r="O6006" s="561">
        <v>0</v>
      </c>
      <c r="P6006" s="561">
        <v>0</v>
      </c>
    </row>
    <row r="6007" spans="2:16">
      <c r="C6007" s="561" t="s">
        <v>1199</v>
      </c>
      <c r="D6007" s="561">
        <v>36270</v>
      </c>
      <c r="E6007" s="561">
        <v>10881</v>
      </c>
      <c r="F6007" s="561">
        <v>25389</v>
      </c>
      <c r="G6007" s="561">
        <v>2781</v>
      </c>
      <c r="H6007" s="561">
        <v>36611.270000000004</v>
      </c>
      <c r="I6007" s="561">
        <v>12</v>
      </c>
      <c r="J6007" s="561">
        <v>72.599999999999994</v>
      </c>
      <c r="K6007" s="561">
        <v>2777</v>
      </c>
      <c r="L6007" s="561">
        <v>36269.980000000003</v>
      </c>
      <c r="M6007" s="561">
        <v>36269.980000000003</v>
      </c>
      <c r="N6007" s="561">
        <v>10881</v>
      </c>
      <c r="O6007" s="561">
        <v>0</v>
      </c>
      <c r="P6007" s="561">
        <v>25388.980000000003</v>
      </c>
    </row>
    <row r="6008" spans="2:16">
      <c r="C6008" s="561" t="s">
        <v>1200</v>
      </c>
      <c r="D6008" s="561">
        <v>0</v>
      </c>
      <c r="M6008" s="561">
        <v>0</v>
      </c>
      <c r="O6008" s="561">
        <v>0</v>
      </c>
      <c r="P6008" s="561">
        <v>0</v>
      </c>
    </row>
    <row r="6009" spans="2:16">
      <c r="B6009" s="561" t="s">
        <v>1749</v>
      </c>
      <c r="C6009" s="561" t="s">
        <v>1196</v>
      </c>
      <c r="D6009" s="561">
        <v>112881</v>
      </c>
      <c r="E6009" s="561">
        <v>33915</v>
      </c>
      <c r="F6009" s="561">
        <v>78966</v>
      </c>
      <c r="G6009" s="561">
        <v>2770</v>
      </c>
      <c r="H6009" s="561">
        <v>116543.07999999999</v>
      </c>
      <c r="I6009" s="561">
        <v>120</v>
      </c>
      <c r="J6009" s="561">
        <v>3644.1800000000003</v>
      </c>
      <c r="K6009" s="561">
        <v>2750</v>
      </c>
      <c r="L6009" s="561">
        <v>112881</v>
      </c>
      <c r="M6009" s="561">
        <v>112881</v>
      </c>
      <c r="N6009" s="561">
        <v>33915</v>
      </c>
      <c r="O6009" s="561">
        <v>0</v>
      </c>
      <c r="P6009" s="561">
        <v>78966</v>
      </c>
    </row>
    <row r="6010" spans="2:16">
      <c r="C6010" s="561" t="s">
        <v>1197</v>
      </c>
      <c r="D6010" s="561">
        <v>96003</v>
      </c>
      <c r="E6010" s="561">
        <v>27975</v>
      </c>
      <c r="F6010" s="561">
        <v>68028</v>
      </c>
      <c r="G6010" s="561">
        <v>1703</v>
      </c>
      <c r="H6010" s="561">
        <v>99169.37999999999</v>
      </c>
      <c r="I6010" s="561">
        <v>96</v>
      </c>
      <c r="J6010" s="561">
        <v>3407.1600000000003</v>
      </c>
      <c r="K6010" s="561">
        <v>1691</v>
      </c>
      <c r="L6010" s="561">
        <v>95748.53</v>
      </c>
      <c r="M6010" s="561">
        <v>95748.53</v>
      </c>
      <c r="N6010" s="561">
        <v>27975</v>
      </c>
      <c r="O6010" s="561">
        <v>0</v>
      </c>
    </row>
    <row r="6011" spans="2:16">
      <c r="C6011" s="561" t="s">
        <v>1198</v>
      </c>
      <c r="M6011" s="561">
        <v>0</v>
      </c>
      <c r="O6011" s="561">
        <v>0</v>
      </c>
      <c r="P6011" s="561">
        <v>0</v>
      </c>
    </row>
    <row r="6012" spans="2:16">
      <c r="C6012" s="561" t="s">
        <v>1199</v>
      </c>
      <c r="D6012" s="561">
        <v>16878</v>
      </c>
      <c r="E6012" s="561">
        <v>5940</v>
      </c>
      <c r="F6012" s="561">
        <v>10938</v>
      </c>
      <c r="G6012" s="561">
        <v>1067</v>
      </c>
      <c r="H6012" s="561">
        <v>17373.7</v>
      </c>
      <c r="I6012" s="561">
        <v>24</v>
      </c>
      <c r="J6012" s="561">
        <v>237.01999999999998</v>
      </c>
      <c r="K6012" s="561">
        <v>1059</v>
      </c>
      <c r="L6012" s="561">
        <v>17132.47</v>
      </c>
      <c r="M6012" s="561">
        <v>17132.47</v>
      </c>
      <c r="N6012" s="561">
        <v>5940</v>
      </c>
      <c r="O6012" s="561">
        <v>0</v>
      </c>
      <c r="P6012" s="561">
        <v>11192.470000000001</v>
      </c>
    </row>
    <row r="6013" spans="2:16">
      <c r="C6013" s="561" t="s">
        <v>1200</v>
      </c>
      <c r="D6013" s="561">
        <v>0</v>
      </c>
      <c r="M6013" s="561">
        <v>0</v>
      </c>
      <c r="O6013" s="561">
        <v>0</v>
      </c>
      <c r="P6013" s="561">
        <v>0</v>
      </c>
    </row>
    <row r="6014" spans="2:16">
      <c r="B6014" s="561" t="s">
        <v>1750</v>
      </c>
      <c r="C6014" s="561" t="s">
        <v>1196</v>
      </c>
      <c r="D6014" s="561">
        <v>34696.199999999997</v>
      </c>
      <c r="E6014" s="561">
        <v>10444.26</v>
      </c>
      <c r="F6014" s="561">
        <v>24251.94</v>
      </c>
      <c r="G6014" s="561">
        <v>712</v>
      </c>
      <c r="H6014" s="561">
        <v>34964.42</v>
      </c>
      <c r="I6014" s="561">
        <v>3</v>
      </c>
      <c r="J6014" s="561">
        <v>124.6</v>
      </c>
      <c r="K6014" s="561">
        <v>711</v>
      </c>
      <c r="L6014" s="561">
        <v>34696.199999999997</v>
      </c>
      <c r="M6014" s="561">
        <v>34696.199999999997</v>
      </c>
      <c r="N6014" s="561">
        <v>10444.26</v>
      </c>
      <c r="O6014" s="561">
        <v>0</v>
      </c>
      <c r="P6014" s="561">
        <v>24251.939999999995</v>
      </c>
    </row>
    <row r="6015" spans="2:16">
      <c r="C6015" s="561" t="s">
        <v>1197</v>
      </c>
      <c r="D6015" s="561">
        <v>26440</v>
      </c>
      <c r="E6015" s="561">
        <v>6732</v>
      </c>
      <c r="F6015" s="561">
        <v>19708</v>
      </c>
      <c r="G6015" s="561">
        <v>373</v>
      </c>
      <c r="H6015" s="561">
        <v>26261.53</v>
      </c>
      <c r="I6015" s="561">
        <v>3</v>
      </c>
      <c r="J6015" s="561">
        <v>124.6</v>
      </c>
      <c r="K6015" s="561">
        <v>372</v>
      </c>
      <c r="L6015" s="561">
        <v>26105.21</v>
      </c>
      <c r="M6015" s="561">
        <v>26105.21</v>
      </c>
      <c r="N6015" s="561">
        <v>6732</v>
      </c>
      <c r="O6015" s="561">
        <v>0</v>
      </c>
    </row>
    <row r="6016" spans="2:16">
      <c r="C6016" s="561" t="s">
        <v>1198</v>
      </c>
      <c r="D6016" s="561">
        <v>3859.2</v>
      </c>
      <c r="E6016" s="561">
        <v>1012.26</v>
      </c>
      <c r="F6016" s="561">
        <v>2846.94</v>
      </c>
      <c r="G6016" s="561">
        <v>9</v>
      </c>
      <c r="H6016" s="561">
        <v>2821.7</v>
      </c>
      <c r="I6016" s="561">
        <v>0</v>
      </c>
      <c r="J6016" s="561">
        <v>0</v>
      </c>
      <c r="K6016" s="561">
        <v>9</v>
      </c>
      <c r="L6016" s="561">
        <v>2821.7</v>
      </c>
      <c r="M6016" s="561">
        <v>2821.7</v>
      </c>
      <c r="N6016" s="561">
        <v>1012.26</v>
      </c>
      <c r="O6016" s="561">
        <v>0</v>
      </c>
      <c r="P6016" s="561">
        <v>1809.4399999999998</v>
      </c>
    </row>
    <row r="6017" spans="1:111">
      <c r="C6017" s="561" t="s">
        <v>1199</v>
      </c>
      <c r="D6017" s="561">
        <v>4397</v>
      </c>
      <c r="E6017" s="561">
        <v>2700</v>
      </c>
      <c r="F6017" s="561">
        <v>1697</v>
      </c>
      <c r="G6017" s="561">
        <v>330</v>
      </c>
      <c r="H6017" s="561">
        <v>5881.19</v>
      </c>
      <c r="I6017" s="561">
        <v>0</v>
      </c>
      <c r="J6017" s="561">
        <v>0</v>
      </c>
      <c r="K6017" s="561">
        <v>330</v>
      </c>
      <c r="L6017" s="561">
        <v>5769.29</v>
      </c>
      <c r="M6017" s="561">
        <v>5769.29</v>
      </c>
      <c r="N6017" s="561">
        <v>2700</v>
      </c>
      <c r="O6017" s="561">
        <v>0</v>
      </c>
      <c r="P6017" s="561">
        <v>3069.29</v>
      </c>
    </row>
    <row r="6018" spans="1:111">
      <c r="C6018" s="561" t="s">
        <v>1200</v>
      </c>
      <c r="D6018" s="561">
        <v>0</v>
      </c>
      <c r="M6018" s="561">
        <v>0</v>
      </c>
      <c r="O6018" s="561">
        <v>0</v>
      </c>
      <c r="P6018" s="561">
        <v>0</v>
      </c>
    </row>
    <row r="6019" spans="1:111">
      <c r="B6019" s="561" t="s">
        <v>1751</v>
      </c>
      <c r="C6019" s="561" t="s">
        <v>1196</v>
      </c>
      <c r="D6019" s="561">
        <v>15739</v>
      </c>
      <c r="E6019" s="561">
        <v>6822</v>
      </c>
      <c r="F6019" s="561">
        <v>8917</v>
      </c>
      <c r="G6019" s="561">
        <v>663</v>
      </c>
      <c r="H6019" s="561">
        <v>15776.830000000002</v>
      </c>
      <c r="I6019" s="561">
        <v>4</v>
      </c>
      <c r="J6019" s="561">
        <v>37.700000000000003</v>
      </c>
      <c r="K6019" s="561">
        <v>663</v>
      </c>
      <c r="L6019" s="561">
        <v>15739</v>
      </c>
      <c r="M6019" s="561">
        <v>15739</v>
      </c>
      <c r="N6019" s="561">
        <v>6822</v>
      </c>
      <c r="O6019" s="561">
        <v>0</v>
      </c>
      <c r="P6019" s="561">
        <v>8917</v>
      </c>
    </row>
    <row r="6020" spans="1:111">
      <c r="C6020" s="561" t="s">
        <v>1197</v>
      </c>
      <c r="D6020" s="561">
        <v>11800</v>
      </c>
      <c r="E6020" s="561">
        <v>4950</v>
      </c>
      <c r="F6020" s="561">
        <v>6850</v>
      </c>
      <c r="G6020" s="561">
        <v>245</v>
      </c>
      <c r="H6020" s="561">
        <v>11493.03</v>
      </c>
      <c r="I6020" s="561">
        <v>2</v>
      </c>
      <c r="J6020" s="561">
        <v>33.5</v>
      </c>
      <c r="K6020" s="561">
        <v>245</v>
      </c>
      <c r="L6020" s="561">
        <v>11459.25</v>
      </c>
      <c r="M6020" s="561">
        <v>11459.25</v>
      </c>
      <c r="N6020" s="561">
        <v>4681.3</v>
      </c>
      <c r="O6020" s="561">
        <v>0</v>
      </c>
    </row>
    <row r="6021" spans="1:111">
      <c r="C6021" s="561" t="s">
        <v>1198</v>
      </c>
      <c r="M6021" s="561">
        <v>0</v>
      </c>
      <c r="O6021" s="561">
        <v>0</v>
      </c>
      <c r="P6021" s="561">
        <v>0</v>
      </c>
    </row>
    <row r="6022" spans="1:111">
      <c r="C6022" s="561" t="s">
        <v>1199</v>
      </c>
      <c r="D6022" s="561">
        <v>3939</v>
      </c>
      <c r="E6022" s="561">
        <v>1872</v>
      </c>
      <c r="F6022" s="561">
        <v>2067</v>
      </c>
      <c r="G6022" s="561">
        <v>418</v>
      </c>
      <c r="H6022" s="561">
        <v>4283.8</v>
      </c>
      <c r="I6022" s="561">
        <v>2</v>
      </c>
      <c r="J6022" s="561">
        <v>4.2</v>
      </c>
      <c r="K6022" s="561">
        <v>418</v>
      </c>
      <c r="L6022" s="561">
        <v>4279.75</v>
      </c>
      <c r="M6022" s="561">
        <v>4279.75</v>
      </c>
      <c r="N6022" s="561">
        <v>2140.6999999999998</v>
      </c>
      <c r="O6022" s="561">
        <v>0</v>
      </c>
      <c r="P6022" s="561">
        <v>2139.0500000000002</v>
      </c>
    </row>
    <row r="6023" spans="1:111">
      <c r="C6023" s="561" t="s">
        <v>1200</v>
      </c>
      <c r="D6023" s="561">
        <v>0</v>
      </c>
      <c r="M6023" s="561">
        <v>0</v>
      </c>
      <c r="O6023" s="561">
        <v>0</v>
      </c>
      <c r="P6023" s="561">
        <v>0</v>
      </c>
    </row>
    <row r="6024" spans="1:111">
      <c r="B6024" s="561" t="s">
        <v>1752</v>
      </c>
      <c r="C6024" s="561" t="s">
        <v>1196</v>
      </c>
      <c r="D6024" s="561">
        <v>67251</v>
      </c>
      <c r="E6024" s="561">
        <v>16812.599999999999</v>
      </c>
      <c r="F6024" s="561">
        <v>50438.400000000001</v>
      </c>
      <c r="G6024" s="561">
        <v>262</v>
      </c>
      <c r="H6024" s="561">
        <v>67294.73</v>
      </c>
      <c r="I6024" s="561">
        <v>1</v>
      </c>
      <c r="J6024" s="561">
        <v>13.7</v>
      </c>
      <c r="K6024" s="561">
        <v>262</v>
      </c>
      <c r="L6024" s="561">
        <v>67251</v>
      </c>
      <c r="M6024" s="561">
        <v>67251</v>
      </c>
      <c r="N6024" s="561">
        <v>16812.599999999999</v>
      </c>
      <c r="O6024" s="561">
        <v>0</v>
      </c>
      <c r="P6024" s="561">
        <v>50438.400000000001</v>
      </c>
    </row>
    <row r="6025" spans="1:111">
      <c r="C6025" s="561" t="s">
        <v>1197</v>
      </c>
      <c r="M6025" s="561">
        <v>0</v>
      </c>
      <c r="O6025" s="561">
        <v>0</v>
      </c>
      <c r="P6025" s="561">
        <v>0</v>
      </c>
    </row>
    <row r="6026" spans="1:111">
      <c r="C6026" s="561" t="s">
        <v>1198</v>
      </c>
      <c r="M6026" s="561">
        <v>0</v>
      </c>
      <c r="O6026" s="561">
        <v>0</v>
      </c>
      <c r="P6026" s="561">
        <v>0</v>
      </c>
    </row>
    <row r="6027" spans="1:111">
      <c r="C6027" s="561" t="s">
        <v>1199</v>
      </c>
      <c r="D6027" s="561">
        <v>67251</v>
      </c>
      <c r="E6027" s="561">
        <v>16812.599999999999</v>
      </c>
      <c r="F6027" s="561">
        <v>50438.400000000001</v>
      </c>
      <c r="G6027" s="561">
        <v>262</v>
      </c>
      <c r="H6027" s="561">
        <v>67294.73</v>
      </c>
      <c r="I6027" s="561">
        <v>1</v>
      </c>
      <c r="J6027" s="561">
        <v>13.7</v>
      </c>
      <c r="K6027" s="561">
        <v>262</v>
      </c>
      <c r="L6027" s="561">
        <v>67251</v>
      </c>
      <c r="M6027" s="561">
        <v>67251</v>
      </c>
      <c r="N6027" s="561">
        <v>16812.599999999999</v>
      </c>
      <c r="O6027" s="561">
        <v>0</v>
      </c>
      <c r="P6027" s="561">
        <v>50438.400000000001</v>
      </c>
    </row>
    <row r="6028" spans="1:111">
      <c r="C6028" s="561" t="s">
        <v>1200</v>
      </c>
      <c r="D6028" s="561">
        <v>0</v>
      </c>
      <c r="M6028" s="561">
        <v>0</v>
      </c>
      <c r="O6028" s="561">
        <v>0</v>
      </c>
      <c r="P6028" s="561">
        <v>0</v>
      </c>
    </row>
    <row r="6029" spans="1:111">
      <c r="A6029" s="1735" t="s">
        <v>1199</v>
      </c>
      <c r="B6029" s="1735"/>
      <c r="C6029" s="1735"/>
      <c r="D6029" s="1735"/>
      <c r="E6029" s="1735"/>
      <c r="F6029" s="1735"/>
      <c r="G6029" s="1735"/>
      <c r="H6029" s="1735"/>
      <c r="I6029" s="1735"/>
      <c r="J6029" s="1735"/>
      <c r="K6029" s="1735"/>
      <c r="L6029" s="1735"/>
      <c r="M6029" s="1735"/>
      <c r="N6029" s="1735"/>
      <c r="O6029" s="1735"/>
      <c r="P6029" s="1735"/>
      <c r="AL6029" s="561">
        <f>SUM(AL6030:AL6145)</f>
        <v>224229.73</v>
      </c>
      <c r="AM6029" s="561">
        <f t="shared" ref="AM6029:CX6029" si="136">SUM(AM6030:AM6145)</f>
        <v>0</v>
      </c>
      <c r="AN6029" s="561">
        <f t="shared" si="136"/>
        <v>0</v>
      </c>
      <c r="AO6029" s="561">
        <f t="shared" si="136"/>
        <v>0</v>
      </c>
      <c r="AP6029" s="561">
        <f t="shared" si="136"/>
        <v>0</v>
      </c>
      <c r="AQ6029" s="561">
        <f t="shared" si="136"/>
        <v>0</v>
      </c>
      <c r="AR6029" s="561">
        <f t="shared" si="136"/>
        <v>0</v>
      </c>
      <c r="AS6029" s="561">
        <f t="shared" si="136"/>
        <v>0</v>
      </c>
      <c r="AT6029" s="561">
        <f t="shared" si="136"/>
        <v>0</v>
      </c>
      <c r="AU6029" s="561">
        <f t="shared" si="136"/>
        <v>0</v>
      </c>
      <c r="AV6029" s="561">
        <f t="shared" si="136"/>
        <v>0</v>
      </c>
      <c r="AW6029" s="561">
        <f t="shared" si="136"/>
        <v>0</v>
      </c>
      <c r="AX6029" s="561">
        <f t="shared" si="136"/>
        <v>0</v>
      </c>
      <c r="AY6029" s="561">
        <f t="shared" si="136"/>
        <v>15480.579999999998</v>
      </c>
      <c r="AZ6029" s="561">
        <f t="shared" si="136"/>
        <v>0</v>
      </c>
      <c r="BA6029" s="561">
        <f t="shared" si="136"/>
        <v>0</v>
      </c>
      <c r="BB6029" s="561">
        <f t="shared" si="136"/>
        <v>10972.16</v>
      </c>
      <c r="BC6029" s="561">
        <f t="shared" si="136"/>
        <v>0</v>
      </c>
      <c r="BD6029" s="561">
        <f t="shared" si="136"/>
        <v>0</v>
      </c>
      <c r="BE6029" s="561">
        <f t="shared" si="136"/>
        <v>0</v>
      </c>
      <c r="BF6029" s="561">
        <f t="shared" si="136"/>
        <v>0</v>
      </c>
      <c r="BG6029" s="561">
        <f t="shared" si="136"/>
        <v>0</v>
      </c>
      <c r="BH6029" s="561">
        <f t="shared" si="136"/>
        <v>0</v>
      </c>
      <c r="BI6029" s="561">
        <f t="shared" si="136"/>
        <v>0</v>
      </c>
      <c r="BJ6029" s="561">
        <f t="shared" si="136"/>
        <v>0</v>
      </c>
      <c r="BK6029" s="561">
        <f t="shared" si="136"/>
        <v>0</v>
      </c>
      <c r="BL6029" s="561">
        <f t="shared" si="136"/>
        <v>0</v>
      </c>
      <c r="BM6029" s="561">
        <f t="shared" si="136"/>
        <v>0</v>
      </c>
      <c r="BN6029" s="561">
        <f t="shared" si="136"/>
        <v>0</v>
      </c>
      <c r="BO6029" s="561">
        <f t="shared" si="136"/>
        <v>0</v>
      </c>
      <c r="BP6029" s="561">
        <f t="shared" si="136"/>
        <v>0</v>
      </c>
      <c r="BQ6029" s="561">
        <f t="shared" si="136"/>
        <v>0</v>
      </c>
      <c r="BR6029" s="561">
        <f t="shared" si="136"/>
        <v>0</v>
      </c>
      <c r="BS6029" s="561">
        <f t="shared" si="136"/>
        <v>0</v>
      </c>
      <c r="BT6029" s="561">
        <f t="shared" si="136"/>
        <v>0</v>
      </c>
      <c r="BU6029" s="561">
        <f t="shared" si="136"/>
        <v>0</v>
      </c>
      <c r="BV6029" s="561">
        <f t="shared" si="136"/>
        <v>0</v>
      </c>
      <c r="BW6029" s="561">
        <f t="shared" si="136"/>
        <v>0</v>
      </c>
      <c r="BX6029" s="561">
        <f t="shared" si="136"/>
        <v>0</v>
      </c>
      <c r="BY6029" s="561">
        <f t="shared" si="136"/>
        <v>0</v>
      </c>
      <c r="BZ6029" s="561">
        <f t="shared" si="136"/>
        <v>112140.40000000001</v>
      </c>
      <c r="CA6029" s="561">
        <f t="shared" si="136"/>
        <v>0</v>
      </c>
      <c r="CB6029" s="561">
        <f t="shared" si="136"/>
        <v>0</v>
      </c>
      <c r="CC6029" s="561">
        <f t="shared" si="136"/>
        <v>0</v>
      </c>
      <c r="CD6029" s="561">
        <f t="shared" si="136"/>
        <v>0</v>
      </c>
      <c r="CE6029" s="561">
        <f t="shared" si="136"/>
        <v>0</v>
      </c>
      <c r="CF6029" s="561">
        <f t="shared" si="136"/>
        <v>0</v>
      </c>
      <c r="CG6029" s="561">
        <f t="shared" si="136"/>
        <v>0</v>
      </c>
      <c r="CH6029" s="561">
        <f t="shared" si="136"/>
        <v>0</v>
      </c>
      <c r="CI6029" s="561">
        <f t="shared" si="136"/>
        <v>0</v>
      </c>
      <c r="CJ6029" s="561">
        <f t="shared" si="136"/>
        <v>0</v>
      </c>
      <c r="CK6029" s="561">
        <f t="shared" si="136"/>
        <v>0</v>
      </c>
      <c r="CL6029" s="561">
        <f t="shared" si="136"/>
        <v>0</v>
      </c>
      <c r="CM6029" s="561">
        <f t="shared" si="136"/>
        <v>0</v>
      </c>
      <c r="CN6029" s="561">
        <f t="shared" si="136"/>
        <v>0</v>
      </c>
      <c r="CO6029" s="561">
        <f t="shared" si="136"/>
        <v>0</v>
      </c>
      <c r="CP6029" s="561">
        <f t="shared" si="136"/>
        <v>0</v>
      </c>
      <c r="CQ6029" s="561">
        <f t="shared" si="136"/>
        <v>0</v>
      </c>
      <c r="CR6029" s="561">
        <f t="shared" si="136"/>
        <v>0</v>
      </c>
      <c r="CS6029" s="561">
        <f t="shared" si="136"/>
        <v>0</v>
      </c>
      <c r="CT6029" s="561">
        <f t="shared" si="136"/>
        <v>0</v>
      </c>
      <c r="CU6029" s="561">
        <f t="shared" si="136"/>
        <v>0</v>
      </c>
      <c r="CV6029" s="561">
        <f t="shared" si="136"/>
        <v>0</v>
      </c>
      <c r="CW6029" s="561">
        <f t="shared" si="136"/>
        <v>0</v>
      </c>
      <c r="CX6029" s="561">
        <f t="shared" si="136"/>
        <v>0</v>
      </c>
      <c r="CY6029" s="561">
        <f t="shared" ref="CY6029:DG6029" si="137">SUM(CY6030:CY6145)</f>
        <v>0</v>
      </c>
      <c r="CZ6029" s="561">
        <f t="shared" si="137"/>
        <v>0</v>
      </c>
      <c r="DA6029" s="561">
        <f t="shared" si="137"/>
        <v>0</v>
      </c>
      <c r="DB6029" s="561">
        <f t="shared" si="137"/>
        <v>0</v>
      </c>
      <c r="DC6029" s="561">
        <f t="shared" si="137"/>
        <v>0</v>
      </c>
      <c r="DD6029" s="561">
        <f t="shared" si="137"/>
        <v>0</v>
      </c>
      <c r="DE6029" s="561">
        <f t="shared" si="137"/>
        <v>0</v>
      </c>
      <c r="DF6029" s="561">
        <f t="shared" si="137"/>
        <v>0</v>
      </c>
      <c r="DG6029" s="561">
        <f t="shared" si="137"/>
        <v>0</v>
      </c>
    </row>
    <row r="6030" spans="1:111">
      <c r="B6030" s="561" t="s">
        <v>1730</v>
      </c>
      <c r="C6030" s="561" t="s">
        <v>1196</v>
      </c>
      <c r="D6030" s="561">
        <v>1526236.8</v>
      </c>
      <c r="E6030" s="561">
        <v>368417</v>
      </c>
      <c r="F6030" s="561">
        <v>1157819.8</v>
      </c>
      <c r="G6030" s="561">
        <v>16176</v>
      </c>
      <c r="H6030" s="561">
        <v>1571155.54</v>
      </c>
      <c r="I6030" s="561">
        <v>1240</v>
      </c>
      <c r="J6030" s="561">
        <v>74426.59</v>
      </c>
      <c r="K6030" s="561">
        <v>15931</v>
      </c>
      <c r="L6030" s="561">
        <v>1526236.7999999998</v>
      </c>
      <c r="M6030" s="561">
        <v>1526236.7999999998</v>
      </c>
      <c r="N6030" s="561">
        <v>368417</v>
      </c>
      <c r="O6030" s="561">
        <v>0</v>
      </c>
      <c r="P6030" s="561">
        <v>1157819.7999999998</v>
      </c>
    </row>
    <row r="6031" spans="1:111">
      <c r="C6031" s="561" t="s">
        <v>1197</v>
      </c>
      <c r="D6031" s="561">
        <v>1184024.8</v>
      </c>
      <c r="E6031" s="561">
        <v>291985.40000000002</v>
      </c>
      <c r="F6031" s="561">
        <v>892039.4</v>
      </c>
      <c r="G6031" s="561">
        <v>14659</v>
      </c>
      <c r="H6031" s="561">
        <v>1207183.8700000001</v>
      </c>
      <c r="I6031" s="561">
        <v>1213</v>
      </c>
      <c r="J6031" s="561">
        <v>64995.880000000005</v>
      </c>
      <c r="K6031" s="561">
        <v>14420</v>
      </c>
      <c r="L6031" s="561">
        <v>1168395.8999999999</v>
      </c>
      <c r="M6031" s="561">
        <v>1168395.8999999999</v>
      </c>
      <c r="N6031" s="561">
        <v>291985.40000000002</v>
      </c>
      <c r="O6031" s="561">
        <v>0</v>
      </c>
    </row>
    <row r="6032" spans="1:111">
      <c r="C6032" s="561" t="s">
        <v>1198</v>
      </c>
      <c r="D6032" s="561">
        <v>294228</v>
      </c>
      <c r="E6032" s="561">
        <v>68331.600000000006</v>
      </c>
      <c r="F6032" s="561">
        <v>225896.4</v>
      </c>
      <c r="G6032" s="561">
        <v>351</v>
      </c>
      <c r="H6032" s="561">
        <v>311663.33999999997</v>
      </c>
      <c r="I6032" s="561">
        <v>16</v>
      </c>
      <c r="J6032" s="561">
        <v>8993.31</v>
      </c>
      <c r="K6032" s="561">
        <v>347</v>
      </c>
      <c r="L6032" s="561">
        <v>305855.5</v>
      </c>
      <c r="M6032" s="561">
        <v>305855.5</v>
      </c>
      <c r="N6032" s="561">
        <v>68331.600000000006</v>
      </c>
      <c r="O6032" s="561">
        <v>0</v>
      </c>
    </row>
    <row r="6033" spans="2:54">
      <c r="C6033" s="561" t="s">
        <v>1199</v>
      </c>
      <c r="D6033" s="561">
        <v>47984</v>
      </c>
      <c r="E6033" s="561">
        <v>8100</v>
      </c>
      <c r="F6033" s="561">
        <v>39884</v>
      </c>
      <c r="G6033" s="561">
        <v>1166</v>
      </c>
      <c r="H6033" s="561">
        <v>52308.329999999994</v>
      </c>
      <c r="I6033" s="561">
        <v>11</v>
      </c>
      <c r="J6033" s="561">
        <v>437.4</v>
      </c>
      <c r="K6033" s="561">
        <v>1164</v>
      </c>
      <c r="L6033" s="561">
        <v>51985.399999999994</v>
      </c>
      <c r="M6033" s="561">
        <v>51985.399999999994</v>
      </c>
      <c r="N6033" s="561">
        <v>8100</v>
      </c>
      <c r="O6033" s="561">
        <v>0</v>
      </c>
      <c r="AL6033" s="561">
        <v>43885.399999999994</v>
      </c>
    </row>
    <row r="6034" spans="2:54">
      <c r="C6034" s="561" t="s">
        <v>1200</v>
      </c>
      <c r="D6034" s="561">
        <v>0</v>
      </c>
      <c r="M6034" s="561">
        <v>0</v>
      </c>
      <c r="O6034" s="561">
        <v>0</v>
      </c>
      <c r="P6034" s="561">
        <v>0</v>
      </c>
    </row>
    <row r="6035" spans="2:54">
      <c r="B6035" s="561" t="s">
        <v>1731</v>
      </c>
      <c r="C6035" s="561" t="s">
        <v>1196</v>
      </c>
      <c r="D6035" s="561">
        <v>440200</v>
      </c>
      <c r="E6035" s="561">
        <v>131100</v>
      </c>
      <c r="F6035" s="561">
        <v>309100</v>
      </c>
      <c r="G6035" s="561">
        <v>5880</v>
      </c>
      <c r="H6035" s="561">
        <v>458223.56</v>
      </c>
      <c r="I6035" s="561">
        <v>472</v>
      </c>
      <c r="J6035" s="561">
        <v>23065.62</v>
      </c>
      <c r="K6035" s="561">
        <v>5834</v>
      </c>
      <c r="L6035" s="561">
        <v>440200</v>
      </c>
      <c r="M6035" s="561">
        <v>440200</v>
      </c>
      <c r="N6035" s="561">
        <v>131100</v>
      </c>
      <c r="O6035" s="561">
        <v>0</v>
      </c>
      <c r="P6035" s="561">
        <v>309100</v>
      </c>
    </row>
    <row r="6036" spans="2:54">
      <c r="C6036" s="561" t="s">
        <v>1197</v>
      </c>
      <c r="D6036" s="561">
        <v>434000</v>
      </c>
      <c r="E6036" s="561">
        <v>130200</v>
      </c>
      <c r="F6036" s="561">
        <v>303800</v>
      </c>
      <c r="G6036" s="561">
        <v>5618</v>
      </c>
      <c r="H6036" s="561">
        <v>451996.57</v>
      </c>
      <c r="I6036" s="561">
        <v>451</v>
      </c>
      <c r="J6036" s="561">
        <v>22540.52</v>
      </c>
      <c r="K6036" s="561">
        <v>5585</v>
      </c>
      <c r="L6036" s="561">
        <v>434498.9</v>
      </c>
      <c r="M6036" s="561">
        <v>434498.9</v>
      </c>
      <c r="N6036" s="561">
        <v>130200</v>
      </c>
      <c r="O6036" s="561">
        <v>0</v>
      </c>
    </row>
    <row r="6037" spans="2:54">
      <c r="C6037" s="561" t="s">
        <v>1198</v>
      </c>
      <c r="D6037" s="561">
        <v>0</v>
      </c>
      <c r="E6037" s="561">
        <v>0</v>
      </c>
      <c r="G6037" s="561">
        <v>1</v>
      </c>
      <c r="H6037" s="561">
        <v>248.8</v>
      </c>
      <c r="I6037" s="561">
        <v>1</v>
      </c>
      <c r="J6037" s="561">
        <v>248.8</v>
      </c>
      <c r="L6037" s="561">
        <v>0</v>
      </c>
      <c r="M6037" s="561">
        <v>0</v>
      </c>
      <c r="O6037" s="561">
        <v>0</v>
      </c>
      <c r="P6037" s="561">
        <v>0</v>
      </c>
    </row>
    <row r="6038" spans="2:54">
      <c r="C6038" s="561" t="s">
        <v>1199</v>
      </c>
      <c r="D6038" s="561">
        <v>6200</v>
      </c>
      <c r="E6038" s="561">
        <v>900</v>
      </c>
      <c r="F6038" s="561">
        <v>5300</v>
      </c>
      <c r="G6038" s="561">
        <v>261</v>
      </c>
      <c r="H6038" s="561">
        <v>5978.19</v>
      </c>
      <c r="I6038" s="561">
        <v>20</v>
      </c>
      <c r="J6038" s="561">
        <v>276.3</v>
      </c>
      <c r="K6038" s="561">
        <v>249</v>
      </c>
      <c r="L6038" s="561">
        <v>5701.1</v>
      </c>
      <c r="M6038" s="561">
        <v>5701.1</v>
      </c>
      <c r="N6038" s="561">
        <v>900</v>
      </c>
      <c r="O6038" s="561">
        <v>0</v>
      </c>
      <c r="AL6038" s="561">
        <v>4801.1000000000004</v>
      </c>
    </row>
    <row r="6039" spans="2:54">
      <c r="C6039" s="561" t="s">
        <v>1200</v>
      </c>
      <c r="D6039" s="561">
        <v>0</v>
      </c>
      <c r="L6039" s="561">
        <v>0</v>
      </c>
      <c r="M6039" s="561">
        <v>0</v>
      </c>
      <c r="O6039" s="561">
        <v>0</v>
      </c>
      <c r="P6039" s="561">
        <v>0</v>
      </c>
    </row>
    <row r="6040" spans="2:54">
      <c r="B6040" s="561" t="s">
        <v>1732</v>
      </c>
      <c r="C6040" s="561" t="s">
        <v>1196</v>
      </c>
      <c r="D6040" s="561">
        <v>922990.6</v>
      </c>
      <c r="E6040" s="561">
        <v>234906</v>
      </c>
      <c r="F6040" s="561">
        <v>688084.6</v>
      </c>
      <c r="G6040" s="561">
        <v>13671</v>
      </c>
      <c r="H6040" s="561">
        <v>950198.94</v>
      </c>
      <c r="I6040" s="561">
        <v>773</v>
      </c>
      <c r="J6040" s="561">
        <v>30064.399999999998</v>
      </c>
      <c r="K6040" s="561">
        <v>13651</v>
      </c>
      <c r="L6040" s="561">
        <v>922990.60000000009</v>
      </c>
      <c r="M6040" s="561">
        <v>922990.60000000009</v>
      </c>
      <c r="N6040" s="561">
        <v>234906</v>
      </c>
      <c r="O6040" s="561">
        <v>0</v>
      </c>
      <c r="P6040" s="561">
        <v>688084.60000000009</v>
      </c>
    </row>
    <row r="6041" spans="2:54">
      <c r="C6041" s="561" t="s">
        <v>1197</v>
      </c>
      <c r="D6041" s="561">
        <v>875366.5</v>
      </c>
      <c r="E6041" s="561">
        <v>231270</v>
      </c>
      <c r="F6041" s="561">
        <v>644096.5</v>
      </c>
      <c r="G6041" s="561">
        <v>12796</v>
      </c>
      <c r="H6041" s="561">
        <v>901655.27</v>
      </c>
      <c r="I6041" s="561">
        <v>761</v>
      </c>
      <c r="J6041" s="561">
        <v>28753.8</v>
      </c>
      <c r="K6041" s="561">
        <v>12776</v>
      </c>
      <c r="L6041" s="561">
        <v>875762.64</v>
      </c>
      <c r="M6041" s="561">
        <v>875762.64</v>
      </c>
      <c r="N6041" s="561">
        <v>231270</v>
      </c>
      <c r="O6041" s="561">
        <v>0</v>
      </c>
    </row>
    <row r="6042" spans="2:54">
      <c r="C6042" s="561" t="s">
        <v>1198</v>
      </c>
      <c r="D6042" s="561">
        <v>32330</v>
      </c>
      <c r="E6042" s="561">
        <v>2880</v>
      </c>
      <c r="F6042" s="561">
        <v>29450</v>
      </c>
      <c r="G6042" s="561">
        <v>103</v>
      </c>
      <c r="H6042" s="561">
        <v>31896.22</v>
      </c>
      <c r="I6042" s="561">
        <v>0</v>
      </c>
      <c r="J6042" s="561">
        <v>0</v>
      </c>
      <c r="K6042" s="561">
        <v>103</v>
      </c>
      <c r="L6042" s="561">
        <v>31896.3</v>
      </c>
      <c r="M6042" s="561">
        <v>31896.3</v>
      </c>
      <c r="N6042" s="561">
        <v>2880</v>
      </c>
      <c r="O6042" s="561">
        <v>0</v>
      </c>
    </row>
    <row r="6043" spans="2:54">
      <c r="C6043" s="561" t="s">
        <v>1199</v>
      </c>
      <c r="D6043" s="561">
        <v>9115</v>
      </c>
      <c r="E6043" s="561">
        <v>756</v>
      </c>
      <c r="F6043" s="561">
        <v>8359</v>
      </c>
      <c r="G6043" s="561">
        <v>772</v>
      </c>
      <c r="H6043" s="561">
        <v>9220.35</v>
      </c>
      <c r="I6043" s="561">
        <v>12</v>
      </c>
      <c r="J6043" s="561">
        <v>62.599999999999994</v>
      </c>
      <c r="K6043" s="561">
        <v>772</v>
      </c>
      <c r="L6043" s="561">
        <v>9152.56</v>
      </c>
      <c r="M6043" s="561">
        <v>9152.56</v>
      </c>
      <c r="N6043" s="561">
        <v>756</v>
      </c>
      <c r="O6043" s="561">
        <v>0</v>
      </c>
      <c r="BB6043" s="561">
        <v>8396.56</v>
      </c>
    </row>
    <row r="6044" spans="2:54">
      <c r="C6044" s="561" t="s">
        <v>1202</v>
      </c>
      <c r="D6044" s="561">
        <v>6179.1</v>
      </c>
      <c r="E6044" s="561">
        <v>0</v>
      </c>
      <c r="F6044" s="561">
        <v>6179.1</v>
      </c>
      <c r="H6044" s="561">
        <v>7427.1</v>
      </c>
      <c r="J6044" s="561">
        <v>1248</v>
      </c>
      <c r="L6044" s="561">
        <v>6179.1</v>
      </c>
      <c r="M6044" s="561">
        <v>6179.1</v>
      </c>
      <c r="P6044" s="561">
        <v>6179.1</v>
      </c>
    </row>
    <row r="6045" spans="2:54">
      <c r="C6045" s="561" t="s">
        <v>1200</v>
      </c>
      <c r="D6045" s="561">
        <v>0</v>
      </c>
      <c r="L6045" s="561">
        <v>0</v>
      </c>
      <c r="M6045" s="561">
        <v>0</v>
      </c>
      <c r="O6045" s="561">
        <v>0</v>
      </c>
      <c r="P6045" s="561">
        <v>0</v>
      </c>
    </row>
    <row r="6046" spans="2:54">
      <c r="B6046" s="561" t="s">
        <v>1733</v>
      </c>
      <c r="C6046" s="561" t="s">
        <v>1196</v>
      </c>
      <c r="D6046" s="561">
        <v>56762</v>
      </c>
      <c r="E6046" s="561">
        <v>15831</v>
      </c>
      <c r="F6046" s="561">
        <v>40931</v>
      </c>
      <c r="G6046" s="561">
        <v>2246</v>
      </c>
      <c r="H6046" s="561">
        <v>56936.62</v>
      </c>
      <c r="I6046" s="561">
        <v>11</v>
      </c>
      <c r="J6046" s="561">
        <v>139.29999999999998</v>
      </c>
      <c r="K6046" s="561">
        <v>2246</v>
      </c>
      <c r="L6046" s="561">
        <v>56762</v>
      </c>
      <c r="M6046" s="561">
        <v>56762</v>
      </c>
      <c r="N6046" s="561">
        <v>15831</v>
      </c>
      <c r="O6046" s="561">
        <v>0</v>
      </c>
      <c r="P6046" s="561">
        <v>40931</v>
      </c>
    </row>
    <row r="6047" spans="2:54">
      <c r="C6047" s="561" t="s">
        <v>1197</v>
      </c>
      <c r="D6047" s="561">
        <v>35770</v>
      </c>
      <c r="E6047" s="561">
        <v>10731</v>
      </c>
      <c r="F6047" s="561">
        <v>25039</v>
      </c>
      <c r="G6047" s="561">
        <v>567</v>
      </c>
      <c r="H6047" s="561">
        <v>36339.54</v>
      </c>
      <c r="I6047" s="561">
        <v>7</v>
      </c>
      <c r="J6047" s="561">
        <v>134.69999999999999</v>
      </c>
      <c r="K6047" s="561">
        <v>567</v>
      </c>
      <c r="L6047" s="561">
        <v>36181.42</v>
      </c>
      <c r="M6047" s="561">
        <v>36181.42</v>
      </c>
      <c r="N6047" s="561">
        <v>10731</v>
      </c>
      <c r="O6047" s="561">
        <v>0</v>
      </c>
    </row>
    <row r="6048" spans="2:54">
      <c r="C6048" s="561" t="s">
        <v>1198</v>
      </c>
      <c r="M6048" s="561">
        <v>0</v>
      </c>
      <c r="N6048" s="561">
        <v>0</v>
      </c>
      <c r="O6048" s="561">
        <v>0</v>
      </c>
      <c r="P6048" s="561">
        <v>0</v>
      </c>
    </row>
    <row r="6049" spans="2:78">
      <c r="C6049" s="561" t="s">
        <v>1199</v>
      </c>
      <c r="D6049" s="561">
        <v>20992</v>
      </c>
      <c r="E6049" s="561">
        <v>5100</v>
      </c>
      <c r="F6049" s="561">
        <v>15892</v>
      </c>
      <c r="G6049" s="561">
        <v>1679</v>
      </c>
      <c r="H6049" s="561">
        <v>20597.080000000002</v>
      </c>
      <c r="I6049" s="561">
        <v>4</v>
      </c>
      <c r="J6049" s="561">
        <v>4.5999999999999996</v>
      </c>
      <c r="K6049" s="561">
        <v>1679</v>
      </c>
      <c r="L6049" s="561">
        <v>20580.579999999998</v>
      </c>
      <c r="M6049" s="561">
        <v>20580.579999999998</v>
      </c>
      <c r="N6049" s="561">
        <v>5100</v>
      </c>
      <c r="O6049" s="561">
        <v>0</v>
      </c>
      <c r="AY6049" s="561">
        <v>15480.579999999998</v>
      </c>
    </row>
    <row r="6050" spans="2:78">
      <c r="C6050" s="561" t="s">
        <v>1200</v>
      </c>
      <c r="D6050" s="561">
        <v>0</v>
      </c>
      <c r="M6050" s="561">
        <v>0</v>
      </c>
      <c r="O6050" s="561">
        <v>0</v>
      </c>
      <c r="P6050" s="561">
        <v>0</v>
      </c>
    </row>
    <row r="6051" spans="2:78">
      <c r="B6051" s="561" t="s">
        <v>1734</v>
      </c>
      <c r="C6051" s="561" t="s">
        <v>1196</v>
      </c>
      <c r="D6051" s="561">
        <v>244830</v>
      </c>
      <c r="E6051" s="561">
        <v>90750</v>
      </c>
      <c r="F6051" s="561">
        <v>154080</v>
      </c>
      <c r="G6051" s="561">
        <v>4643</v>
      </c>
      <c r="H6051" s="561">
        <v>246918.53</v>
      </c>
      <c r="I6051" s="561">
        <v>135</v>
      </c>
      <c r="J6051" s="561">
        <v>1687.61</v>
      </c>
      <c r="K6051" s="561">
        <v>4635</v>
      </c>
      <c r="L6051" s="561">
        <v>244830</v>
      </c>
      <c r="M6051" s="561">
        <v>244830</v>
      </c>
      <c r="N6051" s="561">
        <v>90750</v>
      </c>
      <c r="O6051" s="561">
        <v>0</v>
      </c>
      <c r="P6051" s="561">
        <v>154080</v>
      </c>
    </row>
    <row r="6052" spans="2:78">
      <c r="C6052" s="561" t="s">
        <v>1197</v>
      </c>
      <c r="D6052" s="561">
        <v>242000</v>
      </c>
      <c r="E6052" s="561">
        <v>90000</v>
      </c>
      <c r="F6052" s="561">
        <v>152000</v>
      </c>
      <c r="G6052" s="561">
        <v>4383</v>
      </c>
      <c r="H6052" s="561">
        <v>243536.52</v>
      </c>
      <c r="I6052" s="561">
        <v>134</v>
      </c>
      <c r="J6052" s="561">
        <v>1683.11</v>
      </c>
      <c r="K6052" s="561">
        <v>4375</v>
      </c>
      <c r="L6052" s="561">
        <v>241461.1</v>
      </c>
      <c r="M6052" s="561">
        <v>241461.1</v>
      </c>
      <c r="N6052" s="561">
        <v>90000</v>
      </c>
      <c r="O6052" s="561">
        <v>0</v>
      </c>
    </row>
    <row r="6053" spans="2:78">
      <c r="C6053" s="561" t="s">
        <v>1198</v>
      </c>
      <c r="H6053" s="561">
        <v>0</v>
      </c>
      <c r="L6053" s="561">
        <v>0</v>
      </c>
      <c r="M6053" s="561">
        <v>0</v>
      </c>
      <c r="O6053" s="561">
        <v>0</v>
      </c>
      <c r="P6053" s="561">
        <v>0</v>
      </c>
    </row>
    <row r="6054" spans="2:78">
      <c r="C6054" s="561" t="s">
        <v>1199</v>
      </c>
      <c r="D6054" s="561">
        <v>2830</v>
      </c>
      <c r="E6054" s="561">
        <v>750</v>
      </c>
      <c r="F6054" s="561">
        <v>2080</v>
      </c>
      <c r="G6054" s="561">
        <v>260</v>
      </c>
      <c r="H6054" s="561">
        <v>3382.01</v>
      </c>
      <c r="I6054" s="561">
        <v>1</v>
      </c>
      <c r="J6054" s="561">
        <v>4.5</v>
      </c>
      <c r="K6054" s="561">
        <v>260</v>
      </c>
      <c r="L6054" s="561">
        <v>3368.9</v>
      </c>
      <c r="M6054" s="561">
        <v>3368.9</v>
      </c>
      <c r="N6054" s="561">
        <v>750</v>
      </c>
      <c r="O6054" s="561">
        <v>0</v>
      </c>
      <c r="BB6054" s="561">
        <v>2618.9</v>
      </c>
    </row>
    <row r="6055" spans="2:78">
      <c r="C6055" s="561" t="s">
        <v>1200</v>
      </c>
      <c r="D6055" s="561">
        <v>0</v>
      </c>
      <c r="M6055" s="561">
        <v>0</v>
      </c>
      <c r="O6055" s="561">
        <v>0</v>
      </c>
      <c r="P6055" s="561">
        <v>0</v>
      </c>
    </row>
    <row r="6056" spans="2:78">
      <c r="B6056" s="561" t="s">
        <v>1735</v>
      </c>
      <c r="C6056" s="561" t="s">
        <v>1196</v>
      </c>
      <c r="D6056" s="561">
        <v>39626</v>
      </c>
      <c r="E6056" s="561">
        <v>11040</v>
      </c>
      <c r="F6056" s="561">
        <v>28586</v>
      </c>
      <c r="G6056" s="561">
        <v>2703</v>
      </c>
      <c r="H6056" s="561">
        <v>40197.29</v>
      </c>
      <c r="I6056" s="561">
        <v>7</v>
      </c>
      <c r="J6056" s="561">
        <v>63.2</v>
      </c>
      <c r="K6056" s="561">
        <v>2702</v>
      </c>
      <c r="L6056" s="561">
        <v>39626.000000000007</v>
      </c>
      <c r="M6056" s="561">
        <v>39626.000000000007</v>
      </c>
      <c r="N6056" s="561">
        <v>11040</v>
      </c>
      <c r="O6056" s="561">
        <v>0</v>
      </c>
      <c r="P6056" s="561">
        <v>28586.000000000007</v>
      </c>
    </row>
    <row r="6057" spans="2:78">
      <c r="C6057" s="561" t="s">
        <v>1197</v>
      </c>
      <c r="M6057" s="561">
        <v>0</v>
      </c>
      <c r="O6057" s="561">
        <v>0</v>
      </c>
      <c r="P6057" s="561">
        <v>0</v>
      </c>
    </row>
    <row r="6058" spans="2:78">
      <c r="C6058" s="561" t="s">
        <v>1198</v>
      </c>
      <c r="M6058" s="561">
        <v>0</v>
      </c>
      <c r="O6058" s="561">
        <v>0</v>
      </c>
      <c r="P6058" s="561">
        <v>0</v>
      </c>
    </row>
    <row r="6059" spans="2:78">
      <c r="C6059" s="561" t="s">
        <v>1199</v>
      </c>
      <c r="D6059" s="561">
        <v>39626</v>
      </c>
      <c r="E6059" s="561">
        <v>11040</v>
      </c>
      <c r="F6059" s="561">
        <v>28586</v>
      </c>
      <c r="G6059" s="561">
        <v>2703</v>
      </c>
      <c r="H6059" s="561">
        <v>40197.29</v>
      </c>
      <c r="I6059" s="561">
        <v>7</v>
      </c>
      <c r="J6059" s="561">
        <v>63.2</v>
      </c>
      <c r="K6059" s="561">
        <v>2702</v>
      </c>
      <c r="L6059" s="561">
        <v>39626.000000000007</v>
      </c>
      <c r="M6059" s="561">
        <v>39626.000000000007</v>
      </c>
      <c r="N6059" s="561">
        <v>11040</v>
      </c>
      <c r="O6059" s="561">
        <v>0</v>
      </c>
      <c r="BZ6059" s="561">
        <v>28586.000000000007</v>
      </c>
    </row>
    <row r="6060" spans="2:78">
      <c r="C6060" s="561" t="s">
        <v>1200</v>
      </c>
      <c r="D6060" s="561">
        <v>0</v>
      </c>
      <c r="M6060" s="561">
        <v>0</v>
      </c>
      <c r="O6060" s="561">
        <v>0</v>
      </c>
      <c r="P6060" s="561">
        <v>0</v>
      </c>
    </row>
    <row r="6061" spans="2:78">
      <c r="B6061" s="561" t="s">
        <v>1736</v>
      </c>
      <c r="C6061" s="561" t="s">
        <v>1196</v>
      </c>
      <c r="D6061" s="561">
        <v>43869</v>
      </c>
      <c r="E6061" s="561">
        <v>11667.9</v>
      </c>
      <c r="F6061" s="561">
        <v>32201.1</v>
      </c>
      <c r="G6061" s="561">
        <v>3020</v>
      </c>
      <c r="H6061" s="561">
        <v>44106.26</v>
      </c>
      <c r="I6061" s="561">
        <v>19</v>
      </c>
      <c r="J6061" s="561">
        <v>163</v>
      </c>
      <c r="K6061" s="561">
        <v>3012</v>
      </c>
      <c r="L6061" s="561">
        <v>43869</v>
      </c>
      <c r="M6061" s="561">
        <v>43869</v>
      </c>
      <c r="N6061" s="561">
        <v>11667.9</v>
      </c>
      <c r="O6061" s="561">
        <v>0</v>
      </c>
      <c r="P6061" s="561">
        <v>32201.1</v>
      </c>
    </row>
    <row r="6062" spans="2:78">
      <c r="C6062" s="561" t="s">
        <v>1197</v>
      </c>
      <c r="M6062" s="561">
        <v>0</v>
      </c>
      <c r="O6062" s="561">
        <v>0</v>
      </c>
      <c r="P6062" s="561">
        <v>0</v>
      </c>
    </row>
    <row r="6063" spans="2:78">
      <c r="C6063" s="561" t="s">
        <v>1198</v>
      </c>
      <c r="M6063" s="561">
        <v>0</v>
      </c>
      <c r="O6063" s="561">
        <v>0</v>
      </c>
      <c r="P6063" s="561">
        <v>0</v>
      </c>
    </row>
    <row r="6064" spans="2:78">
      <c r="C6064" s="561" t="s">
        <v>1199</v>
      </c>
      <c r="D6064" s="561">
        <v>43869</v>
      </c>
      <c r="E6064" s="561">
        <v>11667.9</v>
      </c>
      <c r="F6064" s="561">
        <v>32201.1</v>
      </c>
      <c r="G6064" s="561">
        <v>3020</v>
      </c>
      <c r="H6064" s="561">
        <v>44106.26</v>
      </c>
      <c r="I6064" s="561">
        <v>19</v>
      </c>
      <c r="J6064" s="561">
        <v>163</v>
      </c>
      <c r="K6064" s="561">
        <v>3012</v>
      </c>
      <c r="L6064" s="561">
        <v>43869</v>
      </c>
      <c r="M6064" s="561">
        <v>43869</v>
      </c>
      <c r="N6064" s="561">
        <v>11667.9</v>
      </c>
      <c r="O6064" s="561">
        <v>0</v>
      </c>
      <c r="P6064" s="561">
        <v>32201.1</v>
      </c>
    </row>
    <row r="6065" spans="2:78">
      <c r="C6065" s="561" t="s">
        <v>1200</v>
      </c>
      <c r="D6065" s="561">
        <v>0</v>
      </c>
      <c r="M6065" s="561">
        <v>0</v>
      </c>
      <c r="O6065" s="561">
        <v>0</v>
      </c>
      <c r="P6065" s="561">
        <v>0</v>
      </c>
    </row>
    <row r="6066" spans="2:78">
      <c r="B6066" s="561" t="s">
        <v>1737</v>
      </c>
      <c r="C6066" s="561" t="s">
        <v>1196</v>
      </c>
      <c r="D6066" s="561">
        <v>11992</v>
      </c>
      <c r="E6066" s="561">
        <v>4590</v>
      </c>
      <c r="F6066" s="561">
        <v>7402</v>
      </c>
      <c r="G6066" s="561">
        <v>1092</v>
      </c>
      <c r="H6066" s="561">
        <v>12022.7</v>
      </c>
      <c r="I6066" s="561">
        <v>17</v>
      </c>
      <c r="J6066" s="561">
        <v>1577.4</v>
      </c>
      <c r="K6066" s="561">
        <v>1091</v>
      </c>
      <c r="L6066" s="561">
        <v>11992</v>
      </c>
      <c r="M6066" s="561">
        <v>11992</v>
      </c>
      <c r="N6066" s="561">
        <v>4590</v>
      </c>
      <c r="O6066" s="561">
        <v>0</v>
      </c>
      <c r="P6066" s="561">
        <v>7402</v>
      </c>
    </row>
    <row r="6067" spans="2:78">
      <c r="C6067" s="561" t="s">
        <v>1197</v>
      </c>
      <c r="M6067" s="561">
        <v>0</v>
      </c>
      <c r="O6067" s="561">
        <v>0</v>
      </c>
      <c r="P6067" s="561">
        <v>0</v>
      </c>
    </row>
    <row r="6068" spans="2:78">
      <c r="C6068" s="561" t="s">
        <v>1198</v>
      </c>
      <c r="M6068" s="561">
        <v>0</v>
      </c>
      <c r="O6068" s="561">
        <v>0</v>
      </c>
      <c r="P6068" s="561">
        <v>0</v>
      </c>
    </row>
    <row r="6069" spans="2:78">
      <c r="C6069" s="561" t="s">
        <v>1199</v>
      </c>
      <c r="D6069" s="561">
        <v>11992</v>
      </c>
      <c r="E6069" s="561">
        <v>4590</v>
      </c>
      <c r="F6069" s="561">
        <v>7402</v>
      </c>
      <c r="G6069" s="561">
        <v>1092</v>
      </c>
      <c r="H6069" s="561">
        <v>12022.7</v>
      </c>
      <c r="I6069" s="561">
        <v>17</v>
      </c>
      <c r="J6069" s="561">
        <v>1577.4</v>
      </c>
      <c r="K6069" s="561">
        <v>1091</v>
      </c>
      <c r="L6069" s="561">
        <v>11992</v>
      </c>
      <c r="M6069" s="561">
        <v>11992</v>
      </c>
      <c r="N6069" s="561">
        <v>4590</v>
      </c>
      <c r="O6069" s="561">
        <v>0</v>
      </c>
      <c r="BZ6069" s="561">
        <v>7402</v>
      </c>
    </row>
    <row r="6070" spans="2:78">
      <c r="C6070" s="561" t="s">
        <v>1200</v>
      </c>
      <c r="D6070" s="561">
        <v>0</v>
      </c>
      <c r="M6070" s="561">
        <v>0</v>
      </c>
      <c r="O6070" s="561">
        <v>0</v>
      </c>
      <c r="P6070" s="561">
        <v>0</v>
      </c>
    </row>
    <row r="6071" spans="2:78">
      <c r="B6071" s="561" t="s">
        <v>1738</v>
      </c>
      <c r="C6071" s="561" t="s">
        <v>1196</v>
      </c>
      <c r="D6071" s="561">
        <v>268035</v>
      </c>
      <c r="E6071" s="561">
        <v>88110</v>
      </c>
      <c r="F6071" s="561">
        <v>179925</v>
      </c>
      <c r="G6071" s="561">
        <v>5105</v>
      </c>
      <c r="H6071" s="561">
        <v>267909.56999999995</v>
      </c>
      <c r="I6071" s="561">
        <v>351</v>
      </c>
      <c r="J6071" s="561">
        <v>1910.24</v>
      </c>
      <c r="K6071" s="561">
        <v>5116</v>
      </c>
      <c r="L6071" s="561">
        <v>268035</v>
      </c>
      <c r="M6071" s="561">
        <v>268035</v>
      </c>
      <c r="N6071" s="561">
        <v>88110</v>
      </c>
      <c r="O6071" s="561">
        <v>0</v>
      </c>
      <c r="P6071" s="561">
        <v>179925</v>
      </c>
    </row>
    <row r="6072" spans="2:78">
      <c r="C6072" s="561" t="s">
        <v>1197</v>
      </c>
      <c r="D6072" s="561">
        <v>267375</v>
      </c>
      <c r="E6072" s="561">
        <v>87450</v>
      </c>
      <c r="F6072" s="561">
        <v>179925</v>
      </c>
      <c r="G6072" s="561">
        <v>5062</v>
      </c>
      <c r="H6072" s="561">
        <v>267013.84999999998</v>
      </c>
      <c r="I6072" s="561">
        <v>351</v>
      </c>
      <c r="J6072" s="561">
        <v>1910.24</v>
      </c>
      <c r="K6072" s="561">
        <v>5074</v>
      </c>
      <c r="L6072" s="561">
        <v>267418.3</v>
      </c>
      <c r="M6072" s="561">
        <v>267418.3</v>
      </c>
      <c r="N6072" s="561">
        <v>87450</v>
      </c>
      <c r="O6072" s="561">
        <v>0</v>
      </c>
    </row>
    <row r="6073" spans="2:78">
      <c r="C6073" s="561" t="s">
        <v>1198</v>
      </c>
      <c r="M6073" s="561">
        <v>0</v>
      </c>
      <c r="O6073" s="561">
        <v>0</v>
      </c>
      <c r="P6073" s="561">
        <v>0</v>
      </c>
    </row>
    <row r="6074" spans="2:78">
      <c r="C6074" s="561" t="s">
        <v>1199</v>
      </c>
      <c r="D6074" s="561">
        <v>660</v>
      </c>
      <c r="E6074" s="561">
        <v>660</v>
      </c>
      <c r="F6074" s="561">
        <v>0</v>
      </c>
      <c r="G6074" s="561">
        <v>43</v>
      </c>
      <c r="H6074" s="561">
        <v>895.72</v>
      </c>
      <c r="I6074" s="561">
        <v>0</v>
      </c>
      <c r="J6074" s="561">
        <v>0</v>
      </c>
      <c r="K6074" s="561">
        <v>42</v>
      </c>
      <c r="L6074" s="561">
        <v>616.70000000000005</v>
      </c>
      <c r="M6074" s="561">
        <v>616.70000000000005</v>
      </c>
      <c r="N6074" s="561">
        <v>660</v>
      </c>
      <c r="O6074" s="561">
        <v>0</v>
      </c>
      <c r="BB6074" s="561">
        <v>-43.299999999999955</v>
      </c>
    </row>
    <row r="6075" spans="2:78">
      <c r="C6075" s="561" t="s">
        <v>1200</v>
      </c>
      <c r="D6075" s="561">
        <v>0</v>
      </c>
      <c r="M6075" s="561">
        <v>0</v>
      </c>
      <c r="O6075" s="561">
        <v>0</v>
      </c>
      <c r="P6075" s="561">
        <v>0</v>
      </c>
    </row>
    <row r="6076" spans="2:78">
      <c r="B6076" s="561" t="s">
        <v>1739</v>
      </c>
      <c r="C6076" s="561" t="s">
        <v>1196</v>
      </c>
      <c r="D6076" s="561">
        <v>32366</v>
      </c>
      <c r="E6076" s="561">
        <v>9750</v>
      </c>
      <c r="F6076" s="561">
        <v>22616</v>
      </c>
      <c r="G6076" s="561">
        <v>2533</v>
      </c>
      <c r="H6076" s="561">
        <v>34178.9</v>
      </c>
      <c r="I6076" s="561">
        <v>126</v>
      </c>
      <c r="J6076" s="561">
        <v>1099.3499999999999</v>
      </c>
      <c r="K6076" s="561">
        <v>2477</v>
      </c>
      <c r="L6076" s="561">
        <v>32366</v>
      </c>
      <c r="M6076" s="561">
        <v>32366</v>
      </c>
      <c r="N6076" s="561">
        <v>9750</v>
      </c>
      <c r="O6076" s="561">
        <v>0</v>
      </c>
      <c r="P6076" s="561">
        <v>22616</v>
      </c>
    </row>
    <row r="6077" spans="2:78">
      <c r="C6077" s="561" t="s">
        <v>1197</v>
      </c>
      <c r="M6077" s="561">
        <v>0</v>
      </c>
      <c r="O6077" s="561">
        <v>0</v>
      </c>
      <c r="P6077" s="561">
        <v>0</v>
      </c>
    </row>
    <row r="6078" spans="2:78">
      <c r="C6078" s="561" t="s">
        <v>1198</v>
      </c>
      <c r="M6078" s="561">
        <v>0</v>
      </c>
      <c r="O6078" s="561">
        <v>0</v>
      </c>
      <c r="P6078" s="561">
        <v>0</v>
      </c>
    </row>
    <row r="6079" spans="2:78">
      <c r="C6079" s="561" t="s">
        <v>1199</v>
      </c>
      <c r="D6079" s="561">
        <v>32366</v>
      </c>
      <c r="E6079" s="561">
        <v>9750</v>
      </c>
      <c r="F6079" s="561">
        <v>22616</v>
      </c>
      <c r="G6079" s="561">
        <v>2533</v>
      </c>
      <c r="H6079" s="561">
        <v>34178.9</v>
      </c>
      <c r="I6079" s="561">
        <v>126</v>
      </c>
      <c r="J6079" s="561">
        <v>1099.3499999999999</v>
      </c>
      <c r="K6079" s="561">
        <v>2477</v>
      </c>
      <c r="L6079" s="561">
        <v>32366</v>
      </c>
      <c r="M6079" s="561">
        <v>32366</v>
      </c>
      <c r="N6079" s="561">
        <v>9750</v>
      </c>
      <c r="O6079" s="561">
        <v>0</v>
      </c>
      <c r="BZ6079" s="561">
        <v>22616</v>
      </c>
    </row>
    <row r="6080" spans="2:78">
      <c r="C6080" s="561" t="s">
        <v>1200</v>
      </c>
      <c r="D6080" s="561">
        <v>0</v>
      </c>
      <c r="M6080" s="561">
        <v>0</v>
      </c>
      <c r="O6080" s="561">
        <v>0</v>
      </c>
      <c r="P6080" s="561">
        <v>0</v>
      </c>
    </row>
    <row r="6081" spans="2:78">
      <c r="B6081" s="561" t="s">
        <v>1740</v>
      </c>
      <c r="C6081" s="561" t="s">
        <v>1196</v>
      </c>
      <c r="D6081" s="561">
        <v>22601</v>
      </c>
      <c r="E6081" s="561">
        <v>6900</v>
      </c>
      <c r="F6081" s="561">
        <v>15701</v>
      </c>
      <c r="G6081" s="561">
        <v>2110</v>
      </c>
      <c r="H6081" s="561">
        <v>23738.6</v>
      </c>
      <c r="I6081" s="561">
        <v>53</v>
      </c>
      <c r="J6081" s="561">
        <v>316.58999999999997</v>
      </c>
      <c r="K6081" s="561">
        <v>2092</v>
      </c>
      <c r="L6081" s="561">
        <v>22601</v>
      </c>
      <c r="M6081" s="561">
        <v>22601</v>
      </c>
      <c r="N6081" s="561">
        <v>6900</v>
      </c>
      <c r="O6081" s="561">
        <v>0</v>
      </c>
      <c r="P6081" s="561">
        <v>15701</v>
      </c>
    </row>
    <row r="6082" spans="2:78">
      <c r="C6082" s="561" t="s">
        <v>1197</v>
      </c>
      <c r="M6082" s="561">
        <v>0</v>
      </c>
      <c r="O6082" s="561">
        <v>0</v>
      </c>
      <c r="P6082" s="561">
        <v>0</v>
      </c>
    </row>
    <row r="6083" spans="2:78">
      <c r="C6083" s="561" t="s">
        <v>1198</v>
      </c>
      <c r="M6083" s="561">
        <v>0</v>
      </c>
      <c r="O6083" s="561">
        <v>0</v>
      </c>
      <c r="P6083" s="561">
        <v>0</v>
      </c>
    </row>
    <row r="6084" spans="2:78">
      <c r="C6084" s="561" t="s">
        <v>1199</v>
      </c>
      <c r="D6084" s="561">
        <v>22601</v>
      </c>
      <c r="E6084" s="561">
        <v>6900</v>
      </c>
      <c r="F6084" s="561">
        <v>15701</v>
      </c>
      <c r="G6084" s="561">
        <v>2110</v>
      </c>
      <c r="H6084" s="561">
        <v>23738.6</v>
      </c>
      <c r="I6084" s="561">
        <v>53</v>
      </c>
      <c r="J6084" s="561">
        <v>316.58999999999997</v>
      </c>
      <c r="K6084" s="561">
        <v>2092</v>
      </c>
      <c r="L6084" s="561">
        <v>22601</v>
      </c>
      <c r="M6084" s="561">
        <v>22601</v>
      </c>
      <c r="N6084" s="561">
        <v>6900</v>
      </c>
      <c r="O6084" s="561">
        <v>0</v>
      </c>
      <c r="BZ6084" s="561">
        <v>15701</v>
      </c>
    </row>
    <row r="6085" spans="2:78">
      <c r="C6085" s="561" t="s">
        <v>1200</v>
      </c>
      <c r="D6085" s="561">
        <v>0</v>
      </c>
      <c r="M6085" s="561">
        <v>0</v>
      </c>
      <c r="O6085" s="561">
        <v>0</v>
      </c>
      <c r="P6085" s="561">
        <v>0</v>
      </c>
    </row>
    <row r="6086" spans="2:78">
      <c r="B6086" s="561" t="s">
        <v>1741</v>
      </c>
      <c r="C6086" s="561" t="s">
        <v>1196</v>
      </c>
      <c r="D6086" s="561">
        <v>510870</v>
      </c>
      <c r="E6086" s="561">
        <v>147150</v>
      </c>
      <c r="F6086" s="561">
        <v>363720</v>
      </c>
      <c r="G6086" s="561">
        <v>8395</v>
      </c>
      <c r="H6086" s="561">
        <v>536256.11</v>
      </c>
      <c r="I6086" s="561">
        <v>612</v>
      </c>
      <c r="J6086" s="561">
        <v>26699.42</v>
      </c>
      <c r="K6086" s="561">
        <v>8277</v>
      </c>
      <c r="L6086" s="561">
        <v>510870</v>
      </c>
      <c r="M6086" s="561">
        <v>510870</v>
      </c>
      <c r="N6086" s="561">
        <v>147150</v>
      </c>
      <c r="O6086" s="561">
        <v>0</v>
      </c>
      <c r="P6086" s="561">
        <v>363720</v>
      </c>
    </row>
    <row r="6087" spans="2:78">
      <c r="C6087" s="561" t="s">
        <v>1197</v>
      </c>
      <c r="D6087" s="561">
        <v>497900</v>
      </c>
      <c r="E6087" s="561">
        <v>145800</v>
      </c>
      <c r="F6087" s="561">
        <v>352100</v>
      </c>
      <c r="G6087" s="561">
        <v>8012</v>
      </c>
      <c r="H6087" s="561">
        <v>523363.47000000003</v>
      </c>
      <c r="I6087" s="561">
        <v>608</v>
      </c>
      <c r="J6087" s="561">
        <v>26649.82</v>
      </c>
      <c r="K6087" s="561">
        <v>7895</v>
      </c>
      <c r="L6087" s="561">
        <v>497844.1</v>
      </c>
      <c r="M6087" s="561">
        <v>497844.1</v>
      </c>
      <c r="N6087" s="561">
        <v>145800</v>
      </c>
      <c r="O6087" s="561">
        <v>0</v>
      </c>
    </row>
    <row r="6088" spans="2:78">
      <c r="C6088" s="561" t="s">
        <v>1198</v>
      </c>
      <c r="M6088" s="561">
        <v>0</v>
      </c>
      <c r="O6088" s="561">
        <v>0</v>
      </c>
      <c r="P6088" s="561">
        <v>0</v>
      </c>
    </row>
    <row r="6089" spans="2:78">
      <c r="C6089" s="561" t="s">
        <v>1199</v>
      </c>
      <c r="D6089" s="561">
        <v>12970</v>
      </c>
      <c r="E6089" s="561">
        <v>1350</v>
      </c>
      <c r="F6089" s="561">
        <v>11620</v>
      </c>
      <c r="G6089" s="561">
        <v>383</v>
      </c>
      <c r="H6089" s="561">
        <v>12892.64</v>
      </c>
      <c r="I6089" s="561">
        <v>4</v>
      </c>
      <c r="J6089" s="561">
        <v>49.6</v>
      </c>
      <c r="K6089" s="561">
        <v>382</v>
      </c>
      <c r="L6089" s="561">
        <v>13025.9</v>
      </c>
      <c r="M6089" s="561">
        <v>13025.9</v>
      </c>
      <c r="N6089" s="561">
        <v>1350</v>
      </c>
      <c r="O6089" s="561">
        <v>0</v>
      </c>
      <c r="AL6089" s="561">
        <v>11675.9</v>
      </c>
    </row>
    <row r="6090" spans="2:78">
      <c r="C6090" s="561" t="s">
        <v>1200</v>
      </c>
      <c r="D6090" s="561">
        <v>0</v>
      </c>
      <c r="M6090" s="561">
        <v>0</v>
      </c>
      <c r="O6090" s="561">
        <v>0</v>
      </c>
      <c r="P6090" s="561">
        <v>0</v>
      </c>
    </row>
    <row r="6091" spans="2:78">
      <c r="B6091" s="561" t="s">
        <v>1742</v>
      </c>
      <c r="C6091" s="561" t="s">
        <v>1196</v>
      </c>
      <c r="D6091" s="561">
        <v>105495</v>
      </c>
      <c r="E6091" s="561">
        <v>26520</v>
      </c>
      <c r="F6091" s="561">
        <v>78975</v>
      </c>
      <c r="G6091" s="561">
        <v>3166</v>
      </c>
      <c r="H6091" s="561">
        <v>107325.84999999999</v>
      </c>
      <c r="I6091" s="561">
        <v>92</v>
      </c>
      <c r="J6091" s="561">
        <v>2395.92</v>
      </c>
      <c r="K6091" s="561">
        <v>3160</v>
      </c>
      <c r="L6091" s="561">
        <v>105495</v>
      </c>
      <c r="M6091" s="561">
        <v>105495</v>
      </c>
      <c r="N6091" s="561">
        <v>26520</v>
      </c>
      <c r="O6091" s="561">
        <v>0</v>
      </c>
      <c r="P6091" s="561">
        <v>78975</v>
      </c>
    </row>
    <row r="6092" spans="2:78">
      <c r="C6092" s="561" t="s">
        <v>1197</v>
      </c>
      <c r="D6092" s="561">
        <v>75823</v>
      </c>
      <c r="E6092" s="561">
        <v>18600</v>
      </c>
      <c r="F6092" s="561">
        <v>57223</v>
      </c>
      <c r="G6092" s="561">
        <v>1055</v>
      </c>
      <c r="H6092" s="561">
        <v>78212.12999999999</v>
      </c>
      <c r="I6092" s="561">
        <v>81</v>
      </c>
      <c r="J6092" s="561">
        <v>2306.02</v>
      </c>
      <c r="K6092" s="561">
        <v>1054</v>
      </c>
      <c r="L6092" s="561">
        <v>76472.7</v>
      </c>
      <c r="M6092" s="561">
        <v>76472.7</v>
      </c>
      <c r="N6092" s="561">
        <v>18600</v>
      </c>
      <c r="O6092" s="561">
        <v>0</v>
      </c>
    </row>
    <row r="6093" spans="2:78">
      <c r="C6093" s="561" t="s">
        <v>1198</v>
      </c>
      <c r="M6093" s="561">
        <v>0</v>
      </c>
      <c r="O6093" s="561">
        <v>0</v>
      </c>
      <c r="P6093" s="561">
        <v>0</v>
      </c>
    </row>
    <row r="6094" spans="2:78">
      <c r="C6094" s="561" t="s">
        <v>1199</v>
      </c>
      <c r="D6094" s="561">
        <v>29672</v>
      </c>
      <c r="E6094" s="561">
        <v>7920</v>
      </c>
      <c r="F6094" s="561">
        <v>21752</v>
      </c>
      <c r="G6094" s="561">
        <v>2111</v>
      </c>
      <c r="H6094" s="561">
        <v>29113.72</v>
      </c>
      <c r="I6094" s="561">
        <v>11</v>
      </c>
      <c r="J6094" s="561">
        <v>89.9</v>
      </c>
      <c r="K6094" s="561">
        <v>2106</v>
      </c>
      <c r="L6094" s="561">
        <v>29022.3</v>
      </c>
      <c r="M6094" s="561">
        <v>29022.3</v>
      </c>
      <c r="N6094" s="561">
        <v>7920</v>
      </c>
      <c r="O6094" s="561">
        <v>0</v>
      </c>
      <c r="AL6094" s="561">
        <v>21102.3</v>
      </c>
    </row>
    <row r="6095" spans="2:78">
      <c r="C6095" s="561" t="s">
        <v>1200</v>
      </c>
      <c r="D6095" s="561">
        <v>0</v>
      </c>
      <c r="M6095" s="561">
        <v>0</v>
      </c>
      <c r="O6095" s="561">
        <v>0</v>
      </c>
      <c r="P6095" s="561">
        <v>0</v>
      </c>
    </row>
    <row r="6096" spans="2:78">
      <c r="B6096" s="561" t="s">
        <v>1743</v>
      </c>
      <c r="C6096" s="561" t="s">
        <v>1196</v>
      </c>
      <c r="D6096" s="561">
        <v>213048</v>
      </c>
      <c r="E6096" s="561">
        <v>64860</v>
      </c>
      <c r="F6096" s="561">
        <v>148188</v>
      </c>
      <c r="G6096" s="561">
        <v>3729</v>
      </c>
      <c r="H6096" s="561">
        <v>221902.41999999998</v>
      </c>
      <c r="I6096" s="561">
        <v>262</v>
      </c>
      <c r="J6096" s="561">
        <v>9744.57</v>
      </c>
      <c r="K6096" s="561">
        <v>3692</v>
      </c>
      <c r="L6096" s="561">
        <v>213048</v>
      </c>
      <c r="M6096" s="561">
        <v>213048</v>
      </c>
      <c r="N6096" s="561">
        <v>64860</v>
      </c>
      <c r="O6096" s="561">
        <v>0</v>
      </c>
      <c r="P6096" s="561">
        <v>148188</v>
      </c>
    </row>
    <row r="6097" spans="2:78">
      <c r="C6097" s="561" t="s">
        <v>1197</v>
      </c>
      <c r="D6097" s="561">
        <v>213048</v>
      </c>
      <c r="E6097" s="561">
        <v>64860</v>
      </c>
      <c r="F6097" s="561">
        <v>148188</v>
      </c>
      <c r="G6097" s="561">
        <v>3729</v>
      </c>
      <c r="H6097" s="561">
        <v>221902.41999999998</v>
      </c>
      <c r="I6097" s="561">
        <v>262</v>
      </c>
      <c r="J6097" s="561">
        <v>9744.57</v>
      </c>
      <c r="K6097" s="561">
        <v>3692</v>
      </c>
      <c r="L6097" s="561">
        <v>213048</v>
      </c>
      <c r="M6097" s="561">
        <v>213048</v>
      </c>
      <c r="N6097" s="561">
        <v>64860</v>
      </c>
      <c r="O6097" s="561">
        <v>0</v>
      </c>
    </row>
    <row r="6098" spans="2:78">
      <c r="C6098" s="561" t="s">
        <v>1198</v>
      </c>
      <c r="M6098" s="561">
        <v>0</v>
      </c>
      <c r="O6098" s="561">
        <v>0</v>
      </c>
      <c r="P6098" s="561">
        <v>0</v>
      </c>
    </row>
    <row r="6099" spans="2:78">
      <c r="C6099" s="561" t="s">
        <v>1199</v>
      </c>
      <c r="D6099" s="561">
        <v>0</v>
      </c>
      <c r="M6099" s="561">
        <v>0</v>
      </c>
      <c r="O6099" s="561">
        <v>0</v>
      </c>
      <c r="P6099" s="561">
        <v>0</v>
      </c>
    </row>
    <row r="6100" spans="2:78">
      <c r="C6100" s="561" t="s">
        <v>1200</v>
      </c>
      <c r="D6100" s="561">
        <v>0</v>
      </c>
      <c r="M6100" s="561">
        <v>0</v>
      </c>
      <c r="O6100" s="561">
        <v>0</v>
      </c>
      <c r="P6100" s="561">
        <v>0</v>
      </c>
    </row>
    <row r="6101" spans="2:78">
      <c r="B6101" s="561" t="s">
        <v>1744</v>
      </c>
      <c r="C6101" s="561" t="s">
        <v>1196</v>
      </c>
      <c r="D6101" s="561">
        <v>51851.7</v>
      </c>
      <c r="E6101" s="561">
        <v>14016.3</v>
      </c>
      <c r="F6101" s="561">
        <v>37835.4</v>
      </c>
      <c r="G6101" s="561">
        <v>3344</v>
      </c>
      <c r="H6101" s="561">
        <v>52247.880000000005</v>
      </c>
      <c r="I6101" s="561">
        <v>38</v>
      </c>
      <c r="J6101" s="561">
        <v>396.2</v>
      </c>
      <c r="K6101" s="561">
        <v>3334</v>
      </c>
      <c r="L6101" s="561">
        <v>51851.700000000004</v>
      </c>
      <c r="M6101" s="561">
        <v>51851.700000000004</v>
      </c>
      <c r="N6101" s="561">
        <v>14016.3</v>
      </c>
      <c r="O6101" s="561">
        <v>0</v>
      </c>
      <c r="P6101" s="561">
        <v>37835.400000000009</v>
      </c>
    </row>
    <row r="6102" spans="2:78">
      <c r="C6102" s="561" t="s">
        <v>1197</v>
      </c>
      <c r="M6102" s="561">
        <v>0</v>
      </c>
      <c r="O6102" s="561">
        <v>0</v>
      </c>
      <c r="P6102" s="561">
        <v>0</v>
      </c>
    </row>
    <row r="6103" spans="2:78">
      <c r="C6103" s="561" t="s">
        <v>1198</v>
      </c>
      <c r="M6103" s="561">
        <v>0</v>
      </c>
      <c r="O6103" s="561">
        <v>0</v>
      </c>
      <c r="P6103" s="561">
        <v>0</v>
      </c>
    </row>
    <row r="6104" spans="2:78">
      <c r="C6104" s="561" t="s">
        <v>1199</v>
      </c>
      <c r="D6104" s="561">
        <v>51851.7</v>
      </c>
      <c r="E6104" s="561">
        <v>14016.3</v>
      </c>
      <c r="F6104" s="561">
        <v>37835.4</v>
      </c>
      <c r="G6104" s="561">
        <v>3344</v>
      </c>
      <c r="H6104" s="561">
        <v>52247.880000000005</v>
      </c>
      <c r="I6104" s="561">
        <v>38</v>
      </c>
      <c r="J6104" s="561">
        <v>396.2</v>
      </c>
      <c r="K6104" s="561">
        <v>3334</v>
      </c>
      <c r="L6104" s="561">
        <v>51851.700000000004</v>
      </c>
      <c r="M6104" s="561">
        <v>51851.700000000004</v>
      </c>
      <c r="N6104" s="561">
        <v>14016.3</v>
      </c>
      <c r="O6104" s="561">
        <v>0</v>
      </c>
      <c r="BZ6104" s="561">
        <v>37835.400000000009</v>
      </c>
    </row>
    <row r="6105" spans="2:78">
      <c r="C6105" s="561" t="s">
        <v>1200</v>
      </c>
      <c r="D6105" s="561">
        <v>0</v>
      </c>
      <c r="M6105" s="561">
        <v>0</v>
      </c>
      <c r="O6105" s="561">
        <v>0</v>
      </c>
      <c r="P6105" s="561">
        <v>0</v>
      </c>
    </row>
    <row r="6106" spans="2:78">
      <c r="B6106" s="561" t="s">
        <v>1745</v>
      </c>
      <c r="C6106" s="561" t="s">
        <v>1196</v>
      </c>
      <c r="D6106" s="561">
        <v>30091</v>
      </c>
      <c r="E6106" s="561">
        <v>11939.4</v>
      </c>
      <c r="F6106" s="561">
        <v>18151.599999999999</v>
      </c>
      <c r="G6106" s="561">
        <v>879</v>
      </c>
      <c r="H6106" s="561">
        <v>38142.370000000003</v>
      </c>
      <c r="I6106" s="561">
        <v>97</v>
      </c>
      <c r="J6106" s="561">
        <v>8045.7</v>
      </c>
      <c r="K6106" s="561">
        <v>842</v>
      </c>
      <c r="L6106" s="561">
        <v>30090.999999999996</v>
      </c>
      <c r="M6106" s="561">
        <v>30090.999999999996</v>
      </c>
      <c r="N6106" s="561">
        <v>11939.4</v>
      </c>
      <c r="O6106" s="561">
        <v>0</v>
      </c>
      <c r="P6106" s="561">
        <v>18151.599999999999</v>
      </c>
    </row>
    <row r="6107" spans="2:78">
      <c r="C6107" s="561" t="s">
        <v>1197</v>
      </c>
      <c r="D6107" s="561">
        <v>27551</v>
      </c>
      <c r="E6107" s="561">
        <v>10725</v>
      </c>
      <c r="F6107" s="561">
        <v>16826</v>
      </c>
      <c r="G6107" s="561">
        <v>608</v>
      </c>
      <c r="H6107" s="561">
        <v>34536.630000000005</v>
      </c>
      <c r="I6107" s="561">
        <v>83</v>
      </c>
      <c r="J6107" s="561">
        <v>6996.5</v>
      </c>
      <c r="K6107" s="561">
        <v>580</v>
      </c>
      <c r="L6107" s="561">
        <v>27536.559999999998</v>
      </c>
      <c r="M6107" s="561">
        <v>27536.559999999998</v>
      </c>
      <c r="N6107" s="561">
        <v>10725</v>
      </c>
      <c r="O6107" s="561">
        <v>0</v>
      </c>
    </row>
    <row r="6108" spans="2:78">
      <c r="C6108" s="561" t="s">
        <v>1198</v>
      </c>
      <c r="M6108" s="561">
        <v>0</v>
      </c>
      <c r="O6108" s="561">
        <v>0</v>
      </c>
      <c r="P6108" s="561">
        <v>0</v>
      </c>
    </row>
    <row r="6109" spans="2:78">
      <c r="C6109" s="561" t="s">
        <v>1199</v>
      </c>
      <c r="D6109" s="561">
        <v>2540</v>
      </c>
      <c r="E6109" s="561">
        <v>1214.4000000000001</v>
      </c>
      <c r="F6109" s="561">
        <v>1325.6</v>
      </c>
      <c r="G6109" s="561">
        <v>271</v>
      </c>
      <c r="H6109" s="561">
        <v>3605.7400000000002</v>
      </c>
      <c r="I6109" s="561">
        <v>14</v>
      </c>
      <c r="J6109" s="561">
        <v>1049.2</v>
      </c>
      <c r="K6109" s="561">
        <v>262</v>
      </c>
      <c r="L6109" s="561">
        <v>2554.4399999999996</v>
      </c>
      <c r="M6109" s="561">
        <v>2554.4399999999996</v>
      </c>
      <c r="N6109" s="561">
        <v>1214.4000000000001</v>
      </c>
      <c r="O6109" s="561">
        <v>0</v>
      </c>
      <c r="AL6109" s="561">
        <v>1340.0399999999995</v>
      </c>
    </row>
    <row r="6110" spans="2:78">
      <c r="C6110" s="561" t="s">
        <v>1200</v>
      </c>
      <c r="D6110" s="561">
        <v>0</v>
      </c>
      <c r="M6110" s="561">
        <v>0</v>
      </c>
      <c r="O6110" s="561">
        <v>0</v>
      </c>
      <c r="P6110" s="561">
        <v>0</v>
      </c>
    </row>
    <row r="6111" spans="2:78">
      <c r="B6111" s="561" t="s">
        <v>1746</v>
      </c>
      <c r="C6111" s="561" t="s">
        <v>1196</v>
      </c>
      <c r="D6111" s="561">
        <v>229905.4</v>
      </c>
      <c r="E6111" s="561">
        <v>69360</v>
      </c>
      <c r="F6111" s="561">
        <v>160545.4</v>
      </c>
      <c r="G6111" s="561">
        <v>5974</v>
      </c>
      <c r="H6111" s="561">
        <v>234596.69</v>
      </c>
      <c r="I6111" s="561">
        <v>193</v>
      </c>
      <c r="J6111" s="561">
        <v>5260.9100000000008</v>
      </c>
      <c r="K6111" s="561">
        <v>5957</v>
      </c>
      <c r="L6111" s="561">
        <v>229905.40000000002</v>
      </c>
      <c r="M6111" s="561">
        <v>229905.40000000002</v>
      </c>
      <c r="N6111" s="561">
        <v>69360</v>
      </c>
      <c r="O6111" s="561">
        <v>0</v>
      </c>
      <c r="P6111" s="561">
        <v>160545.40000000002</v>
      </c>
    </row>
    <row r="6112" spans="2:78">
      <c r="C6112" s="561" t="s">
        <v>1197</v>
      </c>
      <c r="D6112" s="561">
        <v>187779</v>
      </c>
      <c r="E6112" s="561">
        <v>57060</v>
      </c>
      <c r="F6112" s="561">
        <v>130719</v>
      </c>
      <c r="G6112" s="561">
        <v>3153</v>
      </c>
      <c r="H6112" s="561">
        <v>192255.4</v>
      </c>
      <c r="I6112" s="561">
        <v>158</v>
      </c>
      <c r="J6112" s="561">
        <v>5000.8600000000006</v>
      </c>
      <c r="K6112" s="561">
        <v>3145</v>
      </c>
      <c r="L6112" s="561">
        <v>187882.7</v>
      </c>
      <c r="M6112" s="561">
        <v>187882.7</v>
      </c>
      <c r="N6112" s="561">
        <v>57060</v>
      </c>
      <c r="O6112" s="561">
        <v>0</v>
      </c>
    </row>
    <row r="6113" spans="2:38">
      <c r="C6113" s="561" t="s">
        <v>1198</v>
      </c>
      <c r="M6113" s="561">
        <v>0</v>
      </c>
      <c r="O6113" s="561">
        <v>0</v>
      </c>
      <c r="P6113" s="561">
        <v>0</v>
      </c>
    </row>
    <row r="6114" spans="2:38">
      <c r="C6114" s="561" t="s">
        <v>1199</v>
      </c>
      <c r="D6114" s="561">
        <v>42126.400000000001</v>
      </c>
      <c r="E6114" s="561">
        <v>12300</v>
      </c>
      <c r="F6114" s="561">
        <v>29826.400000000001</v>
      </c>
      <c r="G6114" s="561">
        <v>2821</v>
      </c>
      <c r="H6114" s="561">
        <v>42341.29</v>
      </c>
      <c r="I6114" s="561">
        <v>35</v>
      </c>
      <c r="J6114" s="561">
        <v>260.05</v>
      </c>
      <c r="K6114" s="561">
        <v>2812</v>
      </c>
      <c r="L6114" s="561">
        <v>42022.700000000004</v>
      </c>
      <c r="M6114" s="561">
        <v>42022.700000000004</v>
      </c>
      <c r="N6114" s="561">
        <v>12300</v>
      </c>
      <c r="O6114" s="561">
        <v>0</v>
      </c>
      <c r="AL6114" s="561">
        <v>29722.700000000004</v>
      </c>
    </row>
    <row r="6115" spans="2:38">
      <c r="C6115" s="561" t="s">
        <v>1200</v>
      </c>
      <c r="D6115" s="561">
        <v>0</v>
      </c>
      <c r="M6115" s="561">
        <v>0</v>
      </c>
      <c r="O6115" s="561">
        <v>0</v>
      </c>
      <c r="P6115" s="561">
        <v>0</v>
      </c>
    </row>
    <row r="6116" spans="2:38">
      <c r="B6116" s="561" t="s">
        <v>1747</v>
      </c>
      <c r="C6116" s="561" t="s">
        <v>1196</v>
      </c>
      <c r="D6116" s="561">
        <v>96433.9</v>
      </c>
      <c r="E6116" s="561">
        <v>30234</v>
      </c>
      <c r="F6116" s="561">
        <v>66199.899999999994</v>
      </c>
      <c r="G6116" s="561">
        <v>3201</v>
      </c>
      <c r="H6116" s="561">
        <v>98205.81</v>
      </c>
      <c r="I6116" s="561">
        <v>71</v>
      </c>
      <c r="J6116" s="561">
        <v>1755.7699999999998</v>
      </c>
      <c r="K6116" s="561">
        <v>3195</v>
      </c>
      <c r="L6116" s="561">
        <v>96433.900000000009</v>
      </c>
      <c r="M6116" s="561">
        <v>96433.900000000009</v>
      </c>
      <c r="N6116" s="561">
        <v>30234</v>
      </c>
      <c r="O6116" s="561">
        <v>0</v>
      </c>
      <c r="P6116" s="561">
        <v>66199.900000000009</v>
      </c>
    </row>
    <row r="6117" spans="2:38">
      <c r="C6117" s="561" t="s">
        <v>1197</v>
      </c>
      <c r="D6117" s="561">
        <v>66700</v>
      </c>
      <c r="E6117" s="561">
        <v>20184</v>
      </c>
      <c r="F6117" s="561">
        <v>46516</v>
      </c>
      <c r="G6117" s="561">
        <v>1095</v>
      </c>
      <c r="H6117" s="561">
        <v>68442.45</v>
      </c>
      <c r="I6117" s="561">
        <v>46</v>
      </c>
      <c r="J6117" s="561">
        <v>1558.1699999999998</v>
      </c>
      <c r="K6117" s="561">
        <v>1093</v>
      </c>
      <c r="L6117" s="561">
        <v>66909.8</v>
      </c>
      <c r="M6117" s="561">
        <v>66909.8</v>
      </c>
      <c r="N6117" s="561">
        <v>20184</v>
      </c>
      <c r="O6117" s="561">
        <v>0</v>
      </c>
    </row>
    <row r="6118" spans="2:38">
      <c r="C6118" s="561" t="s">
        <v>1198</v>
      </c>
      <c r="L6118" s="561">
        <v>0</v>
      </c>
      <c r="M6118" s="561">
        <v>0</v>
      </c>
      <c r="O6118" s="561">
        <v>0</v>
      </c>
      <c r="P6118" s="561">
        <v>0</v>
      </c>
    </row>
    <row r="6119" spans="2:38">
      <c r="C6119" s="561" t="s">
        <v>1199</v>
      </c>
      <c r="D6119" s="561">
        <v>29733.9</v>
      </c>
      <c r="E6119" s="561">
        <v>10050</v>
      </c>
      <c r="F6119" s="561">
        <v>19683.900000000001</v>
      </c>
      <c r="G6119" s="561">
        <v>2106</v>
      </c>
      <c r="H6119" s="561">
        <v>29763.359999999997</v>
      </c>
      <c r="I6119" s="561">
        <v>25</v>
      </c>
      <c r="J6119" s="561">
        <v>197.6</v>
      </c>
      <c r="K6119" s="561">
        <v>2102</v>
      </c>
      <c r="L6119" s="561">
        <v>29524.100000000002</v>
      </c>
      <c r="M6119" s="561">
        <v>29524.100000000002</v>
      </c>
      <c r="N6119" s="561">
        <v>10050</v>
      </c>
      <c r="O6119" s="561">
        <v>0</v>
      </c>
      <c r="AL6119" s="561">
        <v>19474.100000000002</v>
      </c>
    </row>
    <row r="6120" spans="2:38">
      <c r="C6120" s="561" t="s">
        <v>1200</v>
      </c>
      <c r="D6120" s="561">
        <v>0</v>
      </c>
      <c r="L6120" s="561">
        <v>0</v>
      </c>
      <c r="M6120" s="561">
        <v>0</v>
      </c>
      <c r="O6120" s="561">
        <v>0</v>
      </c>
      <c r="P6120" s="561">
        <v>0</v>
      </c>
    </row>
    <row r="6121" spans="2:38">
      <c r="B6121" s="561" t="s">
        <v>1748</v>
      </c>
      <c r="C6121" s="561" t="s">
        <v>1196</v>
      </c>
      <c r="D6121" s="561">
        <v>109918</v>
      </c>
      <c r="E6121" s="561">
        <v>32975.4</v>
      </c>
      <c r="F6121" s="561">
        <v>76942.600000000006</v>
      </c>
      <c r="G6121" s="561">
        <v>4079</v>
      </c>
      <c r="H6121" s="561">
        <v>112311.86</v>
      </c>
      <c r="I6121" s="561">
        <v>110</v>
      </c>
      <c r="J6121" s="561">
        <v>2594.1</v>
      </c>
      <c r="K6121" s="561">
        <v>4070</v>
      </c>
      <c r="L6121" s="561">
        <v>109918</v>
      </c>
      <c r="M6121" s="561">
        <v>109918</v>
      </c>
      <c r="N6121" s="561">
        <v>32975.4</v>
      </c>
      <c r="O6121" s="561">
        <v>0</v>
      </c>
      <c r="P6121" s="561">
        <v>76942.600000000006</v>
      </c>
    </row>
    <row r="6122" spans="2:38">
      <c r="C6122" s="561" t="s">
        <v>1197</v>
      </c>
      <c r="D6122" s="561">
        <v>73648</v>
      </c>
      <c r="E6122" s="561">
        <v>22094.400000000001</v>
      </c>
      <c r="F6122" s="561">
        <v>51553.599999999999</v>
      </c>
      <c r="G6122" s="561">
        <v>1298</v>
      </c>
      <c r="H6122" s="561">
        <v>75700.59</v>
      </c>
      <c r="I6122" s="561">
        <v>98</v>
      </c>
      <c r="J6122" s="561">
        <v>2521.5</v>
      </c>
      <c r="K6122" s="561">
        <v>1293</v>
      </c>
      <c r="L6122" s="561">
        <v>73648.02</v>
      </c>
      <c r="M6122" s="561">
        <v>73648.02</v>
      </c>
      <c r="N6122" s="561">
        <v>22094.400000000001</v>
      </c>
      <c r="O6122" s="561">
        <v>0</v>
      </c>
    </row>
    <row r="6123" spans="2:38">
      <c r="C6123" s="561" t="s">
        <v>1198</v>
      </c>
      <c r="M6123" s="561">
        <v>0</v>
      </c>
      <c r="O6123" s="561">
        <v>0</v>
      </c>
      <c r="P6123" s="561">
        <v>0</v>
      </c>
    </row>
    <row r="6124" spans="2:38">
      <c r="C6124" s="561" t="s">
        <v>1199</v>
      </c>
      <c r="D6124" s="561">
        <v>36270</v>
      </c>
      <c r="E6124" s="561">
        <v>10881</v>
      </c>
      <c r="F6124" s="561">
        <v>25389</v>
      </c>
      <c r="G6124" s="561">
        <v>2781</v>
      </c>
      <c r="H6124" s="561">
        <v>36611.270000000004</v>
      </c>
      <c r="I6124" s="561">
        <v>12</v>
      </c>
      <c r="J6124" s="561">
        <v>72.599999999999994</v>
      </c>
      <c r="K6124" s="561">
        <v>2777</v>
      </c>
      <c r="L6124" s="561">
        <v>36269.980000000003</v>
      </c>
      <c r="M6124" s="561">
        <v>36269.980000000003</v>
      </c>
      <c r="N6124" s="561">
        <v>10881</v>
      </c>
      <c r="O6124" s="561">
        <v>0</v>
      </c>
      <c r="AL6124" s="561">
        <v>25388.980000000003</v>
      </c>
    </row>
    <row r="6125" spans="2:38">
      <c r="C6125" s="561" t="s">
        <v>1200</v>
      </c>
      <c r="D6125" s="561">
        <v>0</v>
      </c>
      <c r="M6125" s="561">
        <v>0</v>
      </c>
      <c r="O6125" s="561">
        <v>0</v>
      </c>
      <c r="P6125" s="561">
        <v>0</v>
      </c>
    </row>
    <row r="6126" spans="2:38">
      <c r="B6126" s="561" t="s">
        <v>1749</v>
      </c>
      <c r="C6126" s="561" t="s">
        <v>1196</v>
      </c>
      <c r="D6126" s="561">
        <v>112881</v>
      </c>
      <c r="E6126" s="561">
        <v>33915</v>
      </c>
      <c r="F6126" s="561">
        <v>78966</v>
      </c>
      <c r="G6126" s="561">
        <v>2770</v>
      </c>
      <c r="H6126" s="561">
        <v>116543.07999999999</v>
      </c>
      <c r="I6126" s="561">
        <v>120</v>
      </c>
      <c r="J6126" s="561">
        <v>3644.1800000000003</v>
      </c>
      <c r="K6126" s="561">
        <v>2750</v>
      </c>
      <c r="L6126" s="561">
        <v>112881</v>
      </c>
      <c r="M6126" s="561">
        <v>112881</v>
      </c>
      <c r="N6126" s="561">
        <v>33915</v>
      </c>
      <c r="O6126" s="561">
        <v>0</v>
      </c>
      <c r="P6126" s="561">
        <v>78966</v>
      </c>
    </row>
    <row r="6127" spans="2:38">
      <c r="C6127" s="561" t="s">
        <v>1197</v>
      </c>
      <c r="D6127" s="561">
        <v>96003</v>
      </c>
      <c r="E6127" s="561">
        <v>27975</v>
      </c>
      <c r="F6127" s="561">
        <v>68028</v>
      </c>
      <c r="G6127" s="561">
        <v>1703</v>
      </c>
      <c r="H6127" s="561">
        <v>99169.37999999999</v>
      </c>
      <c r="I6127" s="561">
        <v>96</v>
      </c>
      <c r="J6127" s="561">
        <v>3407.1600000000003</v>
      </c>
      <c r="K6127" s="561">
        <v>1691</v>
      </c>
      <c r="L6127" s="561">
        <v>95748.53</v>
      </c>
      <c r="M6127" s="561">
        <v>95748.53</v>
      </c>
      <c r="N6127" s="561">
        <v>27975</v>
      </c>
      <c r="O6127" s="561">
        <v>0</v>
      </c>
    </row>
    <row r="6128" spans="2:38">
      <c r="C6128" s="561" t="s">
        <v>1198</v>
      </c>
      <c r="M6128" s="561">
        <v>0</v>
      </c>
      <c r="O6128" s="561">
        <v>0</v>
      </c>
      <c r="P6128" s="561">
        <v>0</v>
      </c>
    </row>
    <row r="6129" spans="2:38">
      <c r="C6129" s="561" t="s">
        <v>1199</v>
      </c>
      <c r="D6129" s="561">
        <v>16878</v>
      </c>
      <c r="E6129" s="561">
        <v>5940</v>
      </c>
      <c r="F6129" s="561">
        <v>10938</v>
      </c>
      <c r="G6129" s="561">
        <v>1067</v>
      </c>
      <c r="H6129" s="561">
        <v>17373.7</v>
      </c>
      <c r="I6129" s="561">
        <v>24</v>
      </c>
      <c r="J6129" s="561">
        <v>237.01999999999998</v>
      </c>
      <c r="K6129" s="561">
        <v>1059</v>
      </c>
      <c r="L6129" s="561">
        <v>17132.47</v>
      </c>
      <c r="M6129" s="561">
        <v>17132.47</v>
      </c>
      <c r="N6129" s="561">
        <v>5940</v>
      </c>
      <c r="O6129" s="561">
        <v>0</v>
      </c>
      <c r="AL6129" s="561">
        <v>11192.470000000001</v>
      </c>
    </row>
    <row r="6130" spans="2:38">
      <c r="C6130" s="561" t="s">
        <v>1200</v>
      </c>
      <c r="D6130" s="561">
        <v>0</v>
      </c>
      <c r="M6130" s="561">
        <v>0</v>
      </c>
      <c r="O6130" s="561">
        <v>0</v>
      </c>
      <c r="P6130" s="561">
        <v>0</v>
      </c>
    </row>
    <row r="6131" spans="2:38">
      <c r="B6131" s="561" t="s">
        <v>1750</v>
      </c>
      <c r="C6131" s="561" t="s">
        <v>1196</v>
      </c>
      <c r="D6131" s="561">
        <v>34696.199999999997</v>
      </c>
      <c r="E6131" s="561">
        <v>10444.26</v>
      </c>
      <c r="F6131" s="561">
        <v>24251.94</v>
      </c>
      <c r="G6131" s="561">
        <v>712</v>
      </c>
      <c r="H6131" s="561">
        <v>34964.42</v>
      </c>
      <c r="I6131" s="561">
        <v>3</v>
      </c>
      <c r="J6131" s="561">
        <v>124.6</v>
      </c>
      <c r="K6131" s="561">
        <v>711</v>
      </c>
      <c r="L6131" s="561">
        <v>34696.199999999997</v>
      </c>
      <c r="M6131" s="561">
        <v>34696.199999999997</v>
      </c>
      <c r="N6131" s="561">
        <v>10444.26</v>
      </c>
      <c r="O6131" s="561">
        <v>0</v>
      </c>
      <c r="P6131" s="561">
        <v>24251.939999999995</v>
      </c>
    </row>
    <row r="6132" spans="2:38">
      <c r="C6132" s="561" t="s">
        <v>1197</v>
      </c>
      <c r="D6132" s="561">
        <v>26440</v>
      </c>
      <c r="E6132" s="561">
        <v>6732</v>
      </c>
      <c r="F6132" s="561">
        <v>19708</v>
      </c>
      <c r="G6132" s="561">
        <v>373</v>
      </c>
      <c r="H6132" s="561">
        <v>26261.53</v>
      </c>
      <c r="I6132" s="561">
        <v>3</v>
      </c>
      <c r="J6132" s="561">
        <v>124.6</v>
      </c>
      <c r="K6132" s="561">
        <v>372</v>
      </c>
      <c r="L6132" s="561">
        <v>26105.21</v>
      </c>
      <c r="M6132" s="561">
        <v>26105.21</v>
      </c>
      <c r="N6132" s="561">
        <v>6732</v>
      </c>
      <c r="O6132" s="561">
        <v>0</v>
      </c>
    </row>
    <row r="6133" spans="2:38">
      <c r="C6133" s="561" t="s">
        <v>1198</v>
      </c>
      <c r="D6133" s="561">
        <v>3859.2</v>
      </c>
      <c r="E6133" s="561">
        <v>1012.26</v>
      </c>
      <c r="F6133" s="561">
        <v>2846.94</v>
      </c>
      <c r="G6133" s="561">
        <v>9</v>
      </c>
      <c r="H6133" s="561">
        <v>2821.7</v>
      </c>
      <c r="I6133" s="561">
        <v>0</v>
      </c>
      <c r="J6133" s="561">
        <v>0</v>
      </c>
      <c r="K6133" s="561">
        <v>9</v>
      </c>
      <c r="L6133" s="561">
        <v>2821.7</v>
      </c>
      <c r="M6133" s="561">
        <v>2821.7</v>
      </c>
      <c r="N6133" s="561">
        <v>1012.26</v>
      </c>
      <c r="O6133" s="561">
        <v>0</v>
      </c>
      <c r="P6133" s="561">
        <v>1809.4399999999998</v>
      </c>
    </row>
    <row r="6134" spans="2:38">
      <c r="C6134" s="561" t="s">
        <v>1199</v>
      </c>
      <c r="D6134" s="561">
        <v>4397</v>
      </c>
      <c r="E6134" s="561">
        <v>2700</v>
      </c>
      <c r="F6134" s="561">
        <v>1697</v>
      </c>
      <c r="G6134" s="561">
        <v>330</v>
      </c>
      <c r="H6134" s="561">
        <v>5881.19</v>
      </c>
      <c r="I6134" s="561">
        <v>0</v>
      </c>
      <c r="J6134" s="561">
        <v>0</v>
      </c>
      <c r="K6134" s="561">
        <v>330</v>
      </c>
      <c r="L6134" s="561">
        <v>5769.29</v>
      </c>
      <c r="M6134" s="561">
        <v>5769.29</v>
      </c>
      <c r="N6134" s="561">
        <v>2700</v>
      </c>
      <c r="O6134" s="561">
        <v>0</v>
      </c>
      <c r="AL6134" s="561">
        <v>3069.29</v>
      </c>
    </row>
    <row r="6135" spans="2:38">
      <c r="C6135" s="561" t="s">
        <v>1200</v>
      </c>
      <c r="D6135" s="561">
        <v>0</v>
      </c>
      <c r="M6135" s="561">
        <v>0</v>
      </c>
      <c r="O6135" s="561">
        <v>0</v>
      </c>
      <c r="P6135" s="561">
        <v>0</v>
      </c>
    </row>
    <row r="6136" spans="2:38">
      <c r="B6136" s="561" t="s">
        <v>1751</v>
      </c>
      <c r="C6136" s="561" t="s">
        <v>1196</v>
      </c>
      <c r="D6136" s="561">
        <v>15739</v>
      </c>
      <c r="E6136" s="561">
        <v>6822</v>
      </c>
      <c r="F6136" s="561">
        <v>8917</v>
      </c>
      <c r="G6136" s="561">
        <v>663</v>
      </c>
      <c r="H6136" s="561">
        <v>15776.830000000002</v>
      </c>
      <c r="I6136" s="561">
        <v>4</v>
      </c>
      <c r="J6136" s="561">
        <v>37.700000000000003</v>
      </c>
      <c r="K6136" s="561">
        <v>663</v>
      </c>
      <c r="L6136" s="561">
        <v>15739</v>
      </c>
      <c r="M6136" s="561">
        <v>15739</v>
      </c>
      <c r="N6136" s="561">
        <v>6822</v>
      </c>
      <c r="O6136" s="561">
        <v>0</v>
      </c>
      <c r="P6136" s="561">
        <v>8917</v>
      </c>
    </row>
    <row r="6137" spans="2:38">
      <c r="C6137" s="561" t="s">
        <v>1197</v>
      </c>
      <c r="D6137" s="561">
        <v>11800</v>
      </c>
      <c r="E6137" s="561">
        <v>4950</v>
      </c>
      <c r="F6137" s="561">
        <v>6850</v>
      </c>
      <c r="G6137" s="561">
        <v>245</v>
      </c>
      <c r="H6137" s="561">
        <v>11493.03</v>
      </c>
      <c r="I6137" s="561">
        <v>2</v>
      </c>
      <c r="J6137" s="561">
        <v>33.5</v>
      </c>
      <c r="K6137" s="561">
        <v>245</v>
      </c>
      <c r="L6137" s="561">
        <v>11459.25</v>
      </c>
      <c r="M6137" s="561">
        <v>11459.25</v>
      </c>
      <c r="N6137" s="561">
        <v>4681.3</v>
      </c>
      <c r="O6137" s="561">
        <v>0</v>
      </c>
    </row>
    <row r="6138" spans="2:38">
      <c r="C6138" s="561" t="s">
        <v>1198</v>
      </c>
      <c r="M6138" s="561">
        <v>0</v>
      </c>
      <c r="O6138" s="561">
        <v>0</v>
      </c>
      <c r="P6138" s="561">
        <v>0</v>
      </c>
    </row>
    <row r="6139" spans="2:38">
      <c r="C6139" s="561" t="s">
        <v>1199</v>
      </c>
      <c r="D6139" s="561">
        <v>3939</v>
      </c>
      <c r="E6139" s="561">
        <v>1872</v>
      </c>
      <c r="F6139" s="561">
        <v>2067</v>
      </c>
      <c r="G6139" s="561">
        <v>418</v>
      </c>
      <c r="H6139" s="561">
        <v>4283.8</v>
      </c>
      <c r="I6139" s="561">
        <v>2</v>
      </c>
      <c r="J6139" s="561">
        <v>4.2</v>
      </c>
      <c r="K6139" s="561">
        <v>418</v>
      </c>
      <c r="L6139" s="561">
        <v>4279.75</v>
      </c>
      <c r="M6139" s="561">
        <v>4279.75</v>
      </c>
      <c r="N6139" s="561">
        <v>2140.6999999999998</v>
      </c>
      <c r="O6139" s="561">
        <v>0</v>
      </c>
      <c r="AL6139" s="561">
        <v>2139.0500000000002</v>
      </c>
    </row>
    <row r="6140" spans="2:38">
      <c r="C6140" s="561" t="s">
        <v>1200</v>
      </c>
      <c r="D6140" s="561">
        <v>0</v>
      </c>
      <c r="M6140" s="561">
        <v>0</v>
      </c>
      <c r="O6140" s="561">
        <v>0</v>
      </c>
      <c r="P6140" s="561">
        <v>0</v>
      </c>
    </row>
    <row r="6141" spans="2:38">
      <c r="B6141" s="561" t="s">
        <v>1752</v>
      </c>
      <c r="C6141" s="561" t="s">
        <v>1196</v>
      </c>
      <c r="D6141" s="561">
        <v>67251</v>
      </c>
      <c r="E6141" s="561">
        <v>16812.599999999999</v>
      </c>
      <c r="F6141" s="561">
        <v>50438.400000000001</v>
      </c>
      <c r="G6141" s="561">
        <v>262</v>
      </c>
      <c r="H6141" s="561">
        <v>67294.73</v>
      </c>
      <c r="I6141" s="561">
        <v>1</v>
      </c>
      <c r="J6141" s="561">
        <v>13.7</v>
      </c>
      <c r="K6141" s="561">
        <v>262</v>
      </c>
      <c r="L6141" s="561">
        <v>67251</v>
      </c>
      <c r="M6141" s="561">
        <v>67251</v>
      </c>
      <c r="N6141" s="561">
        <v>16812.599999999999</v>
      </c>
      <c r="O6141" s="561">
        <v>0</v>
      </c>
      <c r="P6141" s="561">
        <v>50438.400000000001</v>
      </c>
    </row>
    <row r="6142" spans="2:38">
      <c r="C6142" s="561" t="s">
        <v>1197</v>
      </c>
      <c r="M6142" s="561">
        <v>0</v>
      </c>
      <c r="O6142" s="561">
        <v>0</v>
      </c>
      <c r="P6142" s="561">
        <v>0</v>
      </c>
    </row>
    <row r="6143" spans="2:38">
      <c r="C6143" s="561" t="s">
        <v>1198</v>
      </c>
      <c r="M6143" s="561">
        <v>0</v>
      </c>
      <c r="O6143" s="561">
        <v>0</v>
      </c>
      <c r="P6143" s="561">
        <v>0</v>
      </c>
    </row>
    <row r="6144" spans="2:38">
      <c r="C6144" s="561" t="s">
        <v>1199</v>
      </c>
      <c r="D6144" s="561">
        <v>67251</v>
      </c>
      <c r="E6144" s="561">
        <v>16812.599999999999</v>
      </c>
      <c r="F6144" s="561">
        <v>50438.400000000001</v>
      </c>
      <c r="G6144" s="561">
        <v>262</v>
      </c>
      <c r="H6144" s="561">
        <v>67294.73</v>
      </c>
      <c r="I6144" s="561">
        <v>1</v>
      </c>
      <c r="J6144" s="561">
        <v>13.7</v>
      </c>
      <c r="K6144" s="561">
        <v>262</v>
      </c>
      <c r="L6144" s="561">
        <v>67251</v>
      </c>
      <c r="M6144" s="561">
        <v>67251</v>
      </c>
      <c r="N6144" s="561">
        <v>16812.599999999999</v>
      </c>
      <c r="O6144" s="561">
        <v>0</v>
      </c>
      <c r="AL6144" s="561">
        <v>50438.400000000001</v>
      </c>
    </row>
    <row r="6145" spans="1:111">
      <c r="C6145" s="561" t="s">
        <v>1200</v>
      </c>
      <c r="D6145" s="561">
        <v>0</v>
      </c>
      <c r="M6145" s="561">
        <v>0</v>
      </c>
      <c r="O6145" s="561">
        <v>0</v>
      </c>
      <c r="P6145" s="561">
        <v>0</v>
      </c>
    </row>
    <row r="6146" spans="1:111">
      <c r="A6146" s="1683" t="s">
        <v>1162</v>
      </c>
      <c r="B6146" s="1683"/>
      <c r="C6146" s="1683"/>
      <c r="D6146" s="1683"/>
      <c r="E6146" s="1683"/>
      <c r="F6146" s="1683"/>
      <c r="G6146" s="1683"/>
      <c r="H6146" s="1683"/>
      <c r="I6146" s="1683"/>
      <c r="J6146" s="1683"/>
      <c r="K6146" s="1683"/>
      <c r="L6146" s="1683"/>
      <c r="M6146" s="1683"/>
      <c r="N6146" s="1683"/>
      <c r="O6146" s="1683"/>
      <c r="P6146" s="1683"/>
    </row>
    <row r="6147" spans="1:111">
      <c r="A6147" s="1735" t="s">
        <v>1197</v>
      </c>
      <c r="B6147" s="1735"/>
      <c r="C6147" s="1735"/>
      <c r="D6147" s="1735"/>
      <c r="E6147" s="1735"/>
      <c r="F6147" s="1735"/>
      <c r="G6147" s="1735"/>
      <c r="H6147" s="1735"/>
      <c r="I6147" s="1735"/>
      <c r="J6147" s="1735"/>
      <c r="K6147" s="1735"/>
      <c r="L6147" s="1735"/>
      <c r="M6147" s="1735"/>
      <c r="N6147" s="1735"/>
      <c r="O6147" s="1735"/>
      <c r="P6147" s="1735"/>
      <c r="AL6147" s="561">
        <f>SUM(AL6148:AL6253)</f>
        <v>4950024.1478386885</v>
      </c>
      <c r="AM6147" s="561">
        <f t="shared" ref="AM6147:CX6147" si="138">SUM(AM6148:AM6253)</f>
        <v>0</v>
      </c>
      <c r="AN6147" s="561">
        <f t="shared" si="138"/>
        <v>0</v>
      </c>
      <c r="AO6147" s="561">
        <f t="shared" si="138"/>
        <v>0</v>
      </c>
      <c r="AP6147" s="561">
        <f t="shared" si="138"/>
        <v>0</v>
      </c>
      <c r="AQ6147" s="561">
        <f t="shared" si="138"/>
        <v>0</v>
      </c>
      <c r="AR6147" s="561">
        <f t="shared" si="138"/>
        <v>0</v>
      </c>
      <c r="AS6147" s="561">
        <f t="shared" si="138"/>
        <v>0</v>
      </c>
      <c r="AT6147" s="561">
        <f t="shared" si="138"/>
        <v>0</v>
      </c>
      <c r="AU6147" s="561">
        <f t="shared" si="138"/>
        <v>0</v>
      </c>
      <c r="AV6147" s="561">
        <f t="shared" si="138"/>
        <v>0</v>
      </c>
      <c r="AW6147" s="561">
        <f t="shared" si="138"/>
        <v>0</v>
      </c>
      <c r="AX6147" s="561">
        <f t="shared" si="138"/>
        <v>0</v>
      </c>
      <c r="AY6147" s="561">
        <f t="shared" si="138"/>
        <v>58751.36147919044</v>
      </c>
      <c r="AZ6147" s="561">
        <f t="shared" si="138"/>
        <v>0</v>
      </c>
      <c r="BA6147" s="561">
        <f t="shared" si="138"/>
        <v>0</v>
      </c>
      <c r="BB6147" s="561">
        <f t="shared" si="138"/>
        <v>1143932.6996791575</v>
      </c>
      <c r="BC6147" s="561">
        <f t="shared" si="138"/>
        <v>0</v>
      </c>
      <c r="BD6147" s="561">
        <f t="shared" si="138"/>
        <v>167047.89999999997</v>
      </c>
      <c r="BE6147" s="561">
        <f t="shared" si="138"/>
        <v>0</v>
      </c>
      <c r="BF6147" s="561">
        <f t="shared" si="138"/>
        <v>0</v>
      </c>
      <c r="BG6147" s="561">
        <f t="shared" si="138"/>
        <v>0</v>
      </c>
      <c r="BH6147" s="561">
        <f t="shared" si="138"/>
        <v>0</v>
      </c>
      <c r="BI6147" s="561">
        <f t="shared" si="138"/>
        <v>0</v>
      </c>
      <c r="BJ6147" s="561">
        <f t="shared" si="138"/>
        <v>0</v>
      </c>
      <c r="BK6147" s="561">
        <f t="shared" si="138"/>
        <v>0</v>
      </c>
      <c r="BL6147" s="561">
        <f t="shared" si="138"/>
        <v>0</v>
      </c>
      <c r="BM6147" s="561">
        <f t="shared" si="138"/>
        <v>0</v>
      </c>
      <c r="BN6147" s="561">
        <f t="shared" si="138"/>
        <v>0</v>
      </c>
      <c r="BO6147" s="561">
        <f t="shared" si="138"/>
        <v>0</v>
      </c>
      <c r="BP6147" s="561">
        <f t="shared" si="138"/>
        <v>0</v>
      </c>
      <c r="BQ6147" s="561">
        <f t="shared" si="138"/>
        <v>0</v>
      </c>
      <c r="BR6147" s="561">
        <f t="shared" si="138"/>
        <v>0</v>
      </c>
      <c r="BS6147" s="561">
        <f t="shared" si="138"/>
        <v>0</v>
      </c>
      <c r="BT6147" s="561">
        <f t="shared" si="138"/>
        <v>0</v>
      </c>
      <c r="BU6147" s="561">
        <f t="shared" si="138"/>
        <v>0</v>
      </c>
      <c r="BV6147" s="561">
        <f t="shared" si="138"/>
        <v>0</v>
      </c>
      <c r="BW6147" s="561">
        <f t="shared" si="138"/>
        <v>0</v>
      </c>
      <c r="BX6147" s="561">
        <f t="shared" si="138"/>
        <v>0</v>
      </c>
      <c r="BY6147" s="561">
        <f t="shared" si="138"/>
        <v>0</v>
      </c>
      <c r="BZ6147" s="561">
        <f t="shared" si="138"/>
        <v>42715.200000021025</v>
      </c>
      <c r="CA6147" s="561">
        <f t="shared" si="138"/>
        <v>0</v>
      </c>
      <c r="CB6147" s="561">
        <f t="shared" si="138"/>
        <v>0</v>
      </c>
      <c r="CC6147" s="561">
        <f t="shared" si="138"/>
        <v>0</v>
      </c>
      <c r="CD6147" s="561">
        <f t="shared" si="138"/>
        <v>0</v>
      </c>
      <c r="CE6147" s="561">
        <f t="shared" si="138"/>
        <v>0</v>
      </c>
      <c r="CF6147" s="561">
        <f t="shared" si="138"/>
        <v>0</v>
      </c>
      <c r="CG6147" s="561">
        <f t="shared" si="138"/>
        <v>0</v>
      </c>
      <c r="CH6147" s="561">
        <f t="shared" si="138"/>
        <v>0</v>
      </c>
      <c r="CI6147" s="561">
        <f t="shared" si="138"/>
        <v>0</v>
      </c>
      <c r="CJ6147" s="561">
        <f t="shared" si="138"/>
        <v>0</v>
      </c>
      <c r="CK6147" s="561">
        <f t="shared" si="138"/>
        <v>0</v>
      </c>
      <c r="CL6147" s="561">
        <f t="shared" si="138"/>
        <v>0</v>
      </c>
      <c r="CM6147" s="561">
        <f t="shared" si="138"/>
        <v>0</v>
      </c>
      <c r="CN6147" s="561">
        <f t="shared" si="138"/>
        <v>0</v>
      </c>
      <c r="CO6147" s="561">
        <f t="shared" si="138"/>
        <v>0</v>
      </c>
      <c r="CP6147" s="561">
        <f t="shared" si="138"/>
        <v>0</v>
      </c>
      <c r="CQ6147" s="561">
        <f t="shared" si="138"/>
        <v>0</v>
      </c>
      <c r="CR6147" s="561">
        <f t="shared" si="138"/>
        <v>0</v>
      </c>
      <c r="CS6147" s="561">
        <f t="shared" si="138"/>
        <v>0</v>
      </c>
      <c r="CT6147" s="561">
        <f t="shared" si="138"/>
        <v>0</v>
      </c>
      <c r="CU6147" s="561">
        <f t="shared" si="138"/>
        <v>0</v>
      </c>
      <c r="CV6147" s="561">
        <f t="shared" si="138"/>
        <v>0</v>
      </c>
      <c r="CW6147" s="561">
        <f t="shared" si="138"/>
        <v>0</v>
      </c>
      <c r="CX6147" s="561">
        <f t="shared" si="138"/>
        <v>0</v>
      </c>
      <c r="CY6147" s="561">
        <f t="shared" ref="CY6147:DG6147" si="139">SUM(CY6148:CY6253)</f>
        <v>0</v>
      </c>
      <c r="CZ6147" s="561">
        <f t="shared" si="139"/>
        <v>0</v>
      </c>
      <c r="DA6147" s="561">
        <f t="shared" si="139"/>
        <v>0</v>
      </c>
      <c r="DB6147" s="561">
        <f t="shared" si="139"/>
        <v>0</v>
      </c>
      <c r="DC6147" s="561">
        <f t="shared" si="139"/>
        <v>0</v>
      </c>
      <c r="DD6147" s="561">
        <f t="shared" si="139"/>
        <v>0</v>
      </c>
      <c r="DE6147" s="561">
        <f t="shared" si="139"/>
        <v>0</v>
      </c>
      <c r="DF6147" s="561">
        <f t="shared" si="139"/>
        <v>0</v>
      </c>
      <c r="DG6147" s="561">
        <f t="shared" si="139"/>
        <v>0</v>
      </c>
    </row>
    <row r="6148" spans="1:111">
      <c r="A6148" s="561">
        <v>1</v>
      </c>
      <c r="B6148" s="561" t="s">
        <v>1753</v>
      </c>
      <c r="C6148" s="561" t="s">
        <v>1197</v>
      </c>
      <c r="D6148" s="561">
        <v>235674.4</v>
      </c>
      <c r="E6148" s="561">
        <v>73862</v>
      </c>
      <c r="F6148" s="561">
        <v>161812.4</v>
      </c>
      <c r="G6148" s="561">
        <v>854</v>
      </c>
      <c r="H6148" s="561">
        <v>237998.84399999995</v>
      </c>
      <c r="I6148" s="561">
        <v>41</v>
      </c>
      <c r="J6148" s="561">
        <v>2807.2038000000002</v>
      </c>
      <c r="K6148" s="561">
        <v>852</v>
      </c>
      <c r="L6148" s="561">
        <v>235674.39999999997</v>
      </c>
      <c r="M6148" s="561">
        <v>235674.39999999997</v>
      </c>
      <c r="N6148" s="561">
        <v>73862</v>
      </c>
      <c r="O6148" s="561">
        <v>0</v>
      </c>
      <c r="Q6148" s="561">
        <v>161812.39999999997</v>
      </c>
      <c r="BD6148" s="561">
        <v>161812.39999999997</v>
      </c>
    </row>
    <row r="6149" spans="1:111">
      <c r="A6149" s="561">
        <v>2</v>
      </c>
      <c r="B6149" s="561" t="s">
        <v>1754</v>
      </c>
      <c r="C6149" s="561" t="s">
        <v>1206</v>
      </c>
      <c r="D6149" s="561">
        <v>1263456.148</v>
      </c>
      <c r="E6149" s="561">
        <v>236457</v>
      </c>
      <c r="F6149" s="561">
        <v>1026999.148</v>
      </c>
      <c r="G6149" s="561">
        <v>14059</v>
      </c>
      <c r="H6149" s="561">
        <v>1284265.1345188406</v>
      </c>
      <c r="I6149" s="561">
        <v>556</v>
      </c>
      <c r="J6149" s="561">
        <v>18648.147091000003</v>
      </c>
      <c r="K6149" s="561">
        <v>14028</v>
      </c>
      <c r="L6149" s="561">
        <v>1263456.1477449359</v>
      </c>
      <c r="M6149" s="561">
        <v>1263456.1477449359</v>
      </c>
      <c r="N6149" s="561">
        <v>236457</v>
      </c>
      <c r="O6149" s="561">
        <v>0</v>
      </c>
      <c r="P6149" s="561">
        <v>1026999.1477449357</v>
      </c>
      <c r="Q6149" s="561">
        <v>1026999.1479999999</v>
      </c>
    </row>
    <row r="6150" spans="1:111">
      <c r="C6150" s="561" t="s">
        <v>1197</v>
      </c>
      <c r="D6150" s="561">
        <v>1137585.5472500001</v>
      </c>
      <c r="E6150" s="561">
        <v>222735</v>
      </c>
      <c r="F6150" s="561">
        <v>914850.54725000006</v>
      </c>
      <c r="G6150" s="561">
        <v>12487</v>
      </c>
      <c r="H6150" s="561">
        <v>1160272.3121092101</v>
      </c>
      <c r="I6150" s="561">
        <v>511</v>
      </c>
      <c r="J6150" s="561">
        <v>17131.130981000002</v>
      </c>
      <c r="K6150" s="561">
        <v>12457</v>
      </c>
      <c r="L6150" s="561">
        <v>1137585.54896</v>
      </c>
      <c r="M6150" s="561">
        <v>1137585.54896</v>
      </c>
      <c r="N6150" s="561">
        <v>222735</v>
      </c>
      <c r="Q6150" s="561">
        <v>914850.54724999995</v>
      </c>
      <c r="AL6150" s="561">
        <v>914850.54896000004</v>
      </c>
    </row>
    <row r="6151" spans="1:111">
      <c r="C6151" s="561" t="s">
        <v>1198</v>
      </c>
      <c r="D6151" s="561">
        <v>85107</v>
      </c>
      <c r="E6151" s="561">
        <v>10710</v>
      </c>
      <c r="F6151" s="561">
        <v>74397</v>
      </c>
      <c r="G6151" s="561">
        <v>200</v>
      </c>
      <c r="H6151" s="561">
        <v>81542.438369165247</v>
      </c>
      <c r="I6151" s="561">
        <v>9</v>
      </c>
      <c r="J6151" s="561">
        <v>1094.8127899999999</v>
      </c>
      <c r="K6151" s="561">
        <v>200</v>
      </c>
      <c r="L6151" s="561">
        <v>85107.000001517503</v>
      </c>
      <c r="M6151" s="561">
        <v>85107.000001517503</v>
      </c>
      <c r="N6151" s="561">
        <v>10710</v>
      </c>
      <c r="O6151" s="561">
        <v>0</v>
      </c>
      <c r="P6151" s="561">
        <v>74397.000001517503</v>
      </c>
      <c r="Q6151" s="561">
        <v>74397</v>
      </c>
    </row>
    <row r="6152" spans="1:111">
      <c r="C6152" s="561" t="s">
        <v>1199</v>
      </c>
      <c r="D6152" s="561">
        <v>32012</v>
      </c>
      <c r="E6152" s="561">
        <v>3012</v>
      </c>
      <c r="F6152" s="561">
        <v>29000</v>
      </c>
      <c r="G6152" s="561">
        <v>1372</v>
      </c>
      <c r="H6152" s="561">
        <v>31614.999290465479</v>
      </c>
      <c r="I6152" s="561">
        <v>36</v>
      </c>
      <c r="J6152" s="561">
        <v>422.20331999999996</v>
      </c>
      <c r="K6152" s="561">
        <v>1371</v>
      </c>
      <c r="L6152" s="561">
        <v>32011.998033418258</v>
      </c>
      <c r="M6152" s="561">
        <v>32011.998033418258</v>
      </c>
      <c r="N6152" s="561">
        <v>3012</v>
      </c>
      <c r="O6152" s="561">
        <v>0</v>
      </c>
      <c r="P6152" s="561">
        <v>28999.998033418258</v>
      </c>
      <c r="Q6152" s="561">
        <v>29000</v>
      </c>
    </row>
    <row r="6153" spans="1:111">
      <c r="C6153" s="561" t="s">
        <v>1202</v>
      </c>
      <c r="D6153" s="561">
        <v>8751.6007499999996</v>
      </c>
      <c r="F6153" s="561">
        <v>8751.6007499999996</v>
      </c>
      <c r="H6153" s="561">
        <v>10835.384749999999</v>
      </c>
      <c r="K6153" s="561">
        <v>0</v>
      </c>
      <c r="L6153" s="561">
        <v>8751.6007499999996</v>
      </c>
      <c r="M6153" s="561">
        <v>8751.6007499999996</v>
      </c>
      <c r="P6153" s="561">
        <v>8751.6007499999996</v>
      </c>
      <c r="Q6153" s="561">
        <v>8751.6007499999996</v>
      </c>
    </row>
    <row r="6154" spans="1:111">
      <c r="A6154" s="561">
        <v>3</v>
      </c>
      <c r="B6154" s="561" t="s">
        <v>1755</v>
      </c>
      <c r="C6154" s="561" t="s">
        <v>1206</v>
      </c>
      <c r="D6154" s="561">
        <v>794945.02099999995</v>
      </c>
      <c r="E6154" s="561">
        <v>216139.8</v>
      </c>
      <c r="F6154" s="561">
        <v>578805.22100000002</v>
      </c>
      <c r="G6154" s="561">
        <v>12620</v>
      </c>
      <c r="H6154" s="561">
        <v>806702.25085604098</v>
      </c>
      <c r="I6154" s="561">
        <v>421</v>
      </c>
      <c r="J6154" s="561">
        <v>13051.729719999999</v>
      </c>
      <c r="K6154" s="561">
        <v>12615</v>
      </c>
      <c r="L6154" s="561">
        <v>794945.02072200016</v>
      </c>
      <c r="M6154" s="561">
        <v>794945.02072200016</v>
      </c>
      <c r="N6154" s="561">
        <v>216139.8</v>
      </c>
      <c r="O6154" s="561">
        <v>0</v>
      </c>
      <c r="P6154" s="561">
        <v>578805.22072200011</v>
      </c>
      <c r="Q6154" s="561">
        <v>578805.22100000002</v>
      </c>
    </row>
    <row r="6155" spans="1:111">
      <c r="C6155" s="561" t="s">
        <v>1197</v>
      </c>
      <c r="D6155" s="561">
        <v>767664.78287999996</v>
      </c>
      <c r="E6155" s="561">
        <v>208693.5</v>
      </c>
      <c r="F6155" s="561">
        <v>558971.28287999996</v>
      </c>
      <c r="G6155" s="561">
        <v>11513</v>
      </c>
      <c r="H6155" s="561">
        <v>779960.13714018604</v>
      </c>
      <c r="I6155" s="561">
        <v>372</v>
      </c>
      <c r="J6155" s="561">
        <v>11482.489659999999</v>
      </c>
      <c r="K6155" s="561">
        <v>11508</v>
      </c>
      <c r="L6155" s="561">
        <v>767664.78259331803</v>
      </c>
      <c r="M6155" s="561">
        <v>767664.78259331803</v>
      </c>
      <c r="N6155" s="561">
        <v>208693.5</v>
      </c>
      <c r="Q6155" s="561">
        <v>558971.28287999996</v>
      </c>
      <c r="AL6155" s="561">
        <v>558971.28259331803</v>
      </c>
    </row>
    <row r="6156" spans="1:111">
      <c r="C6156" s="561" t="s">
        <v>1198</v>
      </c>
      <c r="D6156" s="561">
        <v>7926</v>
      </c>
      <c r="E6156" s="561">
        <v>4500</v>
      </c>
      <c r="F6156" s="561">
        <v>3426</v>
      </c>
      <c r="G6156" s="561">
        <v>21</v>
      </c>
      <c r="H6156" s="561">
        <v>6441.1263052896056</v>
      </c>
      <c r="I6156" s="561">
        <v>1</v>
      </c>
      <c r="J6156" s="561">
        <v>104.444</v>
      </c>
      <c r="K6156" s="561">
        <v>21</v>
      </c>
      <c r="L6156" s="561">
        <v>7925.9999956707716</v>
      </c>
      <c r="M6156" s="561">
        <v>7925.9999956707716</v>
      </c>
      <c r="N6156" s="561">
        <v>4500</v>
      </c>
      <c r="O6156" s="561">
        <v>0</v>
      </c>
      <c r="P6156" s="561">
        <v>3425.9999956707716</v>
      </c>
      <c r="Q6156" s="561">
        <v>3426</v>
      </c>
    </row>
    <row r="6157" spans="1:111">
      <c r="C6157" s="561" t="s">
        <v>1199</v>
      </c>
      <c r="D6157" s="561">
        <v>16025.7</v>
      </c>
      <c r="E6157" s="561">
        <v>2946.3</v>
      </c>
      <c r="F6157" s="561">
        <v>13079.4</v>
      </c>
      <c r="G6157" s="561">
        <v>1086</v>
      </c>
      <c r="H6157" s="561">
        <v>16283.932940565446</v>
      </c>
      <c r="I6157" s="561">
        <v>48</v>
      </c>
      <c r="J6157" s="561">
        <v>1464.7960600000001</v>
      </c>
      <c r="K6157" s="561">
        <v>1086</v>
      </c>
      <c r="L6157" s="561">
        <v>16025.700013011323</v>
      </c>
      <c r="M6157" s="561">
        <v>16025.700013011323</v>
      </c>
      <c r="N6157" s="561">
        <v>2946.3</v>
      </c>
      <c r="O6157" s="561">
        <v>0</v>
      </c>
      <c r="P6157" s="561">
        <v>13079.400013011324</v>
      </c>
      <c r="Q6157" s="561">
        <v>13079.4</v>
      </c>
    </row>
    <row r="6158" spans="1:111">
      <c r="C6158" s="561" t="s">
        <v>1202</v>
      </c>
      <c r="D6158" s="561">
        <v>3328.5381200000002</v>
      </c>
      <c r="F6158" s="561">
        <v>3328.5381200000002</v>
      </c>
      <c r="H6158" s="561">
        <v>4017.05447</v>
      </c>
      <c r="K6158" s="561">
        <v>0</v>
      </c>
      <c r="L6158" s="561">
        <v>3328.5381200000002</v>
      </c>
      <c r="M6158" s="561">
        <v>3328.5381200000002</v>
      </c>
      <c r="P6158" s="561">
        <v>3328.5381200000002</v>
      </c>
      <c r="Q6158" s="561">
        <v>3328.5381200000002</v>
      </c>
    </row>
    <row r="6159" spans="1:111">
      <c r="A6159" s="561">
        <v>4</v>
      </c>
      <c r="B6159" s="561" t="s">
        <v>1756</v>
      </c>
      <c r="C6159" s="561" t="s">
        <v>1206</v>
      </c>
      <c r="D6159" s="561">
        <v>721422.022</v>
      </c>
      <c r="E6159" s="561">
        <v>141901.20000000001</v>
      </c>
      <c r="F6159" s="561">
        <v>579520.82200000004</v>
      </c>
      <c r="G6159" s="561">
        <v>8480</v>
      </c>
      <c r="H6159" s="561">
        <v>756266.49219691998</v>
      </c>
      <c r="I6159" s="561">
        <v>412</v>
      </c>
      <c r="J6159" s="561">
        <v>14807.522647999998</v>
      </c>
      <c r="K6159" s="561">
        <v>8458</v>
      </c>
      <c r="L6159" s="561">
        <v>721422.022</v>
      </c>
      <c r="M6159" s="561">
        <v>721422.022</v>
      </c>
      <c r="N6159" s="561">
        <v>141901.19999999998</v>
      </c>
      <c r="O6159" s="561">
        <v>0</v>
      </c>
      <c r="P6159" s="561">
        <v>579520.82200000004</v>
      </c>
      <c r="Q6159" s="561">
        <v>579520.82200000004</v>
      </c>
    </row>
    <row r="6160" spans="1:111">
      <c r="C6160" s="561" t="s">
        <v>1197</v>
      </c>
      <c r="D6160" s="561">
        <v>712101</v>
      </c>
      <c r="E6160" s="561">
        <v>141901.20000000001</v>
      </c>
      <c r="F6160" s="561">
        <v>570199.80000000005</v>
      </c>
      <c r="G6160" s="561">
        <v>8480</v>
      </c>
      <c r="H6160" s="561">
        <v>726598.23222691996</v>
      </c>
      <c r="I6160" s="561">
        <v>412</v>
      </c>
      <c r="J6160" s="561">
        <v>14807.522647999998</v>
      </c>
      <c r="K6160" s="561">
        <v>8458</v>
      </c>
      <c r="L6160" s="561">
        <v>712100.99968000001</v>
      </c>
      <c r="M6160" s="561">
        <v>712100.99968000001</v>
      </c>
      <c r="N6160" s="561">
        <v>141901.19999999998</v>
      </c>
      <c r="Q6160" s="561">
        <v>570199.80000000005</v>
      </c>
      <c r="BB6160" s="561">
        <v>570199.79968000005</v>
      </c>
    </row>
    <row r="6161" spans="1:78">
      <c r="C6161" s="561" t="s">
        <v>1202</v>
      </c>
      <c r="D6161" s="561">
        <v>9321.0220000000008</v>
      </c>
      <c r="F6161" s="561">
        <v>9321.0220000000008</v>
      </c>
      <c r="H6161" s="561">
        <v>29668.259969999999</v>
      </c>
      <c r="K6161" s="561">
        <v>0</v>
      </c>
      <c r="L6161" s="561">
        <v>9321.02232</v>
      </c>
      <c r="M6161" s="561">
        <v>9321.02232</v>
      </c>
      <c r="P6161" s="561">
        <v>9321.02232</v>
      </c>
      <c r="Q6161" s="561">
        <v>9321.0220000000008</v>
      </c>
    </row>
    <row r="6162" spans="1:78">
      <c r="A6162" s="561">
        <v>5</v>
      </c>
      <c r="B6162" s="561" t="s">
        <v>1757</v>
      </c>
      <c r="C6162" s="561" t="s">
        <v>1197</v>
      </c>
      <c r="D6162" s="561">
        <v>397621</v>
      </c>
      <c r="E6162" s="561">
        <v>93936.3</v>
      </c>
      <c r="F6162" s="561">
        <v>303684.7</v>
      </c>
      <c r="G6162" s="561">
        <v>4758</v>
      </c>
      <c r="H6162" s="561">
        <v>404964.86181953596</v>
      </c>
      <c r="I6162" s="561">
        <v>268</v>
      </c>
      <c r="J6162" s="561">
        <v>9431.1368569999995</v>
      </c>
      <c r="K6162" s="561">
        <v>4755</v>
      </c>
      <c r="L6162" s="561">
        <v>397621.00000000006</v>
      </c>
      <c r="M6162" s="561">
        <v>397621.00000000006</v>
      </c>
      <c r="N6162" s="561">
        <v>93936.3</v>
      </c>
      <c r="O6162" s="561">
        <v>0</v>
      </c>
      <c r="Q6162" s="561">
        <v>303684.70000000007</v>
      </c>
      <c r="BB6162" s="561">
        <v>303684.70000000007</v>
      </c>
    </row>
    <row r="6163" spans="1:78">
      <c r="A6163" s="561">
        <v>6</v>
      </c>
      <c r="B6163" s="561" t="s">
        <v>1758</v>
      </c>
      <c r="C6163" s="561" t="s">
        <v>1206</v>
      </c>
      <c r="D6163" s="561">
        <v>76832.5</v>
      </c>
      <c r="E6163" s="561">
        <v>22849.5</v>
      </c>
      <c r="F6163" s="561">
        <v>53983</v>
      </c>
      <c r="G6163" s="561">
        <v>2150</v>
      </c>
      <c r="H6163" s="561">
        <v>76980.853224947758</v>
      </c>
      <c r="I6163" s="561">
        <v>4</v>
      </c>
      <c r="J6163" s="561">
        <v>124.00354999999999</v>
      </c>
      <c r="K6163" s="561">
        <v>2149</v>
      </c>
      <c r="L6163" s="561">
        <v>76832.5</v>
      </c>
      <c r="M6163" s="561">
        <v>76832.5</v>
      </c>
      <c r="N6163" s="561">
        <v>22849.5</v>
      </c>
      <c r="O6163" s="561">
        <v>0</v>
      </c>
      <c r="P6163" s="561">
        <v>53982.999999999993</v>
      </c>
      <c r="Q6163" s="561">
        <v>53983</v>
      </c>
    </row>
    <row r="6164" spans="1:78">
      <c r="C6164" s="561" t="s">
        <v>1197</v>
      </c>
      <c r="D6164" s="561">
        <v>57783</v>
      </c>
      <c r="E6164" s="561">
        <v>17784.900000000001</v>
      </c>
      <c r="F6164" s="561">
        <v>39998.1</v>
      </c>
      <c r="G6164" s="561">
        <v>857</v>
      </c>
      <c r="H6164" s="561">
        <v>57868.01921788961</v>
      </c>
      <c r="I6164" s="561">
        <v>3</v>
      </c>
      <c r="J6164" s="561">
        <v>118.46943999999999</v>
      </c>
      <c r="K6164" s="561">
        <v>856</v>
      </c>
      <c r="L6164" s="561">
        <v>57782.999988861018</v>
      </c>
      <c r="M6164" s="561">
        <v>57782.999988861018</v>
      </c>
      <c r="N6164" s="561">
        <v>17784.900000000001</v>
      </c>
      <c r="O6164" s="561">
        <v>0</v>
      </c>
      <c r="Q6164" s="561">
        <v>39998.1</v>
      </c>
      <c r="AY6164" s="561">
        <v>39998.099988861017</v>
      </c>
    </row>
    <row r="6165" spans="1:78">
      <c r="C6165" s="561" t="s">
        <v>1199</v>
      </c>
      <c r="D6165" s="561">
        <v>19049.500000000004</v>
      </c>
      <c r="E6165" s="561">
        <v>5064.6000000000004</v>
      </c>
      <c r="F6165" s="561">
        <v>13984.900000000003</v>
      </c>
      <c r="G6165" s="561">
        <v>1293</v>
      </c>
      <c r="H6165" s="561">
        <v>19112.83400705814</v>
      </c>
      <c r="I6165" s="561">
        <v>1</v>
      </c>
      <c r="J6165" s="561">
        <v>5.5341100000000001</v>
      </c>
      <c r="K6165" s="561">
        <v>1293</v>
      </c>
      <c r="L6165" s="561">
        <v>19049.500011138978</v>
      </c>
      <c r="M6165" s="561">
        <v>19049.500011138978</v>
      </c>
      <c r="N6165" s="561">
        <v>5064.6000000000004</v>
      </c>
      <c r="O6165" s="561">
        <v>0</v>
      </c>
      <c r="P6165" s="561">
        <v>13984.900011138978</v>
      </c>
      <c r="Q6165" s="561">
        <v>13984.9</v>
      </c>
    </row>
    <row r="6166" spans="1:78">
      <c r="A6166" s="561">
        <v>7</v>
      </c>
      <c r="B6166" s="561" t="s">
        <v>1759</v>
      </c>
      <c r="C6166" s="561" t="s">
        <v>1206</v>
      </c>
      <c r="D6166" s="561">
        <v>64421</v>
      </c>
      <c r="E6166" s="561">
        <v>16326.3</v>
      </c>
      <c r="F6166" s="561">
        <v>48094.7</v>
      </c>
      <c r="G6166" s="561">
        <v>1381</v>
      </c>
      <c r="H6166" s="561">
        <v>65237.769534029365</v>
      </c>
      <c r="I6166" s="561">
        <v>66</v>
      </c>
      <c r="J6166" s="561">
        <v>801.08269999999993</v>
      </c>
      <c r="K6166" s="561">
        <v>1378</v>
      </c>
      <c r="L6166" s="561">
        <v>64421.000000000015</v>
      </c>
      <c r="M6166" s="561">
        <v>64421.000000000015</v>
      </c>
      <c r="N6166" s="561">
        <v>16326.3</v>
      </c>
      <c r="O6166" s="561">
        <v>0</v>
      </c>
      <c r="P6166" s="561">
        <v>48094.700000000012</v>
      </c>
      <c r="Q6166" s="561">
        <v>48094.700000000012</v>
      </c>
    </row>
    <row r="6167" spans="1:78">
      <c r="C6167" s="561" t="s">
        <v>1197</v>
      </c>
      <c r="D6167" s="561">
        <v>57057</v>
      </c>
      <c r="E6167" s="561">
        <v>14341.8</v>
      </c>
      <c r="F6167" s="561">
        <v>42715.199999999997</v>
      </c>
      <c r="G6167" s="561">
        <v>876</v>
      </c>
      <c r="H6167" s="561">
        <v>57481.015294218261</v>
      </c>
      <c r="I6167" s="561">
        <v>14</v>
      </c>
      <c r="J6167" s="561">
        <v>523.94886999999994</v>
      </c>
      <c r="K6167" s="561">
        <v>876</v>
      </c>
      <c r="L6167" s="561">
        <v>57057.000000021028</v>
      </c>
      <c r="M6167" s="561">
        <v>57057.000000021028</v>
      </c>
      <c r="N6167" s="561">
        <v>14341.8</v>
      </c>
      <c r="O6167" s="561">
        <v>0</v>
      </c>
      <c r="Q6167" s="561">
        <v>42715.200000000012</v>
      </c>
      <c r="BZ6167" s="561">
        <v>42715.200000021025</v>
      </c>
    </row>
    <row r="6168" spans="1:78">
      <c r="C6168" s="561" t="s">
        <v>1199</v>
      </c>
      <c r="D6168" s="561">
        <v>7364</v>
      </c>
      <c r="E6168" s="561">
        <v>1984.5</v>
      </c>
      <c r="F6168" s="561">
        <v>5379.5</v>
      </c>
      <c r="G6168" s="561">
        <v>505</v>
      </c>
      <c r="H6168" s="561">
        <v>7756.7542398111045</v>
      </c>
      <c r="I6168" s="561">
        <v>52</v>
      </c>
      <c r="J6168" s="561">
        <v>277.13382999999999</v>
      </c>
      <c r="K6168" s="561">
        <v>502</v>
      </c>
      <c r="L6168" s="561">
        <v>7363.9999999789861</v>
      </c>
      <c r="M6168" s="561">
        <v>7363.9999999789861</v>
      </c>
      <c r="N6168" s="561">
        <v>1984.5</v>
      </c>
      <c r="O6168" s="561">
        <v>0</v>
      </c>
      <c r="P6168" s="561">
        <v>5379.4999999789861</v>
      </c>
      <c r="Q6168" s="561">
        <v>5379.5</v>
      </c>
    </row>
    <row r="6169" spans="1:78">
      <c r="A6169" s="561">
        <v>8</v>
      </c>
      <c r="B6169" s="561" t="s">
        <v>1760</v>
      </c>
      <c r="C6169" s="561" t="s">
        <v>1206</v>
      </c>
      <c r="D6169" s="561">
        <v>1679417.5089999998</v>
      </c>
      <c r="E6169" s="561">
        <v>380736.3</v>
      </c>
      <c r="F6169" s="561">
        <v>1298681.209</v>
      </c>
      <c r="G6169" s="561">
        <v>19560</v>
      </c>
      <c r="H6169" s="561">
        <v>1730040.06152</v>
      </c>
      <c r="I6169" s="561">
        <v>1109</v>
      </c>
      <c r="J6169" s="561">
        <v>49087.461469999995</v>
      </c>
      <c r="K6169" s="561">
        <v>19515</v>
      </c>
      <c r="L6169" s="561">
        <v>1679417.5090075037</v>
      </c>
      <c r="M6169" s="561">
        <v>1679417.5090075037</v>
      </c>
      <c r="N6169" s="561">
        <v>380736.3</v>
      </c>
      <c r="O6169" s="561">
        <v>0</v>
      </c>
      <c r="P6169" s="561">
        <v>1298681.2090075039</v>
      </c>
      <c r="Q6169" s="561">
        <v>1298681.209</v>
      </c>
    </row>
    <row r="6170" spans="1:78">
      <c r="C6170" s="561" t="s">
        <v>1197</v>
      </c>
      <c r="D6170" s="561">
        <v>1279931.18863</v>
      </c>
      <c r="E6170" s="561">
        <v>310364.7</v>
      </c>
      <c r="F6170" s="561">
        <v>969566.48862999992</v>
      </c>
      <c r="G6170" s="561">
        <v>17121</v>
      </c>
      <c r="H6170" s="561">
        <v>1292529.4186200001</v>
      </c>
      <c r="I6170" s="561">
        <v>1010</v>
      </c>
      <c r="J6170" s="561">
        <v>36924.403309999994</v>
      </c>
      <c r="K6170" s="561">
        <v>17158</v>
      </c>
      <c r="L6170" s="561">
        <v>1279931.18863</v>
      </c>
      <c r="M6170" s="561">
        <v>1279931.18863</v>
      </c>
      <c r="N6170" s="561">
        <v>310364.7</v>
      </c>
      <c r="Q6170" s="561">
        <v>969566.48863000004</v>
      </c>
      <c r="AL6170" s="561">
        <v>969566.48863000004</v>
      </c>
    </row>
    <row r="6171" spans="1:78">
      <c r="C6171" s="561" t="s">
        <v>1198</v>
      </c>
      <c r="D6171" s="561">
        <v>164518</v>
      </c>
      <c r="E6171" s="561">
        <v>17850</v>
      </c>
      <c r="F6171" s="561">
        <v>146668</v>
      </c>
      <c r="G6171" s="561">
        <v>419</v>
      </c>
      <c r="H6171" s="561">
        <v>177179.55664999998</v>
      </c>
      <c r="I6171" s="561">
        <v>41</v>
      </c>
      <c r="J6171" s="561">
        <v>9787.9374499999976</v>
      </c>
      <c r="K6171" s="561">
        <v>418</v>
      </c>
      <c r="L6171" s="561">
        <v>164518.0000075039</v>
      </c>
      <c r="M6171" s="561">
        <v>164518.0000075039</v>
      </c>
      <c r="N6171" s="561">
        <v>17850</v>
      </c>
      <c r="O6171" s="561">
        <v>0</v>
      </c>
      <c r="P6171" s="561">
        <v>146668.0000075039</v>
      </c>
      <c r="Q6171" s="561">
        <v>146668</v>
      </c>
    </row>
    <row r="6172" spans="1:78">
      <c r="C6172" s="561" t="s">
        <v>1199</v>
      </c>
      <c r="D6172" s="561">
        <v>220704.97436999998</v>
      </c>
      <c r="E6172" s="561">
        <v>52521.599999999999</v>
      </c>
      <c r="F6172" s="561">
        <v>168183.37437000001</v>
      </c>
      <c r="G6172" s="561">
        <v>2020</v>
      </c>
      <c r="H6172" s="561">
        <v>242538.65899</v>
      </c>
      <c r="I6172" s="561">
        <v>58</v>
      </c>
      <c r="J6172" s="561">
        <v>2375.1207100000001</v>
      </c>
      <c r="K6172" s="561">
        <v>1939</v>
      </c>
      <c r="L6172" s="561">
        <v>220704.97436999998</v>
      </c>
      <c r="M6172" s="561">
        <v>220704.97436999998</v>
      </c>
      <c r="N6172" s="561">
        <v>52521.599999999999</v>
      </c>
      <c r="O6172" s="561">
        <v>0</v>
      </c>
      <c r="P6172" s="561">
        <v>168183.37436999998</v>
      </c>
      <c r="Q6172" s="561">
        <v>168183.37437000001</v>
      </c>
    </row>
    <row r="6173" spans="1:78">
      <c r="C6173" s="561" t="s">
        <v>1202</v>
      </c>
      <c r="D6173" s="561">
        <v>14263.346</v>
      </c>
      <c r="F6173" s="561">
        <v>14263.346</v>
      </c>
      <c r="H6173" s="561">
        <v>17792.42726</v>
      </c>
      <c r="K6173" s="561">
        <v>0</v>
      </c>
      <c r="L6173" s="561">
        <v>14263.346000000001</v>
      </c>
      <c r="M6173" s="561">
        <v>14263.346000000001</v>
      </c>
      <c r="P6173" s="561">
        <v>14263.346000000001</v>
      </c>
      <c r="Q6173" s="561">
        <v>14263.346</v>
      </c>
    </row>
    <row r="6174" spans="1:78">
      <c r="A6174" s="561">
        <v>9</v>
      </c>
      <c r="B6174" s="561" t="s">
        <v>1761</v>
      </c>
      <c r="C6174" s="561" t="s">
        <v>1206</v>
      </c>
      <c r="D6174" s="561">
        <v>1388578.496</v>
      </c>
      <c r="E6174" s="561">
        <v>302475.30000000005</v>
      </c>
      <c r="F6174" s="561">
        <v>1086103.196</v>
      </c>
      <c r="G6174" s="561">
        <v>4812</v>
      </c>
      <c r="H6174" s="561">
        <v>1434909.42203</v>
      </c>
      <c r="I6174" s="561">
        <v>419</v>
      </c>
      <c r="J6174" s="561">
        <v>41430.853420177198</v>
      </c>
      <c r="K6174" s="561">
        <v>4793</v>
      </c>
      <c r="L6174" s="561">
        <v>1388578.4955023685</v>
      </c>
      <c r="M6174" s="561">
        <v>1388578.4955023685</v>
      </c>
      <c r="N6174" s="561">
        <v>302475.30000000005</v>
      </c>
      <c r="O6174" s="561">
        <v>0</v>
      </c>
      <c r="P6174" s="561">
        <v>1086103.1955023685</v>
      </c>
      <c r="Q6174" s="561">
        <v>1086103.19551</v>
      </c>
    </row>
    <row r="6175" spans="1:78">
      <c r="C6175" s="561" t="s">
        <v>1197</v>
      </c>
      <c r="D6175" s="561">
        <v>605166.62519000005</v>
      </c>
      <c r="E6175" s="561">
        <v>207800.5</v>
      </c>
      <c r="F6175" s="561">
        <v>397366.12518999999</v>
      </c>
      <c r="G6175" s="561">
        <v>4198</v>
      </c>
      <c r="H6175" s="561">
        <v>629883.06668000005</v>
      </c>
      <c r="I6175" s="561">
        <v>383</v>
      </c>
      <c r="J6175" s="561">
        <v>23288.160489999998</v>
      </c>
      <c r="K6175" s="561">
        <v>4183</v>
      </c>
      <c r="L6175" s="561">
        <v>605166.63031000004</v>
      </c>
      <c r="M6175" s="561">
        <v>605166.63031000004</v>
      </c>
      <c r="N6175" s="561">
        <v>207800.5</v>
      </c>
      <c r="Q6175" s="561">
        <v>397366.12469999999</v>
      </c>
      <c r="AL6175" s="561">
        <v>397366.13031000004</v>
      </c>
    </row>
    <row r="6176" spans="1:78">
      <c r="C6176" s="561" t="s">
        <v>1198</v>
      </c>
      <c r="D6176" s="561">
        <v>776597</v>
      </c>
      <c r="E6176" s="561">
        <v>94674.800000000017</v>
      </c>
      <c r="F6176" s="561">
        <v>681922.2</v>
      </c>
      <c r="G6176" s="561">
        <v>614</v>
      </c>
      <c r="H6176" s="561">
        <v>796957.63361000014</v>
      </c>
      <c r="I6176" s="561">
        <v>36</v>
      </c>
      <c r="J6176" s="561">
        <v>18142.6929301772</v>
      </c>
      <c r="K6176" s="561">
        <v>610</v>
      </c>
      <c r="L6176" s="561">
        <v>776596.99438236852</v>
      </c>
      <c r="M6176" s="561">
        <v>776596.99438236852</v>
      </c>
      <c r="N6176" s="561">
        <v>94674.800000000017</v>
      </c>
      <c r="O6176" s="561">
        <v>0</v>
      </c>
      <c r="P6176" s="561">
        <v>681922.19438236847</v>
      </c>
      <c r="Q6176" s="561">
        <v>681922.2</v>
      </c>
    </row>
    <row r="6177" spans="1:54">
      <c r="C6177" s="561" t="s">
        <v>1202</v>
      </c>
      <c r="D6177" s="561">
        <v>6814.8708100000003</v>
      </c>
      <c r="F6177" s="561">
        <v>6814.8708100000003</v>
      </c>
      <c r="H6177" s="561">
        <v>8068.72174</v>
      </c>
      <c r="K6177" s="561">
        <v>0</v>
      </c>
      <c r="L6177" s="561">
        <v>6814.8708100000003</v>
      </c>
      <c r="M6177" s="561">
        <v>6814.8708100000003</v>
      </c>
      <c r="P6177" s="561">
        <v>6814.8708100000003</v>
      </c>
      <c r="Q6177" s="561">
        <v>6814.8708100000003</v>
      </c>
    </row>
    <row r="6178" spans="1:54">
      <c r="A6178" s="561">
        <v>10</v>
      </c>
      <c r="B6178" s="561" t="s">
        <v>1762</v>
      </c>
      <c r="C6178" s="561" t="s">
        <v>1206</v>
      </c>
      <c r="D6178" s="561">
        <v>697760.01399999997</v>
      </c>
      <c r="E6178" s="561">
        <v>151940.09999999998</v>
      </c>
      <c r="F6178" s="561">
        <v>545819.91399999999</v>
      </c>
      <c r="G6178" s="561">
        <v>10044</v>
      </c>
      <c r="H6178" s="561">
        <v>714999.96236513578</v>
      </c>
      <c r="I6178" s="561">
        <v>365</v>
      </c>
      <c r="J6178" s="561">
        <v>12308.23638</v>
      </c>
      <c r="K6178" s="561">
        <v>10036</v>
      </c>
      <c r="L6178" s="561">
        <v>697760.01399974315</v>
      </c>
      <c r="M6178" s="561">
        <v>697760.01399974315</v>
      </c>
      <c r="N6178" s="561">
        <v>151940.09999999998</v>
      </c>
      <c r="O6178" s="561">
        <v>0</v>
      </c>
      <c r="P6178" s="561">
        <v>545819.91399974318</v>
      </c>
      <c r="Q6178" s="561">
        <v>545819.91399999999</v>
      </c>
    </row>
    <row r="6179" spans="1:54">
      <c r="C6179" s="561" t="s">
        <v>1197</v>
      </c>
      <c r="D6179" s="561">
        <v>657489.00009999995</v>
      </c>
      <c r="E6179" s="561">
        <v>149175.29999999999</v>
      </c>
      <c r="F6179" s="561">
        <v>508313.70009999996</v>
      </c>
      <c r="G6179" s="561">
        <v>9133</v>
      </c>
      <c r="H6179" s="561">
        <v>666297.99940002407</v>
      </c>
      <c r="I6179" s="561">
        <v>336</v>
      </c>
      <c r="J6179" s="561">
        <v>10377.663130000001</v>
      </c>
      <c r="K6179" s="561">
        <v>9126</v>
      </c>
      <c r="L6179" s="561">
        <v>657489.00099173677</v>
      </c>
      <c r="M6179" s="561">
        <v>657489.00099173677</v>
      </c>
      <c r="N6179" s="561">
        <v>149175.29999999999</v>
      </c>
      <c r="Q6179" s="561">
        <v>508313.70009999996</v>
      </c>
      <c r="AL6179" s="561">
        <v>508313.70099173678</v>
      </c>
    </row>
    <row r="6180" spans="1:54">
      <c r="C6180" s="561" t="s">
        <v>1198</v>
      </c>
      <c r="D6180" s="561">
        <v>22753</v>
      </c>
      <c r="E6180" s="561">
        <v>1200</v>
      </c>
      <c r="F6180" s="561">
        <v>21553</v>
      </c>
      <c r="G6180" s="561">
        <v>73</v>
      </c>
      <c r="H6180" s="561">
        <v>24407.103704152338</v>
      </c>
      <c r="I6180" s="561">
        <v>6</v>
      </c>
      <c r="J6180" s="561">
        <v>1277.70983</v>
      </c>
      <c r="K6180" s="561">
        <v>73</v>
      </c>
      <c r="L6180" s="561">
        <v>22753.000000948119</v>
      </c>
      <c r="M6180" s="561">
        <v>22753.000000948119</v>
      </c>
      <c r="N6180" s="561">
        <v>1200</v>
      </c>
      <c r="O6180" s="561">
        <v>0</v>
      </c>
      <c r="P6180" s="561">
        <v>21553.000000948119</v>
      </c>
      <c r="Q6180" s="561">
        <v>21553</v>
      </c>
    </row>
    <row r="6181" spans="1:54">
      <c r="C6181" s="561" t="s">
        <v>1199</v>
      </c>
      <c r="D6181" s="561">
        <v>11657</v>
      </c>
      <c r="E6181" s="561">
        <v>1564.8</v>
      </c>
      <c r="F6181" s="561">
        <v>10092.200000000001</v>
      </c>
      <c r="G6181" s="561">
        <v>838</v>
      </c>
      <c r="H6181" s="561">
        <v>12798.861540959377</v>
      </c>
      <c r="I6181" s="561">
        <v>23</v>
      </c>
      <c r="J6181" s="561">
        <v>652.86342000000002</v>
      </c>
      <c r="K6181" s="561">
        <v>837</v>
      </c>
      <c r="L6181" s="561">
        <v>11657.00000705823</v>
      </c>
      <c r="M6181" s="561">
        <v>11657.00000705823</v>
      </c>
      <c r="N6181" s="561">
        <v>1564.8</v>
      </c>
      <c r="O6181" s="561">
        <v>0</v>
      </c>
      <c r="P6181" s="561">
        <v>10092.200007058231</v>
      </c>
      <c r="Q6181" s="561">
        <v>10092.199999999999</v>
      </c>
    </row>
    <row r="6182" spans="1:54">
      <c r="C6182" s="561" t="s">
        <v>1202</v>
      </c>
      <c r="D6182" s="561">
        <v>5861.0138999999999</v>
      </c>
      <c r="F6182" s="561">
        <v>5861.0138999999999</v>
      </c>
      <c r="H6182" s="561">
        <v>11495.997719999999</v>
      </c>
      <c r="K6182" s="561">
        <v>0</v>
      </c>
      <c r="L6182" s="561">
        <v>5861.0129999999999</v>
      </c>
      <c r="M6182" s="561">
        <v>5861.0129999999999</v>
      </c>
      <c r="P6182" s="561">
        <v>5861.0129999999999</v>
      </c>
      <c r="Q6182" s="561">
        <v>5861.0138999999999</v>
      </c>
    </row>
    <row r="6183" spans="1:54">
      <c r="A6183" s="561">
        <v>11</v>
      </c>
      <c r="B6183" s="561" t="s">
        <v>1763</v>
      </c>
      <c r="C6183" s="561" t="s">
        <v>1206</v>
      </c>
      <c r="D6183" s="561">
        <v>911234.049</v>
      </c>
      <c r="E6183" s="561">
        <v>244396.79999999999</v>
      </c>
      <c r="F6183" s="561">
        <v>666837.25005000003</v>
      </c>
      <c r="G6183" s="561">
        <v>13340</v>
      </c>
      <c r="H6183" s="561">
        <v>952914.49391507718</v>
      </c>
      <c r="I6183" s="561">
        <v>1138</v>
      </c>
      <c r="J6183" s="561">
        <v>37780.054680943234</v>
      </c>
      <c r="K6183" s="561">
        <v>13257</v>
      </c>
      <c r="L6183" s="561">
        <v>911234.04899999953</v>
      </c>
      <c r="M6183" s="561">
        <v>911234.04899999953</v>
      </c>
      <c r="N6183" s="561">
        <v>244396.79999999999</v>
      </c>
      <c r="O6183" s="561">
        <v>0</v>
      </c>
      <c r="P6183" s="561">
        <v>666837.24899999949</v>
      </c>
      <c r="Q6183" s="561">
        <v>666837.25005000003</v>
      </c>
    </row>
    <row r="6184" spans="1:54">
      <c r="C6184" s="561" t="s">
        <v>1197</v>
      </c>
      <c r="D6184" s="561">
        <v>792350.75466999994</v>
      </c>
      <c r="E6184" s="561">
        <v>218671.8</v>
      </c>
      <c r="F6184" s="561">
        <v>573678.95571999997</v>
      </c>
      <c r="G6184" s="561">
        <v>12036</v>
      </c>
      <c r="H6184" s="561">
        <v>818230.55135814799</v>
      </c>
      <c r="I6184" s="561">
        <v>1100</v>
      </c>
      <c r="J6184" s="561">
        <v>34722.566980943229</v>
      </c>
      <c r="K6184" s="561">
        <v>11973</v>
      </c>
      <c r="L6184" s="561">
        <v>792350.75471418072</v>
      </c>
      <c r="M6184" s="561">
        <v>792350.75471418072</v>
      </c>
      <c r="N6184" s="561">
        <v>218671.8</v>
      </c>
      <c r="Q6184" s="561">
        <v>573678.95571999997</v>
      </c>
      <c r="AL6184" s="561">
        <v>573678.95471418067</v>
      </c>
    </row>
    <row r="6185" spans="1:54">
      <c r="C6185" s="561" t="s">
        <v>1198</v>
      </c>
      <c r="D6185" s="561">
        <v>44410</v>
      </c>
      <c r="E6185" s="561">
        <v>6600</v>
      </c>
      <c r="F6185" s="561">
        <v>37810</v>
      </c>
      <c r="G6185" s="561">
        <v>144</v>
      </c>
      <c r="H6185" s="561">
        <v>47522.432511608633</v>
      </c>
      <c r="I6185" s="561">
        <v>5</v>
      </c>
      <c r="J6185" s="561">
        <v>1223.9681099999998</v>
      </c>
      <c r="K6185" s="561">
        <v>144</v>
      </c>
      <c r="L6185" s="561">
        <v>44410.000000598833</v>
      </c>
      <c r="M6185" s="561">
        <v>44410.000000598833</v>
      </c>
      <c r="N6185" s="561">
        <v>6600</v>
      </c>
      <c r="O6185" s="561">
        <v>0</v>
      </c>
      <c r="P6185" s="561">
        <v>37810.000000598833</v>
      </c>
      <c r="Q6185" s="561">
        <v>37810</v>
      </c>
    </row>
    <row r="6186" spans="1:54">
      <c r="C6186" s="561" t="s">
        <v>1199</v>
      </c>
      <c r="D6186" s="561">
        <v>65802.934720000005</v>
      </c>
      <c r="E6186" s="561">
        <v>19125</v>
      </c>
      <c r="F6186" s="561">
        <v>46677.934720000005</v>
      </c>
      <c r="G6186" s="561">
        <v>1160</v>
      </c>
      <c r="H6186" s="561">
        <v>75795.414935320558</v>
      </c>
      <c r="I6186" s="561">
        <v>33</v>
      </c>
      <c r="J6186" s="561">
        <v>1833.5195900000001</v>
      </c>
      <c r="K6186" s="561">
        <v>1140</v>
      </c>
      <c r="L6186" s="561">
        <v>65802.93471522005</v>
      </c>
      <c r="M6186" s="561">
        <v>65802.93471522005</v>
      </c>
      <c r="N6186" s="561">
        <v>19125</v>
      </c>
      <c r="O6186" s="561">
        <v>0</v>
      </c>
      <c r="P6186" s="561">
        <v>46677.93471522005</v>
      </c>
      <c r="Q6186" s="561">
        <v>46677.934719999997</v>
      </c>
    </row>
    <row r="6187" spans="1:54">
      <c r="C6187" s="561" t="s">
        <v>1202</v>
      </c>
      <c r="D6187" s="561">
        <v>8670.3596099999995</v>
      </c>
      <c r="F6187" s="561">
        <v>8670.3596099999995</v>
      </c>
      <c r="H6187" s="561">
        <v>11366.09511</v>
      </c>
      <c r="K6187" s="561">
        <v>0</v>
      </c>
      <c r="L6187" s="561">
        <v>8670.3595700000005</v>
      </c>
      <c r="M6187" s="561">
        <v>8670.3595700000005</v>
      </c>
      <c r="P6187" s="561">
        <v>8670.3595700000005</v>
      </c>
      <c r="Q6187" s="561">
        <v>8670.3596099999995</v>
      </c>
    </row>
    <row r="6188" spans="1:54">
      <c r="A6188" s="561">
        <v>12</v>
      </c>
      <c r="B6188" s="561" t="s">
        <v>1764</v>
      </c>
      <c r="C6188" s="561" t="s">
        <v>1206</v>
      </c>
      <c r="D6188" s="561">
        <v>369105.5</v>
      </c>
      <c r="E6188" s="561">
        <v>93481.8</v>
      </c>
      <c r="F6188" s="561">
        <v>275623.7</v>
      </c>
      <c r="G6188" s="561">
        <v>6373</v>
      </c>
      <c r="H6188" s="561">
        <v>379491.90876483632</v>
      </c>
      <c r="I6188" s="561">
        <v>324</v>
      </c>
      <c r="J6188" s="561">
        <v>9571.2825400000002</v>
      </c>
      <c r="K6188" s="561">
        <v>6356</v>
      </c>
      <c r="L6188" s="561">
        <v>369105.50000117737</v>
      </c>
      <c r="M6188" s="561">
        <v>369105.50000117737</v>
      </c>
      <c r="N6188" s="561">
        <v>93481.8</v>
      </c>
      <c r="O6188" s="561">
        <v>0</v>
      </c>
      <c r="P6188" s="561">
        <v>275623.70000117738</v>
      </c>
      <c r="Q6188" s="561">
        <v>275623.70000000007</v>
      </c>
    </row>
    <row r="6189" spans="1:54">
      <c r="C6189" s="561" t="s">
        <v>1197</v>
      </c>
      <c r="D6189" s="561">
        <v>361805</v>
      </c>
      <c r="E6189" s="561">
        <v>91756.800000000003</v>
      </c>
      <c r="F6189" s="561">
        <v>270048.2</v>
      </c>
      <c r="G6189" s="561">
        <v>5848</v>
      </c>
      <c r="H6189" s="561">
        <v>372012.18066043925</v>
      </c>
      <c r="I6189" s="561">
        <v>290</v>
      </c>
      <c r="J6189" s="561">
        <v>9294.2874699999993</v>
      </c>
      <c r="K6189" s="561">
        <v>5833</v>
      </c>
      <c r="L6189" s="561">
        <v>361804.99999915727</v>
      </c>
      <c r="M6189" s="561">
        <v>361804.99999915727</v>
      </c>
      <c r="N6189" s="561">
        <v>91756.800000000003</v>
      </c>
      <c r="Q6189" s="561">
        <v>270048.20000000007</v>
      </c>
      <c r="BB6189" s="561">
        <v>270048.19999915728</v>
      </c>
    </row>
    <row r="6190" spans="1:54">
      <c r="C6190" s="561" t="s">
        <v>1199</v>
      </c>
      <c r="D6190" s="561">
        <v>7300.5</v>
      </c>
      <c r="E6190" s="561">
        <v>1725</v>
      </c>
      <c r="F6190" s="561">
        <v>5575.5</v>
      </c>
      <c r="G6190" s="561">
        <v>525</v>
      </c>
      <c r="H6190" s="561">
        <v>7479.7281043970679</v>
      </c>
      <c r="I6190" s="561">
        <v>34</v>
      </c>
      <c r="J6190" s="561">
        <v>276.99507</v>
      </c>
      <c r="K6190" s="561">
        <v>523</v>
      </c>
      <c r="L6190" s="561">
        <v>7300.500002020096</v>
      </c>
      <c r="M6190" s="561">
        <v>7300.500002020096</v>
      </c>
      <c r="N6190" s="561">
        <v>1725</v>
      </c>
      <c r="O6190" s="561">
        <v>0</v>
      </c>
      <c r="P6190" s="561">
        <v>5575.500002020096</v>
      </c>
      <c r="Q6190" s="561">
        <v>5575.5</v>
      </c>
    </row>
    <row r="6191" spans="1:54">
      <c r="A6191" s="561">
        <v>13</v>
      </c>
      <c r="B6191" s="561" t="s">
        <v>1765</v>
      </c>
      <c r="C6191" s="561" t="s">
        <v>1206</v>
      </c>
      <c r="D6191" s="561">
        <v>35097.5</v>
      </c>
      <c r="E6191" s="561">
        <v>10079.4</v>
      </c>
      <c r="F6191" s="561">
        <v>25018.1</v>
      </c>
      <c r="G6191" s="561">
        <v>910</v>
      </c>
      <c r="H6191" s="561">
        <v>35605.372034495973</v>
      </c>
      <c r="I6191" s="561">
        <v>9</v>
      </c>
      <c r="J6191" s="561">
        <v>198.83452999999997</v>
      </c>
      <c r="K6191" s="561">
        <v>909</v>
      </c>
      <c r="L6191" s="561">
        <v>35097.5</v>
      </c>
      <c r="M6191" s="561">
        <v>35097.5</v>
      </c>
      <c r="N6191" s="561">
        <v>10079.4</v>
      </c>
      <c r="O6191" s="561">
        <v>0</v>
      </c>
      <c r="P6191" s="561">
        <v>25018.1</v>
      </c>
      <c r="Q6191" s="561">
        <v>25018.1</v>
      </c>
    </row>
    <row r="6192" spans="1:54">
      <c r="C6192" s="561" t="s">
        <v>1197</v>
      </c>
      <c r="D6192" s="561">
        <v>27135.561490000004</v>
      </c>
      <c r="E6192" s="561">
        <v>8382.2999999999993</v>
      </c>
      <c r="F6192" s="561">
        <v>18753.261489999997</v>
      </c>
      <c r="G6192" s="561">
        <v>414</v>
      </c>
      <c r="H6192" s="561">
        <v>27617.511646745468</v>
      </c>
      <c r="I6192" s="561">
        <v>5</v>
      </c>
      <c r="J6192" s="561">
        <v>182.37768999999997</v>
      </c>
      <c r="K6192" s="561">
        <v>413</v>
      </c>
      <c r="L6192" s="561">
        <v>27135.561490329419</v>
      </c>
      <c r="M6192" s="561">
        <v>27135.561490329419</v>
      </c>
      <c r="N6192" s="561">
        <v>8382.2999999999993</v>
      </c>
      <c r="O6192" s="561">
        <v>0</v>
      </c>
      <c r="Q6192" s="561">
        <v>18753.261490000001</v>
      </c>
      <c r="AY6192" s="561">
        <v>18753.26149032942</v>
      </c>
    </row>
    <row r="6193" spans="1:38">
      <c r="C6193" s="561" t="s">
        <v>1199</v>
      </c>
      <c r="D6193" s="561">
        <v>7961.93851</v>
      </c>
      <c r="E6193" s="561">
        <v>1697.1</v>
      </c>
      <c r="F6193" s="561">
        <v>6264.8385099999996</v>
      </c>
      <c r="G6193" s="561">
        <v>496</v>
      </c>
      <c r="H6193" s="561">
        <v>7987.8603877505084</v>
      </c>
      <c r="I6193" s="561">
        <v>4</v>
      </c>
      <c r="J6193" s="561">
        <v>16.45684</v>
      </c>
      <c r="K6193" s="561">
        <v>496</v>
      </c>
      <c r="L6193" s="561">
        <v>7961.9385096705792</v>
      </c>
      <c r="M6193" s="561">
        <v>7961.9385096705792</v>
      </c>
      <c r="N6193" s="561">
        <v>1697.1</v>
      </c>
      <c r="O6193" s="561">
        <v>0</v>
      </c>
      <c r="P6193" s="561">
        <v>6264.8385096705788</v>
      </c>
      <c r="Q6193" s="561">
        <v>6264.8385099999996</v>
      </c>
    </row>
    <row r="6194" spans="1:38">
      <c r="A6194" s="561">
        <v>14</v>
      </c>
      <c r="B6194" s="561" t="s">
        <v>1766</v>
      </c>
      <c r="C6194" s="561" t="s">
        <v>1206</v>
      </c>
      <c r="D6194" s="561">
        <v>473817.34100000001</v>
      </c>
      <c r="E6194" s="561">
        <v>123430.5</v>
      </c>
      <c r="F6194" s="561">
        <v>350386.84100000001</v>
      </c>
      <c r="G6194" s="561">
        <v>7619</v>
      </c>
      <c r="H6194" s="561">
        <v>492419.71857537323</v>
      </c>
      <c r="I6194" s="561">
        <v>453</v>
      </c>
      <c r="J6194" s="561">
        <v>15894.197948044608</v>
      </c>
      <c r="K6194" s="561">
        <v>7558</v>
      </c>
      <c r="L6194" s="561">
        <v>473817.23462</v>
      </c>
      <c r="M6194" s="561">
        <v>473817.23462</v>
      </c>
      <c r="N6194" s="561">
        <v>123430.5</v>
      </c>
      <c r="O6194" s="561">
        <v>0</v>
      </c>
      <c r="P6194" s="561">
        <v>350386.73462000006</v>
      </c>
      <c r="Q6194" s="561">
        <v>350386.73462</v>
      </c>
    </row>
    <row r="6195" spans="1:38">
      <c r="C6195" s="561" t="s">
        <v>1197</v>
      </c>
      <c r="D6195" s="561">
        <v>444818.49420000002</v>
      </c>
      <c r="E6195" s="561">
        <v>120103.8</v>
      </c>
      <c r="F6195" s="561">
        <v>324714.69420000003</v>
      </c>
      <c r="G6195" s="561">
        <v>6999</v>
      </c>
      <c r="H6195" s="561">
        <v>460621.35895177699</v>
      </c>
      <c r="I6195" s="561">
        <v>447</v>
      </c>
      <c r="J6195" s="561">
        <v>15614.265478044608</v>
      </c>
      <c r="K6195" s="561">
        <v>6940</v>
      </c>
      <c r="L6195" s="561">
        <v>444818.38762537367</v>
      </c>
      <c r="M6195" s="561">
        <v>444818.38762537367</v>
      </c>
      <c r="N6195" s="561">
        <v>120103.8</v>
      </c>
      <c r="O6195" s="561">
        <v>0</v>
      </c>
      <c r="Q6195" s="561">
        <v>324714.58782000002</v>
      </c>
      <c r="AL6195" s="561">
        <v>324714.58762537368</v>
      </c>
    </row>
    <row r="6196" spans="1:38">
      <c r="C6196" s="561" t="s">
        <v>1198</v>
      </c>
      <c r="D6196" s="561">
        <v>10842</v>
      </c>
      <c r="E6196" s="561">
        <v>1814.7</v>
      </c>
      <c r="F6196" s="561">
        <v>9027.2999999999993</v>
      </c>
      <c r="G6196" s="561">
        <v>46</v>
      </c>
      <c r="H6196" s="561">
        <v>11739.1269132579</v>
      </c>
      <c r="I6196" s="561">
        <v>1</v>
      </c>
      <c r="J6196" s="561">
        <v>212.70723000000001</v>
      </c>
      <c r="K6196" s="561">
        <v>45</v>
      </c>
      <c r="L6196" s="561">
        <v>10842.000005072294</v>
      </c>
      <c r="M6196" s="561">
        <v>10842.000005072294</v>
      </c>
      <c r="N6196" s="561">
        <v>1814.7</v>
      </c>
      <c r="O6196" s="561">
        <v>0</v>
      </c>
      <c r="P6196" s="561">
        <v>9027.3000050722931</v>
      </c>
      <c r="Q6196" s="561">
        <v>9027.2999999999975</v>
      </c>
    </row>
    <row r="6197" spans="1:38">
      <c r="C6197" s="561" t="s">
        <v>1199</v>
      </c>
      <c r="D6197" s="561">
        <v>8383</v>
      </c>
      <c r="E6197" s="561">
        <v>1512</v>
      </c>
      <c r="F6197" s="561">
        <v>6871</v>
      </c>
      <c r="G6197" s="561">
        <v>574</v>
      </c>
      <c r="H6197" s="561">
        <v>9170.1142903383716</v>
      </c>
      <c r="I6197" s="561">
        <v>5</v>
      </c>
      <c r="J6197" s="561">
        <v>67.225239999999999</v>
      </c>
      <c r="K6197" s="561">
        <v>573</v>
      </c>
      <c r="L6197" s="561">
        <v>8382.9999895540259</v>
      </c>
      <c r="M6197" s="561">
        <v>8382.9999895540259</v>
      </c>
      <c r="N6197" s="561">
        <v>1512</v>
      </c>
      <c r="O6197" s="561">
        <v>0</v>
      </c>
      <c r="P6197" s="561">
        <v>6870.9999895540259</v>
      </c>
      <c r="Q6197" s="561">
        <v>6870.9999999999982</v>
      </c>
    </row>
    <row r="6198" spans="1:38">
      <c r="C6198" s="561" t="s">
        <v>1202</v>
      </c>
      <c r="D6198" s="561">
        <v>9773.8467999999993</v>
      </c>
      <c r="F6198" s="561">
        <v>9773.8467999999993</v>
      </c>
      <c r="H6198" s="561">
        <v>10889.118420000001</v>
      </c>
      <c r="K6198" s="561">
        <v>0</v>
      </c>
      <c r="L6198" s="561">
        <v>9773.8469999999998</v>
      </c>
      <c r="M6198" s="561">
        <v>9773.8469999999998</v>
      </c>
      <c r="P6198" s="561">
        <v>9773.8469999999998</v>
      </c>
      <c r="Q6198" s="561">
        <v>9773.8467999999993</v>
      </c>
    </row>
    <row r="6199" spans="1:38">
      <c r="A6199" s="561">
        <v>15</v>
      </c>
      <c r="B6199" s="561" t="s">
        <v>1767</v>
      </c>
      <c r="C6199" s="561" t="s">
        <v>1206</v>
      </c>
      <c r="D6199" s="561">
        <v>87344</v>
      </c>
      <c r="E6199" s="561">
        <v>23353.200000000001</v>
      </c>
      <c r="F6199" s="561">
        <v>63990.8</v>
      </c>
      <c r="G6199" s="561">
        <v>2275</v>
      </c>
      <c r="H6199" s="561">
        <v>91169.513473782601</v>
      </c>
      <c r="I6199" s="561">
        <v>121</v>
      </c>
      <c r="J6199" s="561">
        <v>3502.3768175124101</v>
      </c>
      <c r="K6199" s="561">
        <v>2270</v>
      </c>
      <c r="L6199" s="561">
        <v>87344</v>
      </c>
      <c r="M6199" s="561">
        <v>87344</v>
      </c>
      <c r="N6199" s="561">
        <v>23353.200000000001</v>
      </c>
      <c r="O6199" s="561">
        <v>0</v>
      </c>
      <c r="P6199" s="561">
        <v>63990.799999999996</v>
      </c>
      <c r="Q6199" s="561">
        <v>63990.8</v>
      </c>
    </row>
    <row r="6200" spans="1:38">
      <c r="C6200" s="561" t="s">
        <v>1197</v>
      </c>
      <c r="D6200" s="561">
        <v>67393</v>
      </c>
      <c r="E6200" s="561">
        <v>18942</v>
      </c>
      <c r="F6200" s="561">
        <v>48451</v>
      </c>
      <c r="G6200" s="561">
        <v>1085</v>
      </c>
      <c r="H6200" s="561">
        <v>70648.210401426491</v>
      </c>
      <c r="I6200" s="561">
        <v>109</v>
      </c>
      <c r="J6200" s="561">
        <v>3334.57243751241</v>
      </c>
      <c r="K6200" s="561">
        <v>1080</v>
      </c>
      <c r="L6200" s="561">
        <v>67393</v>
      </c>
      <c r="M6200" s="561">
        <v>67393</v>
      </c>
      <c r="N6200" s="561">
        <v>18942</v>
      </c>
      <c r="O6200" s="561">
        <v>0</v>
      </c>
      <c r="Q6200" s="561">
        <v>48451</v>
      </c>
      <c r="AL6200" s="561">
        <v>48451</v>
      </c>
    </row>
    <row r="6201" spans="1:38">
      <c r="C6201" s="561" t="s">
        <v>1199</v>
      </c>
      <c r="D6201" s="561">
        <v>19951</v>
      </c>
      <c r="E6201" s="561">
        <v>4411.2</v>
      </c>
      <c r="F6201" s="561">
        <v>15539.8</v>
      </c>
      <c r="G6201" s="561">
        <v>1190</v>
      </c>
      <c r="H6201" s="561">
        <v>20521.303072356106</v>
      </c>
      <c r="I6201" s="561">
        <v>12</v>
      </c>
      <c r="J6201" s="561">
        <v>167.80438000000001</v>
      </c>
      <c r="K6201" s="561">
        <v>1190</v>
      </c>
      <c r="L6201" s="561">
        <v>19950.999999999996</v>
      </c>
      <c r="M6201" s="561">
        <v>19950.999999999996</v>
      </c>
      <c r="N6201" s="561">
        <v>4411.2</v>
      </c>
      <c r="O6201" s="561">
        <v>0</v>
      </c>
      <c r="P6201" s="561">
        <v>15539.799999999996</v>
      </c>
      <c r="Q6201" s="561">
        <v>15539.8</v>
      </c>
    </row>
    <row r="6202" spans="1:38">
      <c r="A6202" s="561">
        <v>16</v>
      </c>
      <c r="B6202" s="561" t="s">
        <v>1768</v>
      </c>
      <c r="C6202" s="561" t="s">
        <v>1206</v>
      </c>
      <c r="D6202" s="561">
        <v>140228</v>
      </c>
      <c r="E6202" s="561">
        <v>39514.399999999994</v>
      </c>
      <c r="F6202" s="561">
        <v>100713.59999999999</v>
      </c>
      <c r="G6202" s="561">
        <v>4019</v>
      </c>
      <c r="H6202" s="561">
        <v>148367.0389201029</v>
      </c>
      <c r="I6202" s="561">
        <v>261</v>
      </c>
      <c r="J6202" s="561">
        <v>7784.2326199999998</v>
      </c>
      <c r="K6202" s="561">
        <v>3997</v>
      </c>
      <c r="L6202" s="561">
        <v>140228</v>
      </c>
      <c r="M6202" s="561">
        <v>140228</v>
      </c>
      <c r="N6202" s="561">
        <v>39514.399999999994</v>
      </c>
      <c r="O6202" s="561">
        <v>0</v>
      </c>
      <c r="P6202" s="561">
        <v>100713.59999999999</v>
      </c>
      <c r="Q6202" s="561">
        <v>100713.59999999999</v>
      </c>
    </row>
    <row r="6203" spans="1:38">
      <c r="C6203" s="561" t="s">
        <v>1197</v>
      </c>
      <c r="D6203" s="561">
        <v>107787</v>
      </c>
      <c r="E6203" s="561">
        <v>31244.1</v>
      </c>
      <c r="F6203" s="561">
        <v>76542.899999999994</v>
      </c>
      <c r="G6203" s="561">
        <v>1829</v>
      </c>
      <c r="H6203" s="561">
        <v>115118.13460942166</v>
      </c>
      <c r="I6203" s="561">
        <v>240</v>
      </c>
      <c r="J6203" s="561">
        <v>7510.3409099999999</v>
      </c>
      <c r="K6203" s="561">
        <v>1824</v>
      </c>
      <c r="L6203" s="561">
        <v>107787</v>
      </c>
      <c r="M6203" s="561">
        <v>107787</v>
      </c>
      <c r="N6203" s="561">
        <v>31244.1</v>
      </c>
      <c r="O6203" s="561">
        <v>0</v>
      </c>
      <c r="Q6203" s="561">
        <v>76542.899999999994</v>
      </c>
      <c r="AL6203" s="561">
        <v>76542.899999999994</v>
      </c>
    </row>
    <row r="6204" spans="1:38">
      <c r="C6204" s="561" t="s">
        <v>1199</v>
      </c>
      <c r="D6204" s="561">
        <v>32441</v>
      </c>
      <c r="E6204" s="561">
        <v>8270.2999999999993</v>
      </c>
      <c r="F6204" s="561">
        <v>24170.7</v>
      </c>
      <c r="G6204" s="561">
        <v>2190</v>
      </c>
      <c r="H6204" s="561">
        <v>33248.904310681239</v>
      </c>
      <c r="I6204" s="561">
        <v>21</v>
      </c>
      <c r="J6204" s="561">
        <v>273.89171000000005</v>
      </c>
      <c r="K6204" s="561">
        <v>2173</v>
      </c>
      <c r="L6204" s="561">
        <v>32441</v>
      </c>
      <c r="M6204" s="561">
        <v>32441</v>
      </c>
      <c r="N6204" s="561">
        <v>8270.2999999999993</v>
      </c>
      <c r="O6204" s="561">
        <v>0</v>
      </c>
      <c r="P6204" s="561">
        <v>24170.7</v>
      </c>
      <c r="Q6204" s="561">
        <v>24170.7</v>
      </c>
    </row>
    <row r="6205" spans="1:38">
      <c r="A6205" s="561">
        <v>17</v>
      </c>
      <c r="B6205" s="561" t="s">
        <v>1769</v>
      </c>
      <c r="C6205" s="561" t="s">
        <v>1206</v>
      </c>
      <c r="D6205" s="561">
        <v>110114</v>
      </c>
      <c r="E6205" s="561">
        <v>33034.199999999997</v>
      </c>
      <c r="F6205" s="561">
        <v>77079.8</v>
      </c>
      <c r="G6205" s="561">
        <v>2897</v>
      </c>
      <c r="H6205" s="561">
        <v>113974.92255098168</v>
      </c>
      <c r="I6205" s="561">
        <v>221</v>
      </c>
      <c r="J6205" s="561">
        <v>7195.3957235901471</v>
      </c>
      <c r="K6205" s="561">
        <v>2879</v>
      </c>
      <c r="L6205" s="561">
        <v>110114.00000000001</v>
      </c>
      <c r="M6205" s="561">
        <v>110114.00000000001</v>
      </c>
      <c r="N6205" s="561">
        <v>33034.199999999997</v>
      </c>
      <c r="O6205" s="561">
        <v>0</v>
      </c>
      <c r="P6205" s="561">
        <v>77079.800000000017</v>
      </c>
      <c r="Q6205" s="561">
        <v>77079.800000000017</v>
      </c>
    </row>
    <row r="6206" spans="1:38">
      <c r="C6206" s="561" t="s">
        <v>1197</v>
      </c>
      <c r="D6206" s="561">
        <v>87081</v>
      </c>
      <c r="E6206" s="561">
        <v>26124.3</v>
      </c>
      <c r="F6206" s="561">
        <v>60956.7</v>
      </c>
      <c r="G6206" s="561">
        <v>1444</v>
      </c>
      <c r="H6206" s="561">
        <v>91456.10666449774</v>
      </c>
      <c r="I6206" s="561">
        <v>213</v>
      </c>
      <c r="J6206" s="561">
        <v>7149.0732835901472</v>
      </c>
      <c r="K6206" s="561">
        <v>1427</v>
      </c>
      <c r="L6206" s="561">
        <v>87080.999140000014</v>
      </c>
      <c r="M6206" s="561">
        <v>87080.999140000014</v>
      </c>
      <c r="N6206" s="561">
        <v>26124.3</v>
      </c>
      <c r="O6206" s="561">
        <v>0</v>
      </c>
      <c r="Q6206" s="561">
        <v>60956.700000000012</v>
      </c>
      <c r="AL6206" s="561">
        <v>60956.699140000012</v>
      </c>
    </row>
    <row r="6207" spans="1:38">
      <c r="C6207" s="561" t="s">
        <v>1199</v>
      </c>
      <c r="D6207" s="561">
        <v>23033</v>
      </c>
      <c r="E6207" s="561">
        <v>6909.9</v>
      </c>
      <c r="F6207" s="561">
        <v>16123.1</v>
      </c>
      <c r="G6207" s="561">
        <v>1453</v>
      </c>
      <c r="H6207" s="561">
        <v>22518.815886483935</v>
      </c>
      <c r="I6207" s="561">
        <v>8</v>
      </c>
      <c r="J6207" s="561">
        <v>46.322439999999993</v>
      </c>
      <c r="K6207" s="561">
        <v>1452</v>
      </c>
      <c r="L6207" s="561">
        <v>23033.000860000004</v>
      </c>
      <c r="M6207" s="561">
        <v>23033.000860000004</v>
      </c>
      <c r="N6207" s="561">
        <v>6909.9</v>
      </c>
      <c r="O6207" s="561">
        <v>0</v>
      </c>
      <c r="P6207" s="561">
        <v>16123.100860000004</v>
      </c>
      <c r="Q6207" s="561">
        <v>16123.100000000004</v>
      </c>
    </row>
    <row r="6208" spans="1:38">
      <c r="A6208" s="561">
        <v>18</v>
      </c>
      <c r="B6208" s="561" t="s">
        <v>1770</v>
      </c>
      <c r="C6208" s="561" t="s">
        <v>1206</v>
      </c>
      <c r="D6208" s="561">
        <v>126147</v>
      </c>
      <c r="E6208" s="561">
        <v>34650.1</v>
      </c>
      <c r="F6208" s="561">
        <v>91496.9</v>
      </c>
      <c r="G6208" s="561">
        <v>2950</v>
      </c>
      <c r="H6208" s="561">
        <v>134352.06556508655</v>
      </c>
      <c r="I6208" s="561">
        <v>270</v>
      </c>
      <c r="J6208" s="561">
        <v>7551.1582739999994</v>
      </c>
      <c r="K6208" s="561">
        <v>2925</v>
      </c>
      <c r="L6208" s="561">
        <v>126147</v>
      </c>
      <c r="M6208" s="561">
        <v>126147</v>
      </c>
      <c r="N6208" s="561">
        <v>34650.1</v>
      </c>
      <c r="O6208" s="561">
        <v>0</v>
      </c>
      <c r="P6208" s="561">
        <v>91496.9</v>
      </c>
      <c r="Q6208" s="561">
        <v>91496.9</v>
      </c>
    </row>
    <row r="6209" spans="1:38">
      <c r="C6209" s="561" t="s">
        <v>1197</v>
      </c>
      <c r="D6209" s="561">
        <v>105610</v>
      </c>
      <c r="E6209" s="561">
        <v>29014.799999999999</v>
      </c>
      <c r="F6209" s="561">
        <v>76595.199999999997</v>
      </c>
      <c r="G6209" s="561">
        <v>1735</v>
      </c>
      <c r="H6209" s="561">
        <v>113733.8461536978</v>
      </c>
      <c r="I6209" s="561">
        <v>206</v>
      </c>
      <c r="J6209" s="561">
        <v>7092.4043739999997</v>
      </c>
      <c r="K6209" s="561">
        <v>1715</v>
      </c>
      <c r="L6209" s="561">
        <v>105610</v>
      </c>
      <c r="M6209" s="561">
        <v>105610</v>
      </c>
      <c r="N6209" s="561">
        <v>29014.799999999999</v>
      </c>
      <c r="O6209" s="561">
        <v>0</v>
      </c>
      <c r="Q6209" s="561">
        <v>76595.199999999997</v>
      </c>
      <c r="AL6209" s="561">
        <v>76595.199999999997</v>
      </c>
    </row>
    <row r="6210" spans="1:38">
      <c r="C6210" s="561" t="s">
        <v>1199</v>
      </c>
      <c r="D6210" s="561">
        <v>20537</v>
      </c>
      <c r="E6210" s="561">
        <v>5635.3</v>
      </c>
      <c r="F6210" s="561">
        <v>14901.7</v>
      </c>
      <c r="G6210" s="561">
        <v>1215</v>
      </c>
      <c r="H6210" s="561">
        <v>20618.219411388756</v>
      </c>
      <c r="I6210" s="561">
        <v>64</v>
      </c>
      <c r="J6210" s="561">
        <v>458.75389999999999</v>
      </c>
      <c r="K6210" s="561">
        <v>1210</v>
      </c>
      <c r="L6210" s="561">
        <v>20537</v>
      </c>
      <c r="M6210" s="561">
        <v>20537</v>
      </c>
      <c r="N6210" s="561">
        <v>5635.3</v>
      </c>
      <c r="O6210" s="561">
        <v>0</v>
      </c>
      <c r="P6210" s="561">
        <v>14901.7</v>
      </c>
      <c r="Q6210" s="561">
        <v>14901.7</v>
      </c>
    </row>
    <row r="6211" spans="1:38">
      <c r="A6211" s="561">
        <v>19</v>
      </c>
      <c r="B6211" s="561" t="s">
        <v>1771</v>
      </c>
      <c r="C6211" s="561" t="s">
        <v>1206</v>
      </c>
      <c r="D6211" s="561">
        <v>117780</v>
      </c>
      <c r="E6211" s="561">
        <v>33174</v>
      </c>
      <c r="F6211" s="561">
        <v>84606</v>
      </c>
      <c r="G6211" s="561">
        <v>2996</v>
      </c>
      <c r="H6211" s="561">
        <v>125796.09801290071</v>
      </c>
      <c r="I6211" s="561">
        <v>303</v>
      </c>
      <c r="J6211" s="561">
        <v>8557.98963</v>
      </c>
      <c r="K6211" s="561">
        <v>2957</v>
      </c>
      <c r="L6211" s="561">
        <v>117780.00000000001</v>
      </c>
      <c r="M6211" s="561">
        <v>117780.00000000001</v>
      </c>
      <c r="N6211" s="561">
        <v>33174</v>
      </c>
      <c r="O6211" s="561">
        <v>0</v>
      </c>
      <c r="P6211" s="561">
        <v>84606.000000000015</v>
      </c>
      <c r="Q6211" s="561">
        <v>84606.000000000015</v>
      </c>
    </row>
    <row r="6212" spans="1:38">
      <c r="C6212" s="561" t="s">
        <v>1197</v>
      </c>
      <c r="D6212" s="561">
        <v>94115</v>
      </c>
      <c r="E6212" s="561">
        <v>28054.5</v>
      </c>
      <c r="F6212" s="561">
        <v>66060.5</v>
      </c>
      <c r="G6212" s="561">
        <v>1631</v>
      </c>
      <c r="H6212" s="561">
        <v>102349.42052421653</v>
      </c>
      <c r="I6212" s="561">
        <v>237</v>
      </c>
      <c r="J6212" s="561">
        <v>8054.2773399999996</v>
      </c>
      <c r="K6212" s="561">
        <v>1601</v>
      </c>
      <c r="L6212" s="561">
        <v>94115.000000000015</v>
      </c>
      <c r="M6212" s="561">
        <v>94115.000000000015</v>
      </c>
      <c r="N6212" s="561">
        <v>28054.5</v>
      </c>
      <c r="O6212" s="561">
        <v>0</v>
      </c>
      <c r="Q6212" s="561">
        <v>66060.500000000015</v>
      </c>
      <c r="AL6212" s="561">
        <v>66060.500000000015</v>
      </c>
    </row>
    <row r="6213" spans="1:38">
      <c r="C6213" s="561" t="s">
        <v>1199</v>
      </c>
      <c r="D6213" s="561">
        <v>23665</v>
      </c>
      <c r="E6213" s="561">
        <v>5119.5</v>
      </c>
      <c r="F6213" s="561">
        <v>18545.5</v>
      </c>
      <c r="G6213" s="561">
        <v>1365</v>
      </c>
      <c r="H6213" s="561">
        <v>23446.677488684167</v>
      </c>
      <c r="I6213" s="561">
        <v>66</v>
      </c>
      <c r="J6213" s="561">
        <v>503.71228999999988</v>
      </c>
      <c r="K6213" s="561">
        <v>1356</v>
      </c>
      <c r="L6213" s="561">
        <v>23665</v>
      </c>
      <c r="M6213" s="561">
        <v>23665</v>
      </c>
      <c r="N6213" s="561">
        <v>5119.5</v>
      </c>
      <c r="O6213" s="561">
        <v>0</v>
      </c>
      <c r="P6213" s="561">
        <v>18545.5</v>
      </c>
      <c r="Q6213" s="561">
        <v>18545.499999999996</v>
      </c>
    </row>
    <row r="6214" spans="1:38">
      <c r="A6214" s="561">
        <v>20</v>
      </c>
      <c r="B6214" s="561" t="s">
        <v>1772</v>
      </c>
      <c r="C6214" s="561" t="s">
        <v>1206</v>
      </c>
      <c r="D6214" s="561">
        <v>82888.5</v>
      </c>
      <c r="E6214" s="561">
        <v>22676.7</v>
      </c>
      <c r="F6214" s="561">
        <v>60211.8</v>
      </c>
      <c r="G6214" s="561">
        <v>2225</v>
      </c>
      <c r="H6214" s="561">
        <v>88542.937953878165</v>
      </c>
      <c r="I6214" s="561">
        <v>234</v>
      </c>
      <c r="J6214" s="561">
        <v>5702.3431500000006</v>
      </c>
      <c r="K6214" s="561">
        <v>2168</v>
      </c>
      <c r="L6214" s="561">
        <v>82888.5</v>
      </c>
      <c r="M6214" s="561">
        <v>82888.5</v>
      </c>
      <c r="N6214" s="561">
        <v>22676.7</v>
      </c>
      <c r="O6214" s="561">
        <v>0</v>
      </c>
      <c r="P6214" s="561">
        <v>60211.799999999996</v>
      </c>
      <c r="Q6214" s="561">
        <v>60211.8</v>
      </c>
    </row>
    <row r="6215" spans="1:38">
      <c r="C6215" s="561" t="s">
        <v>1197</v>
      </c>
      <c r="D6215" s="561">
        <v>63770.779920000008</v>
      </c>
      <c r="E6215" s="561">
        <v>17622</v>
      </c>
      <c r="F6215" s="561">
        <v>46148.779920000001</v>
      </c>
      <c r="G6215" s="561">
        <v>1104</v>
      </c>
      <c r="H6215" s="561">
        <v>68508.2398509458</v>
      </c>
      <c r="I6215" s="561">
        <v>139</v>
      </c>
      <c r="J6215" s="561">
        <v>4769.8032400000002</v>
      </c>
      <c r="K6215" s="561">
        <v>1071</v>
      </c>
      <c r="L6215" s="561">
        <v>63770.779916935906</v>
      </c>
      <c r="M6215" s="561">
        <v>63770.779916935906</v>
      </c>
      <c r="N6215" s="561">
        <v>17622</v>
      </c>
      <c r="O6215" s="561">
        <v>0</v>
      </c>
      <c r="Q6215" s="561">
        <v>46148.779920000001</v>
      </c>
      <c r="AL6215" s="561">
        <v>46148.779916935906</v>
      </c>
    </row>
    <row r="6216" spans="1:38">
      <c r="C6216" s="561" t="s">
        <v>1199</v>
      </c>
      <c r="D6216" s="561">
        <v>19117.720079999999</v>
      </c>
      <c r="E6216" s="561">
        <v>5054.7</v>
      </c>
      <c r="F6216" s="561">
        <v>14063.020079999998</v>
      </c>
      <c r="G6216" s="561">
        <v>1121</v>
      </c>
      <c r="H6216" s="561">
        <v>20034.698102932358</v>
      </c>
      <c r="I6216" s="561">
        <v>95</v>
      </c>
      <c r="J6216" s="561">
        <v>932.53990999999996</v>
      </c>
      <c r="K6216" s="561">
        <v>1097</v>
      </c>
      <c r="L6216" s="561">
        <v>19117.72008306409</v>
      </c>
      <c r="M6216" s="561">
        <v>19117.72008306409</v>
      </c>
      <c r="N6216" s="561">
        <v>5054.7</v>
      </c>
      <c r="O6216" s="561">
        <v>0</v>
      </c>
      <c r="P6216" s="561">
        <v>14063.02008306409</v>
      </c>
      <c r="Q6216" s="561">
        <v>14063.02008</v>
      </c>
    </row>
    <row r="6217" spans="1:38">
      <c r="A6217" s="561">
        <v>21</v>
      </c>
      <c r="B6217" s="561" t="s">
        <v>1773</v>
      </c>
      <c r="C6217" s="561" t="s">
        <v>1206</v>
      </c>
      <c r="D6217" s="561">
        <v>100987</v>
      </c>
      <c r="E6217" s="561">
        <v>23846.1</v>
      </c>
      <c r="F6217" s="561">
        <v>77140.899999999994</v>
      </c>
      <c r="G6217" s="561">
        <v>2496</v>
      </c>
      <c r="H6217" s="561">
        <v>110189.16907197685</v>
      </c>
      <c r="I6217" s="561">
        <v>247</v>
      </c>
      <c r="J6217" s="561">
        <v>9510.8348470000019</v>
      </c>
      <c r="K6217" s="561">
        <v>2471</v>
      </c>
      <c r="L6217" s="561">
        <v>100986.99999999999</v>
      </c>
      <c r="M6217" s="561">
        <v>100986.99999999999</v>
      </c>
      <c r="N6217" s="561">
        <v>23846.1</v>
      </c>
      <c r="O6217" s="561">
        <v>0</v>
      </c>
      <c r="P6217" s="561">
        <v>77140.89999999998</v>
      </c>
      <c r="Q6217" s="561">
        <v>77140.89999999998</v>
      </c>
    </row>
    <row r="6218" spans="1:38">
      <c r="C6218" s="561" t="s">
        <v>1197</v>
      </c>
      <c r="D6218" s="561">
        <v>84045</v>
      </c>
      <c r="E6218" s="561">
        <v>19612.5</v>
      </c>
      <c r="F6218" s="561">
        <v>64432.5</v>
      </c>
      <c r="G6218" s="561">
        <v>1363</v>
      </c>
      <c r="H6218" s="561">
        <v>92515.886578192003</v>
      </c>
      <c r="I6218" s="561">
        <v>176</v>
      </c>
      <c r="J6218" s="561">
        <v>8479.1820770000013</v>
      </c>
      <c r="K6218" s="561">
        <v>1347</v>
      </c>
      <c r="L6218" s="561">
        <v>84044.999999999985</v>
      </c>
      <c r="M6218" s="561">
        <v>84044.999999999985</v>
      </c>
      <c r="N6218" s="561">
        <v>19612.5</v>
      </c>
      <c r="Q6218" s="561">
        <v>64432.499999999985</v>
      </c>
      <c r="AL6218" s="561">
        <v>64432.499999999985</v>
      </c>
    </row>
    <row r="6219" spans="1:38">
      <c r="C6219" s="561" t="s">
        <v>1199</v>
      </c>
      <c r="D6219" s="561">
        <v>16942</v>
      </c>
      <c r="E6219" s="561">
        <v>4233.6000000000004</v>
      </c>
      <c r="F6219" s="561">
        <v>12708.4</v>
      </c>
      <c r="G6219" s="561">
        <v>1133</v>
      </c>
      <c r="H6219" s="561">
        <v>17673.282493784842</v>
      </c>
      <c r="I6219" s="561">
        <v>71</v>
      </c>
      <c r="J6219" s="561">
        <v>1031.6527699999999</v>
      </c>
      <c r="K6219" s="561">
        <v>1124</v>
      </c>
      <c r="L6219" s="561">
        <v>16942</v>
      </c>
      <c r="M6219" s="561">
        <v>16942</v>
      </c>
      <c r="N6219" s="561">
        <v>4233.6000000000004</v>
      </c>
      <c r="O6219" s="561">
        <v>0</v>
      </c>
      <c r="P6219" s="561">
        <v>12708.4</v>
      </c>
      <c r="Q6219" s="561">
        <v>12708.4</v>
      </c>
    </row>
    <row r="6220" spans="1:38">
      <c r="A6220" s="561">
        <v>22</v>
      </c>
      <c r="B6220" s="561" t="s">
        <v>1774</v>
      </c>
      <c r="C6220" s="561" t="s">
        <v>1199</v>
      </c>
      <c r="D6220" s="561">
        <v>56726</v>
      </c>
      <c r="E6220" s="561">
        <v>16567.8</v>
      </c>
      <c r="F6220" s="561">
        <v>40158.199999999997</v>
      </c>
      <c r="G6220" s="561">
        <v>4006</v>
      </c>
      <c r="H6220" s="561">
        <v>57908.569386193813</v>
      </c>
      <c r="I6220" s="561">
        <v>167</v>
      </c>
      <c r="J6220" s="561">
        <v>1237.6180199999999</v>
      </c>
      <c r="K6220" s="561">
        <v>3975</v>
      </c>
      <c r="L6220" s="561">
        <v>56726</v>
      </c>
      <c r="M6220" s="561">
        <v>56726</v>
      </c>
      <c r="N6220" s="561">
        <v>16567.8</v>
      </c>
      <c r="O6220" s="561">
        <v>0</v>
      </c>
      <c r="P6220" s="561">
        <v>40158.199999999997</v>
      </c>
      <c r="Q6220" s="561">
        <v>40158.199999999997</v>
      </c>
    </row>
    <row r="6221" spans="1:38">
      <c r="A6221" s="561">
        <v>23</v>
      </c>
      <c r="B6221" s="561" t="s">
        <v>1775</v>
      </c>
      <c r="C6221" s="561" t="s">
        <v>1206</v>
      </c>
      <c r="D6221" s="561">
        <v>79903.5</v>
      </c>
      <c r="E6221" s="561">
        <v>22771.199999999997</v>
      </c>
      <c r="F6221" s="561">
        <v>57132.299999999996</v>
      </c>
      <c r="G6221" s="561">
        <v>2080</v>
      </c>
      <c r="H6221" s="561">
        <v>83307.146422295918</v>
      </c>
      <c r="I6221" s="561">
        <v>141</v>
      </c>
      <c r="J6221" s="561">
        <v>3431.9337400000004</v>
      </c>
      <c r="K6221" s="561">
        <v>2070</v>
      </c>
      <c r="L6221" s="561">
        <v>79903.5</v>
      </c>
      <c r="M6221" s="561">
        <v>79903.5</v>
      </c>
      <c r="N6221" s="561">
        <v>22771.199999999997</v>
      </c>
      <c r="O6221" s="561">
        <v>0</v>
      </c>
      <c r="P6221" s="561">
        <v>57132.299999999996</v>
      </c>
      <c r="Q6221" s="561">
        <v>57132.3</v>
      </c>
    </row>
    <row r="6222" spans="1:38">
      <c r="C6222" s="561" t="s">
        <v>1197</v>
      </c>
      <c r="D6222" s="561">
        <v>63414</v>
      </c>
      <c r="E6222" s="561">
        <v>18310.8</v>
      </c>
      <c r="F6222" s="561">
        <v>45103.199999999997</v>
      </c>
      <c r="G6222" s="561">
        <v>1059</v>
      </c>
      <c r="H6222" s="561">
        <v>66731.252957270408</v>
      </c>
      <c r="I6222" s="561">
        <v>96</v>
      </c>
      <c r="J6222" s="561">
        <v>3227.6363800000004</v>
      </c>
      <c r="K6222" s="561">
        <v>1049</v>
      </c>
      <c r="L6222" s="561">
        <v>63414</v>
      </c>
      <c r="M6222" s="561">
        <v>63414</v>
      </c>
      <c r="N6222" s="561">
        <v>18310.8</v>
      </c>
      <c r="O6222" s="561">
        <v>0</v>
      </c>
      <c r="Q6222" s="561">
        <v>45103.199999999997</v>
      </c>
      <c r="AL6222" s="561">
        <v>45103.199999999997</v>
      </c>
    </row>
    <row r="6223" spans="1:38">
      <c r="C6223" s="561" t="s">
        <v>1199</v>
      </c>
      <c r="D6223" s="561">
        <v>16489.5</v>
      </c>
      <c r="E6223" s="561">
        <v>4460.3999999999996</v>
      </c>
      <c r="F6223" s="561">
        <v>12029.1</v>
      </c>
      <c r="G6223" s="561">
        <v>1021</v>
      </c>
      <c r="H6223" s="561">
        <v>16575.893465025503</v>
      </c>
      <c r="I6223" s="561">
        <v>45</v>
      </c>
      <c r="J6223" s="561">
        <v>204.29736</v>
      </c>
      <c r="K6223" s="561">
        <v>1021</v>
      </c>
      <c r="L6223" s="561">
        <v>16489.5</v>
      </c>
      <c r="M6223" s="561">
        <v>16489.5</v>
      </c>
      <c r="N6223" s="561">
        <v>4460.3999999999996</v>
      </c>
      <c r="O6223" s="561">
        <v>0</v>
      </c>
      <c r="P6223" s="561">
        <v>12029.1</v>
      </c>
      <c r="Q6223" s="561">
        <v>12029.100000000004</v>
      </c>
    </row>
    <row r="6224" spans="1:38">
      <c r="A6224" s="561">
        <v>24</v>
      </c>
      <c r="B6224" s="561" t="s">
        <v>1776</v>
      </c>
      <c r="C6224" s="561" t="s">
        <v>1206</v>
      </c>
      <c r="D6224" s="561">
        <v>122935.5</v>
      </c>
      <c r="E6224" s="561">
        <v>34510.800000000003</v>
      </c>
      <c r="F6224" s="561">
        <v>88424.7</v>
      </c>
      <c r="G6224" s="561">
        <v>3307</v>
      </c>
      <c r="H6224" s="561">
        <v>126836.5642418146</v>
      </c>
      <c r="I6224" s="561">
        <v>195</v>
      </c>
      <c r="J6224" s="561">
        <v>3823.8924775825308</v>
      </c>
      <c r="K6224" s="561">
        <v>3283</v>
      </c>
      <c r="L6224" s="561">
        <v>122935.50000000001</v>
      </c>
      <c r="M6224" s="561">
        <v>122935.50000000001</v>
      </c>
      <c r="N6224" s="561">
        <v>34510.800000000003</v>
      </c>
      <c r="O6224" s="561">
        <v>0</v>
      </c>
      <c r="P6224" s="561">
        <v>88424.700000000012</v>
      </c>
      <c r="Q6224" s="561">
        <v>88424.700000000012</v>
      </c>
    </row>
    <row r="6225" spans="1:38">
      <c r="C6225" s="561" t="s">
        <v>1197</v>
      </c>
      <c r="D6225" s="561">
        <v>91526.053419999997</v>
      </c>
      <c r="E6225" s="561">
        <v>27026.400000000001</v>
      </c>
      <c r="F6225" s="561">
        <v>64499.653420000002</v>
      </c>
      <c r="G6225" s="561">
        <v>1476</v>
      </c>
      <c r="H6225" s="561">
        <v>94779.282297262311</v>
      </c>
      <c r="I6225" s="561">
        <v>103</v>
      </c>
      <c r="J6225" s="561">
        <v>2734.8198993100132</v>
      </c>
      <c r="K6225" s="561">
        <v>1472</v>
      </c>
      <c r="L6225" s="561">
        <v>91526.053420000011</v>
      </c>
      <c r="M6225" s="561">
        <v>91526.053420000011</v>
      </c>
      <c r="N6225" s="561">
        <v>27026.400000000001</v>
      </c>
      <c r="O6225" s="561">
        <v>0</v>
      </c>
      <c r="Q6225" s="561">
        <v>64499.653420000017</v>
      </c>
      <c r="AL6225" s="561">
        <v>64499.65342000001</v>
      </c>
    </row>
    <row r="6226" spans="1:38">
      <c r="C6226" s="561" t="s">
        <v>1199</v>
      </c>
      <c r="D6226" s="561">
        <v>31409.44658</v>
      </c>
      <c r="E6226" s="561">
        <v>7484.4</v>
      </c>
      <c r="F6226" s="561">
        <v>23925.046579999998</v>
      </c>
      <c r="G6226" s="561">
        <v>1831</v>
      </c>
      <c r="H6226" s="561">
        <v>32057.281944552284</v>
      </c>
      <c r="I6226" s="561">
        <v>92</v>
      </c>
      <c r="J6226" s="561">
        <v>1089.0725782725176</v>
      </c>
      <c r="K6226" s="561">
        <v>1811</v>
      </c>
      <c r="L6226" s="561">
        <v>31409.446580000003</v>
      </c>
      <c r="M6226" s="561">
        <v>31409.446580000003</v>
      </c>
      <c r="N6226" s="561">
        <v>7484.4</v>
      </c>
      <c r="O6226" s="561">
        <v>0</v>
      </c>
      <c r="P6226" s="561">
        <v>23925.046580000002</v>
      </c>
      <c r="Q6226" s="561">
        <v>23925.046579999998</v>
      </c>
    </row>
    <row r="6227" spans="1:38">
      <c r="A6227" s="561">
        <v>25</v>
      </c>
      <c r="B6227" s="561" t="s">
        <v>1777</v>
      </c>
      <c r="C6227" s="561" t="s">
        <v>1199</v>
      </c>
      <c r="D6227" s="561">
        <v>44518</v>
      </c>
      <c r="E6227" s="561">
        <v>12735.4</v>
      </c>
      <c r="F6227" s="561">
        <v>31782.6</v>
      </c>
      <c r="G6227" s="561">
        <v>3016</v>
      </c>
      <c r="H6227" s="561">
        <v>44847.240863998479</v>
      </c>
      <c r="I6227" s="561">
        <v>47</v>
      </c>
      <c r="J6227" s="561">
        <v>277.39580000000001</v>
      </c>
      <c r="K6227" s="561">
        <v>3015</v>
      </c>
      <c r="L6227" s="561">
        <v>44518</v>
      </c>
      <c r="M6227" s="561">
        <v>44518</v>
      </c>
      <c r="N6227" s="561">
        <v>12735.4</v>
      </c>
      <c r="O6227" s="561">
        <v>0</v>
      </c>
      <c r="P6227" s="561">
        <v>31782.6</v>
      </c>
      <c r="Q6227" s="561">
        <v>31782.6</v>
      </c>
    </row>
    <row r="6228" spans="1:38">
      <c r="A6228" s="561">
        <v>26</v>
      </c>
      <c r="B6228" s="561" t="s">
        <v>1778</v>
      </c>
      <c r="C6228" s="561" t="s">
        <v>1199</v>
      </c>
      <c r="D6228" s="561">
        <v>43042</v>
      </c>
      <c r="E6228" s="561">
        <v>11522.6</v>
      </c>
      <c r="F6228" s="561">
        <v>31519.4</v>
      </c>
      <c r="G6228" s="561">
        <v>2955</v>
      </c>
      <c r="H6228" s="561">
        <v>43416.532850752599</v>
      </c>
      <c r="I6228" s="561">
        <v>57</v>
      </c>
      <c r="J6228" s="561">
        <v>281.71043000000003</v>
      </c>
      <c r="K6228" s="561">
        <v>2955</v>
      </c>
      <c r="L6228" s="561">
        <v>43042.000000000007</v>
      </c>
      <c r="M6228" s="561">
        <v>43042.000000000007</v>
      </c>
      <c r="N6228" s="561">
        <v>11522.6</v>
      </c>
      <c r="O6228" s="561">
        <v>0</v>
      </c>
      <c r="P6228" s="561">
        <v>31519.400000000009</v>
      </c>
      <c r="Q6228" s="561">
        <v>31519.400000000009</v>
      </c>
    </row>
    <row r="6229" spans="1:38">
      <c r="A6229" s="561">
        <v>27</v>
      </c>
      <c r="B6229" s="561" t="s">
        <v>1779</v>
      </c>
      <c r="C6229" s="561" t="s">
        <v>1199</v>
      </c>
      <c r="D6229" s="561">
        <v>41990</v>
      </c>
      <c r="E6229" s="561">
        <v>12407</v>
      </c>
      <c r="F6229" s="561">
        <v>29583</v>
      </c>
      <c r="G6229" s="561">
        <v>2932</v>
      </c>
      <c r="H6229" s="561">
        <v>42604.466464638026</v>
      </c>
      <c r="I6229" s="561">
        <v>78</v>
      </c>
      <c r="J6229" s="561">
        <v>546.14038299999993</v>
      </c>
      <c r="K6229" s="561">
        <v>2932</v>
      </c>
      <c r="L6229" s="561">
        <v>41990</v>
      </c>
      <c r="M6229" s="561">
        <v>41990</v>
      </c>
      <c r="N6229" s="561">
        <v>12407</v>
      </c>
      <c r="O6229" s="561">
        <v>0</v>
      </c>
      <c r="P6229" s="561">
        <v>29583</v>
      </c>
      <c r="Q6229" s="561">
        <v>29583.000000000007</v>
      </c>
    </row>
    <row r="6230" spans="1:38">
      <c r="A6230" s="561">
        <v>28</v>
      </c>
      <c r="B6230" s="561" t="s">
        <v>1780</v>
      </c>
      <c r="C6230" s="561" t="s">
        <v>1199</v>
      </c>
      <c r="D6230" s="561">
        <v>32853.834999999999</v>
      </c>
      <c r="E6230" s="561">
        <v>9176.2000000000007</v>
      </c>
      <c r="F6230" s="561">
        <v>23677.634999999998</v>
      </c>
      <c r="G6230" s="561">
        <v>2319</v>
      </c>
      <c r="H6230" s="561">
        <v>34226.276628632637</v>
      </c>
      <c r="I6230" s="561">
        <v>174</v>
      </c>
      <c r="J6230" s="561">
        <v>1399.1393600000004</v>
      </c>
      <c r="K6230" s="561">
        <v>2304</v>
      </c>
      <c r="L6230" s="561">
        <v>32853.834999999999</v>
      </c>
      <c r="M6230" s="561">
        <v>32853.834999999999</v>
      </c>
      <c r="N6230" s="561">
        <v>9176.2000000000007</v>
      </c>
      <c r="O6230" s="561">
        <v>0</v>
      </c>
      <c r="P6230" s="561">
        <v>23677.634999999998</v>
      </c>
      <c r="Q6230" s="561">
        <v>23677.634999999998</v>
      </c>
    </row>
    <row r="6231" spans="1:38">
      <c r="A6231" s="561">
        <v>29</v>
      </c>
      <c r="B6231" s="561" t="s">
        <v>1781</v>
      </c>
      <c r="C6231" s="561" t="s">
        <v>1199</v>
      </c>
      <c r="D6231" s="561">
        <v>27717</v>
      </c>
      <c r="E6231" s="561">
        <v>7715.1</v>
      </c>
      <c r="F6231" s="561">
        <v>20001.900000000001</v>
      </c>
      <c r="G6231" s="561">
        <v>1827</v>
      </c>
      <c r="H6231" s="561">
        <v>28680.166318593292</v>
      </c>
      <c r="I6231" s="561">
        <v>143</v>
      </c>
      <c r="J6231" s="561">
        <v>1005.55922</v>
      </c>
      <c r="K6231" s="561">
        <v>1817</v>
      </c>
      <c r="L6231" s="561">
        <v>27717</v>
      </c>
      <c r="M6231" s="561">
        <v>27717</v>
      </c>
      <c r="N6231" s="561">
        <v>7715.1</v>
      </c>
      <c r="O6231" s="561">
        <v>0</v>
      </c>
      <c r="P6231" s="561">
        <v>20001.900000000001</v>
      </c>
      <c r="Q6231" s="561">
        <v>20001.900000000001</v>
      </c>
    </row>
    <row r="6232" spans="1:38">
      <c r="A6232" s="561">
        <v>30</v>
      </c>
      <c r="B6232" s="561" t="s">
        <v>1782</v>
      </c>
      <c r="C6232" s="561" t="s">
        <v>1199</v>
      </c>
      <c r="D6232" s="561">
        <v>28479</v>
      </c>
      <c r="E6232" s="561">
        <v>8183.7</v>
      </c>
      <c r="F6232" s="561">
        <v>20295.3</v>
      </c>
      <c r="G6232" s="561">
        <v>1913</v>
      </c>
      <c r="H6232" s="561">
        <v>26144.103741656323</v>
      </c>
      <c r="I6232" s="561">
        <v>83</v>
      </c>
      <c r="J6232" s="561">
        <v>358.24548000000004</v>
      </c>
      <c r="K6232" s="561">
        <v>2127</v>
      </c>
      <c r="L6232" s="561">
        <v>28478.985239999998</v>
      </c>
      <c r="M6232" s="561">
        <v>28478.985239999998</v>
      </c>
      <c r="N6232" s="561">
        <v>8183.7</v>
      </c>
      <c r="O6232" s="561">
        <v>0</v>
      </c>
      <c r="P6232" s="561">
        <v>20295.285239999997</v>
      </c>
      <c r="Q6232" s="561">
        <v>20295.285239999997</v>
      </c>
    </row>
    <row r="6233" spans="1:38">
      <c r="A6233" s="561">
        <v>31</v>
      </c>
      <c r="B6233" s="561" t="s">
        <v>1783</v>
      </c>
      <c r="C6233" s="561" t="s">
        <v>1199</v>
      </c>
      <c r="D6233" s="561">
        <v>22822</v>
      </c>
      <c r="E6233" s="561">
        <v>6846.6</v>
      </c>
      <c r="F6233" s="561">
        <v>15975.4</v>
      </c>
      <c r="G6233" s="561">
        <v>1633</v>
      </c>
      <c r="H6233" s="561">
        <v>23741.513116897026</v>
      </c>
      <c r="I6233" s="561">
        <v>119</v>
      </c>
      <c r="J6233" s="561">
        <v>842.84553000000017</v>
      </c>
      <c r="K6233" s="561">
        <v>1602</v>
      </c>
      <c r="L6233" s="561">
        <v>22821.999999999996</v>
      </c>
      <c r="M6233" s="561">
        <v>22821.999999999996</v>
      </c>
      <c r="N6233" s="561">
        <v>6846.6</v>
      </c>
      <c r="O6233" s="561">
        <v>0</v>
      </c>
      <c r="P6233" s="561">
        <v>15975.399999999996</v>
      </c>
      <c r="Q6233" s="561">
        <v>15975.399999999996</v>
      </c>
    </row>
    <row r="6234" spans="1:38">
      <c r="A6234" s="561">
        <v>32</v>
      </c>
      <c r="B6234" s="561" t="s">
        <v>1784</v>
      </c>
      <c r="C6234" s="561" t="s">
        <v>1199</v>
      </c>
      <c r="D6234" s="561">
        <v>33540</v>
      </c>
      <c r="E6234" s="561">
        <v>9772</v>
      </c>
      <c r="F6234" s="561">
        <v>23768</v>
      </c>
      <c r="G6234" s="561">
        <v>2203</v>
      </c>
      <c r="H6234" s="561">
        <v>34642.675977212151</v>
      </c>
      <c r="I6234" s="561">
        <v>138</v>
      </c>
      <c r="J6234" s="561">
        <v>1091.2826399999999</v>
      </c>
      <c r="K6234" s="561">
        <v>2160</v>
      </c>
      <c r="L6234" s="561">
        <v>33540.000000000007</v>
      </c>
      <c r="M6234" s="561">
        <v>33540.000000000007</v>
      </c>
      <c r="N6234" s="561">
        <v>9772</v>
      </c>
      <c r="O6234" s="561">
        <v>0</v>
      </c>
      <c r="P6234" s="561">
        <v>23768.000000000007</v>
      </c>
      <c r="Q6234" s="561">
        <v>23768.000000000007</v>
      </c>
    </row>
    <row r="6235" spans="1:38">
      <c r="A6235" s="561">
        <v>33</v>
      </c>
      <c r="B6235" s="561" t="s">
        <v>1785</v>
      </c>
      <c r="C6235" s="561" t="s">
        <v>1199</v>
      </c>
      <c r="D6235" s="561">
        <v>834.16499999999996</v>
      </c>
      <c r="E6235" s="561">
        <v>0</v>
      </c>
      <c r="F6235" s="561">
        <v>834.16499999999996</v>
      </c>
      <c r="G6235" s="561">
        <v>64</v>
      </c>
      <c r="H6235" s="561">
        <v>875.80499999999995</v>
      </c>
      <c r="I6235" s="561">
        <v>1</v>
      </c>
      <c r="J6235" s="561">
        <v>2.6640000000000001</v>
      </c>
      <c r="K6235" s="561">
        <v>64</v>
      </c>
      <c r="L6235" s="561">
        <v>834.16499999999996</v>
      </c>
      <c r="M6235" s="561">
        <v>834.16499999999996</v>
      </c>
      <c r="N6235" s="561">
        <v>0</v>
      </c>
      <c r="O6235" s="561">
        <v>0</v>
      </c>
      <c r="P6235" s="561">
        <v>834.16499999999996</v>
      </c>
      <c r="Q6235" s="561">
        <v>834.16499999999996</v>
      </c>
    </row>
    <row r="6236" spans="1:38">
      <c r="A6236" s="561">
        <v>34</v>
      </c>
      <c r="B6236" s="561" t="s">
        <v>1786</v>
      </c>
      <c r="C6236" s="561" t="s">
        <v>1206</v>
      </c>
      <c r="D6236" s="561">
        <v>168015</v>
      </c>
      <c r="E6236" s="561">
        <v>43804.5</v>
      </c>
      <c r="F6236" s="561">
        <v>124210.5</v>
      </c>
      <c r="G6236" s="561">
        <v>3421</v>
      </c>
      <c r="H6236" s="561">
        <v>173396.59709255217</v>
      </c>
      <c r="I6236" s="561">
        <v>137</v>
      </c>
      <c r="J6236" s="561">
        <v>4688.1098608973352</v>
      </c>
      <c r="K6236" s="561">
        <v>3408</v>
      </c>
      <c r="L6236" s="561">
        <v>168015.00000000003</v>
      </c>
      <c r="M6236" s="561">
        <v>168015.00000000003</v>
      </c>
      <c r="N6236" s="561">
        <v>43804.5</v>
      </c>
      <c r="O6236" s="561">
        <v>0</v>
      </c>
      <c r="P6236" s="561">
        <v>124210.50000000003</v>
      </c>
      <c r="Q6236" s="561">
        <v>124210.50000000003</v>
      </c>
    </row>
    <row r="6237" spans="1:38">
      <c r="C6237" s="561" t="s">
        <v>1197</v>
      </c>
      <c r="D6237" s="561">
        <v>139916</v>
      </c>
      <c r="E6237" s="561">
        <v>38706.300000000003</v>
      </c>
      <c r="F6237" s="561">
        <v>101209.7</v>
      </c>
      <c r="G6237" s="561">
        <v>2237</v>
      </c>
      <c r="H6237" s="561">
        <v>145012.48997450073</v>
      </c>
      <c r="I6237" s="561">
        <v>124</v>
      </c>
      <c r="J6237" s="561">
        <v>3582.7943308973349</v>
      </c>
      <c r="K6237" s="561">
        <v>2225</v>
      </c>
      <c r="L6237" s="561">
        <v>139915.99901000003</v>
      </c>
      <c r="M6237" s="561">
        <v>139915.99901000003</v>
      </c>
      <c r="N6237" s="561">
        <v>38706.300000000003</v>
      </c>
      <c r="Q6237" s="561">
        <v>101209.70000000003</v>
      </c>
      <c r="AL6237" s="561">
        <v>101209.69901000003</v>
      </c>
    </row>
    <row r="6238" spans="1:38">
      <c r="C6238" s="561" t="s">
        <v>1198</v>
      </c>
      <c r="D6238" s="561">
        <v>11603</v>
      </c>
      <c r="E6238" s="561">
        <v>1080</v>
      </c>
      <c r="F6238" s="561">
        <v>10523</v>
      </c>
      <c r="G6238" s="561">
        <v>30</v>
      </c>
      <c r="H6238" s="561">
        <v>12198.868794704855</v>
      </c>
      <c r="I6238" s="561">
        <v>6</v>
      </c>
      <c r="J6238" s="561">
        <v>1064.8112100000001</v>
      </c>
      <c r="K6238" s="561">
        <v>30</v>
      </c>
      <c r="L6238" s="561">
        <v>11603</v>
      </c>
      <c r="M6238" s="561">
        <v>11603</v>
      </c>
      <c r="N6238" s="561">
        <v>1080</v>
      </c>
      <c r="O6238" s="561">
        <v>0</v>
      </c>
      <c r="P6238" s="561">
        <v>10523</v>
      </c>
      <c r="Q6238" s="561">
        <v>10523</v>
      </c>
    </row>
    <row r="6239" spans="1:38">
      <c r="C6239" s="561" t="s">
        <v>1199</v>
      </c>
      <c r="D6239" s="561">
        <v>16496</v>
      </c>
      <c r="E6239" s="561">
        <v>4018.2</v>
      </c>
      <c r="F6239" s="561">
        <v>12477.8</v>
      </c>
      <c r="G6239" s="561">
        <v>1154</v>
      </c>
      <c r="H6239" s="561">
        <v>16185.238323346588</v>
      </c>
      <c r="I6239" s="561">
        <v>7</v>
      </c>
      <c r="J6239" s="561">
        <v>40.50432</v>
      </c>
      <c r="K6239" s="561">
        <v>1153</v>
      </c>
      <c r="L6239" s="561">
        <v>16496.000989999997</v>
      </c>
      <c r="M6239" s="561">
        <v>16496.000989999997</v>
      </c>
      <c r="N6239" s="561">
        <v>4018.2</v>
      </c>
      <c r="O6239" s="561">
        <v>0</v>
      </c>
      <c r="P6239" s="561">
        <v>12477.800989999996</v>
      </c>
      <c r="Q6239" s="561">
        <v>12477.799999999996</v>
      </c>
    </row>
    <row r="6240" spans="1:38">
      <c r="A6240" s="561">
        <v>35</v>
      </c>
      <c r="B6240" s="561" t="s">
        <v>1787</v>
      </c>
      <c r="C6240" s="561" t="s">
        <v>1197</v>
      </c>
      <c r="D6240" s="561">
        <v>47000</v>
      </c>
      <c r="E6240" s="561">
        <v>14100</v>
      </c>
      <c r="F6240" s="561">
        <v>32900</v>
      </c>
      <c r="G6240" s="561">
        <v>854</v>
      </c>
      <c r="H6240" s="561">
        <v>47913.395836986623</v>
      </c>
      <c r="I6240" s="561">
        <v>39</v>
      </c>
      <c r="J6240" s="561">
        <v>878.53174000000001</v>
      </c>
      <c r="K6240" s="561">
        <v>854</v>
      </c>
      <c r="L6240" s="561">
        <v>46999.999999999993</v>
      </c>
      <c r="M6240" s="561">
        <v>46999.999999999993</v>
      </c>
      <c r="N6240" s="561">
        <v>14100</v>
      </c>
      <c r="O6240" s="561">
        <v>0</v>
      </c>
      <c r="Q6240" s="561">
        <v>32899.999999999993</v>
      </c>
      <c r="AL6240" s="561">
        <v>32899.999999999993</v>
      </c>
    </row>
    <row r="6241" spans="1:111">
      <c r="A6241" s="561">
        <v>36</v>
      </c>
      <c r="B6241" s="561" t="s">
        <v>1788</v>
      </c>
      <c r="C6241" s="561" t="s">
        <v>1197</v>
      </c>
      <c r="D6241" s="561">
        <v>7415</v>
      </c>
      <c r="E6241" s="561">
        <v>2179.5</v>
      </c>
      <c r="F6241" s="561">
        <v>5235.5</v>
      </c>
      <c r="G6241" s="561">
        <v>101</v>
      </c>
      <c r="H6241" s="561">
        <v>7861.4681444231937</v>
      </c>
      <c r="I6241" s="561">
        <v>14</v>
      </c>
      <c r="J6241" s="561">
        <v>438.17133999999999</v>
      </c>
      <c r="K6241" s="561">
        <v>101</v>
      </c>
      <c r="L6241" s="561">
        <v>7415</v>
      </c>
      <c r="M6241" s="561">
        <v>7415</v>
      </c>
      <c r="N6241" s="561">
        <v>2179.5</v>
      </c>
      <c r="O6241" s="561">
        <v>0</v>
      </c>
      <c r="Q6241" s="561">
        <v>5235.5</v>
      </c>
      <c r="BD6241" s="561">
        <v>5235.5</v>
      </c>
    </row>
    <row r="6242" spans="1:111">
      <c r="A6242" s="561">
        <v>37</v>
      </c>
      <c r="B6242" s="561" t="s">
        <v>1789</v>
      </c>
      <c r="C6242" s="561" t="s">
        <v>1197</v>
      </c>
      <c r="D6242" s="561">
        <v>16702</v>
      </c>
      <c r="E6242" s="561">
        <v>4843.2</v>
      </c>
      <c r="F6242" s="561">
        <v>11858.8</v>
      </c>
      <c r="G6242" s="561">
        <v>260</v>
      </c>
      <c r="H6242" s="561">
        <v>16990.894365227748</v>
      </c>
      <c r="I6242" s="561">
        <v>4</v>
      </c>
      <c r="J6242" s="561">
        <v>104.35436</v>
      </c>
      <c r="K6242" s="561">
        <v>259</v>
      </c>
      <c r="L6242" s="561">
        <v>16701.999996044338</v>
      </c>
      <c r="M6242" s="561">
        <v>16701.999996044338</v>
      </c>
      <c r="N6242" s="561">
        <v>4843.2</v>
      </c>
      <c r="Q6242" s="561">
        <v>11858.8</v>
      </c>
      <c r="AL6242" s="561">
        <v>11858.799996044338</v>
      </c>
    </row>
    <row r="6243" spans="1:111">
      <c r="A6243" s="561">
        <v>38</v>
      </c>
      <c r="B6243" s="561" t="s">
        <v>1790</v>
      </c>
      <c r="C6243" s="561" t="s">
        <v>1206</v>
      </c>
      <c r="D6243" s="561">
        <v>13708</v>
      </c>
      <c r="E6243" s="561">
        <v>4072.4</v>
      </c>
      <c r="F6243" s="561">
        <v>9635.6</v>
      </c>
      <c r="G6243" s="561">
        <v>428</v>
      </c>
      <c r="H6243" s="561">
        <v>13795.013094214348</v>
      </c>
      <c r="I6243" s="561">
        <v>9</v>
      </c>
      <c r="J6243" s="561">
        <v>74.664199999999994</v>
      </c>
      <c r="K6243" s="561">
        <v>428</v>
      </c>
      <c r="L6243" s="561">
        <v>13707.999995485417</v>
      </c>
      <c r="M6243" s="561">
        <v>13707.999995485417</v>
      </c>
      <c r="N6243" s="561">
        <v>4072.4</v>
      </c>
      <c r="O6243" s="561">
        <v>0</v>
      </c>
      <c r="P6243" s="561">
        <v>9635.5999954854196</v>
      </c>
      <c r="Q6243" s="561">
        <v>9635.6</v>
      </c>
    </row>
    <row r="6244" spans="1:111">
      <c r="C6244" s="561" t="s">
        <v>1197</v>
      </c>
      <c r="D6244" s="561">
        <v>8763.4395600000007</v>
      </c>
      <c r="E6244" s="561">
        <v>2627.4</v>
      </c>
      <c r="F6244" s="561">
        <v>6136.0395600000002</v>
      </c>
      <c r="G6244" s="561">
        <v>124</v>
      </c>
      <c r="H6244" s="561">
        <v>8795.7038587881434</v>
      </c>
      <c r="I6244" s="561">
        <v>2</v>
      </c>
      <c r="J6244" s="561">
        <v>41.393279999999997</v>
      </c>
      <c r="K6244" s="561">
        <v>125</v>
      </c>
      <c r="L6244" s="561">
        <v>8763.4395647881429</v>
      </c>
      <c r="M6244" s="561">
        <v>8763.4395647881429</v>
      </c>
      <c r="N6244" s="561">
        <v>2627.4</v>
      </c>
      <c r="O6244" s="561">
        <v>0</v>
      </c>
      <c r="Q6244" s="561">
        <v>6136.0395600000002</v>
      </c>
      <c r="AL6244" s="561">
        <v>6136.0395647881433</v>
      </c>
    </row>
    <row r="6245" spans="1:111">
      <c r="C6245" s="561" t="s">
        <v>1199</v>
      </c>
      <c r="D6245" s="561">
        <v>4944.5604400000002</v>
      </c>
      <c r="E6245" s="561">
        <v>1445</v>
      </c>
      <c r="F6245" s="561">
        <v>3499.5604400000002</v>
      </c>
      <c r="G6245" s="561">
        <v>304</v>
      </c>
      <c r="H6245" s="561">
        <v>4999.3092354262053</v>
      </c>
      <c r="I6245" s="561">
        <v>7</v>
      </c>
      <c r="J6245" s="561">
        <v>33.270920000000004</v>
      </c>
      <c r="K6245" s="561">
        <v>303</v>
      </c>
      <c r="L6245" s="561">
        <v>4944.5604306972746</v>
      </c>
      <c r="M6245" s="561">
        <v>4944.5604306972746</v>
      </c>
      <c r="N6245" s="561">
        <v>1445</v>
      </c>
      <c r="O6245" s="561">
        <v>0</v>
      </c>
      <c r="P6245" s="561">
        <v>3499.5604306972746</v>
      </c>
      <c r="Q6245" s="561">
        <v>3499.5604400000002</v>
      </c>
    </row>
    <row r="6246" spans="1:111">
      <c r="A6246" s="561">
        <v>39</v>
      </c>
      <c r="B6246" s="561" t="s">
        <v>1791</v>
      </c>
      <c r="C6246" s="561" t="s">
        <v>1206</v>
      </c>
      <c r="D6246" s="561">
        <v>12768</v>
      </c>
      <c r="E6246" s="561">
        <v>3380.4</v>
      </c>
      <c r="F6246" s="561">
        <v>9387.6</v>
      </c>
      <c r="G6246" s="561">
        <v>96</v>
      </c>
      <c r="H6246" s="561">
        <v>12834.796629218146</v>
      </c>
      <c r="I6246" s="561">
        <v>2</v>
      </c>
      <c r="J6246" s="561">
        <v>68.248509999999996</v>
      </c>
      <c r="K6246" s="561">
        <v>96</v>
      </c>
      <c r="L6246" s="561">
        <v>12766.548200000001</v>
      </c>
      <c r="M6246" s="561">
        <v>12766.548200000001</v>
      </c>
      <c r="N6246" s="561">
        <v>3380.4</v>
      </c>
      <c r="O6246" s="561">
        <v>0</v>
      </c>
      <c r="P6246" s="561">
        <v>9386.1482000000015</v>
      </c>
      <c r="Q6246" s="561">
        <v>9387.5999999999985</v>
      </c>
    </row>
    <row r="6247" spans="1:111">
      <c r="C6247" s="561" t="s">
        <v>1197</v>
      </c>
      <c r="D6247" s="561">
        <v>2347.8829700000001</v>
      </c>
      <c r="E6247" s="561">
        <v>680.4</v>
      </c>
      <c r="F6247" s="561">
        <v>1667.4829700000003</v>
      </c>
      <c r="G6247" s="561">
        <v>29</v>
      </c>
      <c r="H6247" s="561">
        <v>2416.1314781247438</v>
      </c>
      <c r="I6247" s="561">
        <v>2</v>
      </c>
      <c r="J6247" s="561">
        <v>68.248509999999996</v>
      </c>
      <c r="K6247" s="561">
        <v>29</v>
      </c>
      <c r="L6247" s="561">
        <v>2347.8829663095821</v>
      </c>
      <c r="M6247" s="561">
        <v>2347.8829663095821</v>
      </c>
      <c r="N6247" s="561">
        <v>680.4</v>
      </c>
      <c r="O6247" s="561">
        <v>0</v>
      </c>
      <c r="Q6247" s="561">
        <v>1667.48297</v>
      </c>
      <c r="AL6247" s="561">
        <v>1667.482966309582</v>
      </c>
    </row>
    <row r="6248" spans="1:111">
      <c r="C6248" s="561" t="s">
        <v>1198</v>
      </c>
      <c r="D6248" s="561">
        <v>10420.117029999999</v>
      </c>
      <c r="E6248" s="561">
        <v>2700</v>
      </c>
      <c r="F6248" s="561">
        <v>7720.1170299999994</v>
      </c>
      <c r="G6248" s="561">
        <v>67</v>
      </c>
      <c r="H6248" s="561">
        <v>10418.665151093403</v>
      </c>
      <c r="I6248" s="561">
        <v>0</v>
      </c>
      <c r="J6248" s="561">
        <v>0</v>
      </c>
      <c r="K6248" s="561">
        <v>67</v>
      </c>
      <c r="L6248" s="561">
        <v>10418.665233690419</v>
      </c>
      <c r="M6248" s="561">
        <v>10418.665233690419</v>
      </c>
      <c r="N6248" s="561">
        <v>2700</v>
      </c>
      <c r="O6248" s="561">
        <v>0</v>
      </c>
      <c r="P6248" s="561">
        <v>7718.665233690419</v>
      </c>
      <c r="Q6248" s="561">
        <v>7720.1170299999994</v>
      </c>
    </row>
    <row r="6249" spans="1:111">
      <c r="A6249" s="561">
        <v>40</v>
      </c>
      <c r="B6249" s="561" t="s">
        <v>1792</v>
      </c>
      <c r="C6249" s="561" t="s">
        <v>1199</v>
      </c>
      <c r="D6249" s="561">
        <v>2488</v>
      </c>
      <c r="E6249" s="561">
        <v>723.03500000000008</v>
      </c>
      <c r="F6249" s="561">
        <v>1764.9649999999999</v>
      </c>
      <c r="G6249" s="561">
        <v>180</v>
      </c>
      <c r="H6249" s="561">
        <v>2558.6159096108181</v>
      </c>
      <c r="I6249" s="561">
        <v>12</v>
      </c>
      <c r="J6249" s="561">
        <v>60.838089999999994</v>
      </c>
      <c r="K6249" s="561">
        <v>179</v>
      </c>
      <c r="L6249" s="561">
        <v>2488</v>
      </c>
      <c r="M6249" s="561">
        <v>2488</v>
      </c>
      <c r="N6249" s="561">
        <v>723.03500000000008</v>
      </c>
      <c r="O6249" s="561">
        <v>0</v>
      </c>
      <c r="P6249" s="561">
        <v>1764.9649999999999</v>
      </c>
      <c r="Q6249" s="561">
        <v>1764.9649999999999</v>
      </c>
    </row>
    <row r="6250" spans="1:111">
      <c r="A6250" s="561">
        <v>41</v>
      </c>
      <c r="B6250" s="561" t="s">
        <v>1793</v>
      </c>
      <c r="C6250" s="561" t="s">
        <v>1206</v>
      </c>
      <c r="D6250" s="561">
        <v>0</v>
      </c>
      <c r="E6250" s="561">
        <v>0</v>
      </c>
      <c r="F6250" s="561">
        <v>0</v>
      </c>
      <c r="G6250" s="561">
        <v>0</v>
      </c>
      <c r="H6250" s="561">
        <v>0</v>
      </c>
      <c r="K6250" s="561">
        <v>0</v>
      </c>
      <c r="L6250" s="561">
        <v>0</v>
      </c>
      <c r="M6250" s="561">
        <v>0</v>
      </c>
      <c r="N6250" s="561">
        <v>0</v>
      </c>
      <c r="O6250" s="561">
        <v>0</v>
      </c>
      <c r="P6250" s="561">
        <v>0</v>
      </c>
      <c r="Q6250" s="561">
        <v>0</v>
      </c>
    </row>
    <row r="6251" spans="1:111">
      <c r="C6251" s="561" t="s">
        <v>1197</v>
      </c>
      <c r="P6251" s="561">
        <v>0</v>
      </c>
    </row>
    <row r="6252" spans="1:111">
      <c r="C6252" s="561" t="s">
        <v>1198</v>
      </c>
      <c r="P6252" s="561">
        <v>0</v>
      </c>
    </row>
    <row r="6253" spans="1:111">
      <c r="C6253" s="561" t="s">
        <v>1199</v>
      </c>
      <c r="P6253" s="561">
        <v>0</v>
      </c>
    </row>
    <row r="6254" spans="1:111">
      <c r="A6254" s="1735" t="s">
        <v>1198</v>
      </c>
      <c r="B6254" s="1735"/>
      <c r="C6254" s="1735"/>
      <c r="D6254" s="1735"/>
      <c r="E6254" s="1735"/>
      <c r="F6254" s="1735"/>
      <c r="G6254" s="1735"/>
      <c r="H6254" s="1735"/>
      <c r="I6254" s="1735"/>
      <c r="J6254" s="1735"/>
      <c r="K6254" s="1735"/>
      <c r="L6254" s="1735"/>
      <c r="M6254" s="1735"/>
      <c r="N6254" s="1735"/>
      <c r="O6254" s="1735"/>
      <c r="P6254" s="1735"/>
      <c r="AL6254" s="561">
        <f>SUM(AL6255:AL6360)</f>
        <v>985326.49439367978</v>
      </c>
      <c r="AM6254" s="561">
        <f t="shared" ref="AM6254:CX6254" si="140">SUM(AM6255:AM6360)</f>
        <v>0</v>
      </c>
      <c r="AN6254" s="561">
        <f t="shared" si="140"/>
        <v>0</v>
      </c>
      <c r="AO6254" s="561">
        <f t="shared" si="140"/>
        <v>0</v>
      </c>
      <c r="AP6254" s="561">
        <f t="shared" si="140"/>
        <v>0</v>
      </c>
      <c r="AQ6254" s="561">
        <f t="shared" si="140"/>
        <v>0</v>
      </c>
      <c r="AR6254" s="561">
        <f t="shared" si="140"/>
        <v>0</v>
      </c>
      <c r="AS6254" s="561">
        <f t="shared" si="140"/>
        <v>0</v>
      </c>
      <c r="AT6254" s="561">
        <f t="shared" si="140"/>
        <v>0</v>
      </c>
      <c r="AU6254" s="561">
        <f t="shared" si="140"/>
        <v>0</v>
      </c>
      <c r="AV6254" s="561">
        <f t="shared" si="140"/>
        <v>0</v>
      </c>
      <c r="AW6254" s="561">
        <f t="shared" si="140"/>
        <v>0</v>
      </c>
      <c r="AX6254" s="561">
        <f t="shared" si="140"/>
        <v>0</v>
      </c>
      <c r="AY6254" s="561">
        <f t="shared" si="140"/>
        <v>0</v>
      </c>
      <c r="AZ6254" s="561">
        <f t="shared" si="140"/>
        <v>0</v>
      </c>
      <c r="BA6254" s="561">
        <f t="shared" si="140"/>
        <v>0</v>
      </c>
      <c r="BB6254" s="561">
        <f t="shared" si="140"/>
        <v>0</v>
      </c>
      <c r="BC6254" s="561">
        <f t="shared" si="140"/>
        <v>0</v>
      </c>
      <c r="BD6254" s="561">
        <f t="shared" si="140"/>
        <v>0</v>
      </c>
      <c r="BE6254" s="561">
        <f t="shared" si="140"/>
        <v>0</v>
      </c>
      <c r="BF6254" s="561">
        <f t="shared" si="140"/>
        <v>0</v>
      </c>
      <c r="BG6254" s="561">
        <f t="shared" si="140"/>
        <v>0</v>
      </c>
      <c r="BH6254" s="561">
        <f t="shared" si="140"/>
        <v>0</v>
      </c>
      <c r="BI6254" s="561">
        <f t="shared" si="140"/>
        <v>0</v>
      </c>
      <c r="BJ6254" s="561">
        <f t="shared" si="140"/>
        <v>0</v>
      </c>
      <c r="BK6254" s="561">
        <f t="shared" si="140"/>
        <v>0</v>
      </c>
      <c r="BL6254" s="561">
        <f t="shared" si="140"/>
        <v>0</v>
      </c>
      <c r="BM6254" s="561">
        <f t="shared" si="140"/>
        <v>0</v>
      </c>
      <c r="BN6254" s="561">
        <f t="shared" si="140"/>
        <v>0</v>
      </c>
      <c r="BO6254" s="561">
        <f t="shared" si="140"/>
        <v>0</v>
      </c>
      <c r="BP6254" s="561">
        <f t="shared" si="140"/>
        <v>0</v>
      </c>
      <c r="BQ6254" s="561">
        <f t="shared" si="140"/>
        <v>0</v>
      </c>
      <c r="BR6254" s="561">
        <f t="shared" si="140"/>
        <v>0</v>
      </c>
      <c r="BS6254" s="561">
        <f t="shared" si="140"/>
        <v>0</v>
      </c>
      <c r="BT6254" s="561">
        <f t="shared" si="140"/>
        <v>0</v>
      </c>
      <c r="BU6254" s="561">
        <f t="shared" si="140"/>
        <v>0</v>
      </c>
      <c r="BV6254" s="561">
        <f t="shared" si="140"/>
        <v>0</v>
      </c>
      <c r="BW6254" s="561">
        <f t="shared" si="140"/>
        <v>0</v>
      </c>
      <c r="BX6254" s="561">
        <f t="shared" si="140"/>
        <v>0</v>
      </c>
      <c r="BY6254" s="561">
        <f t="shared" si="140"/>
        <v>0</v>
      </c>
      <c r="BZ6254" s="561">
        <f t="shared" si="140"/>
        <v>0</v>
      </c>
      <c r="CA6254" s="561">
        <f t="shared" si="140"/>
        <v>0</v>
      </c>
      <c r="CB6254" s="561">
        <f t="shared" si="140"/>
        <v>0</v>
      </c>
      <c r="CC6254" s="561">
        <f t="shared" si="140"/>
        <v>0</v>
      </c>
      <c r="CD6254" s="561">
        <f t="shared" si="140"/>
        <v>0</v>
      </c>
      <c r="CE6254" s="561">
        <f t="shared" si="140"/>
        <v>0</v>
      </c>
      <c r="CF6254" s="561">
        <f t="shared" si="140"/>
        <v>0</v>
      </c>
      <c r="CG6254" s="561">
        <f t="shared" si="140"/>
        <v>0</v>
      </c>
      <c r="CH6254" s="561">
        <f t="shared" si="140"/>
        <v>0</v>
      </c>
      <c r="CI6254" s="561">
        <f t="shared" si="140"/>
        <v>0</v>
      </c>
      <c r="CJ6254" s="561">
        <f t="shared" si="140"/>
        <v>0</v>
      </c>
      <c r="CK6254" s="561">
        <f t="shared" si="140"/>
        <v>0</v>
      </c>
      <c r="CL6254" s="561">
        <f t="shared" si="140"/>
        <v>0</v>
      </c>
      <c r="CM6254" s="561">
        <f t="shared" si="140"/>
        <v>0</v>
      </c>
      <c r="CN6254" s="561">
        <f t="shared" si="140"/>
        <v>0</v>
      </c>
      <c r="CO6254" s="561">
        <f t="shared" si="140"/>
        <v>0</v>
      </c>
      <c r="CP6254" s="561">
        <f t="shared" si="140"/>
        <v>0</v>
      </c>
      <c r="CQ6254" s="561">
        <f t="shared" si="140"/>
        <v>0</v>
      </c>
      <c r="CR6254" s="561">
        <f t="shared" si="140"/>
        <v>0</v>
      </c>
      <c r="CS6254" s="561">
        <f t="shared" si="140"/>
        <v>0</v>
      </c>
      <c r="CT6254" s="561">
        <f t="shared" si="140"/>
        <v>0</v>
      </c>
      <c r="CU6254" s="561">
        <f t="shared" si="140"/>
        <v>0</v>
      </c>
      <c r="CV6254" s="561">
        <f t="shared" si="140"/>
        <v>0</v>
      </c>
      <c r="CW6254" s="561">
        <f t="shared" si="140"/>
        <v>0</v>
      </c>
      <c r="CX6254" s="561">
        <f t="shared" si="140"/>
        <v>0</v>
      </c>
      <c r="CY6254" s="561">
        <f t="shared" ref="CY6254:DG6254" si="141">SUM(CY6255:CY6360)</f>
        <v>0</v>
      </c>
      <c r="CZ6254" s="561">
        <f t="shared" si="141"/>
        <v>0</v>
      </c>
      <c r="DA6254" s="561">
        <f t="shared" si="141"/>
        <v>0</v>
      </c>
      <c r="DB6254" s="561">
        <f t="shared" si="141"/>
        <v>0</v>
      </c>
      <c r="DC6254" s="561">
        <f t="shared" si="141"/>
        <v>0</v>
      </c>
      <c r="DD6254" s="561">
        <f t="shared" si="141"/>
        <v>0</v>
      </c>
      <c r="DE6254" s="561">
        <f t="shared" si="141"/>
        <v>0</v>
      </c>
      <c r="DF6254" s="561">
        <f t="shared" si="141"/>
        <v>0</v>
      </c>
      <c r="DG6254" s="561">
        <f t="shared" si="141"/>
        <v>0</v>
      </c>
    </row>
    <row r="6255" spans="1:111">
      <c r="A6255" s="561" t="s">
        <v>1794</v>
      </c>
      <c r="B6255" s="561" t="s">
        <v>1753</v>
      </c>
      <c r="C6255" s="561" t="s">
        <v>1197</v>
      </c>
      <c r="D6255" s="561">
        <v>235674.4</v>
      </c>
      <c r="E6255" s="561">
        <v>73862</v>
      </c>
      <c r="F6255" s="561">
        <v>161812.4</v>
      </c>
      <c r="G6255" s="561">
        <v>854</v>
      </c>
      <c r="H6255" s="561">
        <v>237998.84399999995</v>
      </c>
      <c r="I6255" s="561">
        <v>41</v>
      </c>
      <c r="J6255" s="561">
        <v>2807.2038000000002</v>
      </c>
      <c r="K6255" s="561">
        <v>852</v>
      </c>
      <c r="L6255" s="561">
        <v>235674.39999999997</v>
      </c>
      <c r="M6255" s="561">
        <v>235674.39999999997</v>
      </c>
      <c r="N6255" s="561">
        <v>73862</v>
      </c>
      <c r="O6255" s="561">
        <v>0</v>
      </c>
    </row>
    <row r="6256" spans="1:111">
      <c r="A6256" s="561">
        <v>2</v>
      </c>
      <c r="B6256" s="561" t="s">
        <v>1754</v>
      </c>
      <c r="C6256" s="561" t="s">
        <v>1206</v>
      </c>
      <c r="D6256" s="561">
        <v>1263456.148</v>
      </c>
      <c r="E6256" s="561">
        <v>236457</v>
      </c>
      <c r="F6256" s="561">
        <v>1026999.148</v>
      </c>
      <c r="G6256" s="561">
        <v>14059</v>
      </c>
      <c r="H6256" s="561">
        <v>1284265.1345188406</v>
      </c>
      <c r="I6256" s="561">
        <v>556</v>
      </c>
      <c r="J6256" s="561">
        <v>18648.147091000003</v>
      </c>
      <c r="K6256" s="561">
        <v>14028</v>
      </c>
      <c r="L6256" s="561">
        <v>1263456.1477449359</v>
      </c>
      <c r="M6256" s="561">
        <v>1263456.1477449359</v>
      </c>
      <c r="N6256" s="561">
        <v>236457</v>
      </c>
      <c r="O6256" s="561">
        <v>0</v>
      </c>
      <c r="P6256" s="561">
        <v>1026999.1477449357</v>
      </c>
    </row>
    <row r="6257" spans="1:38">
      <c r="C6257" s="561" t="s">
        <v>1197</v>
      </c>
      <c r="D6257" s="561">
        <v>1137585.5472500001</v>
      </c>
      <c r="E6257" s="561">
        <v>222735</v>
      </c>
      <c r="F6257" s="561">
        <v>914850.54725000006</v>
      </c>
      <c r="G6257" s="561">
        <v>12487</v>
      </c>
      <c r="H6257" s="561">
        <v>1160272.3121092101</v>
      </c>
      <c r="I6257" s="561">
        <v>511</v>
      </c>
      <c r="J6257" s="561">
        <v>17131.130981000002</v>
      </c>
      <c r="K6257" s="561">
        <v>12457</v>
      </c>
      <c r="L6257" s="561">
        <v>1137585.54896</v>
      </c>
      <c r="M6257" s="561">
        <v>1137585.54896</v>
      </c>
      <c r="N6257" s="561">
        <v>222735</v>
      </c>
    </row>
    <row r="6258" spans="1:38">
      <c r="C6258" s="561" t="s">
        <v>1198</v>
      </c>
      <c r="D6258" s="561">
        <v>85107</v>
      </c>
      <c r="E6258" s="561">
        <v>10710</v>
      </c>
      <c r="F6258" s="561">
        <v>74397</v>
      </c>
      <c r="G6258" s="561">
        <v>200</v>
      </c>
      <c r="H6258" s="561">
        <v>81542.438369165247</v>
      </c>
      <c r="I6258" s="561">
        <v>9</v>
      </c>
      <c r="J6258" s="561">
        <v>1094.8127899999999</v>
      </c>
      <c r="K6258" s="561">
        <v>200</v>
      </c>
      <c r="L6258" s="561">
        <v>85107.000001517503</v>
      </c>
      <c r="M6258" s="561">
        <v>85107.000001517503</v>
      </c>
      <c r="N6258" s="561">
        <v>10710</v>
      </c>
      <c r="O6258" s="561">
        <v>0</v>
      </c>
      <c r="AL6258" s="561">
        <v>74397.000001517503</v>
      </c>
    </row>
    <row r="6259" spans="1:38">
      <c r="C6259" s="561" t="s">
        <v>1199</v>
      </c>
      <c r="D6259" s="561">
        <v>32012</v>
      </c>
      <c r="E6259" s="561">
        <v>3012</v>
      </c>
      <c r="F6259" s="561">
        <v>29000</v>
      </c>
      <c r="G6259" s="561">
        <v>1372</v>
      </c>
      <c r="H6259" s="561">
        <v>31614.999290465479</v>
      </c>
      <c r="I6259" s="561">
        <v>36</v>
      </c>
      <c r="J6259" s="561">
        <v>422.20331999999996</v>
      </c>
      <c r="K6259" s="561">
        <v>1371</v>
      </c>
      <c r="L6259" s="561">
        <v>32011.998033418258</v>
      </c>
      <c r="M6259" s="561">
        <v>32011.998033418258</v>
      </c>
      <c r="N6259" s="561">
        <v>3012</v>
      </c>
      <c r="O6259" s="561">
        <v>0</v>
      </c>
      <c r="P6259" s="561">
        <v>28999.998033418258</v>
      </c>
    </row>
    <row r="6260" spans="1:38">
      <c r="C6260" s="561" t="s">
        <v>1202</v>
      </c>
      <c r="D6260" s="561">
        <v>8751.6007499999996</v>
      </c>
      <c r="F6260" s="561">
        <v>8751.6007499999996</v>
      </c>
      <c r="H6260" s="561">
        <v>10835.384749999999</v>
      </c>
      <c r="K6260" s="561">
        <v>0</v>
      </c>
      <c r="L6260" s="561">
        <v>8751.6007499999996</v>
      </c>
      <c r="M6260" s="561">
        <v>8751.6007499999996</v>
      </c>
      <c r="P6260" s="561">
        <v>8751.6007499999996</v>
      </c>
    </row>
    <row r="6261" spans="1:38">
      <c r="A6261" s="561">
        <v>3</v>
      </c>
      <c r="B6261" s="561" t="s">
        <v>1755</v>
      </c>
      <c r="C6261" s="561" t="s">
        <v>1206</v>
      </c>
      <c r="D6261" s="561">
        <v>794945.02099999995</v>
      </c>
      <c r="E6261" s="561">
        <v>216139.8</v>
      </c>
      <c r="F6261" s="561">
        <v>578805.22100000002</v>
      </c>
      <c r="G6261" s="561">
        <v>12620</v>
      </c>
      <c r="H6261" s="561">
        <v>806702.25085604098</v>
      </c>
      <c r="I6261" s="561">
        <v>421</v>
      </c>
      <c r="J6261" s="561">
        <v>13051.729719999999</v>
      </c>
      <c r="K6261" s="561">
        <v>12615</v>
      </c>
      <c r="L6261" s="561">
        <v>794945.02072200016</v>
      </c>
      <c r="M6261" s="561">
        <v>794945.02072200016</v>
      </c>
      <c r="N6261" s="561">
        <v>216139.8</v>
      </c>
      <c r="O6261" s="561">
        <v>0</v>
      </c>
      <c r="P6261" s="561">
        <v>578805.22072200011</v>
      </c>
    </row>
    <row r="6262" spans="1:38">
      <c r="C6262" s="561" t="s">
        <v>1197</v>
      </c>
      <c r="D6262" s="561">
        <v>767664.78287999996</v>
      </c>
      <c r="E6262" s="561">
        <v>208693.5</v>
      </c>
      <c r="F6262" s="561">
        <v>558971.28287999996</v>
      </c>
      <c r="G6262" s="561">
        <v>11513</v>
      </c>
      <c r="H6262" s="561">
        <v>779960.13714018604</v>
      </c>
      <c r="I6262" s="561">
        <v>372</v>
      </c>
      <c r="J6262" s="561">
        <v>11482.489659999999</v>
      </c>
      <c r="K6262" s="561">
        <v>11508</v>
      </c>
      <c r="L6262" s="561">
        <v>767664.78259331803</v>
      </c>
      <c r="M6262" s="561">
        <v>767664.78259331803</v>
      </c>
      <c r="N6262" s="561">
        <v>208693.5</v>
      </c>
    </row>
    <row r="6263" spans="1:38">
      <c r="C6263" s="561" t="s">
        <v>1198</v>
      </c>
      <c r="D6263" s="561">
        <v>7926</v>
      </c>
      <c r="E6263" s="561">
        <v>4500</v>
      </c>
      <c r="F6263" s="561">
        <v>3426</v>
      </c>
      <c r="G6263" s="561">
        <v>21</v>
      </c>
      <c r="H6263" s="561">
        <v>6441.1263052896056</v>
      </c>
      <c r="I6263" s="561">
        <v>1</v>
      </c>
      <c r="J6263" s="561">
        <v>104.444</v>
      </c>
      <c r="K6263" s="561">
        <v>21</v>
      </c>
      <c r="L6263" s="561">
        <v>7925.9999956707716</v>
      </c>
      <c r="M6263" s="561">
        <v>7925.9999956707716</v>
      </c>
      <c r="N6263" s="561">
        <v>4500</v>
      </c>
      <c r="O6263" s="561">
        <v>0</v>
      </c>
      <c r="AL6263" s="561">
        <v>3425.9999956707716</v>
      </c>
    </row>
    <row r="6264" spans="1:38">
      <c r="C6264" s="561" t="s">
        <v>1199</v>
      </c>
      <c r="D6264" s="561">
        <v>16025.7</v>
      </c>
      <c r="E6264" s="561">
        <v>2946.3</v>
      </c>
      <c r="F6264" s="561">
        <v>13079.4</v>
      </c>
      <c r="G6264" s="561">
        <v>1086</v>
      </c>
      <c r="H6264" s="561">
        <v>16283.932940565446</v>
      </c>
      <c r="I6264" s="561">
        <v>48</v>
      </c>
      <c r="J6264" s="561">
        <v>1464.7960600000001</v>
      </c>
      <c r="K6264" s="561">
        <v>1086</v>
      </c>
      <c r="L6264" s="561">
        <v>16025.700013011323</v>
      </c>
      <c r="M6264" s="561">
        <v>16025.700013011323</v>
      </c>
      <c r="N6264" s="561">
        <v>2946.3</v>
      </c>
      <c r="O6264" s="561">
        <v>0</v>
      </c>
      <c r="P6264" s="561">
        <v>13079.400013011324</v>
      </c>
    </row>
    <row r="6265" spans="1:38">
      <c r="C6265" s="561" t="s">
        <v>1202</v>
      </c>
      <c r="D6265" s="561">
        <v>3328.5381200000002</v>
      </c>
      <c r="F6265" s="561">
        <v>3328.5381200000002</v>
      </c>
      <c r="H6265" s="561">
        <v>4017.05447</v>
      </c>
      <c r="K6265" s="561">
        <v>0</v>
      </c>
      <c r="L6265" s="561">
        <v>3328.5381200000002</v>
      </c>
      <c r="M6265" s="561">
        <v>3328.5381200000002</v>
      </c>
      <c r="P6265" s="561">
        <v>3328.5381200000002</v>
      </c>
    </row>
    <row r="6266" spans="1:38">
      <c r="A6266" s="561">
        <v>4</v>
      </c>
      <c r="B6266" s="561" t="s">
        <v>1756</v>
      </c>
      <c r="C6266" s="561" t="s">
        <v>1206</v>
      </c>
      <c r="D6266" s="561">
        <v>721422.022</v>
      </c>
      <c r="E6266" s="561">
        <v>141901.20000000001</v>
      </c>
      <c r="F6266" s="561">
        <v>579520.82200000004</v>
      </c>
      <c r="G6266" s="561">
        <v>8480</v>
      </c>
      <c r="H6266" s="561">
        <v>756266.49219691998</v>
      </c>
      <c r="I6266" s="561">
        <v>412</v>
      </c>
      <c r="J6266" s="561">
        <v>14807.522647999998</v>
      </c>
      <c r="K6266" s="561">
        <v>8458</v>
      </c>
      <c r="L6266" s="561">
        <v>721422.022</v>
      </c>
      <c r="M6266" s="561">
        <v>721422.022</v>
      </c>
      <c r="N6266" s="561">
        <v>141901.19999999998</v>
      </c>
      <c r="O6266" s="561">
        <v>0</v>
      </c>
      <c r="P6266" s="561">
        <v>579520.82200000004</v>
      </c>
    </row>
    <row r="6267" spans="1:38">
      <c r="C6267" s="561" t="s">
        <v>1197</v>
      </c>
      <c r="D6267" s="561">
        <v>712101</v>
      </c>
      <c r="E6267" s="561">
        <v>141901.20000000001</v>
      </c>
      <c r="F6267" s="561">
        <v>570199.80000000005</v>
      </c>
      <c r="G6267" s="561">
        <v>8480</v>
      </c>
      <c r="H6267" s="561">
        <v>726598.23222691996</v>
      </c>
      <c r="I6267" s="561">
        <v>412</v>
      </c>
      <c r="J6267" s="561">
        <v>14807.522647999998</v>
      </c>
      <c r="K6267" s="561">
        <v>8458</v>
      </c>
      <c r="L6267" s="561">
        <v>712100.99968000001</v>
      </c>
      <c r="M6267" s="561">
        <v>712100.99968000001</v>
      </c>
      <c r="N6267" s="561">
        <v>141901.19999999998</v>
      </c>
    </row>
    <row r="6268" spans="1:38">
      <c r="C6268" s="561" t="s">
        <v>1202</v>
      </c>
      <c r="D6268" s="561">
        <v>9321.0220000000008</v>
      </c>
      <c r="F6268" s="561">
        <v>9321.0220000000008</v>
      </c>
      <c r="H6268" s="561">
        <v>29668.259969999999</v>
      </c>
      <c r="K6268" s="561">
        <v>0</v>
      </c>
      <c r="L6268" s="561">
        <v>9321.02232</v>
      </c>
      <c r="M6268" s="561">
        <v>9321.02232</v>
      </c>
      <c r="P6268" s="561">
        <v>9321.02232</v>
      </c>
    </row>
    <row r="6269" spans="1:38">
      <c r="A6269" s="561">
        <v>5</v>
      </c>
      <c r="B6269" s="561" t="s">
        <v>1757</v>
      </c>
      <c r="C6269" s="561" t="s">
        <v>1197</v>
      </c>
      <c r="D6269" s="561">
        <v>397621</v>
      </c>
      <c r="E6269" s="561">
        <v>93936.3</v>
      </c>
      <c r="F6269" s="561">
        <v>303684.7</v>
      </c>
      <c r="G6269" s="561">
        <v>4758</v>
      </c>
      <c r="H6269" s="561">
        <v>404964.86181953596</v>
      </c>
      <c r="I6269" s="561">
        <v>268</v>
      </c>
      <c r="J6269" s="561">
        <v>9431.1368569999995</v>
      </c>
      <c r="K6269" s="561">
        <v>4755</v>
      </c>
      <c r="L6269" s="561">
        <v>397621.00000000006</v>
      </c>
      <c r="M6269" s="561">
        <v>397621.00000000006</v>
      </c>
      <c r="N6269" s="561">
        <v>93936.3</v>
      </c>
      <c r="O6269" s="561">
        <v>0</v>
      </c>
    </row>
    <row r="6270" spans="1:38">
      <c r="A6270" s="561">
        <v>6</v>
      </c>
      <c r="B6270" s="561" t="s">
        <v>1758</v>
      </c>
      <c r="C6270" s="561" t="s">
        <v>1206</v>
      </c>
      <c r="D6270" s="561">
        <v>76832.5</v>
      </c>
      <c r="E6270" s="561">
        <v>22849.5</v>
      </c>
      <c r="F6270" s="561">
        <v>53983</v>
      </c>
      <c r="G6270" s="561">
        <v>2150</v>
      </c>
      <c r="H6270" s="561">
        <v>76980.853224947758</v>
      </c>
      <c r="I6270" s="561">
        <v>4</v>
      </c>
      <c r="J6270" s="561">
        <v>124.00354999999999</v>
      </c>
      <c r="K6270" s="561">
        <v>2149</v>
      </c>
      <c r="L6270" s="561">
        <v>76832.5</v>
      </c>
      <c r="M6270" s="561">
        <v>76832.5</v>
      </c>
      <c r="N6270" s="561">
        <v>22849.5</v>
      </c>
      <c r="O6270" s="561">
        <v>0</v>
      </c>
      <c r="P6270" s="561">
        <v>53982.999999999993</v>
      </c>
    </row>
    <row r="6271" spans="1:38">
      <c r="C6271" s="561" t="s">
        <v>1197</v>
      </c>
      <c r="D6271" s="561">
        <v>57783</v>
      </c>
      <c r="E6271" s="561">
        <v>17784.900000000001</v>
      </c>
      <c r="F6271" s="561">
        <v>39998.1</v>
      </c>
      <c r="G6271" s="561">
        <v>857</v>
      </c>
      <c r="H6271" s="561">
        <v>57868.01921788961</v>
      </c>
      <c r="I6271" s="561">
        <v>3</v>
      </c>
      <c r="J6271" s="561">
        <v>118.46943999999999</v>
      </c>
      <c r="K6271" s="561">
        <v>856</v>
      </c>
      <c r="L6271" s="561">
        <v>57782.999988861018</v>
      </c>
      <c r="M6271" s="561">
        <v>57782.999988861018</v>
      </c>
      <c r="N6271" s="561">
        <v>17784.900000000001</v>
      </c>
      <c r="O6271" s="561">
        <v>0</v>
      </c>
    </row>
    <row r="6272" spans="1:38">
      <c r="C6272" s="561" t="s">
        <v>1199</v>
      </c>
      <c r="D6272" s="561">
        <v>19049.500000000004</v>
      </c>
      <c r="E6272" s="561">
        <v>5064.6000000000004</v>
      </c>
      <c r="F6272" s="561">
        <v>13984.900000000003</v>
      </c>
      <c r="G6272" s="561">
        <v>1293</v>
      </c>
      <c r="H6272" s="561">
        <v>19112.83400705814</v>
      </c>
      <c r="I6272" s="561">
        <v>1</v>
      </c>
      <c r="J6272" s="561">
        <v>5.5341100000000001</v>
      </c>
      <c r="K6272" s="561">
        <v>1293</v>
      </c>
      <c r="L6272" s="561">
        <v>19049.500011138978</v>
      </c>
      <c r="M6272" s="561">
        <v>19049.500011138978</v>
      </c>
      <c r="N6272" s="561">
        <v>5064.6000000000004</v>
      </c>
      <c r="O6272" s="561">
        <v>0</v>
      </c>
      <c r="P6272" s="561">
        <v>13984.900011138978</v>
      </c>
    </row>
    <row r="6273" spans="1:38">
      <c r="A6273" s="561">
        <v>7</v>
      </c>
      <c r="B6273" s="561" t="s">
        <v>1759</v>
      </c>
      <c r="C6273" s="561" t="s">
        <v>1206</v>
      </c>
      <c r="D6273" s="561">
        <v>64421</v>
      </c>
      <c r="E6273" s="561">
        <v>16326.3</v>
      </c>
      <c r="F6273" s="561">
        <v>48094.7</v>
      </c>
      <c r="G6273" s="561">
        <v>1381</v>
      </c>
      <c r="H6273" s="561">
        <v>65237.769534029365</v>
      </c>
      <c r="I6273" s="561">
        <v>66</v>
      </c>
      <c r="J6273" s="561">
        <v>801.08269999999993</v>
      </c>
      <c r="K6273" s="561">
        <v>1378</v>
      </c>
      <c r="L6273" s="561">
        <v>64421.000000000015</v>
      </c>
      <c r="M6273" s="561">
        <v>64421.000000000015</v>
      </c>
      <c r="N6273" s="561">
        <v>16326.3</v>
      </c>
      <c r="O6273" s="561">
        <v>0</v>
      </c>
      <c r="P6273" s="561">
        <v>48094.700000000012</v>
      </c>
    </row>
    <row r="6274" spans="1:38">
      <c r="C6274" s="561" t="s">
        <v>1197</v>
      </c>
      <c r="D6274" s="561">
        <v>57057</v>
      </c>
      <c r="E6274" s="561">
        <v>14341.8</v>
      </c>
      <c r="F6274" s="561">
        <v>42715.199999999997</v>
      </c>
      <c r="G6274" s="561">
        <v>876</v>
      </c>
      <c r="H6274" s="561">
        <v>57481.015294218261</v>
      </c>
      <c r="I6274" s="561">
        <v>14</v>
      </c>
      <c r="J6274" s="561">
        <v>523.94886999999994</v>
      </c>
      <c r="K6274" s="561">
        <v>876</v>
      </c>
      <c r="L6274" s="561">
        <v>57057.000000021028</v>
      </c>
      <c r="M6274" s="561">
        <v>57057.000000021028</v>
      </c>
      <c r="N6274" s="561">
        <v>14341.8</v>
      </c>
      <c r="O6274" s="561">
        <v>0</v>
      </c>
    </row>
    <row r="6275" spans="1:38">
      <c r="C6275" s="561" t="s">
        <v>1199</v>
      </c>
      <c r="D6275" s="561">
        <v>7364</v>
      </c>
      <c r="E6275" s="561">
        <v>1984.5</v>
      </c>
      <c r="F6275" s="561">
        <v>5379.5</v>
      </c>
      <c r="G6275" s="561">
        <v>505</v>
      </c>
      <c r="H6275" s="561">
        <v>7756.7542398111045</v>
      </c>
      <c r="I6275" s="561">
        <v>52</v>
      </c>
      <c r="J6275" s="561">
        <v>277.13382999999999</v>
      </c>
      <c r="K6275" s="561">
        <v>502</v>
      </c>
      <c r="L6275" s="561">
        <v>7363.9999999789861</v>
      </c>
      <c r="M6275" s="561">
        <v>7363.9999999789861</v>
      </c>
      <c r="N6275" s="561">
        <v>1984.5</v>
      </c>
      <c r="O6275" s="561">
        <v>0</v>
      </c>
      <c r="P6275" s="561">
        <v>5379.4999999789861</v>
      </c>
    </row>
    <row r="6276" spans="1:38">
      <c r="A6276" s="561">
        <v>8</v>
      </c>
      <c r="B6276" s="561" t="s">
        <v>1760</v>
      </c>
      <c r="C6276" s="561" t="s">
        <v>1206</v>
      </c>
      <c r="D6276" s="561">
        <v>1679417.5089999998</v>
      </c>
      <c r="E6276" s="561">
        <v>380736.3</v>
      </c>
      <c r="F6276" s="561">
        <v>1298681.209</v>
      </c>
      <c r="G6276" s="561">
        <v>19560</v>
      </c>
      <c r="H6276" s="561">
        <v>1730040.06152</v>
      </c>
      <c r="I6276" s="561">
        <v>1109</v>
      </c>
      <c r="J6276" s="561">
        <v>49087.461469999995</v>
      </c>
      <c r="K6276" s="561">
        <v>19515</v>
      </c>
      <c r="L6276" s="561">
        <v>1679417.5090075037</v>
      </c>
      <c r="M6276" s="561">
        <v>1679417.5090075037</v>
      </c>
      <c r="N6276" s="561">
        <v>380736.3</v>
      </c>
      <c r="O6276" s="561">
        <v>0</v>
      </c>
      <c r="P6276" s="561">
        <v>1298681.2090075039</v>
      </c>
    </row>
    <row r="6277" spans="1:38">
      <c r="C6277" s="561" t="s">
        <v>1197</v>
      </c>
      <c r="D6277" s="561">
        <v>1279931.18863</v>
      </c>
      <c r="E6277" s="561">
        <v>310364.7</v>
      </c>
      <c r="F6277" s="561">
        <v>969566.48862999992</v>
      </c>
      <c r="G6277" s="561">
        <v>17121</v>
      </c>
      <c r="H6277" s="561">
        <v>1292529.4186200001</v>
      </c>
      <c r="I6277" s="561">
        <v>1010</v>
      </c>
      <c r="J6277" s="561">
        <v>36924.403309999994</v>
      </c>
      <c r="K6277" s="561">
        <v>17158</v>
      </c>
      <c r="L6277" s="561">
        <v>1279931.18863</v>
      </c>
      <c r="M6277" s="561">
        <v>1279931.18863</v>
      </c>
      <c r="N6277" s="561">
        <v>310364.7</v>
      </c>
    </row>
    <row r="6278" spans="1:38">
      <c r="C6278" s="561" t="s">
        <v>1198</v>
      </c>
      <c r="D6278" s="561">
        <v>164518</v>
      </c>
      <c r="E6278" s="561">
        <v>17850</v>
      </c>
      <c r="F6278" s="561">
        <v>146668</v>
      </c>
      <c r="G6278" s="561">
        <v>419</v>
      </c>
      <c r="H6278" s="561">
        <v>177179.55664999998</v>
      </c>
      <c r="I6278" s="561">
        <v>41</v>
      </c>
      <c r="J6278" s="561">
        <v>9787.9374499999976</v>
      </c>
      <c r="K6278" s="561">
        <v>418</v>
      </c>
      <c r="L6278" s="561">
        <v>164518.0000075039</v>
      </c>
      <c r="M6278" s="561">
        <v>164518.0000075039</v>
      </c>
      <c r="N6278" s="561">
        <v>17850</v>
      </c>
      <c r="O6278" s="561">
        <v>0</v>
      </c>
      <c r="AL6278" s="561">
        <v>146668.0000075039</v>
      </c>
    </row>
    <row r="6279" spans="1:38">
      <c r="C6279" s="561" t="s">
        <v>1199</v>
      </c>
      <c r="D6279" s="561">
        <v>220704.97436999998</v>
      </c>
      <c r="E6279" s="561">
        <v>52521.599999999999</v>
      </c>
      <c r="F6279" s="561">
        <v>168183.37437000001</v>
      </c>
      <c r="G6279" s="561">
        <v>2020</v>
      </c>
      <c r="H6279" s="561">
        <v>242538.65899</v>
      </c>
      <c r="I6279" s="561">
        <v>58</v>
      </c>
      <c r="J6279" s="561">
        <v>2375.1207100000001</v>
      </c>
      <c r="K6279" s="561">
        <v>1939</v>
      </c>
      <c r="L6279" s="561">
        <v>220704.97436999998</v>
      </c>
      <c r="M6279" s="561">
        <v>220704.97436999998</v>
      </c>
      <c r="N6279" s="561">
        <v>52521.599999999999</v>
      </c>
      <c r="O6279" s="561">
        <v>0</v>
      </c>
      <c r="P6279" s="561">
        <v>168183.37436999998</v>
      </c>
    </row>
    <row r="6280" spans="1:38">
      <c r="C6280" s="561" t="s">
        <v>1202</v>
      </c>
      <c r="D6280" s="561">
        <v>14263.346</v>
      </c>
      <c r="F6280" s="561">
        <v>14263.346</v>
      </c>
      <c r="H6280" s="561">
        <v>17792.42726</v>
      </c>
      <c r="K6280" s="561">
        <v>0</v>
      </c>
      <c r="L6280" s="561">
        <v>14263.346000000001</v>
      </c>
      <c r="M6280" s="561">
        <v>14263.346000000001</v>
      </c>
      <c r="P6280" s="561">
        <v>14263.346000000001</v>
      </c>
    </row>
    <row r="6281" spans="1:38">
      <c r="A6281" s="561">
        <v>9</v>
      </c>
      <c r="B6281" s="561" t="s">
        <v>1761</v>
      </c>
      <c r="C6281" s="561" t="s">
        <v>1206</v>
      </c>
      <c r="D6281" s="561">
        <v>1388578.496</v>
      </c>
      <c r="E6281" s="561">
        <v>302475.30000000005</v>
      </c>
      <c r="F6281" s="561">
        <v>1086103.196</v>
      </c>
      <c r="G6281" s="561">
        <v>4812</v>
      </c>
      <c r="H6281" s="561">
        <v>1434909.42203</v>
      </c>
      <c r="I6281" s="561">
        <v>419</v>
      </c>
      <c r="J6281" s="561">
        <v>41430.853420177198</v>
      </c>
      <c r="K6281" s="561">
        <v>4793</v>
      </c>
      <c r="L6281" s="561">
        <v>1388578.4955023685</v>
      </c>
      <c r="M6281" s="561">
        <v>1388578.4955023685</v>
      </c>
      <c r="N6281" s="561">
        <v>302475.30000000005</v>
      </c>
      <c r="O6281" s="561">
        <v>0</v>
      </c>
      <c r="P6281" s="561">
        <v>1086103.1955023685</v>
      </c>
    </row>
    <row r="6282" spans="1:38">
      <c r="C6282" s="561" t="s">
        <v>1197</v>
      </c>
      <c r="D6282" s="561">
        <v>605166.62519000005</v>
      </c>
      <c r="E6282" s="561">
        <v>207800.5</v>
      </c>
      <c r="F6282" s="561">
        <v>397366.12518999999</v>
      </c>
      <c r="G6282" s="561">
        <v>4198</v>
      </c>
      <c r="H6282" s="561">
        <v>629883.06668000005</v>
      </c>
      <c r="I6282" s="561">
        <v>383</v>
      </c>
      <c r="J6282" s="561">
        <v>23288.160489999998</v>
      </c>
      <c r="K6282" s="561">
        <v>4183</v>
      </c>
      <c r="L6282" s="561">
        <v>605166.63031000004</v>
      </c>
      <c r="M6282" s="561">
        <v>605166.63031000004</v>
      </c>
      <c r="N6282" s="561">
        <v>207800.5</v>
      </c>
    </row>
    <row r="6283" spans="1:38">
      <c r="C6283" s="561" t="s">
        <v>1198</v>
      </c>
      <c r="D6283" s="561">
        <v>776597</v>
      </c>
      <c r="E6283" s="561">
        <v>94674.800000000017</v>
      </c>
      <c r="F6283" s="561">
        <v>681922.2</v>
      </c>
      <c r="G6283" s="561">
        <v>614</v>
      </c>
      <c r="H6283" s="561">
        <v>796957.63361000014</v>
      </c>
      <c r="I6283" s="561">
        <v>36</v>
      </c>
      <c r="J6283" s="561">
        <v>18142.6929301772</v>
      </c>
      <c r="K6283" s="561">
        <v>610</v>
      </c>
      <c r="L6283" s="561">
        <v>776596.99438236852</v>
      </c>
      <c r="M6283" s="561">
        <v>776596.99438236852</v>
      </c>
      <c r="N6283" s="561">
        <v>94674.800000000017</v>
      </c>
      <c r="O6283" s="561">
        <v>0</v>
      </c>
      <c r="AL6283" s="561">
        <v>681922.19438236847</v>
      </c>
    </row>
    <row r="6284" spans="1:38">
      <c r="C6284" s="561" t="s">
        <v>1202</v>
      </c>
      <c r="D6284" s="561">
        <v>6814.8708100000003</v>
      </c>
      <c r="F6284" s="561">
        <v>6814.8708100000003</v>
      </c>
      <c r="H6284" s="561">
        <v>8068.72174</v>
      </c>
      <c r="K6284" s="561">
        <v>0</v>
      </c>
      <c r="L6284" s="561">
        <v>6814.8708100000003</v>
      </c>
      <c r="M6284" s="561">
        <v>6814.8708100000003</v>
      </c>
      <c r="P6284" s="561">
        <v>6814.8708100000003</v>
      </c>
    </row>
    <row r="6285" spans="1:38">
      <c r="A6285" s="561">
        <v>10</v>
      </c>
      <c r="B6285" s="561" t="s">
        <v>1762</v>
      </c>
      <c r="C6285" s="561" t="s">
        <v>1206</v>
      </c>
      <c r="D6285" s="561">
        <v>697760.01399999997</v>
      </c>
      <c r="E6285" s="561">
        <v>151940.09999999998</v>
      </c>
      <c r="F6285" s="561">
        <v>545819.91399999999</v>
      </c>
      <c r="G6285" s="561">
        <v>10044</v>
      </c>
      <c r="H6285" s="561">
        <v>714999.96236513578</v>
      </c>
      <c r="I6285" s="561">
        <v>365</v>
      </c>
      <c r="J6285" s="561">
        <v>12308.23638</v>
      </c>
      <c r="K6285" s="561">
        <v>10036</v>
      </c>
      <c r="L6285" s="561">
        <v>697760.01399974315</v>
      </c>
      <c r="M6285" s="561">
        <v>697760.01399974315</v>
      </c>
      <c r="N6285" s="561">
        <v>151940.09999999998</v>
      </c>
      <c r="O6285" s="561">
        <v>0</v>
      </c>
      <c r="P6285" s="561">
        <v>545819.91399974318</v>
      </c>
    </row>
    <row r="6286" spans="1:38">
      <c r="C6286" s="561" t="s">
        <v>1197</v>
      </c>
      <c r="D6286" s="561">
        <v>657489.00009999995</v>
      </c>
      <c r="E6286" s="561">
        <v>149175.29999999999</v>
      </c>
      <c r="F6286" s="561">
        <v>508313.70009999996</v>
      </c>
      <c r="G6286" s="561">
        <v>9133</v>
      </c>
      <c r="H6286" s="561">
        <v>666297.99940002407</v>
      </c>
      <c r="I6286" s="561">
        <v>336</v>
      </c>
      <c r="J6286" s="561">
        <v>10377.663130000001</v>
      </c>
      <c r="K6286" s="561">
        <v>9126</v>
      </c>
      <c r="L6286" s="561">
        <v>657489.00099173677</v>
      </c>
      <c r="M6286" s="561">
        <v>657489.00099173677</v>
      </c>
      <c r="N6286" s="561">
        <v>149175.29999999999</v>
      </c>
    </row>
    <row r="6287" spans="1:38">
      <c r="C6287" s="561" t="s">
        <v>1198</v>
      </c>
      <c r="D6287" s="561">
        <v>22753</v>
      </c>
      <c r="E6287" s="561">
        <v>1200</v>
      </c>
      <c r="F6287" s="561">
        <v>21553</v>
      </c>
      <c r="G6287" s="561">
        <v>73</v>
      </c>
      <c r="H6287" s="561">
        <v>24407.103704152338</v>
      </c>
      <c r="I6287" s="561">
        <v>6</v>
      </c>
      <c r="J6287" s="561">
        <v>1277.70983</v>
      </c>
      <c r="K6287" s="561">
        <v>73</v>
      </c>
      <c r="L6287" s="561">
        <v>22753.000000948119</v>
      </c>
      <c r="M6287" s="561">
        <v>22753.000000948119</v>
      </c>
      <c r="N6287" s="561">
        <v>1200</v>
      </c>
      <c r="O6287" s="561">
        <v>0</v>
      </c>
      <c r="AL6287" s="561">
        <v>21553.000000948119</v>
      </c>
    </row>
    <row r="6288" spans="1:38">
      <c r="C6288" s="561" t="s">
        <v>1199</v>
      </c>
      <c r="D6288" s="561">
        <v>11657</v>
      </c>
      <c r="E6288" s="561">
        <v>1564.8</v>
      </c>
      <c r="F6288" s="561">
        <v>10092.200000000001</v>
      </c>
      <c r="G6288" s="561">
        <v>838</v>
      </c>
      <c r="H6288" s="561">
        <v>12798.861540959377</v>
      </c>
      <c r="I6288" s="561">
        <v>23</v>
      </c>
      <c r="J6288" s="561">
        <v>652.86342000000002</v>
      </c>
      <c r="K6288" s="561">
        <v>837</v>
      </c>
      <c r="L6288" s="561">
        <v>11657.00000705823</v>
      </c>
      <c r="M6288" s="561">
        <v>11657.00000705823</v>
      </c>
      <c r="N6288" s="561">
        <v>1564.8</v>
      </c>
      <c r="O6288" s="561">
        <v>0</v>
      </c>
      <c r="P6288" s="561">
        <v>10092.200007058231</v>
      </c>
    </row>
    <row r="6289" spans="1:38">
      <c r="C6289" s="561" t="s">
        <v>1202</v>
      </c>
      <c r="D6289" s="561">
        <v>5861.0138999999999</v>
      </c>
      <c r="F6289" s="561">
        <v>5861.0138999999999</v>
      </c>
      <c r="H6289" s="561">
        <v>11495.997719999999</v>
      </c>
      <c r="K6289" s="561">
        <v>0</v>
      </c>
      <c r="L6289" s="561">
        <v>5861.0129999999999</v>
      </c>
      <c r="M6289" s="561">
        <v>5861.0129999999999</v>
      </c>
      <c r="P6289" s="561">
        <v>5861.0129999999999</v>
      </c>
    </row>
    <row r="6290" spans="1:38">
      <c r="A6290" s="561">
        <v>11</v>
      </c>
      <c r="B6290" s="561" t="s">
        <v>1763</v>
      </c>
      <c r="C6290" s="561" t="s">
        <v>1206</v>
      </c>
      <c r="D6290" s="561">
        <v>911234.049</v>
      </c>
      <c r="E6290" s="561">
        <v>244396.79999999999</v>
      </c>
      <c r="F6290" s="561">
        <v>666837.25005000003</v>
      </c>
      <c r="G6290" s="561">
        <v>13340</v>
      </c>
      <c r="H6290" s="561">
        <v>952914.49391507718</v>
      </c>
      <c r="I6290" s="561">
        <v>1138</v>
      </c>
      <c r="J6290" s="561">
        <v>37780.054680943234</v>
      </c>
      <c r="K6290" s="561">
        <v>13257</v>
      </c>
      <c r="L6290" s="561">
        <v>911234.04899999953</v>
      </c>
      <c r="M6290" s="561">
        <v>911234.04899999953</v>
      </c>
      <c r="N6290" s="561">
        <v>244396.79999999999</v>
      </c>
      <c r="O6290" s="561">
        <v>0</v>
      </c>
      <c r="P6290" s="561">
        <v>666837.24899999949</v>
      </c>
    </row>
    <row r="6291" spans="1:38">
      <c r="C6291" s="561" t="s">
        <v>1197</v>
      </c>
      <c r="D6291" s="561">
        <v>792350.75466999994</v>
      </c>
      <c r="E6291" s="561">
        <v>218671.8</v>
      </c>
      <c r="F6291" s="561">
        <v>573678.95571999997</v>
      </c>
      <c r="G6291" s="561">
        <v>12036</v>
      </c>
      <c r="H6291" s="561">
        <v>818230.55135814799</v>
      </c>
      <c r="I6291" s="561">
        <v>1100</v>
      </c>
      <c r="J6291" s="561">
        <v>34722.566980943229</v>
      </c>
      <c r="K6291" s="561">
        <v>11973</v>
      </c>
      <c r="L6291" s="561">
        <v>792350.75471418072</v>
      </c>
      <c r="M6291" s="561">
        <v>792350.75471418072</v>
      </c>
      <c r="N6291" s="561">
        <v>218671.8</v>
      </c>
    </row>
    <row r="6292" spans="1:38">
      <c r="C6292" s="561" t="s">
        <v>1198</v>
      </c>
      <c r="D6292" s="561">
        <v>44410</v>
      </c>
      <c r="E6292" s="561">
        <v>6600</v>
      </c>
      <c r="F6292" s="561">
        <v>37810</v>
      </c>
      <c r="G6292" s="561">
        <v>144</v>
      </c>
      <c r="H6292" s="561">
        <v>47522.432511608633</v>
      </c>
      <c r="I6292" s="561">
        <v>5</v>
      </c>
      <c r="J6292" s="561">
        <v>1223.9681099999998</v>
      </c>
      <c r="K6292" s="561">
        <v>144</v>
      </c>
      <c r="L6292" s="561">
        <v>44410.000000598833</v>
      </c>
      <c r="M6292" s="561">
        <v>44410.000000598833</v>
      </c>
      <c r="N6292" s="561">
        <v>6600</v>
      </c>
      <c r="O6292" s="561">
        <v>0</v>
      </c>
      <c r="AL6292" s="561">
        <v>37810.000000598833</v>
      </c>
    </row>
    <row r="6293" spans="1:38">
      <c r="C6293" s="561" t="s">
        <v>1199</v>
      </c>
      <c r="D6293" s="561">
        <v>65802.934720000005</v>
      </c>
      <c r="E6293" s="561">
        <v>19125</v>
      </c>
      <c r="F6293" s="561">
        <v>46677.934720000005</v>
      </c>
      <c r="G6293" s="561">
        <v>1160</v>
      </c>
      <c r="H6293" s="561">
        <v>75795.414935320558</v>
      </c>
      <c r="I6293" s="561">
        <v>33</v>
      </c>
      <c r="J6293" s="561">
        <v>1833.5195900000001</v>
      </c>
      <c r="K6293" s="561">
        <v>1140</v>
      </c>
      <c r="L6293" s="561">
        <v>65802.93471522005</v>
      </c>
      <c r="M6293" s="561">
        <v>65802.93471522005</v>
      </c>
      <c r="N6293" s="561">
        <v>19125</v>
      </c>
      <c r="O6293" s="561">
        <v>0</v>
      </c>
      <c r="P6293" s="561">
        <v>46677.93471522005</v>
      </c>
    </row>
    <row r="6294" spans="1:38">
      <c r="C6294" s="561" t="s">
        <v>1202</v>
      </c>
      <c r="D6294" s="561">
        <v>8670.3596099999995</v>
      </c>
      <c r="F6294" s="561">
        <v>8670.3596099999995</v>
      </c>
      <c r="H6294" s="561">
        <v>11366.09511</v>
      </c>
      <c r="K6294" s="561">
        <v>0</v>
      </c>
      <c r="L6294" s="561">
        <v>8670.3595700000005</v>
      </c>
      <c r="M6294" s="561">
        <v>8670.3595700000005</v>
      </c>
      <c r="P6294" s="561">
        <v>8670.3595700000005</v>
      </c>
    </row>
    <row r="6295" spans="1:38">
      <c r="A6295" s="561">
        <v>12</v>
      </c>
      <c r="B6295" s="561" t="s">
        <v>1764</v>
      </c>
      <c r="C6295" s="561" t="s">
        <v>1206</v>
      </c>
      <c r="D6295" s="561">
        <v>369105.5</v>
      </c>
      <c r="E6295" s="561">
        <v>93481.8</v>
      </c>
      <c r="F6295" s="561">
        <v>275623.7</v>
      </c>
      <c r="G6295" s="561">
        <v>6373</v>
      </c>
      <c r="H6295" s="561">
        <v>379491.90876483632</v>
      </c>
      <c r="I6295" s="561">
        <v>324</v>
      </c>
      <c r="J6295" s="561">
        <v>9571.2825400000002</v>
      </c>
      <c r="K6295" s="561">
        <v>6356</v>
      </c>
      <c r="L6295" s="561">
        <v>369105.50000117737</v>
      </c>
      <c r="M6295" s="561">
        <v>369105.50000117737</v>
      </c>
      <c r="N6295" s="561">
        <v>93481.8</v>
      </c>
      <c r="O6295" s="561">
        <v>0</v>
      </c>
      <c r="P6295" s="561">
        <v>275623.70000117738</v>
      </c>
    </row>
    <row r="6296" spans="1:38">
      <c r="C6296" s="561" t="s">
        <v>1197</v>
      </c>
      <c r="D6296" s="561">
        <v>361805</v>
      </c>
      <c r="E6296" s="561">
        <v>91756.800000000003</v>
      </c>
      <c r="F6296" s="561">
        <v>270048.2</v>
      </c>
      <c r="G6296" s="561">
        <v>5848</v>
      </c>
      <c r="H6296" s="561">
        <v>372012.18066043925</v>
      </c>
      <c r="I6296" s="561">
        <v>290</v>
      </c>
      <c r="J6296" s="561">
        <v>9294.2874699999993</v>
      </c>
      <c r="K6296" s="561">
        <v>5833</v>
      </c>
      <c r="L6296" s="561">
        <v>361804.99999915727</v>
      </c>
      <c r="M6296" s="561">
        <v>361804.99999915727</v>
      </c>
      <c r="N6296" s="561">
        <v>91756.800000000003</v>
      </c>
    </row>
    <row r="6297" spans="1:38">
      <c r="C6297" s="561" t="s">
        <v>1199</v>
      </c>
      <c r="D6297" s="561">
        <v>7300.5</v>
      </c>
      <c r="E6297" s="561">
        <v>1725</v>
      </c>
      <c r="F6297" s="561">
        <v>5575.5</v>
      </c>
      <c r="G6297" s="561">
        <v>525</v>
      </c>
      <c r="H6297" s="561">
        <v>7479.7281043970679</v>
      </c>
      <c r="I6297" s="561">
        <v>34</v>
      </c>
      <c r="J6297" s="561">
        <v>276.99507</v>
      </c>
      <c r="K6297" s="561">
        <v>523</v>
      </c>
      <c r="L6297" s="561">
        <v>7300.500002020096</v>
      </c>
      <c r="M6297" s="561">
        <v>7300.500002020096</v>
      </c>
      <c r="N6297" s="561">
        <v>1725</v>
      </c>
      <c r="O6297" s="561">
        <v>0</v>
      </c>
      <c r="P6297" s="561">
        <v>5575.500002020096</v>
      </c>
    </row>
    <row r="6298" spans="1:38">
      <c r="A6298" s="561">
        <v>13</v>
      </c>
      <c r="B6298" s="561" t="s">
        <v>1765</v>
      </c>
      <c r="C6298" s="561" t="s">
        <v>1206</v>
      </c>
      <c r="D6298" s="561">
        <v>35097.5</v>
      </c>
      <c r="E6298" s="561">
        <v>10079.4</v>
      </c>
      <c r="F6298" s="561">
        <v>25018.1</v>
      </c>
      <c r="G6298" s="561">
        <v>910</v>
      </c>
      <c r="H6298" s="561">
        <v>35605.372034495973</v>
      </c>
      <c r="I6298" s="561">
        <v>9</v>
      </c>
      <c r="J6298" s="561">
        <v>198.83452999999997</v>
      </c>
      <c r="K6298" s="561">
        <v>909</v>
      </c>
      <c r="L6298" s="561">
        <v>35097.5</v>
      </c>
      <c r="M6298" s="561">
        <v>35097.5</v>
      </c>
      <c r="N6298" s="561">
        <v>10079.4</v>
      </c>
      <c r="O6298" s="561">
        <v>0</v>
      </c>
      <c r="P6298" s="561">
        <v>25018.1</v>
      </c>
    </row>
    <row r="6299" spans="1:38">
      <c r="C6299" s="561" t="s">
        <v>1197</v>
      </c>
      <c r="D6299" s="561">
        <v>27135.561490000004</v>
      </c>
      <c r="E6299" s="561">
        <v>8382.2999999999993</v>
      </c>
      <c r="F6299" s="561">
        <v>18753.261489999997</v>
      </c>
      <c r="G6299" s="561">
        <v>414</v>
      </c>
      <c r="H6299" s="561">
        <v>27617.511646745468</v>
      </c>
      <c r="I6299" s="561">
        <v>5</v>
      </c>
      <c r="J6299" s="561">
        <v>182.37768999999997</v>
      </c>
      <c r="K6299" s="561">
        <v>413</v>
      </c>
      <c r="L6299" s="561">
        <v>27135.561490329419</v>
      </c>
      <c r="M6299" s="561">
        <v>27135.561490329419</v>
      </c>
      <c r="N6299" s="561">
        <v>8382.2999999999993</v>
      </c>
      <c r="O6299" s="561">
        <v>0</v>
      </c>
    </row>
    <row r="6300" spans="1:38">
      <c r="C6300" s="561" t="s">
        <v>1199</v>
      </c>
      <c r="D6300" s="561">
        <v>7961.93851</v>
      </c>
      <c r="E6300" s="561">
        <v>1697.1</v>
      </c>
      <c r="F6300" s="561">
        <v>6264.8385099999996</v>
      </c>
      <c r="G6300" s="561">
        <v>496</v>
      </c>
      <c r="H6300" s="561">
        <v>7987.8603877505084</v>
      </c>
      <c r="I6300" s="561">
        <v>4</v>
      </c>
      <c r="J6300" s="561">
        <v>16.45684</v>
      </c>
      <c r="K6300" s="561">
        <v>496</v>
      </c>
      <c r="L6300" s="561">
        <v>7961.9385096705792</v>
      </c>
      <c r="M6300" s="561">
        <v>7961.9385096705792</v>
      </c>
      <c r="N6300" s="561">
        <v>1697.1</v>
      </c>
      <c r="O6300" s="561">
        <v>0</v>
      </c>
      <c r="P6300" s="561">
        <v>6264.8385096705788</v>
      </c>
    </row>
    <row r="6301" spans="1:38">
      <c r="A6301" s="561">
        <v>14</v>
      </c>
      <c r="B6301" s="561" t="s">
        <v>1766</v>
      </c>
      <c r="C6301" s="561" t="s">
        <v>1206</v>
      </c>
      <c r="D6301" s="561">
        <v>473817.34100000001</v>
      </c>
      <c r="E6301" s="561">
        <v>123430.5</v>
      </c>
      <c r="F6301" s="561">
        <v>350386.84100000001</v>
      </c>
      <c r="G6301" s="561">
        <v>7619</v>
      </c>
      <c r="H6301" s="561">
        <v>492419.71857537323</v>
      </c>
      <c r="I6301" s="561">
        <v>453</v>
      </c>
      <c r="J6301" s="561">
        <v>15894.197948044608</v>
      </c>
      <c r="K6301" s="561">
        <v>7558</v>
      </c>
      <c r="L6301" s="561">
        <v>473817.23462</v>
      </c>
      <c r="M6301" s="561">
        <v>473817.23462</v>
      </c>
      <c r="N6301" s="561">
        <v>123430.5</v>
      </c>
      <c r="O6301" s="561">
        <v>0</v>
      </c>
      <c r="P6301" s="561">
        <v>350386.73462000006</v>
      </c>
    </row>
    <row r="6302" spans="1:38">
      <c r="C6302" s="561" t="s">
        <v>1197</v>
      </c>
      <c r="D6302" s="561">
        <v>444818.49420000002</v>
      </c>
      <c r="E6302" s="561">
        <v>120103.8</v>
      </c>
      <c r="F6302" s="561">
        <v>324714.69420000003</v>
      </c>
      <c r="G6302" s="561">
        <v>6999</v>
      </c>
      <c r="H6302" s="561">
        <v>460621.35895177699</v>
      </c>
      <c r="I6302" s="561">
        <v>447</v>
      </c>
      <c r="J6302" s="561">
        <v>15614.265478044608</v>
      </c>
      <c r="K6302" s="561">
        <v>6940</v>
      </c>
      <c r="L6302" s="561">
        <v>444818.38762537367</v>
      </c>
      <c r="M6302" s="561">
        <v>444818.38762537367</v>
      </c>
      <c r="N6302" s="561">
        <v>120103.8</v>
      </c>
      <c r="O6302" s="561">
        <v>0</v>
      </c>
    </row>
    <row r="6303" spans="1:38">
      <c r="C6303" s="561" t="s">
        <v>1198</v>
      </c>
      <c r="D6303" s="561">
        <v>10842</v>
      </c>
      <c r="E6303" s="561">
        <v>1814.7</v>
      </c>
      <c r="F6303" s="561">
        <v>9027.2999999999993</v>
      </c>
      <c r="G6303" s="561">
        <v>46</v>
      </c>
      <c r="H6303" s="561">
        <v>11739.1269132579</v>
      </c>
      <c r="I6303" s="561">
        <v>1</v>
      </c>
      <c r="J6303" s="561">
        <v>212.70723000000001</v>
      </c>
      <c r="K6303" s="561">
        <v>45</v>
      </c>
      <c r="L6303" s="561">
        <v>10842.000005072294</v>
      </c>
      <c r="M6303" s="561">
        <v>10842.000005072294</v>
      </c>
      <c r="N6303" s="561">
        <v>1814.7</v>
      </c>
      <c r="O6303" s="561">
        <v>0</v>
      </c>
      <c r="AL6303" s="561">
        <v>9027.3000050722931</v>
      </c>
    </row>
    <row r="6304" spans="1:38">
      <c r="C6304" s="561" t="s">
        <v>1199</v>
      </c>
      <c r="D6304" s="561">
        <v>8383</v>
      </c>
      <c r="E6304" s="561">
        <v>1512</v>
      </c>
      <c r="F6304" s="561">
        <v>6871</v>
      </c>
      <c r="G6304" s="561">
        <v>574</v>
      </c>
      <c r="H6304" s="561">
        <v>9170.1142903383716</v>
      </c>
      <c r="I6304" s="561">
        <v>5</v>
      </c>
      <c r="J6304" s="561">
        <v>67.225239999999999</v>
      </c>
      <c r="K6304" s="561">
        <v>573</v>
      </c>
      <c r="L6304" s="561">
        <v>8382.9999895540259</v>
      </c>
      <c r="M6304" s="561">
        <v>8382.9999895540259</v>
      </c>
      <c r="N6304" s="561">
        <v>1512</v>
      </c>
      <c r="O6304" s="561">
        <v>0</v>
      </c>
      <c r="P6304" s="561">
        <v>6870.9999895540259</v>
      </c>
    </row>
    <row r="6305" spans="1:16">
      <c r="C6305" s="561" t="s">
        <v>1202</v>
      </c>
      <c r="D6305" s="561">
        <v>9773.8467999999993</v>
      </c>
      <c r="F6305" s="561">
        <v>9773.8467999999993</v>
      </c>
      <c r="H6305" s="561">
        <v>10889.118420000001</v>
      </c>
      <c r="K6305" s="561">
        <v>0</v>
      </c>
      <c r="L6305" s="561">
        <v>9773.8469999999998</v>
      </c>
      <c r="M6305" s="561">
        <v>9773.8469999999998</v>
      </c>
      <c r="P6305" s="561">
        <v>9773.8469999999998</v>
      </c>
    </row>
    <row r="6306" spans="1:16">
      <c r="A6306" s="561">
        <v>15</v>
      </c>
      <c r="B6306" s="561" t="s">
        <v>1767</v>
      </c>
      <c r="C6306" s="561" t="s">
        <v>1206</v>
      </c>
      <c r="D6306" s="561">
        <v>87344</v>
      </c>
      <c r="E6306" s="561">
        <v>23353.200000000001</v>
      </c>
      <c r="F6306" s="561">
        <v>63990.8</v>
      </c>
      <c r="G6306" s="561">
        <v>2275</v>
      </c>
      <c r="H6306" s="561">
        <v>91169.513473782601</v>
      </c>
      <c r="I6306" s="561">
        <v>121</v>
      </c>
      <c r="J6306" s="561">
        <v>3502.3768175124101</v>
      </c>
      <c r="K6306" s="561">
        <v>2270</v>
      </c>
      <c r="L6306" s="561">
        <v>87344</v>
      </c>
      <c r="M6306" s="561">
        <v>87344</v>
      </c>
      <c r="N6306" s="561">
        <v>23353.200000000001</v>
      </c>
      <c r="O6306" s="561">
        <v>0</v>
      </c>
      <c r="P6306" s="561">
        <v>63990.799999999996</v>
      </c>
    </row>
    <row r="6307" spans="1:16">
      <c r="C6307" s="561" t="s">
        <v>1197</v>
      </c>
      <c r="D6307" s="561">
        <v>67393</v>
      </c>
      <c r="E6307" s="561">
        <v>18942</v>
      </c>
      <c r="F6307" s="561">
        <v>48451</v>
      </c>
      <c r="G6307" s="561">
        <v>1085</v>
      </c>
      <c r="H6307" s="561">
        <v>70648.210401426491</v>
      </c>
      <c r="I6307" s="561">
        <v>109</v>
      </c>
      <c r="J6307" s="561">
        <v>3334.57243751241</v>
      </c>
      <c r="K6307" s="561">
        <v>1080</v>
      </c>
      <c r="L6307" s="561">
        <v>67393</v>
      </c>
      <c r="M6307" s="561">
        <v>67393</v>
      </c>
      <c r="N6307" s="561">
        <v>18942</v>
      </c>
      <c r="O6307" s="561">
        <v>0</v>
      </c>
    </row>
    <row r="6308" spans="1:16">
      <c r="C6308" s="561" t="s">
        <v>1199</v>
      </c>
      <c r="D6308" s="561">
        <v>19951</v>
      </c>
      <c r="E6308" s="561">
        <v>4411.2</v>
      </c>
      <c r="F6308" s="561">
        <v>15539.8</v>
      </c>
      <c r="G6308" s="561">
        <v>1190</v>
      </c>
      <c r="H6308" s="561">
        <v>20521.303072356106</v>
      </c>
      <c r="I6308" s="561">
        <v>12</v>
      </c>
      <c r="J6308" s="561">
        <v>167.80438000000001</v>
      </c>
      <c r="K6308" s="561">
        <v>1190</v>
      </c>
      <c r="L6308" s="561">
        <v>19950.999999999996</v>
      </c>
      <c r="M6308" s="561">
        <v>19950.999999999996</v>
      </c>
      <c r="N6308" s="561">
        <v>4411.2</v>
      </c>
      <c r="O6308" s="561">
        <v>0</v>
      </c>
      <c r="P6308" s="561">
        <v>15539.799999999996</v>
      </c>
    </row>
    <row r="6309" spans="1:16">
      <c r="A6309" s="561">
        <v>16</v>
      </c>
      <c r="B6309" s="561" t="s">
        <v>1768</v>
      </c>
      <c r="C6309" s="561" t="s">
        <v>1206</v>
      </c>
      <c r="D6309" s="561">
        <v>140228</v>
      </c>
      <c r="E6309" s="561">
        <v>39514.399999999994</v>
      </c>
      <c r="F6309" s="561">
        <v>100713.59999999999</v>
      </c>
      <c r="G6309" s="561">
        <v>4019</v>
      </c>
      <c r="H6309" s="561">
        <v>148367.0389201029</v>
      </c>
      <c r="I6309" s="561">
        <v>261</v>
      </c>
      <c r="J6309" s="561">
        <v>7784.2326199999998</v>
      </c>
      <c r="K6309" s="561">
        <v>3997</v>
      </c>
      <c r="L6309" s="561">
        <v>140228</v>
      </c>
      <c r="M6309" s="561">
        <v>140228</v>
      </c>
      <c r="N6309" s="561">
        <v>39514.399999999994</v>
      </c>
      <c r="O6309" s="561">
        <v>0</v>
      </c>
      <c r="P6309" s="561">
        <v>100713.59999999999</v>
      </c>
    </row>
    <row r="6310" spans="1:16">
      <c r="C6310" s="561" t="s">
        <v>1197</v>
      </c>
      <c r="D6310" s="561">
        <v>107787</v>
      </c>
      <c r="E6310" s="561">
        <v>31244.1</v>
      </c>
      <c r="F6310" s="561">
        <v>76542.899999999994</v>
      </c>
      <c r="G6310" s="561">
        <v>1829</v>
      </c>
      <c r="H6310" s="561">
        <v>115118.13460942166</v>
      </c>
      <c r="I6310" s="561">
        <v>240</v>
      </c>
      <c r="J6310" s="561">
        <v>7510.3409099999999</v>
      </c>
      <c r="K6310" s="561">
        <v>1824</v>
      </c>
      <c r="L6310" s="561">
        <v>107787</v>
      </c>
      <c r="M6310" s="561">
        <v>107787</v>
      </c>
      <c r="N6310" s="561">
        <v>31244.1</v>
      </c>
      <c r="O6310" s="561">
        <v>0</v>
      </c>
    </row>
    <row r="6311" spans="1:16">
      <c r="C6311" s="561" t="s">
        <v>1199</v>
      </c>
      <c r="D6311" s="561">
        <v>32441</v>
      </c>
      <c r="E6311" s="561">
        <v>8270.2999999999993</v>
      </c>
      <c r="F6311" s="561">
        <v>24170.7</v>
      </c>
      <c r="G6311" s="561">
        <v>2190</v>
      </c>
      <c r="H6311" s="561">
        <v>33248.904310681239</v>
      </c>
      <c r="I6311" s="561">
        <v>21</v>
      </c>
      <c r="J6311" s="561">
        <v>273.89171000000005</v>
      </c>
      <c r="K6311" s="561">
        <v>2173</v>
      </c>
      <c r="L6311" s="561">
        <v>32441</v>
      </c>
      <c r="M6311" s="561">
        <v>32441</v>
      </c>
      <c r="N6311" s="561">
        <v>8270.2999999999993</v>
      </c>
      <c r="O6311" s="561">
        <v>0</v>
      </c>
      <c r="P6311" s="561">
        <v>24170.7</v>
      </c>
    </row>
    <row r="6312" spans="1:16">
      <c r="A6312" s="561">
        <v>17</v>
      </c>
      <c r="B6312" s="561" t="s">
        <v>1769</v>
      </c>
      <c r="C6312" s="561" t="s">
        <v>1206</v>
      </c>
      <c r="D6312" s="561">
        <v>110114</v>
      </c>
      <c r="E6312" s="561">
        <v>33034.199999999997</v>
      </c>
      <c r="F6312" s="561">
        <v>77079.8</v>
      </c>
      <c r="G6312" s="561">
        <v>2897</v>
      </c>
      <c r="H6312" s="561">
        <v>113974.92255098168</v>
      </c>
      <c r="I6312" s="561">
        <v>221</v>
      </c>
      <c r="J6312" s="561">
        <v>7195.3957235901471</v>
      </c>
      <c r="K6312" s="561">
        <v>2879</v>
      </c>
      <c r="L6312" s="561">
        <v>110114.00000000001</v>
      </c>
      <c r="M6312" s="561">
        <v>110114.00000000001</v>
      </c>
      <c r="N6312" s="561">
        <v>33034.199999999997</v>
      </c>
      <c r="O6312" s="561">
        <v>0</v>
      </c>
      <c r="P6312" s="561">
        <v>77079.800000000017</v>
      </c>
    </row>
    <row r="6313" spans="1:16">
      <c r="C6313" s="561" t="s">
        <v>1197</v>
      </c>
      <c r="D6313" s="561">
        <v>87081</v>
      </c>
      <c r="E6313" s="561">
        <v>26124.3</v>
      </c>
      <c r="F6313" s="561">
        <v>60956.7</v>
      </c>
      <c r="G6313" s="561">
        <v>1444</v>
      </c>
      <c r="H6313" s="561">
        <v>91456.10666449774</v>
      </c>
      <c r="I6313" s="561">
        <v>213</v>
      </c>
      <c r="J6313" s="561">
        <v>7149.0732835901472</v>
      </c>
      <c r="K6313" s="561">
        <v>1427</v>
      </c>
      <c r="L6313" s="561">
        <v>87080.999140000014</v>
      </c>
      <c r="M6313" s="561">
        <v>87080.999140000014</v>
      </c>
      <c r="N6313" s="561">
        <v>26124.3</v>
      </c>
      <c r="O6313" s="561">
        <v>0</v>
      </c>
    </row>
    <row r="6314" spans="1:16">
      <c r="C6314" s="561" t="s">
        <v>1199</v>
      </c>
      <c r="D6314" s="561">
        <v>23033</v>
      </c>
      <c r="E6314" s="561">
        <v>6909.9</v>
      </c>
      <c r="F6314" s="561">
        <v>16123.1</v>
      </c>
      <c r="G6314" s="561">
        <v>1453</v>
      </c>
      <c r="H6314" s="561">
        <v>22518.815886483935</v>
      </c>
      <c r="I6314" s="561">
        <v>8</v>
      </c>
      <c r="J6314" s="561">
        <v>46.322439999999993</v>
      </c>
      <c r="K6314" s="561">
        <v>1452</v>
      </c>
      <c r="L6314" s="561">
        <v>23033.000860000004</v>
      </c>
      <c r="M6314" s="561">
        <v>23033.000860000004</v>
      </c>
      <c r="N6314" s="561">
        <v>6909.9</v>
      </c>
      <c r="O6314" s="561">
        <v>0</v>
      </c>
      <c r="P6314" s="561">
        <v>16123.100860000004</v>
      </c>
    </row>
    <row r="6315" spans="1:16">
      <c r="A6315" s="561">
        <v>18</v>
      </c>
      <c r="B6315" s="561" t="s">
        <v>1770</v>
      </c>
      <c r="C6315" s="561" t="s">
        <v>1206</v>
      </c>
      <c r="D6315" s="561">
        <v>126147</v>
      </c>
      <c r="E6315" s="561">
        <v>34650.1</v>
      </c>
      <c r="F6315" s="561">
        <v>91496.9</v>
      </c>
      <c r="G6315" s="561">
        <v>2950</v>
      </c>
      <c r="H6315" s="561">
        <v>134352.06556508655</v>
      </c>
      <c r="I6315" s="561">
        <v>270</v>
      </c>
      <c r="J6315" s="561">
        <v>7551.1582739999994</v>
      </c>
      <c r="K6315" s="561">
        <v>2925</v>
      </c>
      <c r="L6315" s="561">
        <v>126147</v>
      </c>
      <c r="M6315" s="561">
        <v>126147</v>
      </c>
      <c r="N6315" s="561">
        <v>34650.1</v>
      </c>
      <c r="O6315" s="561">
        <v>0</v>
      </c>
      <c r="P6315" s="561">
        <v>91496.9</v>
      </c>
    </row>
    <row r="6316" spans="1:16">
      <c r="C6316" s="561" t="s">
        <v>1197</v>
      </c>
      <c r="D6316" s="561">
        <v>105610</v>
      </c>
      <c r="E6316" s="561">
        <v>29014.799999999999</v>
      </c>
      <c r="F6316" s="561">
        <v>76595.199999999997</v>
      </c>
      <c r="G6316" s="561">
        <v>1735</v>
      </c>
      <c r="H6316" s="561">
        <v>113733.8461536978</v>
      </c>
      <c r="I6316" s="561">
        <v>206</v>
      </c>
      <c r="J6316" s="561">
        <v>7092.4043739999997</v>
      </c>
      <c r="K6316" s="561">
        <v>1715</v>
      </c>
      <c r="L6316" s="561">
        <v>105610</v>
      </c>
      <c r="M6316" s="561">
        <v>105610</v>
      </c>
      <c r="N6316" s="561">
        <v>29014.799999999999</v>
      </c>
      <c r="O6316" s="561">
        <v>0</v>
      </c>
    </row>
    <row r="6317" spans="1:16">
      <c r="C6317" s="561" t="s">
        <v>1199</v>
      </c>
      <c r="D6317" s="561">
        <v>20537</v>
      </c>
      <c r="E6317" s="561">
        <v>5635.3</v>
      </c>
      <c r="F6317" s="561">
        <v>14901.7</v>
      </c>
      <c r="G6317" s="561">
        <v>1215</v>
      </c>
      <c r="H6317" s="561">
        <v>20618.219411388756</v>
      </c>
      <c r="I6317" s="561">
        <v>64</v>
      </c>
      <c r="J6317" s="561">
        <v>458.75389999999999</v>
      </c>
      <c r="K6317" s="561">
        <v>1210</v>
      </c>
      <c r="L6317" s="561">
        <v>20537</v>
      </c>
      <c r="M6317" s="561">
        <v>20537</v>
      </c>
      <c r="N6317" s="561">
        <v>5635.3</v>
      </c>
      <c r="O6317" s="561">
        <v>0</v>
      </c>
      <c r="P6317" s="561">
        <v>14901.7</v>
      </c>
    </row>
    <row r="6318" spans="1:16">
      <c r="A6318" s="561">
        <v>19</v>
      </c>
      <c r="B6318" s="561" t="s">
        <v>1771</v>
      </c>
      <c r="C6318" s="561" t="s">
        <v>1206</v>
      </c>
      <c r="D6318" s="561">
        <v>117780</v>
      </c>
      <c r="E6318" s="561">
        <v>33174</v>
      </c>
      <c r="F6318" s="561">
        <v>84606</v>
      </c>
      <c r="G6318" s="561">
        <v>2996</v>
      </c>
      <c r="H6318" s="561">
        <v>125796.09801290071</v>
      </c>
      <c r="I6318" s="561">
        <v>303</v>
      </c>
      <c r="J6318" s="561">
        <v>8557.98963</v>
      </c>
      <c r="K6318" s="561">
        <v>2957</v>
      </c>
      <c r="L6318" s="561">
        <v>117780.00000000001</v>
      </c>
      <c r="M6318" s="561">
        <v>117780.00000000001</v>
      </c>
      <c r="N6318" s="561">
        <v>33174</v>
      </c>
      <c r="O6318" s="561">
        <v>0</v>
      </c>
      <c r="P6318" s="561">
        <v>84606.000000000015</v>
      </c>
    </row>
    <row r="6319" spans="1:16">
      <c r="C6319" s="561" t="s">
        <v>1197</v>
      </c>
      <c r="D6319" s="561">
        <v>94115</v>
      </c>
      <c r="E6319" s="561">
        <v>28054.5</v>
      </c>
      <c r="F6319" s="561">
        <v>66060.5</v>
      </c>
      <c r="G6319" s="561">
        <v>1631</v>
      </c>
      <c r="H6319" s="561">
        <v>102349.42052421653</v>
      </c>
      <c r="I6319" s="561">
        <v>237</v>
      </c>
      <c r="J6319" s="561">
        <v>8054.2773399999996</v>
      </c>
      <c r="K6319" s="561">
        <v>1601</v>
      </c>
      <c r="L6319" s="561">
        <v>94115.000000000015</v>
      </c>
      <c r="M6319" s="561">
        <v>94115.000000000015</v>
      </c>
      <c r="N6319" s="561">
        <v>28054.5</v>
      </c>
      <c r="O6319" s="561">
        <v>0</v>
      </c>
    </row>
    <row r="6320" spans="1:16">
      <c r="C6320" s="561" t="s">
        <v>1199</v>
      </c>
      <c r="D6320" s="561">
        <v>23665</v>
      </c>
      <c r="E6320" s="561">
        <v>5119.5</v>
      </c>
      <c r="F6320" s="561">
        <v>18545.5</v>
      </c>
      <c r="G6320" s="561">
        <v>1365</v>
      </c>
      <c r="H6320" s="561">
        <v>23446.677488684167</v>
      </c>
      <c r="I6320" s="561">
        <v>66</v>
      </c>
      <c r="J6320" s="561">
        <v>503.71228999999988</v>
      </c>
      <c r="K6320" s="561">
        <v>1356</v>
      </c>
      <c r="L6320" s="561">
        <v>23665</v>
      </c>
      <c r="M6320" s="561">
        <v>23665</v>
      </c>
      <c r="N6320" s="561">
        <v>5119.5</v>
      </c>
      <c r="O6320" s="561">
        <v>0</v>
      </c>
      <c r="P6320" s="561">
        <v>18545.5</v>
      </c>
    </row>
    <row r="6321" spans="1:16">
      <c r="A6321" s="561">
        <v>20</v>
      </c>
      <c r="B6321" s="561" t="s">
        <v>1772</v>
      </c>
      <c r="C6321" s="561" t="s">
        <v>1206</v>
      </c>
      <c r="D6321" s="561">
        <v>82888.5</v>
      </c>
      <c r="E6321" s="561">
        <v>22676.7</v>
      </c>
      <c r="F6321" s="561">
        <v>60211.8</v>
      </c>
      <c r="G6321" s="561">
        <v>2225</v>
      </c>
      <c r="H6321" s="561">
        <v>88542.937953878165</v>
      </c>
      <c r="I6321" s="561">
        <v>234</v>
      </c>
      <c r="J6321" s="561">
        <v>5702.3431500000006</v>
      </c>
      <c r="K6321" s="561">
        <v>2168</v>
      </c>
      <c r="L6321" s="561">
        <v>82888.5</v>
      </c>
      <c r="M6321" s="561">
        <v>82888.5</v>
      </c>
      <c r="N6321" s="561">
        <v>22676.7</v>
      </c>
      <c r="O6321" s="561">
        <v>0</v>
      </c>
      <c r="P6321" s="561">
        <v>60211.799999999996</v>
      </c>
    </row>
    <row r="6322" spans="1:16">
      <c r="C6322" s="561" t="s">
        <v>1197</v>
      </c>
      <c r="D6322" s="561">
        <v>63770.779920000008</v>
      </c>
      <c r="E6322" s="561">
        <v>17622</v>
      </c>
      <c r="F6322" s="561">
        <v>46148.779920000001</v>
      </c>
      <c r="G6322" s="561">
        <v>1104</v>
      </c>
      <c r="H6322" s="561">
        <v>68508.2398509458</v>
      </c>
      <c r="I6322" s="561">
        <v>139</v>
      </c>
      <c r="J6322" s="561">
        <v>4769.8032400000002</v>
      </c>
      <c r="K6322" s="561">
        <v>1071</v>
      </c>
      <c r="L6322" s="561">
        <v>63770.779916935906</v>
      </c>
      <c r="M6322" s="561">
        <v>63770.779916935906</v>
      </c>
      <c r="N6322" s="561">
        <v>17622</v>
      </c>
      <c r="O6322" s="561">
        <v>0</v>
      </c>
    </row>
    <row r="6323" spans="1:16">
      <c r="C6323" s="561" t="s">
        <v>1199</v>
      </c>
      <c r="D6323" s="561">
        <v>19117.720079999999</v>
      </c>
      <c r="E6323" s="561">
        <v>5054.7</v>
      </c>
      <c r="F6323" s="561">
        <v>14063.020079999998</v>
      </c>
      <c r="G6323" s="561">
        <v>1121</v>
      </c>
      <c r="H6323" s="561">
        <v>20034.698102932358</v>
      </c>
      <c r="I6323" s="561">
        <v>95</v>
      </c>
      <c r="J6323" s="561">
        <v>932.53990999999996</v>
      </c>
      <c r="K6323" s="561">
        <v>1097</v>
      </c>
      <c r="L6323" s="561">
        <v>19117.72008306409</v>
      </c>
      <c r="M6323" s="561">
        <v>19117.72008306409</v>
      </c>
      <c r="N6323" s="561">
        <v>5054.7</v>
      </c>
      <c r="O6323" s="561">
        <v>0</v>
      </c>
      <c r="P6323" s="561">
        <v>14063.02008306409</v>
      </c>
    </row>
    <row r="6324" spans="1:16">
      <c r="A6324" s="561">
        <v>21</v>
      </c>
      <c r="B6324" s="561" t="s">
        <v>1773</v>
      </c>
      <c r="C6324" s="561" t="s">
        <v>1206</v>
      </c>
      <c r="D6324" s="561">
        <v>100987</v>
      </c>
      <c r="E6324" s="561">
        <v>23846.1</v>
      </c>
      <c r="F6324" s="561">
        <v>77140.899999999994</v>
      </c>
      <c r="G6324" s="561">
        <v>2496</v>
      </c>
      <c r="H6324" s="561">
        <v>110189.16907197685</v>
      </c>
      <c r="I6324" s="561">
        <v>247</v>
      </c>
      <c r="J6324" s="561">
        <v>9510.8348470000019</v>
      </c>
      <c r="K6324" s="561">
        <v>2471</v>
      </c>
      <c r="L6324" s="561">
        <v>100986.99999999999</v>
      </c>
      <c r="M6324" s="561">
        <v>100986.99999999999</v>
      </c>
      <c r="N6324" s="561">
        <v>23846.1</v>
      </c>
      <c r="O6324" s="561">
        <v>0</v>
      </c>
      <c r="P6324" s="561">
        <v>77140.89999999998</v>
      </c>
    </row>
    <row r="6325" spans="1:16">
      <c r="C6325" s="561" t="s">
        <v>1197</v>
      </c>
      <c r="D6325" s="561">
        <v>84045</v>
      </c>
      <c r="E6325" s="561">
        <v>19612.5</v>
      </c>
      <c r="F6325" s="561">
        <v>64432.5</v>
      </c>
      <c r="G6325" s="561">
        <v>1363</v>
      </c>
      <c r="H6325" s="561">
        <v>92515.886578192003</v>
      </c>
      <c r="I6325" s="561">
        <v>176</v>
      </c>
      <c r="J6325" s="561">
        <v>8479.1820770000013</v>
      </c>
      <c r="K6325" s="561">
        <v>1347</v>
      </c>
      <c r="L6325" s="561">
        <v>84044.999999999985</v>
      </c>
      <c r="M6325" s="561">
        <v>84044.999999999985</v>
      </c>
      <c r="N6325" s="561">
        <v>19612.5</v>
      </c>
    </row>
    <row r="6326" spans="1:16">
      <c r="C6326" s="561" t="s">
        <v>1199</v>
      </c>
      <c r="D6326" s="561">
        <v>16942</v>
      </c>
      <c r="E6326" s="561">
        <v>4233.6000000000004</v>
      </c>
      <c r="F6326" s="561">
        <v>12708.4</v>
      </c>
      <c r="G6326" s="561">
        <v>1133</v>
      </c>
      <c r="H6326" s="561">
        <v>17673.282493784842</v>
      </c>
      <c r="I6326" s="561">
        <v>71</v>
      </c>
      <c r="J6326" s="561">
        <v>1031.6527699999999</v>
      </c>
      <c r="K6326" s="561">
        <v>1124</v>
      </c>
      <c r="L6326" s="561">
        <v>16942</v>
      </c>
      <c r="M6326" s="561">
        <v>16942</v>
      </c>
      <c r="N6326" s="561">
        <v>4233.6000000000004</v>
      </c>
      <c r="O6326" s="561">
        <v>0</v>
      </c>
      <c r="P6326" s="561">
        <v>12708.4</v>
      </c>
    </row>
    <row r="6327" spans="1:16">
      <c r="A6327" s="561">
        <v>22</v>
      </c>
      <c r="B6327" s="561" t="s">
        <v>1774</v>
      </c>
      <c r="C6327" s="561" t="s">
        <v>1199</v>
      </c>
      <c r="D6327" s="561">
        <v>56726</v>
      </c>
      <c r="E6327" s="561">
        <v>16567.8</v>
      </c>
      <c r="F6327" s="561">
        <v>40158.199999999997</v>
      </c>
      <c r="G6327" s="561">
        <v>4006</v>
      </c>
      <c r="H6327" s="561">
        <v>57908.569386193813</v>
      </c>
      <c r="I6327" s="561">
        <v>167</v>
      </c>
      <c r="J6327" s="561">
        <v>1237.6180199999999</v>
      </c>
      <c r="K6327" s="561">
        <v>3975</v>
      </c>
      <c r="L6327" s="561">
        <v>56726</v>
      </c>
      <c r="M6327" s="561">
        <v>56726</v>
      </c>
      <c r="N6327" s="561">
        <v>16567.8</v>
      </c>
      <c r="O6327" s="561">
        <v>0</v>
      </c>
      <c r="P6327" s="561">
        <v>40158.199999999997</v>
      </c>
    </row>
    <row r="6328" spans="1:16">
      <c r="A6328" s="561">
        <v>23</v>
      </c>
      <c r="B6328" s="561" t="s">
        <v>1775</v>
      </c>
      <c r="C6328" s="561" t="s">
        <v>1206</v>
      </c>
      <c r="D6328" s="561">
        <v>79903.5</v>
      </c>
      <c r="E6328" s="561">
        <v>22771.199999999997</v>
      </c>
      <c r="F6328" s="561">
        <v>57132.299999999996</v>
      </c>
      <c r="G6328" s="561">
        <v>2080</v>
      </c>
      <c r="H6328" s="561">
        <v>83307.146422295918</v>
      </c>
      <c r="I6328" s="561">
        <v>141</v>
      </c>
      <c r="J6328" s="561">
        <v>3431.9337400000004</v>
      </c>
      <c r="K6328" s="561">
        <v>2070</v>
      </c>
      <c r="L6328" s="561">
        <v>79903.5</v>
      </c>
      <c r="M6328" s="561">
        <v>79903.5</v>
      </c>
      <c r="N6328" s="561">
        <v>22771.199999999997</v>
      </c>
      <c r="O6328" s="561">
        <v>0</v>
      </c>
      <c r="P6328" s="561">
        <v>57132.299999999996</v>
      </c>
    </row>
    <row r="6329" spans="1:16">
      <c r="C6329" s="561" t="s">
        <v>1197</v>
      </c>
      <c r="D6329" s="561">
        <v>63414</v>
      </c>
      <c r="E6329" s="561">
        <v>18310.8</v>
      </c>
      <c r="F6329" s="561">
        <v>45103.199999999997</v>
      </c>
      <c r="G6329" s="561">
        <v>1059</v>
      </c>
      <c r="H6329" s="561">
        <v>66731.252957270408</v>
      </c>
      <c r="I6329" s="561">
        <v>96</v>
      </c>
      <c r="J6329" s="561">
        <v>3227.6363800000004</v>
      </c>
      <c r="K6329" s="561">
        <v>1049</v>
      </c>
      <c r="L6329" s="561">
        <v>63414</v>
      </c>
      <c r="M6329" s="561">
        <v>63414</v>
      </c>
      <c r="N6329" s="561">
        <v>18310.8</v>
      </c>
      <c r="O6329" s="561">
        <v>0</v>
      </c>
    </row>
    <row r="6330" spans="1:16">
      <c r="C6330" s="561" t="s">
        <v>1199</v>
      </c>
      <c r="D6330" s="561">
        <v>16489.5</v>
      </c>
      <c r="E6330" s="561">
        <v>4460.3999999999996</v>
      </c>
      <c r="F6330" s="561">
        <v>12029.1</v>
      </c>
      <c r="G6330" s="561">
        <v>1021</v>
      </c>
      <c r="H6330" s="561">
        <v>16575.893465025503</v>
      </c>
      <c r="I6330" s="561">
        <v>45</v>
      </c>
      <c r="J6330" s="561">
        <v>204.29736</v>
      </c>
      <c r="K6330" s="561">
        <v>1021</v>
      </c>
      <c r="L6330" s="561">
        <v>16489.5</v>
      </c>
      <c r="M6330" s="561">
        <v>16489.5</v>
      </c>
      <c r="N6330" s="561">
        <v>4460.3999999999996</v>
      </c>
      <c r="O6330" s="561">
        <v>0</v>
      </c>
      <c r="P6330" s="561">
        <v>12029.1</v>
      </c>
    </row>
    <row r="6331" spans="1:16">
      <c r="A6331" s="561">
        <v>24</v>
      </c>
      <c r="B6331" s="561" t="s">
        <v>1776</v>
      </c>
      <c r="C6331" s="561" t="s">
        <v>1206</v>
      </c>
      <c r="D6331" s="561">
        <v>122935.5</v>
      </c>
      <c r="E6331" s="561">
        <v>34510.800000000003</v>
      </c>
      <c r="F6331" s="561">
        <v>88424.7</v>
      </c>
      <c r="G6331" s="561">
        <v>3307</v>
      </c>
      <c r="H6331" s="561">
        <v>126836.5642418146</v>
      </c>
      <c r="I6331" s="561">
        <v>195</v>
      </c>
      <c r="J6331" s="561">
        <v>3823.8924775825308</v>
      </c>
      <c r="K6331" s="561">
        <v>3283</v>
      </c>
      <c r="L6331" s="561">
        <v>122935.50000000001</v>
      </c>
      <c r="M6331" s="561">
        <v>122935.50000000001</v>
      </c>
      <c r="N6331" s="561">
        <v>34510.800000000003</v>
      </c>
      <c r="O6331" s="561">
        <v>0</v>
      </c>
      <c r="P6331" s="561">
        <v>88424.700000000012</v>
      </c>
    </row>
    <row r="6332" spans="1:16">
      <c r="C6332" s="561" t="s">
        <v>1197</v>
      </c>
      <c r="D6332" s="561">
        <v>91526.053419999997</v>
      </c>
      <c r="E6332" s="561">
        <v>27026.400000000001</v>
      </c>
      <c r="F6332" s="561">
        <v>64499.653420000002</v>
      </c>
      <c r="G6332" s="561">
        <v>1476</v>
      </c>
      <c r="H6332" s="561">
        <v>94779.282297262311</v>
      </c>
      <c r="I6332" s="561">
        <v>103</v>
      </c>
      <c r="J6332" s="561">
        <v>2734.8198993100132</v>
      </c>
      <c r="K6332" s="561">
        <v>1472</v>
      </c>
      <c r="L6332" s="561">
        <v>91526.053420000011</v>
      </c>
      <c r="M6332" s="561">
        <v>91526.053420000011</v>
      </c>
      <c r="N6332" s="561">
        <v>27026.400000000001</v>
      </c>
      <c r="O6332" s="561">
        <v>0</v>
      </c>
    </row>
    <row r="6333" spans="1:16">
      <c r="C6333" s="561" t="s">
        <v>1199</v>
      </c>
      <c r="D6333" s="561">
        <v>31409.44658</v>
      </c>
      <c r="E6333" s="561">
        <v>7484.4</v>
      </c>
      <c r="F6333" s="561">
        <v>23925.046579999998</v>
      </c>
      <c r="G6333" s="561">
        <v>1831</v>
      </c>
      <c r="H6333" s="561">
        <v>32057.281944552284</v>
      </c>
      <c r="I6333" s="561">
        <v>92</v>
      </c>
      <c r="J6333" s="561">
        <v>1089.0725782725176</v>
      </c>
      <c r="K6333" s="561">
        <v>1811</v>
      </c>
      <c r="L6333" s="561">
        <v>31409.446580000003</v>
      </c>
      <c r="M6333" s="561">
        <v>31409.446580000003</v>
      </c>
      <c r="N6333" s="561">
        <v>7484.4</v>
      </c>
      <c r="O6333" s="561">
        <v>0</v>
      </c>
      <c r="P6333" s="561">
        <v>23925.046580000002</v>
      </c>
    </row>
    <row r="6334" spans="1:16">
      <c r="A6334" s="561">
        <v>25</v>
      </c>
      <c r="B6334" s="561" t="s">
        <v>1777</v>
      </c>
      <c r="C6334" s="561" t="s">
        <v>1199</v>
      </c>
      <c r="D6334" s="561">
        <v>44518</v>
      </c>
      <c r="E6334" s="561">
        <v>12735.4</v>
      </c>
      <c r="F6334" s="561">
        <v>31782.6</v>
      </c>
      <c r="G6334" s="561">
        <v>3016</v>
      </c>
      <c r="H6334" s="561">
        <v>44847.240863998479</v>
      </c>
      <c r="I6334" s="561">
        <v>47</v>
      </c>
      <c r="J6334" s="561">
        <v>277.39580000000001</v>
      </c>
      <c r="K6334" s="561">
        <v>3015</v>
      </c>
      <c r="L6334" s="561">
        <v>44518</v>
      </c>
      <c r="M6334" s="561">
        <v>44518</v>
      </c>
      <c r="N6334" s="561">
        <v>12735.4</v>
      </c>
      <c r="O6334" s="561">
        <v>0</v>
      </c>
      <c r="P6334" s="561">
        <v>31782.6</v>
      </c>
    </row>
    <row r="6335" spans="1:16">
      <c r="A6335" s="561">
        <v>26</v>
      </c>
      <c r="B6335" s="561" t="s">
        <v>1778</v>
      </c>
      <c r="C6335" s="561" t="s">
        <v>1199</v>
      </c>
      <c r="D6335" s="561">
        <v>43042</v>
      </c>
      <c r="E6335" s="561">
        <v>11522.6</v>
      </c>
      <c r="F6335" s="561">
        <v>31519.4</v>
      </c>
      <c r="G6335" s="561">
        <v>2955</v>
      </c>
      <c r="H6335" s="561">
        <v>43416.532850752599</v>
      </c>
      <c r="I6335" s="561">
        <v>57</v>
      </c>
      <c r="J6335" s="561">
        <v>281.71043000000003</v>
      </c>
      <c r="K6335" s="561">
        <v>2955</v>
      </c>
      <c r="L6335" s="561">
        <v>43042.000000000007</v>
      </c>
      <c r="M6335" s="561">
        <v>43042.000000000007</v>
      </c>
      <c r="N6335" s="561">
        <v>11522.6</v>
      </c>
      <c r="O6335" s="561">
        <v>0</v>
      </c>
      <c r="P6335" s="561">
        <v>31519.400000000009</v>
      </c>
    </row>
    <row r="6336" spans="1:16">
      <c r="A6336" s="561">
        <v>27</v>
      </c>
      <c r="B6336" s="561" t="s">
        <v>1779</v>
      </c>
      <c r="C6336" s="561" t="s">
        <v>1199</v>
      </c>
      <c r="D6336" s="561">
        <v>41990</v>
      </c>
      <c r="E6336" s="561">
        <v>12407</v>
      </c>
      <c r="F6336" s="561">
        <v>29583</v>
      </c>
      <c r="G6336" s="561">
        <v>2932</v>
      </c>
      <c r="H6336" s="561">
        <v>42604.466464638026</v>
      </c>
      <c r="I6336" s="561">
        <v>78</v>
      </c>
      <c r="J6336" s="561">
        <v>546.14038299999993</v>
      </c>
      <c r="K6336" s="561">
        <v>2932</v>
      </c>
      <c r="L6336" s="561">
        <v>41990</v>
      </c>
      <c r="M6336" s="561">
        <v>41990</v>
      </c>
      <c r="N6336" s="561">
        <v>12407</v>
      </c>
      <c r="O6336" s="561">
        <v>0</v>
      </c>
      <c r="P6336" s="561">
        <v>29583</v>
      </c>
    </row>
    <row r="6337" spans="1:38">
      <c r="A6337" s="561">
        <v>28</v>
      </c>
      <c r="B6337" s="561" t="s">
        <v>1780</v>
      </c>
      <c r="C6337" s="561" t="s">
        <v>1199</v>
      </c>
      <c r="D6337" s="561">
        <v>32853.834999999999</v>
      </c>
      <c r="E6337" s="561">
        <v>9176.2000000000007</v>
      </c>
      <c r="F6337" s="561">
        <v>23677.634999999998</v>
      </c>
      <c r="G6337" s="561">
        <v>2319</v>
      </c>
      <c r="H6337" s="561">
        <v>34226.276628632637</v>
      </c>
      <c r="I6337" s="561">
        <v>174</v>
      </c>
      <c r="J6337" s="561">
        <v>1399.1393600000004</v>
      </c>
      <c r="K6337" s="561">
        <v>2304</v>
      </c>
      <c r="L6337" s="561">
        <v>32853.834999999999</v>
      </c>
      <c r="M6337" s="561">
        <v>32853.834999999999</v>
      </c>
      <c r="N6337" s="561">
        <v>9176.2000000000007</v>
      </c>
      <c r="O6337" s="561">
        <v>0</v>
      </c>
      <c r="P6337" s="561">
        <v>23677.634999999998</v>
      </c>
    </row>
    <row r="6338" spans="1:38">
      <c r="A6338" s="561">
        <v>29</v>
      </c>
      <c r="B6338" s="561" t="s">
        <v>1781</v>
      </c>
      <c r="C6338" s="561" t="s">
        <v>1199</v>
      </c>
      <c r="D6338" s="561">
        <v>27717</v>
      </c>
      <c r="E6338" s="561">
        <v>7715.1</v>
      </c>
      <c r="F6338" s="561">
        <v>20001.900000000001</v>
      </c>
      <c r="G6338" s="561">
        <v>1827</v>
      </c>
      <c r="H6338" s="561">
        <v>28680.166318593292</v>
      </c>
      <c r="I6338" s="561">
        <v>143</v>
      </c>
      <c r="J6338" s="561">
        <v>1005.55922</v>
      </c>
      <c r="K6338" s="561">
        <v>1817</v>
      </c>
      <c r="L6338" s="561">
        <v>27717</v>
      </c>
      <c r="M6338" s="561">
        <v>27717</v>
      </c>
      <c r="N6338" s="561">
        <v>7715.1</v>
      </c>
      <c r="O6338" s="561">
        <v>0</v>
      </c>
      <c r="P6338" s="561">
        <v>20001.900000000001</v>
      </c>
    </row>
    <row r="6339" spans="1:38">
      <c r="A6339" s="561">
        <v>30</v>
      </c>
      <c r="B6339" s="561" t="s">
        <v>1782</v>
      </c>
      <c r="C6339" s="561" t="s">
        <v>1199</v>
      </c>
      <c r="D6339" s="561">
        <v>28479</v>
      </c>
      <c r="E6339" s="561">
        <v>8183.7</v>
      </c>
      <c r="F6339" s="561">
        <v>20295.3</v>
      </c>
      <c r="G6339" s="561">
        <v>1913</v>
      </c>
      <c r="H6339" s="561">
        <v>26144.103741656323</v>
      </c>
      <c r="I6339" s="561">
        <v>83</v>
      </c>
      <c r="J6339" s="561">
        <v>358.24548000000004</v>
      </c>
      <c r="K6339" s="561">
        <v>2127</v>
      </c>
      <c r="L6339" s="561">
        <v>28478.985239999998</v>
      </c>
      <c r="M6339" s="561">
        <v>28478.985239999998</v>
      </c>
      <c r="N6339" s="561">
        <v>8183.7</v>
      </c>
      <c r="O6339" s="561">
        <v>0</v>
      </c>
      <c r="P6339" s="561">
        <v>20295.285239999997</v>
      </c>
    </row>
    <row r="6340" spans="1:38">
      <c r="A6340" s="561">
        <v>31</v>
      </c>
      <c r="B6340" s="561" t="s">
        <v>1783</v>
      </c>
      <c r="C6340" s="561" t="s">
        <v>1199</v>
      </c>
      <c r="D6340" s="561">
        <v>22822</v>
      </c>
      <c r="E6340" s="561">
        <v>6846.6</v>
      </c>
      <c r="F6340" s="561">
        <v>15975.4</v>
      </c>
      <c r="G6340" s="561">
        <v>1633</v>
      </c>
      <c r="H6340" s="561">
        <v>23741.513116897026</v>
      </c>
      <c r="I6340" s="561">
        <v>119</v>
      </c>
      <c r="J6340" s="561">
        <v>842.84553000000017</v>
      </c>
      <c r="K6340" s="561">
        <v>1602</v>
      </c>
      <c r="L6340" s="561">
        <v>22821.999999999996</v>
      </c>
      <c r="M6340" s="561">
        <v>22821.999999999996</v>
      </c>
      <c r="N6340" s="561">
        <v>6846.6</v>
      </c>
      <c r="O6340" s="561">
        <v>0</v>
      </c>
      <c r="P6340" s="561">
        <v>15975.399999999996</v>
      </c>
    </row>
    <row r="6341" spans="1:38">
      <c r="A6341" s="561">
        <v>32</v>
      </c>
      <c r="B6341" s="561" t="s">
        <v>1784</v>
      </c>
      <c r="C6341" s="561" t="s">
        <v>1199</v>
      </c>
      <c r="D6341" s="561">
        <v>33540</v>
      </c>
      <c r="E6341" s="561">
        <v>9772</v>
      </c>
      <c r="F6341" s="561">
        <v>23768</v>
      </c>
      <c r="G6341" s="561">
        <v>2203</v>
      </c>
      <c r="H6341" s="561">
        <v>34642.675977212151</v>
      </c>
      <c r="I6341" s="561">
        <v>138</v>
      </c>
      <c r="J6341" s="561">
        <v>1091.2826399999999</v>
      </c>
      <c r="K6341" s="561">
        <v>2160</v>
      </c>
      <c r="L6341" s="561">
        <v>33540.000000000007</v>
      </c>
      <c r="M6341" s="561">
        <v>33540.000000000007</v>
      </c>
      <c r="N6341" s="561">
        <v>9772</v>
      </c>
      <c r="O6341" s="561">
        <v>0</v>
      </c>
      <c r="P6341" s="561">
        <v>23768.000000000007</v>
      </c>
    </row>
    <row r="6342" spans="1:38">
      <c r="A6342" s="561">
        <v>33</v>
      </c>
      <c r="B6342" s="561" t="s">
        <v>1785</v>
      </c>
      <c r="C6342" s="561" t="s">
        <v>1199</v>
      </c>
      <c r="D6342" s="561">
        <v>834.16499999999996</v>
      </c>
      <c r="E6342" s="561">
        <v>0</v>
      </c>
      <c r="F6342" s="561">
        <v>834.16499999999996</v>
      </c>
      <c r="G6342" s="561">
        <v>64</v>
      </c>
      <c r="H6342" s="561">
        <v>875.80499999999995</v>
      </c>
      <c r="I6342" s="561">
        <v>1</v>
      </c>
      <c r="J6342" s="561">
        <v>2.6640000000000001</v>
      </c>
      <c r="K6342" s="561">
        <v>64</v>
      </c>
      <c r="L6342" s="561">
        <v>834.16499999999996</v>
      </c>
      <c r="M6342" s="561">
        <v>834.16499999999996</v>
      </c>
      <c r="N6342" s="561">
        <v>0</v>
      </c>
      <c r="O6342" s="561">
        <v>0</v>
      </c>
      <c r="P6342" s="561">
        <v>834.16499999999996</v>
      </c>
    </row>
    <row r="6343" spans="1:38">
      <c r="A6343" s="561">
        <v>34</v>
      </c>
      <c r="B6343" s="561" t="s">
        <v>1786</v>
      </c>
      <c r="C6343" s="561" t="s">
        <v>1206</v>
      </c>
      <c r="D6343" s="561">
        <v>168015</v>
      </c>
      <c r="E6343" s="561">
        <v>43804.5</v>
      </c>
      <c r="F6343" s="561">
        <v>124210.5</v>
      </c>
      <c r="G6343" s="561">
        <v>3421</v>
      </c>
      <c r="H6343" s="561">
        <v>173396.59709255217</v>
      </c>
      <c r="I6343" s="561">
        <v>137</v>
      </c>
      <c r="J6343" s="561">
        <v>4688.1098608973352</v>
      </c>
      <c r="K6343" s="561">
        <v>3408</v>
      </c>
      <c r="L6343" s="561">
        <v>168015.00000000003</v>
      </c>
      <c r="M6343" s="561">
        <v>168015.00000000003</v>
      </c>
      <c r="N6343" s="561">
        <v>43804.5</v>
      </c>
      <c r="O6343" s="561">
        <v>0</v>
      </c>
      <c r="P6343" s="561">
        <v>124210.50000000003</v>
      </c>
    </row>
    <row r="6344" spans="1:38">
      <c r="C6344" s="561" t="s">
        <v>1197</v>
      </c>
      <c r="D6344" s="561">
        <v>139916</v>
      </c>
      <c r="E6344" s="561">
        <v>38706.300000000003</v>
      </c>
      <c r="F6344" s="561">
        <v>101209.7</v>
      </c>
      <c r="G6344" s="561">
        <v>2237</v>
      </c>
      <c r="H6344" s="561">
        <v>145012.48997450073</v>
      </c>
      <c r="I6344" s="561">
        <v>124</v>
      </c>
      <c r="J6344" s="561">
        <v>3582.7943308973349</v>
      </c>
      <c r="K6344" s="561">
        <v>2225</v>
      </c>
      <c r="L6344" s="561">
        <v>139915.99901000003</v>
      </c>
      <c r="M6344" s="561">
        <v>139915.99901000003</v>
      </c>
      <c r="N6344" s="561">
        <v>38706.300000000003</v>
      </c>
    </row>
    <row r="6345" spans="1:38">
      <c r="C6345" s="561" t="s">
        <v>1198</v>
      </c>
      <c r="D6345" s="561">
        <v>11603</v>
      </c>
      <c r="E6345" s="561">
        <v>1080</v>
      </c>
      <c r="F6345" s="561">
        <v>10523</v>
      </c>
      <c r="G6345" s="561">
        <v>30</v>
      </c>
      <c r="H6345" s="561">
        <v>12198.868794704855</v>
      </c>
      <c r="I6345" s="561">
        <v>6</v>
      </c>
      <c r="J6345" s="561">
        <v>1064.8112100000001</v>
      </c>
      <c r="K6345" s="561">
        <v>30</v>
      </c>
      <c r="L6345" s="561">
        <v>11603</v>
      </c>
      <c r="M6345" s="561">
        <v>11603</v>
      </c>
      <c r="N6345" s="561">
        <v>1080</v>
      </c>
      <c r="O6345" s="561">
        <v>0</v>
      </c>
      <c r="AL6345" s="561">
        <v>10523</v>
      </c>
    </row>
    <row r="6346" spans="1:38">
      <c r="C6346" s="561" t="s">
        <v>1199</v>
      </c>
      <c r="D6346" s="561">
        <v>16496</v>
      </c>
      <c r="E6346" s="561">
        <v>4018.2</v>
      </c>
      <c r="F6346" s="561">
        <v>12477.8</v>
      </c>
      <c r="G6346" s="561">
        <v>1154</v>
      </c>
      <c r="H6346" s="561">
        <v>16185.238323346588</v>
      </c>
      <c r="I6346" s="561">
        <v>7</v>
      </c>
      <c r="J6346" s="561">
        <v>40.50432</v>
      </c>
      <c r="K6346" s="561">
        <v>1153</v>
      </c>
      <c r="L6346" s="561">
        <v>16496.000989999997</v>
      </c>
      <c r="M6346" s="561">
        <v>16496.000989999997</v>
      </c>
      <c r="N6346" s="561">
        <v>4018.2</v>
      </c>
      <c r="O6346" s="561">
        <v>0</v>
      </c>
      <c r="P6346" s="561">
        <v>12477.800989999996</v>
      </c>
    </row>
    <row r="6347" spans="1:38">
      <c r="A6347" s="561">
        <v>35</v>
      </c>
      <c r="B6347" s="561" t="s">
        <v>1787</v>
      </c>
      <c r="C6347" s="561" t="s">
        <v>1197</v>
      </c>
      <c r="D6347" s="561">
        <v>47000</v>
      </c>
      <c r="E6347" s="561">
        <v>14100</v>
      </c>
      <c r="F6347" s="561">
        <v>32900</v>
      </c>
      <c r="G6347" s="561">
        <v>854</v>
      </c>
      <c r="H6347" s="561">
        <v>47913.395836986623</v>
      </c>
      <c r="I6347" s="561">
        <v>39</v>
      </c>
      <c r="J6347" s="561">
        <v>878.53174000000001</v>
      </c>
      <c r="K6347" s="561">
        <v>854</v>
      </c>
      <c r="L6347" s="561">
        <v>46999.999999999993</v>
      </c>
      <c r="M6347" s="561">
        <v>46999.999999999993</v>
      </c>
      <c r="N6347" s="561">
        <v>14100</v>
      </c>
      <c r="O6347" s="561">
        <v>0</v>
      </c>
    </row>
    <row r="6348" spans="1:38">
      <c r="A6348" s="561">
        <v>36</v>
      </c>
      <c r="B6348" s="561" t="s">
        <v>1788</v>
      </c>
      <c r="C6348" s="561" t="s">
        <v>1197</v>
      </c>
      <c r="D6348" s="561">
        <v>7415</v>
      </c>
      <c r="E6348" s="561">
        <v>2179.5</v>
      </c>
      <c r="F6348" s="561">
        <v>5235.5</v>
      </c>
      <c r="G6348" s="561">
        <v>101</v>
      </c>
      <c r="H6348" s="561">
        <v>7861.4681444231937</v>
      </c>
      <c r="I6348" s="561">
        <v>14</v>
      </c>
      <c r="J6348" s="561">
        <v>438.17133999999999</v>
      </c>
      <c r="K6348" s="561">
        <v>101</v>
      </c>
      <c r="L6348" s="561">
        <v>7415</v>
      </c>
      <c r="M6348" s="561">
        <v>7415</v>
      </c>
      <c r="N6348" s="561">
        <v>2179.5</v>
      </c>
      <c r="O6348" s="561">
        <v>0</v>
      </c>
    </row>
    <row r="6349" spans="1:38">
      <c r="A6349" s="561">
        <v>37</v>
      </c>
      <c r="B6349" s="561" t="s">
        <v>1789</v>
      </c>
      <c r="C6349" s="561" t="s">
        <v>1197</v>
      </c>
      <c r="D6349" s="561">
        <v>16702</v>
      </c>
      <c r="E6349" s="561">
        <v>4843.2</v>
      </c>
      <c r="F6349" s="561">
        <v>11858.8</v>
      </c>
      <c r="G6349" s="561">
        <v>260</v>
      </c>
      <c r="H6349" s="561">
        <v>16990.894365227748</v>
      </c>
      <c r="I6349" s="561">
        <v>4</v>
      </c>
      <c r="J6349" s="561">
        <v>104.35436</v>
      </c>
      <c r="K6349" s="561">
        <v>259</v>
      </c>
      <c r="L6349" s="561">
        <v>16701.999996044338</v>
      </c>
      <c r="M6349" s="561">
        <v>16701.999996044338</v>
      </c>
      <c r="N6349" s="561">
        <v>4843.2</v>
      </c>
    </row>
    <row r="6350" spans="1:38">
      <c r="A6350" s="561">
        <v>38</v>
      </c>
      <c r="B6350" s="561" t="s">
        <v>1790</v>
      </c>
      <c r="C6350" s="561" t="s">
        <v>1206</v>
      </c>
      <c r="D6350" s="561">
        <v>13708</v>
      </c>
      <c r="E6350" s="561">
        <v>4072.4</v>
      </c>
      <c r="F6350" s="561">
        <v>9635.6</v>
      </c>
      <c r="G6350" s="561">
        <v>428</v>
      </c>
      <c r="H6350" s="561">
        <v>13795.013094214348</v>
      </c>
      <c r="I6350" s="561">
        <v>9</v>
      </c>
      <c r="J6350" s="561">
        <v>74.664199999999994</v>
      </c>
      <c r="K6350" s="561">
        <v>428</v>
      </c>
      <c r="L6350" s="561">
        <v>13707.999995485417</v>
      </c>
      <c r="M6350" s="561">
        <v>13707.999995485417</v>
      </c>
      <c r="N6350" s="561">
        <v>4072.4</v>
      </c>
      <c r="O6350" s="561">
        <v>0</v>
      </c>
      <c r="P6350" s="561">
        <v>9635.5999954854196</v>
      </c>
    </row>
    <row r="6351" spans="1:38">
      <c r="C6351" s="561" t="s">
        <v>1197</v>
      </c>
      <c r="D6351" s="561">
        <v>8763.4395600000007</v>
      </c>
      <c r="E6351" s="561">
        <v>2627.4</v>
      </c>
      <c r="F6351" s="561">
        <v>6136.0395600000002</v>
      </c>
      <c r="G6351" s="561">
        <v>124</v>
      </c>
      <c r="H6351" s="561">
        <v>8795.7038587881434</v>
      </c>
      <c r="I6351" s="561">
        <v>2</v>
      </c>
      <c r="J6351" s="561">
        <v>41.393279999999997</v>
      </c>
      <c r="K6351" s="561">
        <v>125</v>
      </c>
      <c r="L6351" s="561">
        <v>8763.4395647881429</v>
      </c>
      <c r="M6351" s="561">
        <v>8763.4395647881429</v>
      </c>
      <c r="N6351" s="561">
        <v>2627.4</v>
      </c>
      <c r="O6351" s="561">
        <v>0</v>
      </c>
    </row>
    <row r="6352" spans="1:38">
      <c r="C6352" s="561" t="s">
        <v>1199</v>
      </c>
      <c r="D6352" s="561">
        <v>4944.5604400000002</v>
      </c>
      <c r="E6352" s="561">
        <v>1445</v>
      </c>
      <c r="F6352" s="561">
        <v>3499.5604400000002</v>
      </c>
      <c r="G6352" s="561">
        <v>304</v>
      </c>
      <c r="H6352" s="561">
        <v>4999.3092354262053</v>
      </c>
      <c r="I6352" s="561">
        <v>7</v>
      </c>
      <c r="J6352" s="561">
        <v>33.270920000000004</v>
      </c>
      <c r="K6352" s="561">
        <v>303</v>
      </c>
      <c r="L6352" s="561">
        <v>4944.5604306972746</v>
      </c>
      <c r="M6352" s="561">
        <v>4944.5604306972746</v>
      </c>
      <c r="N6352" s="561">
        <v>1445</v>
      </c>
      <c r="O6352" s="561">
        <v>0</v>
      </c>
      <c r="P6352" s="561">
        <v>3499.5604306972746</v>
      </c>
    </row>
    <row r="6353" spans="1:111">
      <c r="A6353" s="561">
        <v>39</v>
      </c>
      <c r="B6353" s="561" t="s">
        <v>1791</v>
      </c>
      <c r="C6353" s="561" t="s">
        <v>1206</v>
      </c>
      <c r="D6353" s="561">
        <v>12768</v>
      </c>
      <c r="E6353" s="561">
        <v>3380.4</v>
      </c>
      <c r="F6353" s="561">
        <v>9387.6</v>
      </c>
      <c r="G6353" s="561">
        <v>96</v>
      </c>
      <c r="H6353" s="561">
        <v>12834.796629218146</v>
      </c>
      <c r="I6353" s="561">
        <v>2</v>
      </c>
      <c r="J6353" s="561">
        <v>68.248509999999996</v>
      </c>
      <c r="K6353" s="561">
        <v>96</v>
      </c>
      <c r="L6353" s="561">
        <v>12766.548200000001</v>
      </c>
      <c r="M6353" s="561">
        <v>12766.548200000001</v>
      </c>
      <c r="N6353" s="561">
        <v>3380.4</v>
      </c>
      <c r="O6353" s="561">
        <v>0</v>
      </c>
      <c r="P6353" s="561">
        <v>9386.1482000000015</v>
      </c>
    </row>
    <row r="6354" spans="1:111">
      <c r="C6354" s="561" t="s">
        <v>1197</v>
      </c>
      <c r="D6354" s="561">
        <v>2347.8829700000001</v>
      </c>
      <c r="E6354" s="561">
        <v>680.4</v>
      </c>
      <c r="F6354" s="561">
        <v>1667.4829700000003</v>
      </c>
      <c r="G6354" s="561">
        <v>29</v>
      </c>
      <c r="H6354" s="561">
        <v>2416.1314781247438</v>
      </c>
      <c r="I6354" s="561">
        <v>2</v>
      </c>
      <c r="J6354" s="561">
        <v>68.248509999999996</v>
      </c>
      <c r="K6354" s="561">
        <v>29</v>
      </c>
      <c r="L6354" s="561">
        <v>2347.8829663095821</v>
      </c>
      <c r="M6354" s="561">
        <v>2347.8829663095821</v>
      </c>
      <c r="N6354" s="561">
        <v>680.4</v>
      </c>
      <c r="O6354" s="561">
        <v>0</v>
      </c>
    </row>
    <row r="6355" spans="1:111">
      <c r="C6355" s="561" t="s">
        <v>1198</v>
      </c>
      <c r="D6355" s="561">
        <v>10420.117029999999</v>
      </c>
      <c r="E6355" s="561">
        <v>2700</v>
      </c>
      <c r="F6355" s="561">
        <v>7720.1170299999994</v>
      </c>
      <c r="G6355" s="561">
        <v>67</v>
      </c>
      <c r="H6355" s="561">
        <v>10418.665151093403</v>
      </c>
      <c r="I6355" s="561">
        <v>0</v>
      </c>
      <c r="J6355" s="561">
        <v>0</v>
      </c>
      <c r="K6355" s="561">
        <v>67</v>
      </c>
      <c r="L6355" s="561">
        <v>10418.665233690419</v>
      </c>
      <c r="M6355" s="561">
        <v>10418.665233690419</v>
      </c>
      <c r="N6355" s="561">
        <v>2700</v>
      </c>
      <c r="O6355" s="561">
        <v>0</v>
      </c>
      <c r="AL6355" s="561" t="s">
        <v>815</v>
      </c>
    </row>
    <row r="6356" spans="1:111">
      <c r="A6356" s="561">
        <v>40</v>
      </c>
      <c r="B6356" s="561" t="s">
        <v>1792</v>
      </c>
      <c r="C6356" s="561" t="s">
        <v>1199</v>
      </c>
      <c r="D6356" s="561">
        <v>2488</v>
      </c>
      <c r="E6356" s="561">
        <v>723.03500000000008</v>
      </c>
      <c r="F6356" s="561">
        <v>1764.9649999999999</v>
      </c>
      <c r="G6356" s="561">
        <v>180</v>
      </c>
      <c r="H6356" s="561">
        <v>2558.6159096108181</v>
      </c>
      <c r="I6356" s="561">
        <v>12</v>
      </c>
      <c r="J6356" s="561">
        <v>60.838089999999994</v>
      </c>
      <c r="K6356" s="561">
        <v>179</v>
      </c>
      <c r="L6356" s="561">
        <v>2488</v>
      </c>
      <c r="M6356" s="561">
        <v>2488</v>
      </c>
      <c r="N6356" s="561">
        <v>723.03500000000008</v>
      </c>
      <c r="O6356" s="561">
        <v>0</v>
      </c>
      <c r="P6356" s="561">
        <v>1764.9649999999999</v>
      </c>
    </row>
    <row r="6357" spans="1:111">
      <c r="A6357" s="561">
        <v>41</v>
      </c>
      <c r="B6357" s="561" t="s">
        <v>1793</v>
      </c>
      <c r="C6357" s="561" t="s">
        <v>1206</v>
      </c>
      <c r="D6357" s="561">
        <v>0</v>
      </c>
      <c r="E6357" s="561">
        <v>0</v>
      </c>
      <c r="F6357" s="561">
        <v>0</v>
      </c>
      <c r="G6357" s="561">
        <v>0</v>
      </c>
      <c r="H6357" s="561">
        <v>0</v>
      </c>
      <c r="K6357" s="561">
        <v>0</v>
      </c>
      <c r="L6357" s="561">
        <v>0</v>
      </c>
      <c r="M6357" s="561">
        <v>0</v>
      </c>
      <c r="N6357" s="561">
        <v>0</v>
      </c>
      <c r="O6357" s="561">
        <v>0</v>
      </c>
      <c r="P6357" s="561">
        <v>0</v>
      </c>
    </row>
    <row r="6358" spans="1:111">
      <c r="C6358" s="561" t="s">
        <v>1197</v>
      </c>
      <c r="P6358" s="561">
        <v>0</v>
      </c>
    </row>
    <row r="6359" spans="1:111">
      <c r="C6359" s="561" t="s">
        <v>1198</v>
      </c>
      <c r="P6359" s="561">
        <v>0</v>
      </c>
    </row>
    <row r="6360" spans="1:111">
      <c r="C6360" s="561" t="s">
        <v>1199</v>
      </c>
      <c r="P6360" s="561">
        <v>0</v>
      </c>
    </row>
    <row r="6361" spans="1:111">
      <c r="A6361" s="1735" t="s">
        <v>1199</v>
      </c>
      <c r="B6361" s="1735"/>
      <c r="C6361" s="1735"/>
      <c r="D6361" s="1735"/>
      <c r="E6361" s="1735"/>
      <c r="F6361" s="1735"/>
      <c r="G6361" s="1735"/>
      <c r="H6361" s="1735"/>
      <c r="I6361" s="1735"/>
      <c r="J6361" s="1735"/>
      <c r="K6361" s="1735"/>
      <c r="L6361" s="1735"/>
      <c r="M6361" s="1735"/>
      <c r="N6361" s="1735"/>
      <c r="O6361" s="1735"/>
      <c r="P6361" s="1735"/>
      <c r="AL6361" s="561">
        <f>SUM(AL6362:AL6466)</f>
        <v>441887.63607202336</v>
      </c>
      <c r="AM6361" s="561">
        <f t="shared" ref="AM6361:CX6361" si="142">SUM(AM6362:AM6466)</f>
        <v>0</v>
      </c>
      <c r="AN6361" s="561">
        <f t="shared" si="142"/>
        <v>0</v>
      </c>
      <c r="AO6361" s="561">
        <f t="shared" si="142"/>
        <v>0</v>
      </c>
      <c r="AP6361" s="561">
        <f t="shared" si="142"/>
        <v>0</v>
      </c>
      <c r="AQ6361" s="561">
        <f t="shared" si="142"/>
        <v>0</v>
      </c>
      <c r="AR6361" s="561">
        <f t="shared" si="142"/>
        <v>0</v>
      </c>
      <c r="AS6361" s="561">
        <f t="shared" si="142"/>
        <v>0</v>
      </c>
      <c r="AT6361" s="561">
        <f t="shared" si="142"/>
        <v>0</v>
      </c>
      <c r="AU6361" s="561">
        <f t="shared" si="142"/>
        <v>0</v>
      </c>
      <c r="AV6361" s="561">
        <f t="shared" si="142"/>
        <v>0</v>
      </c>
      <c r="AW6361" s="561">
        <f t="shared" si="142"/>
        <v>0</v>
      </c>
      <c r="AX6361" s="561">
        <f t="shared" si="142"/>
        <v>0</v>
      </c>
      <c r="AY6361" s="561">
        <f t="shared" si="142"/>
        <v>20249.738520809558</v>
      </c>
      <c r="AZ6361" s="561">
        <f t="shared" si="142"/>
        <v>0</v>
      </c>
      <c r="BA6361" s="561">
        <f t="shared" si="142"/>
        <v>0</v>
      </c>
      <c r="BB6361" s="561">
        <f t="shared" si="142"/>
        <v>5575.500002020096</v>
      </c>
      <c r="BC6361" s="561">
        <f t="shared" si="142"/>
        <v>0</v>
      </c>
      <c r="BD6361" s="561">
        <f t="shared" si="142"/>
        <v>0</v>
      </c>
      <c r="BE6361" s="561">
        <f t="shared" si="142"/>
        <v>0</v>
      </c>
      <c r="BF6361" s="561">
        <f t="shared" si="142"/>
        <v>0</v>
      </c>
      <c r="BG6361" s="561">
        <f t="shared" si="142"/>
        <v>0</v>
      </c>
      <c r="BH6361" s="561">
        <f t="shared" si="142"/>
        <v>0</v>
      </c>
      <c r="BI6361" s="561">
        <f t="shared" si="142"/>
        <v>0</v>
      </c>
      <c r="BJ6361" s="561">
        <f t="shared" si="142"/>
        <v>0</v>
      </c>
      <c r="BK6361" s="561">
        <f t="shared" si="142"/>
        <v>0</v>
      </c>
      <c r="BL6361" s="561">
        <f t="shared" si="142"/>
        <v>0</v>
      </c>
      <c r="BM6361" s="561">
        <f t="shared" si="142"/>
        <v>0</v>
      </c>
      <c r="BN6361" s="561">
        <f t="shared" si="142"/>
        <v>0</v>
      </c>
      <c r="BO6361" s="561">
        <f t="shared" si="142"/>
        <v>0</v>
      </c>
      <c r="BP6361" s="561">
        <f t="shared" si="142"/>
        <v>0</v>
      </c>
      <c r="BQ6361" s="561">
        <f t="shared" si="142"/>
        <v>0</v>
      </c>
      <c r="BR6361" s="561">
        <f t="shared" si="142"/>
        <v>0</v>
      </c>
      <c r="BS6361" s="561">
        <f t="shared" si="142"/>
        <v>0</v>
      </c>
      <c r="BT6361" s="561">
        <f t="shared" si="142"/>
        <v>0</v>
      </c>
      <c r="BU6361" s="561">
        <f t="shared" si="142"/>
        <v>0</v>
      </c>
      <c r="BV6361" s="561">
        <f t="shared" si="142"/>
        <v>0</v>
      </c>
      <c r="BW6361" s="561">
        <f t="shared" si="142"/>
        <v>0</v>
      </c>
      <c r="BX6361" s="561">
        <f t="shared" si="142"/>
        <v>0</v>
      </c>
      <c r="BY6361" s="561">
        <f t="shared" si="142"/>
        <v>0</v>
      </c>
      <c r="BZ6361" s="561">
        <f t="shared" si="142"/>
        <v>197437.38524</v>
      </c>
      <c r="CA6361" s="561">
        <f t="shared" si="142"/>
        <v>0</v>
      </c>
      <c r="CB6361" s="561">
        <f t="shared" si="142"/>
        <v>0</v>
      </c>
      <c r="CC6361" s="561">
        <f t="shared" si="142"/>
        <v>0</v>
      </c>
      <c r="CD6361" s="561">
        <f t="shared" si="142"/>
        <v>0</v>
      </c>
      <c r="CE6361" s="561">
        <f t="shared" si="142"/>
        <v>0</v>
      </c>
      <c r="CF6361" s="561">
        <f t="shared" si="142"/>
        <v>0</v>
      </c>
      <c r="CG6361" s="561">
        <f t="shared" si="142"/>
        <v>0</v>
      </c>
      <c r="CH6361" s="561">
        <f t="shared" si="142"/>
        <v>0</v>
      </c>
      <c r="CI6361" s="561">
        <f t="shared" si="142"/>
        <v>0</v>
      </c>
      <c r="CJ6361" s="561">
        <f t="shared" si="142"/>
        <v>0</v>
      </c>
      <c r="CK6361" s="561">
        <f t="shared" si="142"/>
        <v>0</v>
      </c>
      <c r="CL6361" s="561">
        <f t="shared" si="142"/>
        <v>0</v>
      </c>
      <c r="CM6361" s="561">
        <f t="shared" si="142"/>
        <v>0</v>
      </c>
      <c r="CN6361" s="561">
        <f t="shared" si="142"/>
        <v>0</v>
      </c>
      <c r="CO6361" s="561">
        <f t="shared" si="142"/>
        <v>0</v>
      </c>
      <c r="CP6361" s="561">
        <f t="shared" si="142"/>
        <v>0</v>
      </c>
      <c r="CQ6361" s="561">
        <f t="shared" si="142"/>
        <v>0</v>
      </c>
      <c r="CR6361" s="561">
        <f t="shared" si="142"/>
        <v>0</v>
      </c>
      <c r="CS6361" s="561">
        <f t="shared" si="142"/>
        <v>0</v>
      </c>
      <c r="CT6361" s="561">
        <f t="shared" si="142"/>
        <v>0</v>
      </c>
      <c r="CU6361" s="561">
        <f t="shared" si="142"/>
        <v>0</v>
      </c>
      <c r="CV6361" s="561">
        <f t="shared" si="142"/>
        <v>0</v>
      </c>
      <c r="CW6361" s="561">
        <f t="shared" si="142"/>
        <v>0</v>
      </c>
      <c r="CX6361" s="561">
        <f t="shared" si="142"/>
        <v>0</v>
      </c>
      <c r="CY6361" s="561">
        <f t="shared" ref="CY6361:DG6361" si="143">SUM(CY6362:CY6466)</f>
        <v>0</v>
      </c>
      <c r="CZ6361" s="561">
        <f t="shared" si="143"/>
        <v>0</v>
      </c>
      <c r="DA6361" s="561">
        <f t="shared" si="143"/>
        <v>0</v>
      </c>
      <c r="DB6361" s="561">
        <f t="shared" si="143"/>
        <v>0</v>
      </c>
      <c r="DC6361" s="561">
        <f t="shared" si="143"/>
        <v>0</v>
      </c>
      <c r="DD6361" s="561">
        <f t="shared" si="143"/>
        <v>0</v>
      </c>
      <c r="DE6361" s="561">
        <f t="shared" si="143"/>
        <v>0</v>
      </c>
      <c r="DF6361" s="561">
        <f t="shared" si="143"/>
        <v>0</v>
      </c>
      <c r="DG6361" s="561">
        <f t="shared" si="143"/>
        <v>0</v>
      </c>
    </row>
    <row r="6362" spans="1:111">
      <c r="A6362" s="561" t="s">
        <v>1794</v>
      </c>
      <c r="B6362" s="561" t="s">
        <v>1753</v>
      </c>
      <c r="C6362" s="561" t="s">
        <v>1197</v>
      </c>
      <c r="D6362" s="561">
        <v>235674.4</v>
      </c>
      <c r="E6362" s="561">
        <v>73862</v>
      </c>
      <c r="F6362" s="561">
        <v>161812.4</v>
      </c>
      <c r="G6362" s="561">
        <v>854</v>
      </c>
      <c r="H6362" s="561">
        <v>237998.84399999995</v>
      </c>
      <c r="I6362" s="561">
        <v>41</v>
      </c>
      <c r="J6362" s="561">
        <v>2807.2038000000002</v>
      </c>
      <c r="K6362" s="561">
        <v>852</v>
      </c>
      <c r="L6362" s="561">
        <v>235674.39999999997</v>
      </c>
      <c r="M6362" s="561">
        <v>235674.39999999997</v>
      </c>
      <c r="N6362" s="561">
        <v>73862</v>
      </c>
      <c r="O6362" s="561">
        <v>0</v>
      </c>
    </row>
    <row r="6363" spans="1:111">
      <c r="A6363" s="561">
        <v>2</v>
      </c>
      <c r="B6363" s="561" t="s">
        <v>1754</v>
      </c>
      <c r="C6363" s="561" t="s">
        <v>1206</v>
      </c>
      <c r="D6363" s="561">
        <v>1263456.148</v>
      </c>
      <c r="E6363" s="561">
        <v>236457</v>
      </c>
      <c r="F6363" s="561">
        <v>1026999.148</v>
      </c>
      <c r="G6363" s="561">
        <v>14059</v>
      </c>
      <c r="H6363" s="561">
        <v>1284265.1345188406</v>
      </c>
      <c r="I6363" s="561">
        <v>556</v>
      </c>
      <c r="J6363" s="561">
        <v>18648.147091000003</v>
      </c>
      <c r="K6363" s="561">
        <v>14028</v>
      </c>
      <c r="L6363" s="561">
        <v>1263456.1477449359</v>
      </c>
      <c r="M6363" s="561">
        <v>1263456.1477449359</v>
      </c>
      <c r="N6363" s="561">
        <v>236457</v>
      </c>
      <c r="O6363" s="561">
        <v>0</v>
      </c>
      <c r="P6363" s="561">
        <v>1026999.1477449357</v>
      </c>
    </row>
    <row r="6364" spans="1:111">
      <c r="C6364" s="561" t="s">
        <v>1197</v>
      </c>
      <c r="D6364" s="561">
        <v>1137585.5472500001</v>
      </c>
      <c r="E6364" s="561">
        <v>222735</v>
      </c>
      <c r="F6364" s="561">
        <v>914850.54725000006</v>
      </c>
      <c r="G6364" s="561">
        <v>12487</v>
      </c>
      <c r="H6364" s="561">
        <v>1160272.3121092101</v>
      </c>
      <c r="I6364" s="561">
        <v>511</v>
      </c>
      <c r="J6364" s="561">
        <v>17131.130981000002</v>
      </c>
      <c r="K6364" s="561">
        <v>12457</v>
      </c>
      <c r="L6364" s="561">
        <v>1137585.54896</v>
      </c>
      <c r="M6364" s="561">
        <v>1137585.54896</v>
      </c>
      <c r="N6364" s="561">
        <v>222735</v>
      </c>
    </row>
    <row r="6365" spans="1:111">
      <c r="C6365" s="561" t="s">
        <v>1198</v>
      </c>
      <c r="D6365" s="561">
        <v>85107</v>
      </c>
      <c r="E6365" s="561">
        <v>10710</v>
      </c>
      <c r="F6365" s="561">
        <v>74397</v>
      </c>
      <c r="G6365" s="561">
        <v>200</v>
      </c>
      <c r="H6365" s="561">
        <v>81542.438369165247</v>
      </c>
      <c r="I6365" s="561">
        <v>9</v>
      </c>
      <c r="J6365" s="561">
        <v>1094.8127899999999</v>
      </c>
      <c r="K6365" s="561">
        <v>200</v>
      </c>
      <c r="L6365" s="561">
        <v>85107.000001517503</v>
      </c>
      <c r="M6365" s="561">
        <v>85107.000001517503</v>
      </c>
      <c r="N6365" s="561">
        <v>10710</v>
      </c>
      <c r="O6365" s="561">
        <v>0</v>
      </c>
    </row>
    <row r="6366" spans="1:111">
      <c r="C6366" s="561" t="s">
        <v>1199</v>
      </c>
      <c r="D6366" s="561">
        <v>32012</v>
      </c>
      <c r="E6366" s="561">
        <v>3012</v>
      </c>
      <c r="F6366" s="561">
        <v>29000</v>
      </c>
      <c r="G6366" s="561">
        <v>1372</v>
      </c>
      <c r="H6366" s="561">
        <v>31614.999290465479</v>
      </c>
      <c r="I6366" s="561">
        <v>36</v>
      </c>
      <c r="J6366" s="561">
        <v>422.20331999999996</v>
      </c>
      <c r="K6366" s="561">
        <v>1371</v>
      </c>
      <c r="L6366" s="561">
        <v>32011.998033418258</v>
      </c>
      <c r="M6366" s="561">
        <v>32011.998033418258</v>
      </c>
      <c r="N6366" s="561">
        <v>3012</v>
      </c>
      <c r="O6366" s="561">
        <v>0</v>
      </c>
      <c r="AL6366" s="561">
        <v>28999.998033418258</v>
      </c>
    </row>
    <row r="6367" spans="1:111">
      <c r="C6367" s="561" t="s">
        <v>1202</v>
      </c>
      <c r="D6367" s="561">
        <v>8751.6007499999996</v>
      </c>
      <c r="F6367" s="561">
        <v>8751.6007499999996</v>
      </c>
      <c r="H6367" s="561">
        <v>10835.384749999999</v>
      </c>
      <c r="K6367" s="561">
        <v>0</v>
      </c>
      <c r="L6367" s="561">
        <v>8751.6007499999996</v>
      </c>
      <c r="M6367" s="561">
        <v>8751.6007499999996</v>
      </c>
      <c r="P6367" s="561">
        <v>8751.6007499999996</v>
      </c>
    </row>
    <row r="6368" spans="1:111">
      <c r="A6368" s="561">
        <v>3</v>
      </c>
      <c r="B6368" s="561" t="s">
        <v>1755</v>
      </c>
      <c r="C6368" s="561" t="s">
        <v>1206</v>
      </c>
      <c r="D6368" s="561">
        <v>794945.02099999995</v>
      </c>
      <c r="E6368" s="561">
        <v>216139.8</v>
      </c>
      <c r="F6368" s="561">
        <v>578805.22100000002</v>
      </c>
      <c r="G6368" s="561">
        <v>12620</v>
      </c>
      <c r="H6368" s="561">
        <v>806702.25085604098</v>
      </c>
      <c r="I6368" s="561">
        <v>421</v>
      </c>
      <c r="J6368" s="561">
        <v>13051.729719999999</v>
      </c>
      <c r="K6368" s="561">
        <v>12615</v>
      </c>
      <c r="L6368" s="561">
        <v>794945.02072200016</v>
      </c>
      <c r="M6368" s="561">
        <v>794945.02072200016</v>
      </c>
      <c r="N6368" s="561">
        <v>216139.8</v>
      </c>
      <c r="O6368" s="561">
        <v>0</v>
      </c>
      <c r="P6368" s="561">
        <v>578805.22072200011</v>
      </c>
    </row>
    <row r="6369" spans="1:51">
      <c r="C6369" s="561" t="s">
        <v>1197</v>
      </c>
      <c r="D6369" s="561">
        <v>767664.78287999996</v>
      </c>
      <c r="E6369" s="561">
        <v>208693.5</v>
      </c>
      <c r="F6369" s="561">
        <v>558971.28287999996</v>
      </c>
      <c r="G6369" s="561">
        <v>11513</v>
      </c>
      <c r="H6369" s="561">
        <v>779960.13714018604</v>
      </c>
      <c r="I6369" s="561">
        <v>372</v>
      </c>
      <c r="J6369" s="561">
        <v>11482.489659999999</v>
      </c>
      <c r="K6369" s="561">
        <v>11508</v>
      </c>
      <c r="L6369" s="561">
        <v>767664.78259331803</v>
      </c>
      <c r="M6369" s="561">
        <v>767664.78259331803</v>
      </c>
      <c r="N6369" s="561">
        <v>208693.5</v>
      </c>
    </row>
    <row r="6370" spans="1:51">
      <c r="C6370" s="561" t="s">
        <v>1198</v>
      </c>
      <c r="D6370" s="561">
        <v>7926</v>
      </c>
      <c r="E6370" s="561">
        <v>4500</v>
      </c>
      <c r="F6370" s="561">
        <v>3426</v>
      </c>
      <c r="G6370" s="561">
        <v>21</v>
      </c>
      <c r="H6370" s="561">
        <v>6441.1263052896056</v>
      </c>
      <c r="I6370" s="561">
        <v>1</v>
      </c>
      <c r="J6370" s="561">
        <v>104.444</v>
      </c>
      <c r="K6370" s="561">
        <v>21</v>
      </c>
      <c r="L6370" s="561">
        <v>7925.9999956707716</v>
      </c>
      <c r="M6370" s="561">
        <v>7925.9999956707716</v>
      </c>
      <c r="N6370" s="561">
        <v>4500</v>
      </c>
      <c r="O6370" s="561">
        <v>0</v>
      </c>
    </row>
    <row r="6371" spans="1:51">
      <c r="C6371" s="561" t="s">
        <v>1199</v>
      </c>
      <c r="D6371" s="561">
        <v>16025.7</v>
      </c>
      <c r="E6371" s="561">
        <v>2946.3</v>
      </c>
      <c r="F6371" s="561">
        <v>13079.4</v>
      </c>
      <c r="G6371" s="561">
        <v>1086</v>
      </c>
      <c r="H6371" s="561">
        <v>16283.932940565446</v>
      </c>
      <c r="I6371" s="561">
        <v>48</v>
      </c>
      <c r="J6371" s="561">
        <v>1464.7960600000001</v>
      </c>
      <c r="K6371" s="561">
        <v>1086</v>
      </c>
      <c r="L6371" s="561">
        <v>16025.700013011323</v>
      </c>
      <c r="M6371" s="561">
        <v>16025.700013011323</v>
      </c>
      <c r="N6371" s="561">
        <v>2946.3</v>
      </c>
      <c r="O6371" s="561">
        <v>0</v>
      </c>
      <c r="AL6371" s="561">
        <v>13079.400013011324</v>
      </c>
    </row>
    <row r="6372" spans="1:51">
      <c r="C6372" s="561" t="s">
        <v>1202</v>
      </c>
      <c r="D6372" s="561">
        <v>3328.5381200000002</v>
      </c>
      <c r="F6372" s="561">
        <v>3328.5381200000002</v>
      </c>
      <c r="H6372" s="561">
        <v>4017.05447</v>
      </c>
      <c r="K6372" s="561">
        <v>0</v>
      </c>
      <c r="L6372" s="561">
        <v>3328.5381200000002</v>
      </c>
      <c r="M6372" s="561">
        <v>3328.5381200000002</v>
      </c>
      <c r="P6372" s="561">
        <v>3328.5381200000002</v>
      </c>
    </row>
    <row r="6373" spans="1:51">
      <c r="A6373" s="561">
        <v>4</v>
      </c>
      <c r="B6373" s="561" t="s">
        <v>1756</v>
      </c>
      <c r="C6373" s="561" t="s">
        <v>1206</v>
      </c>
      <c r="D6373" s="561">
        <v>721422.022</v>
      </c>
      <c r="E6373" s="561">
        <v>141901.20000000001</v>
      </c>
      <c r="F6373" s="561">
        <v>579520.82200000004</v>
      </c>
      <c r="G6373" s="561">
        <v>8480</v>
      </c>
      <c r="H6373" s="561">
        <v>756266.49219691998</v>
      </c>
      <c r="I6373" s="561">
        <v>412</v>
      </c>
      <c r="J6373" s="561">
        <v>14807.522647999998</v>
      </c>
      <c r="K6373" s="561">
        <v>8458</v>
      </c>
      <c r="L6373" s="561">
        <v>721422.022</v>
      </c>
      <c r="M6373" s="561">
        <v>721422.022</v>
      </c>
      <c r="N6373" s="561">
        <v>141901.19999999998</v>
      </c>
      <c r="O6373" s="561">
        <v>0</v>
      </c>
      <c r="P6373" s="561">
        <v>579520.82200000004</v>
      </c>
    </row>
    <row r="6374" spans="1:51">
      <c r="C6374" s="561" t="s">
        <v>1197</v>
      </c>
      <c r="D6374" s="561">
        <v>712101</v>
      </c>
      <c r="E6374" s="561">
        <v>141901.20000000001</v>
      </c>
      <c r="F6374" s="561">
        <v>570199.80000000005</v>
      </c>
      <c r="G6374" s="561">
        <v>8480</v>
      </c>
      <c r="H6374" s="561">
        <v>726598.23222691996</v>
      </c>
      <c r="I6374" s="561">
        <v>412</v>
      </c>
      <c r="J6374" s="561">
        <v>14807.522647999998</v>
      </c>
      <c r="K6374" s="561">
        <v>8458</v>
      </c>
      <c r="L6374" s="561">
        <v>712100.99968000001</v>
      </c>
      <c r="M6374" s="561">
        <v>712100.99968000001</v>
      </c>
      <c r="N6374" s="561">
        <v>141901.19999999998</v>
      </c>
    </row>
    <row r="6375" spans="1:51">
      <c r="C6375" s="561" t="s">
        <v>1202</v>
      </c>
      <c r="D6375" s="561">
        <v>9321.0220000000008</v>
      </c>
      <c r="F6375" s="561">
        <v>9321.0220000000008</v>
      </c>
      <c r="H6375" s="561">
        <v>29668.259969999999</v>
      </c>
      <c r="K6375" s="561">
        <v>0</v>
      </c>
      <c r="L6375" s="561">
        <v>9321.02232</v>
      </c>
      <c r="M6375" s="561">
        <v>9321.02232</v>
      </c>
      <c r="P6375" s="561">
        <v>9321.02232</v>
      </c>
    </row>
    <row r="6376" spans="1:51">
      <c r="A6376" s="561">
        <v>5</v>
      </c>
      <c r="B6376" s="561" t="s">
        <v>1757</v>
      </c>
      <c r="C6376" s="561" t="s">
        <v>1197</v>
      </c>
      <c r="D6376" s="561">
        <v>397621</v>
      </c>
      <c r="E6376" s="561">
        <v>93936.3</v>
      </c>
      <c r="F6376" s="561">
        <v>303684.7</v>
      </c>
      <c r="G6376" s="561">
        <v>4758</v>
      </c>
      <c r="H6376" s="561">
        <v>404964.86181953596</v>
      </c>
      <c r="I6376" s="561">
        <v>268</v>
      </c>
      <c r="J6376" s="561">
        <v>9431.1368569999995</v>
      </c>
      <c r="K6376" s="561">
        <v>4755</v>
      </c>
      <c r="L6376" s="561">
        <v>397621.00000000006</v>
      </c>
      <c r="M6376" s="561">
        <v>397621.00000000006</v>
      </c>
      <c r="N6376" s="561">
        <v>93936.3</v>
      </c>
      <c r="O6376" s="561">
        <v>0</v>
      </c>
    </row>
    <row r="6377" spans="1:51">
      <c r="A6377" s="561">
        <v>6</v>
      </c>
      <c r="B6377" s="561" t="s">
        <v>1758</v>
      </c>
      <c r="C6377" s="561" t="s">
        <v>1206</v>
      </c>
      <c r="D6377" s="561">
        <v>76832.5</v>
      </c>
      <c r="E6377" s="561">
        <v>22849.5</v>
      </c>
      <c r="F6377" s="561">
        <v>53983</v>
      </c>
      <c r="G6377" s="561">
        <v>2150</v>
      </c>
      <c r="H6377" s="561">
        <v>76980.853224947758</v>
      </c>
      <c r="I6377" s="561">
        <v>4</v>
      </c>
      <c r="J6377" s="561">
        <v>124.00354999999999</v>
      </c>
      <c r="K6377" s="561">
        <v>2149</v>
      </c>
      <c r="L6377" s="561">
        <v>76832.5</v>
      </c>
      <c r="M6377" s="561">
        <v>76832.5</v>
      </c>
      <c r="N6377" s="561">
        <v>22849.5</v>
      </c>
      <c r="O6377" s="561">
        <v>0</v>
      </c>
      <c r="P6377" s="561">
        <v>53982.999999999993</v>
      </c>
    </row>
    <row r="6378" spans="1:51">
      <c r="C6378" s="561" t="s">
        <v>1197</v>
      </c>
      <c r="D6378" s="561">
        <v>57783</v>
      </c>
      <c r="E6378" s="561">
        <v>17784.900000000001</v>
      </c>
      <c r="F6378" s="561">
        <v>39998.1</v>
      </c>
      <c r="G6378" s="561">
        <v>857</v>
      </c>
      <c r="H6378" s="561">
        <v>57868.01921788961</v>
      </c>
      <c r="I6378" s="561">
        <v>3</v>
      </c>
      <c r="J6378" s="561">
        <v>118.46943999999999</v>
      </c>
      <c r="K6378" s="561">
        <v>856</v>
      </c>
      <c r="L6378" s="561">
        <v>57782.999988861018</v>
      </c>
      <c r="M6378" s="561">
        <v>57782.999988861018</v>
      </c>
      <c r="N6378" s="561">
        <v>17784.900000000001</v>
      </c>
      <c r="O6378" s="561">
        <v>0</v>
      </c>
      <c r="AY6378" s="561">
        <v>13984.900011138978</v>
      </c>
    </row>
    <row r="6379" spans="1:51">
      <c r="C6379" s="561" t="s">
        <v>1199</v>
      </c>
      <c r="D6379" s="561">
        <v>19049.500000000004</v>
      </c>
      <c r="E6379" s="561">
        <v>5064.6000000000004</v>
      </c>
      <c r="F6379" s="561">
        <v>13984.900000000003</v>
      </c>
      <c r="G6379" s="561">
        <v>1293</v>
      </c>
      <c r="H6379" s="561">
        <v>19112.83400705814</v>
      </c>
      <c r="I6379" s="561">
        <v>1</v>
      </c>
      <c r="J6379" s="561">
        <v>5.5341100000000001</v>
      </c>
      <c r="K6379" s="561">
        <v>1293</v>
      </c>
      <c r="L6379" s="561">
        <v>19049.500011138978</v>
      </c>
      <c r="M6379" s="561">
        <v>19049.500011138978</v>
      </c>
      <c r="N6379" s="561">
        <v>5064.6000000000004</v>
      </c>
      <c r="O6379" s="561">
        <v>0</v>
      </c>
    </row>
    <row r="6380" spans="1:51">
      <c r="A6380" s="561">
        <v>7</v>
      </c>
      <c r="B6380" s="561" t="s">
        <v>1759</v>
      </c>
      <c r="C6380" s="561" t="s">
        <v>1206</v>
      </c>
      <c r="D6380" s="561">
        <v>64421</v>
      </c>
      <c r="E6380" s="561">
        <v>16326.3</v>
      </c>
      <c r="F6380" s="561">
        <v>48094.7</v>
      </c>
      <c r="G6380" s="561">
        <v>1381</v>
      </c>
      <c r="H6380" s="561">
        <v>65237.769534029365</v>
      </c>
      <c r="I6380" s="561">
        <v>66</v>
      </c>
      <c r="J6380" s="561">
        <v>801.08269999999993</v>
      </c>
      <c r="K6380" s="561">
        <v>1378</v>
      </c>
      <c r="L6380" s="561">
        <v>64421.000000000015</v>
      </c>
      <c r="M6380" s="561">
        <v>64421.000000000015</v>
      </c>
      <c r="N6380" s="561">
        <v>16326.3</v>
      </c>
      <c r="O6380" s="561">
        <v>0</v>
      </c>
      <c r="P6380" s="561">
        <v>48094.700000000012</v>
      </c>
    </row>
    <row r="6381" spans="1:51">
      <c r="C6381" s="561" t="s">
        <v>1197</v>
      </c>
      <c r="D6381" s="561">
        <v>57057</v>
      </c>
      <c r="E6381" s="561">
        <v>14341.8</v>
      </c>
      <c r="F6381" s="561">
        <v>42715.199999999997</v>
      </c>
      <c r="G6381" s="561">
        <v>876</v>
      </c>
      <c r="H6381" s="561">
        <v>57481.015294218261</v>
      </c>
      <c r="I6381" s="561">
        <v>14</v>
      </c>
      <c r="J6381" s="561">
        <v>523.94886999999994</v>
      </c>
      <c r="K6381" s="561">
        <v>876</v>
      </c>
      <c r="L6381" s="561">
        <v>57057.000000021028</v>
      </c>
      <c r="M6381" s="561">
        <v>57057.000000021028</v>
      </c>
      <c r="N6381" s="561">
        <v>14341.8</v>
      </c>
      <c r="O6381" s="561">
        <v>0</v>
      </c>
    </row>
    <row r="6382" spans="1:51">
      <c r="C6382" s="561" t="s">
        <v>1199</v>
      </c>
      <c r="D6382" s="561">
        <v>7364</v>
      </c>
      <c r="E6382" s="561">
        <v>1984.5</v>
      </c>
      <c r="F6382" s="561">
        <v>5379.5</v>
      </c>
      <c r="G6382" s="561">
        <v>505</v>
      </c>
      <c r="H6382" s="561">
        <v>7756.7542398111045</v>
      </c>
      <c r="I6382" s="561">
        <v>52</v>
      </c>
      <c r="J6382" s="561">
        <v>277.13382999999999</v>
      </c>
      <c r="K6382" s="561">
        <v>502</v>
      </c>
      <c r="L6382" s="561">
        <v>7363.9999999789861</v>
      </c>
      <c r="M6382" s="561">
        <v>7363.9999999789861</v>
      </c>
      <c r="N6382" s="561">
        <v>1984.5</v>
      </c>
      <c r="O6382" s="561">
        <v>0</v>
      </c>
      <c r="P6382" s="561">
        <v>5379.4999999789861</v>
      </c>
    </row>
    <row r="6383" spans="1:51">
      <c r="A6383" s="561">
        <v>8</v>
      </c>
      <c r="B6383" s="561" t="s">
        <v>1760</v>
      </c>
      <c r="C6383" s="561" t="s">
        <v>1206</v>
      </c>
      <c r="D6383" s="561">
        <v>1679417.5089999998</v>
      </c>
      <c r="E6383" s="561">
        <v>380736.3</v>
      </c>
      <c r="F6383" s="561">
        <v>1298681.209</v>
      </c>
      <c r="G6383" s="561">
        <v>19560</v>
      </c>
      <c r="H6383" s="561">
        <v>1730040.06152</v>
      </c>
      <c r="I6383" s="561">
        <v>1109</v>
      </c>
      <c r="J6383" s="561">
        <v>49087.461469999995</v>
      </c>
      <c r="K6383" s="561">
        <v>19515</v>
      </c>
      <c r="L6383" s="561">
        <v>1679417.5090075037</v>
      </c>
      <c r="M6383" s="561">
        <v>1679417.5090075037</v>
      </c>
      <c r="N6383" s="561">
        <v>380736.3</v>
      </c>
      <c r="O6383" s="561">
        <v>0</v>
      </c>
      <c r="P6383" s="561">
        <v>1298681.2090075039</v>
      </c>
    </row>
    <row r="6384" spans="1:51">
      <c r="C6384" s="561" t="s">
        <v>1197</v>
      </c>
      <c r="D6384" s="561">
        <v>1279931.18863</v>
      </c>
      <c r="E6384" s="561">
        <v>310364.7</v>
      </c>
      <c r="F6384" s="561">
        <v>969566.48862999992</v>
      </c>
      <c r="G6384" s="561">
        <v>17121</v>
      </c>
      <c r="H6384" s="561">
        <v>1292529.4186200001</v>
      </c>
      <c r="I6384" s="561">
        <v>1010</v>
      </c>
      <c r="J6384" s="561">
        <v>36924.403309999994</v>
      </c>
      <c r="K6384" s="561">
        <v>17158</v>
      </c>
      <c r="L6384" s="561">
        <v>1279931.18863</v>
      </c>
      <c r="M6384" s="561">
        <v>1279931.18863</v>
      </c>
      <c r="N6384" s="561">
        <v>310364.7</v>
      </c>
    </row>
    <row r="6385" spans="1:38">
      <c r="C6385" s="561" t="s">
        <v>1198</v>
      </c>
      <c r="D6385" s="561">
        <v>164518</v>
      </c>
      <c r="E6385" s="561">
        <v>17850</v>
      </c>
      <c r="F6385" s="561">
        <v>146668</v>
      </c>
      <c r="G6385" s="561">
        <v>419</v>
      </c>
      <c r="H6385" s="561">
        <v>177179.55664999998</v>
      </c>
      <c r="I6385" s="561">
        <v>41</v>
      </c>
      <c r="J6385" s="561">
        <v>9787.9374499999976</v>
      </c>
      <c r="K6385" s="561">
        <v>418</v>
      </c>
      <c r="L6385" s="561">
        <v>164518.0000075039</v>
      </c>
      <c r="M6385" s="561">
        <v>164518.0000075039</v>
      </c>
      <c r="N6385" s="561">
        <v>17850</v>
      </c>
      <c r="O6385" s="561">
        <v>0</v>
      </c>
    </row>
    <row r="6386" spans="1:38">
      <c r="C6386" s="561" t="s">
        <v>1199</v>
      </c>
      <c r="D6386" s="561">
        <v>220704.97436999998</v>
      </c>
      <c r="E6386" s="561">
        <v>52521.599999999999</v>
      </c>
      <c r="F6386" s="561">
        <v>168183.37437000001</v>
      </c>
      <c r="G6386" s="561">
        <v>2020</v>
      </c>
      <c r="H6386" s="561">
        <v>242538.65899</v>
      </c>
      <c r="I6386" s="561">
        <v>58</v>
      </c>
      <c r="J6386" s="561">
        <v>2375.1207100000001</v>
      </c>
      <c r="K6386" s="561">
        <v>1939</v>
      </c>
      <c r="L6386" s="561">
        <v>220704.97436999998</v>
      </c>
      <c r="M6386" s="561">
        <v>220704.97436999998</v>
      </c>
      <c r="N6386" s="561">
        <v>52521.599999999999</v>
      </c>
      <c r="O6386" s="561">
        <v>0</v>
      </c>
      <c r="AL6386" s="561">
        <v>168183.37436999998</v>
      </c>
    </row>
    <row r="6387" spans="1:38">
      <c r="C6387" s="561" t="s">
        <v>1202</v>
      </c>
      <c r="D6387" s="561">
        <v>14263.346</v>
      </c>
      <c r="F6387" s="561">
        <v>14263.346</v>
      </c>
      <c r="H6387" s="561">
        <v>17792.42726</v>
      </c>
      <c r="K6387" s="561">
        <v>0</v>
      </c>
      <c r="L6387" s="561">
        <v>14263.346000000001</v>
      </c>
      <c r="M6387" s="561">
        <v>14263.346000000001</v>
      </c>
      <c r="P6387" s="561">
        <v>14263.346000000001</v>
      </c>
    </row>
    <row r="6388" spans="1:38">
      <c r="A6388" s="561">
        <v>9</v>
      </c>
      <c r="B6388" s="561" t="s">
        <v>1761</v>
      </c>
      <c r="C6388" s="561" t="s">
        <v>1206</v>
      </c>
      <c r="D6388" s="561">
        <v>1388578.496</v>
      </c>
      <c r="E6388" s="561">
        <v>302475.30000000005</v>
      </c>
      <c r="F6388" s="561">
        <v>1086103.196</v>
      </c>
      <c r="G6388" s="561">
        <v>4812</v>
      </c>
      <c r="H6388" s="561">
        <v>1434909.42203</v>
      </c>
      <c r="I6388" s="561">
        <v>419</v>
      </c>
      <c r="J6388" s="561">
        <v>41430.853420177198</v>
      </c>
      <c r="K6388" s="561">
        <v>4793</v>
      </c>
      <c r="L6388" s="561">
        <v>1388578.4955023685</v>
      </c>
      <c r="M6388" s="561">
        <v>1388578.4955023685</v>
      </c>
      <c r="N6388" s="561">
        <v>302475.30000000005</v>
      </c>
      <c r="O6388" s="561">
        <v>0</v>
      </c>
      <c r="P6388" s="561">
        <v>1086103.1955023685</v>
      </c>
    </row>
    <row r="6389" spans="1:38">
      <c r="C6389" s="561" t="s">
        <v>1197</v>
      </c>
      <c r="D6389" s="561">
        <v>605166.62519000005</v>
      </c>
      <c r="E6389" s="561">
        <v>207800.5</v>
      </c>
      <c r="F6389" s="561">
        <v>397366.12518999999</v>
      </c>
      <c r="G6389" s="561">
        <v>4198</v>
      </c>
      <c r="H6389" s="561">
        <v>629883.06668000005</v>
      </c>
      <c r="I6389" s="561">
        <v>383</v>
      </c>
      <c r="J6389" s="561">
        <v>23288.160489999998</v>
      </c>
      <c r="K6389" s="561">
        <v>4183</v>
      </c>
      <c r="L6389" s="561">
        <v>605166.63031000004</v>
      </c>
      <c r="M6389" s="561">
        <v>605166.63031000004</v>
      </c>
      <c r="N6389" s="561">
        <v>207800.5</v>
      </c>
    </row>
    <row r="6390" spans="1:38">
      <c r="C6390" s="561" t="s">
        <v>1198</v>
      </c>
      <c r="D6390" s="561">
        <v>776597</v>
      </c>
      <c r="E6390" s="561">
        <v>94674.800000000017</v>
      </c>
      <c r="F6390" s="561">
        <v>681922.2</v>
      </c>
      <c r="G6390" s="561">
        <v>614</v>
      </c>
      <c r="H6390" s="561">
        <v>796957.63361000014</v>
      </c>
      <c r="I6390" s="561">
        <v>36</v>
      </c>
      <c r="J6390" s="561">
        <v>18142.6929301772</v>
      </c>
      <c r="K6390" s="561">
        <v>610</v>
      </c>
      <c r="L6390" s="561">
        <v>776596.99438236852</v>
      </c>
      <c r="M6390" s="561">
        <v>776596.99438236852</v>
      </c>
      <c r="N6390" s="561">
        <v>94674.800000000017</v>
      </c>
      <c r="O6390" s="561">
        <v>0</v>
      </c>
    </row>
    <row r="6391" spans="1:38">
      <c r="C6391" s="561" t="s">
        <v>1202</v>
      </c>
      <c r="D6391" s="561">
        <v>6814.8708100000003</v>
      </c>
      <c r="F6391" s="561">
        <v>6814.8708100000003</v>
      </c>
      <c r="H6391" s="561">
        <v>8068.72174</v>
      </c>
      <c r="K6391" s="561">
        <v>0</v>
      </c>
      <c r="L6391" s="561">
        <v>6814.8708100000003</v>
      </c>
      <c r="M6391" s="561">
        <v>6814.8708100000003</v>
      </c>
      <c r="P6391" s="561">
        <v>6814.8708100000003</v>
      </c>
    </row>
    <row r="6392" spans="1:38">
      <c r="A6392" s="561">
        <v>10</v>
      </c>
      <c r="B6392" s="561" t="s">
        <v>1762</v>
      </c>
      <c r="C6392" s="561" t="s">
        <v>1206</v>
      </c>
      <c r="D6392" s="561">
        <v>697760.01399999997</v>
      </c>
      <c r="E6392" s="561">
        <v>151940.09999999998</v>
      </c>
      <c r="F6392" s="561">
        <v>545819.91399999999</v>
      </c>
      <c r="G6392" s="561">
        <v>10044</v>
      </c>
      <c r="H6392" s="561">
        <v>714999.96236513578</v>
      </c>
      <c r="I6392" s="561">
        <v>365</v>
      </c>
      <c r="J6392" s="561">
        <v>12308.23638</v>
      </c>
      <c r="K6392" s="561">
        <v>10036</v>
      </c>
      <c r="L6392" s="561">
        <v>697760.01399974315</v>
      </c>
      <c r="M6392" s="561">
        <v>697760.01399974315</v>
      </c>
      <c r="N6392" s="561">
        <v>151940.09999999998</v>
      </c>
      <c r="O6392" s="561">
        <v>0</v>
      </c>
      <c r="P6392" s="561">
        <v>545819.91399974318</v>
      </c>
    </row>
    <row r="6393" spans="1:38">
      <c r="C6393" s="561" t="s">
        <v>1197</v>
      </c>
      <c r="D6393" s="561">
        <v>657489.00009999995</v>
      </c>
      <c r="E6393" s="561">
        <v>149175.29999999999</v>
      </c>
      <c r="F6393" s="561">
        <v>508313.70009999996</v>
      </c>
      <c r="G6393" s="561">
        <v>9133</v>
      </c>
      <c r="H6393" s="561">
        <v>666297.99940002407</v>
      </c>
      <c r="I6393" s="561">
        <v>336</v>
      </c>
      <c r="J6393" s="561">
        <v>10377.663130000001</v>
      </c>
      <c r="K6393" s="561">
        <v>9126</v>
      </c>
      <c r="L6393" s="561">
        <v>657489.00099173677</v>
      </c>
      <c r="M6393" s="561">
        <v>657489.00099173677</v>
      </c>
      <c r="N6393" s="561">
        <v>149175.29999999999</v>
      </c>
    </row>
    <row r="6394" spans="1:38">
      <c r="C6394" s="561" t="s">
        <v>1198</v>
      </c>
      <c r="D6394" s="561">
        <v>22753</v>
      </c>
      <c r="E6394" s="561">
        <v>1200</v>
      </c>
      <c r="F6394" s="561">
        <v>21553</v>
      </c>
      <c r="G6394" s="561">
        <v>73</v>
      </c>
      <c r="H6394" s="561">
        <v>24407.103704152338</v>
      </c>
      <c r="I6394" s="561">
        <v>6</v>
      </c>
      <c r="J6394" s="561">
        <v>1277.70983</v>
      </c>
      <c r="K6394" s="561">
        <v>73</v>
      </c>
      <c r="L6394" s="561">
        <v>22753.000000948119</v>
      </c>
      <c r="M6394" s="561">
        <v>22753.000000948119</v>
      </c>
      <c r="N6394" s="561">
        <v>1200</v>
      </c>
      <c r="O6394" s="561">
        <v>0</v>
      </c>
    </row>
    <row r="6395" spans="1:38">
      <c r="C6395" s="561" t="s">
        <v>1199</v>
      </c>
      <c r="D6395" s="561">
        <v>11657</v>
      </c>
      <c r="E6395" s="561">
        <v>1564.8</v>
      </c>
      <c r="F6395" s="561">
        <v>10092.200000000001</v>
      </c>
      <c r="G6395" s="561">
        <v>838</v>
      </c>
      <c r="H6395" s="561">
        <v>12798.861540959377</v>
      </c>
      <c r="I6395" s="561">
        <v>23</v>
      </c>
      <c r="J6395" s="561">
        <v>652.86342000000002</v>
      </c>
      <c r="K6395" s="561">
        <v>837</v>
      </c>
      <c r="L6395" s="561">
        <v>11657.00000705823</v>
      </c>
      <c r="M6395" s="561">
        <v>11657.00000705823</v>
      </c>
      <c r="N6395" s="561">
        <v>1564.8</v>
      </c>
      <c r="O6395" s="561">
        <v>0</v>
      </c>
      <c r="AL6395" s="561">
        <v>10092.200007058231</v>
      </c>
    </row>
    <row r="6396" spans="1:38">
      <c r="C6396" s="561" t="s">
        <v>1202</v>
      </c>
      <c r="D6396" s="561">
        <v>5861.0138999999999</v>
      </c>
      <c r="F6396" s="561">
        <v>5861.0138999999999</v>
      </c>
      <c r="H6396" s="561">
        <v>11495.997719999999</v>
      </c>
      <c r="K6396" s="561">
        <v>0</v>
      </c>
      <c r="L6396" s="561">
        <v>5861.0129999999999</v>
      </c>
      <c r="M6396" s="561">
        <v>5861.0129999999999</v>
      </c>
      <c r="P6396" s="561">
        <v>5861.0129999999999</v>
      </c>
    </row>
    <row r="6397" spans="1:38">
      <c r="A6397" s="561">
        <v>11</v>
      </c>
      <c r="B6397" s="561" t="s">
        <v>1763</v>
      </c>
      <c r="C6397" s="561" t="s">
        <v>1206</v>
      </c>
      <c r="D6397" s="561">
        <v>911234.049</v>
      </c>
      <c r="E6397" s="561">
        <v>244396.79999999999</v>
      </c>
      <c r="F6397" s="561">
        <v>666837.25005000003</v>
      </c>
      <c r="G6397" s="561">
        <v>13340</v>
      </c>
      <c r="H6397" s="561">
        <v>952914.49391507718</v>
      </c>
      <c r="I6397" s="561">
        <v>1138</v>
      </c>
      <c r="J6397" s="561">
        <v>37780.054680943234</v>
      </c>
      <c r="K6397" s="561">
        <v>13257</v>
      </c>
      <c r="L6397" s="561">
        <v>911234.04899999953</v>
      </c>
      <c r="M6397" s="561">
        <v>911234.04899999953</v>
      </c>
      <c r="N6397" s="561">
        <v>244396.79999999999</v>
      </c>
      <c r="O6397" s="561">
        <v>0</v>
      </c>
      <c r="P6397" s="561">
        <v>666837.24899999949</v>
      </c>
    </row>
    <row r="6398" spans="1:38">
      <c r="C6398" s="561" t="s">
        <v>1197</v>
      </c>
      <c r="D6398" s="561">
        <v>792350.75466999994</v>
      </c>
      <c r="E6398" s="561">
        <v>218671.8</v>
      </c>
      <c r="F6398" s="561">
        <v>573678.95571999997</v>
      </c>
      <c r="G6398" s="561">
        <v>12036</v>
      </c>
      <c r="H6398" s="561">
        <v>818230.55135814799</v>
      </c>
      <c r="I6398" s="561">
        <v>1100</v>
      </c>
      <c r="J6398" s="561">
        <v>34722.566980943229</v>
      </c>
      <c r="K6398" s="561">
        <v>11973</v>
      </c>
      <c r="L6398" s="561">
        <v>792350.75471418072</v>
      </c>
      <c r="M6398" s="561">
        <v>792350.75471418072</v>
      </c>
      <c r="N6398" s="561">
        <v>218671.8</v>
      </c>
    </row>
    <row r="6399" spans="1:38">
      <c r="C6399" s="561" t="s">
        <v>1198</v>
      </c>
      <c r="D6399" s="561">
        <v>44410</v>
      </c>
      <c r="E6399" s="561">
        <v>6600</v>
      </c>
      <c r="F6399" s="561">
        <v>37810</v>
      </c>
      <c r="G6399" s="561">
        <v>144</v>
      </c>
      <c r="H6399" s="561">
        <v>47522.432511608633</v>
      </c>
      <c r="I6399" s="561">
        <v>5</v>
      </c>
      <c r="J6399" s="561">
        <v>1223.9681099999998</v>
      </c>
      <c r="K6399" s="561">
        <v>144</v>
      </c>
      <c r="L6399" s="561">
        <v>44410.000000598833</v>
      </c>
      <c r="M6399" s="561">
        <v>44410.000000598833</v>
      </c>
      <c r="N6399" s="561">
        <v>6600</v>
      </c>
      <c r="O6399" s="561">
        <v>0</v>
      </c>
    </row>
    <row r="6400" spans="1:38">
      <c r="C6400" s="561" t="s">
        <v>1199</v>
      </c>
      <c r="D6400" s="561">
        <v>65802.934720000005</v>
      </c>
      <c r="E6400" s="561">
        <v>19125</v>
      </c>
      <c r="F6400" s="561">
        <v>46677.934720000005</v>
      </c>
      <c r="G6400" s="561">
        <v>1160</v>
      </c>
      <c r="H6400" s="561">
        <v>75795.414935320558</v>
      </c>
      <c r="I6400" s="561">
        <v>33</v>
      </c>
      <c r="J6400" s="561">
        <v>1833.5195900000001</v>
      </c>
      <c r="K6400" s="561">
        <v>1140</v>
      </c>
      <c r="L6400" s="561">
        <v>65802.93471522005</v>
      </c>
      <c r="M6400" s="561">
        <v>65802.93471522005</v>
      </c>
      <c r="N6400" s="561">
        <v>19125</v>
      </c>
      <c r="O6400" s="561">
        <v>0</v>
      </c>
      <c r="AL6400" s="561">
        <v>46677.93471522005</v>
      </c>
    </row>
    <row r="6401" spans="1:54">
      <c r="C6401" s="561" t="s">
        <v>1202</v>
      </c>
      <c r="D6401" s="561">
        <v>8670.3596099999995</v>
      </c>
      <c r="F6401" s="561">
        <v>8670.3596099999995</v>
      </c>
      <c r="H6401" s="561">
        <v>11366.09511</v>
      </c>
      <c r="K6401" s="561">
        <v>0</v>
      </c>
      <c r="L6401" s="561">
        <v>8670.3595700000005</v>
      </c>
      <c r="M6401" s="561">
        <v>8670.3595700000005</v>
      </c>
      <c r="P6401" s="561">
        <v>8670.3595700000005</v>
      </c>
    </row>
    <row r="6402" spans="1:54">
      <c r="A6402" s="561">
        <v>12</v>
      </c>
      <c r="B6402" s="561" t="s">
        <v>1764</v>
      </c>
      <c r="C6402" s="561" t="s">
        <v>1206</v>
      </c>
      <c r="D6402" s="561">
        <v>369105.5</v>
      </c>
      <c r="E6402" s="561">
        <v>93481.8</v>
      </c>
      <c r="F6402" s="561">
        <v>275623.7</v>
      </c>
      <c r="G6402" s="561">
        <v>6373</v>
      </c>
      <c r="H6402" s="561">
        <v>379491.90876483632</v>
      </c>
      <c r="I6402" s="561">
        <v>324</v>
      </c>
      <c r="J6402" s="561">
        <v>9571.2825400000002</v>
      </c>
      <c r="K6402" s="561">
        <v>6356</v>
      </c>
      <c r="L6402" s="561">
        <v>369105.50000117737</v>
      </c>
      <c r="M6402" s="561">
        <v>369105.50000117737</v>
      </c>
      <c r="N6402" s="561">
        <v>93481.8</v>
      </c>
      <c r="O6402" s="561">
        <v>0</v>
      </c>
      <c r="P6402" s="561">
        <v>275623.70000117738</v>
      </c>
    </row>
    <row r="6403" spans="1:54">
      <c r="C6403" s="561" t="s">
        <v>1197</v>
      </c>
      <c r="D6403" s="561">
        <v>361805</v>
      </c>
      <c r="E6403" s="561">
        <v>91756.800000000003</v>
      </c>
      <c r="F6403" s="561">
        <v>270048.2</v>
      </c>
      <c r="G6403" s="561">
        <v>5848</v>
      </c>
      <c r="H6403" s="561">
        <v>372012.18066043925</v>
      </c>
      <c r="I6403" s="561">
        <v>290</v>
      </c>
      <c r="J6403" s="561">
        <v>9294.2874699999993</v>
      </c>
      <c r="K6403" s="561">
        <v>5833</v>
      </c>
      <c r="L6403" s="561">
        <v>361804.99999915727</v>
      </c>
      <c r="M6403" s="561">
        <v>361804.99999915727</v>
      </c>
      <c r="N6403" s="561">
        <v>91756.800000000003</v>
      </c>
    </row>
    <row r="6404" spans="1:54">
      <c r="C6404" s="561" t="s">
        <v>1199</v>
      </c>
      <c r="D6404" s="561">
        <v>7300.5</v>
      </c>
      <c r="E6404" s="561">
        <v>1725</v>
      </c>
      <c r="F6404" s="561">
        <v>5575.5</v>
      </c>
      <c r="G6404" s="561">
        <v>525</v>
      </c>
      <c r="H6404" s="561">
        <v>7479.7281043970679</v>
      </c>
      <c r="I6404" s="561">
        <v>34</v>
      </c>
      <c r="J6404" s="561">
        <v>276.99507</v>
      </c>
      <c r="K6404" s="561">
        <v>523</v>
      </c>
      <c r="L6404" s="561">
        <v>7300.500002020096</v>
      </c>
      <c r="M6404" s="561">
        <v>7300.500002020096</v>
      </c>
      <c r="N6404" s="561">
        <v>1725</v>
      </c>
      <c r="O6404" s="561">
        <v>0</v>
      </c>
      <c r="BB6404" s="561">
        <v>5575.500002020096</v>
      </c>
    </row>
    <row r="6405" spans="1:54">
      <c r="A6405" s="561">
        <v>13</v>
      </c>
      <c r="B6405" s="561" t="s">
        <v>1765</v>
      </c>
      <c r="C6405" s="561" t="s">
        <v>1206</v>
      </c>
      <c r="D6405" s="561">
        <v>35097.5</v>
      </c>
      <c r="E6405" s="561">
        <v>10079.4</v>
      </c>
      <c r="F6405" s="561">
        <v>25018.1</v>
      </c>
      <c r="G6405" s="561">
        <v>910</v>
      </c>
      <c r="H6405" s="561">
        <v>35605.372034495973</v>
      </c>
      <c r="I6405" s="561">
        <v>9</v>
      </c>
      <c r="J6405" s="561">
        <v>198.83452999999997</v>
      </c>
      <c r="K6405" s="561">
        <v>909</v>
      </c>
      <c r="L6405" s="561">
        <v>35097.5</v>
      </c>
      <c r="M6405" s="561">
        <v>35097.5</v>
      </c>
      <c r="N6405" s="561">
        <v>10079.4</v>
      </c>
      <c r="O6405" s="561">
        <v>0</v>
      </c>
      <c r="P6405" s="561">
        <v>25018.1</v>
      </c>
    </row>
    <row r="6406" spans="1:54">
      <c r="C6406" s="561" t="s">
        <v>1197</v>
      </c>
      <c r="D6406" s="561">
        <v>27135.561490000004</v>
      </c>
      <c r="E6406" s="561">
        <v>8382.2999999999993</v>
      </c>
      <c r="F6406" s="561">
        <v>18753.261489999997</v>
      </c>
      <c r="G6406" s="561">
        <v>414</v>
      </c>
      <c r="H6406" s="561">
        <v>27617.511646745468</v>
      </c>
      <c r="I6406" s="561">
        <v>5</v>
      </c>
      <c r="J6406" s="561">
        <v>182.37768999999997</v>
      </c>
      <c r="K6406" s="561">
        <v>413</v>
      </c>
      <c r="L6406" s="561">
        <v>27135.561490329419</v>
      </c>
      <c r="M6406" s="561">
        <v>27135.561490329419</v>
      </c>
      <c r="N6406" s="561">
        <v>8382.2999999999993</v>
      </c>
      <c r="O6406" s="561">
        <v>0</v>
      </c>
    </row>
    <row r="6407" spans="1:54">
      <c r="C6407" s="561" t="s">
        <v>1199</v>
      </c>
      <c r="D6407" s="561">
        <v>7961.93851</v>
      </c>
      <c r="E6407" s="561">
        <v>1697.1</v>
      </c>
      <c r="F6407" s="561">
        <v>6264.8385099999996</v>
      </c>
      <c r="G6407" s="561">
        <v>496</v>
      </c>
      <c r="H6407" s="561">
        <v>7987.8603877505084</v>
      </c>
      <c r="I6407" s="561">
        <v>4</v>
      </c>
      <c r="J6407" s="561">
        <v>16.45684</v>
      </c>
      <c r="K6407" s="561">
        <v>496</v>
      </c>
      <c r="L6407" s="561">
        <v>7961.9385096705792</v>
      </c>
      <c r="M6407" s="561">
        <v>7961.9385096705792</v>
      </c>
      <c r="N6407" s="561">
        <v>1697.1</v>
      </c>
      <c r="O6407" s="561">
        <v>0</v>
      </c>
      <c r="AY6407" s="561">
        <v>6264.8385096705788</v>
      </c>
    </row>
    <row r="6408" spans="1:54">
      <c r="A6408" s="561">
        <v>14</v>
      </c>
      <c r="B6408" s="561" t="s">
        <v>1766</v>
      </c>
      <c r="C6408" s="561" t="s">
        <v>1206</v>
      </c>
      <c r="D6408" s="561">
        <v>473817.34100000001</v>
      </c>
      <c r="E6408" s="561">
        <v>123430.5</v>
      </c>
      <c r="F6408" s="561">
        <v>350386.84100000001</v>
      </c>
      <c r="G6408" s="561">
        <v>7619</v>
      </c>
      <c r="H6408" s="561">
        <v>492419.71857537323</v>
      </c>
      <c r="I6408" s="561">
        <v>453</v>
      </c>
      <c r="J6408" s="561">
        <v>15894.197948044608</v>
      </c>
      <c r="K6408" s="561">
        <v>7558</v>
      </c>
      <c r="L6408" s="561">
        <v>473817.23462</v>
      </c>
      <c r="M6408" s="561">
        <v>473817.23462</v>
      </c>
      <c r="N6408" s="561">
        <v>123430.5</v>
      </c>
      <c r="O6408" s="561">
        <v>0</v>
      </c>
      <c r="P6408" s="561">
        <v>350386.73462000006</v>
      </c>
    </row>
    <row r="6409" spans="1:54">
      <c r="C6409" s="561" t="s">
        <v>1197</v>
      </c>
      <c r="D6409" s="561">
        <v>444818.49420000002</v>
      </c>
      <c r="E6409" s="561">
        <v>120103.8</v>
      </c>
      <c r="F6409" s="561">
        <v>324714.69420000003</v>
      </c>
      <c r="G6409" s="561">
        <v>6999</v>
      </c>
      <c r="H6409" s="561">
        <v>460621.35895177699</v>
      </c>
      <c r="I6409" s="561">
        <v>447</v>
      </c>
      <c r="J6409" s="561">
        <v>15614.265478044608</v>
      </c>
      <c r="K6409" s="561">
        <v>6940</v>
      </c>
      <c r="L6409" s="561">
        <v>444818.38762537367</v>
      </c>
      <c r="M6409" s="561">
        <v>444818.38762537367</v>
      </c>
      <c r="N6409" s="561">
        <v>120103.8</v>
      </c>
      <c r="O6409" s="561">
        <v>0</v>
      </c>
    </row>
    <row r="6410" spans="1:54">
      <c r="C6410" s="561" t="s">
        <v>1198</v>
      </c>
      <c r="D6410" s="561">
        <v>10842</v>
      </c>
      <c r="E6410" s="561">
        <v>1814.7</v>
      </c>
      <c r="F6410" s="561">
        <v>9027.2999999999993</v>
      </c>
      <c r="G6410" s="561">
        <v>46</v>
      </c>
      <c r="H6410" s="561">
        <v>11739.1269132579</v>
      </c>
      <c r="I6410" s="561">
        <v>1</v>
      </c>
      <c r="J6410" s="561">
        <v>212.70723000000001</v>
      </c>
      <c r="K6410" s="561">
        <v>45</v>
      </c>
      <c r="L6410" s="561">
        <v>10842.000005072294</v>
      </c>
      <c r="M6410" s="561">
        <v>10842.000005072294</v>
      </c>
      <c r="N6410" s="561">
        <v>1814.7</v>
      </c>
      <c r="O6410" s="561">
        <v>0</v>
      </c>
    </row>
    <row r="6411" spans="1:54">
      <c r="C6411" s="561" t="s">
        <v>1199</v>
      </c>
      <c r="D6411" s="561">
        <v>8383</v>
      </c>
      <c r="E6411" s="561">
        <v>1512</v>
      </c>
      <c r="F6411" s="561">
        <v>6871</v>
      </c>
      <c r="G6411" s="561">
        <v>574</v>
      </c>
      <c r="H6411" s="561">
        <v>9170.1142903383716</v>
      </c>
      <c r="I6411" s="561">
        <v>5</v>
      </c>
      <c r="J6411" s="561">
        <v>67.225239999999999</v>
      </c>
      <c r="K6411" s="561">
        <v>573</v>
      </c>
      <c r="L6411" s="561">
        <v>8382.9999895540259</v>
      </c>
      <c r="M6411" s="561">
        <v>8382.9999895540259</v>
      </c>
      <c r="N6411" s="561">
        <v>1512</v>
      </c>
      <c r="O6411" s="561">
        <v>0</v>
      </c>
      <c r="AL6411" s="561">
        <v>6870.9999895540259</v>
      </c>
    </row>
    <row r="6412" spans="1:54">
      <c r="C6412" s="561" t="s">
        <v>1202</v>
      </c>
      <c r="D6412" s="561">
        <v>9773.8467999999993</v>
      </c>
      <c r="F6412" s="561">
        <v>9773.8467999999993</v>
      </c>
      <c r="H6412" s="561">
        <v>10889.118420000001</v>
      </c>
      <c r="K6412" s="561">
        <v>0</v>
      </c>
      <c r="L6412" s="561">
        <v>9773.8469999999998</v>
      </c>
      <c r="M6412" s="561">
        <v>9773.8469999999998</v>
      </c>
      <c r="P6412" s="561">
        <v>9773.8469999999998</v>
      </c>
    </row>
    <row r="6413" spans="1:54">
      <c r="A6413" s="561">
        <v>15</v>
      </c>
      <c r="B6413" s="561" t="s">
        <v>1767</v>
      </c>
      <c r="C6413" s="561" t="s">
        <v>1206</v>
      </c>
      <c r="D6413" s="561">
        <v>87344</v>
      </c>
      <c r="E6413" s="561">
        <v>23353.200000000001</v>
      </c>
      <c r="F6413" s="561">
        <v>63990.8</v>
      </c>
      <c r="G6413" s="561">
        <v>2275</v>
      </c>
      <c r="H6413" s="561">
        <v>91169.513473782601</v>
      </c>
      <c r="I6413" s="561">
        <v>121</v>
      </c>
      <c r="J6413" s="561">
        <v>3502.3768175124101</v>
      </c>
      <c r="K6413" s="561">
        <v>2270</v>
      </c>
      <c r="L6413" s="561">
        <v>87344</v>
      </c>
      <c r="M6413" s="561">
        <v>87344</v>
      </c>
      <c r="N6413" s="561">
        <v>23353.200000000001</v>
      </c>
      <c r="O6413" s="561">
        <v>0</v>
      </c>
      <c r="P6413" s="561">
        <v>63990.799999999996</v>
      </c>
    </row>
    <row r="6414" spans="1:54">
      <c r="C6414" s="561" t="s">
        <v>1197</v>
      </c>
      <c r="D6414" s="561">
        <v>67393</v>
      </c>
      <c r="E6414" s="561">
        <v>18942</v>
      </c>
      <c r="F6414" s="561">
        <v>48451</v>
      </c>
      <c r="G6414" s="561">
        <v>1085</v>
      </c>
      <c r="H6414" s="561">
        <v>70648.210401426491</v>
      </c>
      <c r="I6414" s="561">
        <v>109</v>
      </c>
      <c r="J6414" s="561">
        <v>3334.57243751241</v>
      </c>
      <c r="K6414" s="561">
        <v>1080</v>
      </c>
      <c r="L6414" s="561">
        <v>67393</v>
      </c>
      <c r="M6414" s="561">
        <v>67393</v>
      </c>
      <c r="N6414" s="561">
        <v>18942</v>
      </c>
      <c r="O6414" s="561">
        <v>0</v>
      </c>
    </row>
    <row r="6415" spans="1:54">
      <c r="C6415" s="561" t="s">
        <v>1199</v>
      </c>
      <c r="D6415" s="561">
        <v>19951</v>
      </c>
      <c r="E6415" s="561">
        <v>4411.2</v>
      </c>
      <c r="F6415" s="561">
        <v>15539.8</v>
      </c>
      <c r="G6415" s="561">
        <v>1190</v>
      </c>
      <c r="H6415" s="561">
        <v>20521.303072356106</v>
      </c>
      <c r="I6415" s="561">
        <v>12</v>
      </c>
      <c r="J6415" s="561">
        <v>167.80438000000001</v>
      </c>
      <c r="K6415" s="561">
        <v>1190</v>
      </c>
      <c r="L6415" s="561">
        <v>19950.999999999996</v>
      </c>
      <c r="M6415" s="561">
        <v>19950.999999999996</v>
      </c>
      <c r="N6415" s="561">
        <v>4411.2</v>
      </c>
      <c r="O6415" s="561">
        <v>0</v>
      </c>
      <c r="AL6415" s="561">
        <v>15539.799999999996</v>
      </c>
    </row>
    <row r="6416" spans="1:54">
      <c r="A6416" s="561">
        <v>16</v>
      </c>
      <c r="B6416" s="561" t="s">
        <v>1768</v>
      </c>
      <c r="C6416" s="561" t="s">
        <v>1206</v>
      </c>
      <c r="D6416" s="561">
        <v>140228</v>
      </c>
      <c r="E6416" s="561">
        <v>39514.399999999994</v>
      </c>
      <c r="F6416" s="561">
        <v>100713.59999999999</v>
      </c>
      <c r="G6416" s="561">
        <v>4019</v>
      </c>
      <c r="H6416" s="561">
        <v>148367.0389201029</v>
      </c>
      <c r="I6416" s="561">
        <v>261</v>
      </c>
      <c r="J6416" s="561">
        <v>7784.2326199999998</v>
      </c>
      <c r="K6416" s="561">
        <v>3997</v>
      </c>
      <c r="L6416" s="561">
        <v>140228</v>
      </c>
      <c r="M6416" s="561">
        <v>140228</v>
      </c>
      <c r="N6416" s="561">
        <v>39514.399999999994</v>
      </c>
      <c r="O6416" s="561">
        <v>0</v>
      </c>
      <c r="P6416" s="561">
        <v>100713.59999999999</v>
      </c>
    </row>
    <row r="6417" spans="1:38">
      <c r="C6417" s="561" t="s">
        <v>1197</v>
      </c>
      <c r="D6417" s="561">
        <v>107787</v>
      </c>
      <c r="E6417" s="561">
        <v>31244.1</v>
      </c>
      <c r="F6417" s="561">
        <v>76542.899999999994</v>
      </c>
      <c r="G6417" s="561">
        <v>1829</v>
      </c>
      <c r="H6417" s="561">
        <v>115118.13460942166</v>
      </c>
      <c r="I6417" s="561">
        <v>240</v>
      </c>
      <c r="J6417" s="561">
        <v>7510.3409099999999</v>
      </c>
      <c r="K6417" s="561">
        <v>1824</v>
      </c>
      <c r="L6417" s="561">
        <v>107787</v>
      </c>
      <c r="M6417" s="561">
        <v>107787</v>
      </c>
      <c r="N6417" s="561">
        <v>31244.1</v>
      </c>
      <c r="O6417" s="561">
        <v>0</v>
      </c>
    </row>
    <row r="6418" spans="1:38">
      <c r="C6418" s="561" t="s">
        <v>1199</v>
      </c>
      <c r="D6418" s="561">
        <v>32441</v>
      </c>
      <c r="E6418" s="561">
        <v>8270.2999999999993</v>
      </c>
      <c r="F6418" s="561">
        <v>24170.7</v>
      </c>
      <c r="G6418" s="561">
        <v>2190</v>
      </c>
      <c r="H6418" s="561">
        <v>33248.904310681239</v>
      </c>
      <c r="I6418" s="561">
        <v>21</v>
      </c>
      <c r="J6418" s="561">
        <v>273.89171000000005</v>
      </c>
      <c r="K6418" s="561">
        <v>2173</v>
      </c>
      <c r="L6418" s="561">
        <v>32441</v>
      </c>
      <c r="M6418" s="561">
        <v>32441</v>
      </c>
      <c r="N6418" s="561">
        <v>8270.2999999999993</v>
      </c>
      <c r="O6418" s="561">
        <v>0</v>
      </c>
      <c r="AL6418" s="561">
        <v>24170.7</v>
      </c>
    </row>
    <row r="6419" spans="1:38">
      <c r="A6419" s="561">
        <v>17</v>
      </c>
      <c r="B6419" s="561" t="s">
        <v>1769</v>
      </c>
      <c r="C6419" s="561" t="s">
        <v>1206</v>
      </c>
      <c r="D6419" s="561">
        <v>110114</v>
      </c>
      <c r="E6419" s="561">
        <v>33034.199999999997</v>
      </c>
      <c r="F6419" s="561">
        <v>77079.8</v>
      </c>
      <c r="G6419" s="561">
        <v>2897</v>
      </c>
      <c r="H6419" s="561">
        <v>113974.92255098168</v>
      </c>
      <c r="I6419" s="561">
        <v>221</v>
      </c>
      <c r="J6419" s="561">
        <v>7195.3957235901471</v>
      </c>
      <c r="K6419" s="561">
        <v>2879</v>
      </c>
      <c r="L6419" s="561">
        <v>110114.00000000001</v>
      </c>
      <c r="M6419" s="561">
        <v>110114.00000000001</v>
      </c>
      <c r="N6419" s="561">
        <v>33034.199999999997</v>
      </c>
      <c r="O6419" s="561">
        <v>0</v>
      </c>
      <c r="P6419" s="561">
        <v>77079.800000000017</v>
      </c>
    </row>
    <row r="6420" spans="1:38">
      <c r="C6420" s="561" t="s">
        <v>1197</v>
      </c>
      <c r="D6420" s="561">
        <v>87081</v>
      </c>
      <c r="E6420" s="561">
        <v>26124.3</v>
      </c>
      <c r="F6420" s="561">
        <v>60956.7</v>
      </c>
      <c r="G6420" s="561">
        <v>1444</v>
      </c>
      <c r="H6420" s="561">
        <v>91456.10666449774</v>
      </c>
      <c r="I6420" s="561">
        <v>213</v>
      </c>
      <c r="J6420" s="561">
        <v>7149.0732835901472</v>
      </c>
      <c r="K6420" s="561">
        <v>1427</v>
      </c>
      <c r="L6420" s="561">
        <v>87080.999140000014</v>
      </c>
      <c r="M6420" s="561">
        <v>87080.999140000014</v>
      </c>
      <c r="N6420" s="561">
        <v>26124.3</v>
      </c>
      <c r="O6420" s="561">
        <v>0</v>
      </c>
    </row>
    <row r="6421" spans="1:38">
      <c r="C6421" s="561" t="s">
        <v>1199</v>
      </c>
      <c r="D6421" s="561">
        <v>23033</v>
      </c>
      <c r="E6421" s="561">
        <v>6909.9</v>
      </c>
      <c r="F6421" s="561">
        <v>16123.1</v>
      </c>
      <c r="G6421" s="561">
        <v>1453</v>
      </c>
      <c r="H6421" s="561">
        <v>22518.815886483935</v>
      </c>
      <c r="I6421" s="561">
        <v>8</v>
      </c>
      <c r="J6421" s="561">
        <v>46.322439999999993</v>
      </c>
      <c r="K6421" s="561">
        <v>1452</v>
      </c>
      <c r="L6421" s="561">
        <v>23033.000860000004</v>
      </c>
      <c r="M6421" s="561">
        <v>23033.000860000004</v>
      </c>
      <c r="N6421" s="561">
        <v>6909.9</v>
      </c>
      <c r="O6421" s="561">
        <v>0</v>
      </c>
      <c r="AL6421" s="561">
        <v>16123.100860000004</v>
      </c>
    </row>
    <row r="6422" spans="1:38">
      <c r="A6422" s="561">
        <v>18</v>
      </c>
      <c r="B6422" s="561" t="s">
        <v>1770</v>
      </c>
      <c r="C6422" s="561" t="s">
        <v>1206</v>
      </c>
      <c r="D6422" s="561">
        <v>126147</v>
      </c>
      <c r="E6422" s="561">
        <v>34650.1</v>
      </c>
      <c r="F6422" s="561">
        <v>91496.9</v>
      </c>
      <c r="G6422" s="561">
        <v>2950</v>
      </c>
      <c r="H6422" s="561">
        <v>134352.06556508655</v>
      </c>
      <c r="I6422" s="561">
        <v>270</v>
      </c>
      <c r="J6422" s="561">
        <v>7551.1582739999994</v>
      </c>
      <c r="K6422" s="561">
        <v>2925</v>
      </c>
      <c r="L6422" s="561">
        <v>126147</v>
      </c>
      <c r="M6422" s="561">
        <v>126147</v>
      </c>
      <c r="N6422" s="561">
        <v>34650.1</v>
      </c>
      <c r="O6422" s="561">
        <v>0</v>
      </c>
      <c r="P6422" s="561">
        <v>91496.9</v>
      </c>
    </row>
    <row r="6423" spans="1:38">
      <c r="C6423" s="561" t="s">
        <v>1197</v>
      </c>
      <c r="D6423" s="561">
        <v>105610</v>
      </c>
      <c r="E6423" s="561">
        <v>29014.799999999999</v>
      </c>
      <c r="F6423" s="561">
        <v>76595.199999999997</v>
      </c>
      <c r="G6423" s="561">
        <v>1735</v>
      </c>
      <c r="H6423" s="561">
        <v>113733.8461536978</v>
      </c>
      <c r="I6423" s="561">
        <v>206</v>
      </c>
      <c r="J6423" s="561">
        <v>7092.4043739999997</v>
      </c>
      <c r="K6423" s="561">
        <v>1715</v>
      </c>
      <c r="L6423" s="561">
        <v>105610</v>
      </c>
      <c r="M6423" s="561">
        <v>105610</v>
      </c>
      <c r="N6423" s="561">
        <v>29014.799999999999</v>
      </c>
      <c r="O6423" s="561">
        <v>0</v>
      </c>
    </row>
    <row r="6424" spans="1:38">
      <c r="C6424" s="561" t="s">
        <v>1199</v>
      </c>
      <c r="D6424" s="561">
        <v>20537</v>
      </c>
      <c r="E6424" s="561">
        <v>5635.3</v>
      </c>
      <c r="F6424" s="561">
        <v>14901.7</v>
      </c>
      <c r="G6424" s="561">
        <v>1215</v>
      </c>
      <c r="H6424" s="561">
        <v>20618.219411388756</v>
      </c>
      <c r="I6424" s="561">
        <v>64</v>
      </c>
      <c r="J6424" s="561">
        <v>458.75389999999999</v>
      </c>
      <c r="K6424" s="561">
        <v>1210</v>
      </c>
      <c r="L6424" s="561">
        <v>20537</v>
      </c>
      <c r="M6424" s="561">
        <v>20537</v>
      </c>
      <c r="N6424" s="561">
        <v>5635.3</v>
      </c>
      <c r="O6424" s="561">
        <v>0</v>
      </c>
      <c r="AL6424" s="561">
        <v>14901.7</v>
      </c>
    </row>
    <row r="6425" spans="1:38">
      <c r="A6425" s="561">
        <v>19</v>
      </c>
      <c r="B6425" s="561" t="s">
        <v>1771</v>
      </c>
      <c r="C6425" s="561" t="s">
        <v>1206</v>
      </c>
      <c r="D6425" s="561">
        <v>117780</v>
      </c>
      <c r="E6425" s="561">
        <v>33174</v>
      </c>
      <c r="F6425" s="561">
        <v>84606</v>
      </c>
      <c r="G6425" s="561">
        <v>2996</v>
      </c>
      <c r="H6425" s="561">
        <v>125796.09801290071</v>
      </c>
      <c r="I6425" s="561">
        <v>303</v>
      </c>
      <c r="J6425" s="561">
        <v>8557.98963</v>
      </c>
      <c r="K6425" s="561">
        <v>2957</v>
      </c>
      <c r="L6425" s="561">
        <v>117780.00000000001</v>
      </c>
      <c r="M6425" s="561">
        <v>117780.00000000001</v>
      </c>
      <c r="N6425" s="561">
        <v>33174</v>
      </c>
      <c r="O6425" s="561">
        <v>0</v>
      </c>
      <c r="P6425" s="561">
        <v>84606.000000000015</v>
      </c>
    </row>
    <row r="6426" spans="1:38">
      <c r="C6426" s="561" t="s">
        <v>1197</v>
      </c>
      <c r="D6426" s="561">
        <v>94115</v>
      </c>
      <c r="E6426" s="561">
        <v>28054.5</v>
      </c>
      <c r="F6426" s="561">
        <v>66060.5</v>
      </c>
      <c r="G6426" s="561">
        <v>1631</v>
      </c>
      <c r="H6426" s="561">
        <v>102349.42052421653</v>
      </c>
      <c r="I6426" s="561">
        <v>237</v>
      </c>
      <c r="J6426" s="561">
        <v>8054.2773399999996</v>
      </c>
      <c r="K6426" s="561">
        <v>1601</v>
      </c>
      <c r="L6426" s="561">
        <v>94115.000000000015</v>
      </c>
      <c r="M6426" s="561">
        <v>94115.000000000015</v>
      </c>
      <c r="N6426" s="561">
        <v>28054.5</v>
      </c>
      <c r="O6426" s="561">
        <v>0</v>
      </c>
    </row>
    <row r="6427" spans="1:38">
      <c r="C6427" s="561" t="s">
        <v>1199</v>
      </c>
      <c r="D6427" s="561">
        <v>23665</v>
      </c>
      <c r="E6427" s="561">
        <v>5119.5</v>
      </c>
      <c r="F6427" s="561">
        <v>18545.5</v>
      </c>
      <c r="G6427" s="561">
        <v>1365</v>
      </c>
      <c r="H6427" s="561">
        <v>23446.677488684167</v>
      </c>
      <c r="I6427" s="561">
        <v>66</v>
      </c>
      <c r="J6427" s="561">
        <v>503.71228999999988</v>
      </c>
      <c r="K6427" s="561">
        <v>1356</v>
      </c>
      <c r="L6427" s="561">
        <v>23665</v>
      </c>
      <c r="M6427" s="561">
        <v>23665</v>
      </c>
      <c r="N6427" s="561">
        <v>5119.5</v>
      </c>
      <c r="O6427" s="561">
        <v>0</v>
      </c>
      <c r="AL6427" s="561">
        <v>18545.5</v>
      </c>
    </row>
    <row r="6428" spans="1:38">
      <c r="A6428" s="561">
        <v>20</v>
      </c>
      <c r="B6428" s="561" t="s">
        <v>1772</v>
      </c>
      <c r="C6428" s="561" t="s">
        <v>1206</v>
      </c>
      <c r="D6428" s="561">
        <v>82888.5</v>
      </c>
      <c r="E6428" s="561">
        <v>22676.7</v>
      </c>
      <c r="F6428" s="561">
        <v>60211.8</v>
      </c>
      <c r="G6428" s="561">
        <v>2225</v>
      </c>
      <c r="H6428" s="561">
        <v>88542.937953878165</v>
      </c>
      <c r="I6428" s="561">
        <v>234</v>
      </c>
      <c r="J6428" s="561">
        <v>5702.3431500000006</v>
      </c>
      <c r="K6428" s="561">
        <v>2168</v>
      </c>
      <c r="L6428" s="561">
        <v>82888.5</v>
      </c>
      <c r="M6428" s="561">
        <v>82888.5</v>
      </c>
      <c r="N6428" s="561">
        <v>22676.7</v>
      </c>
      <c r="O6428" s="561">
        <v>0</v>
      </c>
      <c r="P6428" s="561">
        <v>60211.799999999996</v>
      </c>
    </row>
    <row r="6429" spans="1:38">
      <c r="C6429" s="561" t="s">
        <v>1197</v>
      </c>
      <c r="D6429" s="561">
        <v>63770.779920000008</v>
      </c>
      <c r="E6429" s="561">
        <v>17622</v>
      </c>
      <c r="F6429" s="561">
        <v>46148.779920000001</v>
      </c>
      <c r="G6429" s="561">
        <v>1104</v>
      </c>
      <c r="H6429" s="561">
        <v>68508.2398509458</v>
      </c>
      <c r="I6429" s="561">
        <v>139</v>
      </c>
      <c r="J6429" s="561">
        <v>4769.8032400000002</v>
      </c>
      <c r="K6429" s="561">
        <v>1071</v>
      </c>
      <c r="L6429" s="561">
        <v>63770.779916935906</v>
      </c>
      <c r="M6429" s="561">
        <v>63770.779916935906</v>
      </c>
      <c r="N6429" s="561">
        <v>17622</v>
      </c>
      <c r="O6429" s="561">
        <v>0</v>
      </c>
    </row>
    <row r="6430" spans="1:38">
      <c r="C6430" s="561" t="s">
        <v>1199</v>
      </c>
      <c r="D6430" s="561">
        <v>19117.720079999999</v>
      </c>
      <c r="E6430" s="561">
        <v>5054.7</v>
      </c>
      <c r="F6430" s="561">
        <v>14063.020079999998</v>
      </c>
      <c r="G6430" s="561">
        <v>1121</v>
      </c>
      <c r="H6430" s="561">
        <v>20034.698102932358</v>
      </c>
      <c r="I6430" s="561">
        <v>95</v>
      </c>
      <c r="J6430" s="561">
        <v>932.53990999999996</v>
      </c>
      <c r="K6430" s="561">
        <v>1097</v>
      </c>
      <c r="L6430" s="561">
        <v>19117.72008306409</v>
      </c>
      <c r="M6430" s="561">
        <v>19117.72008306409</v>
      </c>
      <c r="N6430" s="561">
        <v>5054.7</v>
      </c>
      <c r="O6430" s="561">
        <v>0</v>
      </c>
      <c r="AL6430" s="561">
        <v>14063.02008306409</v>
      </c>
    </row>
    <row r="6431" spans="1:38">
      <c r="A6431" s="561">
        <v>21</v>
      </c>
      <c r="B6431" s="561" t="s">
        <v>1773</v>
      </c>
      <c r="C6431" s="561" t="s">
        <v>1206</v>
      </c>
      <c r="D6431" s="561">
        <v>100987</v>
      </c>
      <c r="E6431" s="561">
        <v>23846.1</v>
      </c>
      <c r="F6431" s="561">
        <v>77140.899999999994</v>
      </c>
      <c r="G6431" s="561">
        <v>2496</v>
      </c>
      <c r="H6431" s="561">
        <v>110189.16907197685</v>
      </c>
      <c r="I6431" s="561">
        <v>247</v>
      </c>
      <c r="J6431" s="561">
        <v>9510.8348470000019</v>
      </c>
      <c r="K6431" s="561">
        <v>2471</v>
      </c>
      <c r="L6431" s="561">
        <v>100986.99999999999</v>
      </c>
      <c r="M6431" s="561">
        <v>100986.99999999999</v>
      </c>
      <c r="N6431" s="561">
        <v>23846.1</v>
      </c>
      <c r="O6431" s="561">
        <v>0</v>
      </c>
      <c r="P6431" s="561">
        <v>77140.89999999998</v>
      </c>
    </row>
    <row r="6432" spans="1:38">
      <c r="C6432" s="561" t="s">
        <v>1197</v>
      </c>
      <c r="D6432" s="561">
        <v>84045</v>
      </c>
      <c r="E6432" s="561">
        <v>19612.5</v>
      </c>
      <c r="F6432" s="561">
        <v>64432.5</v>
      </c>
      <c r="G6432" s="561">
        <v>1363</v>
      </c>
      <c r="H6432" s="561">
        <v>92515.886578192003</v>
      </c>
      <c r="I6432" s="561">
        <v>176</v>
      </c>
      <c r="J6432" s="561">
        <v>8479.1820770000013</v>
      </c>
      <c r="K6432" s="561">
        <v>1347</v>
      </c>
      <c r="L6432" s="561">
        <v>84044.999999999985</v>
      </c>
      <c r="M6432" s="561">
        <v>84044.999999999985</v>
      </c>
      <c r="N6432" s="561">
        <v>19612.5</v>
      </c>
    </row>
    <row r="6433" spans="1:78">
      <c r="C6433" s="561" t="s">
        <v>1199</v>
      </c>
      <c r="D6433" s="561">
        <v>16942</v>
      </c>
      <c r="E6433" s="561">
        <v>4233.6000000000004</v>
      </c>
      <c r="F6433" s="561">
        <v>12708.4</v>
      </c>
      <c r="G6433" s="561">
        <v>1133</v>
      </c>
      <c r="H6433" s="561">
        <v>17673.282493784842</v>
      </c>
      <c r="I6433" s="561">
        <v>71</v>
      </c>
      <c r="J6433" s="561">
        <v>1031.6527699999999</v>
      </c>
      <c r="K6433" s="561">
        <v>1124</v>
      </c>
      <c r="L6433" s="561">
        <v>16942</v>
      </c>
      <c r="M6433" s="561">
        <v>16942</v>
      </c>
      <c r="N6433" s="561">
        <v>4233.6000000000004</v>
      </c>
      <c r="O6433" s="561">
        <v>0</v>
      </c>
      <c r="AL6433" s="561">
        <v>12708.4</v>
      </c>
    </row>
    <row r="6434" spans="1:78">
      <c r="A6434" s="561">
        <v>22</v>
      </c>
      <c r="B6434" s="561" t="s">
        <v>1774</v>
      </c>
      <c r="C6434" s="561" t="s">
        <v>1199</v>
      </c>
      <c r="D6434" s="561">
        <v>56726</v>
      </c>
      <c r="E6434" s="561">
        <v>16567.8</v>
      </c>
      <c r="F6434" s="561">
        <v>40158.199999999997</v>
      </c>
      <c r="G6434" s="561">
        <v>4006</v>
      </c>
      <c r="H6434" s="561">
        <v>57908.569386193813</v>
      </c>
      <c r="I6434" s="561">
        <v>167</v>
      </c>
      <c r="J6434" s="561">
        <v>1237.6180199999999</v>
      </c>
      <c r="K6434" s="561">
        <v>3975</v>
      </c>
      <c r="L6434" s="561">
        <v>56726</v>
      </c>
      <c r="M6434" s="561">
        <v>56726</v>
      </c>
      <c r="N6434" s="561">
        <v>16567.8</v>
      </c>
      <c r="O6434" s="561">
        <v>0</v>
      </c>
      <c r="P6434" s="561">
        <v>40158.199999999997</v>
      </c>
    </row>
    <row r="6435" spans="1:78">
      <c r="A6435" s="561">
        <v>23</v>
      </c>
      <c r="B6435" s="561" t="s">
        <v>1775</v>
      </c>
      <c r="C6435" s="561" t="s">
        <v>1206</v>
      </c>
      <c r="D6435" s="561">
        <v>79903.5</v>
      </c>
      <c r="E6435" s="561">
        <v>22771.199999999997</v>
      </c>
      <c r="F6435" s="561">
        <v>57132.299999999996</v>
      </c>
      <c r="G6435" s="561">
        <v>2080</v>
      </c>
      <c r="H6435" s="561">
        <v>83307.146422295918</v>
      </c>
      <c r="I6435" s="561">
        <v>141</v>
      </c>
      <c r="J6435" s="561">
        <v>3431.9337400000004</v>
      </c>
      <c r="K6435" s="561">
        <v>2070</v>
      </c>
      <c r="L6435" s="561">
        <v>79903.5</v>
      </c>
      <c r="M6435" s="561">
        <v>79903.5</v>
      </c>
      <c r="N6435" s="561">
        <v>22771.199999999997</v>
      </c>
      <c r="O6435" s="561">
        <v>0</v>
      </c>
      <c r="P6435" s="561">
        <v>57132.299999999996</v>
      </c>
    </row>
    <row r="6436" spans="1:78">
      <c r="C6436" s="561" t="s">
        <v>1197</v>
      </c>
      <c r="D6436" s="561">
        <v>63414</v>
      </c>
      <c r="E6436" s="561">
        <v>18310.8</v>
      </c>
      <c r="F6436" s="561">
        <v>45103.199999999997</v>
      </c>
      <c r="G6436" s="561">
        <v>1059</v>
      </c>
      <c r="H6436" s="561">
        <v>66731.252957270408</v>
      </c>
      <c r="I6436" s="561">
        <v>96</v>
      </c>
      <c r="J6436" s="561">
        <v>3227.6363800000004</v>
      </c>
      <c r="K6436" s="561">
        <v>1049</v>
      </c>
      <c r="L6436" s="561">
        <v>63414</v>
      </c>
      <c r="M6436" s="561">
        <v>63414</v>
      </c>
      <c r="N6436" s="561">
        <v>18310.8</v>
      </c>
      <c r="O6436" s="561">
        <v>0</v>
      </c>
    </row>
    <row r="6437" spans="1:78">
      <c r="C6437" s="561" t="s">
        <v>1199</v>
      </c>
      <c r="D6437" s="561">
        <v>16489.5</v>
      </c>
      <c r="E6437" s="561">
        <v>4460.3999999999996</v>
      </c>
      <c r="F6437" s="561">
        <v>12029.1</v>
      </c>
      <c r="G6437" s="561">
        <v>1021</v>
      </c>
      <c r="H6437" s="561">
        <v>16575.893465025503</v>
      </c>
      <c r="I6437" s="561">
        <v>45</v>
      </c>
      <c r="J6437" s="561">
        <v>204.29736</v>
      </c>
      <c r="K6437" s="561">
        <v>1021</v>
      </c>
      <c r="L6437" s="561">
        <v>16489.5</v>
      </c>
      <c r="M6437" s="561">
        <v>16489.5</v>
      </c>
      <c r="N6437" s="561">
        <v>4460.3999999999996</v>
      </c>
      <c r="O6437" s="561">
        <v>0</v>
      </c>
      <c r="AL6437" s="561">
        <v>12029.1</v>
      </c>
    </row>
    <row r="6438" spans="1:78">
      <c r="A6438" s="561">
        <v>24</v>
      </c>
      <c r="B6438" s="561" t="s">
        <v>1776</v>
      </c>
      <c r="C6438" s="561" t="s">
        <v>1206</v>
      </c>
      <c r="D6438" s="561">
        <v>122935.5</v>
      </c>
      <c r="E6438" s="561">
        <v>34510.800000000003</v>
      </c>
      <c r="F6438" s="561">
        <v>88424.7</v>
      </c>
      <c r="G6438" s="561">
        <v>3307</v>
      </c>
      <c r="H6438" s="561">
        <v>126836.5642418146</v>
      </c>
      <c r="I6438" s="561">
        <v>195</v>
      </c>
      <c r="J6438" s="561">
        <v>3823.8924775825308</v>
      </c>
      <c r="K6438" s="561">
        <v>3283</v>
      </c>
      <c r="L6438" s="561">
        <v>122935.50000000001</v>
      </c>
      <c r="M6438" s="561">
        <v>122935.50000000001</v>
      </c>
      <c r="N6438" s="561">
        <v>34510.800000000003</v>
      </c>
      <c r="O6438" s="561">
        <v>0</v>
      </c>
      <c r="P6438" s="561">
        <v>88424.700000000012</v>
      </c>
    </row>
    <row r="6439" spans="1:78">
      <c r="C6439" s="561" t="s">
        <v>1197</v>
      </c>
      <c r="D6439" s="561">
        <v>91526.053419999997</v>
      </c>
      <c r="E6439" s="561">
        <v>27026.400000000001</v>
      </c>
      <c r="F6439" s="561">
        <v>64499.653420000002</v>
      </c>
      <c r="G6439" s="561">
        <v>1476</v>
      </c>
      <c r="H6439" s="561">
        <v>94779.282297262311</v>
      </c>
      <c r="I6439" s="561">
        <v>103</v>
      </c>
      <c r="J6439" s="561">
        <v>2734.8198993100132</v>
      </c>
      <c r="K6439" s="561">
        <v>1472</v>
      </c>
      <c r="L6439" s="561">
        <v>91526.053420000011</v>
      </c>
      <c r="M6439" s="561">
        <v>91526.053420000011</v>
      </c>
      <c r="N6439" s="561">
        <v>27026.400000000001</v>
      </c>
      <c r="O6439" s="561">
        <v>0</v>
      </c>
    </row>
    <row r="6440" spans="1:78">
      <c r="C6440" s="561" t="s">
        <v>1199</v>
      </c>
      <c r="D6440" s="561">
        <v>31409.44658</v>
      </c>
      <c r="E6440" s="561">
        <v>7484.4</v>
      </c>
      <c r="F6440" s="561">
        <v>23925.046579999998</v>
      </c>
      <c r="G6440" s="561">
        <v>1831</v>
      </c>
      <c r="H6440" s="561">
        <v>32057.281944552284</v>
      </c>
      <c r="I6440" s="561">
        <v>92</v>
      </c>
      <c r="J6440" s="561">
        <v>1089.0725782725176</v>
      </c>
      <c r="K6440" s="561">
        <v>1811</v>
      </c>
      <c r="L6440" s="561">
        <v>31409.446580000003</v>
      </c>
      <c r="M6440" s="561">
        <v>31409.446580000003</v>
      </c>
      <c r="N6440" s="561">
        <v>7484.4</v>
      </c>
      <c r="O6440" s="561">
        <v>0</v>
      </c>
      <c r="AL6440" s="561">
        <v>23925.046580000002</v>
      </c>
    </row>
    <row r="6441" spans="1:78">
      <c r="A6441" s="561">
        <v>25</v>
      </c>
      <c r="B6441" s="561" t="s">
        <v>1777</v>
      </c>
      <c r="C6441" s="561" t="s">
        <v>1199</v>
      </c>
      <c r="D6441" s="561">
        <v>44518</v>
      </c>
      <c r="E6441" s="561">
        <v>12735.4</v>
      </c>
      <c r="F6441" s="561">
        <v>31782.6</v>
      </c>
      <c r="G6441" s="561">
        <v>3016</v>
      </c>
      <c r="H6441" s="561">
        <v>44847.240863998479</v>
      </c>
      <c r="I6441" s="561">
        <v>47</v>
      </c>
      <c r="J6441" s="561">
        <v>277.39580000000001</v>
      </c>
      <c r="K6441" s="561">
        <v>3015</v>
      </c>
      <c r="L6441" s="561">
        <v>44518</v>
      </c>
      <c r="M6441" s="561">
        <v>44518</v>
      </c>
      <c r="N6441" s="561">
        <v>12735.4</v>
      </c>
      <c r="O6441" s="561">
        <v>0</v>
      </c>
      <c r="BZ6441" s="561">
        <v>31782.6</v>
      </c>
    </row>
    <row r="6442" spans="1:78">
      <c r="A6442" s="561">
        <v>26</v>
      </c>
      <c r="B6442" s="561" t="s">
        <v>1778</v>
      </c>
      <c r="C6442" s="561" t="s">
        <v>1199</v>
      </c>
      <c r="D6442" s="561">
        <v>43042</v>
      </c>
      <c r="E6442" s="561">
        <v>11522.6</v>
      </c>
      <c r="F6442" s="561">
        <v>31519.4</v>
      </c>
      <c r="G6442" s="561">
        <v>2955</v>
      </c>
      <c r="H6442" s="561">
        <v>43416.532850752599</v>
      </c>
      <c r="I6442" s="561">
        <v>57</v>
      </c>
      <c r="J6442" s="561">
        <v>281.71043000000003</v>
      </c>
      <c r="K6442" s="561">
        <v>2955</v>
      </c>
      <c r="L6442" s="561">
        <v>43042.000000000007</v>
      </c>
      <c r="M6442" s="561">
        <v>43042.000000000007</v>
      </c>
      <c r="N6442" s="561">
        <v>11522.6</v>
      </c>
      <c r="O6442" s="561">
        <v>0</v>
      </c>
      <c r="BZ6442" s="561">
        <v>31519.400000000009</v>
      </c>
    </row>
    <row r="6443" spans="1:78">
      <c r="A6443" s="561">
        <v>27</v>
      </c>
      <c r="B6443" s="561" t="s">
        <v>1779</v>
      </c>
      <c r="C6443" s="561" t="s">
        <v>1199</v>
      </c>
      <c r="D6443" s="561">
        <v>41990</v>
      </c>
      <c r="E6443" s="561">
        <v>12407</v>
      </c>
      <c r="F6443" s="561">
        <v>29583</v>
      </c>
      <c r="G6443" s="561">
        <v>2932</v>
      </c>
      <c r="H6443" s="561">
        <v>42604.466464638026</v>
      </c>
      <c r="I6443" s="561">
        <v>78</v>
      </c>
      <c r="J6443" s="561">
        <v>546.14038299999993</v>
      </c>
      <c r="K6443" s="561">
        <v>2932</v>
      </c>
      <c r="L6443" s="561">
        <v>41990</v>
      </c>
      <c r="M6443" s="561">
        <v>41990</v>
      </c>
      <c r="N6443" s="561">
        <v>12407</v>
      </c>
      <c r="O6443" s="561">
        <v>0</v>
      </c>
      <c r="BZ6443" s="561">
        <v>29583</v>
      </c>
    </row>
    <row r="6444" spans="1:78">
      <c r="A6444" s="561">
        <v>28</v>
      </c>
      <c r="B6444" s="561" t="s">
        <v>1780</v>
      </c>
      <c r="C6444" s="561" t="s">
        <v>1199</v>
      </c>
      <c r="D6444" s="561">
        <v>32853.834999999999</v>
      </c>
      <c r="E6444" s="561">
        <v>9176.2000000000007</v>
      </c>
      <c r="F6444" s="561">
        <v>23677.634999999998</v>
      </c>
      <c r="G6444" s="561">
        <v>2319</v>
      </c>
      <c r="H6444" s="561">
        <v>34226.276628632637</v>
      </c>
      <c r="I6444" s="561">
        <v>174</v>
      </c>
      <c r="J6444" s="561">
        <v>1399.1393600000004</v>
      </c>
      <c r="K6444" s="561">
        <v>2304</v>
      </c>
      <c r="L6444" s="561">
        <v>32853.834999999999</v>
      </c>
      <c r="M6444" s="561">
        <v>32853.834999999999</v>
      </c>
      <c r="N6444" s="561">
        <v>9176.2000000000007</v>
      </c>
      <c r="O6444" s="561">
        <v>0</v>
      </c>
      <c r="BZ6444" s="561">
        <v>23677.634999999998</v>
      </c>
    </row>
    <row r="6445" spans="1:78">
      <c r="A6445" s="561">
        <v>29</v>
      </c>
      <c r="B6445" s="561" t="s">
        <v>1781</v>
      </c>
      <c r="C6445" s="561" t="s">
        <v>1199</v>
      </c>
      <c r="D6445" s="561">
        <v>27717</v>
      </c>
      <c r="E6445" s="561">
        <v>7715.1</v>
      </c>
      <c r="F6445" s="561">
        <v>20001.900000000001</v>
      </c>
      <c r="G6445" s="561">
        <v>1827</v>
      </c>
      <c r="H6445" s="561">
        <v>28680.166318593292</v>
      </c>
      <c r="I6445" s="561">
        <v>143</v>
      </c>
      <c r="J6445" s="561">
        <v>1005.55922</v>
      </c>
      <c r="K6445" s="561">
        <v>1817</v>
      </c>
      <c r="L6445" s="561">
        <v>27717</v>
      </c>
      <c r="M6445" s="561">
        <v>27717</v>
      </c>
      <c r="N6445" s="561">
        <v>7715.1</v>
      </c>
      <c r="O6445" s="561">
        <v>0</v>
      </c>
      <c r="BZ6445" s="561">
        <v>20001.900000000001</v>
      </c>
    </row>
    <row r="6446" spans="1:78">
      <c r="A6446" s="561">
        <v>30</v>
      </c>
      <c r="B6446" s="561" t="s">
        <v>1782</v>
      </c>
      <c r="C6446" s="561" t="s">
        <v>1199</v>
      </c>
      <c r="D6446" s="561">
        <v>28479</v>
      </c>
      <c r="E6446" s="561">
        <v>8183.7</v>
      </c>
      <c r="F6446" s="561">
        <v>20295.3</v>
      </c>
      <c r="G6446" s="561">
        <v>1913</v>
      </c>
      <c r="H6446" s="561">
        <v>26144.103741656323</v>
      </c>
      <c r="I6446" s="561">
        <v>83</v>
      </c>
      <c r="J6446" s="561">
        <v>358.24548000000004</v>
      </c>
      <c r="K6446" s="561">
        <v>2127</v>
      </c>
      <c r="L6446" s="561">
        <v>28478.985239999998</v>
      </c>
      <c r="M6446" s="561">
        <v>28478.985239999998</v>
      </c>
      <c r="N6446" s="561">
        <v>8183.7</v>
      </c>
      <c r="O6446" s="561">
        <v>0</v>
      </c>
      <c r="BZ6446" s="561">
        <v>20295.285239999997</v>
      </c>
    </row>
    <row r="6447" spans="1:78">
      <c r="A6447" s="561">
        <v>31</v>
      </c>
      <c r="B6447" s="561" t="s">
        <v>1783</v>
      </c>
      <c r="C6447" s="561" t="s">
        <v>1199</v>
      </c>
      <c r="D6447" s="561">
        <v>22822</v>
      </c>
      <c r="E6447" s="561">
        <v>6846.6</v>
      </c>
      <c r="F6447" s="561">
        <v>15975.4</v>
      </c>
      <c r="G6447" s="561">
        <v>1633</v>
      </c>
      <c r="H6447" s="561">
        <v>23741.513116897026</v>
      </c>
      <c r="I6447" s="561">
        <v>119</v>
      </c>
      <c r="J6447" s="561">
        <v>842.84553000000017</v>
      </c>
      <c r="K6447" s="561">
        <v>1602</v>
      </c>
      <c r="L6447" s="561">
        <v>22821.999999999996</v>
      </c>
      <c r="M6447" s="561">
        <v>22821.999999999996</v>
      </c>
      <c r="N6447" s="561">
        <v>6846.6</v>
      </c>
      <c r="O6447" s="561">
        <v>0</v>
      </c>
      <c r="BZ6447" s="561">
        <v>15975.399999999996</v>
      </c>
    </row>
    <row r="6448" spans="1:78">
      <c r="A6448" s="561">
        <v>32</v>
      </c>
      <c r="B6448" s="561" t="s">
        <v>1784</v>
      </c>
      <c r="C6448" s="561" t="s">
        <v>1199</v>
      </c>
      <c r="D6448" s="561">
        <v>33540</v>
      </c>
      <c r="E6448" s="561">
        <v>9772</v>
      </c>
      <c r="F6448" s="561">
        <v>23768</v>
      </c>
      <c r="G6448" s="561">
        <v>2203</v>
      </c>
      <c r="H6448" s="561">
        <v>34642.675977212151</v>
      </c>
      <c r="I6448" s="561">
        <v>138</v>
      </c>
      <c r="J6448" s="561">
        <v>1091.2826399999999</v>
      </c>
      <c r="K6448" s="561">
        <v>2160</v>
      </c>
      <c r="L6448" s="561">
        <v>33540.000000000007</v>
      </c>
      <c r="M6448" s="561">
        <v>33540.000000000007</v>
      </c>
      <c r="N6448" s="561">
        <v>9772</v>
      </c>
      <c r="O6448" s="561">
        <v>0</v>
      </c>
      <c r="BZ6448" s="561">
        <v>23768.000000000007</v>
      </c>
    </row>
    <row r="6449" spans="1:78">
      <c r="A6449" s="561">
        <v>33</v>
      </c>
      <c r="B6449" s="561" t="s">
        <v>1785</v>
      </c>
      <c r="C6449" s="561" t="s">
        <v>1199</v>
      </c>
      <c r="D6449" s="561">
        <v>834.16499999999996</v>
      </c>
      <c r="E6449" s="561">
        <v>0</v>
      </c>
      <c r="F6449" s="561">
        <v>834.16499999999996</v>
      </c>
      <c r="G6449" s="561">
        <v>64</v>
      </c>
      <c r="H6449" s="561">
        <v>875.80499999999995</v>
      </c>
      <c r="I6449" s="561">
        <v>1</v>
      </c>
      <c r="J6449" s="561">
        <v>2.6640000000000001</v>
      </c>
      <c r="K6449" s="561">
        <v>64</v>
      </c>
      <c r="L6449" s="561">
        <v>834.16499999999996</v>
      </c>
      <c r="M6449" s="561">
        <v>834.16499999999996</v>
      </c>
      <c r="N6449" s="561">
        <v>0</v>
      </c>
      <c r="O6449" s="561">
        <v>0</v>
      </c>
      <c r="BZ6449" s="561">
        <v>834.16499999999996</v>
      </c>
    </row>
    <row r="6450" spans="1:78">
      <c r="A6450" s="561">
        <v>34</v>
      </c>
      <c r="B6450" s="561" t="s">
        <v>1786</v>
      </c>
      <c r="C6450" s="561" t="s">
        <v>1206</v>
      </c>
      <c r="D6450" s="561">
        <v>168015</v>
      </c>
      <c r="E6450" s="561">
        <v>43804.5</v>
      </c>
      <c r="F6450" s="561">
        <v>124210.5</v>
      </c>
      <c r="G6450" s="561">
        <v>3421</v>
      </c>
      <c r="H6450" s="561">
        <v>173396.59709255217</v>
      </c>
      <c r="I6450" s="561">
        <v>137</v>
      </c>
      <c r="J6450" s="561">
        <v>4688.1098608973352</v>
      </c>
      <c r="K6450" s="561">
        <v>3408</v>
      </c>
      <c r="L6450" s="561">
        <v>168015.00000000003</v>
      </c>
      <c r="M6450" s="561">
        <v>168015.00000000003</v>
      </c>
      <c r="N6450" s="561">
        <v>43804.5</v>
      </c>
      <c r="O6450" s="561">
        <v>0</v>
      </c>
      <c r="P6450" s="561">
        <v>124210.50000000003</v>
      </c>
    </row>
    <row r="6451" spans="1:78">
      <c r="C6451" s="561" t="s">
        <v>1197</v>
      </c>
      <c r="D6451" s="561">
        <v>139916</v>
      </c>
      <c r="E6451" s="561">
        <v>38706.300000000003</v>
      </c>
      <c r="F6451" s="561">
        <v>101209.7</v>
      </c>
      <c r="G6451" s="561">
        <v>2237</v>
      </c>
      <c r="H6451" s="561">
        <v>145012.48997450073</v>
      </c>
      <c r="I6451" s="561">
        <v>124</v>
      </c>
      <c r="J6451" s="561">
        <v>3582.7943308973349</v>
      </c>
      <c r="K6451" s="561">
        <v>2225</v>
      </c>
      <c r="L6451" s="561">
        <v>139915.99901000003</v>
      </c>
      <c r="M6451" s="561">
        <v>139915.99901000003</v>
      </c>
      <c r="N6451" s="561">
        <v>38706.300000000003</v>
      </c>
    </row>
    <row r="6452" spans="1:78">
      <c r="C6452" s="561" t="s">
        <v>1198</v>
      </c>
      <c r="D6452" s="561">
        <v>11603</v>
      </c>
      <c r="E6452" s="561">
        <v>1080</v>
      </c>
      <c r="F6452" s="561">
        <v>10523</v>
      </c>
      <c r="G6452" s="561">
        <v>30</v>
      </c>
      <c r="H6452" s="561">
        <v>12198.868794704855</v>
      </c>
      <c r="I6452" s="561">
        <v>6</v>
      </c>
      <c r="J6452" s="561">
        <v>1064.8112100000001</v>
      </c>
      <c r="K6452" s="561">
        <v>30</v>
      </c>
      <c r="L6452" s="561">
        <v>11603</v>
      </c>
      <c r="M6452" s="561">
        <v>11603</v>
      </c>
      <c r="N6452" s="561">
        <v>1080</v>
      </c>
      <c r="O6452" s="561">
        <v>0</v>
      </c>
    </row>
    <row r="6453" spans="1:78">
      <c r="C6453" s="561" t="s">
        <v>1199</v>
      </c>
      <c r="D6453" s="561">
        <v>16496</v>
      </c>
      <c r="E6453" s="561">
        <v>4018.2</v>
      </c>
      <c r="F6453" s="561">
        <v>12477.8</v>
      </c>
      <c r="G6453" s="561">
        <v>1154</v>
      </c>
      <c r="H6453" s="561">
        <v>16185.238323346588</v>
      </c>
      <c r="I6453" s="561">
        <v>7</v>
      </c>
      <c r="J6453" s="561">
        <v>40.50432</v>
      </c>
      <c r="K6453" s="561">
        <v>1153</v>
      </c>
      <c r="L6453" s="561">
        <v>16496.000989999997</v>
      </c>
      <c r="M6453" s="561">
        <v>16496.000989999997</v>
      </c>
      <c r="N6453" s="561">
        <v>4018.2</v>
      </c>
      <c r="O6453" s="561">
        <v>0</v>
      </c>
      <c r="AL6453" s="561">
        <v>12477.800989999996</v>
      </c>
    </row>
    <row r="6454" spans="1:78">
      <c r="A6454" s="561">
        <v>35</v>
      </c>
      <c r="B6454" s="561" t="s">
        <v>1787</v>
      </c>
      <c r="C6454" s="561" t="s">
        <v>1197</v>
      </c>
      <c r="D6454" s="561">
        <v>47000</v>
      </c>
      <c r="E6454" s="561">
        <v>14100</v>
      </c>
      <c r="F6454" s="561">
        <v>32900</v>
      </c>
      <c r="G6454" s="561">
        <v>854</v>
      </c>
      <c r="H6454" s="561">
        <v>47913.395836986623</v>
      </c>
      <c r="I6454" s="561">
        <v>39</v>
      </c>
      <c r="J6454" s="561">
        <v>878.53174000000001</v>
      </c>
      <c r="K6454" s="561">
        <v>854</v>
      </c>
      <c r="L6454" s="561">
        <v>46999.999999999993</v>
      </c>
      <c r="M6454" s="561">
        <v>46999.999999999993</v>
      </c>
      <c r="N6454" s="561">
        <v>14100</v>
      </c>
      <c r="O6454" s="561">
        <v>0</v>
      </c>
    </row>
    <row r="6455" spans="1:78">
      <c r="A6455" s="561">
        <v>36</v>
      </c>
      <c r="B6455" s="561" t="s">
        <v>1788</v>
      </c>
      <c r="C6455" s="561" t="s">
        <v>1197</v>
      </c>
      <c r="D6455" s="561">
        <v>7415</v>
      </c>
      <c r="E6455" s="561">
        <v>2179.5</v>
      </c>
      <c r="F6455" s="561">
        <v>5235.5</v>
      </c>
      <c r="G6455" s="561">
        <v>101</v>
      </c>
      <c r="H6455" s="561">
        <v>7861.4681444231937</v>
      </c>
      <c r="I6455" s="561">
        <v>14</v>
      </c>
      <c r="J6455" s="561">
        <v>438.17133999999999</v>
      </c>
      <c r="K6455" s="561">
        <v>101</v>
      </c>
      <c r="L6455" s="561">
        <v>7415</v>
      </c>
      <c r="M6455" s="561">
        <v>7415</v>
      </c>
      <c r="N6455" s="561">
        <v>2179.5</v>
      </c>
      <c r="O6455" s="561">
        <v>0</v>
      </c>
    </row>
    <row r="6456" spans="1:78">
      <c r="A6456" s="561">
        <v>37</v>
      </c>
      <c r="B6456" s="561" t="s">
        <v>1789</v>
      </c>
      <c r="C6456" s="561" t="s">
        <v>1197</v>
      </c>
      <c r="D6456" s="561">
        <v>16702</v>
      </c>
      <c r="E6456" s="561">
        <v>4843.2</v>
      </c>
      <c r="F6456" s="561">
        <v>11858.8</v>
      </c>
      <c r="G6456" s="561">
        <v>260</v>
      </c>
      <c r="H6456" s="561">
        <v>16990.894365227748</v>
      </c>
      <c r="I6456" s="561">
        <v>4</v>
      </c>
      <c r="J6456" s="561">
        <v>104.35436</v>
      </c>
      <c r="K6456" s="561">
        <v>259</v>
      </c>
      <c r="L6456" s="561">
        <v>16701.999996044338</v>
      </c>
      <c r="M6456" s="561">
        <v>16701.999996044338</v>
      </c>
      <c r="N6456" s="561">
        <v>4843.2</v>
      </c>
    </row>
    <row r="6457" spans="1:78">
      <c r="A6457" s="561">
        <v>38</v>
      </c>
      <c r="B6457" s="561" t="s">
        <v>1790</v>
      </c>
      <c r="C6457" s="561" t="s">
        <v>1206</v>
      </c>
      <c r="D6457" s="561">
        <v>13708</v>
      </c>
      <c r="E6457" s="561">
        <v>4072.4</v>
      </c>
      <c r="F6457" s="561">
        <v>9635.6</v>
      </c>
      <c r="G6457" s="561">
        <v>428</v>
      </c>
      <c r="H6457" s="561">
        <v>13795.013094214348</v>
      </c>
      <c r="I6457" s="561">
        <v>9</v>
      </c>
      <c r="J6457" s="561">
        <v>74.664199999999994</v>
      </c>
      <c r="K6457" s="561">
        <v>428</v>
      </c>
      <c r="L6457" s="561">
        <v>13707.999995485417</v>
      </c>
      <c r="M6457" s="561">
        <v>13707.999995485417</v>
      </c>
      <c r="N6457" s="561">
        <v>4072.4</v>
      </c>
      <c r="O6457" s="561">
        <v>0</v>
      </c>
      <c r="P6457" s="561">
        <v>9635.5999954854196</v>
      </c>
    </row>
    <row r="6458" spans="1:78">
      <c r="C6458" s="561" t="s">
        <v>1197</v>
      </c>
      <c r="D6458" s="561">
        <v>8763.4395600000007</v>
      </c>
      <c r="E6458" s="561">
        <v>2627.4</v>
      </c>
      <c r="F6458" s="561">
        <v>6136.0395600000002</v>
      </c>
      <c r="G6458" s="561">
        <v>124</v>
      </c>
      <c r="H6458" s="561">
        <v>8795.7038587881434</v>
      </c>
      <c r="I6458" s="561">
        <v>2</v>
      </c>
      <c r="J6458" s="561">
        <v>41.393279999999997</v>
      </c>
      <c r="K6458" s="561">
        <v>125</v>
      </c>
      <c r="L6458" s="561">
        <v>8763.4395647881429</v>
      </c>
      <c r="M6458" s="561">
        <v>8763.4395647881429</v>
      </c>
      <c r="N6458" s="561">
        <v>2627.4</v>
      </c>
      <c r="O6458" s="561">
        <v>0</v>
      </c>
    </row>
    <row r="6459" spans="1:78">
      <c r="C6459" s="561" t="s">
        <v>1199</v>
      </c>
      <c r="D6459" s="561">
        <v>4944.5604400000002</v>
      </c>
      <c r="E6459" s="561">
        <v>1445</v>
      </c>
      <c r="F6459" s="561">
        <v>3499.5604400000002</v>
      </c>
      <c r="G6459" s="561">
        <v>304</v>
      </c>
      <c r="H6459" s="561">
        <v>4999.3092354262053</v>
      </c>
      <c r="I6459" s="561">
        <v>7</v>
      </c>
      <c r="J6459" s="561">
        <v>33.270920000000004</v>
      </c>
      <c r="K6459" s="561">
        <v>303</v>
      </c>
      <c r="L6459" s="561">
        <v>4944.5604306972746</v>
      </c>
      <c r="M6459" s="561">
        <v>4944.5604306972746</v>
      </c>
      <c r="N6459" s="561">
        <v>1445</v>
      </c>
      <c r="O6459" s="561">
        <v>0</v>
      </c>
      <c r="AL6459" s="561">
        <v>3499.5604306972746</v>
      </c>
    </row>
    <row r="6460" spans="1:78">
      <c r="A6460" s="561">
        <v>39</v>
      </c>
      <c r="B6460" s="561" t="s">
        <v>1791</v>
      </c>
      <c r="C6460" s="561" t="s">
        <v>1206</v>
      </c>
      <c r="D6460" s="561">
        <v>12768</v>
      </c>
      <c r="E6460" s="561">
        <v>3380.4</v>
      </c>
      <c r="F6460" s="561">
        <v>9387.6</v>
      </c>
      <c r="G6460" s="561">
        <v>96</v>
      </c>
      <c r="H6460" s="561">
        <v>12834.796629218146</v>
      </c>
      <c r="I6460" s="561">
        <v>2</v>
      </c>
      <c r="J6460" s="561">
        <v>68.248509999999996</v>
      </c>
      <c r="K6460" s="561">
        <v>96</v>
      </c>
      <c r="L6460" s="561">
        <v>12766.548200000001</v>
      </c>
      <c r="M6460" s="561">
        <v>12766.548200000001</v>
      </c>
      <c r="N6460" s="561">
        <v>3380.4</v>
      </c>
      <c r="O6460" s="561">
        <v>0</v>
      </c>
      <c r="P6460" s="561">
        <v>9386.1482000000015</v>
      </c>
    </row>
    <row r="6461" spans="1:78">
      <c r="C6461" s="561" t="s">
        <v>1197</v>
      </c>
      <c r="D6461" s="561">
        <v>2347.8829700000001</v>
      </c>
      <c r="E6461" s="561">
        <v>680.4</v>
      </c>
      <c r="F6461" s="561">
        <v>1667.4829700000003</v>
      </c>
      <c r="G6461" s="561">
        <v>29</v>
      </c>
      <c r="H6461" s="561">
        <v>2416.1314781247438</v>
      </c>
      <c r="I6461" s="561">
        <v>2</v>
      </c>
      <c r="J6461" s="561">
        <v>68.248509999999996</v>
      </c>
      <c r="K6461" s="561">
        <v>29</v>
      </c>
      <c r="L6461" s="561">
        <v>2347.8829663095821</v>
      </c>
      <c r="M6461" s="561">
        <v>2347.8829663095821</v>
      </c>
      <c r="N6461" s="561">
        <v>680.4</v>
      </c>
      <c r="O6461" s="561">
        <v>0</v>
      </c>
    </row>
    <row r="6462" spans="1:78">
      <c r="C6462" s="561" t="s">
        <v>1198</v>
      </c>
      <c r="D6462" s="561">
        <v>10420.117029999999</v>
      </c>
      <c r="E6462" s="561">
        <v>2700</v>
      </c>
      <c r="F6462" s="561">
        <v>7720.1170299999994</v>
      </c>
      <c r="G6462" s="561">
        <v>67</v>
      </c>
      <c r="H6462" s="561">
        <v>10418.665151093403</v>
      </c>
      <c r="I6462" s="561">
        <v>0</v>
      </c>
      <c r="J6462" s="561">
        <v>0</v>
      </c>
      <c r="K6462" s="561">
        <v>67</v>
      </c>
      <c r="L6462" s="561">
        <v>10418.665233690419</v>
      </c>
      <c r="M6462" s="561">
        <v>10418.665233690419</v>
      </c>
      <c r="N6462" s="561">
        <v>2700</v>
      </c>
      <c r="O6462" s="561">
        <v>0</v>
      </c>
    </row>
    <row r="6463" spans="1:78">
      <c r="A6463" s="561">
        <v>40</v>
      </c>
      <c r="B6463" s="561" t="s">
        <v>1792</v>
      </c>
      <c r="C6463" s="561" t="s">
        <v>1199</v>
      </c>
      <c r="D6463" s="561">
        <v>2488</v>
      </c>
      <c r="E6463" s="561">
        <v>723.03500000000008</v>
      </c>
      <c r="F6463" s="561">
        <v>1764.9649999999999</v>
      </c>
      <c r="G6463" s="561">
        <v>180</v>
      </c>
      <c r="H6463" s="561">
        <v>2558.6159096108181</v>
      </c>
      <c r="I6463" s="561">
        <v>12</v>
      </c>
      <c r="J6463" s="561">
        <v>60.838089999999994</v>
      </c>
      <c r="K6463" s="561">
        <v>179</v>
      </c>
      <c r="L6463" s="561">
        <v>2488</v>
      </c>
      <c r="M6463" s="561">
        <v>2488</v>
      </c>
      <c r="N6463" s="561">
        <v>723.03500000000008</v>
      </c>
      <c r="O6463" s="561">
        <v>0</v>
      </c>
      <c r="P6463" s="561">
        <v>1764.9649999999999</v>
      </c>
    </row>
    <row r="6464" spans="1:78">
      <c r="A6464" s="561">
        <v>41</v>
      </c>
      <c r="B6464" s="561" t="s">
        <v>1793</v>
      </c>
      <c r="C6464" s="561" t="s">
        <v>1206</v>
      </c>
      <c r="D6464" s="561">
        <v>0</v>
      </c>
      <c r="E6464" s="561">
        <v>0</v>
      </c>
      <c r="F6464" s="561">
        <v>0</v>
      </c>
      <c r="G6464" s="561">
        <v>0</v>
      </c>
      <c r="H6464" s="561">
        <v>0</v>
      </c>
      <c r="K6464" s="561">
        <v>0</v>
      </c>
      <c r="L6464" s="561">
        <v>0</v>
      </c>
      <c r="M6464" s="561">
        <v>0</v>
      </c>
      <c r="N6464" s="561">
        <v>0</v>
      </c>
      <c r="O6464" s="561">
        <v>0</v>
      </c>
      <c r="P6464" s="561">
        <v>0</v>
      </c>
    </row>
    <row r="6465" spans="1:111">
      <c r="C6465" s="561" t="s">
        <v>1197</v>
      </c>
      <c r="P6465" s="561">
        <v>0</v>
      </c>
    </row>
    <row r="6466" spans="1:111">
      <c r="C6466" s="561" t="s">
        <v>1198</v>
      </c>
      <c r="P6466" s="561">
        <v>0</v>
      </c>
    </row>
    <row r="6467" spans="1:111">
      <c r="C6467" s="561" t="s">
        <v>1199</v>
      </c>
      <c r="P6467" s="561">
        <v>0</v>
      </c>
    </row>
    <row r="6468" spans="1:111">
      <c r="A6468" s="1683" t="s">
        <v>1795</v>
      </c>
      <c r="B6468" s="1683"/>
      <c r="C6468" s="1683"/>
      <c r="D6468" s="1683"/>
      <c r="E6468" s="1683"/>
      <c r="F6468" s="1683"/>
      <c r="G6468" s="1683"/>
      <c r="H6468" s="1683"/>
      <c r="I6468" s="1683"/>
      <c r="J6468" s="1683"/>
      <c r="K6468" s="1683"/>
      <c r="L6468" s="1683"/>
      <c r="M6468" s="1683"/>
      <c r="N6468" s="1683"/>
      <c r="O6468" s="1683"/>
      <c r="P6468" s="1683"/>
    </row>
    <row r="6469" spans="1:111">
      <c r="A6469" s="1735" t="s">
        <v>1197</v>
      </c>
      <c r="B6469" s="1735"/>
      <c r="C6469" s="1735"/>
      <c r="D6469" s="1735"/>
      <c r="E6469" s="1735"/>
      <c r="F6469" s="1735"/>
      <c r="G6469" s="1735"/>
      <c r="H6469" s="1735"/>
      <c r="I6469" s="1735"/>
      <c r="J6469" s="1735"/>
      <c r="K6469" s="1735"/>
      <c r="L6469" s="1735"/>
      <c r="M6469" s="1735"/>
      <c r="N6469" s="1735"/>
      <c r="O6469" s="1735"/>
      <c r="P6469" s="1735"/>
      <c r="AL6469" s="561">
        <f>SUM(AL6470:AL6587)</f>
        <v>3797405.1209999993</v>
      </c>
      <c r="AM6469" s="561">
        <f t="shared" ref="AM6469:CX6469" si="144">SUM(AM6470:AM6587)</f>
        <v>0</v>
      </c>
      <c r="AN6469" s="561">
        <f t="shared" si="144"/>
        <v>0</v>
      </c>
      <c r="AO6469" s="561">
        <f t="shared" si="144"/>
        <v>0</v>
      </c>
      <c r="AP6469" s="561">
        <f t="shared" si="144"/>
        <v>0</v>
      </c>
      <c r="AQ6469" s="561">
        <f t="shared" si="144"/>
        <v>0</v>
      </c>
      <c r="AR6469" s="561">
        <f t="shared" si="144"/>
        <v>0</v>
      </c>
      <c r="AS6469" s="561">
        <f t="shared" si="144"/>
        <v>0</v>
      </c>
      <c r="AT6469" s="561">
        <f t="shared" si="144"/>
        <v>32154.7</v>
      </c>
      <c r="AU6469" s="561">
        <f t="shared" si="144"/>
        <v>0</v>
      </c>
      <c r="AV6469" s="561">
        <f t="shared" si="144"/>
        <v>0</v>
      </c>
      <c r="AW6469" s="561">
        <f t="shared" si="144"/>
        <v>0</v>
      </c>
      <c r="AX6469" s="561">
        <f t="shared" si="144"/>
        <v>559661.01500000001</v>
      </c>
      <c r="AY6469" s="561">
        <f t="shared" si="144"/>
        <v>68065.900000000023</v>
      </c>
      <c r="AZ6469" s="561">
        <f t="shared" si="144"/>
        <v>0</v>
      </c>
      <c r="BA6469" s="561">
        <f t="shared" si="144"/>
        <v>0</v>
      </c>
      <c r="BB6469" s="561">
        <f t="shared" si="144"/>
        <v>380204.9</v>
      </c>
      <c r="BC6469" s="561">
        <f t="shared" si="144"/>
        <v>0</v>
      </c>
      <c r="BD6469" s="561">
        <f t="shared" si="144"/>
        <v>0</v>
      </c>
      <c r="BE6469" s="561">
        <f t="shared" si="144"/>
        <v>0</v>
      </c>
      <c r="BF6469" s="561">
        <f t="shared" si="144"/>
        <v>0</v>
      </c>
      <c r="BG6469" s="561">
        <f t="shared" si="144"/>
        <v>0</v>
      </c>
      <c r="BH6469" s="561">
        <f t="shared" si="144"/>
        <v>0</v>
      </c>
      <c r="BI6469" s="561">
        <f t="shared" si="144"/>
        <v>0</v>
      </c>
      <c r="BJ6469" s="561">
        <f t="shared" si="144"/>
        <v>0</v>
      </c>
      <c r="BK6469" s="561">
        <f t="shared" si="144"/>
        <v>0</v>
      </c>
      <c r="BL6469" s="561">
        <f t="shared" si="144"/>
        <v>0</v>
      </c>
      <c r="BM6469" s="561">
        <f t="shared" si="144"/>
        <v>0</v>
      </c>
      <c r="BN6469" s="561">
        <f t="shared" si="144"/>
        <v>0</v>
      </c>
      <c r="BO6469" s="561">
        <f t="shared" si="144"/>
        <v>0</v>
      </c>
      <c r="BP6469" s="561">
        <f t="shared" si="144"/>
        <v>0</v>
      </c>
      <c r="BQ6469" s="561">
        <f t="shared" si="144"/>
        <v>0</v>
      </c>
      <c r="BR6469" s="561">
        <f t="shared" si="144"/>
        <v>0</v>
      </c>
      <c r="BS6469" s="561">
        <f t="shared" si="144"/>
        <v>0</v>
      </c>
      <c r="BT6469" s="561">
        <f t="shared" si="144"/>
        <v>0</v>
      </c>
      <c r="BU6469" s="561">
        <f t="shared" si="144"/>
        <v>0</v>
      </c>
      <c r="BV6469" s="561">
        <f t="shared" si="144"/>
        <v>0</v>
      </c>
      <c r="BW6469" s="561">
        <f t="shared" si="144"/>
        <v>0</v>
      </c>
      <c r="BX6469" s="561">
        <f t="shared" si="144"/>
        <v>0</v>
      </c>
      <c r="BY6469" s="561">
        <f t="shared" si="144"/>
        <v>0</v>
      </c>
      <c r="BZ6469" s="561">
        <f t="shared" si="144"/>
        <v>0</v>
      </c>
      <c r="CA6469" s="561">
        <f t="shared" si="144"/>
        <v>0</v>
      </c>
      <c r="CB6469" s="561">
        <f t="shared" si="144"/>
        <v>0</v>
      </c>
      <c r="CC6469" s="561">
        <f t="shared" si="144"/>
        <v>0</v>
      </c>
      <c r="CD6469" s="561">
        <f t="shared" si="144"/>
        <v>0</v>
      </c>
      <c r="CE6469" s="561">
        <f t="shared" si="144"/>
        <v>0</v>
      </c>
      <c r="CF6469" s="561">
        <f t="shared" si="144"/>
        <v>0</v>
      </c>
      <c r="CG6469" s="561">
        <f t="shared" si="144"/>
        <v>0</v>
      </c>
      <c r="CH6469" s="561">
        <f t="shared" si="144"/>
        <v>0</v>
      </c>
      <c r="CI6469" s="561">
        <f t="shared" si="144"/>
        <v>0</v>
      </c>
      <c r="CJ6469" s="561">
        <f t="shared" si="144"/>
        <v>0</v>
      </c>
      <c r="CK6469" s="561">
        <f t="shared" si="144"/>
        <v>0</v>
      </c>
      <c r="CL6469" s="561">
        <f t="shared" si="144"/>
        <v>0</v>
      </c>
      <c r="CM6469" s="561">
        <f t="shared" si="144"/>
        <v>0</v>
      </c>
      <c r="CN6469" s="561">
        <f t="shared" si="144"/>
        <v>0</v>
      </c>
      <c r="CO6469" s="561">
        <f t="shared" si="144"/>
        <v>0</v>
      </c>
      <c r="CP6469" s="561">
        <f t="shared" si="144"/>
        <v>0</v>
      </c>
      <c r="CQ6469" s="561">
        <f t="shared" si="144"/>
        <v>0</v>
      </c>
      <c r="CR6469" s="561">
        <f t="shared" si="144"/>
        <v>0</v>
      </c>
      <c r="CS6469" s="561">
        <f t="shared" si="144"/>
        <v>0</v>
      </c>
      <c r="CT6469" s="561">
        <f t="shared" si="144"/>
        <v>0</v>
      </c>
      <c r="CU6469" s="561">
        <f t="shared" si="144"/>
        <v>0</v>
      </c>
      <c r="CV6469" s="561">
        <f t="shared" si="144"/>
        <v>0</v>
      </c>
      <c r="CW6469" s="561">
        <f t="shared" si="144"/>
        <v>0</v>
      </c>
      <c r="CX6469" s="561">
        <f t="shared" si="144"/>
        <v>0</v>
      </c>
      <c r="CY6469" s="561">
        <f t="shared" ref="CY6469:DG6469" si="145">SUM(CY6470:CY6587)</f>
        <v>0</v>
      </c>
      <c r="CZ6469" s="561">
        <f t="shared" si="145"/>
        <v>0</v>
      </c>
      <c r="DA6469" s="561">
        <f t="shared" si="145"/>
        <v>0</v>
      </c>
      <c r="DB6469" s="561">
        <f t="shared" si="145"/>
        <v>0</v>
      </c>
      <c r="DC6469" s="561">
        <f t="shared" si="145"/>
        <v>0</v>
      </c>
      <c r="DD6469" s="561">
        <f t="shared" si="145"/>
        <v>0</v>
      </c>
      <c r="DE6469" s="561">
        <f t="shared" si="145"/>
        <v>0</v>
      </c>
      <c r="DF6469" s="561">
        <f t="shared" si="145"/>
        <v>0</v>
      </c>
      <c r="DG6469" s="561">
        <f t="shared" si="145"/>
        <v>0</v>
      </c>
    </row>
    <row r="6470" spans="1:111">
      <c r="B6470" s="561" t="s">
        <v>1796</v>
      </c>
      <c r="C6470" s="561" t="s">
        <v>1267</v>
      </c>
      <c r="D6470" s="561">
        <v>1378056.8599999999</v>
      </c>
      <c r="E6470" s="561">
        <v>246622.49999999997</v>
      </c>
      <c r="F6470" s="561">
        <v>1131434.3600000001</v>
      </c>
      <c r="G6470" s="561">
        <v>11952</v>
      </c>
      <c r="H6470" s="561">
        <v>1449275.1600000001</v>
      </c>
      <c r="I6470" s="561">
        <v>47</v>
      </c>
      <c r="J6470" s="561">
        <v>71218.300000000221</v>
      </c>
      <c r="K6470" s="561">
        <v>11905</v>
      </c>
      <c r="L6470" s="561">
        <v>1378056.8599999999</v>
      </c>
      <c r="M6470" s="561">
        <v>1378056.8599999999</v>
      </c>
      <c r="N6470" s="561">
        <v>246622.49999999997</v>
      </c>
      <c r="O6470" s="561">
        <v>0</v>
      </c>
      <c r="P6470" s="561">
        <v>1131434.3599999999</v>
      </c>
      <c r="Q6470" s="561">
        <v>1131434.3600000001</v>
      </c>
    </row>
    <row r="6471" spans="1:111">
      <c r="C6471" s="561" t="s">
        <v>1197</v>
      </c>
      <c r="D6471" s="561">
        <v>1188222.3489999999</v>
      </c>
      <c r="E6471" s="561">
        <v>220896.3</v>
      </c>
      <c r="F6471" s="561">
        <v>967326.049</v>
      </c>
      <c r="G6471" s="561">
        <v>10459</v>
      </c>
      <c r="H6471" s="561">
        <v>1251204.0390000001</v>
      </c>
      <c r="I6471" s="561">
        <v>35</v>
      </c>
      <c r="J6471" s="561">
        <v>62981.693000000203</v>
      </c>
      <c r="K6471" s="561">
        <v>10424</v>
      </c>
      <c r="L6471" s="561">
        <v>1188222.3459999999</v>
      </c>
      <c r="M6471" s="561">
        <v>1188222.3459999999</v>
      </c>
      <c r="N6471" s="561">
        <v>220896.3</v>
      </c>
      <c r="Q6471" s="561">
        <v>967326.049</v>
      </c>
      <c r="AL6471" s="561">
        <v>967326.04899999988</v>
      </c>
    </row>
    <row r="6472" spans="1:111">
      <c r="C6472" s="561" t="s">
        <v>1198</v>
      </c>
      <c r="D6472" s="561">
        <v>45303.144</v>
      </c>
      <c r="E6472" s="561">
        <v>5025.3</v>
      </c>
      <c r="F6472" s="561">
        <v>40277.843999999997</v>
      </c>
      <c r="G6472" s="561">
        <v>124</v>
      </c>
      <c r="H6472" s="561">
        <v>45328.887000000002</v>
      </c>
      <c r="I6472" s="561">
        <v>-2</v>
      </c>
      <c r="J6472" s="561">
        <v>25.740000000005239</v>
      </c>
      <c r="K6472" s="561">
        <v>126</v>
      </c>
      <c r="L6472" s="561">
        <v>45303.146999999997</v>
      </c>
      <c r="M6472" s="561">
        <v>45303.146999999997</v>
      </c>
      <c r="N6472" s="561">
        <v>5025.3</v>
      </c>
      <c r="P6472" s="561">
        <v>40277.843999999997</v>
      </c>
      <c r="Q6472" s="561">
        <v>40277.844000000005</v>
      </c>
    </row>
    <row r="6473" spans="1:111">
      <c r="C6473" s="561" t="s">
        <v>1199</v>
      </c>
      <c r="D6473" s="561">
        <v>135165.90700000001</v>
      </c>
      <c r="E6473" s="561">
        <v>20700.900000000001</v>
      </c>
      <c r="F6473" s="561">
        <v>114465.00700000001</v>
      </c>
      <c r="G6473" s="561">
        <v>1369</v>
      </c>
      <c r="H6473" s="561">
        <v>135607.77800000002</v>
      </c>
      <c r="I6473" s="561">
        <v>14</v>
      </c>
      <c r="J6473" s="561">
        <v>441.87100000001374</v>
      </c>
      <c r="K6473" s="561">
        <v>1355</v>
      </c>
      <c r="L6473" s="561">
        <v>135165.90700000001</v>
      </c>
      <c r="M6473" s="561">
        <v>135165.90700000001</v>
      </c>
      <c r="N6473" s="561">
        <v>20700.900000000001</v>
      </c>
      <c r="P6473" s="561">
        <v>114465.00700000001</v>
      </c>
      <c r="Q6473" s="561">
        <v>114465.00700000001</v>
      </c>
    </row>
    <row r="6474" spans="1:111">
      <c r="C6474" s="561" t="s">
        <v>1202</v>
      </c>
      <c r="D6474" s="561">
        <v>9365.4599999999991</v>
      </c>
      <c r="F6474" s="561">
        <v>9365.4599999999991</v>
      </c>
      <c r="H6474" s="561">
        <v>17134.455999999998</v>
      </c>
      <c r="J6474" s="561">
        <v>7768.9959999999992</v>
      </c>
      <c r="L6474" s="561">
        <v>9365.4599999999991</v>
      </c>
      <c r="M6474" s="561">
        <v>9365.4599999999991</v>
      </c>
      <c r="P6474" s="561">
        <v>9365.4599999999991</v>
      </c>
      <c r="Q6474" s="561">
        <v>9365.4599999999991</v>
      </c>
    </row>
    <row r="6475" spans="1:111">
      <c r="B6475" s="561" t="s">
        <v>1797</v>
      </c>
      <c r="C6475" s="561" t="s">
        <v>1267</v>
      </c>
      <c r="D6475" s="561">
        <v>646281.69999999984</v>
      </c>
      <c r="E6475" s="561">
        <v>176470.5</v>
      </c>
      <c r="F6475" s="561">
        <v>469811.19999999995</v>
      </c>
      <c r="G6475" s="561">
        <v>9687</v>
      </c>
      <c r="H6475" s="561">
        <v>697906.82000000007</v>
      </c>
      <c r="I6475" s="561">
        <v>34</v>
      </c>
      <c r="J6475" s="561">
        <v>51625.120000000119</v>
      </c>
      <c r="K6475" s="561">
        <v>9653</v>
      </c>
      <c r="L6475" s="561">
        <v>646281.69999999984</v>
      </c>
      <c r="M6475" s="561">
        <v>646281.69999999984</v>
      </c>
      <c r="N6475" s="561">
        <v>176470.5</v>
      </c>
      <c r="O6475" s="561">
        <v>0</v>
      </c>
      <c r="P6475" s="561">
        <v>469811.19999999984</v>
      </c>
      <c r="Q6475" s="561">
        <v>469811.1999999999</v>
      </c>
    </row>
    <row r="6476" spans="1:111">
      <c r="B6476" s="561" t="s">
        <v>1197</v>
      </c>
      <c r="C6476" s="561" t="s">
        <v>1197</v>
      </c>
      <c r="D6476" s="561">
        <v>611175.33899999992</v>
      </c>
      <c r="E6476" s="561">
        <v>170351.4</v>
      </c>
      <c r="F6476" s="561">
        <v>440823.93899999995</v>
      </c>
      <c r="G6476" s="561">
        <v>9284</v>
      </c>
      <c r="H6476" s="561">
        <v>659444.01800000004</v>
      </c>
      <c r="I6476" s="561">
        <v>32</v>
      </c>
      <c r="J6476" s="561">
        <v>48268.67900000012</v>
      </c>
      <c r="K6476" s="561">
        <v>9252</v>
      </c>
      <c r="L6476" s="561">
        <v>611175.33899999992</v>
      </c>
      <c r="M6476" s="561">
        <v>611175.33899999992</v>
      </c>
      <c r="N6476" s="561">
        <v>170351.4</v>
      </c>
      <c r="Q6476" s="561">
        <v>440823.9389999999</v>
      </c>
      <c r="AL6476" s="561">
        <v>440823.9389999999</v>
      </c>
    </row>
    <row r="6477" spans="1:111">
      <c r="B6477" s="561" t="s">
        <v>1198</v>
      </c>
      <c r="C6477" s="561" t="s">
        <v>1198</v>
      </c>
      <c r="D6477" s="561">
        <v>29553.366999999998</v>
      </c>
      <c r="E6477" s="561">
        <v>4622.7</v>
      </c>
      <c r="F6477" s="561">
        <v>24930.666999999998</v>
      </c>
      <c r="G6477" s="561">
        <v>30</v>
      </c>
      <c r="H6477" s="561">
        <v>32855.951000000001</v>
      </c>
      <c r="I6477" s="561">
        <v>0</v>
      </c>
      <c r="J6477" s="561">
        <v>3302.5840000000026</v>
      </c>
      <c r="K6477" s="561">
        <v>30</v>
      </c>
      <c r="L6477" s="561">
        <v>29553.366999999998</v>
      </c>
      <c r="M6477" s="561">
        <v>29553.366999999998</v>
      </c>
      <c r="N6477" s="561">
        <v>4622.7</v>
      </c>
      <c r="P6477" s="561">
        <v>24930.666999999998</v>
      </c>
      <c r="Q6477" s="561">
        <v>24930.666999999998</v>
      </c>
    </row>
    <row r="6478" spans="1:111">
      <c r="B6478" s="561" t="s">
        <v>1199</v>
      </c>
      <c r="C6478" s="561" t="s">
        <v>1199</v>
      </c>
      <c r="D6478" s="561">
        <v>5552.9940000000006</v>
      </c>
      <c r="E6478" s="561">
        <v>1496.4</v>
      </c>
      <c r="F6478" s="561">
        <v>4056.5940000000001</v>
      </c>
      <c r="G6478" s="561">
        <v>373</v>
      </c>
      <c r="H6478" s="561">
        <v>5606.8509999999997</v>
      </c>
      <c r="I6478" s="561">
        <v>2</v>
      </c>
      <c r="J6478" s="561">
        <v>53.856999999999061</v>
      </c>
      <c r="K6478" s="561">
        <v>371</v>
      </c>
      <c r="L6478" s="561">
        <v>5552.9940000000006</v>
      </c>
      <c r="M6478" s="561">
        <v>5552.9940000000006</v>
      </c>
      <c r="N6478" s="561">
        <v>1496.4</v>
      </c>
      <c r="P6478" s="561">
        <v>4056.5940000000005</v>
      </c>
      <c r="Q6478" s="561">
        <v>4056.5940000000005</v>
      </c>
    </row>
    <row r="6479" spans="1:111">
      <c r="B6479" s="561" t="s">
        <v>1798</v>
      </c>
      <c r="C6479" s="561" t="s">
        <v>1267</v>
      </c>
      <c r="D6479" s="561">
        <v>557568.6</v>
      </c>
      <c r="E6479" s="561">
        <v>165252.29999999999</v>
      </c>
      <c r="F6479" s="561">
        <v>392316.30000000005</v>
      </c>
      <c r="G6479" s="561">
        <v>8251</v>
      </c>
      <c r="H6479" s="561">
        <v>580357.36899999995</v>
      </c>
      <c r="I6479" s="561">
        <v>23</v>
      </c>
      <c r="J6479" s="561">
        <v>22788.76899999992</v>
      </c>
      <c r="K6479" s="561">
        <v>8228</v>
      </c>
      <c r="L6479" s="561">
        <v>557568.6</v>
      </c>
      <c r="M6479" s="561">
        <v>557568.6</v>
      </c>
      <c r="N6479" s="561">
        <v>165252.29999999999</v>
      </c>
      <c r="O6479" s="561">
        <v>0</v>
      </c>
      <c r="P6479" s="561">
        <v>392316.3</v>
      </c>
      <c r="Q6479" s="561">
        <v>392316.30000000005</v>
      </c>
    </row>
    <row r="6480" spans="1:111">
      <c r="B6480" s="561" t="s">
        <v>1197</v>
      </c>
      <c r="C6480" s="561" t="s">
        <v>1197</v>
      </c>
      <c r="D6480" s="561">
        <v>542956.4</v>
      </c>
      <c r="E6480" s="561">
        <v>162751.5</v>
      </c>
      <c r="F6480" s="561">
        <v>380204.9</v>
      </c>
      <c r="G6480" s="561">
        <v>7584</v>
      </c>
      <c r="H6480" s="561">
        <v>564478.78799999994</v>
      </c>
      <c r="I6480" s="561">
        <v>22</v>
      </c>
      <c r="J6480" s="561">
        <v>21522.387999999919</v>
      </c>
      <c r="K6480" s="561">
        <v>7562</v>
      </c>
      <c r="L6480" s="561">
        <v>542956.4</v>
      </c>
      <c r="M6480" s="561">
        <v>542956.4</v>
      </c>
      <c r="N6480" s="561">
        <v>162751.5</v>
      </c>
      <c r="Q6480" s="561">
        <v>380204.9</v>
      </c>
      <c r="BB6480" s="561">
        <v>380204.9</v>
      </c>
    </row>
    <row r="6481" spans="2:50">
      <c r="B6481" s="561" t="s">
        <v>1198</v>
      </c>
      <c r="C6481" s="561" t="s">
        <v>1198</v>
      </c>
      <c r="D6481" s="561">
        <v>6526.5</v>
      </c>
      <c r="E6481" s="561">
        <v>516.29999999999995</v>
      </c>
      <c r="F6481" s="561">
        <v>6010.2</v>
      </c>
      <c r="G6481" s="561">
        <v>22</v>
      </c>
      <c r="H6481" s="561">
        <v>7401.9510000000009</v>
      </c>
      <c r="I6481" s="561">
        <v>0</v>
      </c>
      <c r="J6481" s="561">
        <v>875.45100000000002</v>
      </c>
      <c r="K6481" s="561">
        <v>22</v>
      </c>
      <c r="L6481" s="561">
        <v>6526.5000000000009</v>
      </c>
      <c r="M6481" s="561">
        <v>6526.5000000000009</v>
      </c>
      <c r="N6481" s="561">
        <v>516.29999999999995</v>
      </c>
      <c r="P6481" s="561">
        <v>6010.2000000000007</v>
      </c>
      <c r="Q6481" s="561">
        <v>6010.2000000000007</v>
      </c>
    </row>
    <row r="6482" spans="2:50">
      <c r="B6482" s="561" t="s">
        <v>1199</v>
      </c>
      <c r="C6482" s="561" t="s">
        <v>1199</v>
      </c>
      <c r="D6482" s="561">
        <v>8085.7</v>
      </c>
      <c r="E6482" s="561">
        <v>1984.5</v>
      </c>
      <c r="F6482" s="561">
        <v>6101.2</v>
      </c>
      <c r="G6482" s="561">
        <v>645</v>
      </c>
      <c r="H6482" s="561">
        <v>8476.630000000001</v>
      </c>
      <c r="I6482" s="561">
        <v>1</v>
      </c>
      <c r="J6482" s="561">
        <v>390.93000000000211</v>
      </c>
      <c r="K6482" s="561">
        <v>644</v>
      </c>
      <c r="L6482" s="561">
        <v>8085.6999999999989</v>
      </c>
      <c r="M6482" s="561">
        <v>8085.6999999999989</v>
      </c>
      <c r="N6482" s="561">
        <v>1984.5</v>
      </c>
      <c r="P6482" s="561">
        <v>6101.1999999999989</v>
      </c>
      <c r="Q6482" s="561">
        <v>6101.1999999999989</v>
      </c>
    </row>
    <row r="6483" spans="2:50">
      <c r="B6483" s="561" t="s">
        <v>1799</v>
      </c>
      <c r="C6483" s="561" t="s">
        <v>1267</v>
      </c>
      <c r="D6483" s="561">
        <v>292170</v>
      </c>
      <c r="E6483" s="561">
        <v>90659.4</v>
      </c>
      <c r="F6483" s="561">
        <v>201510.6</v>
      </c>
      <c r="G6483" s="561">
        <v>4318</v>
      </c>
      <c r="H6483" s="561">
        <v>298138.06499999994</v>
      </c>
      <c r="I6483" s="561">
        <v>-1</v>
      </c>
      <c r="J6483" s="561">
        <v>5968.064999999975</v>
      </c>
      <c r="K6483" s="561">
        <v>4319</v>
      </c>
      <c r="L6483" s="561">
        <v>292170</v>
      </c>
      <c r="M6483" s="561">
        <v>292170</v>
      </c>
      <c r="N6483" s="561">
        <v>90659.4</v>
      </c>
      <c r="O6483" s="561">
        <v>0</v>
      </c>
      <c r="P6483" s="561">
        <v>201510.6</v>
      </c>
      <c r="Q6483" s="561">
        <v>201510.59999999998</v>
      </c>
    </row>
    <row r="6484" spans="2:50">
      <c r="B6484" s="561" t="s">
        <v>1197</v>
      </c>
      <c r="C6484" s="561" t="s">
        <v>1197</v>
      </c>
      <c r="D6484" s="561">
        <v>282766.09399999998</v>
      </c>
      <c r="E6484" s="561">
        <v>87583.2</v>
      </c>
      <c r="F6484" s="561">
        <v>195182.894</v>
      </c>
      <c r="G6484" s="561">
        <v>3759</v>
      </c>
      <c r="H6484" s="561">
        <v>288599.87899999996</v>
      </c>
      <c r="I6484" s="561">
        <v>-1</v>
      </c>
      <c r="J6484" s="561">
        <v>5833.7849999999744</v>
      </c>
      <c r="K6484" s="561">
        <v>3760</v>
      </c>
      <c r="L6484" s="561">
        <v>282766.09399999998</v>
      </c>
      <c r="M6484" s="561">
        <v>282766.09399999998</v>
      </c>
      <c r="N6484" s="561">
        <v>87583.2</v>
      </c>
      <c r="Q6484" s="561">
        <v>195182.89399999997</v>
      </c>
      <c r="AL6484" s="561">
        <v>195182.89399999997</v>
      </c>
    </row>
    <row r="6485" spans="2:50">
      <c r="B6485" s="561" t="s">
        <v>1198</v>
      </c>
      <c r="C6485" s="561" t="s">
        <v>1198</v>
      </c>
      <c r="D6485" s="561">
        <v>0</v>
      </c>
      <c r="F6485" s="561">
        <v>0</v>
      </c>
      <c r="G6485" s="561">
        <v>0</v>
      </c>
      <c r="H6485" s="561">
        <v>0</v>
      </c>
      <c r="I6485" s="561">
        <v>0</v>
      </c>
      <c r="J6485" s="561">
        <v>0</v>
      </c>
      <c r="K6485" s="561">
        <v>0</v>
      </c>
      <c r="L6485" s="561">
        <v>0</v>
      </c>
      <c r="M6485" s="561">
        <v>0</v>
      </c>
      <c r="N6485" s="561">
        <v>0</v>
      </c>
      <c r="P6485" s="561">
        <v>0</v>
      </c>
      <c r="Q6485" s="561">
        <v>0</v>
      </c>
    </row>
    <row r="6486" spans="2:50">
      <c r="B6486" s="561" t="s">
        <v>1199</v>
      </c>
      <c r="C6486" s="561" t="s">
        <v>1199</v>
      </c>
      <c r="D6486" s="561">
        <v>9403.905999999999</v>
      </c>
      <c r="E6486" s="561">
        <v>3076.2</v>
      </c>
      <c r="F6486" s="561">
        <v>6327.7060000000001</v>
      </c>
      <c r="G6486" s="561">
        <v>559</v>
      </c>
      <c r="H6486" s="561">
        <v>9538.1859999999997</v>
      </c>
      <c r="I6486" s="561">
        <v>0</v>
      </c>
      <c r="J6486" s="561">
        <v>134.28000000000065</v>
      </c>
      <c r="K6486" s="561">
        <v>559</v>
      </c>
      <c r="L6486" s="561">
        <v>9403.905999999999</v>
      </c>
      <c r="M6486" s="561">
        <v>9403.905999999999</v>
      </c>
      <c r="N6486" s="561">
        <v>3076.2</v>
      </c>
      <c r="P6486" s="561">
        <v>6327.7059999999992</v>
      </c>
      <c r="Q6486" s="561">
        <v>6327.7059999999983</v>
      </c>
    </row>
    <row r="6487" spans="2:50">
      <c r="B6487" s="561" t="s">
        <v>1800</v>
      </c>
      <c r="C6487" s="561" t="s">
        <v>1267</v>
      </c>
      <c r="D6487" s="561">
        <v>1417254.1</v>
      </c>
      <c r="E6487" s="561">
        <v>376910.2</v>
      </c>
      <c r="F6487" s="561">
        <v>1040343.8999999999</v>
      </c>
      <c r="G6487" s="561">
        <v>6423</v>
      </c>
      <c r="H6487" s="561">
        <v>1484354.7420000001</v>
      </c>
      <c r="I6487" s="561">
        <v>1</v>
      </c>
      <c r="J6487" s="561">
        <v>67100.64199999992</v>
      </c>
      <c r="K6487" s="561">
        <v>6422</v>
      </c>
      <c r="L6487" s="561">
        <v>1417254.1</v>
      </c>
      <c r="M6487" s="561">
        <v>1417254.1</v>
      </c>
      <c r="N6487" s="561">
        <v>376910.2</v>
      </c>
      <c r="O6487" s="561">
        <v>0</v>
      </c>
      <c r="P6487" s="561">
        <v>1040343.9000000001</v>
      </c>
      <c r="Q6487" s="561">
        <v>1040343.9000000001</v>
      </c>
    </row>
    <row r="6488" spans="2:50">
      <c r="B6488" s="561" t="s">
        <v>1197</v>
      </c>
      <c r="C6488" s="561" t="s">
        <v>1197</v>
      </c>
      <c r="D6488" s="561">
        <v>759727.11499999999</v>
      </c>
      <c r="E6488" s="561">
        <v>200066.1</v>
      </c>
      <c r="F6488" s="561">
        <v>559661.01500000001</v>
      </c>
      <c r="G6488" s="561">
        <v>5645</v>
      </c>
      <c r="H6488" s="561">
        <v>801540.49400000006</v>
      </c>
      <c r="I6488" s="561">
        <v>0</v>
      </c>
      <c r="J6488" s="561">
        <v>41813.379000000074</v>
      </c>
      <c r="K6488" s="561">
        <v>5645</v>
      </c>
      <c r="L6488" s="561">
        <v>759727.11499999999</v>
      </c>
      <c r="M6488" s="561">
        <v>759727.11499999999</v>
      </c>
      <c r="N6488" s="561">
        <v>200066.1</v>
      </c>
      <c r="Q6488" s="561">
        <v>559661.01500000001</v>
      </c>
      <c r="AX6488" s="561">
        <v>559661.01500000001</v>
      </c>
    </row>
    <row r="6489" spans="2:50">
      <c r="B6489" s="561" t="s">
        <v>1198</v>
      </c>
      <c r="C6489" s="561" t="s">
        <v>1198</v>
      </c>
      <c r="D6489" s="561">
        <v>653240.98499999999</v>
      </c>
      <c r="E6489" s="561">
        <v>175558.8</v>
      </c>
      <c r="F6489" s="561">
        <v>477682.185</v>
      </c>
      <c r="G6489" s="561">
        <v>576</v>
      </c>
      <c r="H6489" s="561">
        <v>678480.34199999995</v>
      </c>
      <c r="I6489" s="561">
        <v>1</v>
      </c>
      <c r="J6489" s="561">
        <v>25239.356999999844</v>
      </c>
      <c r="K6489" s="561">
        <v>575</v>
      </c>
      <c r="L6489" s="561">
        <v>653240.9850000001</v>
      </c>
      <c r="M6489" s="561">
        <v>653240.9850000001</v>
      </c>
      <c r="N6489" s="561">
        <v>175558.8</v>
      </c>
      <c r="P6489" s="561">
        <v>477682.18500000011</v>
      </c>
      <c r="Q6489" s="561">
        <v>477682.18500000011</v>
      </c>
    </row>
    <row r="6490" spans="2:50">
      <c r="B6490" s="561" t="s">
        <v>1199</v>
      </c>
      <c r="C6490" s="561" t="s">
        <v>1199</v>
      </c>
      <c r="D6490" s="561">
        <v>4286</v>
      </c>
      <c r="E6490" s="561">
        <v>1285.3</v>
      </c>
      <c r="F6490" s="561">
        <v>3000.7000000000003</v>
      </c>
      <c r="G6490" s="561">
        <v>202</v>
      </c>
      <c r="H6490" s="561">
        <v>4333.905999999999</v>
      </c>
      <c r="I6490" s="561">
        <v>0</v>
      </c>
      <c r="J6490" s="561">
        <v>47.905999999999949</v>
      </c>
      <c r="K6490" s="561">
        <v>202</v>
      </c>
      <c r="L6490" s="561">
        <v>4285.9999999999991</v>
      </c>
      <c r="M6490" s="561">
        <v>4285.9999999999991</v>
      </c>
      <c r="N6490" s="561">
        <v>1285.3</v>
      </c>
      <c r="P6490" s="561">
        <v>3000.6999999999989</v>
      </c>
      <c r="Q6490" s="561">
        <v>3000.6999999999989</v>
      </c>
    </row>
    <row r="6491" spans="2:50">
      <c r="B6491" s="561" t="s">
        <v>1801</v>
      </c>
      <c r="C6491" s="561" t="s">
        <v>1267</v>
      </c>
      <c r="D6491" s="561">
        <v>1044626.1</v>
      </c>
      <c r="E6491" s="561">
        <v>260545.5</v>
      </c>
      <c r="F6491" s="561">
        <v>784080.6</v>
      </c>
      <c r="G6491" s="561">
        <v>16385</v>
      </c>
      <c r="H6491" s="561">
        <v>1068760.05</v>
      </c>
      <c r="I6491" s="561">
        <v>12</v>
      </c>
      <c r="J6491" s="561">
        <v>24133.949999999801</v>
      </c>
      <c r="K6491" s="561">
        <v>16373</v>
      </c>
      <c r="L6491" s="561">
        <v>1044626.1000000002</v>
      </c>
      <c r="M6491" s="561">
        <v>1044626.1000000002</v>
      </c>
      <c r="N6491" s="561">
        <v>260545.5</v>
      </c>
      <c r="O6491" s="561">
        <v>0</v>
      </c>
      <c r="P6491" s="561">
        <v>784080.60000000021</v>
      </c>
      <c r="Q6491" s="561">
        <v>784080.60000000033</v>
      </c>
    </row>
    <row r="6492" spans="2:50">
      <c r="B6492" s="561" t="s">
        <v>1197</v>
      </c>
      <c r="C6492" s="561" t="s">
        <v>1197</v>
      </c>
      <c r="D6492" s="561">
        <v>917940.625</v>
      </c>
      <c r="E6492" s="561">
        <v>239516.4</v>
      </c>
      <c r="F6492" s="561">
        <v>678424.22499999998</v>
      </c>
      <c r="G6492" s="561">
        <v>13889</v>
      </c>
      <c r="H6492" s="561">
        <v>940462.56200000003</v>
      </c>
      <c r="I6492" s="561">
        <v>7</v>
      </c>
      <c r="J6492" s="561">
        <v>22521.936999999802</v>
      </c>
      <c r="K6492" s="561">
        <v>13882</v>
      </c>
      <c r="L6492" s="561">
        <v>917940.62500000023</v>
      </c>
      <c r="M6492" s="561">
        <v>917940.62500000023</v>
      </c>
      <c r="N6492" s="561">
        <v>239516.4</v>
      </c>
      <c r="Q6492" s="561">
        <v>678424.22500000033</v>
      </c>
      <c r="AL6492" s="561">
        <v>678424.22500000021</v>
      </c>
    </row>
    <row r="6493" spans="2:50">
      <c r="B6493" s="561" t="s">
        <v>1198</v>
      </c>
      <c r="C6493" s="561" t="s">
        <v>1198</v>
      </c>
      <c r="D6493" s="561">
        <v>88264.275000000009</v>
      </c>
      <c r="E6493" s="561">
        <v>14013.6</v>
      </c>
      <c r="F6493" s="561">
        <v>74250.675000000003</v>
      </c>
      <c r="G6493" s="561">
        <v>297</v>
      </c>
      <c r="H6493" s="561">
        <v>88963.453999999998</v>
      </c>
      <c r="I6493" s="561">
        <v>0</v>
      </c>
      <c r="J6493" s="561">
        <v>699.17899999998917</v>
      </c>
      <c r="K6493" s="561">
        <v>297</v>
      </c>
      <c r="L6493" s="561">
        <v>88264.275000000009</v>
      </c>
      <c r="M6493" s="561">
        <v>88264.275000000009</v>
      </c>
      <c r="N6493" s="561">
        <v>14013.6</v>
      </c>
      <c r="P6493" s="561">
        <v>74250.675000000003</v>
      </c>
      <c r="Q6493" s="561">
        <v>74250.675000000003</v>
      </c>
    </row>
    <row r="6494" spans="2:50">
      <c r="B6494" s="561" t="s">
        <v>1199</v>
      </c>
      <c r="C6494" s="561" t="s">
        <v>1199</v>
      </c>
      <c r="D6494" s="561">
        <v>38421.199999999997</v>
      </c>
      <c r="E6494" s="561">
        <v>7015.5</v>
      </c>
      <c r="F6494" s="561">
        <v>31405.7</v>
      </c>
      <c r="G6494" s="561">
        <v>2199</v>
      </c>
      <c r="H6494" s="561">
        <v>39334.034000000007</v>
      </c>
      <c r="I6494" s="561">
        <v>5</v>
      </c>
      <c r="J6494" s="561">
        <v>912.83400000000984</v>
      </c>
      <c r="K6494" s="561">
        <v>2194</v>
      </c>
      <c r="L6494" s="561">
        <v>38421.199999999997</v>
      </c>
      <c r="M6494" s="561">
        <v>38421.199999999997</v>
      </c>
      <c r="N6494" s="561">
        <v>7015.5</v>
      </c>
      <c r="P6494" s="561">
        <v>31405.699999999997</v>
      </c>
      <c r="Q6494" s="561">
        <v>31405.699999999997</v>
      </c>
    </row>
    <row r="6495" spans="2:50">
      <c r="B6495" s="561" t="s">
        <v>1802</v>
      </c>
      <c r="C6495" s="561" t="s">
        <v>1267</v>
      </c>
      <c r="D6495" s="561">
        <v>45322.200000000004</v>
      </c>
      <c r="E6495" s="561">
        <v>11893.2</v>
      </c>
      <c r="F6495" s="561">
        <v>33429</v>
      </c>
      <c r="G6495" s="561">
        <v>708</v>
      </c>
      <c r="H6495" s="561">
        <v>46972.295999999995</v>
      </c>
      <c r="I6495" s="561">
        <v>6</v>
      </c>
      <c r="J6495" s="561">
        <v>1650.09599999999</v>
      </c>
      <c r="K6495" s="561">
        <v>702</v>
      </c>
      <c r="L6495" s="561">
        <v>45322.200000000004</v>
      </c>
      <c r="M6495" s="561">
        <v>45322.200000000004</v>
      </c>
      <c r="N6495" s="561">
        <v>11893.2</v>
      </c>
      <c r="O6495" s="561">
        <v>0</v>
      </c>
      <c r="P6495" s="561">
        <v>33429</v>
      </c>
      <c r="Q6495" s="561">
        <v>33429</v>
      </c>
    </row>
    <row r="6496" spans="2:50">
      <c r="B6496" s="561" t="s">
        <v>1197</v>
      </c>
      <c r="C6496" s="561" t="s">
        <v>1197</v>
      </c>
      <c r="D6496" s="561">
        <v>43597.9</v>
      </c>
      <c r="E6496" s="561">
        <v>11443.2</v>
      </c>
      <c r="F6496" s="561">
        <v>32154.7</v>
      </c>
      <c r="G6496" s="561">
        <v>621</v>
      </c>
      <c r="H6496" s="561">
        <v>45091.510999999991</v>
      </c>
      <c r="I6496" s="561">
        <v>1</v>
      </c>
      <c r="J6496" s="561">
        <v>1493.6109999999899</v>
      </c>
      <c r="K6496" s="561">
        <v>620</v>
      </c>
      <c r="L6496" s="561">
        <v>43597.9</v>
      </c>
      <c r="M6496" s="561">
        <v>43597.9</v>
      </c>
      <c r="N6496" s="561">
        <v>11443.2</v>
      </c>
      <c r="Q6496" s="561">
        <v>32154.7</v>
      </c>
      <c r="AT6496" s="561">
        <v>32154.7</v>
      </c>
    </row>
    <row r="6497" spans="2:38">
      <c r="B6497" s="561" t="s">
        <v>1198</v>
      </c>
      <c r="C6497" s="561" t="s">
        <v>1198</v>
      </c>
      <c r="F6497" s="561">
        <v>0</v>
      </c>
      <c r="G6497" s="561">
        <v>0</v>
      </c>
      <c r="H6497" s="561">
        <v>0</v>
      </c>
      <c r="I6497" s="561">
        <v>0</v>
      </c>
      <c r="J6497" s="561">
        <v>0</v>
      </c>
      <c r="K6497" s="561">
        <v>0</v>
      </c>
      <c r="L6497" s="561">
        <v>0</v>
      </c>
      <c r="M6497" s="561">
        <v>0</v>
      </c>
      <c r="N6497" s="561">
        <v>0</v>
      </c>
      <c r="P6497" s="561">
        <v>0</v>
      </c>
      <c r="Q6497" s="561">
        <v>0</v>
      </c>
    </row>
    <row r="6498" spans="2:38">
      <c r="B6498" s="561" t="s">
        <v>1199</v>
      </c>
      <c r="C6498" s="561" t="s">
        <v>1199</v>
      </c>
      <c r="D6498" s="561">
        <v>1724.3</v>
      </c>
      <c r="E6498" s="561">
        <v>450</v>
      </c>
      <c r="F6498" s="561">
        <v>1274.3</v>
      </c>
      <c r="G6498" s="561">
        <v>87</v>
      </c>
      <c r="H6498" s="561">
        <v>1880.7850000000003</v>
      </c>
      <c r="I6498" s="561">
        <v>5</v>
      </c>
      <c r="J6498" s="561">
        <v>156.48500000000013</v>
      </c>
      <c r="K6498" s="561">
        <v>82</v>
      </c>
      <c r="L6498" s="561">
        <v>1724.3000000000002</v>
      </c>
      <c r="M6498" s="561">
        <v>1724.3000000000002</v>
      </c>
      <c r="N6498" s="561">
        <v>450</v>
      </c>
      <c r="P6498" s="561">
        <v>1274.3000000000002</v>
      </c>
      <c r="Q6498" s="561">
        <v>1274.3000000000002</v>
      </c>
    </row>
    <row r="6499" spans="2:38">
      <c r="B6499" s="561" t="s">
        <v>1803</v>
      </c>
      <c r="C6499" s="561" t="s">
        <v>1267</v>
      </c>
      <c r="D6499" s="561">
        <v>242486.50000000003</v>
      </c>
      <c r="E6499" s="561">
        <v>66290.7</v>
      </c>
      <c r="F6499" s="561">
        <v>176195.80000000002</v>
      </c>
      <c r="G6499" s="561">
        <v>5385</v>
      </c>
      <c r="H6499" s="561">
        <v>257854.51800000001</v>
      </c>
      <c r="I6499" s="561">
        <v>38</v>
      </c>
      <c r="J6499" s="561">
        <v>15368.017999999996</v>
      </c>
      <c r="K6499" s="561">
        <v>5347</v>
      </c>
      <c r="L6499" s="561">
        <v>242486.50000000003</v>
      </c>
      <c r="M6499" s="561">
        <v>242486.50000000003</v>
      </c>
      <c r="N6499" s="561">
        <v>66290.7</v>
      </c>
      <c r="O6499" s="561">
        <v>0</v>
      </c>
      <c r="P6499" s="561">
        <v>176195.80000000005</v>
      </c>
      <c r="Q6499" s="561">
        <v>176195.8</v>
      </c>
    </row>
    <row r="6500" spans="2:38">
      <c r="B6500" s="561" t="s">
        <v>1197</v>
      </c>
      <c r="C6500" s="561" t="s">
        <v>1197</v>
      </c>
      <c r="D6500" s="561">
        <v>211161.97600000002</v>
      </c>
      <c r="E6500" s="561">
        <v>58924.5</v>
      </c>
      <c r="F6500" s="561">
        <v>152237.47600000002</v>
      </c>
      <c r="G6500" s="561">
        <v>3338</v>
      </c>
      <c r="H6500" s="561">
        <v>225976.85400000002</v>
      </c>
      <c r="I6500" s="561">
        <v>27</v>
      </c>
      <c r="J6500" s="561">
        <v>14814.877999999997</v>
      </c>
      <c r="K6500" s="561">
        <v>3311</v>
      </c>
      <c r="L6500" s="561">
        <v>211161.97600000002</v>
      </c>
      <c r="M6500" s="561">
        <v>211161.97600000002</v>
      </c>
      <c r="N6500" s="561">
        <v>58924.5</v>
      </c>
      <c r="Q6500" s="561">
        <v>152237.476</v>
      </c>
      <c r="AL6500" s="561">
        <v>152237.47600000002</v>
      </c>
    </row>
    <row r="6501" spans="2:38">
      <c r="B6501" s="561" t="s">
        <v>1198</v>
      </c>
      <c r="C6501" s="561" t="s">
        <v>1198</v>
      </c>
      <c r="D6501" s="561">
        <v>0</v>
      </c>
      <c r="F6501" s="561">
        <v>0</v>
      </c>
      <c r="G6501" s="561">
        <v>0</v>
      </c>
      <c r="H6501" s="561">
        <v>0</v>
      </c>
      <c r="I6501" s="561">
        <v>0</v>
      </c>
      <c r="J6501" s="561">
        <v>0</v>
      </c>
      <c r="K6501" s="561">
        <v>0</v>
      </c>
      <c r="L6501" s="561">
        <v>0</v>
      </c>
      <c r="M6501" s="561">
        <v>0</v>
      </c>
      <c r="N6501" s="561">
        <v>0</v>
      </c>
      <c r="P6501" s="561">
        <v>0</v>
      </c>
      <c r="Q6501" s="561">
        <v>0</v>
      </c>
    </row>
    <row r="6502" spans="2:38">
      <c r="B6502" s="561" t="s">
        <v>1199</v>
      </c>
      <c r="C6502" s="561" t="s">
        <v>1199</v>
      </c>
      <c r="D6502" s="561">
        <v>31324.523999999998</v>
      </c>
      <c r="E6502" s="561">
        <v>7366.2</v>
      </c>
      <c r="F6502" s="561">
        <v>23958.323999999997</v>
      </c>
      <c r="G6502" s="561">
        <v>2047</v>
      </c>
      <c r="H6502" s="561">
        <v>31877.663999999997</v>
      </c>
      <c r="I6502" s="561">
        <v>11</v>
      </c>
      <c r="J6502" s="561">
        <v>553.13999999999942</v>
      </c>
      <c r="K6502" s="561">
        <v>2036</v>
      </c>
      <c r="L6502" s="561">
        <v>31324.523999999998</v>
      </c>
      <c r="M6502" s="561">
        <v>31324.523999999998</v>
      </c>
      <c r="N6502" s="561">
        <v>7366.2</v>
      </c>
      <c r="P6502" s="561">
        <v>23958.323999999997</v>
      </c>
      <c r="Q6502" s="561">
        <v>23958.324000000001</v>
      </c>
    </row>
    <row r="6503" spans="2:38">
      <c r="B6503" s="561" t="s">
        <v>1804</v>
      </c>
      <c r="C6503" s="561" t="s">
        <v>1267</v>
      </c>
      <c r="D6503" s="561">
        <v>228632.9</v>
      </c>
      <c r="E6503" s="561">
        <v>65887.8</v>
      </c>
      <c r="F6503" s="561">
        <v>162745.1</v>
      </c>
      <c r="G6503" s="561">
        <v>5047</v>
      </c>
      <c r="H6503" s="561">
        <v>242649.71499999997</v>
      </c>
      <c r="I6503" s="561">
        <v>39</v>
      </c>
      <c r="J6503" s="561">
        <v>14016.814999999911</v>
      </c>
      <c r="K6503" s="561">
        <v>5008</v>
      </c>
      <c r="L6503" s="561">
        <v>228632.90000000005</v>
      </c>
      <c r="M6503" s="561">
        <v>228632.90000000005</v>
      </c>
      <c r="N6503" s="561">
        <v>65887.8</v>
      </c>
      <c r="O6503" s="561">
        <v>0</v>
      </c>
      <c r="P6503" s="561">
        <v>162745.10000000003</v>
      </c>
      <c r="Q6503" s="561">
        <v>162745.10000000006</v>
      </c>
    </row>
    <row r="6504" spans="2:38">
      <c r="B6504" s="561" t="s">
        <v>1197</v>
      </c>
      <c r="C6504" s="561" t="s">
        <v>1197</v>
      </c>
      <c r="D6504" s="561">
        <v>207492.098</v>
      </c>
      <c r="E6504" s="561">
        <v>59799.9</v>
      </c>
      <c r="F6504" s="561">
        <v>147692.198</v>
      </c>
      <c r="G6504" s="561">
        <v>3442</v>
      </c>
      <c r="H6504" s="561">
        <v>220414.98899999997</v>
      </c>
      <c r="I6504" s="561">
        <v>12</v>
      </c>
      <c r="J6504" s="561">
        <v>12922.890999999916</v>
      </c>
      <c r="K6504" s="561">
        <v>3430</v>
      </c>
      <c r="L6504" s="561">
        <v>207492.09800000006</v>
      </c>
      <c r="M6504" s="561">
        <v>207492.09800000006</v>
      </c>
      <c r="N6504" s="561">
        <v>59799.9</v>
      </c>
      <c r="Q6504" s="561">
        <v>147692.19800000006</v>
      </c>
      <c r="AL6504" s="561">
        <v>147692.19800000006</v>
      </c>
    </row>
    <row r="6505" spans="2:38">
      <c r="B6505" s="561" t="s">
        <v>1198</v>
      </c>
      <c r="C6505" s="561" t="s">
        <v>1198</v>
      </c>
      <c r="D6505" s="561">
        <v>0</v>
      </c>
      <c r="F6505" s="561">
        <v>0</v>
      </c>
      <c r="G6505" s="561">
        <v>0</v>
      </c>
      <c r="H6505" s="561">
        <v>0</v>
      </c>
      <c r="I6505" s="561">
        <v>0</v>
      </c>
      <c r="J6505" s="561">
        <v>0</v>
      </c>
      <c r="K6505" s="561">
        <v>0</v>
      </c>
      <c r="L6505" s="561">
        <v>0</v>
      </c>
      <c r="M6505" s="561">
        <v>0</v>
      </c>
      <c r="N6505" s="561">
        <v>0</v>
      </c>
      <c r="P6505" s="561">
        <v>0</v>
      </c>
      <c r="Q6505" s="561">
        <v>0</v>
      </c>
    </row>
    <row r="6506" spans="2:38">
      <c r="B6506" s="561" t="s">
        <v>1199</v>
      </c>
      <c r="C6506" s="561" t="s">
        <v>1199</v>
      </c>
      <c r="D6506" s="561">
        <v>21140.802</v>
      </c>
      <c r="E6506" s="561">
        <v>6087.9</v>
      </c>
      <c r="F6506" s="561">
        <v>15052.902</v>
      </c>
      <c r="G6506" s="561">
        <v>1605</v>
      </c>
      <c r="H6506" s="561">
        <v>22234.725999999999</v>
      </c>
      <c r="I6506" s="561">
        <v>27</v>
      </c>
      <c r="J6506" s="561">
        <v>1093.9239999999954</v>
      </c>
      <c r="K6506" s="561">
        <v>1578</v>
      </c>
      <c r="L6506" s="561">
        <v>21140.802000000003</v>
      </c>
      <c r="M6506" s="561">
        <v>21140.802000000003</v>
      </c>
      <c r="N6506" s="561">
        <v>6087.9</v>
      </c>
      <c r="P6506" s="561">
        <v>15052.902000000004</v>
      </c>
      <c r="Q6506" s="561">
        <v>15052.902000000004</v>
      </c>
    </row>
    <row r="6507" spans="2:38">
      <c r="B6507" s="561" t="s">
        <v>1805</v>
      </c>
      <c r="C6507" s="561" t="s">
        <v>1267</v>
      </c>
      <c r="D6507" s="561">
        <v>184875.40000000002</v>
      </c>
      <c r="E6507" s="561">
        <v>48367.8</v>
      </c>
      <c r="F6507" s="561">
        <v>136507.6</v>
      </c>
      <c r="G6507" s="561">
        <v>4426</v>
      </c>
      <c r="H6507" s="561">
        <v>194628.24200000003</v>
      </c>
      <c r="I6507" s="561">
        <v>21</v>
      </c>
      <c r="J6507" s="561">
        <v>9752.8420000000151</v>
      </c>
      <c r="K6507" s="561">
        <v>4405</v>
      </c>
      <c r="L6507" s="561">
        <v>184875.4</v>
      </c>
      <c r="M6507" s="561">
        <v>184875.4</v>
      </c>
      <c r="N6507" s="561">
        <v>48367.8</v>
      </c>
      <c r="O6507" s="561">
        <v>0</v>
      </c>
      <c r="P6507" s="561">
        <v>136507.59999999998</v>
      </c>
      <c r="Q6507" s="561">
        <v>136507.6</v>
      </c>
    </row>
    <row r="6508" spans="2:38">
      <c r="B6508" s="561" t="s">
        <v>1197</v>
      </c>
      <c r="C6508" s="561" t="s">
        <v>1197</v>
      </c>
      <c r="D6508" s="561">
        <v>155673.05300000001</v>
      </c>
      <c r="E6508" s="561">
        <v>41917.800000000003</v>
      </c>
      <c r="F6508" s="561">
        <v>113755.253</v>
      </c>
      <c r="G6508" s="561">
        <v>2400</v>
      </c>
      <c r="H6508" s="561">
        <v>164702.35200000001</v>
      </c>
      <c r="I6508" s="561">
        <v>12</v>
      </c>
      <c r="J6508" s="561">
        <v>9029.335000000021</v>
      </c>
      <c r="K6508" s="561">
        <v>2388</v>
      </c>
      <c r="L6508" s="561">
        <v>155673.01699999999</v>
      </c>
      <c r="M6508" s="561">
        <v>155673.01699999999</v>
      </c>
      <c r="N6508" s="561">
        <v>41917.764000000003</v>
      </c>
      <c r="Q6508" s="561">
        <v>113755.253</v>
      </c>
      <c r="AL6508" s="561">
        <v>113755.253</v>
      </c>
    </row>
    <row r="6509" spans="2:38">
      <c r="B6509" s="561" t="s">
        <v>1198</v>
      </c>
      <c r="C6509" s="561" t="s">
        <v>1198</v>
      </c>
      <c r="D6509" s="561">
        <v>0</v>
      </c>
      <c r="F6509" s="561">
        <v>0</v>
      </c>
      <c r="G6509" s="561">
        <v>0</v>
      </c>
      <c r="H6509" s="561">
        <v>0</v>
      </c>
      <c r="I6509" s="561">
        <v>0</v>
      </c>
      <c r="J6509" s="561">
        <v>0</v>
      </c>
      <c r="K6509" s="561">
        <v>0</v>
      </c>
      <c r="L6509" s="561">
        <v>0</v>
      </c>
      <c r="M6509" s="561">
        <v>0</v>
      </c>
      <c r="N6509" s="561">
        <v>0</v>
      </c>
      <c r="P6509" s="561">
        <v>0</v>
      </c>
      <c r="Q6509" s="561">
        <v>0</v>
      </c>
    </row>
    <row r="6510" spans="2:38">
      <c r="B6510" s="561" t="s">
        <v>1199</v>
      </c>
      <c r="C6510" s="561" t="s">
        <v>1199</v>
      </c>
      <c r="D6510" s="561">
        <v>29202.347000000002</v>
      </c>
      <c r="E6510" s="561">
        <v>6450</v>
      </c>
      <c r="F6510" s="561">
        <v>22752.347000000002</v>
      </c>
      <c r="G6510" s="561">
        <v>2026</v>
      </c>
      <c r="H6510" s="561">
        <v>29925.89</v>
      </c>
      <c r="I6510" s="561">
        <v>9</v>
      </c>
      <c r="J6510" s="561">
        <v>723.50699999999415</v>
      </c>
      <c r="K6510" s="561">
        <v>2017</v>
      </c>
      <c r="L6510" s="561">
        <v>29202.383000000005</v>
      </c>
      <c r="M6510" s="561">
        <v>29202.383000000005</v>
      </c>
      <c r="N6510" s="561">
        <v>6450.036000000001</v>
      </c>
      <c r="P6510" s="561">
        <v>22752.347000000005</v>
      </c>
      <c r="Q6510" s="561">
        <v>22752.346999999998</v>
      </c>
    </row>
    <row r="6511" spans="2:38">
      <c r="B6511" s="561" t="s">
        <v>1806</v>
      </c>
      <c r="C6511" s="561" t="s">
        <v>1267</v>
      </c>
      <c r="D6511" s="561">
        <v>196154.1</v>
      </c>
      <c r="E6511" s="561">
        <v>53190</v>
      </c>
      <c r="F6511" s="561">
        <v>142964.1</v>
      </c>
      <c r="G6511" s="561">
        <v>4693</v>
      </c>
      <c r="H6511" s="561">
        <v>203933.23200000002</v>
      </c>
      <c r="I6511" s="561">
        <v>8</v>
      </c>
      <c r="J6511" s="561">
        <v>7779.1319999999869</v>
      </c>
      <c r="K6511" s="561">
        <v>4685</v>
      </c>
      <c r="L6511" s="561">
        <v>196154.10000000003</v>
      </c>
      <c r="M6511" s="561">
        <v>196154.10000000003</v>
      </c>
      <c r="N6511" s="561">
        <v>53190</v>
      </c>
      <c r="O6511" s="561">
        <v>0</v>
      </c>
      <c r="P6511" s="561">
        <v>142964.10000000003</v>
      </c>
      <c r="Q6511" s="561">
        <v>142964.10000000003</v>
      </c>
    </row>
    <row r="6512" spans="2:38">
      <c r="B6512" s="561" t="s">
        <v>1197</v>
      </c>
      <c r="C6512" s="561" t="s">
        <v>1197</v>
      </c>
      <c r="D6512" s="561">
        <v>166702.6</v>
      </c>
      <c r="E6512" s="561">
        <v>45540</v>
      </c>
      <c r="F6512" s="561">
        <v>121162.6</v>
      </c>
      <c r="G6512" s="561">
        <v>2685</v>
      </c>
      <c r="H6512" s="561">
        <v>174010.63700000002</v>
      </c>
      <c r="I6512" s="561">
        <v>8</v>
      </c>
      <c r="J6512" s="561">
        <v>7308.0369999999821</v>
      </c>
      <c r="K6512" s="561">
        <v>2677</v>
      </c>
      <c r="L6512" s="561">
        <v>166702.60000000003</v>
      </c>
      <c r="M6512" s="561">
        <v>166702.60000000003</v>
      </c>
      <c r="N6512" s="561">
        <v>45540</v>
      </c>
      <c r="Q6512" s="561">
        <v>121162.60000000003</v>
      </c>
      <c r="AL6512" s="561">
        <v>121162.60000000003</v>
      </c>
    </row>
    <row r="6513" spans="2:38">
      <c r="B6513" s="561" t="s">
        <v>1198</v>
      </c>
      <c r="C6513" s="561" t="s">
        <v>1198</v>
      </c>
      <c r="F6513" s="561">
        <v>0</v>
      </c>
      <c r="G6513" s="561">
        <v>0</v>
      </c>
      <c r="H6513" s="561">
        <v>0</v>
      </c>
      <c r="I6513" s="561">
        <v>0</v>
      </c>
      <c r="J6513" s="561">
        <v>0</v>
      </c>
      <c r="K6513" s="561">
        <v>0</v>
      </c>
      <c r="L6513" s="561">
        <v>0</v>
      </c>
      <c r="M6513" s="561">
        <v>0</v>
      </c>
      <c r="N6513" s="561">
        <v>0</v>
      </c>
      <c r="P6513" s="561">
        <v>0</v>
      </c>
      <c r="Q6513" s="561">
        <v>0</v>
      </c>
    </row>
    <row r="6514" spans="2:38">
      <c r="B6514" s="561" t="s">
        <v>1199</v>
      </c>
      <c r="C6514" s="561" t="s">
        <v>1199</v>
      </c>
      <c r="D6514" s="561">
        <v>29451.5</v>
      </c>
      <c r="E6514" s="561">
        <v>7650</v>
      </c>
      <c r="F6514" s="561">
        <v>21801.5</v>
      </c>
      <c r="G6514" s="561">
        <v>2008</v>
      </c>
      <c r="H6514" s="561">
        <v>29922.595000000005</v>
      </c>
      <c r="I6514" s="561">
        <v>0</v>
      </c>
      <c r="J6514" s="561">
        <v>471.0950000000048</v>
      </c>
      <c r="K6514" s="561">
        <v>2008</v>
      </c>
      <c r="L6514" s="561">
        <v>29451.5</v>
      </c>
      <c r="M6514" s="561">
        <v>29451.5</v>
      </c>
      <c r="N6514" s="561">
        <v>7650</v>
      </c>
      <c r="P6514" s="561">
        <v>21801.5</v>
      </c>
      <c r="Q6514" s="561">
        <v>21801.5</v>
      </c>
    </row>
    <row r="6515" spans="2:38">
      <c r="B6515" s="561" t="s">
        <v>1807</v>
      </c>
      <c r="C6515" s="561" t="s">
        <v>1267</v>
      </c>
      <c r="D6515" s="561">
        <v>204409.5</v>
      </c>
      <c r="E6515" s="561">
        <v>58327.5</v>
      </c>
      <c r="F6515" s="561">
        <v>146082</v>
      </c>
      <c r="G6515" s="561">
        <v>5514</v>
      </c>
      <c r="H6515" s="561">
        <v>216144.13200000001</v>
      </c>
      <c r="I6515" s="561">
        <v>20</v>
      </c>
      <c r="J6515" s="561">
        <v>11734.631999999998</v>
      </c>
      <c r="K6515" s="561">
        <v>5494</v>
      </c>
      <c r="L6515" s="561">
        <v>204409.5</v>
      </c>
      <c r="M6515" s="561">
        <v>204409.5</v>
      </c>
      <c r="N6515" s="561">
        <v>58327.5</v>
      </c>
      <c r="O6515" s="561">
        <v>0</v>
      </c>
      <c r="P6515" s="561">
        <v>146082</v>
      </c>
      <c r="Q6515" s="561">
        <v>146082</v>
      </c>
    </row>
    <row r="6516" spans="2:38">
      <c r="B6516" s="561" t="s">
        <v>1197</v>
      </c>
      <c r="C6516" s="561" t="s">
        <v>1197</v>
      </c>
      <c r="D6516" s="561">
        <v>162789.29</v>
      </c>
      <c r="E6516" s="561">
        <v>49500</v>
      </c>
      <c r="F6516" s="561">
        <v>113289.29</v>
      </c>
      <c r="G6516" s="561">
        <v>2569</v>
      </c>
      <c r="H6516" s="561">
        <v>172744.359</v>
      </c>
      <c r="I6516" s="561">
        <v>7</v>
      </c>
      <c r="J6516" s="561">
        <v>9955.0689999999886</v>
      </c>
      <c r="K6516" s="561">
        <v>2562</v>
      </c>
      <c r="L6516" s="561">
        <v>162789.29</v>
      </c>
      <c r="M6516" s="561">
        <v>162789.29</v>
      </c>
      <c r="N6516" s="561">
        <v>49500</v>
      </c>
      <c r="Q6516" s="561">
        <v>113289.29</v>
      </c>
      <c r="AL6516" s="561">
        <v>113289.29000000001</v>
      </c>
    </row>
    <row r="6517" spans="2:38">
      <c r="B6517" s="561" t="s">
        <v>1198</v>
      </c>
      <c r="C6517" s="561" t="s">
        <v>1198</v>
      </c>
      <c r="D6517" s="561">
        <v>0</v>
      </c>
      <c r="F6517" s="561">
        <v>0</v>
      </c>
      <c r="G6517" s="561">
        <v>0</v>
      </c>
      <c r="H6517" s="561">
        <v>0</v>
      </c>
      <c r="I6517" s="561">
        <v>0</v>
      </c>
      <c r="J6517" s="561">
        <v>0</v>
      </c>
      <c r="K6517" s="561">
        <v>0</v>
      </c>
      <c r="L6517" s="561">
        <v>0</v>
      </c>
      <c r="M6517" s="561">
        <v>0</v>
      </c>
      <c r="N6517" s="561">
        <v>0</v>
      </c>
      <c r="P6517" s="561">
        <v>0</v>
      </c>
      <c r="Q6517" s="561">
        <v>0</v>
      </c>
    </row>
    <row r="6518" spans="2:38">
      <c r="B6518" s="561" t="s">
        <v>1199</v>
      </c>
      <c r="C6518" s="561" t="s">
        <v>1199</v>
      </c>
      <c r="D6518" s="561">
        <v>41620.21</v>
      </c>
      <c r="E6518" s="561">
        <v>8827.5</v>
      </c>
      <c r="F6518" s="561">
        <v>32792.71</v>
      </c>
      <c r="G6518" s="561">
        <v>2945</v>
      </c>
      <c r="H6518" s="561">
        <v>43399.773000000008</v>
      </c>
      <c r="I6518" s="561">
        <v>13</v>
      </c>
      <c r="J6518" s="561">
        <v>1779.5630000000092</v>
      </c>
      <c r="K6518" s="561">
        <v>2932</v>
      </c>
      <c r="L6518" s="561">
        <v>41620.21</v>
      </c>
      <c r="M6518" s="561">
        <v>41620.21</v>
      </c>
      <c r="N6518" s="561">
        <v>8827.5</v>
      </c>
      <c r="P6518" s="561">
        <v>32792.71</v>
      </c>
      <c r="Q6518" s="561">
        <v>32792.71</v>
      </c>
    </row>
    <row r="6519" spans="2:38">
      <c r="B6519" s="561" t="s">
        <v>1808</v>
      </c>
      <c r="C6519" s="561" t="s">
        <v>1267</v>
      </c>
      <c r="D6519" s="561">
        <v>260915.5</v>
      </c>
      <c r="E6519" s="561">
        <v>70970.7</v>
      </c>
      <c r="F6519" s="561">
        <v>189944.80000000002</v>
      </c>
      <c r="G6519" s="561">
        <v>5711</v>
      </c>
      <c r="H6519" s="561">
        <v>270689.44</v>
      </c>
      <c r="I6519" s="561">
        <v>23</v>
      </c>
      <c r="J6519" s="561">
        <v>9773.9400000000314</v>
      </c>
      <c r="K6519" s="561">
        <v>5688</v>
      </c>
      <c r="L6519" s="561">
        <v>260915.49999999997</v>
      </c>
      <c r="M6519" s="561">
        <v>260915.49999999997</v>
      </c>
      <c r="N6519" s="561">
        <v>70970.7</v>
      </c>
      <c r="O6519" s="561">
        <v>0</v>
      </c>
      <c r="P6519" s="561">
        <v>189944.8</v>
      </c>
      <c r="Q6519" s="561">
        <v>189944.80000000002</v>
      </c>
    </row>
    <row r="6520" spans="2:38">
      <c r="B6520" s="561" t="s">
        <v>1197</v>
      </c>
      <c r="C6520" s="561" t="s">
        <v>1197</v>
      </c>
      <c r="D6520" s="561">
        <v>224181</v>
      </c>
      <c r="E6520" s="561">
        <v>63526.8</v>
      </c>
      <c r="F6520" s="561">
        <v>160654.20000000001</v>
      </c>
      <c r="G6520" s="561">
        <v>3292</v>
      </c>
      <c r="H6520" s="561">
        <v>232966.48699999999</v>
      </c>
      <c r="I6520" s="561">
        <v>11</v>
      </c>
      <c r="J6520" s="561">
        <v>8785.4870000000228</v>
      </c>
      <c r="K6520" s="561">
        <v>3281</v>
      </c>
      <c r="L6520" s="561">
        <v>224180.99999999997</v>
      </c>
      <c r="M6520" s="561">
        <v>224180.99999999997</v>
      </c>
      <c r="N6520" s="561">
        <v>63526.8</v>
      </c>
      <c r="Q6520" s="561">
        <v>160654.20000000001</v>
      </c>
      <c r="AL6520" s="561">
        <v>160654.19999999995</v>
      </c>
    </row>
    <row r="6521" spans="2:38">
      <c r="B6521" s="561" t="s">
        <v>1198</v>
      </c>
      <c r="C6521" s="561" t="s">
        <v>1198</v>
      </c>
      <c r="F6521" s="561">
        <v>0</v>
      </c>
      <c r="G6521" s="561">
        <v>0</v>
      </c>
      <c r="H6521" s="561">
        <v>0</v>
      </c>
      <c r="I6521" s="561">
        <v>0</v>
      </c>
      <c r="J6521" s="561">
        <v>0</v>
      </c>
      <c r="K6521" s="561">
        <v>0</v>
      </c>
      <c r="L6521" s="561">
        <v>0</v>
      </c>
      <c r="M6521" s="561">
        <v>0</v>
      </c>
      <c r="N6521" s="561">
        <v>0</v>
      </c>
      <c r="P6521" s="561">
        <v>0</v>
      </c>
      <c r="Q6521" s="561">
        <v>0</v>
      </c>
    </row>
    <row r="6522" spans="2:38">
      <c r="B6522" s="561" t="s">
        <v>1199</v>
      </c>
      <c r="C6522" s="561" t="s">
        <v>1199</v>
      </c>
      <c r="D6522" s="561">
        <v>36734.5</v>
      </c>
      <c r="E6522" s="561">
        <v>7443.9</v>
      </c>
      <c r="F6522" s="561">
        <v>29290.6</v>
      </c>
      <c r="G6522" s="561">
        <v>2419</v>
      </c>
      <c r="H6522" s="561">
        <v>37722.953000000009</v>
      </c>
      <c r="I6522" s="561">
        <v>12</v>
      </c>
      <c r="J6522" s="561">
        <v>988.45300000000861</v>
      </c>
      <c r="K6522" s="561">
        <v>2407</v>
      </c>
      <c r="L6522" s="561">
        <v>36734.5</v>
      </c>
      <c r="M6522" s="561">
        <v>36734.5</v>
      </c>
      <c r="N6522" s="561">
        <v>7443.9</v>
      </c>
      <c r="P6522" s="561">
        <v>29290.6</v>
      </c>
      <c r="Q6522" s="561">
        <v>29290.600000000002</v>
      </c>
    </row>
    <row r="6523" spans="2:38">
      <c r="B6523" s="561" t="s">
        <v>1809</v>
      </c>
      <c r="C6523" s="561" t="s">
        <v>1267</v>
      </c>
      <c r="D6523" s="561">
        <v>218331.4</v>
      </c>
      <c r="E6523" s="561">
        <v>62175</v>
      </c>
      <c r="F6523" s="561">
        <v>156156.4</v>
      </c>
      <c r="G6523" s="561">
        <v>4918</v>
      </c>
      <c r="H6523" s="561">
        <v>228060.82900000003</v>
      </c>
      <c r="I6523" s="561">
        <v>10</v>
      </c>
      <c r="J6523" s="561">
        <v>9729.4290000000183</v>
      </c>
      <c r="K6523" s="561">
        <v>4908</v>
      </c>
      <c r="L6523" s="561">
        <v>218331.40000000002</v>
      </c>
      <c r="M6523" s="561">
        <v>218331.40000000002</v>
      </c>
      <c r="N6523" s="561">
        <v>62175</v>
      </c>
      <c r="O6523" s="561">
        <v>0</v>
      </c>
      <c r="P6523" s="561">
        <v>156156.40000000002</v>
      </c>
      <c r="Q6523" s="561">
        <v>156156.4</v>
      </c>
    </row>
    <row r="6524" spans="2:38">
      <c r="B6524" s="561" t="s">
        <v>1197</v>
      </c>
      <c r="C6524" s="561" t="s">
        <v>1197</v>
      </c>
      <c r="D6524" s="561">
        <v>187788.15700000001</v>
      </c>
      <c r="E6524" s="561">
        <v>55575</v>
      </c>
      <c r="F6524" s="561">
        <v>132213.15700000001</v>
      </c>
      <c r="G6524" s="561">
        <v>2837</v>
      </c>
      <c r="H6524" s="561">
        <v>196672.10100000002</v>
      </c>
      <c r="I6524" s="561">
        <v>4</v>
      </c>
      <c r="J6524" s="561">
        <v>8883.9440000000177</v>
      </c>
      <c r="K6524" s="561">
        <v>2833</v>
      </c>
      <c r="L6524" s="561">
        <v>187788.15700000001</v>
      </c>
      <c r="M6524" s="561">
        <v>187788.15700000001</v>
      </c>
      <c r="N6524" s="561">
        <v>55575</v>
      </c>
      <c r="Q6524" s="561">
        <v>132213.15700000001</v>
      </c>
      <c r="AL6524" s="561">
        <v>132213.15700000001</v>
      </c>
    </row>
    <row r="6525" spans="2:38">
      <c r="B6525" s="561" t="s">
        <v>1198</v>
      </c>
      <c r="C6525" s="561" t="s">
        <v>1198</v>
      </c>
      <c r="D6525" s="561">
        <v>0</v>
      </c>
      <c r="F6525" s="561">
        <v>0</v>
      </c>
      <c r="G6525" s="561">
        <v>0</v>
      </c>
      <c r="H6525" s="561">
        <v>0</v>
      </c>
      <c r="I6525" s="561">
        <v>0</v>
      </c>
      <c r="J6525" s="561">
        <v>0</v>
      </c>
      <c r="K6525" s="561">
        <v>0</v>
      </c>
      <c r="L6525" s="561">
        <v>0</v>
      </c>
      <c r="M6525" s="561">
        <v>0</v>
      </c>
      <c r="N6525" s="561">
        <v>0</v>
      </c>
      <c r="P6525" s="561">
        <v>0</v>
      </c>
      <c r="Q6525" s="561">
        <v>0</v>
      </c>
    </row>
    <row r="6526" spans="2:38">
      <c r="B6526" s="561" t="s">
        <v>1199</v>
      </c>
      <c r="C6526" s="561" t="s">
        <v>1199</v>
      </c>
      <c r="D6526" s="561">
        <v>30543.242999999999</v>
      </c>
      <c r="E6526" s="561">
        <v>6600</v>
      </c>
      <c r="F6526" s="561">
        <v>23943.242999999999</v>
      </c>
      <c r="G6526" s="561">
        <v>2081</v>
      </c>
      <c r="H6526" s="561">
        <v>31388.728000000003</v>
      </c>
      <c r="I6526" s="561">
        <v>6</v>
      </c>
      <c r="J6526" s="561">
        <v>845.48500000000058</v>
      </c>
      <c r="K6526" s="561">
        <v>2075</v>
      </c>
      <c r="L6526" s="561">
        <v>30543.243000000002</v>
      </c>
      <c r="M6526" s="561">
        <v>30543.243000000002</v>
      </c>
      <c r="N6526" s="561">
        <v>6600</v>
      </c>
      <c r="P6526" s="561">
        <v>23943.243000000002</v>
      </c>
      <c r="Q6526" s="561">
        <v>23943.242999999999</v>
      </c>
    </row>
    <row r="6527" spans="2:38">
      <c r="B6527" s="561" t="s">
        <v>1810</v>
      </c>
      <c r="C6527" s="561" t="s">
        <v>1267</v>
      </c>
      <c r="D6527" s="561">
        <v>170909.90000000002</v>
      </c>
      <c r="E6527" s="561">
        <v>45196.800000000003</v>
      </c>
      <c r="F6527" s="561">
        <v>125713.1</v>
      </c>
      <c r="G6527" s="561">
        <v>3774</v>
      </c>
      <c r="H6527" s="561">
        <v>183840.467</v>
      </c>
      <c r="I6527" s="561">
        <v>14</v>
      </c>
      <c r="J6527" s="561">
        <v>12930.566999999995</v>
      </c>
      <c r="K6527" s="561">
        <v>3760</v>
      </c>
      <c r="L6527" s="561">
        <v>170909.9</v>
      </c>
      <c r="M6527" s="561">
        <v>170909.9</v>
      </c>
      <c r="N6527" s="561">
        <v>45196.800000000003</v>
      </c>
      <c r="O6527" s="561">
        <v>0</v>
      </c>
      <c r="P6527" s="561">
        <v>125713.09999999999</v>
      </c>
      <c r="Q6527" s="561">
        <v>125713.1</v>
      </c>
    </row>
    <row r="6528" spans="2:38">
      <c r="B6528" s="561" t="s">
        <v>1197</v>
      </c>
      <c r="C6528" s="561" t="s">
        <v>1197</v>
      </c>
      <c r="D6528" s="561">
        <v>149934.22500000001</v>
      </c>
      <c r="E6528" s="561">
        <v>41596.800000000003</v>
      </c>
      <c r="F6528" s="561">
        <v>108337.425</v>
      </c>
      <c r="G6528" s="561">
        <v>2386</v>
      </c>
      <c r="H6528" s="561">
        <v>162389.538</v>
      </c>
      <c r="I6528" s="561">
        <v>14</v>
      </c>
      <c r="J6528" s="561">
        <v>12455.312999999995</v>
      </c>
      <c r="K6528" s="561">
        <v>2372</v>
      </c>
      <c r="L6528" s="561">
        <v>149934.22500000001</v>
      </c>
      <c r="M6528" s="561">
        <v>149934.22500000001</v>
      </c>
      <c r="N6528" s="561">
        <v>41596.800000000003</v>
      </c>
      <c r="Q6528" s="561">
        <v>108337.425</v>
      </c>
      <c r="AL6528" s="561">
        <v>108337.425</v>
      </c>
    </row>
    <row r="6529" spans="2:38">
      <c r="B6529" s="561" t="s">
        <v>1198</v>
      </c>
      <c r="C6529" s="561" t="s">
        <v>1198</v>
      </c>
      <c r="D6529" s="561">
        <v>0</v>
      </c>
      <c r="F6529" s="561">
        <v>0</v>
      </c>
      <c r="G6529" s="561">
        <v>0</v>
      </c>
      <c r="H6529" s="561">
        <v>0</v>
      </c>
      <c r="I6529" s="561">
        <v>0</v>
      </c>
      <c r="J6529" s="561">
        <v>0</v>
      </c>
      <c r="K6529" s="561">
        <v>0</v>
      </c>
      <c r="L6529" s="561">
        <v>0</v>
      </c>
      <c r="M6529" s="561">
        <v>0</v>
      </c>
      <c r="N6529" s="561">
        <v>0</v>
      </c>
      <c r="P6529" s="561">
        <v>0</v>
      </c>
      <c r="Q6529" s="561">
        <v>0</v>
      </c>
    </row>
    <row r="6530" spans="2:38">
      <c r="B6530" s="561" t="s">
        <v>1199</v>
      </c>
      <c r="C6530" s="561" t="s">
        <v>1199</v>
      </c>
      <c r="D6530" s="561">
        <v>20975.675000000003</v>
      </c>
      <c r="E6530" s="561">
        <v>3600</v>
      </c>
      <c r="F6530" s="561">
        <v>17375.675000000003</v>
      </c>
      <c r="G6530" s="561">
        <v>1388</v>
      </c>
      <c r="H6530" s="561">
        <v>21450.929</v>
      </c>
      <c r="I6530" s="561">
        <v>0</v>
      </c>
      <c r="J6530" s="561">
        <v>475.25400000000081</v>
      </c>
      <c r="K6530" s="561">
        <v>1388</v>
      </c>
      <c r="L6530" s="561">
        <v>20975.674999999999</v>
      </c>
      <c r="M6530" s="561">
        <v>20975.674999999999</v>
      </c>
      <c r="N6530" s="561">
        <v>3600</v>
      </c>
      <c r="P6530" s="561">
        <v>17375.674999999999</v>
      </c>
      <c r="Q6530" s="561">
        <v>17375.674999999999</v>
      </c>
    </row>
    <row r="6531" spans="2:38">
      <c r="B6531" s="561" t="s">
        <v>1811</v>
      </c>
      <c r="C6531" s="561" t="s">
        <v>1267</v>
      </c>
      <c r="D6531" s="561">
        <v>305582.19999999995</v>
      </c>
      <c r="E6531" s="561">
        <v>82050</v>
      </c>
      <c r="F6531" s="561">
        <v>223532.19999999998</v>
      </c>
      <c r="G6531" s="561">
        <v>8371</v>
      </c>
      <c r="H6531" s="561">
        <v>327791.07299999997</v>
      </c>
      <c r="I6531" s="561">
        <v>78</v>
      </c>
      <c r="J6531" s="561">
        <v>22208.873000000007</v>
      </c>
      <c r="K6531" s="561">
        <v>8293</v>
      </c>
      <c r="L6531" s="561">
        <v>305582.2</v>
      </c>
      <c r="M6531" s="561">
        <v>305582.2</v>
      </c>
      <c r="N6531" s="561">
        <v>82050</v>
      </c>
      <c r="O6531" s="561">
        <v>0</v>
      </c>
      <c r="P6531" s="561">
        <v>223532.2</v>
      </c>
      <c r="Q6531" s="561">
        <v>223532.19999999998</v>
      </c>
    </row>
    <row r="6532" spans="2:38">
      <c r="B6532" s="561" t="s">
        <v>1197</v>
      </c>
      <c r="C6532" s="561" t="s">
        <v>1197</v>
      </c>
      <c r="D6532" s="561">
        <v>236570.8</v>
      </c>
      <c r="E6532" s="561">
        <v>70200</v>
      </c>
      <c r="F6532" s="561">
        <v>166370.79999999999</v>
      </c>
      <c r="G6532" s="561">
        <v>3915</v>
      </c>
      <c r="H6532" s="561">
        <v>256354.079</v>
      </c>
      <c r="I6532" s="561">
        <v>50</v>
      </c>
      <c r="J6532" s="561">
        <v>19783.27900000001</v>
      </c>
      <c r="K6532" s="561">
        <v>3865</v>
      </c>
      <c r="L6532" s="561">
        <v>236570.8</v>
      </c>
      <c r="M6532" s="561">
        <v>236570.8</v>
      </c>
      <c r="N6532" s="561">
        <v>70200</v>
      </c>
      <c r="Q6532" s="561">
        <v>166370.79999999999</v>
      </c>
      <c r="AL6532" s="561">
        <v>166370.79999999999</v>
      </c>
    </row>
    <row r="6533" spans="2:38">
      <c r="B6533" s="561" t="s">
        <v>1198</v>
      </c>
      <c r="C6533" s="561" t="s">
        <v>1198</v>
      </c>
      <c r="F6533" s="561">
        <v>0</v>
      </c>
      <c r="G6533" s="561">
        <v>0</v>
      </c>
      <c r="H6533" s="561">
        <v>0</v>
      </c>
      <c r="I6533" s="561">
        <v>0</v>
      </c>
      <c r="J6533" s="561">
        <v>0</v>
      </c>
      <c r="K6533" s="561">
        <v>0</v>
      </c>
      <c r="L6533" s="561">
        <v>0</v>
      </c>
      <c r="M6533" s="561">
        <v>0</v>
      </c>
      <c r="N6533" s="561">
        <v>0</v>
      </c>
      <c r="P6533" s="561">
        <v>0</v>
      </c>
      <c r="Q6533" s="561">
        <v>0</v>
      </c>
    </row>
    <row r="6534" spans="2:38">
      <c r="B6534" s="561" t="s">
        <v>1199</v>
      </c>
      <c r="C6534" s="561" t="s">
        <v>1199</v>
      </c>
      <c r="D6534" s="561">
        <v>69011.399999999994</v>
      </c>
      <c r="E6534" s="561">
        <v>11850</v>
      </c>
      <c r="F6534" s="561">
        <v>57161.4</v>
      </c>
      <c r="G6534" s="561">
        <v>4456</v>
      </c>
      <c r="H6534" s="561">
        <v>71436.994000000006</v>
      </c>
      <c r="I6534" s="561">
        <v>28</v>
      </c>
      <c r="J6534" s="561">
        <v>2425.5939999999973</v>
      </c>
      <c r="K6534" s="561">
        <v>4428</v>
      </c>
      <c r="L6534" s="561">
        <v>69011.400000000009</v>
      </c>
      <c r="M6534" s="561">
        <v>69011.400000000009</v>
      </c>
      <c r="N6534" s="561">
        <v>11850</v>
      </c>
      <c r="P6534" s="561">
        <v>57161.400000000009</v>
      </c>
      <c r="Q6534" s="561">
        <v>57161.4</v>
      </c>
    </row>
    <row r="6535" spans="2:38">
      <c r="B6535" s="561" t="s">
        <v>1812</v>
      </c>
      <c r="C6535" s="561" t="s">
        <v>1267</v>
      </c>
      <c r="D6535" s="561">
        <v>325658.891</v>
      </c>
      <c r="E6535" s="561">
        <v>86218.200000000012</v>
      </c>
      <c r="F6535" s="561">
        <v>239440.69099999999</v>
      </c>
      <c r="G6535" s="561">
        <v>7863</v>
      </c>
      <c r="H6535" s="561">
        <v>343317.18599999999</v>
      </c>
      <c r="I6535" s="561">
        <v>55</v>
      </c>
      <c r="J6535" s="561">
        <v>17658.294999999998</v>
      </c>
      <c r="K6535" s="561">
        <v>7808</v>
      </c>
      <c r="L6535" s="561">
        <v>325658.891</v>
      </c>
      <c r="M6535" s="561">
        <v>325658.891</v>
      </c>
      <c r="N6535" s="561">
        <v>86218.200000000012</v>
      </c>
      <c r="O6535" s="561">
        <v>0</v>
      </c>
      <c r="P6535" s="561">
        <v>239440.69099999999</v>
      </c>
      <c r="Q6535" s="561">
        <v>239440.69099999999</v>
      </c>
    </row>
    <row r="6536" spans="2:38">
      <c r="B6536" s="561" t="s">
        <v>1197</v>
      </c>
      <c r="C6536" s="561" t="s">
        <v>1197</v>
      </c>
      <c r="D6536" s="561">
        <v>269479.571</v>
      </c>
      <c r="E6536" s="561">
        <v>73634.100000000006</v>
      </c>
      <c r="F6536" s="561">
        <v>195845.47099999999</v>
      </c>
      <c r="G6536" s="561">
        <v>4241</v>
      </c>
      <c r="H6536" s="561">
        <v>285509.02799999999</v>
      </c>
      <c r="I6536" s="561">
        <v>42</v>
      </c>
      <c r="J6536" s="561">
        <v>16029.456999999995</v>
      </c>
      <c r="K6536" s="561">
        <v>4199</v>
      </c>
      <c r="L6536" s="561">
        <v>269479.571</v>
      </c>
      <c r="M6536" s="561">
        <v>269479.571</v>
      </c>
      <c r="N6536" s="561">
        <v>73634.100000000006</v>
      </c>
      <c r="P6536" s="561">
        <v>195845.47099999999</v>
      </c>
      <c r="Q6536" s="561">
        <v>195845.47099999999</v>
      </c>
    </row>
    <row r="6537" spans="2:38">
      <c r="B6537" s="561" t="s">
        <v>1198</v>
      </c>
      <c r="C6537" s="561" t="s">
        <v>1198</v>
      </c>
      <c r="F6537" s="561">
        <v>0</v>
      </c>
      <c r="G6537" s="561">
        <v>0</v>
      </c>
      <c r="H6537" s="561">
        <v>0</v>
      </c>
      <c r="I6537" s="561">
        <v>0</v>
      </c>
      <c r="J6537" s="561">
        <v>0</v>
      </c>
      <c r="K6537" s="561">
        <v>0</v>
      </c>
      <c r="L6537" s="561">
        <v>0</v>
      </c>
      <c r="M6537" s="561">
        <v>0</v>
      </c>
      <c r="N6537" s="561">
        <v>0</v>
      </c>
      <c r="P6537" s="561">
        <v>0</v>
      </c>
      <c r="Q6537" s="561">
        <v>0</v>
      </c>
    </row>
    <row r="6538" spans="2:38">
      <c r="B6538" s="561" t="s">
        <v>1199</v>
      </c>
      <c r="C6538" s="561" t="s">
        <v>1199</v>
      </c>
      <c r="D6538" s="561">
        <v>54016.828999999998</v>
      </c>
      <c r="E6538" s="561">
        <v>12584.1</v>
      </c>
      <c r="F6538" s="561">
        <v>41432.728999999999</v>
      </c>
      <c r="G6538" s="561">
        <v>3622</v>
      </c>
      <c r="H6538" s="561">
        <v>55366.63700000001</v>
      </c>
      <c r="I6538" s="561">
        <v>13</v>
      </c>
      <c r="J6538" s="561">
        <v>1349.8080000000045</v>
      </c>
      <c r="K6538" s="561">
        <v>3609</v>
      </c>
      <c r="L6538" s="561">
        <v>54016.829000000005</v>
      </c>
      <c r="M6538" s="561">
        <v>54016.829000000005</v>
      </c>
      <c r="N6538" s="561">
        <v>12584.1</v>
      </c>
      <c r="P6538" s="561">
        <v>41432.729000000007</v>
      </c>
      <c r="Q6538" s="561">
        <v>41432.728999999999</v>
      </c>
    </row>
    <row r="6539" spans="2:38">
      <c r="C6539" s="561" t="s">
        <v>1202</v>
      </c>
      <c r="D6539" s="561">
        <v>2162.491</v>
      </c>
      <c r="F6539" s="561">
        <v>2162.491</v>
      </c>
      <c r="H6539" s="561">
        <v>2441.5210000000002</v>
      </c>
      <c r="J6539" s="561">
        <v>279.0300000000002</v>
      </c>
      <c r="L6539" s="561">
        <v>2162.491</v>
      </c>
      <c r="M6539" s="561">
        <v>2162.491</v>
      </c>
      <c r="P6539" s="561">
        <v>2162.491</v>
      </c>
      <c r="Q6539" s="561">
        <v>2162.491</v>
      </c>
    </row>
    <row r="6540" spans="2:38">
      <c r="B6540" s="561" t="s">
        <v>1813</v>
      </c>
      <c r="C6540" s="561" t="s">
        <v>1267</v>
      </c>
      <c r="D6540" s="561">
        <v>112175.6</v>
      </c>
      <c r="E6540" s="561">
        <v>31379.1</v>
      </c>
      <c r="F6540" s="561">
        <v>80796.5</v>
      </c>
      <c r="G6540" s="561">
        <v>2630</v>
      </c>
      <c r="H6540" s="561">
        <v>116896.68599999997</v>
      </c>
      <c r="I6540" s="561">
        <v>4</v>
      </c>
      <c r="J6540" s="561">
        <v>4721.0859999999648</v>
      </c>
      <c r="K6540" s="561">
        <v>2626</v>
      </c>
      <c r="L6540" s="561">
        <v>112175.6</v>
      </c>
      <c r="M6540" s="561">
        <v>112175.6</v>
      </c>
      <c r="N6540" s="561">
        <v>31379.1</v>
      </c>
      <c r="O6540" s="561">
        <v>0</v>
      </c>
      <c r="P6540" s="561">
        <v>80796.5</v>
      </c>
      <c r="Q6540" s="561">
        <v>80796.5</v>
      </c>
    </row>
    <row r="6541" spans="2:38">
      <c r="B6541" s="561" t="s">
        <v>1197</v>
      </c>
      <c r="C6541" s="561" t="s">
        <v>1197</v>
      </c>
      <c r="D6541" s="561">
        <v>96181.915000000008</v>
      </c>
      <c r="E6541" s="561">
        <v>27840</v>
      </c>
      <c r="F6541" s="561">
        <v>68341.915000000008</v>
      </c>
      <c r="G6541" s="561">
        <v>1506</v>
      </c>
      <c r="H6541" s="561">
        <v>100805.43599999997</v>
      </c>
      <c r="I6541" s="561">
        <v>4</v>
      </c>
      <c r="J6541" s="561">
        <v>4623.5209999999643</v>
      </c>
      <c r="K6541" s="561">
        <v>1502</v>
      </c>
      <c r="L6541" s="561">
        <v>96181.915000000008</v>
      </c>
      <c r="M6541" s="561">
        <v>96181.915000000008</v>
      </c>
      <c r="N6541" s="561">
        <v>27840</v>
      </c>
      <c r="Q6541" s="561">
        <v>68341.914999999994</v>
      </c>
      <c r="AL6541" s="561">
        <v>68341.915000000008</v>
      </c>
    </row>
    <row r="6542" spans="2:38">
      <c r="B6542" s="561" t="s">
        <v>1198</v>
      </c>
      <c r="C6542" s="561" t="s">
        <v>1198</v>
      </c>
      <c r="D6542" s="561">
        <v>0</v>
      </c>
      <c r="F6542" s="561">
        <v>0</v>
      </c>
      <c r="G6542" s="561">
        <v>0</v>
      </c>
      <c r="H6542" s="561">
        <v>0</v>
      </c>
      <c r="I6542" s="561">
        <v>0</v>
      </c>
      <c r="J6542" s="561">
        <v>0</v>
      </c>
      <c r="K6542" s="561">
        <v>0</v>
      </c>
      <c r="L6542" s="561">
        <v>0</v>
      </c>
      <c r="M6542" s="561">
        <v>0</v>
      </c>
      <c r="N6542" s="561">
        <v>0</v>
      </c>
      <c r="P6542" s="561">
        <v>0</v>
      </c>
      <c r="Q6542" s="561">
        <v>0</v>
      </c>
    </row>
    <row r="6543" spans="2:38">
      <c r="B6543" s="561" t="s">
        <v>1199</v>
      </c>
      <c r="C6543" s="561" t="s">
        <v>1199</v>
      </c>
      <c r="D6543" s="561">
        <v>15993.684999999999</v>
      </c>
      <c r="E6543" s="561">
        <v>3539.1</v>
      </c>
      <c r="F6543" s="561">
        <v>12454.584999999999</v>
      </c>
      <c r="G6543" s="561">
        <v>1124</v>
      </c>
      <c r="H6543" s="561">
        <v>16091.25</v>
      </c>
      <c r="I6543" s="561">
        <v>0</v>
      </c>
      <c r="J6543" s="561">
        <v>97.565000000000509</v>
      </c>
      <c r="K6543" s="561">
        <v>1124</v>
      </c>
      <c r="L6543" s="561">
        <v>15993.684999999999</v>
      </c>
      <c r="M6543" s="561">
        <v>15993.684999999999</v>
      </c>
      <c r="N6543" s="561">
        <v>3539.1</v>
      </c>
      <c r="P6543" s="561">
        <v>12454.584999999999</v>
      </c>
      <c r="Q6543" s="561">
        <v>12454.584999999999</v>
      </c>
    </row>
    <row r="6544" spans="2:38">
      <c r="B6544" s="561" t="s">
        <v>1814</v>
      </c>
      <c r="C6544" s="561" t="s">
        <v>1267</v>
      </c>
      <c r="D6544" s="561">
        <v>201365.7</v>
      </c>
      <c r="E6544" s="561">
        <v>52827.3</v>
      </c>
      <c r="F6544" s="561">
        <v>148538.4</v>
      </c>
      <c r="G6544" s="561">
        <v>4452</v>
      </c>
      <c r="H6544" s="561">
        <v>204842.93</v>
      </c>
      <c r="I6544" s="561">
        <v>0</v>
      </c>
      <c r="J6544" s="561">
        <v>3477.2299999999741</v>
      </c>
      <c r="K6544" s="561">
        <v>4452</v>
      </c>
      <c r="L6544" s="561">
        <v>201365.7</v>
      </c>
      <c r="M6544" s="561">
        <v>201365.7</v>
      </c>
      <c r="N6544" s="561">
        <v>52827.3</v>
      </c>
      <c r="O6544" s="561">
        <v>0</v>
      </c>
      <c r="P6544" s="561">
        <v>148538.40000000002</v>
      </c>
      <c r="Q6544" s="561">
        <v>148538.4</v>
      </c>
    </row>
    <row r="6545" spans="2:51">
      <c r="B6545" s="561" t="s">
        <v>1197</v>
      </c>
      <c r="C6545" s="561" t="s">
        <v>1197</v>
      </c>
      <c r="D6545" s="561">
        <v>177255.7</v>
      </c>
      <c r="E6545" s="561">
        <v>48279.9</v>
      </c>
      <c r="F6545" s="561">
        <v>128975.8</v>
      </c>
      <c r="G6545" s="561">
        <v>2690</v>
      </c>
      <c r="H6545" s="561">
        <v>180394.20799999998</v>
      </c>
      <c r="I6545" s="561">
        <v>0</v>
      </c>
      <c r="J6545" s="561">
        <v>3138.5079999999725</v>
      </c>
      <c r="K6545" s="561">
        <v>2690</v>
      </c>
      <c r="L6545" s="561">
        <v>177255.7</v>
      </c>
      <c r="M6545" s="561">
        <v>177255.7</v>
      </c>
      <c r="N6545" s="561">
        <v>48279.9</v>
      </c>
      <c r="Q6545" s="561">
        <v>128975.79999999999</v>
      </c>
      <c r="AL6545" s="561">
        <v>128975.80000000002</v>
      </c>
    </row>
    <row r="6546" spans="2:51">
      <c r="B6546" s="561" t="s">
        <v>1198</v>
      </c>
      <c r="C6546" s="561" t="s">
        <v>1198</v>
      </c>
      <c r="F6546" s="561">
        <v>0</v>
      </c>
      <c r="G6546" s="561">
        <v>0</v>
      </c>
      <c r="H6546" s="561">
        <v>0</v>
      </c>
      <c r="I6546" s="561">
        <v>0</v>
      </c>
      <c r="J6546" s="561">
        <v>0</v>
      </c>
      <c r="K6546" s="561">
        <v>0</v>
      </c>
      <c r="L6546" s="561">
        <v>0</v>
      </c>
      <c r="M6546" s="561">
        <v>0</v>
      </c>
      <c r="N6546" s="561">
        <v>0</v>
      </c>
      <c r="P6546" s="561">
        <v>0</v>
      </c>
      <c r="Q6546" s="561">
        <v>0</v>
      </c>
    </row>
    <row r="6547" spans="2:51">
      <c r="B6547" s="561" t="s">
        <v>1199</v>
      </c>
      <c r="C6547" s="561" t="s">
        <v>1199</v>
      </c>
      <c r="D6547" s="561">
        <v>24110</v>
      </c>
      <c r="E6547" s="561">
        <v>4547.3999999999996</v>
      </c>
      <c r="F6547" s="561">
        <v>19562.599999999999</v>
      </c>
      <c r="G6547" s="561">
        <v>1762</v>
      </c>
      <c r="H6547" s="561">
        <v>24448.722000000002</v>
      </c>
      <c r="I6547" s="561">
        <v>0</v>
      </c>
      <c r="J6547" s="561">
        <v>338.72200000000157</v>
      </c>
      <c r="K6547" s="561">
        <v>1762</v>
      </c>
      <c r="L6547" s="561">
        <v>24110</v>
      </c>
      <c r="M6547" s="561">
        <v>24110</v>
      </c>
      <c r="N6547" s="561">
        <v>4547.3999999999996</v>
      </c>
      <c r="P6547" s="561">
        <v>19562.599999999999</v>
      </c>
      <c r="Q6547" s="561">
        <v>19562.599999999999</v>
      </c>
    </row>
    <row r="6548" spans="2:51">
      <c r="B6548" s="561" t="s">
        <v>1815</v>
      </c>
      <c r="C6548" s="561" t="s">
        <v>1267</v>
      </c>
      <c r="D6548" s="561">
        <v>169407</v>
      </c>
      <c r="E6548" s="561">
        <v>49125</v>
      </c>
      <c r="F6548" s="561">
        <v>120282</v>
      </c>
      <c r="G6548" s="561">
        <v>3868</v>
      </c>
      <c r="H6548" s="561">
        <v>178971.774</v>
      </c>
      <c r="I6548" s="561">
        <v>20</v>
      </c>
      <c r="J6548" s="561">
        <v>9564.7740000000049</v>
      </c>
      <c r="K6548" s="561">
        <v>3848</v>
      </c>
      <c r="L6548" s="561">
        <v>169407</v>
      </c>
      <c r="M6548" s="561">
        <v>169407</v>
      </c>
      <c r="N6548" s="561">
        <v>49125</v>
      </c>
      <c r="O6548" s="561">
        <v>0</v>
      </c>
      <c r="P6548" s="561">
        <v>120282</v>
      </c>
      <c r="Q6548" s="561">
        <v>120282</v>
      </c>
    </row>
    <row r="6549" spans="2:51">
      <c r="B6549" s="561" t="s">
        <v>1197</v>
      </c>
      <c r="C6549" s="561" t="s">
        <v>1197</v>
      </c>
      <c r="D6549" s="561">
        <v>146492.9</v>
      </c>
      <c r="E6549" s="561">
        <v>43875</v>
      </c>
      <c r="F6549" s="561">
        <v>102617.9</v>
      </c>
      <c r="G6549" s="561">
        <v>2263</v>
      </c>
      <c r="H6549" s="561">
        <v>154974.5</v>
      </c>
      <c r="I6549" s="561">
        <v>5</v>
      </c>
      <c r="J6549" s="561">
        <v>8481.6000000000058</v>
      </c>
      <c r="K6549" s="561">
        <v>2258</v>
      </c>
      <c r="L6549" s="561">
        <v>146492.9</v>
      </c>
      <c r="M6549" s="561">
        <v>146492.9</v>
      </c>
      <c r="N6549" s="561">
        <v>43875</v>
      </c>
      <c r="Q6549" s="561">
        <v>102617.9</v>
      </c>
      <c r="AL6549" s="561">
        <v>102617.9</v>
      </c>
    </row>
    <row r="6550" spans="2:51">
      <c r="B6550" s="561" t="s">
        <v>1198</v>
      </c>
      <c r="C6550" s="561" t="s">
        <v>1198</v>
      </c>
      <c r="F6550" s="561">
        <v>0</v>
      </c>
      <c r="G6550" s="561">
        <v>0</v>
      </c>
      <c r="H6550" s="561">
        <v>0</v>
      </c>
      <c r="I6550" s="561">
        <v>0</v>
      </c>
      <c r="J6550" s="561">
        <v>0</v>
      </c>
      <c r="K6550" s="561">
        <v>0</v>
      </c>
      <c r="L6550" s="561">
        <v>0</v>
      </c>
      <c r="M6550" s="561">
        <v>0</v>
      </c>
      <c r="N6550" s="561">
        <v>0</v>
      </c>
      <c r="P6550" s="561">
        <v>0</v>
      </c>
      <c r="Q6550" s="561">
        <v>0</v>
      </c>
    </row>
    <row r="6551" spans="2:51">
      <c r="B6551" s="561" t="s">
        <v>1199</v>
      </c>
      <c r="C6551" s="561" t="s">
        <v>1199</v>
      </c>
      <c r="D6551" s="561">
        <v>22914.1</v>
      </c>
      <c r="E6551" s="561">
        <v>5250</v>
      </c>
      <c r="F6551" s="561">
        <v>17664.099999999999</v>
      </c>
      <c r="G6551" s="561">
        <v>1605</v>
      </c>
      <c r="H6551" s="561">
        <v>23997.274000000001</v>
      </c>
      <c r="I6551" s="561">
        <v>15</v>
      </c>
      <c r="J6551" s="561">
        <v>1083.1739999999991</v>
      </c>
      <c r="K6551" s="561">
        <v>1590</v>
      </c>
      <c r="L6551" s="561">
        <v>22914.100000000002</v>
      </c>
      <c r="M6551" s="561">
        <v>22914.100000000002</v>
      </c>
      <c r="N6551" s="561">
        <v>5250</v>
      </c>
      <c r="P6551" s="561">
        <v>17664.100000000002</v>
      </c>
      <c r="Q6551" s="561">
        <v>17664.100000000002</v>
      </c>
    </row>
    <row r="6552" spans="2:51">
      <c r="B6552" s="561" t="s">
        <v>1816</v>
      </c>
      <c r="C6552" s="561" t="s">
        <v>1267</v>
      </c>
      <c r="D6552" s="561">
        <v>114056</v>
      </c>
      <c r="E6552" s="561">
        <v>34216.799999999996</v>
      </c>
      <c r="F6552" s="561">
        <v>79839.199999999997</v>
      </c>
      <c r="G6552" s="561">
        <v>2544</v>
      </c>
      <c r="H6552" s="561">
        <v>114644.91900000002</v>
      </c>
      <c r="I6552" s="561">
        <v>0</v>
      </c>
      <c r="J6552" s="561">
        <v>588.91900000000169</v>
      </c>
      <c r="K6552" s="561">
        <v>2544</v>
      </c>
      <c r="L6552" s="561">
        <v>114056.00000000001</v>
      </c>
      <c r="M6552" s="561">
        <v>114056.00000000001</v>
      </c>
      <c r="N6552" s="561">
        <v>34216.799999999996</v>
      </c>
      <c r="O6552" s="561">
        <v>0</v>
      </c>
      <c r="P6552" s="561">
        <v>79839.200000000012</v>
      </c>
      <c r="Q6552" s="561">
        <v>79839.200000000012</v>
      </c>
    </row>
    <row r="6553" spans="2:51">
      <c r="B6553" s="561" t="s">
        <v>1197</v>
      </c>
      <c r="C6553" s="561" t="s">
        <v>1197</v>
      </c>
      <c r="D6553" s="561">
        <v>97237</v>
      </c>
      <c r="E6553" s="561">
        <v>29171.1</v>
      </c>
      <c r="F6553" s="561">
        <v>68065.899999999994</v>
      </c>
      <c r="G6553" s="561">
        <v>1437</v>
      </c>
      <c r="H6553" s="561">
        <v>97445.156000000017</v>
      </c>
      <c r="I6553" s="561">
        <v>0</v>
      </c>
      <c r="J6553" s="561">
        <v>208.15600000000268</v>
      </c>
      <c r="K6553" s="561">
        <v>1437</v>
      </c>
      <c r="L6553" s="561">
        <v>97237.000000000015</v>
      </c>
      <c r="M6553" s="561">
        <v>97237.000000000015</v>
      </c>
      <c r="N6553" s="561">
        <v>29171.1</v>
      </c>
      <c r="Q6553" s="561">
        <v>68065.900000000009</v>
      </c>
      <c r="AY6553" s="561">
        <v>68065.900000000023</v>
      </c>
    </row>
    <row r="6554" spans="2:51">
      <c r="B6554" s="561" t="s">
        <v>1198</v>
      </c>
      <c r="C6554" s="561" t="s">
        <v>1198</v>
      </c>
      <c r="F6554" s="561">
        <v>0</v>
      </c>
      <c r="G6554" s="561">
        <v>0</v>
      </c>
      <c r="H6554" s="561">
        <v>0</v>
      </c>
      <c r="I6554" s="561">
        <v>0</v>
      </c>
      <c r="J6554" s="561">
        <v>0</v>
      </c>
      <c r="K6554" s="561">
        <v>0</v>
      </c>
      <c r="L6554" s="561">
        <v>0</v>
      </c>
      <c r="M6554" s="561">
        <v>0</v>
      </c>
      <c r="N6554" s="561">
        <v>0</v>
      </c>
      <c r="P6554" s="561">
        <v>0</v>
      </c>
      <c r="Q6554" s="561">
        <v>0</v>
      </c>
    </row>
    <row r="6555" spans="2:51">
      <c r="B6555" s="561" t="s">
        <v>1199</v>
      </c>
      <c r="C6555" s="561" t="s">
        <v>1199</v>
      </c>
      <c r="D6555" s="561">
        <v>16819</v>
      </c>
      <c r="E6555" s="561">
        <v>5045.7</v>
      </c>
      <c r="F6555" s="561">
        <v>11773.3</v>
      </c>
      <c r="G6555" s="561">
        <v>1107</v>
      </c>
      <c r="H6555" s="561">
        <v>17199.762999999999</v>
      </c>
      <c r="I6555" s="561">
        <v>0</v>
      </c>
      <c r="J6555" s="561">
        <v>380.76299999999901</v>
      </c>
      <c r="K6555" s="561">
        <v>1107</v>
      </c>
      <c r="L6555" s="561">
        <v>16819</v>
      </c>
      <c r="M6555" s="561">
        <v>16819</v>
      </c>
      <c r="N6555" s="561">
        <v>5045.7</v>
      </c>
      <c r="P6555" s="561">
        <v>11773.3</v>
      </c>
      <c r="Q6555" s="561">
        <v>11773.3</v>
      </c>
    </row>
    <row r="6556" spans="2:51">
      <c r="B6556" s="561" t="s">
        <v>1817</v>
      </c>
      <c r="C6556" s="561" t="s">
        <v>1267</v>
      </c>
      <c r="D6556" s="561">
        <v>17210</v>
      </c>
      <c r="E6556" s="561">
        <v>5163</v>
      </c>
      <c r="F6556" s="561">
        <v>12047</v>
      </c>
      <c r="G6556" s="561">
        <v>1461</v>
      </c>
      <c r="H6556" s="561">
        <v>17824.004000000001</v>
      </c>
      <c r="I6556" s="561">
        <v>0</v>
      </c>
      <c r="J6556" s="561">
        <v>614.00400000000081</v>
      </c>
      <c r="K6556" s="561">
        <v>1461</v>
      </c>
      <c r="L6556" s="561">
        <v>17210</v>
      </c>
      <c r="M6556" s="561">
        <v>17210</v>
      </c>
      <c r="N6556" s="561">
        <v>5163</v>
      </c>
      <c r="O6556" s="561">
        <v>0</v>
      </c>
      <c r="P6556" s="561">
        <v>12047</v>
      </c>
      <c r="Q6556" s="561">
        <v>12047</v>
      </c>
    </row>
    <row r="6557" spans="2:51">
      <c r="B6557" s="561" t="s">
        <v>1197</v>
      </c>
      <c r="C6557" s="561" t="s">
        <v>1197</v>
      </c>
      <c r="I6557" s="561">
        <v>0</v>
      </c>
      <c r="J6557" s="561">
        <v>0</v>
      </c>
      <c r="P6557" s="561">
        <v>0</v>
      </c>
    </row>
    <row r="6558" spans="2:51">
      <c r="B6558" s="561" t="s">
        <v>1198</v>
      </c>
      <c r="C6558" s="561" t="s">
        <v>1198</v>
      </c>
      <c r="I6558" s="561">
        <v>0</v>
      </c>
      <c r="J6558" s="561">
        <v>0</v>
      </c>
      <c r="P6558" s="561">
        <v>0</v>
      </c>
    </row>
    <row r="6559" spans="2:51">
      <c r="B6559" s="561" t="s">
        <v>1199</v>
      </c>
      <c r="C6559" s="561" t="s">
        <v>1199</v>
      </c>
      <c r="D6559" s="561">
        <v>17210</v>
      </c>
      <c r="E6559" s="561">
        <v>5163</v>
      </c>
      <c r="F6559" s="561">
        <v>12047</v>
      </c>
      <c r="G6559" s="561">
        <v>1461</v>
      </c>
      <c r="H6559" s="561">
        <v>17824.004000000001</v>
      </c>
      <c r="I6559" s="561">
        <v>0</v>
      </c>
      <c r="J6559" s="561">
        <v>614.00400000000081</v>
      </c>
      <c r="K6559" s="561">
        <v>1461</v>
      </c>
      <c r="L6559" s="561">
        <v>17210</v>
      </c>
      <c r="M6559" s="561">
        <v>17210</v>
      </c>
      <c r="N6559" s="561">
        <v>5163</v>
      </c>
      <c r="P6559" s="561">
        <v>12047</v>
      </c>
      <c r="Q6559" s="561">
        <v>12047</v>
      </c>
    </row>
    <row r="6560" spans="2:51">
      <c r="B6560" s="561" t="s">
        <v>1818</v>
      </c>
      <c r="C6560" s="561" t="s">
        <v>1267</v>
      </c>
      <c r="D6560" s="561">
        <v>28172.5</v>
      </c>
      <c r="E6560" s="561">
        <v>7715.1</v>
      </c>
      <c r="F6560" s="561">
        <v>20457.400000000001</v>
      </c>
      <c r="G6560" s="561">
        <v>1767</v>
      </c>
      <c r="H6560" s="561">
        <v>28453.076000000005</v>
      </c>
      <c r="I6560" s="561">
        <v>0</v>
      </c>
      <c r="J6560" s="561">
        <v>280.57600000000457</v>
      </c>
      <c r="K6560" s="561">
        <v>1767</v>
      </c>
      <c r="L6560" s="561">
        <v>28172.5</v>
      </c>
      <c r="M6560" s="561">
        <v>28172.5</v>
      </c>
      <c r="N6560" s="561">
        <v>7715.1</v>
      </c>
      <c r="O6560" s="561">
        <v>0</v>
      </c>
      <c r="P6560" s="561">
        <v>20457.400000000001</v>
      </c>
      <c r="Q6560" s="561">
        <v>20457.399999999998</v>
      </c>
    </row>
    <row r="6561" spans="2:17">
      <c r="B6561" s="561" t="s">
        <v>1197</v>
      </c>
      <c r="C6561" s="561" t="s">
        <v>1197</v>
      </c>
      <c r="I6561" s="561">
        <v>0</v>
      </c>
      <c r="J6561" s="561">
        <v>0</v>
      </c>
      <c r="P6561" s="561">
        <v>0</v>
      </c>
    </row>
    <row r="6562" spans="2:17">
      <c r="B6562" s="561" t="s">
        <v>1198</v>
      </c>
      <c r="C6562" s="561" t="s">
        <v>1198</v>
      </c>
      <c r="I6562" s="561">
        <v>0</v>
      </c>
      <c r="J6562" s="561">
        <v>0</v>
      </c>
      <c r="P6562" s="561">
        <v>0</v>
      </c>
    </row>
    <row r="6563" spans="2:17">
      <c r="B6563" s="561" t="s">
        <v>1199</v>
      </c>
      <c r="C6563" s="561" t="s">
        <v>1199</v>
      </c>
      <c r="D6563" s="561">
        <v>28172.5</v>
      </c>
      <c r="E6563" s="561">
        <v>7715.1</v>
      </c>
      <c r="F6563" s="561">
        <v>20457.400000000001</v>
      </c>
      <c r="G6563" s="561">
        <v>1767</v>
      </c>
      <c r="H6563" s="561">
        <v>28453.076000000005</v>
      </c>
      <c r="I6563" s="561">
        <v>0</v>
      </c>
      <c r="J6563" s="561">
        <v>280.57600000000457</v>
      </c>
      <c r="K6563" s="561">
        <v>1767</v>
      </c>
      <c r="L6563" s="561">
        <v>28172.5</v>
      </c>
      <c r="M6563" s="561">
        <v>28172.5</v>
      </c>
      <c r="N6563" s="561">
        <v>7715.1</v>
      </c>
      <c r="P6563" s="561">
        <v>20457.400000000001</v>
      </c>
      <c r="Q6563" s="561">
        <v>20457.399999999998</v>
      </c>
    </row>
    <row r="6564" spans="2:17">
      <c r="B6564" s="561" t="s">
        <v>1819</v>
      </c>
      <c r="C6564" s="561" t="s">
        <v>1267</v>
      </c>
      <c r="D6564" s="561">
        <v>22003</v>
      </c>
      <c r="E6564" s="561">
        <v>6062.4</v>
      </c>
      <c r="F6564" s="561">
        <v>15940.6</v>
      </c>
      <c r="G6564" s="561">
        <v>1713</v>
      </c>
      <c r="H6564" s="561">
        <v>22266.571999999996</v>
      </c>
      <c r="I6564" s="561">
        <v>0</v>
      </c>
      <c r="J6564" s="561">
        <v>263.57199999999284</v>
      </c>
      <c r="K6564" s="561">
        <v>1713</v>
      </c>
      <c r="L6564" s="561">
        <v>22003.000000000004</v>
      </c>
      <c r="M6564" s="561">
        <v>22003.000000000004</v>
      </c>
      <c r="N6564" s="561">
        <v>6062.4</v>
      </c>
      <c r="O6564" s="561">
        <v>0</v>
      </c>
      <c r="P6564" s="561">
        <v>15940.600000000004</v>
      </c>
      <c r="Q6564" s="561">
        <v>15940.599999999999</v>
      </c>
    </row>
    <row r="6565" spans="2:17">
      <c r="B6565" s="561" t="s">
        <v>1197</v>
      </c>
      <c r="C6565" s="561" t="s">
        <v>1197</v>
      </c>
      <c r="I6565" s="561">
        <v>0</v>
      </c>
      <c r="J6565" s="561">
        <v>0</v>
      </c>
      <c r="P6565" s="561">
        <v>0</v>
      </c>
    </row>
    <row r="6566" spans="2:17">
      <c r="B6566" s="561" t="s">
        <v>1198</v>
      </c>
      <c r="C6566" s="561" t="s">
        <v>1198</v>
      </c>
      <c r="I6566" s="561">
        <v>0</v>
      </c>
      <c r="J6566" s="561">
        <v>0</v>
      </c>
      <c r="P6566" s="561">
        <v>0</v>
      </c>
    </row>
    <row r="6567" spans="2:17">
      <c r="B6567" s="561" t="s">
        <v>1199</v>
      </c>
      <c r="C6567" s="561" t="s">
        <v>1199</v>
      </c>
      <c r="D6567" s="561">
        <v>22003</v>
      </c>
      <c r="E6567" s="561">
        <v>6062.4</v>
      </c>
      <c r="F6567" s="561">
        <v>15940.6</v>
      </c>
      <c r="G6567" s="561">
        <v>1713</v>
      </c>
      <c r="H6567" s="561">
        <v>22266.571999999996</v>
      </c>
      <c r="I6567" s="561">
        <v>0</v>
      </c>
      <c r="J6567" s="561">
        <v>263.57199999999284</v>
      </c>
      <c r="K6567" s="561">
        <v>1713</v>
      </c>
      <c r="L6567" s="561">
        <v>22003.000000000004</v>
      </c>
      <c r="M6567" s="561">
        <v>22003.000000000004</v>
      </c>
      <c r="N6567" s="561">
        <v>6062.4</v>
      </c>
      <c r="P6567" s="561">
        <v>15940.600000000004</v>
      </c>
      <c r="Q6567" s="561">
        <v>15940.599999999999</v>
      </c>
    </row>
    <row r="6568" spans="2:17">
      <c r="B6568" s="561" t="s">
        <v>1820</v>
      </c>
      <c r="C6568" s="561" t="s">
        <v>1267</v>
      </c>
      <c r="D6568" s="561">
        <v>32391</v>
      </c>
      <c r="E6568" s="561">
        <v>8879.4</v>
      </c>
      <c r="F6568" s="561">
        <v>23511.599999999999</v>
      </c>
      <c r="G6568" s="561">
        <v>2545</v>
      </c>
      <c r="H6568" s="561">
        <v>32787.468999999997</v>
      </c>
      <c r="I6568" s="561">
        <v>13</v>
      </c>
      <c r="J6568" s="561">
        <v>396.46899999999732</v>
      </c>
      <c r="K6568" s="561">
        <v>2532</v>
      </c>
      <c r="L6568" s="561">
        <v>32391</v>
      </c>
      <c r="M6568" s="561">
        <v>32391</v>
      </c>
      <c r="N6568" s="561">
        <v>8879.4</v>
      </c>
      <c r="O6568" s="561">
        <v>0</v>
      </c>
      <c r="P6568" s="561">
        <v>23511.599999999999</v>
      </c>
      <c r="Q6568" s="561">
        <v>23511.599999999999</v>
      </c>
    </row>
    <row r="6569" spans="2:17">
      <c r="B6569" s="561" t="s">
        <v>1197</v>
      </c>
      <c r="C6569" s="561" t="s">
        <v>1197</v>
      </c>
      <c r="I6569" s="561">
        <v>0</v>
      </c>
      <c r="J6569" s="561">
        <v>0</v>
      </c>
      <c r="P6569" s="561">
        <v>0</v>
      </c>
    </row>
    <row r="6570" spans="2:17">
      <c r="B6570" s="561" t="s">
        <v>1198</v>
      </c>
      <c r="C6570" s="561" t="s">
        <v>1198</v>
      </c>
      <c r="I6570" s="561">
        <v>0</v>
      </c>
      <c r="J6570" s="561">
        <v>0</v>
      </c>
      <c r="P6570" s="561">
        <v>0</v>
      </c>
    </row>
    <row r="6571" spans="2:17">
      <c r="B6571" s="561" t="s">
        <v>1199</v>
      </c>
      <c r="C6571" s="561" t="s">
        <v>1199</v>
      </c>
      <c r="D6571" s="561">
        <v>32391</v>
      </c>
      <c r="E6571" s="561">
        <v>8879.4</v>
      </c>
      <c r="F6571" s="561">
        <v>23511.599999999999</v>
      </c>
      <c r="G6571" s="561">
        <v>2545</v>
      </c>
      <c r="H6571" s="561">
        <v>32787.468999999997</v>
      </c>
      <c r="I6571" s="561">
        <v>13</v>
      </c>
      <c r="J6571" s="561">
        <v>396.46899999999732</v>
      </c>
      <c r="K6571" s="561">
        <v>2532</v>
      </c>
      <c r="L6571" s="561">
        <v>32391</v>
      </c>
      <c r="M6571" s="561">
        <v>32391</v>
      </c>
      <c r="N6571" s="561">
        <v>8879.4</v>
      </c>
      <c r="P6571" s="561">
        <v>23511.599999999999</v>
      </c>
      <c r="Q6571" s="561">
        <v>23511.599999999999</v>
      </c>
    </row>
    <row r="6572" spans="2:17">
      <c r="B6572" s="561" t="s">
        <v>1821</v>
      </c>
      <c r="C6572" s="561" t="s">
        <v>1267</v>
      </c>
      <c r="D6572" s="561">
        <v>15419</v>
      </c>
      <c r="E6572" s="561">
        <v>3830.4</v>
      </c>
      <c r="F6572" s="561">
        <v>11588.6</v>
      </c>
      <c r="G6572" s="561">
        <v>1140</v>
      </c>
      <c r="H6572" s="561">
        <v>15728.366</v>
      </c>
      <c r="I6572" s="561">
        <v>6</v>
      </c>
      <c r="J6572" s="561">
        <v>309.36599999999999</v>
      </c>
      <c r="K6572" s="561">
        <v>1134</v>
      </c>
      <c r="L6572" s="561">
        <v>15419</v>
      </c>
      <c r="M6572" s="561">
        <v>15419</v>
      </c>
      <c r="N6572" s="561">
        <v>3830.4</v>
      </c>
      <c r="O6572" s="561">
        <v>0</v>
      </c>
      <c r="P6572" s="561">
        <v>11588.6</v>
      </c>
      <c r="Q6572" s="561">
        <v>11588.6</v>
      </c>
    </row>
    <row r="6573" spans="2:17">
      <c r="B6573" s="561" t="s">
        <v>1197</v>
      </c>
      <c r="C6573" s="561" t="s">
        <v>1197</v>
      </c>
      <c r="I6573" s="561">
        <v>0</v>
      </c>
      <c r="J6573" s="561">
        <v>0</v>
      </c>
      <c r="P6573" s="561">
        <v>0</v>
      </c>
    </row>
    <row r="6574" spans="2:17">
      <c r="B6574" s="561" t="s">
        <v>1198</v>
      </c>
      <c r="C6574" s="561" t="s">
        <v>1198</v>
      </c>
      <c r="I6574" s="561">
        <v>0</v>
      </c>
      <c r="J6574" s="561">
        <v>0</v>
      </c>
      <c r="P6574" s="561">
        <v>0</v>
      </c>
    </row>
    <row r="6575" spans="2:17">
      <c r="B6575" s="561" t="s">
        <v>1199</v>
      </c>
      <c r="C6575" s="561" t="s">
        <v>1199</v>
      </c>
      <c r="D6575" s="561">
        <v>15419</v>
      </c>
      <c r="E6575" s="561">
        <v>3830.4</v>
      </c>
      <c r="F6575" s="561">
        <v>11588.6</v>
      </c>
      <c r="G6575" s="561">
        <v>1140</v>
      </c>
      <c r="H6575" s="561">
        <v>15728.366</v>
      </c>
      <c r="I6575" s="561">
        <v>6</v>
      </c>
      <c r="J6575" s="561">
        <v>309.36599999999999</v>
      </c>
      <c r="K6575" s="561">
        <v>1134</v>
      </c>
      <c r="L6575" s="561">
        <v>15419</v>
      </c>
      <c r="M6575" s="561">
        <v>15419</v>
      </c>
      <c r="N6575" s="561">
        <v>3830.4</v>
      </c>
      <c r="P6575" s="561">
        <v>11588.6</v>
      </c>
      <c r="Q6575" s="561">
        <v>11588.6</v>
      </c>
    </row>
    <row r="6576" spans="2:17">
      <c r="B6576" s="561" t="s">
        <v>1822</v>
      </c>
      <c r="C6576" s="561" t="s">
        <v>1267</v>
      </c>
      <c r="D6576" s="561">
        <v>7242.1</v>
      </c>
      <c r="E6576" s="561">
        <v>1871.4</v>
      </c>
      <c r="F6576" s="561">
        <v>5370.7</v>
      </c>
      <c r="G6576" s="561">
        <v>455</v>
      </c>
      <c r="H6576" s="561">
        <v>7462.9320000000007</v>
      </c>
      <c r="I6576" s="561">
        <v>2</v>
      </c>
      <c r="J6576" s="561">
        <v>220.83200000000124</v>
      </c>
      <c r="K6576" s="561">
        <v>453</v>
      </c>
      <c r="L6576" s="561">
        <v>7242.0999999999995</v>
      </c>
      <c r="M6576" s="561">
        <v>7242.0999999999995</v>
      </c>
      <c r="N6576" s="561">
        <v>1871.4</v>
      </c>
      <c r="O6576" s="561">
        <v>0</v>
      </c>
      <c r="P6576" s="561">
        <v>5370.6999999999989</v>
      </c>
      <c r="Q6576" s="561">
        <v>5370.7</v>
      </c>
    </row>
    <row r="6577" spans="1:111">
      <c r="B6577" s="561" t="s">
        <v>1197</v>
      </c>
      <c r="C6577" s="561" t="s">
        <v>1197</v>
      </c>
      <c r="I6577" s="561">
        <v>0</v>
      </c>
      <c r="J6577" s="561">
        <v>0</v>
      </c>
      <c r="P6577" s="561">
        <v>0</v>
      </c>
    </row>
    <row r="6578" spans="1:111">
      <c r="B6578" s="561" t="s">
        <v>1198</v>
      </c>
      <c r="C6578" s="561" t="s">
        <v>1198</v>
      </c>
      <c r="I6578" s="561">
        <v>0</v>
      </c>
      <c r="J6578" s="561">
        <v>0</v>
      </c>
      <c r="P6578" s="561">
        <v>0</v>
      </c>
    </row>
    <row r="6579" spans="1:111">
      <c r="B6579" s="561" t="s">
        <v>1199</v>
      </c>
      <c r="C6579" s="561" t="s">
        <v>1199</v>
      </c>
      <c r="D6579" s="561">
        <v>7242.1</v>
      </c>
      <c r="E6579" s="561">
        <v>1871.4</v>
      </c>
      <c r="F6579" s="561">
        <v>5370.7</v>
      </c>
      <c r="G6579" s="561">
        <v>455</v>
      </c>
      <c r="H6579" s="561">
        <v>7462.9320000000007</v>
      </c>
      <c r="I6579" s="561">
        <v>2</v>
      </c>
      <c r="J6579" s="561">
        <v>220.83200000000124</v>
      </c>
      <c r="K6579" s="561">
        <v>453</v>
      </c>
      <c r="L6579" s="561">
        <v>7242.0999999999995</v>
      </c>
      <c r="M6579" s="561">
        <v>7242.0999999999995</v>
      </c>
      <c r="N6579" s="561">
        <v>1871.4</v>
      </c>
      <c r="P6579" s="561">
        <v>5370.6999999999989</v>
      </c>
      <c r="Q6579" s="561">
        <v>5370.7</v>
      </c>
    </row>
    <row r="6580" spans="1:111">
      <c r="B6580" s="561" t="s">
        <v>1823</v>
      </c>
      <c r="C6580" s="561" t="s">
        <v>1267</v>
      </c>
      <c r="D6580" s="561">
        <v>1480</v>
      </c>
      <c r="E6580" s="561">
        <v>300</v>
      </c>
      <c r="F6580" s="561">
        <v>1180</v>
      </c>
      <c r="G6580" s="561">
        <v>83</v>
      </c>
      <c r="H6580" s="561">
        <v>1516.826</v>
      </c>
      <c r="I6580" s="561">
        <v>0</v>
      </c>
      <c r="J6580" s="561">
        <v>36.826000000000022</v>
      </c>
      <c r="K6580" s="561">
        <v>83</v>
      </c>
      <c r="L6580" s="561">
        <v>1480</v>
      </c>
      <c r="M6580" s="561">
        <v>1480</v>
      </c>
      <c r="N6580" s="561">
        <v>300</v>
      </c>
      <c r="O6580" s="561">
        <v>0</v>
      </c>
      <c r="P6580" s="561">
        <v>1180</v>
      </c>
      <c r="Q6580" s="561">
        <v>1180</v>
      </c>
    </row>
    <row r="6581" spans="1:111">
      <c r="B6581" s="561" t="s">
        <v>1197</v>
      </c>
      <c r="C6581" s="561" t="s">
        <v>1197</v>
      </c>
      <c r="I6581" s="561">
        <v>0</v>
      </c>
      <c r="J6581" s="561">
        <v>0</v>
      </c>
      <c r="P6581" s="561">
        <v>0</v>
      </c>
    </row>
    <row r="6582" spans="1:111">
      <c r="B6582" s="561" t="s">
        <v>1198</v>
      </c>
      <c r="C6582" s="561" t="s">
        <v>1198</v>
      </c>
      <c r="I6582" s="561">
        <v>0</v>
      </c>
      <c r="J6582" s="561">
        <v>0</v>
      </c>
      <c r="P6582" s="561">
        <v>0</v>
      </c>
    </row>
    <row r="6583" spans="1:111">
      <c r="B6583" s="561" t="s">
        <v>1199</v>
      </c>
      <c r="C6583" s="561" t="s">
        <v>1199</v>
      </c>
      <c r="D6583" s="561">
        <v>1480</v>
      </c>
      <c r="E6583" s="561">
        <v>300</v>
      </c>
      <c r="F6583" s="561">
        <v>1180</v>
      </c>
      <c r="G6583" s="561">
        <v>83</v>
      </c>
      <c r="H6583" s="561">
        <v>1516.826</v>
      </c>
      <c r="I6583" s="561">
        <v>0</v>
      </c>
      <c r="J6583" s="561">
        <v>36.826000000000022</v>
      </c>
      <c r="K6583" s="561">
        <v>83</v>
      </c>
      <c r="L6583" s="561">
        <v>1480</v>
      </c>
      <c r="M6583" s="561">
        <v>1480</v>
      </c>
      <c r="N6583" s="561">
        <v>300</v>
      </c>
      <c r="P6583" s="561">
        <v>1180</v>
      </c>
      <c r="Q6583" s="561">
        <v>1180</v>
      </c>
    </row>
    <row r="6584" spans="1:111">
      <c r="B6584" s="561" t="s">
        <v>1824</v>
      </c>
      <c r="C6584" s="561" t="s">
        <v>1267</v>
      </c>
      <c r="D6584" s="561">
        <v>1060.5</v>
      </c>
      <c r="E6584" s="561">
        <v>300</v>
      </c>
      <c r="F6584" s="561">
        <v>760.5</v>
      </c>
      <c r="G6584" s="561">
        <v>83</v>
      </c>
      <c r="H6584" s="561">
        <v>1121.6789999999999</v>
      </c>
      <c r="I6584" s="561">
        <v>1</v>
      </c>
      <c r="J6584" s="561">
        <v>61.17899999999986</v>
      </c>
      <c r="K6584" s="561">
        <v>82</v>
      </c>
      <c r="L6584" s="561">
        <v>1060.5</v>
      </c>
      <c r="M6584" s="561">
        <v>1060.5</v>
      </c>
      <c r="N6584" s="561">
        <v>300</v>
      </c>
      <c r="O6584" s="561">
        <v>0</v>
      </c>
      <c r="P6584" s="561">
        <v>760.5</v>
      </c>
      <c r="Q6584" s="561">
        <v>760.5</v>
      </c>
    </row>
    <row r="6585" spans="1:111">
      <c r="B6585" s="561" t="s">
        <v>1197</v>
      </c>
      <c r="C6585" s="561" t="s">
        <v>1197</v>
      </c>
      <c r="I6585" s="561">
        <v>0</v>
      </c>
      <c r="J6585" s="561">
        <v>0</v>
      </c>
      <c r="P6585" s="561">
        <v>0</v>
      </c>
    </row>
    <row r="6586" spans="1:111">
      <c r="B6586" s="561" t="s">
        <v>1198</v>
      </c>
      <c r="C6586" s="561" t="s">
        <v>1198</v>
      </c>
      <c r="I6586" s="561">
        <v>0</v>
      </c>
      <c r="J6586" s="561">
        <v>0</v>
      </c>
      <c r="P6586" s="561">
        <v>0</v>
      </c>
    </row>
    <row r="6587" spans="1:111">
      <c r="B6587" s="561" t="s">
        <v>1199</v>
      </c>
      <c r="C6587" s="561" t="s">
        <v>1199</v>
      </c>
      <c r="D6587" s="561">
        <v>1060.5</v>
      </c>
      <c r="E6587" s="561">
        <v>300</v>
      </c>
      <c r="F6587" s="561">
        <v>760.5</v>
      </c>
      <c r="G6587" s="561">
        <v>83</v>
      </c>
      <c r="H6587" s="561">
        <v>1121.6789999999999</v>
      </c>
      <c r="I6587" s="561">
        <v>1</v>
      </c>
      <c r="J6587" s="561">
        <v>61.17899999999986</v>
      </c>
      <c r="K6587" s="561">
        <v>82</v>
      </c>
      <c r="L6587" s="561">
        <v>1060.5</v>
      </c>
      <c r="M6587" s="561">
        <v>1060.5</v>
      </c>
      <c r="N6587" s="561">
        <v>300</v>
      </c>
      <c r="P6587" s="561">
        <v>760.5</v>
      </c>
      <c r="Q6587" s="561">
        <v>760.5</v>
      </c>
    </row>
    <row r="6588" spans="1:111">
      <c r="A6588" s="1735" t="s">
        <v>1198</v>
      </c>
      <c r="B6588" s="1735"/>
      <c r="C6588" s="1735"/>
      <c r="D6588" s="1735"/>
      <c r="E6588" s="1735"/>
      <c r="F6588" s="1735"/>
      <c r="G6588" s="1735"/>
      <c r="H6588" s="1735"/>
      <c r="I6588" s="1735"/>
      <c r="J6588" s="1735"/>
      <c r="K6588" s="1735"/>
      <c r="L6588" s="1735"/>
      <c r="M6588" s="1735"/>
      <c r="N6588" s="1735"/>
      <c r="O6588" s="1735"/>
      <c r="P6588" s="1735"/>
      <c r="AL6588" s="561">
        <f>SUM(AL6589:AL6706)</f>
        <v>139459.18599999999</v>
      </c>
      <c r="AM6588" s="561">
        <f t="shared" ref="AM6588:CX6588" si="146">SUM(AM6589:AM6706)</f>
        <v>0</v>
      </c>
      <c r="AN6588" s="561">
        <f t="shared" si="146"/>
        <v>0</v>
      </c>
      <c r="AO6588" s="561">
        <f t="shared" si="146"/>
        <v>0</v>
      </c>
      <c r="AP6588" s="561">
        <f t="shared" si="146"/>
        <v>0</v>
      </c>
      <c r="AQ6588" s="561">
        <f t="shared" si="146"/>
        <v>0</v>
      </c>
      <c r="AR6588" s="561">
        <f t="shared" si="146"/>
        <v>0</v>
      </c>
      <c r="AS6588" s="561">
        <f t="shared" si="146"/>
        <v>0</v>
      </c>
      <c r="AT6588" s="561">
        <f t="shared" si="146"/>
        <v>0</v>
      </c>
      <c r="AU6588" s="561">
        <f t="shared" si="146"/>
        <v>0</v>
      </c>
      <c r="AV6588" s="561">
        <f t="shared" si="146"/>
        <v>0</v>
      </c>
      <c r="AW6588" s="561">
        <f t="shared" si="146"/>
        <v>0</v>
      </c>
      <c r="AX6588" s="561">
        <f t="shared" si="146"/>
        <v>477682.18500000011</v>
      </c>
      <c r="AY6588" s="561">
        <f t="shared" si="146"/>
        <v>0</v>
      </c>
      <c r="AZ6588" s="561">
        <f t="shared" si="146"/>
        <v>0</v>
      </c>
      <c r="BA6588" s="561">
        <f t="shared" si="146"/>
        <v>0</v>
      </c>
      <c r="BB6588" s="561">
        <f t="shared" si="146"/>
        <v>6010.2000000000007</v>
      </c>
      <c r="BC6588" s="561">
        <f t="shared" si="146"/>
        <v>0</v>
      </c>
      <c r="BD6588" s="561">
        <f t="shared" si="146"/>
        <v>0</v>
      </c>
      <c r="BE6588" s="561">
        <f t="shared" si="146"/>
        <v>0</v>
      </c>
      <c r="BF6588" s="561">
        <f t="shared" si="146"/>
        <v>0</v>
      </c>
      <c r="BG6588" s="561">
        <f t="shared" si="146"/>
        <v>0</v>
      </c>
      <c r="BH6588" s="561">
        <f t="shared" si="146"/>
        <v>0</v>
      </c>
      <c r="BI6588" s="561">
        <f t="shared" si="146"/>
        <v>0</v>
      </c>
      <c r="BJ6588" s="561">
        <f t="shared" si="146"/>
        <v>0</v>
      </c>
      <c r="BK6588" s="561">
        <f t="shared" si="146"/>
        <v>0</v>
      </c>
      <c r="BL6588" s="561">
        <f t="shared" si="146"/>
        <v>0</v>
      </c>
      <c r="BM6588" s="561">
        <f t="shared" si="146"/>
        <v>0</v>
      </c>
      <c r="BN6588" s="561">
        <f t="shared" si="146"/>
        <v>0</v>
      </c>
      <c r="BO6588" s="561">
        <f t="shared" si="146"/>
        <v>0</v>
      </c>
      <c r="BP6588" s="561">
        <f t="shared" si="146"/>
        <v>0</v>
      </c>
      <c r="BQ6588" s="561">
        <f t="shared" si="146"/>
        <v>0</v>
      </c>
      <c r="BR6588" s="561">
        <f t="shared" si="146"/>
        <v>0</v>
      </c>
      <c r="BS6588" s="561">
        <f t="shared" si="146"/>
        <v>0</v>
      </c>
      <c r="BT6588" s="561">
        <f t="shared" si="146"/>
        <v>0</v>
      </c>
      <c r="BU6588" s="561">
        <f t="shared" si="146"/>
        <v>0</v>
      </c>
      <c r="BV6588" s="561">
        <f t="shared" si="146"/>
        <v>0</v>
      </c>
      <c r="BW6588" s="561">
        <f t="shared" si="146"/>
        <v>0</v>
      </c>
      <c r="BX6588" s="561">
        <f t="shared" si="146"/>
        <v>0</v>
      </c>
      <c r="BY6588" s="561">
        <f t="shared" si="146"/>
        <v>0</v>
      </c>
      <c r="BZ6588" s="561">
        <f t="shared" si="146"/>
        <v>0</v>
      </c>
      <c r="CA6588" s="561">
        <f t="shared" si="146"/>
        <v>0</v>
      </c>
      <c r="CB6588" s="561">
        <f t="shared" si="146"/>
        <v>0</v>
      </c>
      <c r="CC6588" s="561">
        <f t="shared" si="146"/>
        <v>0</v>
      </c>
      <c r="CD6588" s="561">
        <f t="shared" si="146"/>
        <v>0</v>
      </c>
      <c r="CE6588" s="561">
        <f t="shared" si="146"/>
        <v>0</v>
      </c>
      <c r="CF6588" s="561">
        <f t="shared" si="146"/>
        <v>0</v>
      </c>
      <c r="CG6588" s="561">
        <f t="shared" si="146"/>
        <v>0</v>
      </c>
      <c r="CH6588" s="561">
        <f t="shared" si="146"/>
        <v>0</v>
      </c>
      <c r="CI6588" s="561">
        <f t="shared" si="146"/>
        <v>0</v>
      </c>
      <c r="CJ6588" s="561">
        <f t="shared" si="146"/>
        <v>0</v>
      </c>
      <c r="CK6588" s="561">
        <f t="shared" si="146"/>
        <v>0</v>
      </c>
      <c r="CL6588" s="561">
        <f t="shared" si="146"/>
        <v>0</v>
      </c>
      <c r="CM6588" s="561">
        <f t="shared" si="146"/>
        <v>0</v>
      </c>
      <c r="CN6588" s="561">
        <f t="shared" si="146"/>
        <v>0</v>
      </c>
      <c r="CO6588" s="561">
        <f t="shared" si="146"/>
        <v>0</v>
      </c>
      <c r="CP6588" s="561">
        <f t="shared" si="146"/>
        <v>0</v>
      </c>
      <c r="CQ6588" s="561">
        <f t="shared" si="146"/>
        <v>0</v>
      </c>
      <c r="CR6588" s="561">
        <f t="shared" si="146"/>
        <v>0</v>
      </c>
      <c r="CS6588" s="561">
        <f t="shared" si="146"/>
        <v>0</v>
      </c>
      <c r="CT6588" s="561">
        <f t="shared" si="146"/>
        <v>0</v>
      </c>
      <c r="CU6588" s="561">
        <f t="shared" si="146"/>
        <v>0</v>
      </c>
      <c r="CV6588" s="561">
        <f t="shared" si="146"/>
        <v>0</v>
      </c>
      <c r="CW6588" s="561">
        <f t="shared" si="146"/>
        <v>0</v>
      </c>
      <c r="CX6588" s="561">
        <f t="shared" si="146"/>
        <v>0</v>
      </c>
      <c r="CY6588" s="561">
        <f t="shared" ref="CY6588:DG6588" si="147">SUM(CY6589:CY6706)</f>
        <v>0</v>
      </c>
      <c r="CZ6588" s="561">
        <f t="shared" si="147"/>
        <v>0</v>
      </c>
      <c r="DA6588" s="561">
        <f t="shared" si="147"/>
        <v>0</v>
      </c>
      <c r="DB6588" s="561">
        <f t="shared" si="147"/>
        <v>0</v>
      </c>
      <c r="DC6588" s="561">
        <f t="shared" si="147"/>
        <v>0</v>
      </c>
      <c r="DD6588" s="561">
        <f t="shared" si="147"/>
        <v>0</v>
      </c>
      <c r="DE6588" s="561">
        <f t="shared" si="147"/>
        <v>0</v>
      </c>
      <c r="DF6588" s="561">
        <f t="shared" si="147"/>
        <v>0</v>
      </c>
      <c r="DG6588" s="561">
        <f t="shared" si="147"/>
        <v>0</v>
      </c>
    </row>
    <row r="6589" spans="1:111">
      <c r="B6589" s="561" t="s">
        <v>1796</v>
      </c>
      <c r="C6589" s="561" t="s">
        <v>1267</v>
      </c>
      <c r="D6589" s="561">
        <v>1378056.8599999999</v>
      </c>
      <c r="E6589" s="561">
        <v>246622.49999999997</v>
      </c>
      <c r="F6589" s="561">
        <v>1131434.3600000001</v>
      </c>
      <c r="G6589" s="561">
        <v>11952</v>
      </c>
      <c r="H6589" s="561">
        <v>1449275.1600000001</v>
      </c>
      <c r="I6589" s="561">
        <v>47</v>
      </c>
      <c r="J6589" s="561">
        <v>71218.300000000221</v>
      </c>
      <c r="K6589" s="561">
        <v>11905</v>
      </c>
      <c r="L6589" s="561">
        <v>1378056.8599999999</v>
      </c>
      <c r="M6589" s="561">
        <v>1378056.8599999999</v>
      </c>
      <c r="N6589" s="561">
        <v>246622.49999999997</v>
      </c>
      <c r="O6589" s="561">
        <v>0</v>
      </c>
      <c r="P6589" s="561">
        <v>1131434.3599999999</v>
      </c>
    </row>
    <row r="6590" spans="1:111">
      <c r="C6590" s="561" t="s">
        <v>1197</v>
      </c>
      <c r="D6590" s="561">
        <v>1188222.3489999999</v>
      </c>
      <c r="E6590" s="561">
        <v>220896.3</v>
      </c>
      <c r="F6590" s="561">
        <v>967326.049</v>
      </c>
      <c r="G6590" s="561">
        <v>10459</v>
      </c>
      <c r="H6590" s="561">
        <v>1251204.0390000001</v>
      </c>
      <c r="I6590" s="561">
        <v>35</v>
      </c>
      <c r="J6590" s="561">
        <v>62981.693000000203</v>
      </c>
      <c r="K6590" s="561">
        <v>10424</v>
      </c>
      <c r="L6590" s="561">
        <v>1188222.3459999999</v>
      </c>
      <c r="M6590" s="561">
        <v>1188222.3459999999</v>
      </c>
      <c r="N6590" s="561">
        <v>220896.3</v>
      </c>
    </row>
    <row r="6591" spans="1:111">
      <c r="C6591" s="561" t="s">
        <v>1198</v>
      </c>
      <c r="D6591" s="561">
        <v>45303.144</v>
      </c>
      <c r="E6591" s="561">
        <v>5025.3</v>
      </c>
      <c r="F6591" s="561">
        <v>40277.843999999997</v>
      </c>
      <c r="G6591" s="561">
        <v>124</v>
      </c>
      <c r="H6591" s="561">
        <v>45328.887000000002</v>
      </c>
      <c r="I6591" s="561">
        <v>-2</v>
      </c>
      <c r="J6591" s="561">
        <v>25.740000000005239</v>
      </c>
      <c r="K6591" s="561">
        <v>126</v>
      </c>
      <c r="L6591" s="561">
        <v>45303.146999999997</v>
      </c>
      <c r="M6591" s="561">
        <v>45303.146999999997</v>
      </c>
      <c r="N6591" s="561">
        <v>5025.3</v>
      </c>
    </row>
    <row r="6592" spans="1:111">
      <c r="C6592" s="561" t="s">
        <v>1199</v>
      </c>
      <c r="D6592" s="561">
        <v>135165.90700000001</v>
      </c>
      <c r="E6592" s="561">
        <v>20700.900000000001</v>
      </c>
      <c r="F6592" s="561">
        <v>114465.00700000001</v>
      </c>
      <c r="G6592" s="561">
        <v>1369</v>
      </c>
      <c r="H6592" s="561">
        <v>135607.77800000002</v>
      </c>
      <c r="I6592" s="561">
        <v>14</v>
      </c>
      <c r="J6592" s="561">
        <v>441.87100000001374</v>
      </c>
      <c r="K6592" s="561">
        <v>1355</v>
      </c>
      <c r="L6592" s="561">
        <v>135165.90700000001</v>
      </c>
      <c r="M6592" s="561">
        <v>135165.90700000001</v>
      </c>
      <c r="N6592" s="561">
        <v>20700.900000000001</v>
      </c>
      <c r="P6592" s="561">
        <v>114465.00700000001</v>
      </c>
      <c r="AL6592" s="561">
        <v>40277.843999999997</v>
      </c>
    </row>
    <row r="6593" spans="2:54">
      <c r="C6593" s="561" t="s">
        <v>1202</v>
      </c>
      <c r="D6593" s="561">
        <v>9365.4599999999991</v>
      </c>
      <c r="F6593" s="561">
        <v>9365.4599999999991</v>
      </c>
      <c r="H6593" s="561">
        <v>17134.455999999998</v>
      </c>
      <c r="J6593" s="561">
        <v>7768.9959999999992</v>
      </c>
      <c r="L6593" s="561">
        <v>9365.4599999999991</v>
      </c>
      <c r="M6593" s="561">
        <v>9365.4599999999991</v>
      </c>
      <c r="P6593" s="561">
        <v>9365.4599999999991</v>
      </c>
    </row>
    <row r="6594" spans="2:54">
      <c r="B6594" s="561" t="s">
        <v>1797</v>
      </c>
      <c r="C6594" s="561" t="s">
        <v>1267</v>
      </c>
      <c r="D6594" s="561">
        <v>646281.69999999984</v>
      </c>
      <c r="E6594" s="561">
        <v>176470.5</v>
      </c>
      <c r="F6594" s="561">
        <v>469811.19999999995</v>
      </c>
      <c r="G6594" s="561">
        <v>9687</v>
      </c>
      <c r="H6594" s="561">
        <v>697906.82000000007</v>
      </c>
      <c r="I6594" s="561">
        <v>34</v>
      </c>
      <c r="J6594" s="561">
        <v>51625.120000000119</v>
      </c>
      <c r="K6594" s="561">
        <v>9653</v>
      </c>
      <c r="L6594" s="561">
        <v>646281.69999999984</v>
      </c>
      <c r="M6594" s="561">
        <v>646281.69999999984</v>
      </c>
      <c r="N6594" s="561">
        <v>176470.5</v>
      </c>
      <c r="O6594" s="561">
        <v>0</v>
      </c>
      <c r="P6594" s="561">
        <v>469811.19999999984</v>
      </c>
    </row>
    <row r="6595" spans="2:54">
      <c r="B6595" s="561" t="s">
        <v>1197</v>
      </c>
      <c r="C6595" s="561" t="s">
        <v>1197</v>
      </c>
      <c r="D6595" s="561">
        <v>611175.33899999992</v>
      </c>
      <c r="E6595" s="561">
        <v>170351.4</v>
      </c>
      <c r="F6595" s="561">
        <v>440823.93899999995</v>
      </c>
      <c r="G6595" s="561">
        <v>9284</v>
      </c>
      <c r="H6595" s="561">
        <v>659444.01800000004</v>
      </c>
      <c r="I6595" s="561">
        <v>32</v>
      </c>
      <c r="J6595" s="561">
        <v>48268.67900000012</v>
      </c>
      <c r="K6595" s="561">
        <v>9252</v>
      </c>
      <c r="L6595" s="561">
        <v>611175.33899999992</v>
      </c>
      <c r="M6595" s="561">
        <v>611175.33899999992</v>
      </c>
      <c r="N6595" s="561">
        <v>170351.4</v>
      </c>
    </row>
    <row r="6596" spans="2:54">
      <c r="B6596" s="561" t="s">
        <v>1198</v>
      </c>
      <c r="C6596" s="561" t="s">
        <v>1198</v>
      </c>
      <c r="D6596" s="561">
        <v>29553.366999999998</v>
      </c>
      <c r="E6596" s="561">
        <v>4622.7</v>
      </c>
      <c r="F6596" s="561">
        <v>24930.666999999998</v>
      </c>
      <c r="G6596" s="561">
        <v>30</v>
      </c>
      <c r="H6596" s="561">
        <v>32855.951000000001</v>
      </c>
      <c r="I6596" s="561">
        <v>0</v>
      </c>
      <c r="J6596" s="561">
        <v>3302.5840000000026</v>
      </c>
      <c r="K6596" s="561">
        <v>30</v>
      </c>
      <c r="L6596" s="561">
        <v>29553.366999999998</v>
      </c>
      <c r="M6596" s="561">
        <v>29553.366999999998</v>
      </c>
      <c r="N6596" s="561">
        <v>4622.7</v>
      </c>
      <c r="AL6596" s="561">
        <v>24930.666999999998</v>
      </c>
    </row>
    <row r="6597" spans="2:54">
      <c r="B6597" s="561" t="s">
        <v>1199</v>
      </c>
      <c r="C6597" s="561" t="s">
        <v>1199</v>
      </c>
      <c r="D6597" s="561">
        <v>5552.9940000000006</v>
      </c>
      <c r="E6597" s="561">
        <v>1496.4</v>
      </c>
      <c r="F6597" s="561">
        <v>4056.5940000000001</v>
      </c>
      <c r="G6597" s="561">
        <v>373</v>
      </c>
      <c r="H6597" s="561">
        <v>5606.8509999999997</v>
      </c>
      <c r="I6597" s="561">
        <v>2</v>
      </c>
      <c r="J6597" s="561">
        <v>53.856999999999061</v>
      </c>
      <c r="K6597" s="561">
        <v>371</v>
      </c>
      <c r="L6597" s="561">
        <v>5552.9940000000006</v>
      </c>
      <c r="M6597" s="561">
        <v>5552.9940000000006</v>
      </c>
      <c r="N6597" s="561">
        <v>1496.4</v>
      </c>
      <c r="P6597" s="561">
        <v>4056.5940000000005</v>
      </c>
    </row>
    <row r="6598" spans="2:54">
      <c r="B6598" s="561" t="s">
        <v>1798</v>
      </c>
      <c r="C6598" s="561" t="s">
        <v>1267</v>
      </c>
      <c r="D6598" s="561">
        <v>557568.6</v>
      </c>
      <c r="E6598" s="561">
        <v>165252.29999999999</v>
      </c>
      <c r="F6598" s="561">
        <v>392316.30000000005</v>
      </c>
      <c r="G6598" s="561">
        <v>8251</v>
      </c>
      <c r="H6598" s="561">
        <v>580357.36899999995</v>
      </c>
      <c r="I6598" s="561">
        <v>23</v>
      </c>
      <c r="J6598" s="561">
        <v>22788.76899999992</v>
      </c>
      <c r="K6598" s="561">
        <v>8228</v>
      </c>
      <c r="L6598" s="561">
        <v>557568.6</v>
      </c>
      <c r="M6598" s="561">
        <v>557568.6</v>
      </c>
      <c r="N6598" s="561">
        <v>165252.29999999999</v>
      </c>
      <c r="O6598" s="561">
        <v>0</v>
      </c>
      <c r="P6598" s="561">
        <v>392316.3</v>
      </c>
    </row>
    <row r="6599" spans="2:54">
      <c r="B6599" s="561" t="s">
        <v>1197</v>
      </c>
      <c r="C6599" s="561" t="s">
        <v>1197</v>
      </c>
      <c r="D6599" s="561">
        <v>542956.4</v>
      </c>
      <c r="E6599" s="561">
        <v>162751.5</v>
      </c>
      <c r="F6599" s="561">
        <v>380204.9</v>
      </c>
      <c r="G6599" s="561">
        <v>7584</v>
      </c>
      <c r="H6599" s="561">
        <v>564478.78799999994</v>
      </c>
      <c r="I6599" s="561">
        <v>22</v>
      </c>
      <c r="J6599" s="561">
        <v>21522.387999999919</v>
      </c>
      <c r="K6599" s="561">
        <v>7562</v>
      </c>
      <c r="L6599" s="561">
        <v>542956.4</v>
      </c>
      <c r="M6599" s="561">
        <v>542956.4</v>
      </c>
      <c r="N6599" s="561">
        <v>162751.5</v>
      </c>
    </row>
    <row r="6600" spans="2:54">
      <c r="B6600" s="561" t="s">
        <v>1198</v>
      </c>
      <c r="C6600" s="561" t="s">
        <v>1198</v>
      </c>
      <c r="D6600" s="561">
        <v>6526.5</v>
      </c>
      <c r="E6600" s="561">
        <v>516.29999999999995</v>
      </c>
      <c r="F6600" s="561">
        <v>6010.2</v>
      </c>
      <c r="G6600" s="561">
        <v>22</v>
      </c>
      <c r="H6600" s="561">
        <v>7401.9510000000009</v>
      </c>
      <c r="I6600" s="561">
        <v>0</v>
      </c>
      <c r="J6600" s="561">
        <v>875.45100000000002</v>
      </c>
      <c r="K6600" s="561">
        <v>22</v>
      </c>
      <c r="L6600" s="561">
        <v>6526.5000000000009</v>
      </c>
      <c r="M6600" s="561">
        <v>6526.5000000000009</v>
      </c>
      <c r="N6600" s="561">
        <v>516.29999999999995</v>
      </c>
      <c r="BB6600" s="561">
        <v>6010.2000000000007</v>
      </c>
    </row>
    <row r="6601" spans="2:54">
      <c r="B6601" s="561" t="s">
        <v>1199</v>
      </c>
      <c r="C6601" s="561" t="s">
        <v>1199</v>
      </c>
      <c r="D6601" s="561">
        <v>8085.7</v>
      </c>
      <c r="E6601" s="561">
        <v>1984.5</v>
      </c>
      <c r="F6601" s="561">
        <v>6101.2</v>
      </c>
      <c r="G6601" s="561">
        <v>645</v>
      </c>
      <c r="H6601" s="561">
        <v>8476.630000000001</v>
      </c>
      <c r="I6601" s="561">
        <v>1</v>
      </c>
      <c r="J6601" s="561">
        <v>390.93000000000211</v>
      </c>
      <c r="K6601" s="561">
        <v>644</v>
      </c>
      <c r="L6601" s="561">
        <v>8085.6999999999989</v>
      </c>
      <c r="M6601" s="561">
        <v>8085.6999999999989</v>
      </c>
      <c r="N6601" s="561">
        <v>1984.5</v>
      </c>
      <c r="P6601" s="561">
        <v>6101.1999999999989</v>
      </c>
    </row>
    <row r="6602" spans="2:54">
      <c r="B6602" s="561" t="s">
        <v>1799</v>
      </c>
      <c r="C6602" s="561" t="s">
        <v>1267</v>
      </c>
      <c r="D6602" s="561">
        <v>292170</v>
      </c>
      <c r="E6602" s="561">
        <v>90659.4</v>
      </c>
      <c r="F6602" s="561">
        <v>201510.6</v>
      </c>
      <c r="G6602" s="561">
        <v>4318</v>
      </c>
      <c r="H6602" s="561">
        <v>298138.06499999994</v>
      </c>
      <c r="I6602" s="561">
        <v>-1</v>
      </c>
      <c r="J6602" s="561">
        <v>5968.064999999975</v>
      </c>
      <c r="K6602" s="561">
        <v>4319</v>
      </c>
      <c r="L6602" s="561">
        <v>292170</v>
      </c>
      <c r="M6602" s="561">
        <v>292170</v>
      </c>
      <c r="N6602" s="561">
        <v>90659.4</v>
      </c>
      <c r="O6602" s="561">
        <v>0</v>
      </c>
      <c r="P6602" s="561">
        <v>201510.6</v>
      </c>
    </row>
    <row r="6603" spans="2:54">
      <c r="B6603" s="561" t="s">
        <v>1197</v>
      </c>
      <c r="C6603" s="561" t="s">
        <v>1197</v>
      </c>
      <c r="D6603" s="561">
        <v>282766.09399999998</v>
      </c>
      <c r="E6603" s="561">
        <v>87583.2</v>
      </c>
      <c r="F6603" s="561">
        <v>195182.894</v>
      </c>
      <c r="G6603" s="561">
        <v>3759</v>
      </c>
      <c r="H6603" s="561">
        <v>288599.87899999996</v>
      </c>
      <c r="I6603" s="561">
        <v>-1</v>
      </c>
      <c r="J6603" s="561">
        <v>5833.7849999999744</v>
      </c>
      <c r="K6603" s="561">
        <v>3760</v>
      </c>
      <c r="L6603" s="561">
        <v>282766.09399999998</v>
      </c>
      <c r="M6603" s="561">
        <v>282766.09399999998</v>
      </c>
      <c r="N6603" s="561">
        <v>87583.2</v>
      </c>
    </row>
    <row r="6604" spans="2:54">
      <c r="B6604" s="561" t="s">
        <v>1198</v>
      </c>
      <c r="C6604" s="561" t="s">
        <v>1198</v>
      </c>
      <c r="D6604" s="561">
        <v>0</v>
      </c>
      <c r="F6604" s="561">
        <v>0</v>
      </c>
      <c r="G6604" s="561">
        <v>0</v>
      </c>
      <c r="H6604" s="561">
        <v>0</v>
      </c>
      <c r="I6604" s="561">
        <v>0</v>
      </c>
      <c r="J6604" s="561">
        <v>0</v>
      </c>
      <c r="K6604" s="561">
        <v>0</v>
      </c>
      <c r="L6604" s="561">
        <v>0</v>
      </c>
      <c r="M6604" s="561">
        <v>0</v>
      </c>
      <c r="N6604" s="561">
        <v>0</v>
      </c>
      <c r="P6604" s="561">
        <v>0</v>
      </c>
    </row>
    <row r="6605" spans="2:54">
      <c r="B6605" s="561" t="s">
        <v>1199</v>
      </c>
      <c r="C6605" s="561" t="s">
        <v>1199</v>
      </c>
      <c r="D6605" s="561">
        <v>9403.905999999999</v>
      </c>
      <c r="E6605" s="561">
        <v>3076.2</v>
      </c>
      <c r="F6605" s="561">
        <v>6327.7060000000001</v>
      </c>
      <c r="G6605" s="561">
        <v>559</v>
      </c>
      <c r="H6605" s="561">
        <v>9538.1859999999997</v>
      </c>
      <c r="I6605" s="561">
        <v>0</v>
      </c>
      <c r="J6605" s="561">
        <v>134.28000000000065</v>
      </c>
      <c r="K6605" s="561">
        <v>559</v>
      </c>
      <c r="L6605" s="561">
        <v>9403.905999999999</v>
      </c>
      <c r="M6605" s="561">
        <v>9403.905999999999</v>
      </c>
      <c r="N6605" s="561">
        <v>3076.2</v>
      </c>
      <c r="P6605" s="561">
        <v>6327.7059999999992</v>
      </c>
    </row>
    <row r="6606" spans="2:54">
      <c r="B6606" s="561" t="s">
        <v>1800</v>
      </c>
      <c r="C6606" s="561" t="s">
        <v>1267</v>
      </c>
      <c r="D6606" s="561">
        <v>1417254.1</v>
      </c>
      <c r="E6606" s="561">
        <v>376910.2</v>
      </c>
      <c r="F6606" s="561">
        <v>1040343.8999999999</v>
      </c>
      <c r="G6606" s="561">
        <v>6423</v>
      </c>
      <c r="H6606" s="561">
        <v>1484354.7420000001</v>
      </c>
      <c r="I6606" s="561">
        <v>1</v>
      </c>
      <c r="J6606" s="561">
        <v>67100.64199999992</v>
      </c>
      <c r="K6606" s="561">
        <v>6422</v>
      </c>
      <c r="L6606" s="561">
        <v>1417254.1</v>
      </c>
      <c r="M6606" s="561">
        <v>1417254.1</v>
      </c>
      <c r="N6606" s="561">
        <v>376910.2</v>
      </c>
      <c r="O6606" s="561">
        <v>0</v>
      </c>
      <c r="P6606" s="561">
        <v>1040343.9000000001</v>
      </c>
    </row>
    <row r="6607" spans="2:54">
      <c r="B6607" s="561" t="s">
        <v>1197</v>
      </c>
      <c r="C6607" s="561" t="s">
        <v>1197</v>
      </c>
      <c r="D6607" s="561">
        <v>759727.11499999999</v>
      </c>
      <c r="E6607" s="561">
        <v>200066.1</v>
      </c>
      <c r="F6607" s="561">
        <v>559661.01500000001</v>
      </c>
      <c r="G6607" s="561">
        <v>5645</v>
      </c>
      <c r="H6607" s="561">
        <v>801540.49400000006</v>
      </c>
      <c r="I6607" s="561">
        <v>0</v>
      </c>
      <c r="J6607" s="561">
        <v>41813.379000000074</v>
      </c>
      <c r="K6607" s="561">
        <v>5645</v>
      </c>
      <c r="L6607" s="561">
        <v>759727.11499999999</v>
      </c>
      <c r="M6607" s="561">
        <v>759727.11499999999</v>
      </c>
      <c r="N6607" s="561">
        <v>200066.1</v>
      </c>
    </row>
    <row r="6608" spans="2:54">
      <c r="B6608" s="561" t="s">
        <v>1198</v>
      </c>
      <c r="C6608" s="561" t="s">
        <v>1198</v>
      </c>
      <c r="D6608" s="561">
        <v>653240.98499999999</v>
      </c>
      <c r="E6608" s="561">
        <v>175558.8</v>
      </c>
      <c r="F6608" s="561">
        <v>477682.185</v>
      </c>
      <c r="G6608" s="561">
        <v>576</v>
      </c>
      <c r="H6608" s="561">
        <v>678480.34199999995</v>
      </c>
      <c r="I6608" s="561">
        <v>1</v>
      </c>
      <c r="J6608" s="561">
        <v>25239.356999999844</v>
      </c>
      <c r="K6608" s="561">
        <v>575</v>
      </c>
      <c r="L6608" s="561">
        <v>653240.9850000001</v>
      </c>
      <c r="M6608" s="561">
        <v>653240.9850000001</v>
      </c>
      <c r="N6608" s="561">
        <v>175558.8</v>
      </c>
      <c r="AX6608" s="561">
        <v>477682.18500000011</v>
      </c>
    </row>
    <row r="6609" spans="2:38">
      <c r="B6609" s="561" t="s">
        <v>1199</v>
      </c>
      <c r="C6609" s="561" t="s">
        <v>1199</v>
      </c>
      <c r="D6609" s="561">
        <v>4286</v>
      </c>
      <c r="E6609" s="561">
        <v>1285.3</v>
      </c>
      <c r="F6609" s="561">
        <v>3000.7000000000003</v>
      </c>
      <c r="G6609" s="561">
        <v>202</v>
      </c>
      <c r="H6609" s="561">
        <v>4333.905999999999</v>
      </c>
      <c r="I6609" s="561">
        <v>0</v>
      </c>
      <c r="J6609" s="561">
        <v>47.905999999999949</v>
      </c>
      <c r="K6609" s="561">
        <v>202</v>
      </c>
      <c r="L6609" s="561">
        <v>4285.9999999999991</v>
      </c>
      <c r="M6609" s="561">
        <v>4285.9999999999991</v>
      </c>
      <c r="N6609" s="561">
        <v>1285.3</v>
      </c>
      <c r="P6609" s="561">
        <v>3000.6999999999989</v>
      </c>
    </row>
    <row r="6610" spans="2:38">
      <c r="B6610" s="561" t="s">
        <v>1801</v>
      </c>
      <c r="C6610" s="561" t="s">
        <v>1267</v>
      </c>
      <c r="D6610" s="561">
        <v>1044626.1</v>
      </c>
      <c r="E6610" s="561">
        <v>260545.5</v>
      </c>
      <c r="F6610" s="561">
        <v>784080.6</v>
      </c>
      <c r="G6610" s="561">
        <v>16385</v>
      </c>
      <c r="H6610" s="561">
        <v>1068760.05</v>
      </c>
      <c r="I6610" s="561">
        <v>12</v>
      </c>
      <c r="J6610" s="561">
        <v>24133.949999999801</v>
      </c>
      <c r="K6610" s="561">
        <v>16373</v>
      </c>
      <c r="L6610" s="561">
        <v>1044626.1000000002</v>
      </c>
      <c r="M6610" s="561">
        <v>1044626.1000000002</v>
      </c>
      <c r="N6610" s="561">
        <v>260545.5</v>
      </c>
      <c r="O6610" s="561">
        <v>0</v>
      </c>
      <c r="P6610" s="561">
        <v>784080.60000000021</v>
      </c>
    </row>
    <row r="6611" spans="2:38">
      <c r="B6611" s="561" t="s">
        <v>1197</v>
      </c>
      <c r="C6611" s="561" t="s">
        <v>1197</v>
      </c>
      <c r="D6611" s="561">
        <v>917940.625</v>
      </c>
      <c r="E6611" s="561">
        <v>239516.4</v>
      </c>
      <c r="F6611" s="561">
        <v>678424.22499999998</v>
      </c>
      <c r="G6611" s="561">
        <v>13889</v>
      </c>
      <c r="H6611" s="561">
        <v>940462.56200000003</v>
      </c>
      <c r="I6611" s="561">
        <v>7</v>
      </c>
      <c r="J6611" s="561">
        <v>22521.936999999802</v>
      </c>
      <c r="K6611" s="561">
        <v>13882</v>
      </c>
      <c r="L6611" s="561">
        <v>917940.62500000023</v>
      </c>
      <c r="M6611" s="561">
        <v>917940.62500000023</v>
      </c>
      <c r="N6611" s="561">
        <v>239516.4</v>
      </c>
    </row>
    <row r="6612" spans="2:38">
      <c r="B6612" s="561" t="s">
        <v>1198</v>
      </c>
      <c r="C6612" s="561" t="s">
        <v>1198</v>
      </c>
      <c r="D6612" s="561">
        <v>88264.275000000009</v>
      </c>
      <c r="E6612" s="561">
        <v>14013.6</v>
      </c>
      <c r="F6612" s="561">
        <v>74250.675000000003</v>
      </c>
      <c r="G6612" s="561">
        <v>297</v>
      </c>
      <c r="H6612" s="561">
        <v>88963.453999999998</v>
      </c>
      <c r="I6612" s="561">
        <v>0</v>
      </c>
      <c r="J6612" s="561">
        <v>699.17899999998917</v>
      </c>
      <c r="K6612" s="561">
        <v>297</v>
      </c>
      <c r="L6612" s="561">
        <v>88264.275000000009</v>
      </c>
      <c r="M6612" s="561">
        <v>88264.275000000009</v>
      </c>
      <c r="N6612" s="561">
        <v>14013.6</v>
      </c>
      <c r="AL6612" s="561">
        <v>74250.675000000003</v>
      </c>
    </row>
    <row r="6613" spans="2:38">
      <c r="B6613" s="561" t="s">
        <v>1199</v>
      </c>
      <c r="C6613" s="561" t="s">
        <v>1199</v>
      </c>
      <c r="D6613" s="561">
        <v>38421.199999999997</v>
      </c>
      <c r="E6613" s="561">
        <v>7015.5</v>
      </c>
      <c r="F6613" s="561">
        <v>31405.7</v>
      </c>
      <c r="G6613" s="561">
        <v>2199</v>
      </c>
      <c r="H6613" s="561">
        <v>39334.034000000007</v>
      </c>
      <c r="I6613" s="561">
        <v>5</v>
      </c>
      <c r="J6613" s="561">
        <v>912.83400000000984</v>
      </c>
      <c r="K6613" s="561">
        <v>2194</v>
      </c>
      <c r="L6613" s="561">
        <v>38421.199999999997</v>
      </c>
      <c r="M6613" s="561">
        <v>38421.199999999997</v>
      </c>
      <c r="N6613" s="561">
        <v>7015.5</v>
      </c>
      <c r="P6613" s="561">
        <v>31405.699999999997</v>
      </c>
    </row>
    <row r="6614" spans="2:38">
      <c r="B6614" s="561" t="s">
        <v>1802</v>
      </c>
      <c r="C6614" s="561" t="s">
        <v>1267</v>
      </c>
      <c r="D6614" s="561">
        <v>45322.200000000004</v>
      </c>
      <c r="E6614" s="561">
        <v>11893.2</v>
      </c>
      <c r="F6614" s="561">
        <v>33429</v>
      </c>
      <c r="G6614" s="561">
        <v>708</v>
      </c>
      <c r="H6614" s="561">
        <v>46972.295999999995</v>
      </c>
      <c r="I6614" s="561">
        <v>6</v>
      </c>
      <c r="J6614" s="561">
        <v>1650.09599999999</v>
      </c>
      <c r="K6614" s="561">
        <v>702</v>
      </c>
      <c r="L6614" s="561">
        <v>45322.200000000004</v>
      </c>
      <c r="M6614" s="561">
        <v>45322.200000000004</v>
      </c>
      <c r="N6614" s="561">
        <v>11893.2</v>
      </c>
      <c r="O6614" s="561">
        <v>0</v>
      </c>
      <c r="P6614" s="561">
        <v>33429</v>
      </c>
    </row>
    <row r="6615" spans="2:38">
      <c r="B6615" s="561" t="s">
        <v>1197</v>
      </c>
      <c r="C6615" s="561" t="s">
        <v>1197</v>
      </c>
      <c r="D6615" s="561">
        <v>43597.9</v>
      </c>
      <c r="E6615" s="561">
        <v>11443.2</v>
      </c>
      <c r="F6615" s="561">
        <v>32154.7</v>
      </c>
      <c r="G6615" s="561">
        <v>621</v>
      </c>
      <c r="H6615" s="561">
        <v>45091.510999999991</v>
      </c>
      <c r="I6615" s="561">
        <v>1</v>
      </c>
      <c r="J6615" s="561">
        <v>1493.6109999999899</v>
      </c>
      <c r="K6615" s="561">
        <v>620</v>
      </c>
      <c r="L6615" s="561">
        <v>43597.9</v>
      </c>
      <c r="M6615" s="561">
        <v>43597.9</v>
      </c>
      <c r="N6615" s="561">
        <v>11443.2</v>
      </c>
    </row>
    <row r="6616" spans="2:38">
      <c r="B6616" s="561" t="s">
        <v>1198</v>
      </c>
      <c r="C6616" s="561" t="s">
        <v>1198</v>
      </c>
      <c r="F6616" s="561">
        <v>0</v>
      </c>
      <c r="G6616" s="561">
        <v>0</v>
      </c>
      <c r="H6616" s="561">
        <v>0</v>
      </c>
      <c r="I6616" s="561">
        <v>0</v>
      </c>
      <c r="J6616" s="561">
        <v>0</v>
      </c>
      <c r="K6616" s="561">
        <v>0</v>
      </c>
      <c r="L6616" s="561">
        <v>0</v>
      </c>
      <c r="M6616" s="561">
        <v>0</v>
      </c>
      <c r="N6616" s="561">
        <v>0</v>
      </c>
      <c r="P6616" s="561">
        <v>0</v>
      </c>
    </row>
    <row r="6617" spans="2:38">
      <c r="B6617" s="561" t="s">
        <v>1199</v>
      </c>
      <c r="C6617" s="561" t="s">
        <v>1199</v>
      </c>
      <c r="D6617" s="561">
        <v>1724.3</v>
      </c>
      <c r="E6617" s="561">
        <v>450</v>
      </c>
      <c r="F6617" s="561">
        <v>1274.3</v>
      </c>
      <c r="G6617" s="561">
        <v>87</v>
      </c>
      <c r="H6617" s="561">
        <v>1880.7850000000003</v>
      </c>
      <c r="I6617" s="561">
        <v>5</v>
      </c>
      <c r="J6617" s="561">
        <v>156.48500000000013</v>
      </c>
      <c r="K6617" s="561">
        <v>82</v>
      </c>
      <c r="L6617" s="561">
        <v>1724.3000000000002</v>
      </c>
      <c r="M6617" s="561">
        <v>1724.3000000000002</v>
      </c>
      <c r="N6617" s="561">
        <v>450</v>
      </c>
      <c r="P6617" s="561">
        <v>1274.3000000000002</v>
      </c>
    </row>
    <row r="6618" spans="2:38">
      <c r="B6618" s="561" t="s">
        <v>1803</v>
      </c>
      <c r="C6618" s="561" t="s">
        <v>1267</v>
      </c>
      <c r="D6618" s="561">
        <v>242486.50000000003</v>
      </c>
      <c r="E6618" s="561">
        <v>66290.7</v>
      </c>
      <c r="F6618" s="561">
        <v>176195.80000000002</v>
      </c>
      <c r="G6618" s="561">
        <v>5385</v>
      </c>
      <c r="H6618" s="561">
        <v>257854.51800000001</v>
      </c>
      <c r="I6618" s="561">
        <v>38</v>
      </c>
      <c r="J6618" s="561">
        <v>15368.017999999996</v>
      </c>
      <c r="K6618" s="561">
        <v>5347</v>
      </c>
      <c r="L6618" s="561">
        <v>242486.50000000003</v>
      </c>
      <c r="M6618" s="561">
        <v>242486.50000000003</v>
      </c>
      <c r="N6618" s="561">
        <v>66290.7</v>
      </c>
      <c r="O6618" s="561">
        <v>0</v>
      </c>
      <c r="P6618" s="561">
        <v>176195.80000000005</v>
      </c>
    </row>
    <row r="6619" spans="2:38">
      <c r="B6619" s="561" t="s">
        <v>1197</v>
      </c>
      <c r="C6619" s="561" t="s">
        <v>1197</v>
      </c>
      <c r="D6619" s="561">
        <v>211161.97600000002</v>
      </c>
      <c r="E6619" s="561">
        <v>58924.5</v>
      </c>
      <c r="F6619" s="561">
        <v>152237.47600000002</v>
      </c>
      <c r="G6619" s="561">
        <v>3338</v>
      </c>
      <c r="H6619" s="561">
        <v>225976.85400000002</v>
      </c>
      <c r="I6619" s="561">
        <v>27</v>
      </c>
      <c r="J6619" s="561">
        <v>14814.877999999997</v>
      </c>
      <c r="K6619" s="561">
        <v>3311</v>
      </c>
      <c r="L6619" s="561">
        <v>211161.97600000002</v>
      </c>
      <c r="M6619" s="561">
        <v>211161.97600000002</v>
      </c>
      <c r="N6619" s="561">
        <v>58924.5</v>
      </c>
    </row>
    <row r="6620" spans="2:38">
      <c r="B6620" s="561" t="s">
        <v>1198</v>
      </c>
      <c r="C6620" s="561" t="s">
        <v>1198</v>
      </c>
      <c r="D6620" s="561">
        <v>0</v>
      </c>
      <c r="F6620" s="561">
        <v>0</v>
      </c>
      <c r="G6620" s="561">
        <v>0</v>
      </c>
      <c r="H6620" s="561">
        <v>0</v>
      </c>
      <c r="I6620" s="561">
        <v>0</v>
      </c>
      <c r="J6620" s="561">
        <v>0</v>
      </c>
      <c r="K6620" s="561">
        <v>0</v>
      </c>
      <c r="L6620" s="561">
        <v>0</v>
      </c>
      <c r="M6620" s="561">
        <v>0</v>
      </c>
      <c r="N6620" s="561">
        <v>0</v>
      </c>
      <c r="P6620" s="561">
        <v>0</v>
      </c>
    </row>
    <row r="6621" spans="2:38">
      <c r="B6621" s="561" t="s">
        <v>1199</v>
      </c>
      <c r="C6621" s="561" t="s">
        <v>1199</v>
      </c>
      <c r="D6621" s="561">
        <v>31324.523999999998</v>
      </c>
      <c r="E6621" s="561">
        <v>7366.2</v>
      </c>
      <c r="F6621" s="561">
        <v>23958.323999999997</v>
      </c>
      <c r="G6621" s="561">
        <v>2047</v>
      </c>
      <c r="H6621" s="561">
        <v>31877.663999999997</v>
      </c>
      <c r="I6621" s="561">
        <v>11</v>
      </c>
      <c r="J6621" s="561">
        <v>553.13999999999942</v>
      </c>
      <c r="K6621" s="561">
        <v>2036</v>
      </c>
      <c r="L6621" s="561">
        <v>31324.523999999998</v>
      </c>
      <c r="M6621" s="561">
        <v>31324.523999999998</v>
      </c>
      <c r="N6621" s="561">
        <v>7366.2</v>
      </c>
      <c r="P6621" s="561">
        <v>23958.323999999997</v>
      </c>
    </row>
    <row r="6622" spans="2:38">
      <c r="B6622" s="561" t="s">
        <v>1804</v>
      </c>
      <c r="C6622" s="561" t="s">
        <v>1267</v>
      </c>
      <c r="D6622" s="561">
        <v>228632.9</v>
      </c>
      <c r="E6622" s="561">
        <v>65887.8</v>
      </c>
      <c r="F6622" s="561">
        <v>162745.1</v>
      </c>
      <c r="G6622" s="561">
        <v>5047</v>
      </c>
      <c r="H6622" s="561">
        <v>242649.71499999997</v>
      </c>
      <c r="I6622" s="561">
        <v>39</v>
      </c>
      <c r="J6622" s="561">
        <v>14016.814999999911</v>
      </c>
      <c r="K6622" s="561">
        <v>5008</v>
      </c>
      <c r="L6622" s="561">
        <v>228632.90000000005</v>
      </c>
      <c r="M6622" s="561">
        <v>228632.90000000005</v>
      </c>
      <c r="N6622" s="561">
        <v>65887.8</v>
      </c>
      <c r="O6622" s="561">
        <v>0</v>
      </c>
      <c r="P6622" s="561">
        <v>162745.10000000003</v>
      </c>
    </row>
    <row r="6623" spans="2:38">
      <c r="B6623" s="561" t="s">
        <v>1197</v>
      </c>
      <c r="C6623" s="561" t="s">
        <v>1197</v>
      </c>
      <c r="D6623" s="561">
        <v>207492.098</v>
      </c>
      <c r="E6623" s="561">
        <v>59799.9</v>
      </c>
      <c r="F6623" s="561">
        <v>147692.198</v>
      </c>
      <c r="G6623" s="561">
        <v>3442</v>
      </c>
      <c r="H6623" s="561">
        <v>220414.98899999997</v>
      </c>
      <c r="I6623" s="561">
        <v>12</v>
      </c>
      <c r="J6623" s="561">
        <v>12922.890999999916</v>
      </c>
      <c r="K6623" s="561">
        <v>3430</v>
      </c>
      <c r="L6623" s="561">
        <v>207492.09800000006</v>
      </c>
      <c r="M6623" s="561">
        <v>207492.09800000006</v>
      </c>
      <c r="N6623" s="561">
        <v>59799.9</v>
      </c>
    </row>
    <row r="6624" spans="2:38">
      <c r="B6624" s="561" t="s">
        <v>1198</v>
      </c>
      <c r="C6624" s="561" t="s">
        <v>1198</v>
      </c>
      <c r="D6624" s="561">
        <v>0</v>
      </c>
      <c r="F6624" s="561">
        <v>0</v>
      </c>
      <c r="G6624" s="561">
        <v>0</v>
      </c>
      <c r="H6624" s="561">
        <v>0</v>
      </c>
      <c r="I6624" s="561">
        <v>0</v>
      </c>
      <c r="J6624" s="561">
        <v>0</v>
      </c>
      <c r="K6624" s="561">
        <v>0</v>
      </c>
      <c r="L6624" s="561">
        <v>0</v>
      </c>
      <c r="M6624" s="561">
        <v>0</v>
      </c>
      <c r="N6624" s="561">
        <v>0</v>
      </c>
      <c r="P6624" s="561">
        <v>0</v>
      </c>
    </row>
    <row r="6625" spans="2:16">
      <c r="B6625" s="561" t="s">
        <v>1199</v>
      </c>
      <c r="C6625" s="561" t="s">
        <v>1199</v>
      </c>
      <c r="D6625" s="561">
        <v>21140.802</v>
      </c>
      <c r="E6625" s="561">
        <v>6087.9</v>
      </c>
      <c r="F6625" s="561">
        <v>15052.902</v>
      </c>
      <c r="G6625" s="561">
        <v>1605</v>
      </c>
      <c r="H6625" s="561">
        <v>22234.725999999999</v>
      </c>
      <c r="I6625" s="561">
        <v>27</v>
      </c>
      <c r="J6625" s="561">
        <v>1093.9239999999954</v>
      </c>
      <c r="K6625" s="561">
        <v>1578</v>
      </c>
      <c r="L6625" s="561">
        <v>21140.802000000003</v>
      </c>
      <c r="M6625" s="561">
        <v>21140.802000000003</v>
      </c>
      <c r="N6625" s="561">
        <v>6087.9</v>
      </c>
      <c r="P6625" s="561">
        <v>15052.902000000004</v>
      </c>
    </row>
    <row r="6626" spans="2:16">
      <c r="B6626" s="561" t="s">
        <v>1805</v>
      </c>
      <c r="C6626" s="561" t="s">
        <v>1267</v>
      </c>
      <c r="D6626" s="561">
        <v>184875.40000000002</v>
      </c>
      <c r="E6626" s="561">
        <v>48367.8</v>
      </c>
      <c r="F6626" s="561">
        <v>136507.6</v>
      </c>
      <c r="G6626" s="561">
        <v>4426</v>
      </c>
      <c r="H6626" s="561">
        <v>194628.24200000003</v>
      </c>
      <c r="I6626" s="561">
        <v>21</v>
      </c>
      <c r="J6626" s="561">
        <v>9752.8420000000151</v>
      </c>
      <c r="K6626" s="561">
        <v>4405</v>
      </c>
      <c r="L6626" s="561">
        <v>184875.4</v>
      </c>
      <c r="M6626" s="561">
        <v>184875.4</v>
      </c>
      <c r="N6626" s="561">
        <v>48367.8</v>
      </c>
      <c r="O6626" s="561">
        <v>0</v>
      </c>
      <c r="P6626" s="561">
        <v>136507.59999999998</v>
      </c>
    </row>
    <row r="6627" spans="2:16">
      <c r="B6627" s="561" t="s">
        <v>1197</v>
      </c>
      <c r="C6627" s="561" t="s">
        <v>1197</v>
      </c>
      <c r="D6627" s="561">
        <v>155673.05300000001</v>
      </c>
      <c r="E6627" s="561">
        <v>41917.800000000003</v>
      </c>
      <c r="F6627" s="561">
        <v>113755.253</v>
      </c>
      <c r="G6627" s="561">
        <v>2400</v>
      </c>
      <c r="H6627" s="561">
        <v>164702.35200000001</v>
      </c>
      <c r="I6627" s="561">
        <v>12</v>
      </c>
      <c r="J6627" s="561">
        <v>9029.335000000021</v>
      </c>
      <c r="K6627" s="561">
        <v>2388</v>
      </c>
      <c r="L6627" s="561">
        <v>155673.01699999999</v>
      </c>
      <c r="M6627" s="561">
        <v>155673.01699999999</v>
      </c>
      <c r="N6627" s="561">
        <v>41917.764000000003</v>
      </c>
    </row>
    <row r="6628" spans="2:16">
      <c r="B6628" s="561" t="s">
        <v>1198</v>
      </c>
      <c r="C6628" s="561" t="s">
        <v>1198</v>
      </c>
      <c r="D6628" s="561">
        <v>0</v>
      </c>
      <c r="F6628" s="561">
        <v>0</v>
      </c>
      <c r="G6628" s="561">
        <v>0</v>
      </c>
      <c r="H6628" s="561">
        <v>0</v>
      </c>
      <c r="I6628" s="561">
        <v>0</v>
      </c>
      <c r="J6628" s="561">
        <v>0</v>
      </c>
      <c r="K6628" s="561">
        <v>0</v>
      </c>
      <c r="L6628" s="561">
        <v>0</v>
      </c>
      <c r="M6628" s="561">
        <v>0</v>
      </c>
      <c r="N6628" s="561">
        <v>0</v>
      </c>
      <c r="P6628" s="561">
        <v>0</v>
      </c>
    </row>
    <row r="6629" spans="2:16">
      <c r="B6629" s="561" t="s">
        <v>1199</v>
      </c>
      <c r="C6629" s="561" t="s">
        <v>1199</v>
      </c>
      <c r="D6629" s="561">
        <v>29202.347000000002</v>
      </c>
      <c r="E6629" s="561">
        <v>6450</v>
      </c>
      <c r="F6629" s="561">
        <v>22752.347000000002</v>
      </c>
      <c r="G6629" s="561">
        <v>2026</v>
      </c>
      <c r="H6629" s="561">
        <v>29925.89</v>
      </c>
      <c r="I6629" s="561">
        <v>9</v>
      </c>
      <c r="J6629" s="561">
        <v>723.50699999999415</v>
      </c>
      <c r="K6629" s="561">
        <v>2017</v>
      </c>
      <c r="L6629" s="561">
        <v>29202.383000000005</v>
      </c>
      <c r="M6629" s="561">
        <v>29202.383000000005</v>
      </c>
      <c r="N6629" s="561">
        <v>6450.036000000001</v>
      </c>
      <c r="P6629" s="561">
        <v>22752.347000000005</v>
      </c>
    </row>
    <row r="6630" spans="2:16">
      <c r="B6630" s="561" t="s">
        <v>1806</v>
      </c>
      <c r="C6630" s="561" t="s">
        <v>1267</v>
      </c>
      <c r="D6630" s="561">
        <v>196154.1</v>
      </c>
      <c r="E6630" s="561">
        <v>53190</v>
      </c>
      <c r="F6630" s="561">
        <v>142964.1</v>
      </c>
      <c r="G6630" s="561">
        <v>4693</v>
      </c>
      <c r="H6630" s="561">
        <v>203933.23200000002</v>
      </c>
      <c r="I6630" s="561">
        <v>8</v>
      </c>
      <c r="J6630" s="561">
        <v>7779.1319999999869</v>
      </c>
      <c r="K6630" s="561">
        <v>4685</v>
      </c>
      <c r="L6630" s="561">
        <v>196154.10000000003</v>
      </c>
      <c r="M6630" s="561">
        <v>196154.10000000003</v>
      </c>
      <c r="N6630" s="561">
        <v>53190</v>
      </c>
      <c r="O6630" s="561">
        <v>0</v>
      </c>
      <c r="P6630" s="561">
        <v>142964.10000000003</v>
      </c>
    </row>
    <row r="6631" spans="2:16">
      <c r="B6631" s="561" t="s">
        <v>1197</v>
      </c>
      <c r="C6631" s="561" t="s">
        <v>1197</v>
      </c>
      <c r="D6631" s="561">
        <v>166702.6</v>
      </c>
      <c r="E6631" s="561">
        <v>45540</v>
      </c>
      <c r="F6631" s="561">
        <v>121162.6</v>
      </c>
      <c r="G6631" s="561">
        <v>2685</v>
      </c>
      <c r="H6631" s="561">
        <v>174010.63700000002</v>
      </c>
      <c r="I6631" s="561">
        <v>8</v>
      </c>
      <c r="J6631" s="561">
        <v>7308.0369999999821</v>
      </c>
      <c r="K6631" s="561">
        <v>2677</v>
      </c>
      <c r="L6631" s="561">
        <v>166702.60000000003</v>
      </c>
      <c r="M6631" s="561">
        <v>166702.60000000003</v>
      </c>
      <c r="N6631" s="561">
        <v>45540</v>
      </c>
    </row>
    <row r="6632" spans="2:16">
      <c r="B6632" s="561" t="s">
        <v>1198</v>
      </c>
      <c r="C6632" s="561" t="s">
        <v>1198</v>
      </c>
      <c r="F6632" s="561">
        <v>0</v>
      </c>
      <c r="G6632" s="561">
        <v>0</v>
      </c>
      <c r="H6632" s="561">
        <v>0</v>
      </c>
      <c r="I6632" s="561">
        <v>0</v>
      </c>
      <c r="J6632" s="561">
        <v>0</v>
      </c>
      <c r="K6632" s="561">
        <v>0</v>
      </c>
      <c r="L6632" s="561">
        <v>0</v>
      </c>
      <c r="M6632" s="561">
        <v>0</v>
      </c>
      <c r="N6632" s="561">
        <v>0</v>
      </c>
      <c r="P6632" s="561">
        <v>0</v>
      </c>
    </row>
    <row r="6633" spans="2:16">
      <c r="B6633" s="561" t="s">
        <v>1199</v>
      </c>
      <c r="C6633" s="561" t="s">
        <v>1199</v>
      </c>
      <c r="D6633" s="561">
        <v>29451.5</v>
      </c>
      <c r="E6633" s="561">
        <v>7650</v>
      </c>
      <c r="F6633" s="561">
        <v>21801.5</v>
      </c>
      <c r="G6633" s="561">
        <v>2008</v>
      </c>
      <c r="H6633" s="561">
        <v>29922.595000000005</v>
      </c>
      <c r="I6633" s="561">
        <v>0</v>
      </c>
      <c r="J6633" s="561">
        <v>471.0950000000048</v>
      </c>
      <c r="K6633" s="561">
        <v>2008</v>
      </c>
      <c r="L6633" s="561">
        <v>29451.5</v>
      </c>
      <c r="M6633" s="561">
        <v>29451.5</v>
      </c>
      <c r="N6633" s="561">
        <v>7650</v>
      </c>
      <c r="P6633" s="561">
        <v>21801.5</v>
      </c>
    </row>
    <row r="6634" spans="2:16">
      <c r="B6634" s="561" t="s">
        <v>1807</v>
      </c>
      <c r="C6634" s="561" t="s">
        <v>1267</v>
      </c>
      <c r="D6634" s="561">
        <v>204409.5</v>
      </c>
      <c r="E6634" s="561">
        <v>58327.5</v>
      </c>
      <c r="F6634" s="561">
        <v>146082</v>
      </c>
      <c r="G6634" s="561">
        <v>5514</v>
      </c>
      <c r="H6634" s="561">
        <v>216144.13200000001</v>
      </c>
      <c r="I6634" s="561">
        <v>20</v>
      </c>
      <c r="J6634" s="561">
        <v>11734.631999999998</v>
      </c>
      <c r="K6634" s="561">
        <v>5494</v>
      </c>
      <c r="L6634" s="561">
        <v>204409.5</v>
      </c>
      <c r="M6634" s="561">
        <v>204409.5</v>
      </c>
      <c r="N6634" s="561">
        <v>58327.5</v>
      </c>
      <c r="O6634" s="561">
        <v>0</v>
      </c>
      <c r="P6634" s="561">
        <v>146082</v>
      </c>
    </row>
    <row r="6635" spans="2:16">
      <c r="B6635" s="561" t="s">
        <v>1197</v>
      </c>
      <c r="C6635" s="561" t="s">
        <v>1197</v>
      </c>
      <c r="D6635" s="561">
        <v>162789.29</v>
      </c>
      <c r="E6635" s="561">
        <v>49500</v>
      </c>
      <c r="F6635" s="561">
        <v>113289.29</v>
      </c>
      <c r="G6635" s="561">
        <v>2569</v>
      </c>
      <c r="H6635" s="561">
        <v>172744.359</v>
      </c>
      <c r="I6635" s="561">
        <v>7</v>
      </c>
      <c r="J6635" s="561">
        <v>9955.0689999999886</v>
      </c>
      <c r="K6635" s="561">
        <v>2562</v>
      </c>
      <c r="L6635" s="561">
        <v>162789.29</v>
      </c>
      <c r="M6635" s="561">
        <v>162789.29</v>
      </c>
      <c r="N6635" s="561">
        <v>49500</v>
      </c>
    </row>
    <row r="6636" spans="2:16">
      <c r="B6636" s="561" t="s">
        <v>1198</v>
      </c>
      <c r="C6636" s="561" t="s">
        <v>1198</v>
      </c>
      <c r="D6636" s="561">
        <v>0</v>
      </c>
      <c r="F6636" s="561">
        <v>0</v>
      </c>
      <c r="G6636" s="561">
        <v>0</v>
      </c>
      <c r="H6636" s="561">
        <v>0</v>
      </c>
      <c r="I6636" s="561">
        <v>0</v>
      </c>
      <c r="J6636" s="561">
        <v>0</v>
      </c>
      <c r="K6636" s="561">
        <v>0</v>
      </c>
      <c r="L6636" s="561">
        <v>0</v>
      </c>
      <c r="M6636" s="561">
        <v>0</v>
      </c>
      <c r="N6636" s="561">
        <v>0</v>
      </c>
      <c r="P6636" s="561">
        <v>0</v>
      </c>
    </row>
    <row r="6637" spans="2:16">
      <c r="B6637" s="561" t="s">
        <v>1199</v>
      </c>
      <c r="C6637" s="561" t="s">
        <v>1199</v>
      </c>
      <c r="D6637" s="561">
        <v>41620.21</v>
      </c>
      <c r="E6637" s="561">
        <v>8827.5</v>
      </c>
      <c r="F6637" s="561">
        <v>32792.71</v>
      </c>
      <c r="G6637" s="561">
        <v>2945</v>
      </c>
      <c r="H6637" s="561">
        <v>43399.773000000008</v>
      </c>
      <c r="I6637" s="561">
        <v>13</v>
      </c>
      <c r="J6637" s="561">
        <v>1779.5630000000092</v>
      </c>
      <c r="K6637" s="561">
        <v>2932</v>
      </c>
      <c r="L6637" s="561">
        <v>41620.21</v>
      </c>
      <c r="M6637" s="561">
        <v>41620.21</v>
      </c>
      <c r="N6637" s="561">
        <v>8827.5</v>
      </c>
      <c r="P6637" s="561">
        <v>32792.71</v>
      </c>
    </row>
    <row r="6638" spans="2:16">
      <c r="B6638" s="561" t="s">
        <v>1808</v>
      </c>
      <c r="C6638" s="561" t="s">
        <v>1267</v>
      </c>
      <c r="D6638" s="561">
        <v>260915.5</v>
      </c>
      <c r="E6638" s="561">
        <v>70970.7</v>
      </c>
      <c r="F6638" s="561">
        <v>189944.80000000002</v>
      </c>
      <c r="G6638" s="561">
        <v>5711</v>
      </c>
      <c r="H6638" s="561">
        <v>270689.44</v>
      </c>
      <c r="I6638" s="561">
        <v>23</v>
      </c>
      <c r="J6638" s="561">
        <v>9773.9400000000314</v>
      </c>
      <c r="K6638" s="561">
        <v>5688</v>
      </c>
      <c r="L6638" s="561">
        <v>260915.49999999997</v>
      </c>
      <c r="M6638" s="561">
        <v>260915.49999999997</v>
      </c>
      <c r="N6638" s="561">
        <v>70970.7</v>
      </c>
      <c r="O6638" s="561">
        <v>0</v>
      </c>
      <c r="P6638" s="561">
        <v>189944.8</v>
      </c>
    </row>
    <row r="6639" spans="2:16">
      <c r="B6639" s="561" t="s">
        <v>1197</v>
      </c>
      <c r="C6639" s="561" t="s">
        <v>1197</v>
      </c>
      <c r="D6639" s="561">
        <v>224181</v>
      </c>
      <c r="E6639" s="561">
        <v>63526.8</v>
      </c>
      <c r="F6639" s="561">
        <v>160654.20000000001</v>
      </c>
      <c r="G6639" s="561">
        <v>3292</v>
      </c>
      <c r="H6639" s="561">
        <v>232966.48699999999</v>
      </c>
      <c r="I6639" s="561">
        <v>11</v>
      </c>
      <c r="J6639" s="561">
        <v>8785.4870000000228</v>
      </c>
      <c r="K6639" s="561">
        <v>3281</v>
      </c>
      <c r="L6639" s="561">
        <v>224180.99999999997</v>
      </c>
      <c r="M6639" s="561">
        <v>224180.99999999997</v>
      </c>
      <c r="N6639" s="561">
        <v>63526.8</v>
      </c>
    </row>
    <row r="6640" spans="2:16">
      <c r="B6640" s="561" t="s">
        <v>1198</v>
      </c>
      <c r="C6640" s="561" t="s">
        <v>1198</v>
      </c>
      <c r="F6640" s="561">
        <v>0</v>
      </c>
      <c r="G6640" s="561">
        <v>0</v>
      </c>
      <c r="H6640" s="561">
        <v>0</v>
      </c>
      <c r="I6640" s="561">
        <v>0</v>
      </c>
      <c r="J6640" s="561">
        <v>0</v>
      </c>
      <c r="K6640" s="561">
        <v>0</v>
      </c>
      <c r="L6640" s="561">
        <v>0</v>
      </c>
      <c r="M6640" s="561">
        <v>0</v>
      </c>
      <c r="N6640" s="561">
        <v>0</v>
      </c>
      <c r="P6640" s="561">
        <v>0</v>
      </c>
    </row>
    <row r="6641" spans="2:16">
      <c r="B6641" s="561" t="s">
        <v>1199</v>
      </c>
      <c r="C6641" s="561" t="s">
        <v>1199</v>
      </c>
      <c r="D6641" s="561">
        <v>36734.5</v>
      </c>
      <c r="E6641" s="561">
        <v>7443.9</v>
      </c>
      <c r="F6641" s="561">
        <v>29290.6</v>
      </c>
      <c r="G6641" s="561">
        <v>2419</v>
      </c>
      <c r="H6641" s="561">
        <v>37722.953000000009</v>
      </c>
      <c r="I6641" s="561">
        <v>12</v>
      </c>
      <c r="J6641" s="561">
        <v>988.45300000000861</v>
      </c>
      <c r="K6641" s="561">
        <v>2407</v>
      </c>
      <c r="L6641" s="561">
        <v>36734.5</v>
      </c>
      <c r="M6641" s="561">
        <v>36734.5</v>
      </c>
      <c r="N6641" s="561">
        <v>7443.9</v>
      </c>
      <c r="P6641" s="561">
        <v>29290.6</v>
      </c>
    </row>
    <row r="6642" spans="2:16">
      <c r="B6642" s="561" t="s">
        <v>1809</v>
      </c>
      <c r="C6642" s="561" t="s">
        <v>1267</v>
      </c>
      <c r="D6642" s="561">
        <v>218331.4</v>
      </c>
      <c r="E6642" s="561">
        <v>62175</v>
      </c>
      <c r="F6642" s="561">
        <v>156156.4</v>
      </c>
      <c r="G6642" s="561">
        <v>4918</v>
      </c>
      <c r="H6642" s="561">
        <v>228060.82900000003</v>
      </c>
      <c r="I6642" s="561">
        <v>10</v>
      </c>
      <c r="J6642" s="561">
        <v>9729.4290000000183</v>
      </c>
      <c r="K6642" s="561">
        <v>4908</v>
      </c>
      <c r="L6642" s="561">
        <v>218331.40000000002</v>
      </c>
      <c r="M6642" s="561">
        <v>218331.40000000002</v>
      </c>
      <c r="N6642" s="561">
        <v>62175</v>
      </c>
      <c r="O6642" s="561">
        <v>0</v>
      </c>
      <c r="P6642" s="561">
        <v>156156.40000000002</v>
      </c>
    </row>
    <row r="6643" spans="2:16">
      <c r="B6643" s="561" t="s">
        <v>1197</v>
      </c>
      <c r="C6643" s="561" t="s">
        <v>1197</v>
      </c>
      <c r="D6643" s="561">
        <v>187788.15700000001</v>
      </c>
      <c r="E6643" s="561">
        <v>55575</v>
      </c>
      <c r="F6643" s="561">
        <v>132213.15700000001</v>
      </c>
      <c r="G6643" s="561">
        <v>2837</v>
      </c>
      <c r="H6643" s="561">
        <v>196672.10100000002</v>
      </c>
      <c r="I6643" s="561">
        <v>4</v>
      </c>
      <c r="J6643" s="561">
        <v>8883.9440000000177</v>
      </c>
      <c r="K6643" s="561">
        <v>2833</v>
      </c>
      <c r="L6643" s="561">
        <v>187788.15700000001</v>
      </c>
      <c r="M6643" s="561">
        <v>187788.15700000001</v>
      </c>
      <c r="N6643" s="561">
        <v>55575</v>
      </c>
    </row>
    <row r="6644" spans="2:16">
      <c r="B6644" s="561" t="s">
        <v>1198</v>
      </c>
      <c r="C6644" s="561" t="s">
        <v>1198</v>
      </c>
      <c r="D6644" s="561">
        <v>0</v>
      </c>
      <c r="F6644" s="561">
        <v>0</v>
      </c>
      <c r="G6644" s="561">
        <v>0</v>
      </c>
      <c r="H6644" s="561">
        <v>0</v>
      </c>
      <c r="I6644" s="561">
        <v>0</v>
      </c>
      <c r="J6644" s="561">
        <v>0</v>
      </c>
      <c r="K6644" s="561">
        <v>0</v>
      </c>
      <c r="L6644" s="561">
        <v>0</v>
      </c>
      <c r="M6644" s="561">
        <v>0</v>
      </c>
      <c r="N6644" s="561">
        <v>0</v>
      </c>
      <c r="P6644" s="561">
        <v>0</v>
      </c>
    </row>
    <row r="6645" spans="2:16">
      <c r="B6645" s="561" t="s">
        <v>1199</v>
      </c>
      <c r="C6645" s="561" t="s">
        <v>1199</v>
      </c>
      <c r="D6645" s="561">
        <v>30543.242999999999</v>
      </c>
      <c r="E6645" s="561">
        <v>6600</v>
      </c>
      <c r="F6645" s="561">
        <v>23943.242999999999</v>
      </c>
      <c r="G6645" s="561">
        <v>2081</v>
      </c>
      <c r="H6645" s="561">
        <v>31388.728000000003</v>
      </c>
      <c r="I6645" s="561">
        <v>6</v>
      </c>
      <c r="J6645" s="561">
        <v>845.48500000000058</v>
      </c>
      <c r="K6645" s="561">
        <v>2075</v>
      </c>
      <c r="L6645" s="561">
        <v>30543.243000000002</v>
      </c>
      <c r="M6645" s="561">
        <v>30543.243000000002</v>
      </c>
      <c r="N6645" s="561">
        <v>6600</v>
      </c>
      <c r="P6645" s="561">
        <v>23943.243000000002</v>
      </c>
    </row>
    <row r="6646" spans="2:16">
      <c r="B6646" s="561" t="s">
        <v>1810</v>
      </c>
      <c r="C6646" s="561" t="s">
        <v>1267</v>
      </c>
      <c r="D6646" s="561">
        <v>170909.90000000002</v>
      </c>
      <c r="E6646" s="561">
        <v>45196.800000000003</v>
      </c>
      <c r="F6646" s="561">
        <v>125713.1</v>
      </c>
      <c r="G6646" s="561">
        <v>3774</v>
      </c>
      <c r="H6646" s="561">
        <v>183840.467</v>
      </c>
      <c r="I6646" s="561">
        <v>14</v>
      </c>
      <c r="J6646" s="561">
        <v>12930.566999999995</v>
      </c>
      <c r="K6646" s="561">
        <v>3760</v>
      </c>
      <c r="L6646" s="561">
        <v>170909.9</v>
      </c>
      <c r="M6646" s="561">
        <v>170909.9</v>
      </c>
      <c r="N6646" s="561">
        <v>45196.800000000003</v>
      </c>
      <c r="O6646" s="561">
        <v>0</v>
      </c>
      <c r="P6646" s="561">
        <v>125713.09999999999</v>
      </c>
    </row>
    <row r="6647" spans="2:16">
      <c r="B6647" s="561" t="s">
        <v>1197</v>
      </c>
      <c r="C6647" s="561" t="s">
        <v>1197</v>
      </c>
      <c r="D6647" s="561">
        <v>149934.22500000001</v>
      </c>
      <c r="E6647" s="561">
        <v>41596.800000000003</v>
      </c>
      <c r="F6647" s="561">
        <v>108337.425</v>
      </c>
      <c r="G6647" s="561">
        <v>2386</v>
      </c>
      <c r="H6647" s="561">
        <v>162389.538</v>
      </c>
      <c r="I6647" s="561">
        <v>14</v>
      </c>
      <c r="J6647" s="561">
        <v>12455.312999999995</v>
      </c>
      <c r="K6647" s="561">
        <v>2372</v>
      </c>
      <c r="L6647" s="561">
        <v>149934.22500000001</v>
      </c>
      <c r="M6647" s="561">
        <v>149934.22500000001</v>
      </c>
      <c r="N6647" s="561">
        <v>41596.800000000003</v>
      </c>
    </row>
    <row r="6648" spans="2:16">
      <c r="B6648" s="561" t="s">
        <v>1198</v>
      </c>
      <c r="C6648" s="561" t="s">
        <v>1198</v>
      </c>
      <c r="D6648" s="561">
        <v>0</v>
      </c>
      <c r="F6648" s="561">
        <v>0</v>
      </c>
      <c r="G6648" s="561">
        <v>0</v>
      </c>
      <c r="H6648" s="561">
        <v>0</v>
      </c>
      <c r="I6648" s="561">
        <v>0</v>
      </c>
      <c r="J6648" s="561">
        <v>0</v>
      </c>
      <c r="K6648" s="561">
        <v>0</v>
      </c>
      <c r="L6648" s="561">
        <v>0</v>
      </c>
      <c r="M6648" s="561">
        <v>0</v>
      </c>
      <c r="N6648" s="561">
        <v>0</v>
      </c>
      <c r="P6648" s="561">
        <v>0</v>
      </c>
    </row>
    <row r="6649" spans="2:16">
      <c r="B6649" s="561" t="s">
        <v>1199</v>
      </c>
      <c r="C6649" s="561" t="s">
        <v>1199</v>
      </c>
      <c r="D6649" s="561">
        <v>20975.675000000003</v>
      </c>
      <c r="E6649" s="561">
        <v>3600</v>
      </c>
      <c r="F6649" s="561">
        <v>17375.675000000003</v>
      </c>
      <c r="G6649" s="561">
        <v>1388</v>
      </c>
      <c r="H6649" s="561">
        <v>21450.929</v>
      </c>
      <c r="I6649" s="561">
        <v>0</v>
      </c>
      <c r="J6649" s="561">
        <v>475.25400000000081</v>
      </c>
      <c r="K6649" s="561">
        <v>1388</v>
      </c>
      <c r="L6649" s="561">
        <v>20975.674999999999</v>
      </c>
      <c r="M6649" s="561">
        <v>20975.674999999999</v>
      </c>
      <c r="N6649" s="561">
        <v>3600</v>
      </c>
      <c r="P6649" s="561">
        <v>17375.674999999999</v>
      </c>
    </row>
    <row r="6650" spans="2:16">
      <c r="B6650" s="561" t="s">
        <v>1811</v>
      </c>
      <c r="C6650" s="561" t="s">
        <v>1267</v>
      </c>
      <c r="D6650" s="561">
        <v>305582.19999999995</v>
      </c>
      <c r="E6650" s="561">
        <v>82050</v>
      </c>
      <c r="F6650" s="561">
        <v>223532.19999999998</v>
      </c>
      <c r="G6650" s="561">
        <v>8371</v>
      </c>
      <c r="H6650" s="561">
        <v>327791.07299999997</v>
      </c>
      <c r="I6650" s="561">
        <v>78</v>
      </c>
      <c r="J6650" s="561">
        <v>22208.873000000007</v>
      </c>
      <c r="K6650" s="561">
        <v>8293</v>
      </c>
      <c r="L6650" s="561">
        <v>305582.2</v>
      </c>
      <c r="M6650" s="561">
        <v>305582.2</v>
      </c>
      <c r="N6650" s="561">
        <v>82050</v>
      </c>
      <c r="O6650" s="561">
        <v>0</v>
      </c>
      <c r="P6650" s="561">
        <v>223532.2</v>
      </c>
    </row>
    <row r="6651" spans="2:16">
      <c r="B6651" s="561" t="s">
        <v>1197</v>
      </c>
      <c r="C6651" s="561" t="s">
        <v>1197</v>
      </c>
      <c r="D6651" s="561">
        <v>236570.8</v>
      </c>
      <c r="E6651" s="561">
        <v>70200</v>
      </c>
      <c r="F6651" s="561">
        <v>166370.79999999999</v>
      </c>
      <c r="G6651" s="561">
        <v>3915</v>
      </c>
      <c r="H6651" s="561">
        <v>256354.079</v>
      </c>
      <c r="I6651" s="561">
        <v>50</v>
      </c>
      <c r="J6651" s="561">
        <v>19783.27900000001</v>
      </c>
      <c r="K6651" s="561">
        <v>3865</v>
      </c>
      <c r="L6651" s="561">
        <v>236570.8</v>
      </c>
      <c r="M6651" s="561">
        <v>236570.8</v>
      </c>
      <c r="N6651" s="561">
        <v>70200</v>
      </c>
    </row>
    <row r="6652" spans="2:16">
      <c r="B6652" s="561" t="s">
        <v>1198</v>
      </c>
      <c r="C6652" s="561" t="s">
        <v>1198</v>
      </c>
      <c r="F6652" s="561">
        <v>0</v>
      </c>
      <c r="G6652" s="561">
        <v>0</v>
      </c>
      <c r="H6652" s="561">
        <v>0</v>
      </c>
      <c r="I6652" s="561">
        <v>0</v>
      </c>
      <c r="J6652" s="561">
        <v>0</v>
      </c>
      <c r="K6652" s="561">
        <v>0</v>
      </c>
      <c r="L6652" s="561">
        <v>0</v>
      </c>
      <c r="M6652" s="561">
        <v>0</v>
      </c>
      <c r="N6652" s="561">
        <v>0</v>
      </c>
      <c r="P6652" s="561">
        <v>0</v>
      </c>
    </row>
    <row r="6653" spans="2:16">
      <c r="B6653" s="561" t="s">
        <v>1199</v>
      </c>
      <c r="C6653" s="561" t="s">
        <v>1199</v>
      </c>
      <c r="D6653" s="561">
        <v>69011.399999999994</v>
      </c>
      <c r="E6653" s="561">
        <v>11850</v>
      </c>
      <c r="F6653" s="561">
        <v>57161.4</v>
      </c>
      <c r="G6653" s="561">
        <v>4456</v>
      </c>
      <c r="H6653" s="561">
        <v>71436.994000000006</v>
      </c>
      <c r="I6653" s="561">
        <v>28</v>
      </c>
      <c r="J6653" s="561">
        <v>2425.5939999999973</v>
      </c>
      <c r="K6653" s="561">
        <v>4428</v>
      </c>
      <c r="L6653" s="561">
        <v>69011.400000000009</v>
      </c>
      <c r="M6653" s="561">
        <v>69011.400000000009</v>
      </c>
      <c r="N6653" s="561">
        <v>11850</v>
      </c>
      <c r="P6653" s="561">
        <v>57161.400000000009</v>
      </c>
    </row>
    <row r="6654" spans="2:16">
      <c r="B6654" s="561" t="s">
        <v>1812</v>
      </c>
      <c r="C6654" s="561" t="s">
        <v>1267</v>
      </c>
      <c r="D6654" s="561">
        <v>325658.891</v>
      </c>
      <c r="E6654" s="561">
        <v>86218.200000000012</v>
      </c>
      <c r="F6654" s="561">
        <v>239440.69099999999</v>
      </c>
      <c r="G6654" s="561">
        <v>7863</v>
      </c>
      <c r="H6654" s="561">
        <v>343317.18599999999</v>
      </c>
      <c r="I6654" s="561">
        <v>55</v>
      </c>
      <c r="J6654" s="561">
        <v>17658.294999999998</v>
      </c>
      <c r="K6654" s="561">
        <v>7808</v>
      </c>
      <c r="L6654" s="561">
        <v>325658.891</v>
      </c>
      <c r="M6654" s="561">
        <v>325658.891</v>
      </c>
      <c r="N6654" s="561">
        <v>86218.200000000012</v>
      </c>
      <c r="O6654" s="561">
        <v>0</v>
      </c>
      <c r="P6654" s="561">
        <v>239440.69099999999</v>
      </c>
    </row>
    <row r="6655" spans="2:16">
      <c r="B6655" s="561" t="s">
        <v>1197</v>
      </c>
      <c r="C6655" s="561" t="s">
        <v>1197</v>
      </c>
      <c r="D6655" s="561">
        <v>269479.571</v>
      </c>
      <c r="E6655" s="561">
        <v>73634.100000000006</v>
      </c>
      <c r="F6655" s="561">
        <v>195845.47099999999</v>
      </c>
      <c r="G6655" s="561">
        <v>4241</v>
      </c>
      <c r="H6655" s="561">
        <v>285509.02799999999</v>
      </c>
      <c r="I6655" s="561">
        <v>42</v>
      </c>
      <c r="J6655" s="561">
        <v>16029.456999999995</v>
      </c>
      <c r="K6655" s="561">
        <v>4199</v>
      </c>
      <c r="L6655" s="561">
        <v>269479.571</v>
      </c>
      <c r="M6655" s="561">
        <v>269479.571</v>
      </c>
      <c r="N6655" s="561">
        <v>73634.100000000006</v>
      </c>
      <c r="P6655" s="561">
        <v>195845.47099999999</v>
      </c>
    </row>
    <row r="6656" spans="2:16">
      <c r="B6656" s="561" t="s">
        <v>1198</v>
      </c>
      <c r="C6656" s="561" t="s">
        <v>1198</v>
      </c>
      <c r="F6656" s="561">
        <v>0</v>
      </c>
      <c r="G6656" s="561">
        <v>0</v>
      </c>
      <c r="H6656" s="561">
        <v>0</v>
      </c>
      <c r="I6656" s="561">
        <v>0</v>
      </c>
      <c r="J6656" s="561">
        <v>0</v>
      </c>
      <c r="K6656" s="561">
        <v>0</v>
      </c>
      <c r="L6656" s="561">
        <v>0</v>
      </c>
      <c r="M6656" s="561">
        <v>0</v>
      </c>
      <c r="N6656" s="561">
        <v>0</v>
      </c>
      <c r="P6656" s="561">
        <v>0</v>
      </c>
    </row>
    <row r="6657" spans="2:16">
      <c r="B6657" s="561" t="s">
        <v>1199</v>
      </c>
      <c r="C6657" s="561" t="s">
        <v>1199</v>
      </c>
      <c r="D6657" s="561">
        <v>54016.828999999998</v>
      </c>
      <c r="E6657" s="561">
        <v>12584.1</v>
      </c>
      <c r="F6657" s="561">
        <v>41432.728999999999</v>
      </c>
      <c r="G6657" s="561">
        <v>3622</v>
      </c>
      <c r="H6657" s="561">
        <v>55366.63700000001</v>
      </c>
      <c r="I6657" s="561">
        <v>13</v>
      </c>
      <c r="J6657" s="561">
        <v>1349.8080000000045</v>
      </c>
      <c r="K6657" s="561">
        <v>3609</v>
      </c>
      <c r="L6657" s="561">
        <v>54016.829000000005</v>
      </c>
      <c r="M6657" s="561">
        <v>54016.829000000005</v>
      </c>
      <c r="N6657" s="561">
        <v>12584.1</v>
      </c>
      <c r="P6657" s="561">
        <v>41432.729000000007</v>
      </c>
    </row>
    <row r="6658" spans="2:16">
      <c r="C6658" s="561" t="s">
        <v>1202</v>
      </c>
      <c r="D6658" s="561">
        <v>2162.491</v>
      </c>
      <c r="F6658" s="561">
        <v>2162.491</v>
      </c>
      <c r="H6658" s="561">
        <v>2441.5210000000002</v>
      </c>
      <c r="J6658" s="561">
        <v>279.0300000000002</v>
      </c>
      <c r="L6658" s="561">
        <v>2162.491</v>
      </c>
      <c r="M6658" s="561">
        <v>2162.491</v>
      </c>
      <c r="P6658" s="561">
        <v>2162.491</v>
      </c>
    </row>
    <row r="6659" spans="2:16">
      <c r="B6659" s="561" t="s">
        <v>1813</v>
      </c>
      <c r="C6659" s="561" t="s">
        <v>1267</v>
      </c>
      <c r="D6659" s="561">
        <v>112175.6</v>
      </c>
      <c r="E6659" s="561">
        <v>31379.1</v>
      </c>
      <c r="F6659" s="561">
        <v>80796.5</v>
      </c>
      <c r="G6659" s="561">
        <v>2630</v>
      </c>
      <c r="H6659" s="561">
        <v>116896.68599999997</v>
      </c>
      <c r="I6659" s="561">
        <v>4</v>
      </c>
      <c r="J6659" s="561">
        <v>4721.0859999999648</v>
      </c>
      <c r="K6659" s="561">
        <v>2626</v>
      </c>
      <c r="L6659" s="561">
        <v>112175.6</v>
      </c>
      <c r="M6659" s="561">
        <v>112175.6</v>
      </c>
      <c r="N6659" s="561">
        <v>31379.1</v>
      </c>
      <c r="O6659" s="561">
        <v>0</v>
      </c>
      <c r="P6659" s="561">
        <v>80796.5</v>
      </c>
    </row>
    <row r="6660" spans="2:16">
      <c r="B6660" s="561" t="s">
        <v>1197</v>
      </c>
      <c r="C6660" s="561" t="s">
        <v>1197</v>
      </c>
      <c r="D6660" s="561">
        <v>96181.915000000008</v>
      </c>
      <c r="E6660" s="561">
        <v>27840</v>
      </c>
      <c r="F6660" s="561">
        <v>68341.915000000008</v>
      </c>
      <c r="G6660" s="561">
        <v>1506</v>
      </c>
      <c r="H6660" s="561">
        <v>100805.43599999997</v>
      </c>
      <c r="I6660" s="561">
        <v>4</v>
      </c>
      <c r="J6660" s="561">
        <v>4623.5209999999643</v>
      </c>
      <c r="K6660" s="561">
        <v>1502</v>
      </c>
      <c r="L6660" s="561">
        <v>96181.915000000008</v>
      </c>
      <c r="M6660" s="561">
        <v>96181.915000000008</v>
      </c>
      <c r="N6660" s="561">
        <v>27840</v>
      </c>
    </row>
    <row r="6661" spans="2:16">
      <c r="B6661" s="561" t="s">
        <v>1198</v>
      </c>
      <c r="C6661" s="561" t="s">
        <v>1198</v>
      </c>
      <c r="D6661" s="561">
        <v>0</v>
      </c>
      <c r="F6661" s="561">
        <v>0</v>
      </c>
      <c r="G6661" s="561">
        <v>0</v>
      </c>
      <c r="H6661" s="561">
        <v>0</v>
      </c>
      <c r="I6661" s="561">
        <v>0</v>
      </c>
      <c r="J6661" s="561">
        <v>0</v>
      </c>
      <c r="K6661" s="561">
        <v>0</v>
      </c>
      <c r="L6661" s="561">
        <v>0</v>
      </c>
      <c r="M6661" s="561">
        <v>0</v>
      </c>
      <c r="N6661" s="561">
        <v>0</v>
      </c>
      <c r="P6661" s="561">
        <v>0</v>
      </c>
    </row>
    <row r="6662" spans="2:16">
      <c r="B6662" s="561" t="s">
        <v>1199</v>
      </c>
      <c r="C6662" s="561" t="s">
        <v>1199</v>
      </c>
      <c r="D6662" s="561">
        <v>15993.684999999999</v>
      </c>
      <c r="E6662" s="561">
        <v>3539.1</v>
      </c>
      <c r="F6662" s="561">
        <v>12454.584999999999</v>
      </c>
      <c r="G6662" s="561">
        <v>1124</v>
      </c>
      <c r="H6662" s="561">
        <v>16091.25</v>
      </c>
      <c r="I6662" s="561">
        <v>0</v>
      </c>
      <c r="J6662" s="561">
        <v>97.565000000000509</v>
      </c>
      <c r="K6662" s="561">
        <v>1124</v>
      </c>
      <c r="L6662" s="561">
        <v>15993.684999999999</v>
      </c>
      <c r="M6662" s="561">
        <v>15993.684999999999</v>
      </c>
      <c r="N6662" s="561">
        <v>3539.1</v>
      </c>
      <c r="P6662" s="561">
        <v>12454.584999999999</v>
      </c>
    </row>
    <row r="6663" spans="2:16">
      <c r="B6663" s="561" t="s">
        <v>1814</v>
      </c>
      <c r="C6663" s="561" t="s">
        <v>1267</v>
      </c>
      <c r="D6663" s="561">
        <v>201365.7</v>
      </c>
      <c r="E6663" s="561">
        <v>52827.3</v>
      </c>
      <c r="F6663" s="561">
        <v>148538.4</v>
      </c>
      <c r="G6663" s="561">
        <v>4452</v>
      </c>
      <c r="H6663" s="561">
        <v>204842.93</v>
      </c>
      <c r="I6663" s="561">
        <v>0</v>
      </c>
      <c r="J6663" s="561">
        <v>3477.2299999999741</v>
      </c>
      <c r="K6663" s="561">
        <v>4452</v>
      </c>
      <c r="L6663" s="561">
        <v>201365.7</v>
      </c>
      <c r="M6663" s="561">
        <v>201365.7</v>
      </c>
      <c r="N6663" s="561">
        <v>52827.3</v>
      </c>
      <c r="O6663" s="561">
        <v>0</v>
      </c>
      <c r="P6663" s="561">
        <v>148538.40000000002</v>
      </c>
    </row>
    <row r="6664" spans="2:16">
      <c r="B6664" s="561" t="s">
        <v>1197</v>
      </c>
      <c r="C6664" s="561" t="s">
        <v>1197</v>
      </c>
      <c r="D6664" s="561">
        <v>177255.7</v>
      </c>
      <c r="E6664" s="561">
        <v>48279.9</v>
      </c>
      <c r="F6664" s="561">
        <v>128975.8</v>
      </c>
      <c r="G6664" s="561">
        <v>2690</v>
      </c>
      <c r="H6664" s="561">
        <v>180394.20799999998</v>
      </c>
      <c r="I6664" s="561">
        <v>0</v>
      </c>
      <c r="J6664" s="561">
        <v>3138.5079999999725</v>
      </c>
      <c r="K6664" s="561">
        <v>2690</v>
      </c>
      <c r="L6664" s="561">
        <v>177255.7</v>
      </c>
      <c r="M6664" s="561">
        <v>177255.7</v>
      </c>
      <c r="N6664" s="561">
        <v>48279.9</v>
      </c>
    </row>
    <row r="6665" spans="2:16">
      <c r="B6665" s="561" t="s">
        <v>1198</v>
      </c>
      <c r="C6665" s="561" t="s">
        <v>1198</v>
      </c>
      <c r="F6665" s="561">
        <v>0</v>
      </c>
      <c r="G6665" s="561">
        <v>0</v>
      </c>
      <c r="H6665" s="561">
        <v>0</v>
      </c>
      <c r="I6665" s="561">
        <v>0</v>
      </c>
      <c r="J6665" s="561">
        <v>0</v>
      </c>
      <c r="K6665" s="561">
        <v>0</v>
      </c>
      <c r="L6665" s="561">
        <v>0</v>
      </c>
      <c r="M6665" s="561">
        <v>0</v>
      </c>
      <c r="N6665" s="561">
        <v>0</v>
      </c>
      <c r="P6665" s="561">
        <v>0</v>
      </c>
    </row>
    <row r="6666" spans="2:16">
      <c r="B6666" s="561" t="s">
        <v>1199</v>
      </c>
      <c r="C6666" s="561" t="s">
        <v>1199</v>
      </c>
      <c r="D6666" s="561">
        <v>24110</v>
      </c>
      <c r="E6666" s="561">
        <v>4547.3999999999996</v>
      </c>
      <c r="F6666" s="561">
        <v>19562.599999999999</v>
      </c>
      <c r="G6666" s="561">
        <v>1762</v>
      </c>
      <c r="H6666" s="561">
        <v>24448.722000000002</v>
      </c>
      <c r="I6666" s="561">
        <v>0</v>
      </c>
      <c r="J6666" s="561">
        <v>338.72200000000157</v>
      </c>
      <c r="K6666" s="561">
        <v>1762</v>
      </c>
      <c r="L6666" s="561">
        <v>24110</v>
      </c>
      <c r="M6666" s="561">
        <v>24110</v>
      </c>
      <c r="N6666" s="561">
        <v>4547.3999999999996</v>
      </c>
      <c r="P6666" s="561">
        <v>19562.599999999999</v>
      </c>
    </row>
    <row r="6667" spans="2:16">
      <c r="B6667" s="561" t="s">
        <v>1815</v>
      </c>
      <c r="C6667" s="561" t="s">
        <v>1267</v>
      </c>
      <c r="D6667" s="561">
        <v>169407</v>
      </c>
      <c r="E6667" s="561">
        <v>49125</v>
      </c>
      <c r="F6667" s="561">
        <v>120282</v>
      </c>
      <c r="G6667" s="561">
        <v>3868</v>
      </c>
      <c r="H6667" s="561">
        <v>178971.774</v>
      </c>
      <c r="I6667" s="561">
        <v>20</v>
      </c>
      <c r="J6667" s="561">
        <v>9564.7740000000049</v>
      </c>
      <c r="K6667" s="561">
        <v>3848</v>
      </c>
      <c r="L6667" s="561">
        <v>169407</v>
      </c>
      <c r="M6667" s="561">
        <v>169407</v>
      </c>
      <c r="N6667" s="561">
        <v>49125</v>
      </c>
      <c r="O6667" s="561">
        <v>0</v>
      </c>
      <c r="P6667" s="561">
        <v>120282</v>
      </c>
    </row>
    <row r="6668" spans="2:16">
      <c r="B6668" s="561" t="s">
        <v>1197</v>
      </c>
      <c r="C6668" s="561" t="s">
        <v>1197</v>
      </c>
      <c r="D6668" s="561">
        <v>146492.9</v>
      </c>
      <c r="E6668" s="561">
        <v>43875</v>
      </c>
      <c r="F6668" s="561">
        <v>102617.9</v>
      </c>
      <c r="G6668" s="561">
        <v>2263</v>
      </c>
      <c r="H6668" s="561">
        <v>154974.5</v>
      </c>
      <c r="I6668" s="561">
        <v>5</v>
      </c>
      <c r="J6668" s="561">
        <v>8481.6000000000058</v>
      </c>
      <c r="K6668" s="561">
        <v>2258</v>
      </c>
      <c r="L6668" s="561">
        <v>146492.9</v>
      </c>
      <c r="M6668" s="561">
        <v>146492.9</v>
      </c>
      <c r="N6668" s="561">
        <v>43875</v>
      </c>
    </row>
    <row r="6669" spans="2:16">
      <c r="B6669" s="561" t="s">
        <v>1198</v>
      </c>
      <c r="C6669" s="561" t="s">
        <v>1198</v>
      </c>
      <c r="F6669" s="561">
        <v>0</v>
      </c>
      <c r="G6669" s="561">
        <v>0</v>
      </c>
      <c r="H6669" s="561">
        <v>0</v>
      </c>
      <c r="I6669" s="561">
        <v>0</v>
      </c>
      <c r="J6669" s="561">
        <v>0</v>
      </c>
      <c r="K6669" s="561">
        <v>0</v>
      </c>
      <c r="L6669" s="561">
        <v>0</v>
      </c>
      <c r="M6669" s="561">
        <v>0</v>
      </c>
      <c r="N6669" s="561">
        <v>0</v>
      </c>
      <c r="P6669" s="561">
        <v>0</v>
      </c>
    </row>
    <row r="6670" spans="2:16">
      <c r="B6670" s="561" t="s">
        <v>1199</v>
      </c>
      <c r="C6670" s="561" t="s">
        <v>1199</v>
      </c>
      <c r="D6670" s="561">
        <v>22914.1</v>
      </c>
      <c r="E6670" s="561">
        <v>5250</v>
      </c>
      <c r="F6670" s="561">
        <v>17664.099999999999</v>
      </c>
      <c r="G6670" s="561">
        <v>1605</v>
      </c>
      <c r="H6670" s="561">
        <v>23997.274000000001</v>
      </c>
      <c r="I6670" s="561">
        <v>15</v>
      </c>
      <c r="J6670" s="561">
        <v>1083.1739999999991</v>
      </c>
      <c r="K6670" s="561">
        <v>1590</v>
      </c>
      <c r="L6670" s="561">
        <v>22914.100000000002</v>
      </c>
      <c r="M6670" s="561">
        <v>22914.100000000002</v>
      </c>
      <c r="N6670" s="561">
        <v>5250</v>
      </c>
      <c r="P6670" s="561">
        <v>17664.100000000002</v>
      </c>
    </row>
    <row r="6671" spans="2:16">
      <c r="B6671" s="561" t="s">
        <v>1816</v>
      </c>
      <c r="C6671" s="561" t="s">
        <v>1267</v>
      </c>
      <c r="D6671" s="561">
        <v>114056</v>
      </c>
      <c r="E6671" s="561">
        <v>34216.799999999996</v>
      </c>
      <c r="F6671" s="561">
        <v>79839.199999999997</v>
      </c>
      <c r="G6671" s="561">
        <v>2544</v>
      </c>
      <c r="H6671" s="561">
        <v>114644.91900000002</v>
      </c>
      <c r="I6671" s="561">
        <v>0</v>
      </c>
      <c r="J6671" s="561">
        <v>588.91900000000169</v>
      </c>
      <c r="K6671" s="561">
        <v>2544</v>
      </c>
      <c r="L6671" s="561">
        <v>114056.00000000001</v>
      </c>
      <c r="M6671" s="561">
        <v>114056.00000000001</v>
      </c>
      <c r="N6671" s="561">
        <v>34216.799999999996</v>
      </c>
      <c r="O6671" s="561">
        <v>0</v>
      </c>
      <c r="P6671" s="561">
        <v>79839.200000000012</v>
      </c>
    </row>
    <row r="6672" spans="2:16">
      <c r="B6672" s="561" t="s">
        <v>1197</v>
      </c>
      <c r="C6672" s="561" t="s">
        <v>1197</v>
      </c>
      <c r="D6672" s="561">
        <v>97237</v>
      </c>
      <c r="E6672" s="561">
        <v>29171.1</v>
      </c>
      <c r="F6672" s="561">
        <v>68065.899999999994</v>
      </c>
      <c r="G6672" s="561">
        <v>1437</v>
      </c>
      <c r="H6672" s="561">
        <v>97445.156000000017</v>
      </c>
      <c r="I6672" s="561">
        <v>0</v>
      </c>
      <c r="J6672" s="561">
        <v>208.15600000000268</v>
      </c>
      <c r="K6672" s="561">
        <v>1437</v>
      </c>
      <c r="L6672" s="561">
        <v>97237.000000000015</v>
      </c>
      <c r="M6672" s="561">
        <v>97237.000000000015</v>
      </c>
      <c r="N6672" s="561">
        <v>29171.1</v>
      </c>
    </row>
    <row r="6673" spans="2:16">
      <c r="B6673" s="561" t="s">
        <v>1198</v>
      </c>
      <c r="C6673" s="561" t="s">
        <v>1198</v>
      </c>
      <c r="F6673" s="561">
        <v>0</v>
      </c>
      <c r="G6673" s="561">
        <v>0</v>
      </c>
      <c r="H6673" s="561">
        <v>0</v>
      </c>
      <c r="I6673" s="561">
        <v>0</v>
      </c>
      <c r="J6673" s="561">
        <v>0</v>
      </c>
      <c r="K6673" s="561">
        <v>0</v>
      </c>
      <c r="L6673" s="561">
        <v>0</v>
      </c>
      <c r="M6673" s="561">
        <v>0</v>
      </c>
      <c r="N6673" s="561">
        <v>0</v>
      </c>
      <c r="P6673" s="561">
        <v>0</v>
      </c>
    </row>
    <row r="6674" spans="2:16">
      <c r="B6674" s="561" t="s">
        <v>1199</v>
      </c>
      <c r="C6674" s="561" t="s">
        <v>1199</v>
      </c>
      <c r="D6674" s="561">
        <v>16819</v>
      </c>
      <c r="E6674" s="561">
        <v>5045.7</v>
      </c>
      <c r="F6674" s="561">
        <v>11773.3</v>
      </c>
      <c r="G6674" s="561">
        <v>1107</v>
      </c>
      <c r="H6674" s="561">
        <v>17199.762999999999</v>
      </c>
      <c r="I6674" s="561">
        <v>0</v>
      </c>
      <c r="J6674" s="561">
        <v>380.76299999999901</v>
      </c>
      <c r="K6674" s="561">
        <v>1107</v>
      </c>
      <c r="L6674" s="561">
        <v>16819</v>
      </c>
      <c r="M6674" s="561">
        <v>16819</v>
      </c>
      <c r="N6674" s="561">
        <v>5045.7</v>
      </c>
      <c r="P6674" s="561">
        <v>11773.3</v>
      </c>
    </row>
    <row r="6675" spans="2:16">
      <c r="B6675" s="561" t="s">
        <v>1817</v>
      </c>
      <c r="C6675" s="561" t="s">
        <v>1267</v>
      </c>
      <c r="D6675" s="561">
        <v>17210</v>
      </c>
      <c r="E6675" s="561">
        <v>5163</v>
      </c>
      <c r="F6675" s="561">
        <v>12047</v>
      </c>
      <c r="G6675" s="561">
        <v>1461</v>
      </c>
      <c r="H6675" s="561">
        <v>17824.004000000001</v>
      </c>
      <c r="I6675" s="561">
        <v>0</v>
      </c>
      <c r="J6675" s="561">
        <v>614.00400000000081</v>
      </c>
      <c r="K6675" s="561">
        <v>1461</v>
      </c>
      <c r="L6675" s="561">
        <v>17210</v>
      </c>
      <c r="M6675" s="561">
        <v>17210</v>
      </c>
      <c r="N6675" s="561">
        <v>5163</v>
      </c>
      <c r="O6675" s="561">
        <v>0</v>
      </c>
      <c r="P6675" s="561">
        <v>12047</v>
      </c>
    </row>
    <row r="6676" spans="2:16">
      <c r="B6676" s="561" t="s">
        <v>1197</v>
      </c>
      <c r="C6676" s="561" t="s">
        <v>1197</v>
      </c>
      <c r="I6676" s="561">
        <v>0</v>
      </c>
      <c r="J6676" s="561">
        <v>0</v>
      </c>
      <c r="P6676" s="561">
        <v>0</v>
      </c>
    </row>
    <row r="6677" spans="2:16">
      <c r="B6677" s="561" t="s">
        <v>1198</v>
      </c>
      <c r="C6677" s="561" t="s">
        <v>1198</v>
      </c>
      <c r="I6677" s="561">
        <v>0</v>
      </c>
      <c r="J6677" s="561">
        <v>0</v>
      </c>
      <c r="P6677" s="561">
        <v>0</v>
      </c>
    </row>
    <row r="6678" spans="2:16">
      <c r="B6678" s="561" t="s">
        <v>1199</v>
      </c>
      <c r="C6678" s="561" t="s">
        <v>1199</v>
      </c>
      <c r="D6678" s="561">
        <v>17210</v>
      </c>
      <c r="E6678" s="561">
        <v>5163</v>
      </c>
      <c r="F6678" s="561">
        <v>12047</v>
      </c>
      <c r="G6678" s="561">
        <v>1461</v>
      </c>
      <c r="H6678" s="561">
        <v>17824.004000000001</v>
      </c>
      <c r="I6678" s="561">
        <v>0</v>
      </c>
      <c r="J6678" s="561">
        <v>614.00400000000081</v>
      </c>
      <c r="K6678" s="561">
        <v>1461</v>
      </c>
      <c r="L6678" s="561">
        <v>17210</v>
      </c>
      <c r="M6678" s="561">
        <v>17210</v>
      </c>
      <c r="N6678" s="561">
        <v>5163</v>
      </c>
      <c r="P6678" s="561">
        <v>12047</v>
      </c>
    </row>
    <row r="6679" spans="2:16">
      <c r="B6679" s="561" t="s">
        <v>1818</v>
      </c>
      <c r="C6679" s="561" t="s">
        <v>1267</v>
      </c>
      <c r="D6679" s="561">
        <v>28172.5</v>
      </c>
      <c r="E6679" s="561">
        <v>7715.1</v>
      </c>
      <c r="F6679" s="561">
        <v>20457.400000000001</v>
      </c>
      <c r="G6679" s="561">
        <v>1767</v>
      </c>
      <c r="H6679" s="561">
        <v>28453.076000000005</v>
      </c>
      <c r="I6679" s="561">
        <v>0</v>
      </c>
      <c r="J6679" s="561">
        <v>280.57600000000457</v>
      </c>
      <c r="K6679" s="561">
        <v>1767</v>
      </c>
      <c r="L6679" s="561">
        <v>28172.5</v>
      </c>
      <c r="M6679" s="561">
        <v>28172.5</v>
      </c>
      <c r="N6679" s="561">
        <v>7715.1</v>
      </c>
      <c r="O6679" s="561">
        <v>0</v>
      </c>
      <c r="P6679" s="561">
        <v>20457.400000000001</v>
      </c>
    </row>
    <row r="6680" spans="2:16">
      <c r="B6680" s="561" t="s">
        <v>1197</v>
      </c>
      <c r="C6680" s="561" t="s">
        <v>1197</v>
      </c>
      <c r="I6680" s="561">
        <v>0</v>
      </c>
      <c r="J6680" s="561">
        <v>0</v>
      </c>
      <c r="P6680" s="561">
        <v>0</v>
      </c>
    </row>
    <row r="6681" spans="2:16">
      <c r="B6681" s="561" t="s">
        <v>1198</v>
      </c>
      <c r="C6681" s="561" t="s">
        <v>1198</v>
      </c>
      <c r="I6681" s="561">
        <v>0</v>
      </c>
      <c r="J6681" s="561">
        <v>0</v>
      </c>
      <c r="P6681" s="561">
        <v>0</v>
      </c>
    </row>
    <row r="6682" spans="2:16">
      <c r="B6682" s="561" t="s">
        <v>1199</v>
      </c>
      <c r="C6682" s="561" t="s">
        <v>1199</v>
      </c>
      <c r="D6682" s="561">
        <v>28172.5</v>
      </c>
      <c r="E6682" s="561">
        <v>7715.1</v>
      </c>
      <c r="F6682" s="561">
        <v>20457.400000000001</v>
      </c>
      <c r="G6682" s="561">
        <v>1767</v>
      </c>
      <c r="H6682" s="561">
        <v>28453.076000000005</v>
      </c>
      <c r="I6682" s="561">
        <v>0</v>
      </c>
      <c r="J6682" s="561">
        <v>280.57600000000457</v>
      </c>
      <c r="K6682" s="561">
        <v>1767</v>
      </c>
      <c r="L6682" s="561">
        <v>28172.5</v>
      </c>
      <c r="M6682" s="561">
        <v>28172.5</v>
      </c>
      <c r="N6682" s="561">
        <v>7715.1</v>
      </c>
      <c r="P6682" s="561">
        <v>20457.400000000001</v>
      </c>
    </row>
    <row r="6683" spans="2:16">
      <c r="B6683" s="561" t="s">
        <v>1819</v>
      </c>
      <c r="C6683" s="561" t="s">
        <v>1267</v>
      </c>
      <c r="D6683" s="561">
        <v>22003</v>
      </c>
      <c r="E6683" s="561">
        <v>6062.4</v>
      </c>
      <c r="F6683" s="561">
        <v>15940.6</v>
      </c>
      <c r="G6683" s="561">
        <v>1713</v>
      </c>
      <c r="H6683" s="561">
        <v>22266.571999999996</v>
      </c>
      <c r="I6683" s="561">
        <v>0</v>
      </c>
      <c r="J6683" s="561">
        <v>263.57199999999284</v>
      </c>
      <c r="K6683" s="561">
        <v>1713</v>
      </c>
      <c r="L6683" s="561">
        <v>22003.000000000004</v>
      </c>
      <c r="M6683" s="561">
        <v>22003.000000000004</v>
      </c>
      <c r="N6683" s="561">
        <v>6062.4</v>
      </c>
      <c r="O6683" s="561">
        <v>0</v>
      </c>
      <c r="P6683" s="561">
        <v>15940.600000000004</v>
      </c>
    </row>
    <row r="6684" spans="2:16">
      <c r="B6684" s="561" t="s">
        <v>1197</v>
      </c>
      <c r="C6684" s="561" t="s">
        <v>1197</v>
      </c>
      <c r="I6684" s="561">
        <v>0</v>
      </c>
      <c r="J6684" s="561">
        <v>0</v>
      </c>
      <c r="P6684" s="561">
        <v>0</v>
      </c>
    </row>
    <row r="6685" spans="2:16">
      <c r="B6685" s="561" t="s">
        <v>1198</v>
      </c>
      <c r="C6685" s="561" t="s">
        <v>1198</v>
      </c>
      <c r="I6685" s="561">
        <v>0</v>
      </c>
      <c r="J6685" s="561">
        <v>0</v>
      </c>
      <c r="P6685" s="561">
        <v>0</v>
      </c>
    </row>
    <row r="6686" spans="2:16">
      <c r="B6686" s="561" t="s">
        <v>1199</v>
      </c>
      <c r="C6686" s="561" t="s">
        <v>1199</v>
      </c>
      <c r="D6686" s="561">
        <v>22003</v>
      </c>
      <c r="E6686" s="561">
        <v>6062.4</v>
      </c>
      <c r="F6686" s="561">
        <v>15940.6</v>
      </c>
      <c r="G6686" s="561">
        <v>1713</v>
      </c>
      <c r="H6686" s="561">
        <v>22266.571999999996</v>
      </c>
      <c r="I6686" s="561">
        <v>0</v>
      </c>
      <c r="J6686" s="561">
        <v>263.57199999999284</v>
      </c>
      <c r="K6686" s="561">
        <v>1713</v>
      </c>
      <c r="L6686" s="561">
        <v>22003.000000000004</v>
      </c>
      <c r="M6686" s="561">
        <v>22003.000000000004</v>
      </c>
      <c r="N6686" s="561">
        <v>6062.4</v>
      </c>
      <c r="P6686" s="561">
        <v>15940.600000000004</v>
      </c>
    </row>
    <row r="6687" spans="2:16">
      <c r="B6687" s="561" t="s">
        <v>1820</v>
      </c>
      <c r="C6687" s="561" t="s">
        <v>1267</v>
      </c>
      <c r="D6687" s="561">
        <v>32391</v>
      </c>
      <c r="E6687" s="561">
        <v>8879.4</v>
      </c>
      <c r="F6687" s="561">
        <v>23511.599999999999</v>
      </c>
      <c r="G6687" s="561">
        <v>2545</v>
      </c>
      <c r="H6687" s="561">
        <v>32787.468999999997</v>
      </c>
      <c r="I6687" s="561">
        <v>13</v>
      </c>
      <c r="J6687" s="561">
        <v>396.46899999999732</v>
      </c>
      <c r="K6687" s="561">
        <v>2532</v>
      </c>
      <c r="L6687" s="561">
        <v>32391</v>
      </c>
      <c r="M6687" s="561">
        <v>32391</v>
      </c>
      <c r="N6687" s="561">
        <v>8879.4</v>
      </c>
      <c r="O6687" s="561">
        <v>0</v>
      </c>
      <c r="P6687" s="561">
        <v>23511.599999999999</v>
      </c>
    </row>
    <row r="6688" spans="2:16">
      <c r="B6688" s="561" t="s">
        <v>1197</v>
      </c>
      <c r="C6688" s="561" t="s">
        <v>1197</v>
      </c>
      <c r="I6688" s="561">
        <v>0</v>
      </c>
      <c r="J6688" s="561">
        <v>0</v>
      </c>
      <c r="P6688" s="561">
        <v>0</v>
      </c>
    </row>
    <row r="6689" spans="2:16">
      <c r="B6689" s="561" t="s">
        <v>1198</v>
      </c>
      <c r="C6689" s="561" t="s">
        <v>1198</v>
      </c>
      <c r="I6689" s="561">
        <v>0</v>
      </c>
      <c r="J6689" s="561">
        <v>0</v>
      </c>
      <c r="P6689" s="561">
        <v>0</v>
      </c>
    </row>
    <row r="6690" spans="2:16">
      <c r="B6690" s="561" t="s">
        <v>1199</v>
      </c>
      <c r="C6690" s="561" t="s">
        <v>1199</v>
      </c>
      <c r="D6690" s="561">
        <v>32391</v>
      </c>
      <c r="E6690" s="561">
        <v>8879.4</v>
      </c>
      <c r="F6690" s="561">
        <v>23511.599999999999</v>
      </c>
      <c r="G6690" s="561">
        <v>2545</v>
      </c>
      <c r="H6690" s="561">
        <v>32787.468999999997</v>
      </c>
      <c r="I6690" s="561">
        <v>13</v>
      </c>
      <c r="J6690" s="561">
        <v>396.46899999999732</v>
      </c>
      <c r="K6690" s="561">
        <v>2532</v>
      </c>
      <c r="L6690" s="561">
        <v>32391</v>
      </c>
      <c r="M6690" s="561">
        <v>32391</v>
      </c>
      <c r="N6690" s="561">
        <v>8879.4</v>
      </c>
      <c r="P6690" s="561">
        <v>23511.599999999999</v>
      </c>
    </row>
    <row r="6691" spans="2:16">
      <c r="B6691" s="561" t="s">
        <v>1821</v>
      </c>
      <c r="C6691" s="561" t="s">
        <v>1267</v>
      </c>
      <c r="D6691" s="561">
        <v>15419</v>
      </c>
      <c r="E6691" s="561">
        <v>3830.4</v>
      </c>
      <c r="F6691" s="561">
        <v>11588.6</v>
      </c>
      <c r="G6691" s="561">
        <v>1140</v>
      </c>
      <c r="H6691" s="561">
        <v>15728.366</v>
      </c>
      <c r="I6691" s="561">
        <v>6</v>
      </c>
      <c r="J6691" s="561">
        <v>309.36599999999999</v>
      </c>
      <c r="K6691" s="561">
        <v>1134</v>
      </c>
      <c r="L6691" s="561">
        <v>15419</v>
      </c>
      <c r="M6691" s="561">
        <v>15419</v>
      </c>
      <c r="N6691" s="561">
        <v>3830.4</v>
      </c>
      <c r="O6691" s="561">
        <v>0</v>
      </c>
      <c r="P6691" s="561">
        <v>11588.6</v>
      </c>
    </row>
    <row r="6692" spans="2:16">
      <c r="B6692" s="561" t="s">
        <v>1197</v>
      </c>
      <c r="C6692" s="561" t="s">
        <v>1197</v>
      </c>
      <c r="I6692" s="561">
        <v>0</v>
      </c>
      <c r="J6692" s="561">
        <v>0</v>
      </c>
      <c r="P6692" s="561">
        <v>0</v>
      </c>
    </row>
    <row r="6693" spans="2:16">
      <c r="B6693" s="561" t="s">
        <v>1198</v>
      </c>
      <c r="C6693" s="561" t="s">
        <v>1198</v>
      </c>
      <c r="I6693" s="561">
        <v>0</v>
      </c>
      <c r="J6693" s="561">
        <v>0</v>
      </c>
      <c r="P6693" s="561">
        <v>0</v>
      </c>
    </row>
    <row r="6694" spans="2:16">
      <c r="B6694" s="561" t="s">
        <v>1199</v>
      </c>
      <c r="C6694" s="561" t="s">
        <v>1199</v>
      </c>
      <c r="D6694" s="561">
        <v>15419</v>
      </c>
      <c r="E6694" s="561">
        <v>3830.4</v>
      </c>
      <c r="F6694" s="561">
        <v>11588.6</v>
      </c>
      <c r="G6694" s="561">
        <v>1140</v>
      </c>
      <c r="H6694" s="561">
        <v>15728.366</v>
      </c>
      <c r="I6694" s="561">
        <v>6</v>
      </c>
      <c r="J6694" s="561">
        <v>309.36599999999999</v>
      </c>
      <c r="K6694" s="561">
        <v>1134</v>
      </c>
      <c r="L6694" s="561">
        <v>15419</v>
      </c>
      <c r="M6694" s="561">
        <v>15419</v>
      </c>
      <c r="N6694" s="561">
        <v>3830.4</v>
      </c>
      <c r="P6694" s="561">
        <v>11588.6</v>
      </c>
    </row>
    <row r="6695" spans="2:16">
      <c r="B6695" s="561" t="s">
        <v>1822</v>
      </c>
      <c r="C6695" s="561" t="s">
        <v>1267</v>
      </c>
      <c r="D6695" s="561">
        <v>7242.1</v>
      </c>
      <c r="E6695" s="561">
        <v>1871.4</v>
      </c>
      <c r="F6695" s="561">
        <v>5370.7</v>
      </c>
      <c r="G6695" s="561">
        <v>455</v>
      </c>
      <c r="H6695" s="561">
        <v>7462.9320000000007</v>
      </c>
      <c r="I6695" s="561">
        <v>2</v>
      </c>
      <c r="J6695" s="561">
        <v>220.83200000000124</v>
      </c>
      <c r="K6695" s="561">
        <v>453</v>
      </c>
      <c r="L6695" s="561">
        <v>7242.0999999999995</v>
      </c>
      <c r="M6695" s="561">
        <v>7242.0999999999995</v>
      </c>
      <c r="N6695" s="561">
        <v>1871.4</v>
      </c>
      <c r="O6695" s="561">
        <v>0</v>
      </c>
      <c r="P6695" s="561">
        <v>5370.6999999999989</v>
      </c>
    </row>
    <row r="6696" spans="2:16">
      <c r="B6696" s="561" t="s">
        <v>1197</v>
      </c>
      <c r="C6696" s="561" t="s">
        <v>1197</v>
      </c>
      <c r="I6696" s="561">
        <v>0</v>
      </c>
      <c r="J6696" s="561">
        <v>0</v>
      </c>
      <c r="P6696" s="561">
        <v>0</v>
      </c>
    </row>
    <row r="6697" spans="2:16">
      <c r="B6697" s="561" t="s">
        <v>1198</v>
      </c>
      <c r="C6697" s="561" t="s">
        <v>1198</v>
      </c>
      <c r="I6697" s="561">
        <v>0</v>
      </c>
      <c r="J6697" s="561">
        <v>0</v>
      </c>
      <c r="P6697" s="561">
        <v>0</v>
      </c>
    </row>
    <row r="6698" spans="2:16">
      <c r="B6698" s="561" t="s">
        <v>1199</v>
      </c>
      <c r="C6698" s="561" t="s">
        <v>1199</v>
      </c>
      <c r="D6698" s="561">
        <v>7242.1</v>
      </c>
      <c r="E6698" s="561">
        <v>1871.4</v>
      </c>
      <c r="F6698" s="561">
        <v>5370.7</v>
      </c>
      <c r="G6698" s="561">
        <v>455</v>
      </c>
      <c r="H6698" s="561">
        <v>7462.9320000000007</v>
      </c>
      <c r="I6698" s="561">
        <v>2</v>
      </c>
      <c r="J6698" s="561">
        <v>220.83200000000124</v>
      </c>
      <c r="K6698" s="561">
        <v>453</v>
      </c>
      <c r="L6698" s="561">
        <v>7242.0999999999995</v>
      </c>
      <c r="M6698" s="561">
        <v>7242.0999999999995</v>
      </c>
      <c r="N6698" s="561">
        <v>1871.4</v>
      </c>
      <c r="P6698" s="561">
        <v>5370.6999999999989</v>
      </c>
    </row>
    <row r="6699" spans="2:16">
      <c r="B6699" s="561" t="s">
        <v>1823</v>
      </c>
      <c r="C6699" s="561" t="s">
        <v>1267</v>
      </c>
      <c r="D6699" s="561">
        <v>1480</v>
      </c>
      <c r="E6699" s="561">
        <v>300</v>
      </c>
      <c r="F6699" s="561">
        <v>1180</v>
      </c>
      <c r="G6699" s="561">
        <v>83</v>
      </c>
      <c r="H6699" s="561">
        <v>1516.826</v>
      </c>
      <c r="I6699" s="561">
        <v>0</v>
      </c>
      <c r="J6699" s="561">
        <v>36.826000000000022</v>
      </c>
      <c r="K6699" s="561">
        <v>83</v>
      </c>
      <c r="L6699" s="561">
        <v>1480</v>
      </c>
      <c r="M6699" s="561">
        <v>1480</v>
      </c>
      <c r="N6699" s="561">
        <v>300</v>
      </c>
      <c r="O6699" s="561">
        <v>0</v>
      </c>
      <c r="P6699" s="561">
        <v>1180</v>
      </c>
    </row>
    <row r="6700" spans="2:16">
      <c r="B6700" s="561" t="s">
        <v>1197</v>
      </c>
      <c r="C6700" s="561" t="s">
        <v>1197</v>
      </c>
      <c r="I6700" s="561">
        <v>0</v>
      </c>
      <c r="J6700" s="561">
        <v>0</v>
      </c>
      <c r="P6700" s="561">
        <v>0</v>
      </c>
    </row>
    <row r="6701" spans="2:16">
      <c r="B6701" s="561" t="s">
        <v>1198</v>
      </c>
      <c r="C6701" s="561" t="s">
        <v>1198</v>
      </c>
      <c r="I6701" s="561">
        <v>0</v>
      </c>
      <c r="J6701" s="561">
        <v>0</v>
      </c>
      <c r="P6701" s="561">
        <v>0</v>
      </c>
    </row>
    <row r="6702" spans="2:16">
      <c r="B6702" s="561" t="s">
        <v>1199</v>
      </c>
      <c r="C6702" s="561" t="s">
        <v>1199</v>
      </c>
      <c r="D6702" s="561">
        <v>1480</v>
      </c>
      <c r="E6702" s="561">
        <v>300</v>
      </c>
      <c r="F6702" s="561">
        <v>1180</v>
      </c>
      <c r="G6702" s="561">
        <v>83</v>
      </c>
      <c r="H6702" s="561">
        <v>1516.826</v>
      </c>
      <c r="I6702" s="561">
        <v>0</v>
      </c>
      <c r="J6702" s="561">
        <v>36.826000000000022</v>
      </c>
      <c r="K6702" s="561">
        <v>83</v>
      </c>
      <c r="L6702" s="561">
        <v>1480</v>
      </c>
      <c r="M6702" s="561">
        <v>1480</v>
      </c>
      <c r="N6702" s="561">
        <v>300</v>
      </c>
      <c r="P6702" s="561">
        <v>1180</v>
      </c>
    </row>
    <row r="6703" spans="2:16">
      <c r="B6703" s="561" t="s">
        <v>1824</v>
      </c>
      <c r="C6703" s="561" t="s">
        <v>1267</v>
      </c>
      <c r="D6703" s="561">
        <v>1060.5</v>
      </c>
      <c r="E6703" s="561">
        <v>300</v>
      </c>
      <c r="F6703" s="561">
        <v>760.5</v>
      </c>
      <c r="G6703" s="561">
        <v>83</v>
      </c>
      <c r="H6703" s="561">
        <v>1121.6789999999999</v>
      </c>
      <c r="I6703" s="561">
        <v>1</v>
      </c>
      <c r="J6703" s="561">
        <v>61.17899999999986</v>
      </c>
      <c r="K6703" s="561">
        <v>82</v>
      </c>
      <c r="L6703" s="561">
        <v>1060.5</v>
      </c>
      <c r="M6703" s="561">
        <v>1060.5</v>
      </c>
      <c r="N6703" s="561">
        <v>300</v>
      </c>
      <c r="O6703" s="561">
        <v>0</v>
      </c>
      <c r="P6703" s="561">
        <v>760.5</v>
      </c>
    </row>
    <row r="6704" spans="2:16">
      <c r="B6704" s="561" t="s">
        <v>1197</v>
      </c>
      <c r="C6704" s="561" t="s">
        <v>1197</v>
      </c>
      <c r="I6704" s="561">
        <v>0</v>
      </c>
      <c r="J6704" s="561">
        <v>0</v>
      </c>
      <c r="P6704" s="561">
        <v>0</v>
      </c>
    </row>
    <row r="6705" spans="1:111">
      <c r="B6705" s="561" t="s">
        <v>1198</v>
      </c>
      <c r="C6705" s="561" t="s">
        <v>1198</v>
      </c>
      <c r="I6705" s="561">
        <v>0</v>
      </c>
      <c r="J6705" s="561">
        <v>0</v>
      </c>
      <c r="P6705" s="561">
        <v>0</v>
      </c>
    </row>
    <row r="6706" spans="1:111">
      <c r="B6706" s="561" t="s">
        <v>1199</v>
      </c>
      <c r="C6706" s="561" t="s">
        <v>1199</v>
      </c>
      <c r="D6706" s="561">
        <v>1060.5</v>
      </c>
      <c r="E6706" s="561">
        <v>300</v>
      </c>
      <c r="F6706" s="561">
        <v>760.5</v>
      </c>
      <c r="G6706" s="561">
        <v>83</v>
      </c>
      <c r="H6706" s="561">
        <v>1121.6789999999999</v>
      </c>
      <c r="I6706" s="561">
        <v>1</v>
      </c>
      <c r="J6706" s="561">
        <v>61.17899999999986</v>
      </c>
      <c r="K6706" s="561">
        <v>82</v>
      </c>
      <c r="L6706" s="561">
        <v>1060.5</v>
      </c>
      <c r="M6706" s="561">
        <v>1060.5</v>
      </c>
      <c r="N6706" s="561">
        <v>300</v>
      </c>
      <c r="P6706" s="561">
        <v>760.5</v>
      </c>
    </row>
    <row r="6707" spans="1:111">
      <c r="A6707" s="1735" t="s">
        <v>1199</v>
      </c>
      <c r="B6707" s="1735"/>
      <c r="C6707" s="1735"/>
      <c r="D6707" s="1735"/>
      <c r="E6707" s="1735"/>
      <c r="F6707" s="1735"/>
      <c r="G6707" s="1735"/>
      <c r="H6707" s="1735"/>
      <c r="I6707" s="1735"/>
      <c r="J6707" s="1735"/>
      <c r="K6707" s="1735"/>
      <c r="L6707" s="1735"/>
      <c r="M6707" s="1735"/>
      <c r="N6707" s="1735"/>
      <c r="O6707" s="1735"/>
      <c r="P6707" s="1735"/>
      <c r="AL6707" s="561">
        <f>SUM(AL6708:AL6825)</f>
        <v>486137.098</v>
      </c>
      <c r="AM6707" s="561">
        <f t="shared" ref="AM6707:CX6707" si="148">SUM(AM6708:AM6825)</f>
        <v>0</v>
      </c>
      <c r="AN6707" s="561">
        <f t="shared" si="148"/>
        <v>0</v>
      </c>
      <c r="AO6707" s="561">
        <f t="shared" si="148"/>
        <v>0</v>
      </c>
      <c r="AP6707" s="561">
        <f t="shared" si="148"/>
        <v>0</v>
      </c>
      <c r="AQ6707" s="561">
        <f t="shared" si="148"/>
        <v>0</v>
      </c>
      <c r="AR6707" s="561">
        <f t="shared" si="148"/>
        <v>0</v>
      </c>
      <c r="AS6707" s="561">
        <f t="shared" si="148"/>
        <v>0</v>
      </c>
      <c r="AT6707" s="561">
        <f t="shared" si="148"/>
        <v>1274.3000000000002</v>
      </c>
      <c r="AU6707" s="561">
        <f t="shared" si="148"/>
        <v>0</v>
      </c>
      <c r="AV6707" s="561">
        <f t="shared" si="148"/>
        <v>0</v>
      </c>
      <c r="AW6707" s="561">
        <f t="shared" si="148"/>
        <v>0</v>
      </c>
      <c r="AX6707" s="561">
        <f t="shared" si="148"/>
        <v>3000.6999999999989</v>
      </c>
      <c r="AY6707" s="561">
        <f t="shared" si="148"/>
        <v>11773.3</v>
      </c>
      <c r="AZ6707" s="561">
        <f t="shared" si="148"/>
        <v>0</v>
      </c>
      <c r="BA6707" s="561">
        <f t="shared" si="148"/>
        <v>0</v>
      </c>
      <c r="BB6707" s="561">
        <f t="shared" si="148"/>
        <v>6101.1999999999989</v>
      </c>
      <c r="BC6707" s="561">
        <f t="shared" si="148"/>
        <v>0</v>
      </c>
      <c r="BD6707" s="561">
        <f t="shared" si="148"/>
        <v>0</v>
      </c>
      <c r="BE6707" s="561">
        <f t="shared" si="148"/>
        <v>0</v>
      </c>
      <c r="BF6707" s="561">
        <f t="shared" si="148"/>
        <v>0</v>
      </c>
      <c r="BG6707" s="561">
        <f t="shared" si="148"/>
        <v>0</v>
      </c>
      <c r="BH6707" s="561">
        <f t="shared" si="148"/>
        <v>0</v>
      </c>
      <c r="BI6707" s="561">
        <f t="shared" si="148"/>
        <v>0</v>
      </c>
      <c r="BJ6707" s="561">
        <f t="shared" si="148"/>
        <v>0</v>
      </c>
      <c r="BK6707" s="561">
        <f t="shared" si="148"/>
        <v>0</v>
      </c>
      <c r="BL6707" s="561">
        <f t="shared" si="148"/>
        <v>0</v>
      </c>
      <c r="BM6707" s="561">
        <f t="shared" si="148"/>
        <v>0</v>
      </c>
      <c r="BN6707" s="561">
        <f t="shared" si="148"/>
        <v>0</v>
      </c>
      <c r="BO6707" s="561">
        <f t="shared" si="148"/>
        <v>0</v>
      </c>
      <c r="BP6707" s="561">
        <f t="shared" si="148"/>
        <v>0</v>
      </c>
      <c r="BQ6707" s="561">
        <f t="shared" si="148"/>
        <v>0</v>
      </c>
      <c r="BR6707" s="561">
        <f t="shared" si="148"/>
        <v>0</v>
      </c>
      <c r="BS6707" s="561">
        <f t="shared" si="148"/>
        <v>0</v>
      </c>
      <c r="BT6707" s="561">
        <f t="shared" si="148"/>
        <v>0</v>
      </c>
      <c r="BU6707" s="561">
        <f t="shared" si="148"/>
        <v>0</v>
      </c>
      <c r="BV6707" s="561">
        <f t="shared" si="148"/>
        <v>0</v>
      </c>
      <c r="BW6707" s="561">
        <f t="shared" si="148"/>
        <v>0</v>
      </c>
      <c r="BX6707" s="561">
        <f t="shared" si="148"/>
        <v>0</v>
      </c>
      <c r="BY6707" s="561">
        <f t="shared" si="148"/>
        <v>0</v>
      </c>
      <c r="BZ6707" s="561">
        <f t="shared" si="148"/>
        <v>72258.700000000012</v>
      </c>
      <c r="CA6707" s="561">
        <f t="shared" si="148"/>
        <v>0</v>
      </c>
      <c r="CB6707" s="561">
        <f t="shared" si="148"/>
        <v>0</v>
      </c>
      <c r="CC6707" s="561">
        <f t="shared" si="148"/>
        <v>0</v>
      </c>
      <c r="CD6707" s="561">
        <f t="shared" si="148"/>
        <v>0</v>
      </c>
      <c r="CE6707" s="561">
        <f t="shared" si="148"/>
        <v>0</v>
      </c>
      <c r="CF6707" s="561">
        <f t="shared" si="148"/>
        <v>0</v>
      </c>
      <c r="CG6707" s="561">
        <f t="shared" si="148"/>
        <v>0</v>
      </c>
      <c r="CH6707" s="561">
        <f t="shared" si="148"/>
        <v>0</v>
      </c>
      <c r="CI6707" s="561">
        <f t="shared" si="148"/>
        <v>0</v>
      </c>
      <c r="CJ6707" s="561">
        <f t="shared" si="148"/>
        <v>0</v>
      </c>
      <c r="CK6707" s="561">
        <f t="shared" si="148"/>
        <v>0</v>
      </c>
      <c r="CL6707" s="561">
        <f t="shared" si="148"/>
        <v>0</v>
      </c>
      <c r="CM6707" s="561">
        <f t="shared" si="148"/>
        <v>0</v>
      </c>
      <c r="CN6707" s="561">
        <f t="shared" si="148"/>
        <v>0</v>
      </c>
      <c r="CO6707" s="561">
        <f t="shared" si="148"/>
        <v>0</v>
      </c>
      <c r="CP6707" s="561">
        <f t="shared" si="148"/>
        <v>0</v>
      </c>
      <c r="CQ6707" s="561">
        <f t="shared" si="148"/>
        <v>0</v>
      </c>
      <c r="CR6707" s="561">
        <f t="shared" si="148"/>
        <v>0</v>
      </c>
      <c r="CS6707" s="561">
        <f t="shared" si="148"/>
        <v>0</v>
      </c>
      <c r="CT6707" s="561">
        <f t="shared" si="148"/>
        <v>0</v>
      </c>
      <c r="CU6707" s="561">
        <f t="shared" si="148"/>
        <v>0</v>
      </c>
      <c r="CV6707" s="561">
        <f t="shared" si="148"/>
        <v>0</v>
      </c>
      <c r="CW6707" s="561">
        <f t="shared" si="148"/>
        <v>0</v>
      </c>
      <c r="CX6707" s="561">
        <f t="shared" si="148"/>
        <v>0</v>
      </c>
      <c r="CY6707" s="561">
        <f t="shared" ref="CY6707:DG6707" si="149">SUM(CY6708:CY6825)</f>
        <v>0</v>
      </c>
      <c r="CZ6707" s="561">
        <f t="shared" si="149"/>
        <v>0</v>
      </c>
      <c r="DA6707" s="561">
        <f t="shared" si="149"/>
        <v>0</v>
      </c>
      <c r="DB6707" s="561">
        <f t="shared" si="149"/>
        <v>0</v>
      </c>
      <c r="DC6707" s="561">
        <f t="shared" si="149"/>
        <v>0</v>
      </c>
      <c r="DD6707" s="561">
        <f t="shared" si="149"/>
        <v>0</v>
      </c>
      <c r="DE6707" s="561">
        <f t="shared" si="149"/>
        <v>0</v>
      </c>
      <c r="DF6707" s="561">
        <f t="shared" si="149"/>
        <v>0</v>
      </c>
      <c r="DG6707" s="561">
        <f t="shared" si="149"/>
        <v>0</v>
      </c>
    </row>
    <row r="6708" spans="1:111">
      <c r="B6708" s="561" t="s">
        <v>1796</v>
      </c>
      <c r="C6708" s="561" t="s">
        <v>1267</v>
      </c>
      <c r="D6708" s="561">
        <v>1378056.8599999999</v>
      </c>
      <c r="E6708" s="561">
        <v>246622.49999999997</v>
      </c>
      <c r="F6708" s="561">
        <v>1131434.3600000001</v>
      </c>
      <c r="G6708" s="561">
        <v>11952</v>
      </c>
      <c r="H6708" s="561">
        <v>1449275.1600000001</v>
      </c>
      <c r="I6708" s="561">
        <v>47</v>
      </c>
      <c r="J6708" s="561">
        <v>71218.300000000221</v>
      </c>
      <c r="K6708" s="561">
        <v>11905</v>
      </c>
      <c r="L6708" s="561">
        <v>1378056.8599999999</v>
      </c>
      <c r="M6708" s="561">
        <v>1378056.8599999999</v>
      </c>
      <c r="N6708" s="561">
        <v>246622.49999999997</v>
      </c>
      <c r="O6708" s="561">
        <v>0</v>
      </c>
      <c r="P6708" s="561">
        <v>1131434.3599999999</v>
      </c>
    </row>
    <row r="6709" spans="1:111">
      <c r="C6709" s="561" t="s">
        <v>1197</v>
      </c>
      <c r="D6709" s="561">
        <v>1188222.3489999999</v>
      </c>
      <c r="E6709" s="561">
        <v>220896.3</v>
      </c>
      <c r="F6709" s="561">
        <v>967326.049</v>
      </c>
      <c r="G6709" s="561">
        <v>10459</v>
      </c>
      <c r="H6709" s="561">
        <v>1251204.0390000001</v>
      </c>
      <c r="I6709" s="561">
        <v>35</v>
      </c>
      <c r="J6709" s="561">
        <v>62981.693000000203</v>
      </c>
      <c r="K6709" s="561">
        <v>10424</v>
      </c>
      <c r="L6709" s="561">
        <v>1188222.3459999999</v>
      </c>
      <c r="M6709" s="561">
        <v>1188222.3459999999</v>
      </c>
      <c r="N6709" s="561">
        <v>220896.3</v>
      </c>
    </row>
    <row r="6710" spans="1:111">
      <c r="C6710" s="561" t="s">
        <v>1198</v>
      </c>
      <c r="D6710" s="561">
        <v>45303.144</v>
      </c>
      <c r="E6710" s="561">
        <v>5025.3</v>
      </c>
      <c r="F6710" s="561">
        <v>40277.843999999997</v>
      </c>
      <c r="G6710" s="561">
        <v>124</v>
      </c>
      <c r="H6710" s="561">
        <v>45328.887000000002</v>
      </c>
      <c r="I6710" s="561">
        <v>-2</v>
      </c>
      <c r="J6710" s="561">
        <v>25.740000000005239</v>
      </c>
      <c r="K6710" s="561">
        <v>126</v>
      </c>
      <c r="L6710" s="561">
        <v>45303.146999999997</v>
      </c>
      <c r="M6710" s="561">
        <v>45303.146999999997</v>
      </c>
      <c r="N6710" s="561">
        <v>5025.3</v>
      </c>
    </row>
    <row r="6711" spans="1:111">
      <c r="C6711" s="561" t="s">
        <v>1199</v>
      </c>
      <c r="D6711" s="561">
        <v>135165.90700000001</v>
      </c>
      <c r="E6711" s="561">
        <v>20700.900000000001</v>
      </c>
      <c r="F6711" s="561">
        <v>114465.00700000001</v>
      </c>
      <c r="G6711" s="561">
        <v>1369</v>
      </c>
      <c r="H6711" s="561">
        <v>135607.77800000002</v>
      </c>
      <c r="I6711" s="561">
        <v>14</v>
      </c>
      <c r="J6711" s="561">
        <v>441.87100000001374</v>
      </c>
      <c r="K6711" s="561">
        <v>1355</v>
      </c>
      <c r="L6711" s="561">
        <v>135165.90700000001</v>
      </c>
      <c r="M6711" s="561">
        <v>135165.90700000001</v>
      </c>
      <c r="N6711" s="561">
        <v>20700.900000000001</v>
      </c>
      <c r="AL6711" s="561">
        <v>114465.00700000001</v>
      </c>
    </row>
    <row r="6712" spans="1:111">
      <c r="C6712" s="561" t="s">
        <v>1202</v>
      </c>
      <c r="D6712" s="561">
        <v>9365.4599999999991</v>
      </c>
      <c r="F6712" s="561">
        <v>9365.4599999999991</v>
      </c>
      <c r="H6712" s="561">
        <v>17134.455999999998</v>
      </c>
      <c r="J6712" s="561">
        <v>7768.9959999999992</v>
      </c>
      <c r="L6712" s="561">
        <v>9365.4599999999991</v>
      </c>
      <c r="M6712" s="561">
        <v>9365.4599999999991</v>
      </c>
      <c r="P6712" s="561">
        <v>9365.4599999999991</v>
      </c>
    </row>
    <row r="6713" spans="1:111">
      <c r="B6713" s="561" t="s">
        <v>1797</v>
      </c>
      <c r="C6713" s="561" t="s">
        <v>1267</v>
      </c>
      <c r="D6713" s="561">
        <v>646281.69999999984</v>
      </c>
      <c r="E6713" s="561">
        <v>176470.5</v>
      </c>
      <c r="F6713" s="561">
        <v>469811.19999999995</v>
      </c>
      <c r="G6713" s="561">
        <v>9687</v>
      </c>
      <c r="H6713" s="561">
        <v>697906.82000000007</v>
      </c>
      <c r="I6713" s="561">
        <v>34</v>
      </c>
      <c r="J6713" s="561">
        <v>51625.120000000119</v>
      </c>
      <c r="K6713" s="561">
        <v>9653</v>
      </c>
      <c r="L6713" s="561">
        <v>646281.69999999984</v>
      </c>
      <c r="M6713" s="561">
        <v>646281.69999999984</v>
      </c>
      <c r="N6713" s="561">
        <v>176470.5</v>
      </c>
      <c r="O6713" s="561">
        <v>0</v>
      </c>
      <c r="P6713" s="561">
        <v>469811.19999999984</v>
      </c>
    </row>
    <row r="6714" spans="1:111">
      <c r="B6714" s="561" t="s">
        <v>1197</v>
      </c>
      <c r="C6714" s="561" t="s">
        <v>1197</v>
      </c>
      <c r="D6714" s="561">
        <v>611175.33899999992</v>
      </c>
      <c r="E6714" s="561">
        <v>170351.4</v>
      </c>
      <c r="F6714" s="561">
        <v>440823.93899999995</v>
      </c>
      <c r="G6714" s="561">
        <v>9284</v>
      </c>
      <c r="H6714" s="561">
        <v>659444.01800000004</v>
      </c>
      <c r="I6714" s="561">
        <v>32</v>
      </c>
      <c r="J6714" s="561">
        <v>48268.67900000012</v>
      </c>
      <c r="K6714" s="561">
        <v>9252</v>
      </c>
      <c r="L6714" s="561">
        <v>611175.33899999992</v>
      </c>
      <c r="M6714" s="561">
        <v>611175.33899999992</v>
      </c>
      <c r="N6714" s="561">
        <v>170351.4</v>
      </c>
    </row>
    <row r="6715" spans="1:111">
      <c r="B6715" s="561" t="s">
        <v>1198</v>
      </c>
      <c r="C6715" s="561" t="s">
        <v>1198</v>
      </c>
      <c r="D6715" s="561">
        <v>29553.366999999998</v>
      </c>
      <c r="E6715" s="561">
        <v>4622.7</v>
      </c>
      <c r="F6715" s="561">
        <v>24930.666999999998</v>
      </c>
      <c r="G6715" s="561">
        <v>30</v>
      </c>
      <c r="H6715" s="561">
        <v>32855.951000000001</v>
      </c>
      <c r="I6715" s="561">
        <v>0</v>
      </c>
      <c r="J6715" s="561">
        <v>3302.5840000000026</v>
      </c>
      <c r="K6715" s="561">
        <v>30</v>
      </c>
      <c r="L6715" s="561">
        <v>29553.366999999998</v>
      </c>
      <c r="M6715" s="561">
        <v>29553.366999999998</v>
      </c>
      <c r="N6715" s="561">
        <v>4622.7</v>
      </c>
    </row>
    <row r="6716" spans="1:111">
      <c r="B6716" s="561" t="s">
        <v>1199</v>
      </c>
      <c r="C6716" s="561" t="s">
        <v>1199</v>
      </c>
      <c r="D6716" s="561">
        <v>5552.9940000000006</v>
      </c>
      <c r="E6716" s="561">
        <v>1496.4</v>
      </c>
      <c r="F6716" s="561">
        <v>4056.5940000000001</v>
      </c>
      <c r="G6716" s="561">
        <v>373</v>
      </c>
      <c r="H6716" s="561">
        <v>5606.8509999999997</v>
      </c>
      <c r="I6716" s="561">
        <v>2</v>
      </c>
      <c r="J6716" s="561">
        <v>53.856999999999061</v>
      </c>
      <c r="K6716" s="561">
        <v>371</v>
      </c>
      <c r="L6716" s="561">
        <v>5552.9940000000006</v>
      </c>
      <c r="M6716" s="561">
        <v>5552.9940000000006</v>
      </c>
      <c r="N6716" s="561">
        <v>1496.4</v>
      </c>
      <c r="AL6716" s="561">
        <v>4056.5940000000005</v>
      </c>
    </row>
    <row r="6717" spans="1:111">
      <c r="B6717" s="561" t="s">
        <v>1798</v>
      </c>
      <c r="C6717" s="561" t="s">
        <v>1267</v>
      </c>
      <c r="D6717" s="561">
        <v>557568.6</v>
      </c>
      <c r="E6717" s="561">
        <v>165252.29999999999</v>
      </c>
      <c r="F6717" s="561">
        <v>392316.30000000005</v>
      </c>
      <c r="G6717" s="561">
        <v>8251</v>
      </c>
      <c r="H6717" s="561">
        <v>580357.36899999995</v>
      </c>
      <c r="I6717" s="561">
        <v>23</v>
      </c>
      <c r="J6717" s="561">
        <v>22788.76899999992</v>
      </c>
      <c r="K6717" s="561">
        <v>8228</v>
      </c>
      <c r="L6717" s="561">
        <v>557568.6</v>
      </c>
      <c r="M6717" s="561">
        <v>557568.6</v>
      </c>
      <c r="N6717" s="561">
        <v>165252.29999999999</v>
      </c>
      <c r="O6717" s="561">
        <v>0</v>
      </c>
      <c r="P6717" s="561">
        <v>392316.3</v>
      </c>
    </row>
    <row r="6718" spans="1:111">
      <c r="B6718" s="561" t="s">
        <v>1197</v>
      </c>
      <c r="C6718" s="561" t="s">
        <v>1197</v>
      </c>
      <c r="D6718" s="561">
        <v>542956.4</v>
      </c>
      <c r="E6718" s="561">
        <v>162751.5</v>
      </c>
      <c r="F6718" s="561">
        <v>380204.9</v>
      </c>
      <c r="G6718" s="561">
        <v>7584</v>
      </c>
      <c r="H6718" s="561">
        <v>564478.78799999994</v>
      </c>
      <c r="I6718" s="561">
        <v>22</v>
      </c>
      <c r="J6718" s="561">
        <v>21522.387999999919</v>
      </c>
      <c r="K6718" s="561">
        <v>7562</v>
      </c>
      <c r="L6718" s="561">
        <v>542956.4</v>
      </c>
      <c r="M6718" s="561">
        <v>542956.4</v>
      </c>
      <c r="N6718" s="561">
        <v>162751.5</v>
      </c>
    </row>
    <row r="6719" spans="1:111">
      <c r="B6719" s="561" t="s">
        <v>1198</v>
      </c>
      <c r="C6719" s="561" t="s">
        <v>1198</v>
      </c>
      <c r="D6719" s="561">
        <v>6526.5</v>
      </c>
      <c r="E6719" s="561">
        <v>516.29999999999995</v>
      </c>
      <c r="F6719" s="561">
        <v>6010.2</v>
      </c>
      <c r="G6719" s="561">
        <v>22</v>
      </c>
      <c r="H6719" s="561">
        <v>7401.9510000000009</v>
      </c>
      <c r="I6719" s="561">
        <v>0</v>
      </c>
      <c r="J6719" s="561">
        <v>875.45100000000002</v>
      </c>
      <c r="K6719" s="561">
        <v>22</v>
      </c>
      <c r="L6719" s="561">
        <v>6526.5000000000009</v>
      </c>
      <c r="M6719" s="561">
        <v>6526.5000000000009</v>
      </c>
      <c r="N6719" s="561">
        <v>516.29999999999995</v>
      </c>
    </row>
    <row r="6720" spans="1:111">
      <c r="B6720" s="561" t="s">
        <v>1199</v>
      </c>
      <c r="C6720" s="561" t="s">
        <v>1199</v>
      </c>
      <c r="D6720" s="561">
        <v>8085.7</v>
      </c>
      <c r="E6720" s="561">
        <v>1984.5</v>
      </c>
      <c r="F6720" s="561">
        <v>6101.2</v>
      </c>
      <c r="G6720" s="561">
        <v>645</v>
      </c>
      <c r="H6720" s="561">
        <v>8476.630000000001</v>
      </c>
      <c r="I6720" s="561">
        <v>1</v>
      </c>
      <c r="J6720" s="561">
        <v>390.93000000000211</v>
      </c>
      <c r="K6720" s="561">
        <v>644</v>
      </c>
      <c r="L6720" s="561">
        <v>8085.6999999999989</v>
      </c>
      <c r="M6720" s="561">
        <v>8085.6999999999989</v>
      </c>
      <c r="N6720" s="561">
        <v>1984.5</v>
      </c>
      <c r="BB6720" s="561">
        <v>6101.1999999999989</v>
      </c>
    </row>
    <row r="6721" spans="2:50">
      <c r="B6721" s="561" t="s">
        <v>1799</v>
      </c>
      <c r="C6721" s="561" t="s">
        <v>1267</v>
      </c>
      <c r="D6721" s="561">
        <v>292170</v>
      </c>
      <c r="E6721" s="561">
        <v>90659.4</v>
      </c>
      <c r="F6721" s="561">
        <v>201510.6</v>
      </c>
      <c r="G6721" s="561">
        <v>4318</v>
      </c>
      <c r="H6721" s="561">
        <v>298138.06499999994</v>
      </c>
      <c r="I6721" s="561">
        <v>-1</v>
      </c>
      <c r="J6721" s="561">
        <v>5968.064999999975</v>
      </c>
      <c r="K6721" s="561">
        <v>4319</v>
      </c>
      <c r="L6721" s="561">
        <v>292170</v>
      </c>
      <c r="M6721" s="561">
        <v>292170</v>
      </c>
      <c r="N6721" s="561">
        <v>90659.4</v>
      </c>
      <c r="O6721" s="561">
        <v>0</v>
      </c>
      <c r="P6721" s="561">
        <v>201510.6</v>
      </c>
    </row>
    <row r="6722" spans="2:50">
      <c r="B6722" s="561" t="s">
        <v>1197</v>
      </c>
      <c r="C6722" s="561" t="s">
        <v>1197</v>
      </c>
      <c r="D6722" s="561">
        <v>282766.09399999998</v>
      </c>
      <c r="E6722" s="561">
        <v>87583.2</v>
      </c>
      <c r="F6722" s="561">
        <v>195182.894</v>
      </c>
      <c r="G6722" s="561">
        <v>3759</v>
      </c>
      <c r="H6722" s="561">
        <v>288599.87899999996</v>
      </c>
      <c r="I6722" s="561">
        <v>-1</v>
      </c>
      <c r="J6722" s="561">
        <v>5833.7849999999744</v>
      </c>
      <c r="K6722" s="561">
        <v>3760</v>
      </c>
      <c r="L6722" s="561">
        <v>282766.09399999998</v>
      </c>
      <c r="M6722" s="561">
        <v>282766.09399999998</v>
      </c>
      <c r="N6722" s="561">
        <v>87583.2</v>
      </c>
    </row>
    <row r="6723" spans="2:50">
      <c r="B6723" s="561" t="s">
        <v>1198</v>
      </c>
      <c r="C6723" s="561" t="s">
        <v>1198</v>
      </c>
      <c r="D6723" s="561">
        <v>0</v>
      </c>
      <c r="F6723" s="561">
        <v>0</v>
      </c>
      <c r="G6723" s="561">
        <v>0</v>
      </c>
      <c r="H6723" s="561">
        <v>0</v>
      </c>
      <c r="I6723" s="561">
        <v>0</v>
      </c>
      <c r="J6723" s="561">
        <v>0</v>
      </c>
      <c r="K6723" s="561">
        <v>0</v>
      </c>
      <c r="L6723" s="561">
        <v>0</v>
      </c>
      <c r="M6723" s="561">
        <v>0</v>
      </c>
      <c r="N6723" s="561">
        <v>0</v>
      </c>
      <c r="P6723" s="561">
        <v>0</v>
      </c>
    </row>
    <row r="6724" spans="2:50">
      <c r="B6724" s="561" t="s">
        <v>1199</v>
      </c>
      <c r="C6724" s="561" t="s">
        <v>1199</v>
      </c>
      <c r="D6724" s="561">
        <v>9403.905999999999</v>
      </c>
      <c r="E6724" s="561">
        <v>3076.2</v>
      </c>
      <c r="F6724" s="561">
        <v>6327.7060000000001</v>
      </c>
      <c r="G6724" s="561">
        <v>559</v>
      </c>
      <c r="H6724" s="561">
        <v>9538.1859999999997</v>
      </c>
      <c r="I6724" s="561">
        <v>0</v>
      </c>
      <c r="J6724" s="561">
        <v>134.28000000000065</v>
      </c>
      <c r="K6724" s="561">
        <v>559</v>
      </c>
      <c r="L6724" s="561">
        <v>9403.905999999999</v>
      </c>
      <c r="M6724" s="561">
        <v>9403.905999999999</v>
      </c>
      <c r="N6724" s="561">
        <v>3076.2</v>
      </c>
      <c r="AL6724" s="561">
        <v>6327.7059999999992</v>
      </c>
    </row>
    <row r="6725" spans="2:50">
      <c r="B6725" s="561" t="s">
        <v>1800</v>
      </c>
      <c r="C6725" s="561" t="s">
        <v>1267</v>
      </c>
      <c r="D6725" s="561">
        <v>1417254.1</v>
      </c>
      <c r="E6725" s="561">
        <v>376910.2</v>
      </c>
      <c r="F6725" s="561">
        <v>1040343.8999999999</v>
      </c>
      <c r="G6725" s="561">
        <v>6423</v>
      </c>
      <c r="H6725" s="561">
        <v>1484354.7420000001</v>
      </c>
      <c r="I6725" s="561">
        <v>1</v>
      </c>
      <c r="J6725" s="561">
        <v>67100.64199999992</v>
      </c>
      <c r="K6725" s="561">
        <v>6422</v>
      </c>
      <c r="L6725" s="561">
        <v>1417254.1</v>
      </c>
      <c r="M6725" s="561">
        <v>1417254.1</v>
      </c>
      <c r="N6725" s="561">
        <v>376910.2</v>
      </c>
      <c r="O6725" s="561">
        <v>0</v>
      </c>
      <c r="P6725" s="561">
        <v>1040343.9000000001</v>
      </c>
    </row>
    <row r="6726" spans="2:50">
      <c r="B6726" s="561" t="s">
        <v>1197</v>
      </c>
      <c r="C6726" s="561" t="s">
        <v>1197</v>
      </c>
      <c r="D6726" s="561">
        <v>759727.11499999999</v>
      </c>
      <c r="E6726" s="561">
        <v>200066.1</v>
      </c>
      <c r="F6726" s="561">
        <v>559661.01500000001</v>
      </c>
      <c r="G6726" s="561">
        <v>5645</v>
      </c>
      <c r="H6726" s="561">
        <v>801540.49400000006</v>
      </c>
      <c r="I6726" s="561">
        <v>0</v>
      </c>
      <c r="J6726" s="561">
        <v>41813.379000000074</v>
      </c>
      <c r="K6726" s="561">
        <v>5645</v>
      </c>
      <c r="L6726" s="561">
        <v>759727.11499999999</v>
      </c>
      <c r="M6726" s="561">
        <v>759727.11499999999</v>
      </c>
      <c r="N6726" s="561">
        <v>200066.1</v>
      </c>
      <c r="AX6726" s="561">
        <v>3000.6999999999989</v>
      </c>
    </row>
    <row r="6727" spans="2:50">
      <c r="B6727" s="561" t="s">
        <v>1198</v>
      </c>
      <c r="C6727" s="561" t="s">
        <v>1198</v>
      </c>
      <c r="D6727" s="561">
        <v>653240.98499999999</v>
      </c>
      <c r="E6727" s="561">
        <v>175558.8</v>
      </c>
      <c r="F6727" s="561">
        <v>477682.185</v>
      </c>
      <c r="G6727" s="561">
        <v>576</v>
      </c>
      <c r="H6727" s="561">
        <v>678480.34199999995</v>
      </c>
      <c r="I6727" s="561">
        <v>1</v>
      </c>
      <c r="J6727" s="561">
        <v>25239.356999999844</v>
      </c>
      <c r="K6727" s="561">
        <v>575</v>
      </c>
      <c r="L6727" s="561">
        <v>653240.9850000001</v>
      </c>
      <c r="M6727" s="561">
        <v>653240.9850000001</v>
      </c>
      <c r="N6727" s="561">
        <v>175558.8</v>
      </c>
    </row>
    <row r="6728" spans="2:50">
      <c r="B6728" s="561" t="s">
        <v>1199</v>
      </c>
      <c r="C6728" s="561" t="s">
        <v>1199</v>
      </c>
      <c r="D6728" s="561">
        <v>4286</v>
      </c>
      <c r="E6728" s="561">
        <v>1285.3</v>
      </c>
      <c r="F6728" s="561">
        <v>3000.7000000000003</v>
      </c>
      <c r="G6728" s="561">
        <v>202</v>
      </c>
      <c r="H6728" s="561">
        <v>4333.905999999999</v>
      </c>
      <c r="I6728" s="561">
        <v>0</v>
      </c>
      <c r="J6728" s="561">
        <v>47.905999999999949</v>
      </c>
      <c r="K6728" s="561">
        <v>202</v>
      </c>
      <c r="L6728" s="561">
        <v>4285.9999999999991</v>
      </c>
      <c r="M6728" s="561">
        <v>4285.9999999999991</v>
      </c>
      <c r="N6728" s="561">
        <v>1285.3</v>
      </c>
    </row>
    <row r="6729" spans="2:50">
      <c r="B6729" s="561" t="s">
        <v>1801</v>
      </c>
      <c r="C6729" s="561" t="s">
        <v>1267</v>
      </c>
      <c r="D6729" s="561">
        <v>1044626.1</v>
      </c>
      <c r="E6729" s="561">
        <v>260545.5</v>
      </c>
      <c r="F6729" s="561">
        <v>784080.6</v>
      </c>
      <c r="G6729" s="561">
        <v>16385</v>
      </c>
      <c r="H6729" s="561">
        <v>1068760.05</v>
      </c>
      <c r="I6729" s="561">
        <v>12</v>
      </c>
      <c r="J6729" s="561">
        <v>24133.949999999801</v>
      </c>
      <c r="K6729" s="561">
        <v>16373</v>
      </c>
      <c r="L6729" s="561">
        <v>1044626.1000000002</v>
      </c>
      <c r="M6729" s="561">
        <v>1044626.1000000002</v>
      </c>
      <c r="N6729" s="561">
        <v>260545.5</v>
      </c>
      <c r="O6729" s="561">
        <v>0</v>
      </c>
      <c r="P6729" s="561">
        <v>784080.60000000021</v>
      </c>
    </row>
    <row r="6730" spans="2:50">
      <c r="B6730" s="561" t="s">
        <v>1197</v>
      </c>
      <c r="C6730" s="561" t="s">
        <v>1197</v>
      </c>
      <c r="D6730" s="561">
        <v>917940.625</v>
      </c>
      <c r="E6730" s="561">
        <v>239516.4</v>
      </c>
      <c r="F6730" s="561">
        <v>678424.22499999998</v>
      </c>
      <c r="G6730" s="561">
        <v>13889</v>
      </c>
      <c r="H6730" s="561">
        <v>940462.56200000003</v>
      </c>
      <c r="I6730" s="561">
        <v>7</v>
      </c>
      <c r="J6730" s="561">
        <v>22521.936999999802</v>
      </c>
      <c r="K6730" s="561">
        <v>13882</v>
      </c>
      <c r="L6730" s="561">
        <v>917940.62500000023</v>
      </c>
      <c r="M6730" s="561">
        <v>917940.62500000023</v>
      </c>
      <c r="N6730" s="561">
        <v>239516.4</v>
      </c>
    </row>
    <row r="6731" spans="2:50">
      <c r="B6731" s="561" t="s">
        <v>1198</v>
      </c>
      <c r="C6731" s="561" t="s">
        <v>1198</v>
      </c>
      <c r="D6731" s="561">
        <v>88264.275000000009</v>
      </c>
      <c r="E6731" s="561">
        <v>14013.6</v>
      </c>
      <c r="F6731" s="561">
        <v>74250.675000000003</v>
      </c>
      <c r="G6731" s="561">
        <v>297</v>
      </c>
      <c r="H6731" s="561">
        <v>88963.453999999998</v>
      </c>
      <c r="I6731" s="561">
        <v>0</v>
      </c>
      <c r="J6731" s="561">
        <v>699.17899999998917</v>
      </c>
      <c r="K6731" s="561">
        <v>297</v>
      </c>
      <c r="L6731" s="561">
        <v>88264.275000000009</v>
      </c>
      <c r="M6731" s="561">
        <v>88264.275000000009</v>
      </c>
      <c r="N6731" s="561">
        <v>14013.6</v>
      </c>
    </row>
    <row r="6732" spans="2:50">
      <c r="B6732" s="561" t="s">
        <v>1199</v>
      </c>
      <c r="C6732" s="561" t="s">
        <v>1199</v>
      </c>
      <c r="D6732" s="561">
        <v>38421.199999999997</v>
      </c>
      <c r="E6732" s="561">
        <v>7015.5</v>
      </c>
      <c r="F6732" s="561">
        <v>31405.7</v>
      </c>
      <c r="G6732" s="561">
        <v>2199</v>
      </c>
      <c r="H6732" s="561">
        <v>39334.034000000007</v>
      </c>
      <c r="I6732" s="561">
        <v>5</v>
      </c>
      <c r="J6732" s="561">
        <v>912.83400000000984</v>
      </c>
      <c r="K6732" s="561">
        <v>2194</v>
      </c>
      <c r="L6732" s="561">
        <v>38421.199999999997</v>
      </c>
      <c r="M6732" s="561">
        <v>38421.199999999997</v>
      </c>
      <c r="N6732" s="561">
        <v>7015.5</v>
      </c>
      <c r="AL6732" s="561">
        <v>31405.699999999997</v>
      </c>
    </row>
    <row r="6733" spans="2:50">
      <c r="B6733" s="561" t="s">
        <v>1802</v>
      </c>
      <c r="C6733" s="561" t="s">
        <v>1267</v>
      </c>
      <c r="D6733" s="561">
        <v>45322.200000000004</v>
      </c>
      <c r="E6733" s="561">
        <v>11893.2</v>
      </c>
      <c r="F6733" s="561">
        <v>33429</v>
      </c>
      <c r="G6733" s="561">
        <v>708</v>
      </c>
      <c r="H6733" s="561">
        <v>46972.295999999995</v>
      </c>
      <c r="I6733" s="561">
        <v>6</v>
      </c>
      <c r="J6733" s="561">
        <v>1650.09599999999</v>
      </c>
      <c r="K6733" s="561">
        <v>702</v>
      </c>
      <c r="L6733" s="561">
        <v>45322.200000000004</v>
      </c>
      <c r="M6733" s="561">
        <v>45322.200000000004</v>
      </c>
      <c r="N6733" s="561">
        <v>11893.2</v>
      </c>
      <c r="O6733" s="561">
        <v>0</v>
      </c>
      <c r="P6733" s="561">
        <v>33429</v>
      </c>
    </row>
    <row r="6734" spans="2:50">
      <c r="B6734" s="561" t="s">
        <v>1197</v>
      </c>
      <c r="C6734" s="561" t="s">
        <v>1197</v>
      </c>
      <c r="D6734" s="561">
        <v>43597.9</v>
      </c>
      <c r="E6734" s="561">
        <v>11443.2</v>
      </c>
      <c r="F6734" s="561">
        <v>32154.7</v>
      </c>
      <c r="G6734" s="561">
        <v>621</v>
      </c>
      <c r="H6734" s="561">
        <v>45091.510999999991</v>
      </c>
      <c r="I6734" s="561">
        <v>1</v>
      </c>
      <c r="J6734" s="561">
        <v>1493.6109999999899</v>
      </c>
      <c r="K6734" s="561">
        <v>620</v>
      </c>
      <c r="L6734" s="561">
        <v>43597.9</v>
      </c>
      <c r="M6734" s="561">
        <v>43597.9</v>
      </c>
      <c r="N6734" s="561">
        <v>11443.2</v>
      </c>
    </row>
    <row r="6735" spans="2:50">
      <c r="B6735" s="561" t="s">
        <v>1198</v>
      </c>
      <c r="C6735" s="561" t="s">
        <v>1198</v>
      </c>
      <c r="F6735" s="561">
        <v>0</v>
      </c>
      <c r="G6735" s="561">
        <v>0</v>
      </c>
      <c r="H6735" s="561">
        <v>0</v>
      </c>
      <c r="I6735" s="561">
        <v>0</v>
      </c>
      <c r="J6735" s="561">
        <v>0</v>
      </c>
      <c r="K6735" s="561">
        <v>0</v>
      </c>
      <c r="L6735" s="561">
        <v>0</v>
      </c>
      <c r="M6735" s="561">
        <v>0</v>
      </c>
      <c r="N6735" s="561">
        <v>0</v>
      </c>
      <c r="P6735" s="561">
        <v>0</v>
      </c>
    </row>
    <row r="6736" spans="2:50">
      <c r="B6736" s="561" t="s">
        <v>1199</v>
      </c>
      <c r="C6736" s="561" t="s">
        <v>1199</v>
      </c>
      <c r="D6736" s="561">
        <v>1724.3</v>
      </c>
      <c r="E6736" s="561">
        <v>450</v>
      </c>
      <c r="F6736" s="561">
        <v>1274.3</v>
      </c>
      <c r="G6736" s="561">
        <v>87</v>
      </c>
      <c r="H6736" s="561">
        <v>1880.7850000000003</v>
      </c>
      <c r="I6736" s="561">
        <v>5</v>
      </c>
      <c r="J6736" s="561">
        <v>156.48500000000013</v>
      </c>
      <c r="K6736" s="561">
        <v>82</v>
      </c>
      <c r="L6736" s="561">
        <v>1724.3000000000002</v>
      </c>
      <c r="M6736" s="561">
        <v>1724.3000000000002</v>
      </c>
      <c r="N6736" s="561">
        <v>450</v>
      </c>
      <c r="AT6736" s="561">
        <v>1274.3000000000002</v>
      </c>
    </row>
    <row r="6737" spans="2:38">
      <c r="B6737" s="561" t="s">
        <v>1803</v>
      </c>
      <c r="C6737" s="561" t="s">
        <v>1267</v>
      </c>
      <c r="D6737" s="561">
        <v>242486.50000000003</v>
      </c>
      <c r="E6737" s="561">
        <v>66290.7</v>
      </c>
      <c r="F6737" s="561">
        <v>176195.80000000002</v>
      </c>
      <c r="G6737" s="561">
        <v>5385</v>
      </c>
      <c r="H6737" s="561">
        <v>257854.51800000001</v>
      </c>
      <c r="I6737" s="561">
        <v>38</v>
      </c>
      <c r="J6737" s="561">
        <v>15368.017999999996</v>
      </c>
      <c r="K6737" s="561">
        <v>5347</v>
      </c>
      <c r="L6737" s="561">
        <v>242486.50000000003</v>
      </c>
      <c r="M6737" s="561">
        <v>242486.50000000003</v>
      </c>
      <c r="N6737" s="561">
        <v>66290.7</v>
      </c>
      <c r="O6737" s="561">
        <v>0</v>
      </c>
      <c r="P6737" s="561">
        <v>176195.80000000005</v>
      </c>
    </row>
    <row r="6738" spans="2:38">
      <c r="B6738" s="561" t="s">
        <v>1197</v>
      </c>
      <c r="C6738" s="561" t="s">
        <v>1197</v>
      </c>
      <c r="D6738" s="561">
        <v>211161.97600000002</v>
      </c>
      <c r="E6738" s="561">
        <v>58924.5</v>
      </c>
      <c r="F6738" s="561">
        <v>152237.47600000002</v>
      </c>
      <c r="G6738" s="561">
        <v>3338</v>
      </c>
      <c r="H6738" s="561">
        <v>225976.85400000002</v>
      </c>
      <c r="I6738" s="561">
        <v>27</v>
      </c>
      <c r="J6738" s="561">
        <v>14814.877999999997</v>
      </c>
      <c r="K6738" s="561">
        <v>3311</v>
      </c>
      <c r="L6738" s="561">
        <v>211161.97600000002</v>
      </c>
      <c r="M6738" s="561">
        <v>211161.97600000002</v>
      </c>
      <c r="N6738" s="561">
        <v>58924.5</v>
      </c>
    </row>
    <row r="6739" spans="2:38">
      <c r="B6739" s="561" t="s">
        <v>1198</v>
      </c>
      <c r="C6739" s="561" t="s">
        <v>1198</v>
      </c>
      <c r="D6739" s="561">
        <v>0</v>
      </c>
      <c r="F6739" s="561">
        <v>0</v>
      </c>
      <c r="G6739" s="561">
        <v>0</v>
      </c>
      <c r="H6739" s="561">
        <v>0</v>
      </c>
      <c r="I6739" s="561">
        <v>0</v>
      </c>
      <c r="J6739" s="561">
        <v>0</v>
      </c>
      <c r="K6739" s="561">
        <v>0</v>
      </c>
      <c r="L6739" s="561">
        <v>0</v>
      </c>
      <c r="M6739" s="561">
        <v>0</v>
      </c>
      <c r="N6739" s="561">
        <v>0</v>
      </c>
      <c r="P6739" s="561">
        <v>0</v>
      </c>
    </row>
    <row r="6740" spans="2:38">
      <c r="B6740" s="561" t="s">
        <v>1199</v>
      </c>
      <c r="C6740" s="561" t="s">
        <v>1199</v>
      </c>
      <c r="D6740" s="561">
        <v>31324.523999999998</v>
      </c>
      <c r="E6740" s="561">
        <v>7366.2</v>
      </c>
      <c r="F6740" s="561">
        <v>23958.323999999997</v>
      </c>
      <c r="G6740" s="561">
        <v>2047</v>
      </c>
      <c r="H6740" s="561">
        <v>31877.663999999997</v>
      </c>
      <c r="I6740" s="561">
        <v>11</v>
      </c>
      <c r="J6740" s="561">
        <v>553.13999999999942</v>
      </c>
      <c r="K6740" s="561">
        <v>2036</v>
      </c>
      <c r="L6740" s="561">
        <v>31324.523999999998</v>
      </c>
      <c r="M6740" s="561">
        <v>31324.523999999998</v>
      </c>
      <c r="N6740" s="561">
        <v>7366.2</v>
      </c>
      <c r="P6740" s="561">
        <v>23958.323999999997</v>
      </c>
    </row>
    <row r="6741" spans="2:38">
      <c r="B6741" s="561" t="s">
        <v>1804</v>
      </c>
      <c r="C6741" s="561" t="s">
        <v>1267</v>
      </c>
      <c r="D6741" s="561">
        <v>228632.9</v>
      </c>
      <c r="E6741" s="561">
        <v>65887.8</v>
      </c>
      <c r="F6741" s="561">
        <v>162745.1</v>
      </c>
      <c r="G6741" s="561">
        <v>5047</v>
      </c>
      <c r="H6741" s="561">
        <v>242649.71499999997</v>
      </c>
      <c r="I6741" s="561">
        <v>39</v>
      </c>
      <c r="J6741" s="561">
        <v>14016.814999999911</v>
      </c>
      <c r="K6741" s="561">
        <v>5008</v>
      </c>
      <c r="L6741" s="561">
        <v>228632.90000000005</v>
      </c>
      <c r="M6741" s="561">
        <v>228632.90000000005</v>
      </c>
      <c r="N6741" s="561">
        <v>65887.8</v>
      </c>
      <c r="O6741" s="561">
        <v>0</v>
      </c>
      <c r="P6741" s="561">
        <v>162745.10000000003</v>
      </c>
    </row>
    <row r="6742" spans="2:38">
      <c r="B6742" s="561" t="s">
        <v>1197</v>
      </c>
      <c r="C6742" s="561" t="s">
        <v>1197</v>
      </c>
      <c r="D6742" s="561">
        <v>207492.098</v>
      </c>
      <c r="E6742" s="561">
        <v>59799.9</v>
      </c>
      <c r="F6742" s="561">
        <v>147692.198</v>
      </c>
      <c r="G6742" s="561">
        <v>3442</v>
      </c>
      <c r="H6742" s="561">
        <v>220414.98899999997</v>
      </c>
      <c r="I6742" s="561">
        <v>12</v>
      </c>
      <c r="J6742" s="561">
        <v>12922.890999999916</v>
      </c>
      <c r="K6742" s="561">
        <v>3430</v>
      </c>
      <c r="L6742" s="561">
        <v>207492.09800000006</v>
      </c>
      <c r="M6742" s="561">
        <v>207492.09800000006</v>
      </c>
      <c r="N6742" s="561">
        <v>59799.9</v>
      </c>
    </row>
    <row r="6743" spans="2:38">
      <c r="B6743" s="561" t="s">
        <v>1198</v>
      </c>
      <c r="C6743" s="561" t="s">
        <v>1198</v>
      </c>
      <c r="D6743" s="561">
        <v>0</v>
      </c>
      <c r="F6743" s="561">
        <v>0</v>
      </c>
      <c r="G6743" s="561">
        <v>0</v>
      </c>
      <c r="H6743" s="561">
        <v>0</v>
      </c>
      <c r="I6743" s="561">
        <v>0</v>
      </c>
      <c r="J6743" s="561">
        <v>0</v>
      </c>
      <c r="K6743" s="561">
        <v>0</v>
      </c>
      <c r="L6743" s="561">
        <v>0</v>
      </c>
      <c r="M6743" s="561">
        <v>0</v>
      </c>
      <c r="N6743" s="561">
        <v>0</v>
      </c>
      <c r="P6743" s="561">
        <v>0</v>
      </c>
    </row>
    <row r="6744" spans="2:38">
      <c r="B6744" s="561" t="s">
        <v>1199</v>
      </c>
      <c r="C6744" s="561" t="s">
        <v>1199</v>
      </c>
      <c r="D6744" s="561">
        <v>21140.802</v>
      </c>
      <c r="E6744" s="561">
        <v>6087.9</v>
      </c>
      <c r="F6744" s="561">
        <v>15052.902</v>
      </c>
      <c r="G6744" s="561">
        <v>1605</v>
      </c>
      <c r="H6744" s="561">
        <v>22234.725999999999</v>
      </c>
      <c r="I6744" s="561">
        <v>27</v>
      </c>
      <c r="J6744" s="561">
        <v>1093.9239999999954</v>
      </c>
      <c r="K6744" s="561">
        <v>1578</v>
      </c>
      <c r="L6744" s="561">
        <v>21140.802000000003</v>
      </c>
      <c r="M6744" s="561">
        <v>21140.802000000003</v>
      </c>
      <c r="N6744" s="561">
        <v>6087.9</v>
      </c>
      <c r="AL6744" s="561">
        <v>15052.902000000004</v>
      </c>
    </row>
    <row r="6745" spans="2:38">
      <c r="B6745" s="561" t="s">
        <v>1805</v>
      </c>
      <c r="C6745" s="561" t="s">
        <v>1267</v>
      </c>
      <c r="D6745" s="561">
        <v>184875.40000000002</v>
      </c>
      <c r="E6745" s="561">
        <v>48367.8</v>
      </c>
      <c r="F6745" s="561">
        <v>136507.6</v>
      </c>
      <c r="G6745" s="561">
        <v>4426</v>
      </c>
      <c r="H6745" s="561">
        <v>194628.24200000003</v>
      </c>
      <c r="I6745" s="561">
        <v>21</v>
      </c>
      <c r="J6745" s="561">
        <v>9752.8420000000151</v>
      </c>
      <c r="K6745" s="561">
        <v>4405</v>
      </c>
      <c r="L6745" s="561">
        <v>184875.4</v>
      </c>
      <c r="M6745" s="561">
        <v>184875.4</v>
      </c>
      <c r="N6745" s="561">
        <v>48367.8</v>
      </c>
      <c r="O6745" s="561">
        <v>0</v>
      </c>
      <c r="P6745" s="561">
        <v>136507.59999999998</v>
      </c>
    </row>
    <row r="6746" spans="2:38">
      <c r="B6746" s="561" t="s">
        <v>1197</v>
      </c>
      <c r="C6746" s="561" t="s">
        <v>1197</v>
      </c>
      <c r="D6746" s="561">
        <v>155673.05300000001</v>
      </c>
      <c r="E6746" s="561">
        <v>41917.800000000003</v>
      </c>
      <c r="F6746" s="561">
        <v>113755.253</v>
      </c>
      <c r="G6746" s="561">
        <v>2400</v>
      </c>
      <c r="H6746" s="561">
        <v>164702.35200000001</v>
      </c>
      <c r="I6746" s="561">
        <v>12</v>
      </c>
      <c r="J6746" s="561">
        <v>9029.335000000021</v>
      </c>
      <c r="K6746" s="561">
        <v>2388</v>
      </c>
      <c r="L6746" s="561">
        <v>155673.01699999999</v>
      </c>
      <c r="M6746" s="561">
        <v>155673.01699999999</v>
      </c>
      <c r="N6746" s="561">
        <v>41917.764000000003</v>
      </c>
    </row>
    <row r="6747" spans="2:38">
      <c r="B6747" s="561" t="s">
        <v>1198</v>
      </c>
      <c r="C6747" s="561" t="s">
        <v>1198</v>
      </c>
      <c r="D6747" s="561">
        <v>0</v>
      </c>
      <c r="F6747" s="561">
        <v>0</v>
      </c>
      <c r="G6747" s="561">
        <v>0</v>
      </c>
      <c r="H6747" s="561">
        <v>0</v>
      </c>
      <c r="I6747" s="561">
        <v>0</v>
      </c>
      <c r="J6747" s="561">
        <v>0</v>
      </c>
      <c r="K6747" s="561">
        <v>0</v>
      </c>
      <c r="L6747" s="561">
        <v>0</v>
      </c>
      <c r="M6747" s="561">
        <v>0</v>
      </c>
      <c r="N6747" s="561">
        <v>0</v>
      </c>
      <c r="P6747" s="561">
        <v>0</v>
      </c>
    </row>
    <row r="6748" spans="2:38">
      <c r="B6748" s="561" t="s">
        <v>1199</v>
      </c>
      <c r="C6748" s="561" t="s">
        <v>1199</v>
      </c>
      <c r="D6748" s="561">
        <v>29202.347000000002</v>
      </c>
      <c r="E6748" s="561">
        <v>6450</v>
      </c>
      <c r="F6748" s="561">
        <v>22752.347000000002</v>
      </c>
      <c r="G6748" s="561">
        <v>2026</v>
      </c>
      <c r="H6748" s="561">
        <v>29925.89</v>
      </c>
      <c r="I6748" s="561">
        <v>9</v>
      </c>
      <c r="J6748" s="561">
        <v>723.50699999999415</v>
      </c>
      <c r="K6748" s="561">
        <v>2017</v>
      </c>
      <c r="L6748" s="561">
        <v>29202.383000000005</v>
      </c>
      <c r="M6748" s="561">
        <v>29202.383000000005</v>
      </c>
      <c r="N6748" s="561">
        <v>6450.036000000001</v>
      </c>
      <c r="AL6748" s="561">
        <v>22752.347000000005</v>
      </c>
    </row>
    <row r="6749" spans="2:38">
      <c r="B6749" s="561" t="s">
        <v>1806</v>
      </c>
      <c r="C6749" s="561" t="s">
        <v>1267</v>
      </c>
      <c r="D6749" s="561">
        <v>196154.1</v>
      </c>
      <c r="E6749" s="561">
        <v>53190</v>
      </c>
      <c r="F6749" s="561">
        <v>142964.1</v>
      </c>
      <c r="G6749" s="561">
        <v>4693</v>
      </c>
      <c r="H6749" s="561">
        <v>203933.23200000002</v>
      </c>
      <c r="I6749" s="561">
        <v>8</v>
      </c>
      <c r="J6749" s="561">
        <v>7779.1319999999869</v>
      </c>
      <c r="K6749" s="561">
        <v>4685</v>
      </c>
      <c r="L6749" s="561">
        <v>196154.10000000003</v>
      </c>
      <c r="M6749" s="561">
        <v>196154.10000000003</v>
      </c>
      <c r="N6749" s="561">
        <v>53190</v>
      </c>
      <c r="O6749" s="561">
        <v>0</v>
      </c>
      <c r="P6749" s="561">
        <v>142964.10000000003</v>
      </c>
    </row>
    <row r="6750" spans="2:38">
      <c r="B6750" s="561" t="s">
        <v>1197</v>
      </c>
      <c r="C6750" s="561" t="s">
        <v>1197</v>
      </c>
      <c r="D6750" s="561">
        <v>166702.6</v>
      </c>
      <c r="E6750" s="561">
        <v>45540</v>
      </c>
      <c r="F6750" s="561">
        <v>121162.6</v>
      </c>
      <c r="G6750" s="561">
        <v>2685</v>
      </c>
      <c r="H6750" s="561">
        <v>174010.63700000002</v>
      </c>
      <c r="I6750" s="561">
        <v>8</v>
      </c>
      <c r="J6750" s="561">
        <v>7308.0369999999821</v>
      </c>
      <c r="K6750" s="561">
        <v>2677</v>
      </c>
      <c r="L6750" s="561">
        <v>166702.60000000003</v>
      </c>
      <c r="M6750" s="561">
        <v>166702.60000000003</v>
      </c>
      <c r="N6750" s="561">
        <v>45540</v>
      </c>
    </row>
    <row r="6751" spans="2:38">
      <c r="B6751" s="561" t="s">
        <v>1198</v>
      </c>
      <c r="C6751" s="561" t="s">
        <v>1198</v>
      </c>
      <c r="F6751" s="561">
        <v>0</v>
      </c>
      <c r="G6751" s="561">
        <v>0</v>
      </c>
      <c r="H6751" s="561">
        <v>0</v>
      </c>
      <c r="I6751" s="561">
        <v>0</v>
      </c>
      <c r="J6751" s="561">
        <v>0</v>
      </c>
      <c r="K6751" s="561">
        <v>0</v>
      </c>
      <c r="L6751" s="561">
        <v>0</v>
      </c>
      <c r="M6751" s="561">
        <v>0</v>
      </c>
      <c r="N6751" s="561">
        <v>0</v>
      </c>
      <c r="P6751" s="561">
        <v>0</v>
      </c>
    </row>
    <row r="6752" spans="2:38">
      <c r="B6752" s="561" t="s">
        <v>1199</v>
      </c>
      <c r="C6752" s="561" t="s">
        <v>1199</v>
      </c>
      <c r="D6752" s="561">
        <v>29451.5</v>
      </c>
      <c r="E6752" s="561">
        <v>7650</v>
      </c>
      <c r="F6752" s="561">
        <v>21801.5</v>
      </c>
      <c r="G6752" s="561">
        <v>2008</v>
      </c>
      <c r="H6752" s="561">
        <v>29922.595000000005</v>
      </c>
      <c r="I6752" s="561">
        <v>0</v>
      </c>
      <c r="J6752" s="561">
        <v>471.0950000000048</v>
      </c>
      <c r="K6752" s="561">
        <v>2008</v>
      </c>
      <c r="L6752" s="561">
        <v>29451.5</v>
      </c>
      <c r="M6752" s="561">
        <v>29451.5</v>
      </c>
      <c r="N6752" s="561">
        <v>7650</v>
      </c>
      <c r="AL6752" s="561">
        <v>21801.5</v>
      </c>
    </row>
    <row r="6753" spans="2:38">
      <c r="B6753" s="561" t="s">
        <v>1807</v>
      </c>
      <c r="C6753" s="561" t="s">
        <v>1267</v>
      </c>
      <c r="D6753" s="561">
        <v>204409.5</v>
      </c>
      <c r="E6753" s="561">
        <v>58327.5</v>
      </c>
      <c r="F6753" s="561">
        <v>146082</v>
      </c>
      <c r="G6753" s="561">
        <v>5514</v>
      </c>
      <c r="H6753" s="561">
        <v>216144.13200000001</v>
      </c>
      <c r="I6753" s="561">
        <v>20</v>
      </c>
      <c r="J6753" s="561">
        <v>11734.631999999998</v>
      </c>
      <c r="K6753" s="561">
        <v>5494</v>
      </c>
      <c r="L6753" s="561">
        <v>204409.5</v>
      </c>
      <c r="M6753" s="561">
        <v>204409.5</v>
      </c>
      <c r="N6753" s="561">
        <v>58327.5</v>
      </c>
      <c r="O6753" s="561">
        <v>0</v>
      </c>
      <c r="P6753" s="561">
        <v>146082</v>
      </c>
    </row>
    <row r="6754" spans="2:38">
      <c r="B6754" s="561" t="s">
        <v>1197</v>
      </c>
      <c r="C6754" s="561" t="s">
        <v>1197</v>
      </c>
      <c r="D6754" s="561">
        <v>162789.29</v>
      </c>
      <c r="E6754" s="561">
        <v>49500</v>
      </c>
      <c r="F6754" s="561">
        <v>113289.29</v>
      </c>
      <c r="G6754" s="561">
        <v>2569</v>
      </c>
      <c r="H6754" s="561">
        <v>172744.359</v>
      </c>
      <c r="I6754" s="561">
        <v>7</v>
      </c>
      <c r="J6754" s="561">
        <v>9955.0689999999886</v>
      </c>
      <c r="K6754" s="561">
        <v>2562</v>
      </c>
      <c r="L6754" s="561">
        <v>162789.29</v>
      </c>
      <c r="M6754" s="561">
        <v>162789.29</v>
      </c>
      <c r="N6754" s="561">
        <v>49500</v>
      </c>
    </row>
    <row r="6755" spans="2:38">
      <c r="B6755" s="561" t="s">
        <v>1198</v>
      </c>
      <c r="C6755" s="561" t="s">
        <v>1198</v>
      </c>
      <c r="D6755" s="561">
        <v>0</v>
      </c>
      <c r="F6755" s="561">
        <v>0</v>
      </c>
      <c r="G6755" s="561">
        <v>0</v>
      </c>
      <c r="H6755" s="561">
        <v>0</v>
      </c>
      <c r="I6755" s="561">
        <v>0</v>
      </c>
      <c r="J6755" s="561">
        <v>0</v>
      </c>
      <c r="K6755" s="561">
        <v>0</v>
      </c>
      <c r="L6755" s="561">
        <v>0</v>
      </c>
      <c r="M6755" s="561">
        <v>0</v>
      </c>
      <c r="N6755" s="561">
        <v>0</v>
      </c>
      <c r="P6755" s="561">
        <v>0</v>
      </c>
    </row>
    <row r="6756" spans="2:38">
      <c r="B6756" s="561" t="s">
        <v>1199</v>
      </c>
      <c r="C6756" s="561" t="s">
        <v>1199</v>
      </c>
      <c r="D6756" s="561">
        <v>41620.21</v>
      </c>
      <c r="E6756" s="561">
        <v>8827.5</v>
      </c>
      <c r="F6756" s="561">
        <v>32792.71</v>
      </c>
      <c r="G6756" s="561">
        <v>2945</v>
      </c>
      <c r="H6756" s="561">
        <v>43399.773000000008</v>
      </c>
      <c r="I6756" s="561">
        <v>13</v>
      </c>
      <c r="J6756" s="561">
        <v>1779.5630000000092</v>
      </c>
      <c r="K6756" s="561">
        <v>2932</v>
      </c>
      <c r="L6756" s="561">
        <v>41620.21</v>
      </c>
      <c r="M6756" s="561">
        <v>41620.21</v>
      </c>
      <c r="N6756" s="561">
        <v>8827.5</v>
      </c>
      <c r="AL6756" s="561">
        <v>32792.71</v>
      </c>
    </row>
    <row r="6757" spans="2:38">
      <c r="B6757" s="561" t="s">
        <v>1808</v>
      </c>
      <c r="C6757" s="561" t="s">
        <v>1267</v>
      </c>
      <c r="D6757" s="561">
        <v>260915.5</v>
      </c>
      <c r="E6757" s="561">
        <v>70970.7</v>
      </c>
      <c r="F6757" s="561">
        <v>189944.80000000002</v>
      </c>
      <c r="G6757" s="561">
        <v>5711</v>
      </c>
      <c r="H6757" s="561">
        <v>270689.44</v>
      </c>
      <c r="I6757" s="561">
        <v>23</v>
      </c>
      <c r="J6757" s="561">
        <v>9773.9400000000314</v>
      </c>
      <c r="K6757" s="561">
        <v>5688</v>
      </c>
      <c r="L6757" s="561">
        <v>260915.49999999997</v>
      </c>
      <c r="M6757" s="561">
        <v>260915.49999999997</v>
      </c>
      <c r="N6757" s="561">
        <v>70970.7</v>
      </c>
      <c r="O6757" s="561">
        <v>0</v>
      </c>
      <c r="P6757" s="561">
        <v>189944.8</v>
      </c>
    </row>
    <row r="6758" spans="2:38">
      <c r="B6758" s="561" t="s">
        <v>1197</v>
      </c>
      <c r="C6758" s="561" t="s">
        <v>1197</v>
      </c>
      <c r="D6758" s="561">
        <v>224181</v>
      </c>
      <c r="E6758" s="561">
        <v>63526.8</v>
      </c>
      <c r="F6758" s="561">
        <v>160654.20000000001</v>
      </c>
      <c r="G6758" s="561">
        <v>3292</v>
      </c>
      <c r="H6758" s="561">
        <v>232966.48699999999</v>
      </c>
      <c r="I6758" s="561">
        <v>11</v>
      </c>
      <c r="J6758" s="561">
        <v>8785.4870000000228</v>
      </c>
      <c r="K6758" s="561">
        <v>3281</v>
      </c>
      <c r="L6758" s="561">
        <v>224180.99999999997</v>
      </c>
      <c r="M6758" s="561">
        <v>224180.99999999997</v>
      </c>
      <c r="N6758" s="561">
        <v>63526.8</v>
      </c>
    </row>
    <row r="6759" spans="2:38">
      <c r="B6759" s="561" t="s">
        <v>1198</v>
      </c>
      <c r="C6759" s="561" t="s">
        <v>1198</v>
      </c>
      <c r="F6759" s="561">
        <v>0</v>
      </c>
      <c r="G6759" s="561">
        <v>0</v>
      </c>
      <c r="H6759" s="561">
        <v>0</v>
      </c>
      <c r="I6759" s="561">
        <v>0</v>
      </c>
      <c r="J6759" s="561">
        <v>0</v>
      </c>
      <c r="K6759" s="561">
        <v>0</v>
      </c>
      <c r="L6759" s="561">
        <v>0</v>
      </c>
      <c r="M6759" s="561">
        <v>0</v>
      </c>
      <c r="N6759" s="561">
        <v>0</v>
      </c>
      <c r="P6759" s="561">
        <v>0</v>
      </c>
    </row>
    <row r="6760" spans="2:38">
      <c r="B6760" s="561" t="s">
        <v>1199</v>
      </c>
      <c r="C6760" s="561" t="s">
        <v>1199</v>
      </c>
      <c r="D6760" s="561">
        <v>36734.5</v>
      </c>
      <c r="E6760" s="561">
        <v>7443.9</v>
      </c>
      <c r="F6760" s="561">
        <v>29290.6</v>
      </c>
      <c r="G6760" s="561">
        <v>2419</v>
      </c>
      <c r="H6760" s="561">
        <v>37722.953000000009</v>
      </c>
      <c r="I6760" s="561">
        <v>12</v>
      </c>
      <c r="J6760" s="561">
        <v>988.45300000000861</v>
      </c>
      <c r="K6760" s="561">
        <v>2407</v>
      </c>
      <c r="L6760" s="561">
        <v>36734.5</v>
      </c>
      <c r="M6760" s="561">
        <v>36734.5</v>
      </c>
      <c r="N6760" s="561">
        <v>7443.9</v>
      </c>
      <c r="AL6760" s="561">
        <v>29290.6</v>
      </c>
    </row>
    <row r="6761" spans="2:38">
      <c r="B6761" s="561" t="s">
        <v>1809</v>
      </c>
      <c r="C6761" s="561" t="s">
        <v>1267</v>
      </c>
      <c r="D6761" s="561">
        <v>218331.4</v>
      </c>
      <c r="E6761" s="561">
        <v>62175</v>
      </c>
      <c r="F6761" s="561">
        <v>156156.4</v>
      </c>
      <c r="G6761" s="561">
        <v>4918</v>
      </c>
      <c r="H6761" s="561">
        <v>228060.82900000003</v>
      </c>
      <c r="I6761" s="561">
        <v>10</v>
      </c>
      <c r="J6761" s="561">
        <v>9729.4290000000183</v>
      </c>
      <c r="K6761" s="561">
        <v>4908</v>
      </c>
      <c r="L6761" s="561">
        <v>218331.40000000002</v>
      </c>
      <c r="M6761" s="561">
        <v>218331.40000000002</v>
      </c>
      <c r="N6761" s="561">
        <v>62175</v>
      </c>
      <c r="O6761" s="561">
        <v>0</v>
      </c>
      <c r="P6761" s="561">
        <v>156156.40000000002</v>
      </c>
    </row>
    <row r="6762" spans="2:38">
      <c r="B6762" s="561" t="s">
        <v>1197</v>
      </c>
      <c r="C6762" s="561" t="s">
        <v>1197</v>
      </c>
      <c r="D6762" s="561">
        <v>187788.15700000001</v>
      </c>
      <c r="E6762" s="561">
        <v>55575</v>
      </c>
      <c r="F6762" s="561">
        <v>132213.15700000001</v>
      </c>
      <c r="G6762" s="561">
        <v>2837</v>
      </c>
      <c r="H6762" s="561">
        <v>196672.10100000002</v>
      </c>
      <c r="I6762" s="561">
        <v>4</v>
      </c>
      <c r="J6762" s="561">
        <v>8883.9440000000177</v>
      </c>
      <c r="K6762" s="561">
        <v>2833</v>
      </c>
      <c r="L6762" s="561">
        <v>187788.15700000001</v>
      </c>
      <c r="M6762" s="561">
        <v>187788.15700000001</v>
      </c>
      <c r="N6762" s="561">
        <v>55575</v>
      </c>
    </row>
    <row r="6763" spans="2:38">
      <c r="B6763" s="561" t="s">
        <v>1198</v>
      </c>
      <c r="C6763" s="561" t="s">
        <v>1198</v>
      </c>
      <c r="D6763" s="561">
        <v>0</v>
      </c>
      <c r="F6763" s="561">
        <v>0</v>
      </c>
      <c r="G6763" s="561">
        <v>0</v>
      </c>
      <c r="H6763" s="561">
        <v>0</v>
      </c>
      <c r="I6763" s="561">
        <v>0</v>
      </c>
      <c r="J6763" s="561">
        <v>0</v>
      </c>
      <c r="K6763" s="561">
        <v>0</v>
      </c>
      <c r="L6763" s="561">
        <v>0</v>
      </c>
      <c r="M6763" s="561">
        <v>0</v>
      </c>
      <c r="N6763" s="561">
        <v>0</v>
      </c>
      <c r="P6763" s="561">
        <v>0</v>
      </c>
    </row>
    <row r="6764" spans="2:38">
      <c r="B6764" s="561" t="s">
        <v>1199</v>
      </c>
      <c r="C6764" s="561" t="s">
        <v>1199</v>
      </c>
      <c r="D6764" s="561">
        <v>30543.242999999999</v>
      </c>
      <c r="E6764" s="561">
        <v>6600</v>
      </c>
      <c r="F6764" s="561">
        <v>23943.242999999999</v>
      </c>
      <c r="G6764" s="561">
        <v>2081</v>
      </c>
      <c r="H6764" s="561">
        <v>31388.728000000003</v>
      </c>
      <c r="I6764" s="561">
        <v>6</v>
      </c>
      <c r="J6764" s="561">
        <v>845.48500000000058</v>
      </c>
      <c r="K6764" s="561">
        <v>2075</v>
      </c>
      <c r="L6764" s="561">
        <v>30543.243000000002</v>
      </c>
      <c r="M6764" s="561">
        <v>30543.243000000002</v>
      </c>
      <c r="N6764" s="561">
        <v>6600</v>
      </c>
      <c r="AL6764" s="561">
        <v>23943.243000000002</v>
      </c>
    </row>
    <row r="6765" spans="2:38">
      <c r="B6765" s="561" t="s">
        <v>1810</v>
      </c>
      <c r="C6765" s="561" t="s">
        <v>1267</v>
      </c>
      <c r="D6765" s="561">
        <v>170909.90000000002</v>
      </c>
      <c r="E6765" s="561">
        <v>45196.800000000003</v>
      </c>
      <c r="F6765" s="561">
        <v>125713.1</v>
      </c>
      <c r="G6765" s="561">
        <v>3774</v>
      </c>
      <c r="H6765" s="561">
        <v>183840.467</v>
      </c>
      <c r="I6765" s="561">
        <v>14</v>
      </c>
      <c r="J6765" s="561">
        <v>12930.566999999995</v>
      </c>
      <c r="K6765" s="561">
        <v>3760</v>
      </c>
      <c r="L6765" s="561">
        <v>170909.9</v>
      </c>
      <c r="M6765" s="561">
        <v>170909.9</v>
      </c>
      <c r="N6765" s="561">
        <v>45196.800000000003</v>
      </c>
      <c r="O6765" s="561">
        <v>0</v>
      </c>
      <c r="P6765" s="561">
        <v>125713.09999999999</v>
      </c>
    </row>
    <row r="6766" spans="2:38">
      <c r="B6766" s="561" t="s">
        <v>1197</v>
      </c>
      <c r="C6766" s="561" t="s">
        <v>1197</v>
      </c>
      <c r="D6766" s="561">
        <v>149934.22500000001</v>
      </c>
      <c r="E6766" s="561">
        <v>41596.800000000003</v>
      </c>
      <c r="F6766" s="561">
        <v>108337.425</v>
      </c>
      <c r="G6766" s="561">
        <v>2386</v>
      </c>
      <c r="H6766" s="561">
        <v>162389.538</v>
      </c>
      <c r="I6766" s="561">
        <v>14</v>
      </c>
      <c r="J6766" s="561">
        <v>12455.312999999995</v>
      </c>
      <c r="K6766" s="561">
        <v>2372</v>
      </c>
      <c r="L6766" s="561">
        <v>149934.22500000001</v>
      </c>
      <c r="M6766" s="561">
        <v>149934.22500000001</v>
      </c>
      <c r="N6766" s="561">
        <v>41596.800000000003</v>
      </c>
    </row>
    <row r="6767" spans="2:38">
      <c r="B6767" s="561" t="s">
        <v>1198</v>
      </c>
      <c r="C6767" s="561" t="s">
        <v>1198</v>
      </c>
      <c r="D6767" s="561">
        <v>0</v>
      </c>
      <c r="F6767" s="561">
        <v>0</v>
      </c>
      <c r="G6767" s="561">
        <v>0</v>
      </c>
      <c r="H6767" s="561">
        <v>0</v>
      </c>
      <c r="I6767" s="561">
        <v>0</v>
      </c>
      <c r="J6767" s="561">
        <v>0</v>
      </c>
      <c r="K6767" s="561">
        <v>0</v>
      </c>
      <c r="L6767" s="561">
        <v>0</v>
      </c>
      <c r="M6767" s="561">
        <v>0</v>
      </c>
      <c r="N6767" s="561">
        <v>0</v>
      </c>
      <c r="P6767" s="561">
        <v>0</v>
      </c>
    </row>
    <row r="6768" spans="2:38">
      <c r="B6768" s="561" t="s">
        <v>1199</v>
      </c>
      <c r="C6768" s="561" t="s">
        <v>1199</v>
      </c>
      <c r="D6768" s="561">
        <v>20975.675000000003</v>
      </c>
      <c r="E6768" s="561">
        <v>3600</v>
      </c>
      <c r="F6768" s="561">
        <v>17375.675000000003</v>
      </c>
      <c r="G6768" s="561">
        <v>1388</v>
      </c>
      <c r="H6768" s="561">
        <v>21450.929</v>
      </c>
      <c r="I6768" s="561">
        <v>0</v>
      </c>
      <c r="J6768" s="561">
        <v>475.25400000000081</v>
      </c>
      <c r="K6768" s="561">
        <v>1388</v>
      </c>
      <c r="L6768" s="561">
        <v>20975.674999999999</v>
      </c>
      <c r="M6768" s="561">
        <v>20975.674999999999</v>
      </c>
      <c r="N6768" s="561">
        <v>3600</v>
      </c>
      <c r="AL6768" s="561">
        <v>17375.674999999999</v>
      </c>
    </row>
    <row r="6769" spans="2:38">
      <c r="B6769" s="561" t="s">
        <v>1811</v>
      </c>
      <c r="C6769" s="561" t="s">
        <v>1267</v>
      </c>
      <c r="D6769" s="561">
        <v>305582.19999999995</v>
      </c>
      <c r="E6769" s="561">
        <v>82050</v>
      </c>
      <c r="F6769" s="561">
        <v>223532.19999999998</v>
      </c>
      <c r="G6769" s="561">
        <v>8371</v>
      </c>
      <c r="H6769" s="561">
        <v>327791.07299999997</v>
      </c>
      <c r="I6769" s="561">
        <v>78</v>
      </c>
      <c r="J6769" s="561">
        <v>22208.873000000007</v>
      </c>
      <c r="K6769" s="561">
        <v>8293</v>
      </c>
      <c r="L6769" s="561">
        <v>305582.2</v>
      </c>
      <c r="M6769" s="561">
        <v>305582.2</v>
      </c>
      <c r="N6769" s="561">
        <v>82050</v>
      </c>
      <c r="O6769" s="561">
        <v>0</v>
      </c>
      <c r="P6769" s="561">
        <v>223532.2</v>
      </c>
    </row>
    <row r="6770" spans="2:38">
      <c r="B6770" s="561" t="s">
        <v>1197</v>
      </c>
      <c r="C6770" s="561" t="s">
        <v>1197</v>
      </c>
      <c r="D6770" s="561">
        <v>236570.8</v>
      </c>
      <c r="E6770" s="561">
        <v>70200</v>
      </c>
      <c r="F6770" s="561">
        <v>166370.79999999999</v>
      </c>
      <c r="G6770" s="561">
        <v>3915</v>
      </c>
      <c r="H6770" s="561">
        <v>256354.079</v>
      </c>
      <c r="I6770" s="561">
        <v>50</v>
      </c>
      <c r="J6770" s="561">
        <v>19783.27900000001</v>
      </c>
      <c r="K6770" s="561">
        <v>3865</v>
      </c>
      <c r="L6770" s="561">
        <v>236570.8</v>
      </c>
      <c r="M6770" s="561">
        <v>236570.8</v>
      </c>
      <c r="N6770" s="561">
        <v>70200</v>
      </c>
    </row>
    <row r="6771" spans="2:38">
      <c r="B6771" s="561" t="s">
        <v>1198</v>
      </c>
      <c r="C6771" s="561" t="s">
        <v>1198</v>
      </c>
      <c r="F6771" s="561">
        <v>0</v>
      </c>
      <c r="G6771" s="561">
        <v>0</v>
      </c>
      <c r="H6771" s="561">
        <v>0</v>
      </c>
      <c r="I6771" s="561">
        <v>0</v>
      </c>
      <c r="J6771" s="561">
        <v>0</v>
      </c>
      <c r="K6771" s="561">
        <v>0</v>
      </c>
      <c r="L6771" s="561">
        <v>0</v>
      </c>
      <c r="M6771" s="561">
        <v>0</v>
      </c>
      <c r="N6771" s="561">
        <v>0</v>
      </c>
      <c r="P6771" s="561">
        <v>0</v>
      </c>
    </row>
    <row r="6772" spans="2:38">
      <c r="B6772" s="561" t="s">
        <v>1199</v>
      </c>
      <c r="C6772" s="561" t="s">
        <v>1199</v>
      </c>
      <c r="D6772" s="561">
        <v>69011.399999999994</v>
      </c>
      <c r="E6772" s="561">
        <v>11850</v>
      </c>
      <c r="F6772" s="561">
        <v>57161.4</v>
      </c>
      <c r="G6772" s="561">
        <v>4456</v>
      </c>
      <c r="H6772" s="561">
        <v>71436.994000000006</v>
      </c>
      <c r="I6772" s="561">
        <v>28</v>
      </c>
      <c r="J6772" s="561">
        <v>2425.5939999999973</v>
      </c>
      <c r="K6772" s="561">
        <v>4428</v>
      </c>
      <c r="L6772" s="561">
        <v>69011.400000000009</v>
      </c>
      <c r="M6772" s="561">
        <v>69011.400000000009</v>
      </c>
      <c r="N6772" s="561">
        <v>11850</v>
      </c>
      <c r="AL6772" s="561">
        <v>57161.400000000009</v>
      </c>
    </row>
    <row r="6773" spans="2:38">
      <c r="B6773" s="561" t="s">
        <v>1812</v>
      </c>
      <c r="C6773" s="561" t="s">
        <v>1267</v>
      </c>
      <c r="D6773" s="561">
        <v>325658.891</v>
      </c>
      <c r="E6773" s="561">
        <v>86218.200000000012</v>
      </c>
      <c r="F6773" s="561">
        <v>239440.69099999999</v>
      </c>
      <c r="G6773" s="561">
        <v>7863</v>
      </c>
      <c r="H6773" s="561">
        <v>343317.18599999999</v>
      </c>
      <c r="I6773" s="561">
        <v>55</v>
      </c>
      <c r="J6773" s="561">
        <v>17658.294999999998</v>
      </c>
      <c r="K6773" s="561">
        <v>7808</v>
      </c>
      <c r="L6773" s="561">
        <v>325658.891</v>
      </c>
      <c r="M6773" s="561">
        <v>325658.891</v>
      </c>
      <c r="N6773" s="561">
        <v>86218.200000000012</v>
      </c>
      <c r="O6773" s="561">
        <v>0</v>
      </c>
      <c r="P6773" s="561">
        <v>239440.69099999999</v>
      </c>
    </row>
    <row r="6774" spans="2:38">
      <c r="B6774" s="561" t="s">
        <v>1197</v>
      </c>
      <c r="C6774" s="561" t="s">
        <v>1197</v>
      </c>
      <c r="D6774" s="561">
        <v>269479.571</v>
      </c>
      <c r="E6774" s="561">
        <v>73634.100000000006</v>
      </c>
      <c r="F6774" s="561">
        <v>195845.47099999999</v>
      </c>
      <c r="G6774" s="561">
        <v>4241</v>
      </c>
      <c r="H6774" s="561">
        <v>285509.02799999999</v>
      </c>
      <c r="I6774" s="561">
        <v>42</v>
      </c>
      <c r="J6774" s="561">
        <v>16029.456999999995</v>
      </c>
      <c r="K6774" s="561">
        <v>4199</v>
      </c>
      <c r="L6774" s="561">
        <v>269479.571</v>
      </c>
      <c r="M6774" s="561">
        <v>269479.571</v>
      </c>
      <c r="N6774" s="561">
        <v>73634.100000000006</v>
      </c>
      <c r="P6774" s="561">
        <v>195845.47099999999</v>
      </c>
    </row>
    <row r="6775" spans="2:38">
      <c r="B6775" s="561" t="s">
        <v>1198</v>
      </c>
      <c r="C6775" s="561" t="s">
        <v>1198</v>
      </c>
      <c r="F6775" s="561">
        <v>0</v>
      </c>
      <c r="G6775" s="561">
        <v>0</v>
      </c>
      <c r="H6775" s="561">
        <v>0</v>
      </c>
      <c r="I6775" s="561">
        <v>0</v>
      </c>
      <c r="J6775" s="561">
        <v>0</v>
      </c>
      <c r="K6775" s="561">
        <v>0</v>
      </c>
      <c r="L6775" s="561">
        <v>0</v>
      </c>
      <c r="M6775" s="561">
        <v>0</v>
      </c>
      <c r="N6775" s="561">
        <v>0</v>
      </c>
      <c r="P6775" s="561">
        <v>0</v>
      </c>
    </row>
    <row r="6776" spans="2:38">
      <c r="B6776" s="561" t="s">
        <v>1199</v>
      </c>
      <c r="C6776" s="561" t="s">
        <v>1199</v>
      </c>
      <c r="D6776" s="561">
        <v>54016.828999999998</v>
      </c>
      <c r="E6776" s="561">
        <v>12584.1</v>
      </c>
      <c r="F6776" s="561">
        <v>41432.728999999999</v>
      </c>
      <c r="G6776" s="561">
        <v>3622</v>
      </c>
      <c r="H6776" s="561">
        <v>55366.63700000001</v>
      </c>
      <c r="I6776" s="561">
        <v>13</v>
      </c>
      <c r="J6776" s="561">
        <v>1349.8080000000045</v>
      </c>
      <c r="K6776" s="561">
        <v>3609</v>
      </c>
      <c r="L6776" s="561">
        <v>54016.829000000005</v>
      </c>
      <c r="M6776" s="561">
        <v>54016.829000000005</v>
      </c>
      <c r="N6776" s="561">
        <v>12584.1</v>
      </c>
      <c r="AL6776" s="561">
        <v>41432.729000000007</v>
      </c>
    </row>
    <row r="6777" spans="2:38">
      <c r="C6777" s="561" t="s">
        <v>1202</v>
      </c>
      <c r="D6777" s="561">
        <v>2162.491</v>
      </c>
      <c r="F6777" s="561">
        <v>2162.491</v>
      </c>
      <c r="H6777" s="561">
        <v>2441.5210000000002</v>
      </c>
      <c r="J6777" s="561">
        <v>279.0300000000002</v>
      </c>
      <c r="L6777" s="561">
        <v>2162.491</v>
      </c>
      <c r="M6777" s="561">
        <v>2162.491</v>
      </c>
      <c r="P6777" s="561">
        <v>2162.491</v>
      </c>
    </row>
    <row r="6778" spans="2:38">
      <c r="B6778" s="561" t="s">
        <v>1813</v>
      </c>
      <c r="C6778" s="561" t="s">
        <v>1267</v>
      </c>
      <c r="D6778" s="561">
        <v>112175.6</v>
      </c>
      <c r="E6778" s="561">
        <v>31379.1</v>
      </c>
      <c r="F6778" s="561">
        <v>80796.5</v>
      </c>
      <c r="G6778" s="561">
        <v>2630</v>
      </c>
      <c r="H6778" s="561">
        <v>116896.68599999997</v>
      </c>
      <c r="I6778" s="561">
        <v>4</v>
      </c>
      <c r="J6778" s="561">
        <v>4721.0859999999648</v>
      </c>
      <c r="K6778" s="561">
        <v>2626</v>
      </c>
      <c r="L6778" s="561">
        <v>112175.6</v>
      </c>
      <c r="M6778" s="561">
        <v>112175.6</v>
      </c>
      <c r="N6778" s="561">
        <v>31379.1</v>
      </c>
      <c r="O6778" s="561">
        <v>0</v>
      </c>
      <c r="P6778" s="561">
        <v>80796.5</v>
      </c>
    </row>
    <row r="6779" spans="2:38">
      <c r="B6779" s="561" t="s">
        <v>1197</v>
      </c>
      <c r="C6779" s="561" t="s">
        <v>1197</v>
      </c>
      <c r="D6779" s="561">
        <v>96181.915000000008</v>
      </c>
      <c r="E6779" s="561">
        <v>27840</v>
      </c>
      <c r="F6779" s="561">
        <v>68341.915000000008</v>
      </c>
      <c r="G6779" s="561">
        <v>1506</v>
      </c>
      <c r="H6779" s="561">
        <v>100805.43599999997</v>
      </c>
      <c r="I6779" s="561">
        <v>4</v>
      </c>
      <c r="J6779" s="561">
        <v>4623.5209999999643</v>
      </c>
      <c r="K6779" s="561">
        <v>1502</v>
      </c>
      <c r="L6779" s="561">
        <v>96181.915000000008</v>
      </c>
      <c r="M6779" s="561">
        <v>96181.915000000008</v>
      </c>
      <c r="N6779" s="561">
        <v>27840</v>
      </c>
    </row>
    <row r="6780" spans="2:38">
      <c r="B6780" s="561" t="s">
        <v>1198</v>
      </c>
      <c r="C6780" s="561" t="s">
        <v>1198</v>
      </c>
      <c r="D6780" s="561">
        <v>0</v>
      </c>
      <c r="F6780" s="561">
        <v>0</v>
      </c>
      <c r="G6780" s="561">
        <v>0</v>
      </c>
      <c r="H6780" s="561">
        <v>0</v>
      </c>
      <c r="I6780" s="561">
        <v>0</v>
      </c>
      <c r="J6780" s="561">
        <v>0</v>
      </c>
      <c r="K6780" s="561">
        <v>0</v>
      </c>
      <c r="L6780" s="561">
        <v>0</v>
      </c>
      <c r="M6780" s="561">
        <v>0</v>
      </c>
      <c r="N6780" s="561">
        <v>0</v>
      </c>
      <c r="P6780" s="561">
        <v>0</v>
      </c>
    </row>
    <row r="6781" spans="2:38">
      <c r="B6781" s="561" t="s">
        <v>1199</v>
      </c>
      <c r="C6781" s="561" t="s">
        <v>1199</v>
      </c>
      <c r="D6781" s="561">
        <v>15993.684999999999</v>
      </c>
      <c r="E6781" s="561">
        <v>3539.1</v>
      </c>
      <c r="F6781" s="561">
        <v>12454.584999999999</v>
      </c>
      <c r="G6781" s="561">
        <v>1124</v>
      </c>
      <c r="H6781" s="561">
        <v>16091.25</v>
      </c>
      <c r="I6781" s="561">
        <v>0</v>
      </c>
      <c r="J6781" s="561">
        <v>97.565000000000509</v>
      </c>
      <c r="K6781" s="561">
        <v>1124</v>
      </c>
      <c r="L6781" s="561">
        <v>15993.684999999999</v>
      </c>
      <c r="M6781" s="561">
        <v>15993.684999999999</v>
      </c>
      <c r="N6781" s="561">
        <v>3539.1</v>
      </c>
      <c r="AL6781" s="561">
        <v>12454.584999999999</v>
      </c>
    </row>
    <row r="6782" spans="2:38">
      <c r="B6782" s="561" t="s">
        <v>1814</v>
      </c>
      <c r="C6782" s="561" t="s">
        <v>1267</v>
      </c>
      <c r="D6782" s="561">
        <v>201365.7</v>
      </c>
      <c r="E6782" s="561">
        <v>52827.3</v>
      </c>
      <c r="F6782" s="561">
        <v>148538.4</v>
      </c>
      <c r="G6782" s="561">
        <v>4452</v>
      </c>
      <c r="H6782" s="561">
        <v>204842.93</v>
      </c>
      <c r="I6782" s="561">
        <v>0</v>
      </c>
      <c r="J6782" s="561">
        <v>3477.2299999999741</v>
      </c>
      <c r="K6782" s="561">
        <v>4452</v>
      </c>
      <c r="L6782" s="561">
        <v>201365.7</v>
      </c>
      <c r="M6782" s="561">
        <v>201365.7</v>
      </c>
      <c r="N6782" s="561">
        <v>52827.3</v>
      </c>
      <c r="O6782" s="561">
        <v>0</v>
      </c>
      <c r="P6782" s="561">
        <v>148538.40000000002</v>
      </c>
    </row>
    <row r="6783" spans="2:38">
      <c r="B6783" s="561" t="s">
        <v>1197</v>
      </c>
      <c r="C6783" s="561" t="s">
        <v>1197</v>
      </c>
      <c r="D6783" s="561">
        <v>177255.7</v>
      </c>
      <c r="E6783" s="561">
        <v>48279.9</v>
      </c>
      <c r="F6783" s="561">
        <v>128975.8</v>
      </c>
      <c r="G6783" s="561">
        <v>2690</v>
      </c>
      <c r="H6783" s="561">
        <v>180394.20799999998</v>
      </c>
      <c r="I6783" s="561">
        <v>0</v>
      </c>
      <c r="J6783" s="561">
        <v>3138.5079999999725</v>
      </c>
      <c r="K6783" s="561">
        <v>2690</v>
      </c>
      <c r="L6783" s="561">
        <v>177255.7</v>
      </c>
      <c r="M6783" s="561">
        <v>177255.7</v>
      </c>
      <c r="N6783" s="561">
        <v>48279.9</v>
      </c>
    </row>
    <row r="6784" spans="2:38">
      <c r="B6784" s="561" t="s">
        <v>1198</v>
      </c>
      <c r="C6784" s="561" t="s">
        <v>1198</v>
      </c>
      <c r="F6784" s="561">
        <v>0</v>
      </c>
      <c r="G6784" s="561">
        <v>0</v>
      </c>
      <c r="H6784" s="561">
        <v>0</v>
      </c>
      <c r="I6784" s="561">
        <v>0</v>
      </c>
      <c r="J6784" s="561">
        <v>0</v>
      </c>
      <c r="K6784" s="561">
        <v>0</v>
      </c>
      <c r="L6784" s="561">
        <v>0</v>
      </c>
      <c r="M6784" s="561">
        <v>0</v>
      </c>
      <c r="N6784" s="561">
        <v>0</v>
      </c>
      <c r="P6784" s="561">
        <v>0</v>
      </c>
    </row>
    <row r="6785" spans="2:51">
      <c r="B6785" s="561" t="s">
        <v>1199</v>
      </c>
      <c r="C6785" s="561" t="s">
        <v>1199</v>
      </c>
      <c r="D6785" s="561">
        <v>24110</v>
      </c>
      <c r="E6785" s="561">
        <v>4547.3999999999996</v>
      </c>
      <c r="F6785" s="561">
        <v>19562.599999999999</v>
      </c>
      <c r="G6785" s="561">
        <v>1762</v>
      </c>
      <c r="H6785" s="561">
        <v>24448.722000000002</v>
      </c>
      <c r="I6785" s="561">
        <v>0</v>
      </c>
      <c r="J6785" s="561">
        <v>338.72200000000157</v>
      </c>
      <c r="K6785" s="561">
        <v>1762</v>
      </c>
      <c r="L6785" s="561">
        <v>24110</v>
      </c>
      <c r="M6785" s="561">
        <v>24110</v>
      </c>
      <c r="N6785" s="561">
        <v>4547.3999999999996</v>
      </c>
      <c r="AL6785" s="561">
        <v>19562.599999999999</v>
      </c>
    </row>
    <row r="6786" spans="2:51">
      <c r="B6786" s="561" t="s">
        <v>1815</v>
      </c>
      <c r="C6786" s="561" t="s">
        <v>1267</v>
      </c>
      <c r="D6786" s="561">
        <v>169407</v>
      </c>
      <c r="E6786" s="561">
        <v>49125</v>
      </c>
      <c r="F6786" s="561">
        <v>120282</v>
      </c>
      <c r="G6786" s="561">
        <v>3868</v>
      </c>
      <c r="H6786" s="561">
        <v>178971.774</v>
      </c>
      <c r="I6786" s="561">
        <v>20</v>
      </c>
      <c r="J6786" s="561">
        <v>9564.7740000000049</v>
      </c>
      <c r="K6786" s="561">
        <v>3848</v>
      </c>
      <c r="L6786" s="561">
        <v>169407</v>
      </c>
      <c r="M6786" s="561">
        <v>169407</v>
      </c>
      <c r="N6786" s="561">
        <v>49125</v>
      </c>
      <c r="O6786" s="561">
        <v>0</v>
      </c>
      <c r="P6786" s="561">
        <v>120282</v>
      </c>
    </row>
    <row r="6787" spans="2:51">
      <c r="B6787" s="561" t="s">
        <v>1197</v>
      </c>
      <c r="C6787" s="561" t="s">
        <v>1197</v>
      </c>
      <c r="D6787" s="561">
        <v>146492.9</v>
      </c>
      <c r="E6787" s="561">
        <v>43875</v>
      </c>
      <c r="F6787" s="561">
        <v>102617.9</v>
      </c>
      <c r="G6787" s="561">
        <v>2263</v>
      </c>
      <c r="H6787" s="561">
        <v>154974.5</v>
      </c>
      <c r="I6787" s="561">
        <v>5</v>
      </c>
      <c r="J6787" s="561">
        <v>8481.6000000000058</v>
      </c>
      <c r="K6787" s="561">
        <v>2258</v>
      </c>
      <c r="L6787" s="561">
        <v>146492.9</v>
      </c>
      <c r="M6787" s="561">
        <v>146492.9</v>
      </c>
      <c r="N6787" s="561">
        <v>43875</v>
      </c>
    </row>
    <row r="6788" spans="2:51">
      <c r="B6788" s="561" t="s">
        <v>1198</v>
      </c>
      <c r="C6788" s="561" t="s">
        <v>1198</v>
      </c>
      <c r="F6788" s="561">
        <v>0</v>
      </c>
      <c r="G6788" s="561">
        <v>0</v>
      </c>
      <c r="H6788" s="561">
        <v>0</v>
      </c>
      <c r="I6788" s="561">
        <v>0</v>
      </c>
      <c r="J6788" s="561">
        <v>0</v>
      </c>
      <c r="K6788" s="561">
        <v>0</v>
      </c>
      <c r="L6788" s="561">
        <v>0</v>
      </c>
      <c r="M6788" s="561">
        <v>0</v>
      </c>
      <c r="N6788" s="561">
        <v>0</v>
      </c>
      <c r="P6788" s="561">
        <v>0</v>
      </c>
    </row>
    <row r="6789" spans="2:51">
      <c r="B6789" s="561" t="s">
        <v>1199</v>
      </c>
      <c r="C6789" s="561" t="s">
        <v>1199</v>
      </c>
      <c r="D6789" s="561">
        <v>22914.1</v>
      </c>
      <c r="E6789" s="561">
        <v>5250</v>
      </c>
      <c r="F6789" s="561">
        <v>17664.099999999999</v>
      </c>
      <c r="G6789" s="561">
        <v>1605</v>
      </c>
      <c r="H6789" s="561">
        <v>23997.274000000001</v>
      </c>
      <c r="I6789" s="561">
        <v>15</v>
      </c>
      <c r="J6789" s="561">
        <v>1083.1739999999991</v>
      </c>
      <c r="K6789" s="561">
        <v>1590</v>
      </c>
      <c r="L6789" s="561">
        <v>22914.100000000002</v>
      </c>
      <c r="M6789" s="561">
        <v>22914.100000000002</v>
      </c>
      <c r="N6789" s="561">
        <v>5250</v>
      </c>
      <c r="AL6789" s="561">
        <v>17664.100000000002</v>
      </c>
    </row>
    <row r="6790" spans="2:51">
      <c r="B6790" s="561" t="s">
        <v>1816</v>
      </c>
      <c r="C6790" s="561" t="s">
        <v>1267</v>
      </c>
      <c r="D6790" s="561">
        <v>114056</v>
      </c>
      <c r="E6790" s="561">
        <v>34216.799999999996</v>
      </c>
      <c r="F6790" s="561">
        <v>79839.199999999997</v>
      </c>
      <c r="G6790" s="561">
        <v>2544</v>
      </c>
      <c r="H6790" s="561">
        <v>114644.91900000002</v>
      </c>
      <c r="I6790" s="561">
        <v>0</v>
      </c>
      <c r="J6790" s="561">
        <v>588.91900000000169</v>
      </c>
      <c r="K6790" s="561">
        <v>2544</v>
      </c>
      <c r="L6790" s="561">
        <v>114056.00000000001</v>
      </c>
      <c r="M6790" s="561">
        <v>114056.00000000001</v>
      </c>
      <c r="N6790" s="561">
        <v>34216.799999999996</v>
      </c>
      <c r="O6790" s="561">
        <v>0</v>
      </c>
      <c r="P6790" s="561">
        <v>79839.200000000012</v>
      </c>
    </row>
    <row r="6791" spans="2:51">
      <c r="B6791" s="561" t="s">
        <v>1197</v>
      </c>
      <c r="C6791" s="561" t="s">
        <v>1197</v>
      </c>
      <c r="D6791" s="561">
        <v>97237</v>
      </c>
      <c r="E6791" s="561">
        <v>29171.1</v>
      </c>
      <c r="F6791" s="561">
        <v>68065.899999999994</v>
      </c>
      <c r="G6791" s="561">
        <v>1437</v>
      </c>
      <c r="H6791" s="561">
        <v>97445.156000000017</v>
      </c>
      <c r="I6791" s="561">
        <v>0</v>
      </c>
      <c r="J6791" s="561">
        <v>208.15600000000268</v>
      </c>
      <c r="K6791" s="561">
        <v>1437</v>
      </c>
      <c r="L6791" s="561">
        <v>97237.000000000015</v>
      </c>
      <c r="M6791" s="561">
        <v>97237.000000000015</v>
      </c>
      <c r="N6791" s="561">
        <v>29171.1</v>
      </c>
    </row>
    <row r="6792" spans="2:51">
      <c r="B6792" s="561" t="s">
        <v>1198</v>
      </c>
      <c r="C6792" s="561" t="s">
        <v>1198</v>
      </c>
      <c r="F6792" s="561">
        <v>0</v>
      </c>
      <c r="G6792" s="561">
        <v>0</v>
      </c>
      <c r="H6792" s="561">
        <v>0</v>
      </c>
      <c r="I6792" s="561">
        <v>0</v>
      </c>
      <c r="J6792" s="561">
        <v>0</v>
      </c>
      <c r="K6792" s="561">
        <v>0</v>
      </c>
      <c r="L6792" s="561">
        <v>0</v>
      </c>
      <c r="M6792" s="561">
        <v>0</v>
      </c>
      <c r="N6792" s="561">
        <v>0</v>
      </c>
      <c r="P6792" s="561">
        <v>0</v>
      </c>
    </row>
    <row r="6793" spans="2:51">
      <c r="B6793" s="561" t="s">
        <v>1199</v>
      </c>
      <c r="C6793" s="561" t="s">
        <v>1199</v>
      </c>
      <c r="D6793" s="561">
        <v>16819</v>
      </c>
      <c r="E6793" s="561">
        <v>5045.7</v>
      </c>
      <c r="F6793" s="561">
        <v>11773.3</v>
      </c>
      <c r="G6793" s="561">
        <v>1107</v>
      </c>
      <c r="H6793" s="561">
        <v>17199.762999999999</v>
      </c>
      <c r="I6793" s="561">
        <v>0</v>
      </c>
      <c r="J6793" s="561">
        <v>380.76299999999901</v>
      </c>
      <c r="K6793" s="561">
        <v>1107</v>
      </c>
      <c r="L6793" s="561">
        <v>16819</v>
      </c>
      <c r="M6793" s="561">
        <v>16819</v>
      </c>
      <c r="N6793" s="561">
        <v>5045.7</v>
      </c>
      <c r="AY6793" s="561">
        <v>11773.3</v>
      </c>
    </row>
    <row r="6794" spans="2:51">
      <c r="B6794" s="561" t="s">
        <v>1817</v>
      </c>
      <c r="C6794" s="561" t="s">
        <v>1267</v>
      </c>
      <c r="D6794" s="561">
        <v>17210</v>
      </c>
      <c r="E6794" s="561">
        <v>5163</v>
      </c>
      <c r="F6794" s="561">
        <v>12047</v>
      </c>
      <c r="G6794" s="561">
        <v>1461</v>
      </c>
      <c r="H6794" s="561">
        <v>17824.004000000001</v>
      </c>
      <c r="I6794" s="561">
        <v>0</v>
      </c>
      <c r="J6794" s="561">
        <v>614.00400000000081</v>
      </c>
      <c r="K6794" s="561">
        <v>1461</v>
      </c>
      <c r="L6794" s="561">
        <v>17210</v>
      </c>
      <c r="M6794" s="561">
        <v>17210</v>
      </c>
      <c r="N6794" s="561">
        <v>5163</v>
      </c>
      <c r="O6794" s="561">
        <v>0</v>
      </c>
      <c r="P6794" s="561">
        <v>12047</v>
      </c>
    </row>
    <row r="6795" spans="2:51">
      <c r="B6795" s="561" t="s">
        <v>1197</v>
      </c>
      <c r="C6795" s="561" t="s">
        <v>1197</v>
      </c>
      <c r="I6795" s="561">
        <v>0</v>
      </c>
      <c r="J6795" s="561">
        <v>0</v>
      </c>
      <c r="P6795" s="561">
        <v>0</v>
      </c>
    </row>
    <row r="6796" spans="2:51">
      <c r="B6796" s="561" t="s">
        <v>1198</v>
      </c>
      <c r="C6796" s="561" t="s">
        <v>1198</v>
      </c>
      <c r="I6796" s="561">
        <v>0</v>
      </c>
      <c r="J6796" s="561">
        <v>0</v>
      </c>
      <c r="P6796" s="561">
        <v>0</v>
      </c>
    </row>
    <row r="6797" spans="2:51">
      <c r="B6797" s="561" t="s">
        <v>1199</v>
      </c>
      <c r="C6797" s="561" t="s">
        <v>1199</v>
      </c>
      <c r="D6797" s="561">
        <v>17210</v>
      </c>
      <c r="E6797" s="561">
        <v>5163</v>
      </c>
      <c r="F6797" s="561">
        <v>12047</v>
      </c>
      <c r="G6797" s="561">
        <v>1461</v>
      </c>
      <c r="H6797" s="561">
        <v>17824.004000000001</v>
      </c>
      <c r="I6797" s="561">
        <v>0</v>
      </c>
      <c r="J6797" s="561">
        <v>614.00400000000081</v>
      </c>
      <c r="K6797" s="561">
        <v>1461</v>
      </c>
      <c r="L6797" s="561">
        <v>17210</v>
      </c>
      <c r="M6797" s="561">
        <v>17210</v>
      </c>
      <c r="N6797" s="561">
        <v>5163</v>
      </c>
      <c r="AL6797" s="561">
        <v>12047</v>
      </c>
    </row>
    <row r="6798" spans="2:51">
      <c r="B6798" s="561" t="s">
        <v>1818</v>
      </c>
      <c r="C6798" s="561" t="s">
        <v>1267</v>
      </c>
      <c r="D6798" s="561">
        <v>28172.5</v>
      </c>
      <c r="E6798" s="561">
        <v>7715.1</v>
      </c>
      <c r="F6798" s="561">
        <v>20457.400000000001</v>
      </c>
      <c r="G6798" s="561">
        <v>1767</v>
      </c>
      <c r="H6798" s="561">
        <v>28453.076000000005</v>
      </c>
      <c r="I6798" s="561">
        <v>0</v>
      </c>
      <c r="J6798" s="561">
        <v>280.57600000000457</v>
      </c>
      <c r="K6798" s="561">
        <v>1767</v>
      </c>
      <c r="L6798" s="561">
        <v>28172.5</v>
      </c>
      <c r="M6798" s="561">
        <v>28172.5</v>
      </c>
      <c r="N6798" s="561">
        <v>7715.1</v>
      </c>
      <c r="O6798" s="561">
        <v>0</v>
      </c>
      <c r="P6798" s="561">
        <v>20457.400000000001</v>
      </c>
    </row>
    <row r="6799" spans="2:51">
      <c r="B6799" s="561" t="s">
        <v>1197</v>
      </c>
      <c r="C6799" s="561" t="s">
        <v>1197</v>
      </c>
      <c r="I6799" s="561">
        <v>0</v>
      </c>
      <c r="J6799" s="561">
        <v>0</v>
      </c>
      <c r="P6799" s="561">
        <v>0</v>
      </c>
    </row>
    <row r="6800" spans="2:51">
      <c r="B6800" s="561" t="s">
        <v>1198</v>
      </c>
      <c r="C6800" s="561" t="s">
        <v>1198</v>
      </c>
      <c r="I6800" s="561">
        <v>0</v>
      </c>
      <c r="J6800" s="561">
        <v>0</v>
      </c>
      <c r="P6800" s="561">
        <v>0</v>
      </c>
    </row>
    <row r="6801" spans="2:78">
      <c r="B6801" s="561" t="s">
        <v>1199</v>
      </c>
      <c r="C6801" s="561" t="s">
        <v>1199</v>
      </c>
      <c r="D6801" s="561">
        <v>28172.5</v>
      </c>
      <c r="E6801" s="561">
        <v>7715.1</v>
      </c>
      <c r="F6801" s="561">
        <v>20457.400000000001</v>
      </c>
      <c r="G6801" s="561">
        <v>1767</v>
      </c>
      <c r="H6801" s="561">
        <v>28453.076000000005</v>
      </c>
      <c r="I6801" s="561">
        <v>0</v>
      </c>
      <c r="J6801" s="561">
        <v>280.57600000000457</v>
      </c>
      <c r="K6801" s="561">
        <v>1767</v>
      </c>
      <c r="L6801" s="561">
        <v>28172.5</v>
      </c>
      <c r="M6801" s="561">
        <v>28172.5</v>
      </c>
      <c r="N6801" s="561">
        <v>7715.1</v>
      </c>
      <c r="BZ6801" s="561">
        <v>20457.400000000001</v>
      </c>
    </row>
    <row r="6802" spans="2:78">
      <c r="B6802" s="561" t="s">
        <v>1819</v>
      </c>
      <c r="C6802" s="561" t="s">
        <v>1267</v>
      </c>
      <c r="D6802" s="561">
        <v>22003</v>
      </c>
      <c r="E6802" s="561">
        <v>6062.4</v>
      </c>
      <c r="F6802" s="561">
        <v>15940.6</v>
      </c>
      <c r="G6802" s="561">
        <v>1713</v>
      </c>
      <c r="H6802" s="561">
        <v>22266.571999999996</v>
      </c>
      <c r="I6802" s="561">
        <v>0</v>
      </c>
      <c r="J6802" s="561">
        <v>263.57199999999284</v>
      </c>
      <c r="K6802" s="561">
        <v>1713</v>
      </c>
      <c r="L6802" s="561">
        <v>22003.000000000004</v>
      </c>
      <c r="M6802" s="561">
        <v>22003.000000000004</v>
      </c>
      <c r="N6802" s="561">
        <v>6062.4</v>
      </c>
      <c r="O6802" s="561">
        <v>0</v>
      </c>
      <c r="P6802" s="561">
        <v>15940.600000000004</v>
      </c>
    </row>
    <row r="6803" spans="2:78">
      <c r="B6803" s="561" t="s">
        <v>1197</v>
      </c>
      <c r="C6803" s="561" t="s">
        <v>1197</v>
      </c>
      <c r="I6803" s="561">
        <v>0</v>
      </c>
      <c r="J6803" s="561">
        <v>0</v>
      </c>
      <c r="P6803" s="561">
        <v>0</v>
      </c>
    </row>
    <row r="6804" spans="2:78">
      <c r="B6804" s="561" t="s">
        <v>1198</v>
      </c>
      <c r="C6804" s="561" t="s">
        <v>1198</v>
      </c>
      <c r="I6804" s="561">
        <v>0</v>
      </c>
      <c r="J6804" s="561">
        <v>0</v>
      </c>
      <c r="P6804" s="561">
        <v>0</v>
      </c>
    </row>
    <row r="6805" spans="2:78">
      <c r="B6805" s="561" t="s">
        <v>1199</v>
      </c>
      <c r="C6805" s="561" t="s">
        <v>1199</v>
      </c>
      <c r="D6805" s="561">
        <v>22003</v>
      </c>
      <c r="E6805" s="561">
        <v>6062.4</v>
      </c>
      <c r="F6805" s="561">
        <v>15940.6</v>
      </c>
      <c r="G6805" s="561">
        <v>1713</v>
      </c>
      <c r="H6805" s="561">
        <v>22266.571999999996</v>
      </c>
      <c r="I6805" s="561">
        <v>0</v>
      </c>
      <c r="J6805" s="561">
        <v>263.57199999999284</v>
      </c>
      <c r="K6805" s="561">
        <v>1713</v>
      </c>
      <c r="L6805" s="561">
        <v>22003.000000000004</v>
      </c>
      <c r="M6805" s="561">
        <v>22003.000000000004</v>
      </c>
      <c r="N6805" s="561">
        <v>6062.4</v>
      </c>
      <c r="BZ6805" s="561">
        <v>15940.600000000004</v>
      </c>
    </row>
    <row r="6806" spans="2:78">
      <c r="B6806" s="561" t="s">
        <v>1820</v>
      </c>
      <c r="C6806" s="561" t="s">
        <v>1267</v>
      </c>
      <c r="D6806" s="561">
        <v>32391</v>
      </c>
      <c r="E6806" s="561">
        <v>8879.4</v>
      </c>
      <c r="F6806" s="561">
        <v>23511.599999999999</v>
      </c>
      <c r="G6806" s="561">
        <v>2545</v>
      </c>
      <c r="H6806" s="561">
        <v>32787.468999999997</v>
      </c>
      <c r="I6806" s="561">
        <v>13</v>
      </c>
      <c r="J6806" s="561">
        <v>396.46899999999732</v>
      </c>
      <c r="K6806" s="561">
        <v>2532</v>
      </c>
      <c r="L6806" s="561">
        <v>32391</v>
      </c>
      <c r="M6806" s="561">
        <v>32391</v>
      </c>
      <c r="N6806" s="561">
        <v>8879.4</v>
      </c>
      <c r="O6806" s="561">
        <v>0</v>
      </c>
      <c r="P6806" s="561">
        <v>23511.599999999999</v>
      </c>
    </row>
    <row r="6807" spans="2:78">
      <c r="B6807" s="561" t="s">
        <v>1197</v>
      </c>
      <c r="C6807" s="561" t="s">
        <v>1197</v>
      </c>
      <c r="I6807" s="561">
        <v>0</v>
      </c>
      <c r="J6807" s="561">
        <v>0</v>
      </c>
      <c r="P6807" s="561">
        <v>0</v>
      </c>
    </row>
    <row r="6808" spans="2:78">
      <c r="B6808" s="561" t="s">
        <v>1198</v>
      </c>
      <c r="C6808" s="561" t="s">
        <v>1198</v>
      </c>
      <c r="I6808" s="561">
        <v>0</v>
      </c>
      <c r="J6808" s="561">
        <v>0</v>
      </c>
      <c r="P6808" s="561">
        <v>0</v>
      </c>
    </row>
    <row r="6809" spans="2:78">
      <c r="B6809" s="561" t="s">
        <v>1199</v>
      </c>
      <c r="C6809" s="561" t="s">
        <v>1199</v>
      </c>
      <c r="D6809" s="561">
        <v>32391</v>
      </c>
      <c r="E6809" s="561">
        <v>8879.4</v>
      </c>
      <c r="F6809" s="561">
        <v>23511.599999999999</v>
      </c>
      <c r="G6809" s="561">
        <v>2545</v>
      </c>
      <c r="H6809" s="561">
        <v>32787.468999999997</v>
      </c>
      <c r="I6809" s="561">
        <v>13</v>
      </c>
      <c r="J6809" s="561">
        <v>396.46899999999732</v>
      </c>
      <c r="K6809" s="561">
        <v>2532</v>
      </c>
      <c r="L6809" s="561">
        <v>32391</v>
      </c>
      <c r="M6809" s="561">
        <v>32391</v>
      </c>
      <c r="N6809" s="561">
        <v>8879.4</v>
      </c>
      <c r="BZ6809" s="561">
        <v>23511.599999999999</v>
      </c>
    </row>
    <row r="6810" spans="2:78">
      <c r="B6810" s="561" t="s">
        <v>1821</v>
      </c>
      <c r="C6810" s="561" t="s">
        <v>1267</v>
      </c>
      <c r="D6810" s="561">
        <v>15419</v>
      </c>
      <c r="E6810" s="561">
        <v>3830.4</v>
      </c>
      <c r="F6810" s="561">
        <v>11588.6</v>
      </c>
      <c r="G6810" s="561">
        <v>1140</v>
      </c>
      <c r="H6810" s="561">
        <v>15728.366</v>
      </c>
      <c r="I6810" s="561">
        <v>6</v>
      </c>
      <c r="J6810" s="561">
        <v>309.36599999999999</v>
      </c>
      <c r="K6810" s="561">
        <v>1134</v>
      </c>
      <c r="L6810" s="561">
        <v>15419</v>
      </c>
      <c r="M6810" s="561">
        <v>15419</v>
      </c>
      <c r="N6810" s="561">
        <v>3830.4</v>
      </c>
      <c r="O6810" s="561">
        <v>0</v>
      </c>
      <c r="P6810" s="561">
        <v>11588.6</v>
      </c>
    </row>
    <row r="6811" spans="2:78">
      <c r="B6811" s="561" t="s">
        <v>1197</v>
      </c>
      <c r="C6811" s="561" t="s">
        <v>1197</v>
      </c>
      <c r="I6811" s="561">
        <v>0</v>
      </c>
      <c r="J6811" s="561">
        <v>0</v>
      </c>
      <c r="P6811" s="561">
        <v>0</v>
      </c>
    </row>
    <row r="6812" spans="2:78">
      <c r="B6812" s="561" t="s">
        <v>1198</v>
      </c>
      <c r="C6812" s="561" t="s">
        <v>1198</v>
      </c>
      <c r="I6812" s="561">
        <v>0</v>
      </c>
      <c r="J6812" s="561">
        <v>0</v>
      </c>
      <c r="P6812" s="561">
        <v>0</v>
      </c>
    </row>
    <row r="6813" spans="2:78">
      <c r="B6813" s="561" t="s">
        <v>1199</v>
      </c>
      <c r="C6813" s="561" t="s">
        <v>1199</v>
      </c>
      <c r="D6813" s="561">
        <v>15419</v>
      </c>
      <c r="E6813" s="561">
        <v>3830.4</v>
      </c>
      <c r="F6813" s="561">
        <v>11588.6</v>
      </c>
      <c r="G6813" s="561">
        <v>1140</v>
      </c>
      <c r="H6813" s="561">
        <v>15728.366</v>
      </c>
      <c r="I6813" s="561">
        <v>6</v>
      </c>
      <c r="J6813" s="561">
        <v>309.36599999999999</v>
      </c>
      <c r="K6813" s="561">
        <v>1134</v>
      </c>
      <c r="L6813" s="561">
        <v>15419</v>
      </c>
      <c r="M6813" s="561">
        <v>15419</v>
      </c>
      <c r="N6813" s="561">
        <v>3830.4</v>
      </c>
      <c r="BZ6813" s="561">
        <v>11588.6</v>
      </c>
    </row>
    <row r="6814" spans="2:78">
      <c r="B6814" s="561" t="s">
        <v>1822</v>
      </c>
      <c r="C6814" s="561" t="s">
        <v>1267</v>
      </c>
      <c r="D6814" s="561">
        <v>7242.1</v>
      </c>
      <c r="E6814" s="561">
        <v>1871.4</v>
      </c>
      <c r="F6814" s="561">
        <v>5370.7</v>
      </c>
      <c r="G6814" s="561">
        <v>455</v>
      </c>
      <c r="H6814" s="561">
        <v>7462.9320000000007</v>
      </c>
      <c r="I6814" s="561">
        <v>2</v>
      </c>
      <c r="J6814" s="561">
        <v>220.83200000000124</v>
      </c>
      <c r="K6814" s="561">
        <v>453</v>
      </c>
      <c r="L6814" s="561">
        <v>7242.0999999999995</v>
      </c>
      <c r="M6814" s="561">
        <v>7242.0999999999995</v>
      </c>
      <c r="N6814" s="561">
        <v>1871.4</v>
      </c>
      <c r="O6814" s="561">
        <v>0</v>
      </c>
      <c r="P6814" s="561">
        <v>5370.6999999999989</v>
      </c>
    </row>
    <row r="6815" spans="2:78">
      <c r="B6815" s="561" t="s">
        <v>1197</v>
      </c>
      <c r="C6815" s="561" t="s">
        <v>1197</v>
      </c>
      <c r="I6815" s="561">
        <v>0</v>
      </c>
      <c r="J6815" s="561">
        <v>0</v>
      </c>
      <c r="P6815" s="561">
        <v>0</v>
      </c>
    </row>
    <row r="6816" spans="2:78">
      <c r="B6816" s="561" t="s">
        <v>1198</v>
      </c>
      <c r="C6816" s="561" t="s">
        <v>1198</v>
      </c>
      <c r="I6816" s="561">
        <v>0</v>
      </c>
      <c r="J6816" s="561">
        <v>0</v>
      </c>
      <c r="P6816" s="561">
        <v>0</v>
      </c>
    </row>
    <row r="6817" spans="1:111">
      <c r="B6817" s="561" t="s">
        <v>1199</v>
      </c>
      <c r="C6817" s="561" t="s">
        <v>1199</v>
      </c>
      <c r="D6817" s="561">
        <v>7242.1</v>
      </c>
      <c r="E6817" s="561">
        <v>1871.4</v>
      </c>
      <c r="F6817" s="561">
        <v>5370.7</v>
      </c>
      <c r="G6817" s="561">
        <v>455</v>
      </c>
      <c r="H6817" s="561">
        <v>7462.9320000000007</v>
      </c>
      <c r="I6817" s="561">
        <v>2</v>
      </c>
      <c r="J6817" s="561">
        <v>220.83200000000124</v>
      </c>
      <c r="K6817" s="561">
        <v>453</v>
      </c>
      <c r="L6817" s="561">
        <v>7242.0999999999995</v>
      </c>
      <c r="M6817" s="561">
        <v>7242.0999999999995</v>
      </c>
      <c r="N6817" s="561">
        <v>1871.4</v>
      </c>
      <c r="AL6817" s="561">
        <v>5370.6999999999989</v>
      </c>
    </row>
    <row r="6818" spans="1:111">
      <c r="B6818" s="561" t="s">
        <v>1823</v>
      </c>
      <c r="C6818" s="561" t="s">
        <v>1267</v>
      </c>
      <c r="D6818" s="561">
        <v>1480</v>
      </c>
      <c r="E6818" s="561">
        <v>300</v>
      </c>
      <c r="F6818" s="561">
        <v>1180</v>
      </c>
      <c r="G6818" s="561">
        <v>83</v>
      </c>
      <c r="H6818" s="561">
        <v>1516.826</v>
      </c>
      <c r="I6818" s="561">
        <v>0</v>
      </c>
      <c r="J6818" s="561">
        <v>36.826000000000022</v>
      </c>
      <c r="K6818" s="561">
        <v>83</v>
      </c>
      <c r="L6818" s="561">
        <v>1480</v>
      </c>
      <c r="M6818" s="561">
        <v>1480</v>
      </c>
      <c r="N6818" s="561">
        <v>300</v>
      </c>
      <c r="O6818" s="561">
        <v>0</v>
      </c>
      <c r="P6818" s="561">
        <v>1180</v>
      </c>
    </row>
    <row r="6819" spans="1:111">
      <c r="B6819" s="561" t="s">
        <v>1197</v>
      </c>
      <c r="C6819" s="561" t="s">
        <v>1197</v>
      </c>
      <c r="I6819" s="561">
        <v>0</v>
      </c>
      <c r="J6819" s="561">
        <v>0</v>
      </c>
      <c r="P6819" s="561">
        <v>0</v>
      </c>
    </row>
    <row r="6820" spans="1:111">
      <c r="B6820" s="561" t="s">
        <v>1198</v>
      </c>
      <c r="C6820" s="561" t="s">
        <v>1198</v>
      </c>
      <c r="I6820" s="561">
        <v>0</v>
      </c>
      <c r="J6820" s="561">
        <v>0</v>
      </c>
      <c r="P6820" s="561">
        <v>0</v>
      </c>
    </row>
    <row r="6821" spans="1:111">
      <c r="B6821" s="561" t="s">
        <v>1199</v>
      </c>
      <c r="C6821" s="561" t="s">
        <v>1199</v>
      </c>
      <c r="D6821" s="561">
        <v>1480</v>
      </c>
      <c r="E6821" s="561">
        <v>300</v>
      </c>
      <c r="F6821" s="561">
        <v>1180</v>
      </c>
      <c r="G6821" s="561">
        <v>83</v>
      </c>
      <c r="H6821" s="561">
        <v>1516.826</v>
      </c>
      <c r="I6821" s="561">
        <v>0</v>
      </c>
      <c r="J6821" s="561">
        <v>36.826000000000022</v>
      </c>
      <c r="K6821" s="561">
        <v>83</v>
      </c>
      <c r="L6821" s="561">
        <v>1480</v>
      </c>
      <c r="M6821" s="561">
        <v>1480</v>
      </c>
      <c r="N6821" s="561">
        <v>300</v>
      </c>
      <c r="AL6821" s="561">
        <v>1180</v>
      </c>
    </row>
    <row r="6822" spans="1:111">
      <c r="B6822" s="561" t="s">
        <v>1824</v>
      </c>
      <c r="C6822" s="561" t="s">
        <v>1267</v>
      </c>
      <c r="D6822" s="561">
        <v>1060.5</v>
      </c>
      <c r="E6822" s="561">
        <v>300</v>
      </c>
      <c r="F6822" s="561">
        <v>760.5</v>
      </c>
      <c r="G6822" s="561">
        <v>83</v>
      </c>
      <c r="H6822" s="561">
        <v>1121.6789999999999</v>
      </c>
      <c r="I6822" s="561">
        <v>1</v>
      </c>
      <c r="J6822" s="561">
        <v>61.17899999999986</v>
      </c>
      <c r="K6822" s="561">
        <v>82</v>
      </c>
      <c r="L6822" s="561">
        <v>1060.5</v>
      </c>
      <c r="M6822" s="561">
        <v>1060.5</v>
      </c>
      <c r="N6822" s="561">
        <v>300</v>
      </c>
      <c r="O6822" s="561">
        <v>0</v>
      </c>
      <c r="P6822" s="561">
        <v>760.5</v>
      </c>
    </row>
    <row r="6823" spans="1:111">
      <c r="B6823" s="561" t="s">
        <v>1197</v>
      </c>
      <c r="C6823" s="561" t="s">
        <v>1197</v>
      </c>
      <c r="I6823" s="561">
        <v>0</v>
      </c>
      <c r="J6823" s="561">
        <v>0</v>
      </c>
      <c r="P6823" s="561">
        <v>0</v>
      </c>
    </row>
    <row r="6824" spans="1:111">
      <c r="B6824" s="561" t="s">
        <v>1198</v>
      </c>
      <c r="C6824" s="561" t="s">
        <v>1198</v>
      </c>
      <c r="I6824" s="561">
        <v>0</v>
      </c>
      <c r="J6824" s="561">
        <v>0</v>
      </c>
      <c r="P6824" s="561">
        <v>0</v>
      </c>
    </row>
    <row r="6825" spans="1:111">
      <c r="B6825" s="561" t="s">
        <v>1199</v>
      </c>
      <c r="C6825" s="561" t="s">
        <v>1199</v>
      </c>
      <c r="D6825" s="561">
        <v>1060.5</v>
      </c>
      <c r="E6825" s="561">
        <v>300</v>
      </c>
      <c r="F6825" s="561">
        <v>760.5</v>
      </c>
      <c r="G6825" s="561">
        <v>83</v>
      </c>
      <c r="H6825" s="561">
        <v>1121.6789999999999</v>
      </c>
      <c r="I6825" s="561">
        <v>1</v>
      </c>
      <c r="J6825" s="561">
        <v>61.17899999999986</v>
      </c>
      <c r="K6825" s="561">
        <v>82</v>
      </c>
      <c r="L6825" s="561">
        <v>1060.5</v>
      </c>
      <c r="M6825" s="561">
        <v>1060.5</v>
      </c>
      <c r="N6825" s="561">
        <v>300</v>
      </c>
      <c r="BZ6825" s="561">
        <v>760.5</v>
      </c>
    </row>
    <row r="6826" spans="1:111">
      <c r="A6826" s="1683" t="s">
        <v>1825</v>
      </c>
      <c r="B6826" s="1683"/>
      <c r="C6826" s="1683"/>
      <c r="D6826" s="1683"/>
      <c r="E6826" s="1683"/>
      <c r="F6826" s="1683"/>
      <c r="G6826" s="1683"/>
      <c r="H6826" s="1683"/>
      <c r="I6826" s="1683"/>
      <c r="J6826" s="1683"/>
      <c r="K6826" s="1683"/>
      <c r="L6826" s="1683"/>
      <c r="M6826" s="1683"/>
      <c r="N6826" s="1683"/>
      <c r="O6826" s="1683"/>
      <c r="P6826" s="1683"/>
    </row>
    <row r="6827" spans="1:111">
      <c r="A6827" s="1735" t="s">
        <v>1197</v>
      </c>
      <c r="B6827" s="1735"/>
      <c r="C6827" s="1735"/>
      <c r="D6827" s="1735"/>
      <c r="E6827" s="1735"/>
      <c r="F6827" s="1735"/>
      <c r="G6827" s="1735"/>
      <c r="H6827" s="1735"/>
      <c r="I6827" s="1735"/>
      <c r="J6827" s="1735"/>
      <c r="K6827" s="1735"/>
      <c r="L6827" s="1735"/>
      <c r="M6827" s="1735"/>
      <c r="N6827" s="1735"/>
      <c r="O6827" s="1735"/>
      <c r="P6827" s="1735"/>
      <c r="AL6827" s="561">
        <f>SUM(AL6828:AL7078)</f>
        <v>9700295.9456830025</v>
      </c>
      <c r="AM6827" s="561">
        <f t="shared" ref="AM6827:CX6827" si="150">SUM(AM6828:AM7078)</f>
        <v>0</v>
      </c>
      <c r="AN6827" s="561">
        <f t="shared" si="150"/>
        <v>0</v>
      </c>
      <c r="AO6827" s="561">
        <f t="shared" si="150"/>
        <v>0</v>
      </c>
      <c r="AP6827" s="561">
        <f t="shared" si="150"/>
        <v>0</v>
      </c>
      <c r="AQ6827" s="561">
        <f t="shared" si="150"/>
        <v>0</v>
      </c>
      <c r="AR6827" s="561">
        <f t="shared" si="150"/>
        <v>269744.22224745207</v>
      </c>
      <c r="AS6827" s="561">
        <f t="shared" si="150"/>
        <v>0</v>
      </c>
      <c r="AT6827" s="561">
        <f t="shared" si="150"/>
        <v>148800.93894509799</v>
      </c>
      <c r="AU6827" s="561">
        <f t="shared" si="150"/>
        <v>0</v>
      </c>
      <c r="AV6827" s="561">
        <f t="shared" si="150"/>
        <v>0</v>
      </c>
      <c r="AW6827" s="561">
        <f t="shared" si="150"/>
        <v>0</v>
      </c>
      <c r="AX6827" s="561">
        <f t="shared" si="150"/>
        <v>583751.61204999988</v>
      </c>
      <c r="AY6827" s="561">
        <f t="shared" si="150"/>
        <v>0</v>
      </c>
      <c r="AZ6827" s="561">
        <f t="shared" si="150"/>
        <v>0</v>
      </c>
      <c r="BA6827" s="561">
        <f t="shared" si="150"/>
        <v>179900.40683000005</v>
      </c>
      <c r="BB6827" s="561">
        <f t="shared" si="150"/>
        <v>2340880.7001586002</v>
      </c>
      <c r="BC6827" s="561">
        <f t="shared" si="150"/>
        <v>1416543.9674600002</v>
      </c>
      <c r="BD6827" s="561">
        <f t="shared" si="150"/>
        <v>954189.79739937442</v>
      </c>
      <c r="BE6827" s="561">
        <f t="shared" si="150"/>
        <v>0</v>
      </c>
      <c r="BF6827" s="561">
        <f t="shared" si="150"/>
        <v>0</v>
      </c>
      <c r="BG6827" s="561">
        <f t="shared" si="150"/>
        <v>0</v>
      </c>
      <c r="BH6827" s="561">
        <f t="shared" si="150"/>
        <v>0</v>
      </c>
      <c r="BI6827" s="561">
        <f t="shared" si="150"/>
        <v>0</v>
      </c>
      <c r="BJ6827" s="561">
        <f t="shared" si="150"/>
        <v>0</v>
      </c>
      <c r="BK6827" s="561">
        <f t="shared" si="150"/>
        <v>0</v>
      </c>
      <c r="BL6827" s="561">
        <f t="shared" si="150"/>
        <v>0</v>
      </c>
      <c r="BM6827" s="561">
        <f t="shared" si="150"/>
        <v>0</v>
      </c>
      <c r="BN6827" s="561">
        <f t="shared" si="150"/>
        <v>0</v>
      </c>
      <c r="BO6827" s="561">
        <f t="shared" si="150"/>
        <v>0</v>
      </c>
      <c r="BP6827" s="561">
        <f t="shared" si="150"/>
        <v>0</v>
      </c>
      <c r="BQ6827" s="561">
        <f t="shared" si="150"/>
        <v>0</v>
      </c>
      <c r="BR6827" s="561">
        <f t="shared" si="150"/>
        <v>0</v>
      </c>
      <c r="BS6827" s="561">
        <f t="shared" si="150"/>
        <v>0</v>
      </c>
      <c r="BT6827" s="561">
        <f t="shared" si="150"/>
        <v>0</v>
      </c>
      <c r="BU6827" s="561">
        <f t="shared" si="150"/>
        <v>0</v>
      </c>
      <c r="BV6827" s="561">
        <f t="shared" si="150"/>
        <v>0</v>
      </c>
      <c r="BW6827" s="561">
        <f t="shared" si="150"/>
        <v>0</v>
      </c>
      <c r="BX6827" s="561">
        <f t="shared" si="150"/>
        <v>0</v>
      </c>
      <c r="BY6827" s="561">
        <f t="shared" si="150"/>
        <v>0</v>
      </c>
      <c r="BZ6827" s="561">
        <f t="shared" si="150"/>
        <v>0</v>
      </c>
      <c r="CA6827" s="561">
        <f t="shared" si="150"/>
        <v>0</v>
      </c>
      <c r="CB6827" s="561">
        <f t="shared" si="150"/>
        <v>0</v>
      </c>
      <c r="CC6827" s="561">
        <f t="shared" si="150"/>
        <v>0</v>
      </c>
      <c r="CD6827" s="561">
        <f t="shared" si="150"/>
        <v>0</v>
      </c>
      <c r="CE6827" s="561">
        <f t="shared" si="150"/>
        <v>0</v>
      </c>
      <c r="CF6827" s="561">
        <f t="shared" si="150"/>
        <v>0</v>
      </c>
      <c r="CG6827" s="561">
        <f t="shared" si="150"/>
        <v>0</v>
      </c>
      <c r="CH6827" s="561">
        <f t="shared" si="150"/>
        <v>0</v>
      </c>
      <c r="CI6827" s="561">
        <f t="shared" si="150"/>
        <v>0</v>
      </c>
      <c r="CJ6827" s="561">
        <f t="shared" si="150"/>
        <v>0</v>
      </c>
      <c r="CK6827" s="561">
        <f t="shared" si="150"/>
        <v>0</v>
      </c>
      <c r="CL6827" s="561">
        <f t="shared" si="150"/>
        <v>0</v>
      </c>
      <c r="CM6827" s="561">
        <f t="shared" si="150"/>
        <v>0</v>
      </c>
      <c r="CN6827" s="561">
        <f t="shared" si="150"/>
        <v>0</v>
      </c>
      <c r="CO6827" s="561">
        <f t="shared" si="150"/>
        <v>0</v>
      </c>
      <c r="CP6827" s="561">
        <f t="shared" si="150"/>
        <v>0</v>
      </c>
      <c r="CQ6827" s="561">
        <f t="shared" si="150"/>
        <v>0</v>
      </c>
      <c r="CR6827" s="561">
        <f t="shared" si="150"/>
        <v>0</v>
      </c>
      <c r="CS6827" s="561">
        <f t="shared" si="150"/>
        <v>0</v>
      </c>
      <c r="CT6827" s="561">
        <f t="shared" si="150"/>
        <v>0</v>
      </c>
      <c r="CU6827" s="561">
        <f t="shared" si="150"/>
        <v>0</v>
      </c>
      <c r="CV6827" s="561">
        <f t="shared" si="150"/>
        <v>0</v>
      </c>
      <c r="CW6827" s="561">
        <f t="shared" si="150"/>
        <v>0</v>
      </c>
      <c r="CX6827" s="561">
        <f t="shared" si="150"/>
        <v>0</v>
      </c>
      <c r="CY6827" s="561">
        <f t="shared" ref="CY6827:DG6827" si="151">SUM(CY6828:CY7078)</f>
        <v>0</v>
      </c>
      <c r="CZ6827" s="561">
        <f t="shared" si="151"/>
        <v>0</v>
      </c>
      <c r="DA6827" s="561">
        <f t="shared" si="151"/>
        <v>0</v>
      </c>
      <c r="DB6827" s="561">
        <f t="shared" si="151"/>
        <v>0</v>
      </c>
      <c r="DC6827" s="561">
        <f t="shared" si="151"/>
        <v>0</v>
      </c>
      <c r="DD6827" s="561">
        <f t="shared" si="151"/>
        <v>0</v>
      </c>
      <c r="DE6827" s="561">
        <f t="shared" si="151"/>
        <v>0</v>
      </c>
      <c r="DF6827" s="561">
        <f t="shared" si="151"/>
        <v>0</v>
      </c>
      <c r="DG6827" s="561">
        <f t="shared" si="151"/>
        <v>0</v>
      </c>
    </row>
    <row r="6828" spans="1:111">
      <c r="A6828" s="561">
        <v>1</v>
      </c>
      <c r="B6828" s="561" t="s">
        <v>1826</v>
      </c>
      <c r="C6828" s="561" t="s">
        <v>1267</v>
      </c>
      <c r="D6828" s="561">
        <v>1644748.1912517359</v>
      </c>
      <c r="E6828" s="561">
        <v>316394.39999999991</v>
      </c>
      <c r="F6828" s="561">
        <v>1328353.791251736</v>
      </c>
      <c r="G6828" s="561">
        <v>4036</v>
      </c>
      <c r="H6828" s="561">
        <v>2151593.3647817359</v>
      </c>
      <c r="I6828" s="561">
        <v>396</v>
      </c>
      <c r="J6828" s="561">
        <v>506845.17352999997</v>
      </c>
      <c r="K6828" s="561">
        <v>4001</v>
      </c>
      <c r="L6828" s="561">
        <v>1644748.1912517359</v>
      </c>
      <c r="M6828" s="561">
        <v>1644748.1912517359</v>
      </c>
      <c r="N6828" s="561">
        <v>316394.39999999991</v>
      </c>
      <c r="O6828" s="561">
        <v>0</v>
      </c>
      <c r="P6828" s="561">
        <v>1328353.791251736</v>
      </c>
      <c r="Q6828" s="561">
        <v>1328353.791251736</v>
      </c>
    </row>
    <row r="6829" spans="1:111">
      <c r="C6829" s="561" t="s">
        <v>1197</v>
      </c>
      <c r="D6829" s="561">
        <v>717950.61204999988</v>
      </c>
      <c r="E6829" s="561">
        <v>134198.99999999997</v>
      </c>
      <c r="F6829" s="561">
        <v>583751.61204999988</v>
      </c>
      <c r="G6829" s="561">
        <v>2848</v>
      </c>
      <c r="H6829" s="561">
        <v>729851.30004999985</v>
      </c>
      <c r="I6829" s="561">
        <v>229</v>
      </c>
      <c r="J6829" s="561">
        <v>11900.688000000002</v>
      </c>
      <c r="K6829" s="561">
        <v>2834</v>
      </c>
      <c r="L6829" s="561">
        <v>717950.61204999988</v>
      </c>
      <c r="M6829" s="561">
        <v>717950.61204999988</v>
      </c>
      <c r="N6829" s="561">
        <v>134198.99999999997</v>
      </c>
      <c r="Q6829" s="561">
        <v>583751.61204999988</v>
      </c>
      <c r="AX6829" s="561">
        <v>583751.61204999988</v>
      </c>
    </row>
    <row r="6830" spans="1:111">
      <c r="C6830" s="561" t="s">
        <v>1198</v>
      </c>
      <c r="D6830" s="561">
        <v>926797.57920173602</v>
      </c>
      <c r="E6830" s="561">
        <v>182195.39999999997</v>
      </c>
      <c r="F6830" s="561">
        <v>744602.17920173611</v>
      </c>
      <c r="G6830" s="561">
        <v>1188</v>
      </c>
      <c r="H6830" s="561">
        <v>1421742.064731736</v>
      </c>
      <c r="I6830" s="561">
        <v>167</v>
      </c>
      <c r="J6830" s="561">
        <v>494944.48552999995</v>
      </c>
      <c r="K6830" s="561">
        <v>1167</v>
      </c>
      <c r="L6830" s="561">
        <v>926797.57920173602</v>
      </c>
      <c r="M6830" s="561">
        <v>926797.57920173602</v>
      </c>
      <c r="N6830" s="561">
        <v>182195.39999999997</v>
      </c>
      <c r="P6830" s="561">
        <v>744602.17920173611</v>
      </c>
      <c r="Q6830" s="561">
        <v>744602.17920173611</v>
      </c>
    </row>
    <row r="6831" spans="1:111">
      <c r="A6831" s="561">
        <v>2</v>
      </c>
      <c r="B6831" s="561" t="s">
        <v>1827</v>
      </c>
      <c r="C6831" s="561" t="s">
        <v>1267</v>
      </c>
      <c r="D6831" s="561">
        <v>163711</v>
      </c>
      <c r="E6831" s="561">
        <v>49113.299999999996</v>
      </c>
      <c r="F6831" s="561">
        <v>114597.70000000001</v>
      </c>
      <c r="G6831" s="561">
        <v>2953</v>
      </c>
      <c r="H6831" s="561">
        <v>172301.81106420397</v>
      </c>
      <c r="I6831" s="561">
        <v>444</v>
      </c>
      <c r="J6831" s="561">
        <v>9355.7704616119918</v>
      </c>
      <c r="K6831" s="561">
        <v>2888</v>
      </c>
      <c r="L6831" s="561">
        <v>163711</v>
      </c>
      <c r="M6831" s="561">
        <v>163711</v>
      </c>
      <c r="N6831" s="561">
        <v>49113.299999999996</v>
      </c>
      <c r="O6831" s="561">
        <v>0</v>
      </c>
      <c r="P6831" s="561">
        <v>114597.70000000001</v>
      </c>
      <c r="Q6831" s="561">
        <v>114597.70000000001</v>
      </c>
      <c r="AR6831" s="561">
        <v>114597.70000000001</v>
      </c>
    </row>
    <row r="6832" spans="1:111">
      <c r="C6832" s="561" t="s">
        <v>1197</v>
      </c>
      <c r="D6832" s="561">
        <v>163711</v>
      </c>
      <c r="E6832" s="561">
        <v>49113.299999999996</v>
      </c>
      <c r="F6832" s="561">
        <v>114597.70000000001</v>
      </c>
      <c r="G6832" s="561">
        <v>2953</v>
      </c>
      <c r="H6832" s="561">
        <v>172301.81106420397</v>
      </c>
      <c r="I6832" s="561">
        <v>444</v>
      </c>
      <c r="J6832" s="561">
        <v>9355.7704616119918</v>
      </c>
      <c r="K6832" s="561">
        <v>2888</v>
      </c>
      <c r="L6832" s="561">
        <v>163711</v>
      </c>
      <c r="M6832" s="561">
        <v>163711</v>
      </c>
      <c r="N6832" s="561">
        <v>49113.299999999996</v>
      </c>
      <c r="Q6832" s="561">
        <v>114597.70000000001</v>
      </c>
    </row>
    <row r="6833" spans="1:55">
      <c r="A6833" s="561">
        <v>3</v>
      </c>
      <c r="B6833" s="561" t="s">
        <v>1828</v>
      </c>
      <c r="C6833" s="561" t="s">
        <v>1267</v>
      </c>
      <c r="D6833" s="561">
        <v>2509792.9875666671</v>
      </c>
      <c r="E6833" s="561">
        <v>516534.3</v>
      </c>
      <c r="F6833" s="561">
        <v>1993258.6873600003</v>
      </c>
      <c r="G6833" s="561">
        <v>25633</v>
      </c>
      <c r="H6833" s="561">
        <v>2610644.6015699999</v>
      </c>
      <c r="I6833" s="561">
        <v>2408</v>
      </c>
      <c r="J6833" s="561">
        <v>115255.59105105542</v>
      </c>
      <c r="K6833" s="561">
        <v>25333</v>
      </c>
      <c r="L6833" s="561">
        <v>2509792.9875666671</v>
      </c>
      <c r="M6833" s="561">
        <v>2509792.9875666671</v>
      </c>
      <c r="N6833" s="561">
        <v>516534.3</v>
      </c>
      <c r="O6833" s="561">
        <v>0</v>
      </c>
      <c r="P6833" s="561">
        <v>1993258.6875666669</v>
      </c>
      <c r="Q6833" s="561">
        <v>1993258.6873600003</v>
      </c>
    </row>
    <row r="6834" spans="1:55">
      <c r="C6834" s="561" t="s">
        <v>1197</v>
      </c>
      <c r="D6834" s="561">
        <v>1843150.2674600002</v>
      </c>
      <c r="E6834" s="561">
        <v>426606.3</v>
      </c>
      <c r="F6834" s="561">
        <v>1416543.9674600002</v>
      </c>
      <c r="G6834" s="561">
        <v>22643</v>
      </c>
      <c r="H6834" s="561">
        <v>1935320.5860799998</v>
      </c>
      <c r="I6834" s="561">
        <v>2307</v>
      </c>
      <c r="J6834" s="561">
        <v>105723.06001505542</v>
      </c>
      <c r="K6834" s="561">
        <v>22374</v>
      </c>
      <c r="L6834" s="561">
        <v>1843150.2674600002</v>
      </c>
      <c r="M6834" s="561">
        <v>1843150.2674600002</v>
      </c>
      <c r="N6834" s="561">
        <v>426606.3</v>
      </c>
      <c r="Q6834" s="561">
        <v>1416543.9674600002</v>
      </c>
      <c r="BC6834" s="561">
        <v>1416543.9674600002</v>
      </c>
    </row>
    <row r="6835" spans="1:55">
      <c r="C6835" s="561" t="s">
        <v>1198</v>
      </c>
      <c r="D6835" s="561">
        <v>363161.99627000006</v>
      </c>
      <c r="E6835" s="561">
        <v>54680.999999999993</v>
      </c>
      <c r="F6835" s="561">
        <v>308480.99627000006</v>
      </c>
      <c r="G6835" s="561">
        <v>874</v>
      </c>
      <c r="H6835" s="561">
        <v>370707.21187000006</v>
      </c>
      <c r="I6835" s="561">
        <v>40</v>
      </c>
      <c r="J6835" s="561">
        <v>8257.8953700000002</v>
      </c>
      <c r="K6835" s="561">
        <v>873</v>
      </c>
      <c r="L6835" s="561">
        <v>363161.99627000006</v>
      </c>
      <c r="M6835" s="561">
        <v>363161.99627000006</v>
      </c>
      <c r="N6835" s="561">
        <v>54680.999999999993</v>
      </c>
      <c r="P6835" s="561">
        <v>308480.99627000006</v>
      </c>
      <c r="Q6835" s="561">
        <v>308480.99627000006</v>
      </c>
    </row>
    <row r="6836" spans="1:55">
      <c r="C6836" s="561" t="s">
        <v>1199</v>
      </c>
      <c r="D6836" s="561">
        <v>303480.72383666673</v>
      </c>
      <c r="E6836" s="561">
        <v>35247</v>
      </c>
      <c r="F6836" s="561">
        <v>268233.72363000002</v>
      </c>
      <c r="G6836" s="561">
        <v>2116</v>
      </c>
      <c r="H6836" s="561">
        <v>304616.80362000002</v>
      </c>
      <c r="I6836" s="561">
        <v>61</v>
      </c>
      <c r="J6836" s="561">
        <v>1274.6356659999985</v>
      </c>
      <c r="K6836" s="561">
        <v>2086</v>
      </c>
      <c r="L6836" s="561">
        <v>303480.72383666673</v>
      </c>
      <c r="M6836" s="561">
        <v>303480.72383666673</v>
      </c>
      <c r="N6836" s="561">
        <v>35247</v>
      </c>
      <c r="P6836" s="561">
        <v>268233.72383666673</v>
      </c>
      <c r="Q6836" s="561">
        <v>268233.72363000002</v>
      </c>
    </row>
    <row r="6837" spans="1:55">
      <c r="A6837" s="561">
        <v>4</v>
      </c>
      <c r="B6837" s="561" t="s">
        <v>1829</v>
      </c>
      <c r="C6837" s="561" t="s">
        <v>1267</v>
      </c>
      <c r="D6837" s="561">
        <v>1205968.0874805818</v>
      </c>
      <c r="E6837" s="561">
        <v>269205.3</v>
      </c>
      <c r="F6837" s="561">
        <v>936762.7899999998</v>
      </c>
      <c r="G6837" s="561">
        <v>14594</v>
      </c>
      <c r="H6837" s="561">
        <v>1257955.1458905817</v>
      </c>
      <c r="I6837" s="561">
        <v>1751</v>
      </c>
      <c r="J6837" s="561">
        <v>75843.657029410155</v>
      </c>
      <c r="K6837" s="561">
        <v>14583</v>
      </c>
      <c r="L6837" s="561">
        <v>1205968.0874805818</v>
      </c>
      <c r="M6837" s="561">
        <v>1205968.0874805818</v>
      </c>
      <c r="N6837" s="561">
        <v>269205.3</v>
      </c>
      <c r="O6837" s="561">
        <v>0</v>
      </c>
      <c r="P6837" s="561">
        <v>936762.7874805819</v>
      </c>
      <c r="Q6837" s="561">
        <v>936762.7899999998</v>
      </c>
    </row>
    <row r="6838" spans="1:55">
      <c r="C6838" s="561" t="s">
        <v>1830</v>
      </c>
      <c r="D6838" s="561">
        <v>1176981.3889005859</v>
      </c>
      <c r="E6838" s="561">
        <v>264670.2</v>
      </c>
      <c r="F6838" s="561">
        <v>912311.18999999983</v>
      </c>
      <c r="G6838" s="561">
        <v>14408</v>
      </c>
      <c r="H6838" s="561">
        <v>1227854.7567905858</v>
      </c>
      <c r="I6838" s="561">
        <v>1735</v>
      </c>
      <c r="J6838" s="561">
        <v>70297.722180915749</v>
      </c>
      <c r="K6838" s="561">
        <v>14398</v>
      </c>
      <c r="L6838" s="561">
        <v>1176981.3889005859</v>
      </c>
      <c r="M6838" s="561">
        <v>1176981.3889005859</v>
      </c>
      <c r="N6838" s="561">
        <v>264670.2</v>
      </c>
      <c r="Q6838" s="561">
        <v>912311.18999999983</v>
      </c>
      <c r="AL6838" s="561">
        <v>912311.18890058598</v>
      </c>
    </row>
    <row r="6839" spans="1:55">
      <c r="C6839" s="561" t="s">
        <v>1198</v>
      </c>
      <c r="D6839" s="561">
        <v>28787.098079995998</v>
      </c>
      <c r="E6839" s="561">
        <v>4535.0999999999995</v>
      </c>
      <c r="F6839" s="561">
        <v>24252</v>
      </c>
      <c r="G6839" s="561">
        <v>74</v>
      </c>
      <c r="H6839" s="561">
        <v>29856.792849996007</v>
      </c>
      <c r="I6839" s="561">
        <v>16</v>
      </c>
      <c r="J6839" s="561">
        <v>5545.9348484943994</v>
      </c>
      <c r="K6839" s="561">
        <v>73</v>
      </c>
      <c r="L6839" s="561">
        <v>28787.098079995998</v>
      </c>
      <c r="M6839" s="561">
        <v>28787.098079995998</v>
      </c>
      <c r="N6839" s="561">
        <v>4535.0999999999995</v>
      </c>
      <c r="P6839" s="561">
        <v>24251.998079995999</v>
      </c>
      <c r="Q6839" s="561">
        <v>24252</v>
      </c>
    </row>
    <row r="6840" spans="1:55">
      <c r="C6840" s="561" t="s">
        <v>1202</v>
      </c>
      <c r="D6840" s="561">
        <v>199.60050000000001</v>
      </c>
      <c r="F6840" s="561">
        <v>199.6</v>
      </c>
      <c r="G6840" s="561">
        <v>112</v>
      </c>
      <c r="H6840" s="561">
        <v>243.59625</v>
      </c>
      <c r="I6840" s="561">
        <v>0</v>
      </c>
      <c r="J6840" s="561">
        <v>0</v>
      </c>
      <c r="K6840" s="561">
        <v>112</v>
      </c>
      <c r="L6840" s="561">
        <v>199.60050000000001</v>
      </c>
      <c r="M6840" s="561">
        <v>199.60050000000001</v>
      </c>
      <c r="P6840" s="561">
        <v>199.60050000000001</v>
      </c>
      <c r="Q6840" s="561">
        <v>199.6</v>
      </c>
    </row>
    <row r="6841" spans="1:55">
      <c r="A6841" s="561">
        <v>5</v>
      </c>
      <c r="B6841" s="561" t="s">
        <v>1831</v>
      </c>
      <c r="C6841" s="561" t="s">
        <v>1267</v>
      </c>
      <c r="D6841" s="561">
        <v>255325.04948498119</v>
      </c>
      <c r="E6841" s="561">
        <v>84743.699999999983</v>
      </c>
      <c r="F6841" s="561">
        <v>170581.34948498121</v>
      </c>
      <c r="G6841" s="561">
        <v>4943</v>
      </c>
      <c r="H6841" s="561">
        <v>259024.78650831449</v>
      </c>
      <c r="I6841" s="561">
        <v>73</v>
      </c>
      <c r="J6841" s="561">
        <v>3571.4695600000005</v>
      </c>
      <c r="K6841" s="561">
        <v>4931</v>
      </c>
      <c r="L6841" s="561">
        <v>255325.04948498119</v>
      </c>
      <c r="M6841" s="561">
        <v>255325.04948498119</v>
      </c>
      <c r="N6841" s="561">
        <v>84743.699999999983</v>
      </c>
      <c r="O6841" s="561">
        <v>0</v>
      </c>
      <c r="P6841" s="561">
        <v>170581.34948498121</v>
      </c>
      <c r="Q6841" s="561">
        <v>170581.34948498121</v>
      </c>
    </row>
    <row r="6842" spans="1:55">
      <c r="C6842" s="561" t="s">
        <v>1197</v>
      </c>
      <c r="D6842" s="561">
        <v>236135.42224745202</v>
      </c>
      <c r="E6842" s="561">
        <v>80988.89999999998</v>
      </c>
      <c r="F6842" s="561">
        <v>155146.52224745206</v>
      </c>
      <c r="G6842" s="561">
        <v>3650</v>
      </c>
      <c r="H6842" s="561">
        <v>239680.003037452</v>
      </c>
      <c r="I6842" s="561">
        <v>48</v>
      </c>
      <c r="J6842" s="561">
        <v>3394.2616600000006</v>
      </c>
      <c r="K6842" s="561">
        <v>3640</v>
      </c>
      <c r="L6842" s="561">
        <v>236135.42224745202</v>
      </c>
      <c r="M6842" s="561">
        <v>236135.42224745202</v>
      </c>
      <c r="N6842" s="561">
        <v>80988.89999999998</v>
      </c>
      <c r="Q6842" s="561">
        <v>155146.52224745206</v>
      </c>
      <c r="AR6842" s="561">
        <v>155146.52224745206</v>
      </c>
    </row>
    <row r="6843" spans="1:55">
      <c r="C6843" s="561" t="s">
        <v>1199</v>
      </c>
      <c r="D6843" s="561">
        <v>19189.627237529166</v>
      </c>
      <c r="E6843" s="561">
        <v>3754.7999999999993</v>
      </c>
      <c r="F6843" s="561">
        <v>15434.827237529167</v>
      </c>
      <c r="G6843" s="561">
        <v>1293</v>
      </c>
      <c r="H6843" s="561">
        <v>19344.783470862498</v>
      </c>
      <c r="I6843" s="561">
        <v>25</v>
      </c>
      <c r="J6843" s="561">
        <v>177.2079</v>
      </c>
      <c r="K6843" s="561">
        <v>1291</v>
      </c>
      <c r="L6843" s="561">
        <v>19189.627237529166</v>
      </c>
      <c r="M6843" s="561">
        <v>19189.627237529166</v>
      </c>
      <c r="N6843" s="561">
        <v>3754.7999999999993</v>
      </c>
      <c r="P6843" s="561">
        <v>15434.827237529167</v>
      </c>
      <c r="Q6843" s="561">
        <v>15434.827237529167</v>
      </c>
    </row>
    <row r="6844" spans="1:55">
      <c r="A6844" s="561">
        <v>6</v>
      </c>
      <c r="B6844" s="561" t="s">
        <v>1832</v>
      </c>
      <c r="C6844" s="561" t="s">
        <v>1267</v>
      </c>
      <c r="D6844" s="561">
        <v>273875.99932057335</v>
      </c>
      <c r="E6844" s="561">
        <v>74635.799999999988</v>
      </c>
      <c r="F6844" s="561">
        <v>199240.19932057339</v>
      </c>
      <c r="G6844" s="561">
        <v>4349</v>
      </c>
      <c r="H6844" s="561">
        <v>286447.13290724001</v>
      </c>
      <c r="I6844" s="561">
        <v>169</v>
      </c>
      <c r="J6844" s="561">
        <v>12705.438220000002</v>
      </c>
      <c r="K6844" s="561">
        <v>4289</v>
      </c>
      <c r="L6844" s="561">
        <v>273875.99932057335</v>
      </c>
      <c r="M6844" s="561">
        <v>273875.99932057335</v>
      </c>
      <c r="N6844" s="561">
        <v>74635.799999999988</v>
      </c>
      <c r="O6844" s="561">
        <v>0</v>
      </c>
      <c r="P6844" s="561">
        <v>199240.19932057339</v>
      </c>
      <c r="Q6844" s="561">
        <v>199240.19932057339</v>
      </c>
    </row>
    <row r="6845" spans="1:55">
      <c r="C6845" s="561" t="s">
        <v>1197</v>
      </c>
      <c r="D6845" s="561">
        <v>250576.20683000004</v>
      </c>
      <c r="E6845" s="561">
        <v>70675.799999999988</v>
      </c>
      <c r="F6845" s="561">
        <v>179900.40683000005</v>
      </c>
      <c r="G6845" s="561">
        <v>3152</v>
      </c>
      <c r="H6845" s="561">
        <v>263086.98713999998</v>
      </c>
      <c r="I6845" s="561">
        <v>165</v>
      </c>
      <c r="J6845" s="561">
        <v>12645.119610000002</v>
      </c>
      <c r="K6845" s="561">
        <v>3093</v>
      </c>
      <c r="L6845" s="561">
        <v>250576.20683000004</v>
      </c>
      <c r="M6845" s="561">
        <v>250576.20683000004</v>
      </c>
      <c r="N6845" s="561">
        <v>70675.799999999988</v>
      </c>
      <c r="Q6845" s="561">
        <v>179900.40683000005</v>
      </c>
      <c r="BA6845" s="561">
        <v>179900.40683000005</v>
      </c>
    </row>
    <row r="6846" spans="1:55">
      <c r="C6846" s="561" t="s">
        <v>1199</v>
      </c>
      <c r="D6846" s="561">
        <v>23299.792490573331</v>
      </c>
      <c r="E6846" s="561">
        <v>3959.9999999999991</v>
      </c>
      <c r="F6846" s="561">
        <v>19339.792490573331</v>
      </c>
      <c r="G6846" s="561">
        <v>1197</v>
      </c>
      <c r="H6846" s="561">
        <v>23360.145767240003</v>
      </c>
      <c r="I6846" s="561">
        <v>4</v>
      </c>
      <c r="J6846" s="561">
        <v>60.31861</v>
      </c>
      <c r="K6846" s="561">
        <v>1196</v>
      </c>
      <c r="L6846" s="561">
        <v>23299.792490573331</v>
      </c>
      <c r="M6846" s="561">
        <v>23299.792490573331</v>
      </c>
      <c r="N6846" s="561">
        <v>3959.9999999999991</v>
      </c>
      <c r="P6846" s="561">
        <v>19339.792490573331</v>
      </c>
      <c r="Q6846" s="561">
        <v>19339.792490573331</v>
      </c>
    </row>
    <row r="6847" spans="1:55">
      <c r="A6847" s="561">
        <v>7</v>
      </c>
      <c r="B6847" s="561" t="s">
        <v>1833</v>
      </c>
      <c r="C6847" s="561" t="s">
        <v>1267</v>
      </c>
      <c r="D6847" s="561">
        <v>226139.89960260451</v>
      </c>
      <c r="E6847" s="561">
        <v>70257</v>
      </c>
      <c r="F6847" s="561">
        <v>155882.89960260451</v>
      </c>
      <c r="G6847" s="561">
        <v>3764</v>
      </c>
      <c r="H6847" s="561">
        <v>232442.88303260453</v>
      </c>
      <c r="I6847" s="561">
        <v>124</v>
      </c>
      <c r="J6847" s="561">
        <v>6312.1509341946048</v>
      </c>
      <c r="K6847" s="561">
        <v>3734</v>
      </c>
      <c r="L6847" s="561">
        <v>226139.89960260451</v>
      </c>
      <c r="M6847" s="561">
        <v>226139.89960260451</v>
      </c>
      <c r="N6847" s="561">
        <v>70257</v>
      </c>
      <c r="O6847" s="561">
        <v>0</v>
      </c>
      <c r="P6847" s="561">
        <v>155882.89960260451</v>
      </c>
      <c r="Q6847" s="561">
        <v>155882.89960260451</v>
      </c>
    </row>
    <row r="6848" spans="1:55">
      <c r="C6848" s="561" t="s">
        <v>1197</v>
      </c>
      <c r="D6848" s="561">
        <v>217617.93894509799</v>
      </c>
      <c r="E6848" s="561">
        <v>68817</v>
      </c>
      <c r="F6848" s="561">
        <v>148800.93894509799</v>
      </c>
      <c r="G6848" s="561">
        <v>3326</v>
      </c>
      <c r="H6848" s="561">
        <v>223837.02964509802</v>
      </c>
      <c r="I6848" s="561">
        <v>113</v>
      </c>
      <c r="J6848" s="561">
        <v>6228.3446941946049</v>
      </c>
      <c r="K6848" s="561">
        <v>3300</v>
      </c>
      <c r="L6848" s="561">
        <v>217617.93894509799</v>
      </c>
      <c r="M6848" s="561">
        <v>217617.93894509799</v>
      </c>
      <c r="N6848" s="561">
        <v>68817</v>
      </c>
      <c r="Q6848" s="561">
        <v>148800.93894509799</v>
      </c>
      <c r="AT6848" s="561">
        <v>148800.93894509799</v>
      </c>
    </row>
    <row r="6849" spans="1:56">
      <c r="C6849" s="561" t="s">
        <v>1199</v>
      </c>
      <c r="D6849" s="561">
        <v>8521.960657506499</v>
      </c>
      <c r="E6849" s="561">
        <v>1440</v>
      </c>
      <c r="F6849" s="561">
        <v>7081.960657506499</v>
      </c>
      <c r="G6849" s="561">
        <v>438</v>
      </c>
      <c r="H6849" s="561">
        <v>8605.8533875065004</v>
      </c>
      <c r="I6849" s="561">
        <v>11</v>
      </c>
      <c r="J6849" s="561">
        <v>83.806240000000003</v>
      </c>
      <c r="K6849" s="561">
        <v>434</v>
      </c>
      <c r="L6849" s="561">
        <v>8521.960657506499</v>
      </c>
      <c r="M6849" s="561">
        <v>8521.960657506499</v>
      </c>
      <c r="N6849" s="561">
        <v>1440</v>
      </c>
      <c r="P6849" s="561">
        <v>7081.960657506499</v>
      </c>
      <c r="Q6849" s="561">
        <v>7081.960657506499</v>
      </c>
    </row>
    <row r="6850" spans="1:56">
      <c r="A6850" s="561">
        <v>8</v>
      </c>
      <c r="B6850" s="561" t="s">
        <v>1834</v>
      </c>
      <c r="C6850" s="561" t="s">
        <v>1267</v>
      </c>
      <c r="D6850" s="561">
        <v>974598.69987999997</v>
      </c>
      <c r="E6850" s="561">
        <v>224250</v>
      </c>
      <c r="F6850" s="561">
        <v>750348.69987999997</v>
      </c>
      <c r="G6850" s="561">
        <v>13503</v>
      </c>
      <c r="H6850" s="561">
        <v>1016065.3985100001</v>
      </c>
      <c r="I6850" s="561">
        <v>1906</v>
      </c>
      <c r="J6850" s="561">
        <v>67334.895626958591</v>
      </c>
      <c r="K6850" s="561">
        <v>13466</v>
      </c>
      <c r="L6850" s="561">
        <v>974598.69987999997</v>
      </c>
      <c r="M6850" s="561">
        <v>974598.69987999997</v>
      </c>
      <c r="N6850" s="561">
        <v>224250</v>
      </c>
      <c r="O6850" s="561">
        <v>0</v>
      </c>
      <c r="P6850" s="561">
        <v>750348.69987999997</v>
      </c>
      <c r="Q6850" s="561">
        <v>750348.69987999997</v>
      </c>
    </row>
    <row r="6851" spans="1:56">
      <c r="C6851" s="561" t="s">
        <v>1197</v>
      </c>
      <c r="D6851" s="561">
        <v>974598.69987999997</v>
      </c>
      <c r="E6851" s="561">
        <v>224250</v>
      </c>
      <c r="F6851" s="561">
        <v>750348.69987999997</v>
      </c>
      <c r="G6851" s="561">
        <v>13503</v>
      </c>
      <c r="H6851" s="561">
        <v>1016065.3985100001</v>
      </c>
      <c r="I6851" s="561">
        <v>1906</v>
      </c>
      <c r="J6851" s="561">
        <v>67334.895626958591</v>
      </c>
      <c r="K6851" s="561">
        <v>13466</v>
      </c>
      <c r="L6851" s="561">
        <v>974598.69987999997</v>
      </c>
      <c r="M6851" s="561">
        <v>974598.69987999997</v>
      </c>
      <c r="N6851" s="561">
        <v>224250</v>
      </c>
      <c r="Q6851" s="561">
        <v>750348.69987999997</v>
      </c>
      <c r="BB6851" s="561">
        <v>750348.69987999997</v>
      </c>
    </row>
    <row r="6852" spans="1:56">
      <c r="A6852" s="561">
        <v>9</v>
      </c>
      <c r="B6852" s="561" t="s">
        <v>1835</v>
      </c>
      <c r="C6852" s="561" t="s">
        <v>1267</v>
      </c>
      <c r="D6852" s="561">
        <v>598778.00010999991</v>
      </c>
      <c r="E6852" s="561">
        <v>164033.39999999997</v>
      </c>
      <c r="F6852" s="561">
        <v>434744.60010999994</v>
      </c>
      <c r="G6852" s="561">
        <v>9381</v>
      </c>
      <c r="H6852" s="561">
        <v>618683.55981999997</v>
      </c>
      <c r="I6852" s="561">
        <v>1269</v>
      </c>
      <c r="J6852" s="561">
        <v>33990.537525274325</v>
      </c>
      <c r="K6852" s="561">
        <v>9370</v>
      </c>
      <c r="L6852" s="561">
        <v>598778.00010999991</v>
      </c>
      <c r="M6852" s="561">
        <v>598778.00010999991</v>
      </c>
      <c r="N6852" s="561">
        <v>164033.39999999997</v>
      </c>
      <c r="O6852" s="561">
        <v>0</v>
      </c>
      <c r="P6852" s="561">
        <v>434744.60010999994</v>
      </c>
      <c r="Q6852" s="561">
        <v>434744.6</v>
      </c>
    </row>
    <row r="6853" spans="1:56">
      <c r="C6853" s="561" t="s">
        <v>1197</v>
      </c>
      <c r="D6853" s="561">
        <v>598778.00010999991</v>
      </c>
      <c r="E6853" s="561">
        <v>164033.39999999997</v>
      </c>
      <c r="F6853" s="561">
        <v>434744.60010999994</v>
      </c>
      <c r="G6853" s="561">
        <v>9381</v>
      </c>
      <c r="H6853" s="561">
        <v>618683.55981999997</v>
      </c>
      <c r="I6853" s="561">
        <v>1269</v>
      </c>
      <c r="J6853" s="561">
        <v>33990.537525274325</v>
      </c>
      <c r="K6853" s="561">
        <v>9370</v>
      </c>
      <c r="L6853" s="561">
        <v>598778.00010999991</v>
      </c>
      <c r="M6853" s="561">
        <v>598778.00010999991</v>
      </c>
      <c r="N6853" s="561">
        <v>164033.39999999997</v>
      </c>
      <c r="Q6853" s="561">
        <v>434744.6</v>
      </c>
      <c r="BB6853" s="561">
        <v>434744.60010999994</v>
      </c>
    </row>
    <row r="6854" spans="1:56">
      <c r="A6854" s="561">
        <v>10</v>
      </c>
      <c r="B6854" s="561" t="s">
        <v>1836</v>
      </c>
      <c r="C6854" s="561" t="s">
        <v>1267</v>
      </c>
      <c r="D6854" s="561">
        <v>691299.9999099999</v>
      </c>
      <c r="E6854" s="561">
        <v>190290</v>
      </c>
      <c r="F6854" s="561">
        <v>501009.9999099999</v>
      </c>
      <c r="G6854" s="561">
        <v>10649</v>
      </c>
      <c r="H6854" s="561">
        <v>788458.05380999984</v>
      </c>
      <c r="I6854" s="561">
        <v>2909</v>
      </c>
      <c r="J6854" s="561">
        <v>115916.9210721229</v>
      </c>
      <c r="K6854" s="561">
        <v>10521</v>
      </c>
      <c r="L6854" s="561">
        <v>691299.9999099999</v>
      </c>
      <c r="M6854" s="561">
        <v>691299.9999099999</v>
      </c>
      <c r="N6854" s="561">
        <v>190290</v>
      </c>
      <c r="O6854" s="561">
        <v>0</v>
      </c>
      <c r="P6854" s="561">
        <v>501009.9999099999</v>
      </c>
      <c r="Q6854" s="561">
        <v>501010</v>
      </c>
    </row>
    <row r="6855" spans="1:56">
      <c r="C6855" s="561" t="s">
        <v>1197</v>
      </c>
      <c r="D6855" s="561">
        <v>691299.9999099999</v>
      </c>
      <c r="E6855" s="561">
        <v>190290</v>
      </c>
      <c r="F6855" s="561">
        <v>501009.9999099999</v>
      </c>
      <c r="G6855" s="561">
        <v>10649</v>
      </c>
      <c r="H6855" s="561">
        <v>788458.05380999984</v>
      </c>
      <c r="I6855" s="561">
        <v>2909</v>
      </c>
      <c r="J6855" s="561">
        <v>115916.9210721229</v>
      </c>
      <c r="K6855" s="561">
        <v>10521</v>
      </c>
      <c r="L6855" s="561">
        <v>691299.9999099999</v>
      </c>
      <c r="M6855" s="561">
        <v>691299.9999099999</v>
      </c>
      <c r="N6855" s="561">
        <v>190290</v>
      </c>
      <c r="Q6855" s="561">
        <v>501010</v>
      </c>
      <c r="BB6855" s="561">
        <v>501009.9999099999</v>
      </c>
    </row>
    <row r="6856" spans="1:56">
      <c r="A6856" s="561">
        <v>11</v>
      </c>
      <c r="B6856" s="561" t="s">
        <v>1837</v>
      </c>
      <c r="C6856" s="561" t="s">
        <v>1267</v>
      </c>
      <c r="D6856" s="561">
        <v>570697</v>
      </c>
      <c r="E6856" s="561">
        <v>146249.99999999997</v>
      </c>
      <c r="F6856" s="561">
        <v>424447</v>
      </c>
      <c r="G6856" s="561">
        <v>9723</v>
      </c>
      <c r="H6856" s="561">
        <v>585556.62882805313</v>
      </c>
      <c r="I6856" s="561">
        <v>1019</v>
      </c>
      <c r="J6856" s="561">
        <v>29283.432967877758</v>
      </c>
      <c r="K6856" s="561">
        <v>9718</v>
      </c>
      <c r="L6856" s="561">
        <v>570697</v>
      </c>
      <c r="M6856" s="561">
        <v>570697</v>
      </c>
      <c r="N6856" s="561">
        <v>146249.99999999997</v>
      </c>
      <c r="O6856" s="561">
        <v>0</v>
      </c>
      <c r="P6856" s="561">
        <v>424447</v>
      </c>
      <c r="Q6856" s="561">
        <v>424447</v>
      </c>
    </row>
    <row r="6857" spans="1:56">
      <c r="C6857" s="561" t="s">
        <v>1197</v>
      </c>
      <c r="D6857" s="561">
        <v>570697</v>
      </c>
      <c r="E6857" s="561">
        <v>146249.99999999997</v>
      </c>
      <c r="F6857" s="561">
        <v>424447</v>
      </c>
      <c r="G6857" s="561">
        <v>9723</v>
      </c>
      <c r="H6857" s="561">
        <v>585556.62882805313</v>
      </c>
      <c r="I6857" s="561">
        <v>1019</v>
      </c>
      <c r="J6857" s="561">
        <v>29283.432967877758</v>
      </c>
      <c r="K6857" s="561">
        <v>9718</v>
      </c>
      <c r="L6857" s="561">
        <v>570697</v>
      </c>
      <c r="M6857" s="561">
        <v>570697</v>
      </c>
      <c r="N6857" s="561">
        <v>146249.99999999997</v>
      </c>
      <c r="Q6857" s="561">
        <v>424447</v>
      </c>
      <c r="BB6857" s="561">
        <v>424447</v>
      </c>
    </row>
    <row r="6858" spans="1:56">
      <c r="B6858" s="561" t="s">
        <v>1838</v>
      </c>
      <c r="D6858" s="561">
        <v>3925613.2419308987</v>
      </c>
      <c r="E6858" s="561">
        <v>1085440.1999999997</v>
      </c>
      <c r="F6858" s="561">
        <v>2840173.069842746</v>
      </c>
      <c r="G6858" s="561">
        <v>75402</v>
      </c>
      <c r="H6858" s="561">
        <v>4121558.617450899</v>
      </c>
      <c r="I6858" s="561">
        <v>8244</v>
      </c>
      <c r="J6858" s="561">
        <v>215775.57821808162</v>
      </c>
      <c r="K6858" s="561">
        <v>74598</v>
      </c>
      <c r="L6858" s="561">
        <v>3925613.2419308987</v>
      </c>
      <c r="M6858" s="561">
        <v>3925613.2419308987</v>
      </c>
      <c r="N6858" s="561">
        <v>1085440.1999999997</v>
      </c>
      <c r="O6858" s="561">
        <v>0</v>
      </c>
      <c r="P6858" s="561">
        <v>2840173.0419308981</v>
      </c>
      <c r="Q6858" s="561">
        <v>2840173.0695841461</v>
      </c>
    </row>
    <row r="6859" spans="1:56">
      <c r="A6859" s="561">
        <v>12</v>
      </c>
      <c r="B6859" s="561" t="s">
        <v>1839</v>
      </c>
      <c r="C6859" s="561" t="s">
        <v>1267</v>
      </c>
      <c r="D6859" s="561">
        <v>1322310.2525217419</v>
      </c>
      <c r="E6859" s="561">
        <v>384929.1</v>
      </c>
      <c r="F6859" s="561">
        <v>937381.15252174193</v>
      </c>
      <c r="G6859" s="561">
        <v>19245</v>
      </c>
      <c r="H6859" s="561">
        <v>1399735.8335617422</v>
      </c>
      <c r="I6859" s="561">
        <v>3103</v>
      </c>
      <c r="J6859" s="561">
        <v>97995.120213646151</v>
      </c>
      <c r="K6859" s="561">
        <v>18968</v>
      </c>
      <c r="L6859" s="561">
        <v>1322310.2525217419</v>
      </c>
      <c r="M6859" s="561">
        <v>1322310.2525217419</v>
      </c>
      <c r="N6859" s="561">
        <v>384929.1</v>
      </c>
      <c r="O6859" s="561">
        <v>0</v>
      </c>
      <c r="P6859" s="561">
        <v>937381.15252174193</v>
      </c>
      <c r="Q6859" s="561">
        <v>937381.15252174193</v>
      </c>
    </row>
    <row r="6860" spans="1:56">
      <c r="C6860" s="561" t="s">
        <v>1197</v>
      </c>
      <c r="D6860" s="561">
        <v>1265692.043632943</v>
      </c>
      <c r="E6860" s="561">
        <v>382950</v>
      </c>
      <c r="F6860" s="561">
        <v>882742.04363294295</v>
      </c>
      <c r="G6860" s="561">
        <v>19037</v>
      </c>
      <c r="H6860" s="561">
        <v>1338134.2597629433</v>
      </c>
      <c r="I6860" s="561">
        <v>3084</v>
      </c>
      <c r="J6860" s="561">
        <v>93396.223586625347</v>
      </c>
      <c r="K6860" s="561">
        <v>18762</v>
      </c>
      <c r="L6860" s="561">
        <v>1265692.043632943</v>
      </c>
      <c r="M6860" s="561">
        <v>1265692.043632943</v>
      </c>
      <c r="N6860" s="561">
        <v>382950</v>
      </c>
      <c r="Q6860" s="561">
        <v>882742.04363294295</v>
      </c>
      <c r="AL6860" s="561">
        <v>882742.04363294295</v>
      </c>
    </row>
    <row r="6861" spans="1:56">
      <c r="C6861" s="561" t="s">
        <v>1198</v>
      </c>
      <c r="D6861" s="561">
        <v>56618.208888798996</v>
      </c>
      <c r="E6861" s="561">
        <v>1979.1</v>
      </c>
      <c r="F6861" s="561">
        <v>54639.108888798997</v>
      </c>
      <c r="G6861" s="561">
        <v>208</v>
      </c>
      <c r="H6861" s="561">
        <v>61601.573798798992</v>
      </c>
      <c r="I6861" s="561">
        <v>19</v>
      </c>
      <c r="J6861" s="561">
        <v>4598.8966270208002</v>
      </c>
      <c r="K6861" s="561">
        <v>206</v>
      </c>
      <c r="L6861" s="561">
        <v>56618.208888798996</v>
      </c>
      <c r="M6861" s="561">
        <v>56618.208888798996</v>
      </c>
      <c r="N6861" s="561">
        <v>1979.1</v>
      </c>
      <c r="P6861" s="561">
        <v>54639.108888798997</v>
      </c>
      <c r="Q6861" s="561">
        <v>54639.108888798997</v>
      </c>
    </row>
    <row r="6862" spans="1:56">
      <c r="A6862" s="561">
        <v>13</v>
      </c>
      <c r="B6862" s="561" t="s">
        <v>1840</v>
      </c>
      <c r="C6862" s="561" t="s">
        <v>1267</v>
      </c>
      <c r="D6862" s="561">
        <v>887196.35018999991</v>
      </c>
      <c r="E6862" s="561">
        <v>224363.99999999997</v>
      </c>
      <c r="F6862" s="561">
        <v>662832.35018999991</v>
      </c>
      <c r="G6862" s="561">
        <v>15413</v>
      </c>
      <c r="H6862" s="561">
        <v>912331.85354000016</v>
      </c>
      <c r="I6862" s="561">
        <v>1083</v>
      </c>
      <c r="J6862" s="561">
        <v>25922.016017140002</v>
      </c>
      <c r="K6862" s="561">
        <v>15332</v>
      </c>
      <c r="L6862" s="561">
        <v>887196.35018999991</v>
      </c>
      <c r="M6862" s="561">
        <v>887196.35018999991</v>
      </c>
      <c r="N6862" s="561">
        <v>224363.99999999997</v>
      </c>
      <c r="O6862" s="561">
        <v>0</v>
      </c>
      <c r="P6862" s="561">
        <v>662832.35018999991</v>
      </c>
      <c r="Q6862" s="561">
        <v>662832.35018999991</v>
      </c>
    </row>
    <row r="6863" spans="1:56">
      <c r="C6863" s="561" t="s">
        <v>1197</v>
      </c>
      <c r="D6863" s="561">
        <v>724816.64784999995</v>
      </c>
      <c r="E6863" s="561">
        <v>196349.99999999997</v>
      </c>
      <c r="F6863" s="561">
        <v>528466.64784999995</v>
      </c>
      <c r="G6863" s="561">
        <v>12756</v>
      </c>
      <c r="H6863" s="561">
        <v>749351.0076400002</v>
      </c>
      <c r="I6863" s="561">
        <v>1061</v>
      </c>
      <c r="J6863" s="561">
        <v>25723.649287140001</v>
      </c>
      <c r="K6863" s="561">
        <v>12715</v>
      </c>
      <c r="L6863" s="561">
        <v>724816.64784999995</v>
      </c>
      <c r="M6863" s="561">
        <v>724816.64784999995</v>
      </c>
      <c r="N6863" s="561">
        <v>196349.99999999997</v>
      </c>
      <c r="Q6863" s="561">
        <v>528466.64784999995</v>
      </c>
      <c r="BD6863" s="561">
        <v>528466.64784999995</v>
      </c>
    </row>
    <row r="6864" spans="1:56">
      <c r="C6864" s="561" t="s">
        <v>1199</v>
      </c>
      <c r="D6864" s="561">
        <v>162379.70233999996</v>
      </c>
      <c r="E6864" s="561">
        <v>28014</v>
      </c>
      <c r="F6864" s="561">
        <v>134365.70233999996</v>
      </c>
      <c r="G6864" s="561">
        <v>2657</v>
      </c>
      <c r="H6864" s="561">
        <v>162980.84589999999</v>
      </c>
      <c r="I6864" s="561">
        <v>22</v>
      </c>
      <c r="J6864" s="561">
        <v>198.3667300000009</v>
      </c>
      <c r="K6864" s="561">
        <v>2617</v>
      </c>
      <c r="L6864" s="561">
        <v>162379.70233999996</v>
      </c>
      <c r="M6864" s="561">
        <v>162379.70233999996</v>
      </c>
      <c r="N6864" s="561">
        <v>28014</v>
      </c>
      <c r="P6864" s="561">
        <v>134365.70233999996</v>
      </c>
      <c r="Q6864" s="561">
        <v>134365.70233999996</v>
      </c>
    </row>
    <row r="6865" spans="1:54">
      <c r="A6865" s="561">
        <v>14</v>
      </c>
      <c r="B6865" s="561" t="s">
        <v>1841</v>
      </c>
      <c r="C6865" s="561" t="s">
        <v>1267</v>
      </c>
      <c r="D6865" s="561">
        <v>400578.00025860005</v>
      </c>
      <c r="E6865" s="561">
        <v>170247.6</v>
      </c>
      <c r="F6865" s="561">
        <v>230330.40025860004</v>
      </c>
      <c r="G6865" s="561">
        <v>7473</v>
      </c>
      <c r="H6865" s="561">
        <v>427110.00773859996</v>
      </c>
      <c r="I6865" s="561">
        <v>1090</v>
      </c>
      <c r="J6865" s="561">
        <v>26174.457789807002</v>
      </c>
      <c r="K6865" s="561">
        <v>7464</v>
      </c>
      <c r="L6865" s="561">
        <v>400578.00025860005</v>
      </c>
      <c r="M6865" s="561">
        <v>400578.00025860005</v>
      </c>
      <c r="N6865" s="561">
        <v>170247.6</v>
      </c>
      <c r="O6865" s="561">
        <v>0</v>
      </c>
      <c r="P6865" s="561">
        <v>230330.40025860004</v>
      </c>
      <c r="Q6865" s="561">
        <v>230330.40000000002</v>
      </c>
    </row>
    <row r="6866" spans="1:54">
      <c r="C6866" s="561" t="s">
        <v>1197</v>
      </c>
      <c r="D6866" s="561">
        <v>400578.00025860005</v>
      </c>
      <c r="E6866" s="561">
        <v>170247.6</v>
      </c>
      <c r="F6866" s="561">
        <v>230330.40025860004</v>
      </c>
      <c r="G6866" s="561">
        <v>7473</v>
      </c>
      <c r="H6866" s="561">
        <v>427110.00773859996</v>
      </c>
      <c r="I6866" s="561">
        <v>1090</v>
      </c>
      <c r="J6866" s="561">
        <v>26174.457789807002</v>
      </c>
      <c r="K6866" s="561">
        <v>7464</v>
      </c>
      <c r="L6866" s="561">
        <v>400578.00025860005</v>
      </c>
      <c r="M6866" s="561">
        <v>400578.00025860005</v>
      </c>
      <c r="N6866" s="561">
        <v>170247.6</v>
      </c>
      <c r="Q6866" s="561">
        <v>230330.40000000002</v>
      </c>
      <c r="BB6866" s="561">
        <v>230330.40025860004</v>
      </c>
    </row>
    <row r="6867" spans="1:54">
      <c r="A6867" s="561">
        <v>15</v>
      </c>
      <c r="B6867" s="561" t="s">
        <v>1842</v>
      </c>
      <c r="C6867" s="561" t="s">
        <v>1267</v>
      </c>
      <c r="D6867" s="561">
        <v>529741.76623147202</v>
      </c>
      <c r="E6867" s="561">
        <v>114030</v>
      </c>
      <c r="F6867" s="561">
        <v>415711.76623147202</v>
      </c>
      <c r="G6867" s="561">
        <v>8186</v>
      </c>
      <c r="H6867" s="561">
        <v>566928.79296147206</v>
      </c>
      <c r="I6867" s="561">
        <v>1702</v>
      </c>
      <c r="J6867" s="561">
        <v>39069.992231976503</v>
      </c>
      <c r="K6867" s="561">
        <v>8151</v>
      </c>
      <c r="L6867" s="561">
        <v>529741.76623147202</v>
      </c>
      <c r="M6867" s="561">
        <v>529741.76623147202</v>
      </c>
      <c r="N6867" s="561">
        <v>114030</v>
      </c>
      <c r="O6867" s="561">
        <v>0</v>
      </c>
      <c r="P6867" s="561">
        <v>415711.76623147202</v>
      </c>
      <c r="Q6867" s="561">
        <v>415711.76623147202</v>
      </c>
    </row>
    <row r="6868" spans="1:54">
      <c r="C6868" s="561" t="s">
        <v>1197</v>
      </c>
      <c r="D6868" s="561">
        <v>510075.44698657602</v>
      </c>
      <c r="E6868" s="561">
        <v>111150</v>
      </c>
      <c r="F6868" s="561">
        <v>398925.44698657602</v>
      </c>
      <c r="G6868" s="561">
        <v>7046</v>
      </c>
      <c r="H6868" s="561">
        <v>547048.78936657601</v>
      </c>
      <c r="I6868" s="561">
        <v>1582</v>
      </c>
      <c r="J6868" s="561">
        <v>38837.477191976504</v>
      </c>
      <c r="K6868" s="561">
        <v>7013</v>
      </c>
      <c r="L6868" s="561">
        <v>510075.44698657602</v>
      </c>
      <c r="M6868" s="561">
        <v>510075.44698657602</v>
      </c>
      <c r="N6868" s="561">
        <v>111150</v>
      </c>
      <c r="Q6868" s="561">
        <v>398925.44698657602</v>
      </c>
      <c r="AL6868" s="561">
        <v>398925.44698657602</v>
      </c>
    </row>
    <row r="6869" spans="1:54">
      <c r="C6869" s="561" t="s">
        <v>1199</v>
      </c>
      <c r="D6869" s="561">
        <v>19666.319244896</v>
      </c>
      <c r="E6869" s="561">
        <v>2880</v>
      </c>
      <c r="F6869" s="561">
        <v>16786.319244896</v>
      </c>
      <c r="G6869" s="561">
        <v>1140</v>
      </c>
      <c r="H6869" s="561">
        <v>19880.003594896003</v>
      </c>
      <c r="I6869" s="561">
        <v>120</v>
      </c>
      <c r="J6869" s="561">
        <v>232.51504000000011</v>
      </c>
      <c r="K6869" s="561">
        <v>1138</v>
      </c>
      <c r="L6869" s="561">
        <v>19666.319244896</v>
      </c>
      <c r="M6869" s="561">
        <v>19666.319244896</v>
      </c>
      <c r="N6869" s="561">
        <v>2880</v>
      </c>
      <c r="P6869" s="561">
        <v>16786.319244896</v>
      </c>
      <c r="Q6869" s="561">
        <v>16786.319244896</v>
      </c>
    </row>
    <row r="6870" spans="1:54">
      <c r="A6870" s="561">
        <v>16</v>
      </c>
      <c r="B6870" s="561" t="s">
        <v>1843</v>
      </c>
      <c r="C6870" s="561" t="s">
        <v>1267</v>
      </c>
      <c r="D6870" s="561">
        <v>88684.499969679979</v>
      </c>
      <c r="E6870" s="561">
        <v>19681.5</v>
      </c>
      <c r="F6870" s="561">
        <v>69002.999969679979</v>
      </c>
      <c r="G6870" s="561">
        <v>2195</v>
      </c>
      <c r="H6870" s="561">
        <v>93259.332369680022</v>
      </c>
      <c r="I6870" s="561">
        <v>120</v>
      </c>
      <c r="J6870" s="561">
        <v>4595.3468900000007</v>
      </c>
      <c r="K6870" s="561">
        <v>2186</v>
      </c>
      <c r="L6870" s="561">
        <v>88684.499969679979</v>
      </c>
      <c r="M6870" s="561">
        <v>88684.499969679979</v>
      </c>
      <c r="N6870" s="561">
        <v>19681.5</v>
      </c>
      <c r="O6870" s="561">
        <v>0</v>
      </c>
      <c r="P6870" s="561">
        <v>69002.999969679979</v>
      </c>
      <c r="Q6870" s="561">
        <v>69002.999969679979</v>
      </c>
    </row>
    <row r="6871" spans="1:54">
      <c r="C6871" s="561" t="s">
        <v>1197</v>
      </c>
      <c r="D6871" s="561">
        <v>74057.874932379986</v>
      </c>
      <c r="E6871" s="561">
        <v>15361.500000000002</v>
      </c>
      <c r="F6871" s="561">
        <v>58696.374932379986</v>
      </c>
      <c r="G6871" s="561">
        <v>1074</v>
      </c>
      <c r="H6871" s="561">
        <v>78499.195422380028</v>
      </c>
      <c r="I6871" s="561">
        <v>89</v>
      </c>
      <c r="J6871" s="561">
        <v>4441.3199700000005</v>
      </c>
      <c r="K6871" s="561">
        <v>1067</v>
      </c>
      <c r="L6871" s="561">
        <v>74057.874932379986</v>
      </c>
      <c r="M6871" s="561">
        <v>74057.874932379986</v>
      </c>
      <c r="N6871" s="561">
        <v>15361.500000000002</v>
      </c>
      <c r="Q6871" s="561">
        <v>58696.374932379986</v>
      </c>
      <c r="AL6871" s="561">
        <v>58696.374932379986</v>
      </c>
    </row>
    <row r="6872" spans="1:54">
      <c r="C6872" s="561" t="s">
        <v>1199</v>
      </c>
      <c r="D6872" s="561">
        <v>14626.6250373</v>
      </c>
      <c r="E6872" s="561">
        <v>4319.9999999999991</v>
      </c>
      <c r="F6872" s="561">
        <v>10306.6250373</v>
      </c>
      <c r="G6872" s="561">
        <v>1121</v>
      </c>
      <c r="H6872" s="561">
        <v>14760.1369473</v>
      </c>
      <c r="I6872" s="561">
        <v>31</v>
      </c>
      <c r="J6872" s="561">
        <v>154.0269199999999</v>
      </c>
      <c r="K6872" s="561">
        <v>1119</v>
      </c>
      <c r="L6872" s="561">
        <v>14626.6250373</v>
      </c>
      <c r="M6872" s="561">
        <v>14626.6250373</v>
      </c>
      <c r="N6872" s="561">
        <v>4319.9999999999991</v>
      </c>
      <c r="P6872" s="561">
        <v>10306.6250373</v>
      </c>
      <c r="Q6872" s="561">
        <v>10306.6250373</v>
      </c>
    </row>
    <row r="6873" spans="1:54">
      <c r="A6873" s="561">
        <v>17</v>
      </c>
      <c r="B6873" s="561" t="s">
        <v>1844</v>
      </c>
      <c r="C6873" s="561" t="s">
        <v>1267</v>
      </c>
      <c r="D6873" s="561">
        <v>266777.94974000001</v>
      </c>
      <c r="E6873" s="561">
        <v>76609.199999999983</v>
      </c>
      <c r="F6873" s="561">
        <v>190168.74936000005</v>
      </c>
      <c r="G6873" s="561">
        <v>1203</v>
      </c>
      <c r="H6873" s="561">
        <v>269939.95752</v>
      </c>
      <c r="I6873" s="561">
        <v>51</v>
      </c>
      <c r="J6873" s="561">
        <v>3214.8523400000004</v>
      </c>
      <c r="K6873" s="561">
        <v>1188</v>
      </c>
      <c r="L6873" s="561">
        <v>266777.94974000001</v>
      </c>
      <c r="M6873" s="561">
        <v>266777.94974000001</v>
      </c>
      <c r="N6873" s="561">
        <v>76609.199999999983</v>
      </c>
      <c r="O6873" s="561">
        <v>0</v>
      </c>
      <c r="P6873" s="561">
        <v>190168.74974000006</v>
      </c>
      <c r="Q6873" s="561">
        <v>190168.74936000005</v>
      </c>
    </row>
    <row r="6874" spans="1:54">
      <c r="C6874" s="561" t="s">
        <v>1197</v>
      </c>
      <c r="D6874" s="561">
        <v>27178.02721</v>
      </c>
      <c r="E6874" s="561">
        <v>5741.9999999999991</v>
      </c>
      <c r="F6874" s="561">
        <v>21436.02721</v>
      </c>
      <c r="G6874" s="561">
        <v>380</v>
      </c>
      <c r="H6874" s="561">
        <v>27897.107560000004</v>
      </c>
      <c r="I6874" s="561">
        <v>34</v>
      </c>
      <c r="J6874" s="561">
        <v>1041.60942</v>
      </c>
      <c r="K6874" s="561">
        <v>379</v>
      </c>
      <c r="L6874" s="561">
        <v>27178.02721</v>
      </c>
      <c r="M6874" s="561">
        <v>27178.02721</v>
      </c>
      <c r="N6874" s="561">
        <v>5741.9999999999991</v>
      </c>
      <c r="Q6874" s="561">
        <v>21436.02721</v>
      </c>
      <c r="AL6874" s="561">
        <v>21436.02721</v>
      </c>
    </row>
    <row r="6875" spans="1:54">
      <c r="C6875" s="561" t="s">
        <v>1199</v>
      </c>
      <c r="D6875" s="561">
        <v>218719.43315000003</v>
      </c>
      <c r="E6875" s="561">
        <v>60965.999999999985</v>
      </c>
      <c r="F6875" s="561">
        <v>157753.43315000006</v>
      </c>
      <c r="G6875" s="561">
        <v>768</v>
      </c>
      <c r="H6875" s="561">
        <v>220757.48816000001</v>
      </c>
      <c r="I6875" s="561">
        <v>14</v>
      </c>
      <c r="J6875" s="561">
        <v>2038.0550100000007</v>
      </c>
      <c r="K6875" s="561">
        <v>755</v>
      </c>
      <c r="L6875" s="561">
        <v>218719.43315000003</v>
      </c>
      <c r="M6875" s="561">
        <v>218719.43315000003</v>
      </c>
      <c r="N6875" s="561">
        <v>60965.999999999985</v>
      </c>
      <c r="P6875" s="561">
        <v>157753.43315000006</v>
      </c>
      <c r="Q6875" s="561">
        <v>157753.43315000006</v>
      </c>
    </row>
    <row r="6876" spans="1:54">
      <c r="C6876" s="561" t="s">
        <v>1198</v>
      </c>
      <c r="D6876" s="561">
        <v>20880.489380000003</v>
      </c>
      <c r="E6876" s="561">
        <v>9901.2000000000007</v>
      </c>
      <c r="F6876" s="561">
        <v>10979.289000000001</v>
      </c>
      <c r="G6876" s="561">
        <v>55</v>
      </c>
      <c r="H6876" s="561">
        <v>21285.361800000002</v>
      </c>
      <c r="I6876" s="561">
        <v>3</v>
      </c>
      <c r="J6876" s="561">
        <v>135.1879099999997</v>
      </c>
      <c r="K6876" s="561">
        <v>54</v>
      </c>
      <c r="L6876" s="561">
        <v>20880.489380000003</v>
      </c>
      <c r="M6876" s="561">
        <v>20880.489380000003</v>
      </c>
      <c r="N6876" s="561">
        <v>9901.2000000000007</v>
      </c>
      <c r="P6876" s="561">
        <v>10979.289380000002</v>
      </c>
      <c r="Q6876" s="561">
        <v>10979.289000000001</v>
      </c>
    </row>
    <row r="6877" spans="1:54">
      <c r="A6877" s="561">
        <v>18</v>
      </c>
      <c r="B6877" s="561" t="s">
        <v>1845</v>
      </c>
      <c r="C6877" s="561" t="s">
        <v>1267</v>
      </c>
      <c r="D6877" s="561">
        <v>31144.999700646502</v>
      </c>
      <c r="E6877" s="561">
        <v>9343.4999999999982</v>
      </c>
      <c r="F6877" s="561">
        <v>21801.499840646502</v>
      </c>
      <c r="G6877" s="561">
        <v>1802</v>
      </c>
      <c r="H6877" s="561">
        <v>33679.476940646506</v>
      </c>
      <c r="I6877" s="561">
        <v>23</v>
      </c>
      <c r="J6877" s="561">
        <v>2534.47723</v>
      </c>
      <c r="K6877" s="561">
        <v>1798</v>
      </c>
      <c r="L6877" s="561">
        <v>31144.999700646502</v>
      </c>
      <c r="M6877" s="561">
        <v>31144.999700646502</v>
      </c>
      <c r="N6877" s="561">
        <v>9343.4999999999982</v>
      </c>
      <c r="O6877" s="561">
        <v>0</v>
      </c>
      <c r="P6877" s="561">
        <v>21801.499700646506</v>
      </c>
      <c r="Q6877" s="561">
        <v>21801.499840646502</v>
      </c>
    </row>
    <row r="6878" spans="1:54">
      <c r="C6878" s="561" t="s">
        <v>1197</v>
      </c>
      <c r="D6878" s="561">
        <v>13020.131627266001</v>
      </c>
      <c r="E6878" s="561">
        <v>3943.4999999999986</v>
      </c>
      <c r="F6878" s="561">
        <v>9076.6316272660024</v>
      </c>
      <c r="G6878" s="561">
        <v>269</v>
      </c>
      <c r="H6878" s="561">
        <v>14845.900437266002</v>
      </c>
      <c r="I6878" s="561">
        <v>11</v>
      </c>
      <c r="J6878" s="561">
        <v>1825.7687999999998</v>
      </c>
      <c r="K6878" s="561">
        <v>267</v>
      </c>
      <c r="L6878" s="561">
        <v>13020.131627266001</v>
      </c>
      <c r="M6878" s="561">
        <v>13020.131627266001</v>
      </c>
      <c r="N6878" s="561">
        <v>3943.4999999999986</v>
      </c>
      <c r="Q6878" s="561">
        <v>9076.6316272660024</v>
      </c>
      <c r="AL6878" s="561">
        <v>9076.6316272660024</v>
      </c>
    </row>
    <row r="6879" spans="1:54">
      <c r="C6879" s="561" t="s">
        <v>1199</v>
      </c>
      <c r="D6879" s="561">
        <v>18124.868073380501</v>
      </c>
      <c r="E6879" s="561">
        <v>5399.9999999999991</v>
      </c>
      <c r="F6879" s="561">
        <v>12724.868213380498</v>
      </c>
      <c r="G6879" s="561">
        <v>1533</v>
      </c>
      <c r="H6879" s="561">
        <v>18833.5765033805</v>
      </c>
      <c r="I6879" s="561">
        <v>12</v>
      </c>
      <c r="J6879" s="561">
        <v>708.70843000000013</v>
      </c>
      <c r="K6879" s="561">
        <v>1531</v>
      </c>
      <c r="L6879" s="561">
        <v>18124.868073380501</v>
      </c>
      <c r="M6879" s="561">
        <v>18124.868073380501</v>
      </c>
      <c r="N6879" s="561">
        <v>5399.9999999999991</v>
      </c>
      <c r="P6879" s="561">
        <v>12724.868073380501</v>
      </c>
      <c r="Q6879" s="561">
        <v>12724.868213380498</v>
      </c>
    </row>
    <row r="6880" spans="1:54">
      <c r="A6880" s="561">
        <v>19</v>
      </c>
      <c r="B6880" s="561" t="s">
        <v>1846</v>
      </c>
      <c r="C6880" s="561" t="s">
        <v>1267</v>
      </c>
      <c r="D6880" s="561">
        <v>5499.9998536920002</v>
      </c>
      <c r="E6880" s="561">
        <v>1650</v>
      </c>
      <c r="F6880" s="561">
        <v>3850</v>
      </c>
      <c r="G6880" s="561">
        <v>84</v>
      </c>
      <c r="H6880" s="561">
        <v>5595.2658736920002</v>
      </c>
      <c r="I6880" s="561">
        <v>5</v>
      </c>
      <c r="J6880" s="561">
        <v>-67.027979999999928</v>
      </c>
      <c r="K6880" s="561">
        <v>84</v>
      </c>
      <c r="L6880" s="561">
        <v>5499.9998536920002</v>
      </c>
      <c r="M6880" s="561">
        <v>5499.9998536920002</v>
      </c>
      <c r="N6880" s="561">
        <v>1650</v>
      </c>
      <c r="O6880" s="561">
        <v>0</v>
      </c>
      <c r="P6880" s="561">
        <v>3849.9998536920002</v>
      </c>
      <c r="Q6880" s="561">
        <v>3850</v>
      </c>
    </row>
    <row r="6881" spans="1:38">
      <c r="C6881" s="561" t="s">
        <v>1197</v>
      </c>
      <c r="D6881" s="561">
        <v>5499.9998536920002</v>
      </c>
      <c r="E6881" s="561">
        <v>1650</v>
      </c>
      <c r="F6881" s="561">
        <v>3850</v>
      </c>
      <c r="G6881" s="561">
        <v>84</v>
      </c>
      <c r="H6881" s="561">
        <v>5595.2658736920002</v>
      </c>
      <c r="I6881" s="561">
        <v>5</v>
      </c>
      <c r="J6881" s="561">
        <v>-67.027979999999928</v>
      </c>
      <c r="K6881" s="561">
        <v>84</v>
      </c>
      <c r="L6881" s="561">
        <v>5499.9998536920002</v>
      </c>
      <c r="M6881" s="561">
        <v>5499.9998536920002</v>
      </c>
      <c r="N6881" s="561">
        <v>1650</v>
      </c>
      <c r="Q6881" s="561">
        <v>3850</v>
      </c>
      <c r="AL6881" s="561">
        <v>3849.9998536920002</v>
      </c>
    </row>
    <row r="6882" spans="1:38">
      <c r="A6882" s="561">
        <v>20</v>
      </c>
      <c r="B6882" s="561" t="s">
        <v>1847</v>
      </c>
      <c r="C6882" s="561" t="s">
        <v>1267</v>
      </c>
      <c r="D6882" s="561">
        <v>57827.800070605997</v>
      </c>
      <c r="E6882" s="561">
        <v>2175</v>
      </c>
      <c r="F6882" s="561">
        <v>55652.826470606</v>
      </c>
      <c r="G6882" s="561">
        <v>91</v>
      </c>
      <c r="H6882" s="561">
        <v>58369.518330605999</v>
      </c>
      <c r="I6882" s="561">
        <v>4</v>
      </c>
      <c r="J6882" s="561">
        <v>541.64348000000007</v>
      </c>
      <c r="K6882" s="561">
        <v>90</v>
      </c>
      <c r="L6882" s="561">
        <v>57827.800070605997</v>
      </c>
      <c r="M6882" s="561">
        <v>57827.800070605997</v>
      </c>
      <c r="N6882" s="561">
        <v>2175</v>
      </c>
      <c r="O6882" s="561">
        <v>0</v>
      </c>
      <c r="P6882" s="561">
        <v>55652.800070605997</v>
      </c>
      <c r="Q6882" s="561">
        <v>55652.826470606</v>
      </c>
    </row>
    <row r="6883" spans="1:38">
      <c r="C6883" s="561" t="s">
        <v>1197</v>
      </c>
      <c r="D6883" s="561">
        <v>1586.898850606</v>
      </c>
      <c r="E6883" s="561">
        <v>494.99999999999989</v>
      </c>
      <c r="F6883" s="561">
        <v>1091.9253806060001</v>
      </c>
      <c r="G6883" s="561">
        <v>15</v>
      </c>
      <c r="H6883" s="561">
        <v>1760.4511106060002</v>
      </c>
      <c r="I6883" s="561">
        <v>3</v>
      </c>
      <c r="J6883" s="561">
        <v>173.47797</v>
      </c>
      <c r="K6883" s="561">
        <v>14</v>
      </c>
      <c r="L6883" s="561">
        <v>1586.898850606</v>
      </c>
      <c r="M6883" s="561">
        <v>1586.898850606</v>
      </c>
      <c r="N6883" s="561">
        <v>494.99999999999989</v>
      </c>
      <c r="Q6883" s="561">
        <v>1091.9253806060001</v>
      </c>
      <c r="AL6883" s="561">
        <v>1091.898850606</v>
      </c>
    </row>
    <row r="6884" spans="1:38">
      <c r="C6884" s="561" t="s">
        <v>1198</v>
      </c>
      <c r="D6884" s="561">
        <v>56240.90122</v>
      </c>
      <c r="E6884" s="561">
        <v>1680</v>
      </c>
      <c r="F6884" s="561">
        <v>54560.901089999999</v>
      </c>
      <c r="G6884" s="561">
        <v>76</v>
      </c>
      <c r="H6884" s="561">
        <v>56609.067219999997</v>
      </c>
      <c r="I6884" s="561">
        <v>1</v>
      </c>
      <c r="J6884" s="561">
        <v>368.1655100000001</v>
      </c>
      <c r="K6884" s="561">
        <v>76</v>
      </c>
      <c r="L6884" s="561">
        <v>56240.90122</v>
      </c>
      <c r="M6884" s="561">
        <v>56240.90122</v>
      </c>
      <c r="N6884" s="561">
        <v>1680</v>
      </c>
      <c r="P6884" s="561">
        <v>54560.90122</v>
      </c>
      <c r="Q6884" s="561">
        <v>54560.901089999999</v>
      </c>
    </row>
    <row r="6885" spans="1:38">
      <c r="A6885" s="561">
        <v>21</v>
      </c>
      <c r="B6885" s="561" t="s">
        <v>1848</v>
      </c>
      <c r="C6885" s="561" t="s">
        <v>1267</v>
      </c>
      <c r="D6885" s="561">
        <v>12609.999832705831</v>
      </c>
      <c r="E6885" s="561">
        <v>3239.9999999999986</v>
      </c>
      <c r="F6885" s="561">
        <v>9370.0000000000036</v>
      </c>
      <c r="G6885" s="561">
        <v>909</v>
      </c>
      <c r="H6885" s="561">
        <v>13072.479812705833</v>
      </c>
      <c r="I6885" s="561">
        <v>25</v>
      </c>
      <c r="J6885" s="561">
        <v>462.47976999999992</v>
      </c>
      <c r="K6885" s="561">
        <v>903</v>
      </c>
      <c r="L6885" s="561">
        <v>12609.999832705831</v>
      </c>
      <c r="M6885" s="561">
        <v>12609.999832705831</v>
      </c>
      <c r="N6885" s="561">
        <v>3239.9999999999986</v>
      </c>
      <c r="O6885" s="561">
        <v>0</v>
      </c>
      <c r="P6885" s="561">
        <v>9369.9998327058329</v>
      </c>
      <c r="Q6885" s="561">
        <v>9370.0000000000036</v>
      </c>
    </row>
    <row r="6886" spans="1:38">
      <c r="C6886" s="561" t="s">
        <v>1199</v>
      </c>
      <c r="D6886" s="561">
        <v>12609.999832705831</v>
      </c>
      <c r="E6886" s="561">
        <v>3239.9999999999986</v>
      </c>
      <c r="F6886" s="561">
        <v>9370.0000000000036</v>
      </c>
      <c r="G6886" s="561">
        <v>909</v>
      </c>
      <c r="H6886" s="561">
        <v>13072.479812705833</v>
      </c>
      <c r="I6886" s="561">
        <v>25</v>
      </c>
      <c r="J6886" s="561">
        <v>462.47976999999992</v>
      </c>
      <c r="K6886" s="561">
        <v>903</v>
      </c>
      <c r="L6886" s="561">
        <v>12609.999832705831</v>
      </c>
      <c r="M6886" s="561">
        <v>12609.999832705831</v>
      </c>
      <c r="N6886" s="561">
        <v>3239.9999999999986</v>
      </c>
      <c r="P6886" s="561">
        <v>9369.9998327058329</v>
      </c>
      <c r="Q6886" s="561">
        <v>9370.0000000000036</v>
      </c>
    </row>
    <row r="6887" spans="1:38">
      <c r="A6887" s="561">
        <v>22</v>
      </c>
      <c r="B6887" s="561" t="s">
        <v>1849</v>
      </c>
      <c r="C6887" s="561" t="s">
        <v>1267</v>
      </c>
      <c r="D6887" s="561">
        <v>10135.899853947501</v>
      </c>
      <c r="E6887" s="561">
        <v>2699.9999999999995</v>
      </c>
      <c r="F6887" s="561">
        <v>7435.9000000000005</v>
      </c>
      <c r="G6887" s="561">
        <v>749</v>
      </c>
      <c r="H6887" s="561">
        <v>11810.404973947499</v>
      </c>
      <c r="I6887" s="561">
        <v>60</v>
      </c>
      <c r="J6887" s="561">
        <v>1674.5050400000002</v>
      </c>
      <c r="K6887" s="561">
        <v>700</v>
      </c>
      <c r="L6887" s="561">
        <v>10135.899853947501</v>
      </c>
      <c r="M6887" s="561">
        <v>10135.899853947501</v>
      </c>
      <c r="N6887" s="561">
        <v>2699.9999999999995</v>
      </c>
      <c r="O6887" s="561">
        <v>0</v>
      </c>
      <c r="P6887" s="561">
        <v>7435.8998539475015</v>
      </c>
      <c r="Q6887" s="561">
        <v>7435.9000000000005</v>
      </c>
    </row>
    <row r="6888" spans="1:38">
      <c r="C6888" s="561" t="s">
        <v>1199</v>
      </c>
      <c r="D6888" s="561">
        <v>10135.899853947501</v>
      </c>
      <c r="E6888" s="561">
        <v>2699.9999999999995</v>
      </c>
      <c r="F6888" s="561">
        <v>7435.9000000000005</v>
      </c>
      <c r="G6888" s="561">
        <v>749</v>
      </c>
      <c r="H6888" s="561">
        <v>11810.404973947499</v>
      </c>
      <c r="I6888" s="561">
        <v>60</v>
      </c>
      <c r="J6888" s="561">
        <v>1674.5050400000002</v>
      </c>
      <c r="K6888" s="561">
        <v>700</v>
      </c>
      <c r="L6888" s="561">
        <v>10135.899853947501</v>
      </c>
      <c r="M6888" s="561">
        <v>10135.899853947501</v>
      </c>
      <c r="N6888" s="561">
        <v>2699.9999999999995</v>
      </c>
      <c r="P6888" s="561">
        <v>7435.8998539475015</v>
      </c>
      <c r="Q6888" s="561">
        <v>7435.9000000000005</v>
      </c>
    </row>
    <row r="6889" spans="1:38">
      <c r="A6889" s="561">
        <v>23</v>
      </c>
      <c r="B6889" s="561" t="s">
        <v>1850</v>
      </c>
      <c r="C6889" s="561" t="s">
        <v>1267</v>
      </c>
      <c r="D6889" s="561">
        <v>13545.000222427669</v>
      </c>
      <c r="E6889" s="561">
        <v>3779.9999999999991</v>
      </c>
      <c r="F6889" s="561">
        <v>9765</v>
      </c>
      <c r="G6889" s="561">
        <v>1050</v>
      </c>
      <c r="H6889" s="561">
        <v>13647.226102427669</v>
      </c>
      <c r="I6889" s="561">
        <v>9</v>
      </c>
      <c r="J6889" s="561">
        <v>102.22588000000002</v>
      </c>
      <c r="K6889" s="561">
        <v>1050</v>
      </c>
      <c r="L6889" s="561">
        <v>13545.000222427669</v>
      </c>
      <c r="M6889" s="561">
        <v>13545.000222427669</v>
      </c>
      <c r="N6889" s="561">
        <v>3779.9999999999991</v>
      </c>
      <c r="O6889" s="561">
        <v>0</v>
      </c>
      <c r="P6889" s="561">
        <v>9765.0002224276686</v>
      </c>
      <c r="Q6889" s="561">
        <v>9765</v>
      </c>
    </row>
    <row r="6890" spans="1:38">
      <c r="C6890" s="561" t="s">
        <v>1199</v>
      </c>
      <c r="D6890" s="561">
        <v>13545.000222427669</v>
      </c>
      <c r="E6890" s="561">
        <v>3779.9999999999991</v>
      </c>
      <c r="F6890" s="561">
        <v>9765</v>
      </c>
      <c r="G6890" s="561">
        <v>1050</v>
      </c>
      <c r="H6890" s="561">
        <v>13647.226102427669</v>
      </c>
      <c r="I6890" s="561">
        <v>9</v>
      </c>
      <c r="J6890" s="561">
        <v>102.22588000000002</v>
      </c>
      <c r="K6890" s="561">
        <v>1050</v>
      </c>
      <c r="L6890" s="561">
        <v>13545.000222427669</v>
      </c>
      <c r="M6890" s="561">
        <v>13545.000222427669</v>
      </c>
      <c r="N6890" s="561">
        <v>3779.9999999999991</v>
      </c>
      <c r="P6890" s="561">
        <v>9765.0002224276686</v>
      </c>
      <c r="Q6890" s="561">
        <v>9765</v>
      </c>
    </row>
    <row r="6891" spans="1:38">
      <c r="A6891" s="561">
        <v>24</v>
      </c>
      <c r="B6891" s="561" t="s">
        <v>1851</v>
      </c>
      <c r="C6891" s="561" t="s">
        <v>1267</v>
      </c>
      <c r="D6891" s="561">
        <v>11784.3004935545</v>
      </c>
      <c r="E6891" s="561">
        <v>2880</v>
      </c>
      <c r="F6891" s="561">
        <v>8904.2999999999993</v>
      </c>
      <c r="G6891" s="561">
        <v>820</v>
      </c>
      <c r="H6891" s="561">
        <v>12359.544823554499</v>
      </c>
      <c r="I6891" s="561">
        <v>5</v>
      </c>
      <c r="J6891" s="561">
        <v>43.949710000000039</v>
      </c>
      <c r="K6891" s="561">
        <v>817</v>
      </c>
      <c r="L6891" s="561">
        <v>11784.3004935545</v>
      </c>
      <c r="M6891" s="561">
        <v>11784.3004935545</v>
      </c>
      <c r="N6891" s="561">
        <v>2880</v>
      </c>
      <c r="O6891" s="561">
        <v>0</v>
      </c>
      <c r="P6891" s="561">
        <v>8904.3004935544996</v>
      </c>
      <c r="Q6891" s="561">
        <v>8904.2999999999993</v>
      </c>
    </row>
    <row r="6892" spans="1:38">
      <c r="C6892" s="561" t="s">
        <v>1199</v>
      </c>
      <c r="D6892" s="561">
        <v>11784.3004935545</v>
      </c>
      <c r="E6892" s="561">
        <v>2880</v>
      </c>
      <c r="F6892" s="561">
        <v>8904.2999999999993</v>
      </c>
      <c r="G6892" s="561">
        <v>820</v>
      </c>
      <c r="H6892" s="561">
        <v>12359.544823554499</v>
      </c>
      <c r="I6892" s="561">
        <v>5</v>
      </c>
      <c r="J6892" s="561">
        <v>43.949710000000039</v>
      </c>
      <c r="K6892" s="561">
        <v>817</v>
      </c>
      <c r="L6892" s="561">
        <v>11784.3004935545</v>
      </c>
      <c r="M6892" s="561">
        <v>11784.3004935545</v>
      </c>
      <c r="N6892" s="561">
        <v>2880</v>
      </c>
      <c r="P6892" s="561">
        <v>8904.3004935544996</v>
      </c>
      <c r="Q6892" s="561">
        <v>8904.2999999999993</v>
      </c>
    </row>
    <row r="6893" spans="1:38">
      <c r="A6893" s="561">
        <v>25</v>
      </c>
      <c r="B6893" s="561" t="s">
        <v>1852</v>
      </c>
      <c r="C6893" s="561" t="s">
        <v>1267</v>
      </c>
      <c r="D6893" s="561">
        <v>15899.999883820503</v>
      </c>
      <c r="E6893" s="561">
        <v>3600</v>
      </c>
      <c r="F6893" s="561">
        <v>12300</v>
      </c>
      <c r="G6893" s="561">
        <v>1293</v>
      </c>
      <c r="H6893" s="561">
        <v>18990.5812238205</v>
      </c>
      <c r="I6893" s="561">
        <v>124</v>
      </c>
      <c r="J6893" s="561">
        <v>3087.5617555559998</v>
      </c>
      <c r="K6893" s="561">
        <v>1256</v>
      </c>
      <c r="L6893" s="561">
        <v>15899.999883820503</v>
      </c>
      <c r="M6893" s="561">
        <v>15899.999883820503</v>
      </c>
      <c r="N6893" s="561">
        <v>3600</v>
      </c>
      <c r="O6893" s="561">
        <v>0</v>
      </c>
      <c r="P6893" s="561">
        <v>12299.999883820503</v>
      </c>
      <c r="Q6893" s="561">
        <v>12300</v>
      </c>
    </row>
    <row r="6894" spans="1:38">
      <c r="C6894" s="561" t="s">
        <v>1199</v>
      </c>
      <c r="D6894" s="561">
        <v>15899.999883820503</v>
      </c>
      <c r="E6894" s="561">
        <v>3600</v>
      </c>
      <c r="F6894" s="561">
        <v>12300</v>
      </c>
      <c r="G6894" s="561">
        <v>1293</v>
      </c>
      <c r="H6894" s="561">
        <v>18990.5812238205</v>
      </c>
      <c r="I6894" s="561">
        <v>124</v>
      </c>
      <c r="J6894" s="561">
        <v>3087.5617555559998</v>
      </c>
      <c r="K6894" s="561">
        <v>1256</v>
      </c>
      <c r="L6894" s="561">
        <v>15899.999883820503</v>
      </c>
      <c r="M6894" s="561">
        <v>15899.999883820503</v>
      </c>
      <c r="N6894" s="561">
        <v>3600</v>
      </c>
      <c r="P6894" s="561">
        <v>12299.999883820503</v>
      </c>
      <c r="Q6894" s="561">
        <v>12300</v>
      </c>
    </row>
    <row r="6895" spans="1:38">
      <c r="A6895" s="561">
        <v>26</v>
      </c>
      <c r="B6895" s="561" t="s">
        <v>1853</v>
      </c>
      <c r="C6895" s="561" t="s">
        <v>1267</v>
      </c>
      <c r="D6895" s="561">
        <v>16532.000482961001</v>
      </c>
      <c r="E6895" s="561">
        <v>3887.9999999999991</v>
      </c>
      <c r="F6895" s="561">
        <v>12644.000000000002</v>
      </c>
      <c r="G6895" s="561">
        <v>1097</v>
      </c>
      <c r="H6895" s="561">
        <v>17289.747312960997</v>
      </c>
      <c r="I6895" s="561">
        <v>42</v>
      </c>
      <c r="J6895" s="561">
        <v>805.36380999999994</v>
      </c>
      <c r="K6895" s="561">
        <v>1090</v>
      </c>
      <c r="L6895" s="561">
        <v>16532.000482961001</v>
      </c>
      <c r="M6895" s="561">
        <v>16532.000482961001</v>
      </c>
      <c r="N6895" s="561">
        <v>3887.9999999999991</v>
      </c>
      <c r="O6895" s="561">
        <v>0</v>
      </c>
      <c r="P6895" s="561">
        <v>12644.000482961001</v>
      </c>
      <c r="Q6895" s="561">
        <v>12644.000000000002</v>
      </c>
    </row>
    <row r="6896" spans="1:38">
      <c r="C6896" s="561" t="s">
        <v>1199</v>
      </c>
      <c r="D6896" s="561">
        <v>16532.000482961001</v>
      </c>
      <c r="E6896" s="561">
        <v>3887.9999999999991</v>
      </c>
      <c r="F6896" s="561">
        <v>12644.000000000002</v>
      </c>
      <c r="G6896" s="561">
        <v>1097</v>
      </c>
      <c r="H6896" s="561">
        <v>17289.747312960997</v>
      </c>
      <c r="I6896" s="561">
        <v>42</v>
      </c>
      <c r="J6896" s="561">
        <v>805.36380999999994</v>
      </c>
      <c r="K6896" s="561">
        <v>1090</v>
      </c>
      <c r="L6896" s="561">
        <v>16532.000482961001</v>
      </c>
      <c r="M6896" s="561">
        <v>16532.000482961001</v>
      </c>
      <c r="N6896" s="561">
        <v>3887.9999999999991</v>
      </c>
      <c r="P6896" s="561">
        <v>12644.000482961001</v>
      </c>
      <c r="Q6896" s="561">
        <v>12644.000000000002</v>
      </c>
    </row>
    <row r="6897" spans="1:17">
      <c r="A6897" s="561">
        <v>27</v>
      </c>
      <c r="B6897" s="561" t="s">
        <v>1854</v>
      </c>
      <c r="C6897" s="561" t="s">
        <v>1267</v>
      </c>
      <c r="D6897" s="561">
        <v>18568.950207012338</v>
      </c>
      <c r="E6897" s="561">
        <v>4935.5999999999995</v>
      </c>
      <c r="F6897" s="561">
        <v>13633.349999999999</v>
      </c>
      <c r="G6897" s="561">
        <v>1397</v>
      </c>
      <c r="H6897" s="561">
        <v>19476.076053679</v>
      </c>
      <c r="I6897" s="561">
        <v>43</v>
      </c>
      <c r="J6897" s="561">
        <v>906.78347000000008</v>
      </c>
      <c r="K6897" s="561">
        <v>1395</v>
      </c>
      <c r="L6897" s="561">
        <v>18568.950207012338</v>
      </c>
      <c r="M6897" s="561">
        <v>18568.950207012338</v>
      </c>
      <c r="N6897" s="561">
        <v>4935.5999999999995</v>
      </c>
      <c r="O6897" s="561">
        <v>0</v>
      </c>
      <c r="P6897" s="561">
        <v>13633.35020701234</v>
      </c>
      <c r="Q6897" s="561">
        <v>13633.349999999999</v>
      </c>
    </row>
    <row r="6898" spans="1:17">
      <c r="C6898" s="561" t="s">
        <v>1199</v>
      </c>
      <c r="D6898" s="561">
        <v>18568.950207012338</v>
      </c>
      <c r="E6898" s="561">
        <v>4935.5999999999995</v>
      </c>
      <c r="F6898" s="561">
        <v>13633.349999999999</v>
      </c>
      <c r="G6898" s="561">
        <v>1397</v>
      </c>
      <c r="H6898" s="561">
        <v>19476.076053679</v>
      </c>
      <c r="I6898" s="561">
        <v>43</v>
      </c>
      <c r="J6898" s="561">
        <v>906.78347000000008</v>
      </c>
      <c r="K6898" s="561">
        <v>1395</v>
      </c>
      <c r="L6898" s="561">
        <v>18568.950207012338</v>
      </c>
      <c r="M6898" s="561">
        <v>18568.950207012338</v>
      </c>
      <c r="N6898" s="561">
        <v>4935.5999999999995</v>
      </c>
      <c r="P6898" s="561">
        <v>13633.35020701234</v>
      </c>
      <c r="Q6898" s="561">
        <v>13633.349999999999</v>
      </c>
    </row>
    <row r="6899" spans="1:17">
      <c r="A6899" s="561">
        <v>28</v>
      </c>
      <c r="B6899" s="561" t="s">
        <v>1855</v>
      </c>
      <c r="C6899" s="561" t="s">
        <v>1267</v>
      </c>
      <c r="D6899" s="561">
        <v>8520.2999167196667</v>
      </c>
      <c r="E6899" s="561">
        <v>2159.9999999999995</v>
      </c>
      <c r="F6899" s="561">
        <v>6360.2999999999993</v>
      </c>
      <c r="G6899" s="561">
        <v>529</v>
      </c>
      <c r="H6899" s="561">
        <v>8729.5424733863329</v>
      </c>
      <c r="I6899" s="561">
        <v>5</v>
      </c>
      <c r="J6899" s="561">
        <v>209.40379999999999</v>
      </c>
      <c r="K6899" s="561">
        <v>529</v>
      </c>
      <c r="L6899" s="561">
        <v>8520.2999167196667</v>
      </c>
      <c r="M6899" s="561">
        <v>8520.2999167196667</v>
      </c>
      <c r="N6899" s="561">
        <v>2159.9999999999995</v>
      </c>
      <c r="O6899" s="561">
        <v>0</v>
      </c>
      <c r="P6899" s="561">
        <v>6360.2999167196667</v>
      </c>
      <c r="Q6899" s="561">
        <v>6360.2999999999993</v>
      </c>
    </row>
    <row r="6900" spans="1:17">
      <c r="C6900" s="561" t="s">
        <v>1199</v>
      </c>
      <c r="D6900" s="561">
        <v>8520.2999167196667</v>
      </c>
      <c r="E6900" s="561">
        <v>2159.9999999999995</v>
      </c>
      <c r="F6900" s="561">
        <v>6360.2999999999993</v>
      </c>
      <c r="G6900" s="561">
        <v>529</v>
      </c>
      <c r="H6900" s="561">
        <v>8729.5424733863329</v>
      </c>
      <c r="I6900" s="561">
        <v>5</v>
      </c>
      <c r="J6900" s="561">
        <v>209.40379999999999</v>
      </c>
      <c r="K6900" s="561">
        <v>529</v>
      </c>
      <c r="L6900" s="561">
        <v>8520.2999167196667</v>
      </c>
      <c r="M6900" s="561">
        <v>8520.2999167196667</v>
      </c>
      <c r="N6900" s="561">
        <v>2159.9999999999995</v>
      </c>
      <c r="P6900" s="561">
        <v>6360.2999167196667</v>
      </c>
      <c r="Q6900" s="561">
        <v>6360.2999999999993</v>
      </c>
    </row>
    <row r="6901" spans="1:17">
      <c r="A6901" s="561">
        <v>29</v>
      </c>
      <c r="B6901" s="561" t="s">
        <v>1856</v>
      </c>
      <c r="C6901" s="561" t="s">
        <v>1267</v>
      </c>
      <c r="D6901" s="561">
        <v>8714.9998321323328</v>
      </c>
      <c r="E6901" s="561">
        <v>2519.9999999999995</v>
      </c>
      <c r="F6901" s="561">
        <v>6195</v>
      </c>
      <c r="G6901" s="561">
        <v>720</v>
      </c>
      <c r="H6901" s="561">
        <v>9347.5544387989994</v>
      </c>
      <c r="I6901" s="561">
        <v>24</v>
      </c>
      <c r="J6901" s="561">
        <v>631.26382000000001</v>
      </c>
      <c r="K6901" s="561">
        <v>712</v>
      </c>
      <c r="L6901" s="561">
        <v>8714.9998321323328</v>
      </c>
      <c r="M6901" s="561">
        <v>8714.9998321323328</v>
      </c>
      <c r="N6901" s="561">
        <v>2519.9999999999995</v>
      </c>
      <c r="O6901" s="561">
        <v>0</v>
      </c>
      <c r="P6901" s="561">
        <v>6194.9998321323328</v>
      </c>
      <c r="Q6901" s="561">
        <v>6195</v>
      </c>
    </row>
    <row r="6902" spans="1:17">
      <c r="C6902" s="561" t="s">
        <v>1199</v>
      </c>
      <c r="D6902" s="561">
        <v>8714.9998321323328</v>
      </c>
      <c r="E6902" s="561">
        <v>2519.9999999999995</v>
      </c>
      <c r="F6902" s="561">
        <v>6195</v>
      </c>
      <c r="G6902" s="561">
        <v>720</v>
      </c>
      <c r="H6902" s="561">
        <v>9347.5544387989994</v>
      </c>
      <c r="I6902" s="561">
        <v>24</v>
      </c>
      <c r="J6902" s="561">
        <v>631.26382000000001</v>
      </c>
      <c r="K6902" s="561">
        <v>712</v>
      </c>
      <c r="L6902" s="561">
        <v>8714.9998321323328</v>
      </c>
      <c r="M6902" s="561">
        <v>8714.9998321323328</v>
      </c>
      <c r="N6902" s="561">
        <v>2519.9999999999995</v>
      </c>
      <c r="P6902" s="561">
        <v>6194.9998321323328</v>
      </c>
      <c r="Q6902" s="561">
        <v>6195</v>
      </c>
    </row>
    <row r="6903" spans="1:17">
      <c r="A6903" s="561">
        <v>30</v>
      </c>
      <c r="B6903" s="561" t="s">
        <v>1857</v>
      </c>
      <c r="C6903" s="561" t="s">
        <v>1267</v>
      </c>
      <c r="D6903" s="561">
        <v>7870.0001985336667</v>
      </c>
      <c r="E6903" s="561">
        <v>2159.9999999999995</v>
      </c>
      <c r="F6903" s="561">
        <v>5710</v>
      </c>
      <c r="G6903" s="561">
        <v>593</v>
      </c>
      <c r="H6903" s="561">
        <v>8176.8342918669996</v>
      </c>
      <c r="I6903" s="561">
        <v>17</v>
      </c>
      <c r="J6903" s="561">
        <v>297.11878999999993</v>
      </c>
      <c r="K6903" s="561">
        <v>591</v>
      </c>
      <c r="L6903" s="561">
        <v>7870.0001985336667</v>
      </c>
      <c r="M6903" s="561">
        <v>7870.0001985336667</v>
      </c>
      <c r="N6903" s="561">
        <v>2159.9999999999995</v>
      </c>
      <c r="O6903" s="561">
        <v>0</v>
      </c>
      <c r="P6903" s="561">
        <v>5710.0001985336676</v>
      </c>
      <c r="Q6903" s="561">
        <v>5710</v>
      </c>
    </row>
    <row r="6904" spans="1:17">
      <c r="C6904" s="561" t="s">
        <v>1199</v>
      </c>
      <c r="D6904" s="561">
        <v>7870.0001985336667</v>
      </c>
      <c r="E6904" s="561">
        <v>2159.9999999999995</v>
      </c>
      <c r="F6904" s="561">
        <v>5710</v>
      </c>
      <c r="G6904" s="561">
        <v>593</v>
      </c>
      <c r="H6904" s="561">
        <v>8176.8342918669996</v>
      </c>
      <c r="I6904" s="561">
        <v>17</v>
      </c>
      <c r="J6904" s="561">
        <v>297.11878999999993</v>
      </c>
      <c r="K6904" s="561">
        <v>591</v>
      </c>
      <c r="L6904" s="561">
        <v>7870.0001985336667</v>
      </c>
      <c r="M6904" s="561">
        <v>7870.0001985336667</v>
      </c>
      <c r="N6904" s="561">
        <v>2159.9999999999995</v>
      </c>
      <c r="P6904" s="561">
        <v>5710.0001985336676</v>
      </c>
      <c r="Q6904" s="561">
        <v>5710</v>
      </c>
    </row>
    <row r="6905" spans="1:17">
      <c r="A6905" s="561">
        <v>31</v>
      </c>
      <c r="B6905" s="561" t="s">
        <v>1858</v>
      </c>
      <c r="C6905" s="561" t="s">
        <v>1267</v>
      </c>
      <c r="D6905" s="561">
        <v>6224.9996212799997</v>
      </c>
      <c r="E6905" s="561">
        <v>1800</v>
      </c>
      <c r="F6905" s="561">
        <v>4425</v>
      </c>
      <c r="G6905" s="561">
        <v>546</v>
      </c>
      <c r="H6905" s="561">
        <v>7003.5245412800004</v>
      </c>
      <c r="I6905" s="561">
        <v>5</v>
      </c>
      <c r="J6905" s="561">
        <v>63.884070000000008</v>
      </c>
      <c r="K6905" s="561">
        <v>544</v>
      </c>
      <c r="L6905" s="561">
        <v>6224.9996212799997</v>
      </c>
      <c r="M6905" s="561">
        <v>6224.9996212799997</v>
      </c>
      <c r="N6905" s="561">
        <v>1800</v>
      </c>
      <c r="O6905" s="561">
        <v>0</v>
      </c>
      <c r="P6905" s="561">
        <v>4424.9996212799997</v>
      </c>
      <c r="Q6905" s="561">
        <v>4425</v>
      </c>
    </row>
    <row r="6906" spans="1:17">
      <c r="C6906" s="561" t="s">
        <v>1199</v>
      </c>
      <c r="D6906" s="561">
        <v>6224.9996212799997</v>
      </c>
      <c r="E6906" s="561">
        <v>1800</v>
      </c>
      <c r="F6906" s="561">
        <v>4425</v>
      </c>
      <c r="G6906" s="561">
        <v>546</v>
      </c>
      <c r="H6906" s="561">
        <v>7003.5245412800004</v>
      </c>
      <c r="I6906" s="561">
        <v>5</v>
      </c>
      <c r="J6906" s="561">
        <v>63.884070000000008</v>
      </c>
      <c r="K6906" s="561">
        <v>544</v>
      </c>
      <c r="L6906" s="561">
        <v>6224.9996212799997</v>
      </c>
      <c r="M6906" s="561">
        <v>6224.9996212799997</v>
      </c>
      <c r="N6906" s="561">
        <v>1800</v>
      </c>
      <c r="P6906" s="561">
        <v>4424.9996212799997</v>
      </c>
      <c r="Q6906" s="561">
        <v>4425</v>
      </c>
    </row>
    <row r="6907" spans="1:17">
      <c r="A6907" s="561">
        <v>32</v>
      </c>
      <c r="B6907" s="561" t="s">
        <v>1859</v>
      </c>
      <c r="C6907" s="561" t="s">
        <v>1267</v>
      </c>
      <c r="D6907" s="561">
        <v>9144.9995995508325</v>
      </c>
      <c r="E6907" s="561">
        <v>2159.9999999999995</v>
      </c>
      <c r="F6907" s="561">
        <v>6985.0000000000009</v>
      </c>
      <c r="G6907" s="561">
        <v>739</v>
      </c>
      <c r="H6907" s="561">
        <v>10252.8088562175</v>
      </c>
      <c r="I6907" s="561">
        <v>35</v>
      </c>
      <c r="J6907" s="561">
        <v>539.4300300000001</v>
      </c>
      <c r="K6907" s="561">
        <v>717</v>
      </c>
      <c r="L6907" s="561">
        <v>9144.9995995508325</v>
      </c>
      <c r="M6907" s="561">
        <v>9144.9995995508325</v>
      </c>
      <c r="N6907" s="561">
        <v>2159.9999999999995</v>
      </c>
      <c r="O6907" s="561">
        <v>0</v>
      </c>
      <c r="P6907" s="561">
        <v>6984.9995995508325</v>
      </c>
      <c r="Q6907" s="561">
        <v>6985.0000000000009</v>
      </c>
    </row>
    <row r="6908" spans="1:17">
      <c r="C6908" s="561" t="s">
        <v>1199</v>
      </c>
      <c r="D6908" s="561">
        <v>9144.9995995508325</v>
      </c>
      <c r="E6908" s="561">
        <v>2159.9999999999995</v>
      </c>
      <c r="F6908" s="561">
        <v>6985.0000000000009</v>
      </c>
      <c r="G6908" s="561">
        <v>739</v>
      </c>
      <c r="H6908" s="561">
        <v>10252.8088562175</v>
      </c>
      <c r="I6908" s="561">
        <v>35</v>
      </c>
      <c r="J6908" s="561">
        <v>539.4300300000001</v>
      </c>
      <c r="K6908" s="561">
        <v>717</v>
      </c>
      <c r="L6908" s="561">
        <v>9144.9995995508325</v>
      </c>
      <c r="M6908" s="561">
        <v>9144.9995995508325</v>
      </c>
      <c r="N6908" s="561">
        <v>2159.9999999999995</v>
      </c>
      <c r="P6908" s="561">
        <v>6984.9995995508325</v>
      </c>
      <c r="Q6908" s="561">
        <v>6985.0000000000009</v>
      </c>
    </row>
    <row r="6909" spans="1:17">
      <c r="A6909" s="561">
        <v>33</v>
      </c>
      <c r="B6909" s="561" t="s">
        <v>1860</v>
      </c>
      <c r="C6909" s="561" t="s">
        <v>1267</v>
      </c>
      <c r="D6909" s="561">
        <v>8714.9997899999998</v>
      </c>
      <c r="E6909" s="561">
        <v>2519.9999999999995</v>
      </c>
      <c r="F6909" s="561">
        <v>6195</v>
      </c>
      <c r="G6909" s="561">
        <v>783</v>
      </c>
      <c r="H6909" s="561">
        <v>10476.908530000001</v>
      </c>
      <c r="I6909" s="561">
        <v>104</v>
      </c>
      <c r="J6909" s="561">
        <v>1853.8060700000001</v>
      </c>
      <c r="K6909" s="561">
        <v>777</v>
      </c>
      <c r="L6909" s="561">
        <v>8714.9997899999998</v>
      </c>
      <c r="M6909" s="561">
        <v>8714.9997899999998</v>
      </c>
      <c r="N6909" s="561">
        <v>2519.9999999999995</v>
      </c>
      <c r="O6909" s="561">
        <v>0</v>
      </c>
      <c r="P6909" s="561">
        <v>6194.9997899999998</v>
      </c>
      <c r="Q6909" s="561">
        <v>6195</v>
      </c>
    </row>
    <row r="6910" spans="1:17">
      <c r="C6910" s="561" t="s">
        <v>1199</v>
      </c>
      <c r="D6910" s="561">
        <v>8714.9997899999998</v>
      </c>
      <c r="E6910" s="561">
        <v>2519.9999999999995</v>
      </c>
      <c r="F6910" s="561">
        <v>6195</v>
      </c>
      <c r="G6910" s="561">
        <v>783</v>
      </c>
      <c r="H6910" s="561">
        <v>10476.908530000001</v>
      </c>
      <c r="I6910" s="561">
        <v>104</v>
      </c>
      <c r="J6910" s="561">
        <v>1853.8060700000001</v>
      </c>
      <c r="K6910" s="561">
        <v>777</v>
      </c>
      <c r="L6910" s="561">
        <v>8714.9997899999998</v>
      </c>
      <c r="M6910" s="561">
        <v>8714.9997899999998</v>
      </c>
      <c r="N6910" s="561">
        <v>2519.9999999999995</v>
      </c>
      <c r="P6910" s="561">
        <v>6194.9997899999998</v>
      </c>
      <c r="Q6910" s="561">
        <v>6195</v>
      </c>
    </row>
    <row r="6911" spans="1:17">
      <c r="A6911" s="561">
        <v>34</v>
      </c>
      <c r="B6911" s="561" t="s">
        <v>1861</v>
      </c>
      <c r="C6911" s="561" t="s">
        <v>1267</v>
      </c>
      <c r="D6911" s="561">
        <v>9337.4995978619991</v>
      </c>
      <c r="E6911" s="561">
        <v>2699.9999999999995</v>
      </c>
      <c r="F6911" s="561">
        <v>6637.5</v>
      </c>
      <c r="G6911" s="561">
        <v>701</v>
      </c>
      <c r="H6911" s="561">
        <v>9418.2689978620001</v>
      </c>
      <c r="I6911" s="561">
        <v>3</v>
      </c>
      <c r="J6911" s="561">
        <v>80.76944995599996</v>
      </c>
      <c r="K6911" s="561">
        <v>698</v>
      </c>
      <c r="L6911" s="561">
        <v>9337.4995978619991</v>
      </c>
      <c r="M6911" s="561">
        <v>9337.4995978619991</v>
      </c>
      <c r="N6911" s="561">
        <v>2699.9999999999995</v>
      </c>
      <c r="O6911" s="561">
        <v>0</v>
      </c>
      <c r="P6911" s="561">
        <v>6637.4995978619991</v>
      </c>
      <c r="Q6911" s="561">
        <v>6637.5</v>
      </c>
    </row>
    <row r="6912" spans="1:17">
      <c r="C6912" s="561" t="s">
        <v>1199</v>
      </c>
      <c r="D6912" s="561">
        <v>9337.4995978619991</v>
      </c>
      <c r="E6912" s="561">
        <v>2699.9999999999995</v>
      </c>
      <c r="F6912" s="561">
        <v>6637.5</v>
      </c>
      <c r="G6912" s="561">
        <v>701</v>
      </c>
      <c r="H6912" s="561">
        <v>9418.2689978620001</v>
      </c>
      <c r="I6912" s="561">
        <v>3</v>
      </c>
      <c r="J6912" s="561">
        <v>80.76944995599996</v>
      </c>
      <c r="K6912" s="561">
        <v>698</v>
      </c>
      <c r="L6912" s="561">
        <v>9337.4995978619991</v>
      </c>
      <c r="M6912" s="561">
        <v>9337.4995978619991</v>
      </c>
      <c r="N6912" s="561">
        <v>2699.9999999999995</v>
      </c>
      <c r="P6912" s="561">
        <v>6637.4995978619991</v>
      </c>
      <c r="Q6912" s="561">
        <v>6637.5</v>
      </c>
    </row>
    <row r="6913" spans="1:17">
      <c r="A6913" s="561">
        <v>35</v>
      </c>
      <c r="B6913" s="561" t="s">
        <v>1862</v>
      </c>
      <c r="C6913" s="561" t="s">
        <v>1267</v>
      </c>
      <c r="D6913" s="561">
        <v>9215.0000740820014</v>
      </c>
      <c r="E6913" s="561">
        <v>2519.9999999999995</v>
      </c>
      <c r="F6913" s="561">
        <v>6695</v>
      </c>
      <c r="G6913" s="561">
        <v>743</v>
      </c>
      <c r="H6913" s="561">
        <v>9318.1369640820012</v>
      </c>
      <c r="I6913" s="561">
        <v>35</v>
      </c>
      <c r="J6913" s="561">
        <v>110.29823000000005</v>
      </c>
      <c r="K6913" s="561">
        <v>739</v>
      </c>
      <c r="L6913" s="561">
        <v>9215.0000740820014</v>
      </c>
      <c r="M6913" s="561">
        <v>9215.0000740820014</v>
      </c>
      <c r="N6913" s="561">
        <v>2519.9999999999995</v>
      </c>
      <c r="O6913" s="561">
        <v>0</v>
      </c>
      <c r="P6913" s="561">
        <v>6695.0000740820014</v>
      </c>
      <c r="Q6913" s="561">
        <v>6695</v>
      </c>
    </row>
    <row r="6914" spans="1:17">
      <c r="C6914" s="561" t="s">
        <v>1199</v>
      </c>
      <c r="D6914" s="561">
        <v>9215.0000740820014</v>
      </c>
      <c r="E6914" s="561">
        <v>2519.9999999999995</v>
      </c>
      <c r="F6914" s="561">
        <v>6695</v>
      </c>
      <c r="G6914" s="561">
        <v>743</v>
      </c>
      <c r="H6914" s="561">
        <v>9318.1369640820012</v>
      </c>
      <c r="I6914" s="561">
        <v>35</v>
      </c>
      <c r="J6914" s="561">
        <v>110.29823000000005</v>
      </c>
      <c r="K6914" s="561">
        <v>739</v>
      </c>
      <c r="L6914" s="561">
        <v>9215.0000740820014</v>
      </c>
      <c r="M6914" s="561">
        <v>9215.0000740820014</v>
      </c>
      <c r="N6914" s="561">
        <v>2519.9999999999995</v>
      </c>
      <c r="P6914" s="561">
        <v>6695.0000740820014</v>
      </c>
      <c r="Q6914" s="561">
        <v>6695</v>
      </c>
    </row>
    <row r="6915" spans="1:17">
      <c r="A6915" s="561">
        <v>36</v>
      </c>
      <c r="B6915" s="561" t="s">
        <v>1863</v>
      </c>
      <c r="C6915" s="561" t="s">
        <v>1267</v>
      </c>
      <c r="D6915" s="561">
        <v>5018.9996921870006</v>
      </c>
      <c r="E6915" s="561">
        <v>1116</v>
      </c>
      <c r="F6915" s="561">
        <v>3902.9999999999995</v>
      </c>
      <c r="G6915" s="561">
        <v>439</v>
      </c>
      <c r="H6915" s="561">
        <v>6057.7567321870001</v>
      </c>
      <c r="I6915" s="561">
        <v>20</v>
      </c>
      <c r="J6915" s="561">
        <v>293.87073000000009</v>
      </c>
      <c r="K6915" s="561">
        <v>429</v>
      </c>
      <c r="L6915" s="561">
        <v>5018.9996921870006</v>
      </c>
      <c r="M6915" s="561">
        <v>5018.9996921870006</v>
      </c>
      <c r="N6915" s="561">
        <v>1116</v>
      </c>
      <c r="O6915" s="561">
        <v>0</v>
      </c>
      <c r="P6915" s="561">
        <v>3902.9996921870006</v>
      </c>
      <c r="Q6915" s="561">
        <v>3902.9999999999995</v>
      </c>
    </row>
    <row r="6916" spans="1:17">
      <c r="C6916" s="561" t="s">
        <v>1199</v>
      </c>
      <c r="D6916" s="561">
        <v>5018.9996921870006</v>
      </c>
      <c r="E6916" s="561">
        <v>1116</v>
      </c>
      <c r="F6916" s="561">
        <v>3902.9999999999995</v>
      </c>
      <c r="G6916" s="561">
        <v>439</v>
      </c>
      <c r="H6916" s="561">
        <v>6057.7567321870001</v>
      </c>
      <c r="I6916" s="561">
        <v>20</v>
      </c>
      <c r="J6916" s="561">
        <v>293.87073000000009</v>
      </c>
      <c r="K6916" s="561">
        <v>429</v>
      </c>
      <c r="L6916" s="561">
        <v>5018.9996921870006</v>
      </c>
      <c r="M6916" s="561">
        <v>5018.9996921870006</v>
      </c>
      <c r="N6916" s="561">
        <v>1116</v>
      </c>
      <c r="P6916" s="561">
        <v>3902.9996921870006</v>
      </c>
      <c r="Q6916" s="561">
        <v>3902.9999999999995</v>
      </c>
    </row>
    <row r="6917" spans="1:17">
      <c r="A6917" s="561">
        <v>37</v>
      </c>
      <c r="B6917" s="561" t="s">
        <v>1864</v>
      </c>
      <c r="C6917" s="561" t="s">
        <v>1267</v>
      </c>
      <c r="D6917" s="561">
        <v>6669.9995168949999</v>
      </c>
      <c r="E6917" s="561">
        <v>2159.9999999999995</v>
      </c>
      <c r="F6917" s="561">
        <v>4510</v>
      </c>
      <c r="G6917" s="561">
        <v>545</v>
      </c>
      <c r="H6917" s="561">
        <v>7186.7609468949995</v>
      </c>
      <c r="I6917" s="561">
        <v>45</v>
      </c>
      <c r="J6917" s="561">
        <v>530.21024999999997</v>
      </c>
      <c r="K6917" s="561">
        <v>520</v>
      </c>
      <c r="L6917" s="561">
        <v>6669.9995168949999</v>
      </c>
      <c r="M6917" s="561">
        <v>6669.9995168949999</v>
      </c>
      <c r="N6917" s="561">
        <v>2159.9999999999995</v>
      </c>
      <c r="O6917" s="561">
        <v>0</v>
      </c>
      <c r="P6917" s="561">
        <v>4509.9995168950009</v>
      </c>
      <c r="Q6917" s="561">
        <v>4510</v>
      </c>
    </row>
    <row r="6918" spans="1:17">
      <c r="C6918" s="561" t="s">
        <v>1199</v>
      </c>
      <c r="D6918" s="561">
        <v>6669.9995168949999</v>
      </c>
      <c r="E6918" s="561">
        <v>2159.9999999999995</v>
      </c>
      <c r="F6918" s="561">
        <v>4510</v>
      </c>
      <c r="G6918" s="561">
        <v>545</v>
      </c>
      <c r="H6918" s="561">
        <v>7186.7609468949995</v>
      </c>
      <c r="I6918" s="561">
        <v>45</v>
      </c>
      <c r="J6918" s="561">
        <v>530.21024999999997</v>
      </c>
      <c r="K6918" s="561">
        <v>520</v>
      </c>
      <c r="L6918" s="561">
        <v>6669.9995168949999</v>
      </c>
      <c r="M6918" s="561">
        <v>6669.9995168949999</v>
      </c>
      <c r="N6918" s="561">
        <v>2159.9999999999995</v>
      </c>
      <c r="P6918" s="561">
        <v>4509.9995168950009</v>
      </c>
      <c r="Q6918" s="561">
        <v>4510</v>
      </c>
    </row>
    <row r="6919" spans="1:17">
      <c r="A6919" s="561">
        <v>38</v>
      </c>
      <c r="B6919" s="561" t="s">
        <v>1865</v>
      </c>
      <c r="C6919" s="561" t="s">
        <v>1267</v>
      </c>
      <c r="D6919" s="561">
        <v>56240.000151762491</v>
      </c>
      <c r="E6919" s="561">
        <v>11520</v>
      </c>
      <c r="F6919" s="561">
        <v>44720</v>
      </c>
      <c r="G6919" s="561">
        <v>3218</v>
      </c>
      <c r="H6919" s="561">
        <v>57799.693291762494</v>
      </c>
      <c r="I6919" s="561">
        <v>382</v>
      </c>
      <c r="J6919" s="561">
        <v>1469.6055299999998</v>
      </c>
      <c r="K6919" s="561">
        <v>3080</v>
      </c>
      <c r="L6919" s="561">
        <v>56240.000151762491</v>
      </c>
      <c r="M6919" s="561">
        <v>56240.000151762491</v>
      </c>
      <c r="N6919" s="561">
        <v>11520</v>
      </c>
      <c r="O6919" s="561">
        <v>0</v>
      </c>
      <c r="P6919" s="561">
        <v>44720.000151762491</v>
      </c>
      <c r="Q6919" s="561">
        <v>44720</v>
      </c>
    </row>
    <row r="6920" spans="1:17">
      <c r="C6920" s="561" t="s">
        <v>1199</v>
      </c>
      <c r="D6920" s="561">
        <v>56240.000151762491</v>
      </c>
      <c r="E6920" s="561">
        <v>11520</v>
      </c>
      <c r="F6920" s="561">
        <v>44720</v>
      </c>
      <c r="G6920" s="561">
        <v>3218</v>
      </c>
      <c r="H6920" s="561">
        <v>57799.693291762494</v>
      </c>
      <c r="I6920" s="561">
        <v>382</v>
      </c>
      <c r="J6920" s="561">
        <v>1469.6055299999998</v>
      </c>
      <c r="K6920" s="561">
        <v>3080</v>
      </c>
      <c r="L6920" s="561">
        <v>56240.000151762491</v>
      </c>
      <c r="M6920" s="561">
        <v>56240.000151762491</v>
      </c>
      <c r="N6920" s="561">
        <v>11520</v>
      </c>
      <c r="P6920" s="561">
        <v>44720.000151762491</v>
      </c>
      <c r="Q6920" s="561">
        <v>44720</v>
      </c>
    </row>
    <row r="6921" spans="1:17">
      <c r="A6921" s="561">
        <v>39</v>
      </c>
      <c r="B6921" s="561" t="s">
        <v>1866</v>
      </c>
      <c r="C6921" s="561" t="s">
        <v>1267</v>
      </c>
      <c r="D6921" s="561">
        <v>14683.699902639</v>
      </c>
      <c r="E6921" s="561">
        <v>3600</v>
      </c>
      <c r="F6921" s="561">
        <v>11083.7</v>
      </c>
      <c r="G6921" s="561">
        <v>996</v>
      </c>
      <c r="H6921" s="561">
        <v>14827.077132639</v>
      </c>
      <c r="I6921" s="561">
        <v>17</v>
      </c>
      <c r="J6921" s="561">
        <v>143.37732000000022</v>
      </c>
      <c r="K6921" s="561">
        <v>992</v>
      </c>
      <c r="L6921" s="561">
        <v>14683.699902639</v>
      </c>
      <c r="M6921" s="561">
        <v>14683.699902639</v>
      </c>
      <c r="N6921" s="561">
        <v>3600</v>
      </c>
      <c r="O6921" s="561">
        <v>0</v>
      </c>
      <c r="P6921" s="561">
        <v>11083.699902639</v>
      </c>
      <c r="Q6921" s="561">
        <v>11083.7</v>
      </c>
    </row>
    <row r="6922" spans="1:17">
      <c r="C6922" s="561" t="s">
        <v>1199</v>
      </c>
      <c r="D6922" s="561">
        <v>14683.699902639</v>
      </c>
      <c r="E6922" s="561">
        <v>3600</v>
      </c>
      <c r="F6922" s="561">
        <v>11083.7</v>
      </c>
      <c r="G6922" s="561">
        <v>996</v>
      </c>
      <c r="H6922" s="561">
        <v>14827.077132639</v>
      </c>
      <c r="I6922" s="561">
        <v>17</v>
      </c>
      <c r="J6922" s="561">
        <v>143.37732000000022</v>
      </c>
      <c r="K6922" s="561">
        <v>992</v>
      </c>
      <c r="L6922" s="561">
        <v>14683.699902639</v>
      </c>
      <c r="M6922" s="561">
        <v>14683.699902639</v>
      </c>
      <c r="N6922" s="561">
        <v>3600</v>
      </c>
      <c r="P6922" s="561">
        <v>11083.699902639</v>
      </c>
      <c r="Q6922" s="561">
        <v>11083.7</v>
      </c>
    </row>
    <row r="6923" spans="1:17">
      <c r="A6923" s="561">
        <v>40</v>
      </c>
      <c r="B6923" s="561" t="s">
        <v>1867</v>
      </c>
      <c r="C6923" s="561" t="s">
        <v>1267</v>
      </c>
      <c r="D6923" s="561">
        <v>18033.999848924501</v>
      </c>
      <c r="E6923" s="561">
        <v>4050</v>
      </c>
      <c r="F6923" s="561">
        <v>13984</v>
      </c>
      <c r="G6923" s="561">
        <v>315</v>
      </c>
      <c r="H6923" s="561">
        <v>18053.340848924501</v>
      </c>
      <c r="I6923" s="561">
        <v>1</v>
      </c>
      <c r="J6923" s="561">
        <v>19.340969999999963</v>
      </c>
      <c r="K6923" s="561">
        <v>314</v>
      </c>
      <c r="L6923" s="561">
        <v>18033.999848924501</v>
      </c>
      <c r="M6923" s="561">
        <v>18033.999848924501</v>
      </c>
      <c r="N6923" s="561">
        <v>4050</v>
      </c>
      <c r="O6923" s="561">
        <v>0</v>
      </c>
      <c r="P6923" s="561">
        <v>13983.999848924501</v>
      </c>
      <c r="Q6923" s="561">
        <v>13984</v>
      </c>
    </row>
    <row r="6924" spans="1:17">
      <c r="C6924" s="561" t="s">
        <v>1199</v>
      </c>
      <c r="D6924" s="561">
        <v>18033.999848924501</v>
      </c>
      <c r="E6924" s="561">
        <v>4050</v>
      </c>
      <c r="F6924" s="561">
        <v>13984</v>
      </c>
      <c r="G6924" s="561">
        <v>315</v>
      </c>
      <c r="H6924" s="561">
        <v>18053.340848924501</v>
      </c>
      <c r="I6924" s="561">
        <v>1</v>
      </c>
      <c r="J6924" s="561">
        <v>19.340969999999963</v>
      </c>
      <c r="K6924" s="561">
        <v>314</v>
      </c>
      <c r="L6924" s="561">
        <v>18033.999848924501</v>
      </c>
      <c r="M6924" s="561">
        <v>18033.999848924501</v>
      </c>
      <c r="N6924" s="561">
        <v>4050</v>
      </c>
      <c r="P6924" s="561">
        <v>13983.999848924501</v>
      </c>
      <c r="Q6924" s="561">
        <v>13984</v>
      </c>
    </row>
    <row r="6925" spans="1:17">
      <c r="A6925" s="561">
        <v>41</v>
      </c>
      <c r="B6925" s="561" t="s">
        <v>1868</v>
      </c>
      <c r="C6925" s="561" t="s">
        <v>1267</v>
      </c>
      <c r="D6925" s="561">
        <v>52787.074989999994</v>
      </c>
      <c r="E6925" s="561">
        <v>12260.699999999997</v>
      </c>
      <c r="F6925" s="561">
        <v>40526.375000000007</v>
      </c>
      <c r="G6925" s="561">
        <v>194</v>
      </c>
      <c r="H6925" s="561">
        <v>53168.949029999996</v>
      </c>
      <c r="I6925" s="561">
        <v>1</v>
      </c>
      <c r="J6925" s="561">
        <v>381.87399999999968</v>
      </c>
      <c r="K6925" s="561">
        <v>193</v>
      </c>
      <c r="L6925" s="561">
        <v>52787.074989999994</v>
      </c>
      <c r="M6925" s="561">
        <v>52787.074989999994</v>
      </c>
      <c r="N6925" s="561">
        <v>12260.699999999997</v>
      </c>
      <c r="O6925" s="561">
        <v>0</v>
      </c>
      <c r="P6925" s="561">
        <v>40526.374989999997</v>
      </c>
      <c r="Q6925" s="561">
        <v>40526.375000000007</v>
      </c>
    </row>
    <row r="6926" spans="1:17">
      <c r="C6926" s="561" t="s">
        <v>1199</v>
      </c>
      <c r="D6926" s="561">
        <v>52787.074989999994</v>
      </c>
      <c r="E6926" s="561">
        <v>12260.699999999997</v>
      </c>
      <c r="F6926" s="561">
        <v>40526.375000000007</v>
      </c>
      <c r="G6926" s="561">
        <v>194</v>
      </c>
      <c r="H6926" s="561">
        <v>53168.949029999996</v>
      </c>
      <c r="I6926" s="561">
        <v>1</v>
      </c>
      <c r="J6926" s="561">
        <v>381.87399999999968</v>
      </c>
      <c r="K6926" s="561">
        <v>193</v>
      </c>
      <c r="L6926" s="561">
        <v>52787.074989999994</v>
      </c>
      <c r="M6926" s="561">
        <v>52787.074989999994</v>
      </c>
      <c r="N6926" s="561">
        <v>12260.699999999997</v>
      </c>
      <c r="P6926" s="561">
        <v>40526.374989999997</v>
      </c>
      <c r="Q6926" s="561">
        <v>40526.375000000007</v>
      </c>
    </row>
    <row r="6927" spans="1:17">
      <c r="A6927" s="561">
        <v>42</v>
      </c>
      <c r="B6927" s="561" t="s">
        <v>1869</v>
      </c>
      <c r="C6927" s="561" t="s">
        <v>1267</v>
      </c>
      <c r="D6927" s="561">
        <v>5154.7998178289999</v>
      </c>
      <c r="E6927" s="561">
        <v>1259.9999999999998</v>
      </c>
      <c r="F6927" s="561">
        <v>3894.8</v>
      </c>
      <c r="G6927" s="561">
        <v>386</v>
      </c>
      <c r="H6927" s="561">
        <v>6271.4789078290005</v>
      </c>
      <c r="I6927" s="561">
        <v>32</v>
      </c>
      <c r="J6927" s="561">
        <v>861.06573000000003</v>
      </c>
      <c r="K6927" s="561">
        <v>363</v>
      </c>
      <c r="L6927" s="561">
        <v>5154.7998178289999</v>
      </c>
      <c r="M6927" s="561">
        <v>5154.7998178289999</v>
      </c>
      <c r="N6927" s="561">
        <v>1259.9999999999998</v>
      </c>
      <c r="O6927" s="561">
        <v>0</v>
      </c>
      <c r="P6927" s="561">
        <v>3894.7998178289999</v>
      </c>
      <c r="Q6927" s="561">
        <v>3894.8</v>
      </c>
    </row>
    <row r="6928" spans="1:17">
      <c r="C6928" s="561" t="s">
        <v>1199</v>
      </c>
      <c r="D6928" s="561">
        <v>5154.7998178289999</v>
      </c>
      <c r="E6928" s="561">
        <v>1259.9999999999998</v>
      </c>
      <c r="F6928" s="561">
        <v>3894.8</v>
      </c>
      <c r="G6928" s="561">
        <v>386</v>
      </c>
      <c r="H6928" s="561">
        <v>6271.4789078290005</v>
      </c>
      <c r="I6928" s="561">
        <v>32</v>
      </c>
      <c r="J6928" s="561">
        <v>861.06573000000003</v>
      </c>
      <c r="K6928" s="561">
        <v>363</v>
      </c>
      <c r="L6928" s="561">
        <v>5154.7998178289999</v>
      </c>
      <c r="M6928" s="561">
        <v>5154.7998178289999</v>
      </c>
      <c r="N6928" s="561">
        <v>1259.9999999999998</v>
      </c>
      <c r="P6928" s="561">
        <v>3894.7998178289999</v>
      </c>
      <c r="Q6928" s="561">
        <v>3894.8</v>
      </c>
    </row>
    <row r="6929" spans="1:38">
      <c r="A6929" s="561">
        <v>43</v>
      </c>
      <c r="B6929" s="561" t="s">
        <v>1870</v>
      </c>
      <c r="C6929" s="561" t="s">
        <v>1267</v>
      </c>
      <c r="D6929" s="561">
        <v>3734.999619417667</v>
      </c>
      <c r="E6929" s="561">
        <v>1079.9999999999998</v>
      </c>
      <c r="F6929" s="561">
        <v>2655</v>
      </c>
      <c r="G6929" s="561">
        <v>448</v>
      </c>
      <c r="H6929" s="561">
        <v>4628.362609417667</v>
      </c>
      <c r="I6929" s="561">
        <v>7</v>
      </c>
      <c r="J6929" s="561">
        <v>893.36339999999996</v>
      </c>
      <c r="K6929" s="561">
        <v>446</v>
      </c>
      <c r="L6929" s="561">
        <v>3734.999619417667</v>
      </c>
      <c r="M6929" s="561">
        <v>3734.999619417667</v>
      </c>
      <c r="N6929" s="561">
        <v>1079.9999999999998</v>
      </c>
      <c r="O6929" s="561">
        <v>0</v>
      </c>
      <c r="P6929" s="561">
        <v>2654.9996194176674</v>
      </c>
      <c r="Q6929" s="561">
        <v>2655</v>
      </c>
    </row>
    <row r="6930" spans="1:38">
      <c r="C6930" s="561" t="s">
        <v>1199</v>
      </c>
      <c r="D6930" s="561">
        <v>3734.999619417667</v>
      </c>
      <c r="E6930" s="561">
        <v>1079.9999999999998</v>
      </c>
      <c r="F6930" s="561">
        <v>2655</v>
      </c>
      <c r="G6930" s="561">
        <v>448</v>
      </c>
      <c r="H6930" s="561">
        <v>4628.362609417667</v>
      </c>
      <c r="I6930" s="561">
        <v>7</v>
      </c>
      <c r="J6930" s="561">
        <v>893.36339999999996</v>
      </c>
      <c r="K6930" s="561">
        <v>446</v>
      </c>
      <c r="L6930" s="561">
        <v>3734.999619417667</v>
      </c>
      <c r="M6930" s="561">
        <v>3734.999619417667</v>
      </c>
      <c r="N6930" s="561">
        <v>1079.9999999999998</v>
      </c>
      <c r="P6930" s="561">
        <v>2654.9996194176674</v>
      </c>
      <c r="Q6930" s="561">
        <v>2655</v>
      </c>
    </row>
    <row r="6931" spans="1:38">
      <c r="A6931" s="561">
        <v>44</v>
      </c>
      <c r="B6931" s="561" t="s">
        <v>1871</v>
      </c>
      <c r="C6931" s="561" t="s">
        <v>1267</v>
      </c>
      <c r="D6931" s="561">
        <v>6709.1002482155</v>
      </c>
      <c r="E6931" s="561">
        <v>1800</v>
      </c>
      <c r="F6931" s="561">
        <v>4909.1000000000004</v>
      </c>
      <c r="G6931" s="561">
        <v>500</v>
      </c>
      <c r="H6931" s="561">
        <v>7245.5197182154989</v>
      </c>
      <c r="I6931" s="561">
        <v>22</v>
      </c>
      <c r="J6931" s="561">
        <v>333.14837999999997</v>
      </c>
      <c r="K6931" s="561">
        <v>482</v>
      </c>
      <c r="L6931" s="561">
        <v>6709.1002482155</v>
      </c>
      <c r="M6931" s="561">
        <v>6709.1002482155</v>
      </c>
      <c r="N6931" s="561">
        <v>1800</v>
      </c>
      <c r="O6931" s="561">
        <v>0</v>
      </c>
      <c r="P6931" s="561">
        <v>4909.1002482155</v>
      </c>
      <c r="Q6931" s="561">
        <v>4909.1000000000004</v>
      </c>
    </row>
    <row r="6932" spans="1:38">
      <c r="C6932" s="561" t="s">
        <v>1199</v>
      </c>
      <c r="D6932" s="561">
        <v>6709.1002482155</v>
      </c>
      <c r="E6932" s="561">
        <v>1800</v>
      </c>
      <c r="F6932" s="561">
        <v>4909.1000000000004</v>
      </c>
      <c r="G6932" s="561">
        <v>500</v>
      </c>
      <c r="H6932" s="561">
        <v>7245.5197182154989</v>
      </c>
      <c r="I6932" s="561">
        <v>22</v>
      </c>
      <c r="J6932" s="561">
        <v>333.14837999999997</v>
      </c>
      <c r="K6932" s="561">
        <v>482</v>
      </c>
      <c r="L6932" s="561">
        <v>6709.1002482155</v>
      </c>
      <c r="M6932" s="561">
        <v>6709.1002482155</v>
      </c>
      <c r="N6932" s="561">
        <v>1800</v>
      </c>
      <c r="P6932" s="561">
        <v>4909.1002482155</v>
      </c>
      <c r="Q6932" s="561">
        <v>4909.1000000000004</v>
      </c>
    </row>
    <row r="6933" spans="1:38">
      <c r="B6933" s="561" t="s">
        <v>1872</v>
      </c>
      <c r="D6933" s="561">
        <v>625508.62330500165</v>
      </c>
      <c r="E6933" s="561">
        <v>154763.99999999997</v>
      </c>
      <c r="F6933" s="561">
        <v>470744.62319500174</v>
      </c>
      <c r="G6933" s="561">
        <v>14175</v>
      </c>
      <c r="H6933" s="561">
        <v>690184.68749500159</v>
      </c>
      <c r="I6933" s="561">
        <v>1595</v>
      </c>
      <c r="J6933" s="561">
        <v>67516.627189999999</v>
      </c>
      <c r="K6933" s="561">
        <v>13994</v>
      </c>
      <c r="L6933" s="561">
        <v>625508.62330500165</v>
      </c>
      <c r="M6933" s="561">
        <v>625508.62330500165</v>
      </c>
      <c r="N6933" s="561">
        <v>154763.99999999997</v>
      </c>
      <c r="O6933" s="561">
        <v>0</v>
      </c>
      <c r="P6933" s="561">
        <v>470744.6233050017</v>
      </c>
      <c r="Q6933" s="561">
        <v>470744.62319500174</v>
      </c>
    </row>
    <row r="6934" spans="1:38">
      <c r="A6934" s="561">
        <v>45</v>
      </c>
      <c r="B6934" s="561" t="s">
        <v>1873</v>
      </c>
      <c r="C6934" s="561" t="s">
        <v>1267</v>
      </c>
      <c r="D6934" s="561">
        <v>511794.947278757</v>
      </c>
      <c r="E6934" s="561">
        <v>125993.99999999997</v>
      </c>
      <c r="F6934" s="561">
        <v>385800.94743875711</v>
      </c>
      <c r="G6934" s="561">
        <v>9469</v>
      </c>
      <c r="H6934" s="561">
        <v>565815.42485875706</v>
      </c>
      <c r="I6934" s="561">
        <v>1223</v>
      </c>
      <c r="J6934" s="561">
        <v>56762.05689</v>
      </c>
      <c r="K6934" s="561">
        <v>9405</v>
      </c>
      <c r="L6934" s="561">
        <v>511794.947278757</v>
      </c>
      <c r="M6934" s="561">
        <v>511794.947278757</v>
      </c>
      <c r="N6934" s="561">
        <v>125993.99999999997</v>
      </c>
      <c r="O6934" s="561">
        <v>0</v>
      </c>
      <c r="P6934" s="561">
        <v>385800.94727875706</v>
      </c>
      <c r="Q6934" s="561">
        <v>385800.94743875711</v>
      </c>
    </row>
    <row r="6935" spans="1:38">
      <c r="C6935" s="561" t="s">
        <v>1197</v>
      </c>
      <c r="D6935" s="561">
        <v>470917.25238132873</v>
      </c>
      <c r="E6935" s="561">
        <v>119337.59999999998</v>
      </c>
      <c r="F6935" s="561">
        <v>351579.65276132879</v>
      </c>
      <c r="G6935" s="561">
        <v>6988</v>
      </c>
      <c r="H6935" s="561">
        <v>524048.22984132881</v>
      </c>
      <c r="I6935" s="561">
        <v>1140</v>
      </c>
      <c r="J6935" s="561">
        <v>56162.694880000003</v>
      </c>
      <c r="K6935" s="561">
        <v>6929</v>
      </c>
      <c r="L6935" s="561">
        <v>470917.25238132873</v>
      </c>
      <c r="M6935" s="561">
        <v>470917.25238132873</v>
      </c>
      <c r="N6935" s="561">
        <v>119337.59999999998</v>
      </c>
      <c r="Q6935" s="561">
        <v>351579.65276132879</v>
      </c>
      <c r="AL6935" s="561">
        <v>351579.65238132875</v>
      </c>
    </row>
    <row r="6936" spans="1:38">
      <c r="C6936" s="561" t="s">
        <v>1199</v>
      </c>
      <c r="D6936" s="561">
        <v>40877.6948974283</v>
      </c>
      <c r="E6936" s="561">
        <v>6656.4000000000005</v>
      </c>
      <c r="F6936" s="561">
        <v>34221.294677428305</v>
      </c>
      <c r="G6936" s="561">
        <v>2481</v>
      </c>
      <c r="H6936" s="561">
        <v>41767.195017428305</v>
      </c>
      <c r="I6936" s="561">
        <v>83</v>
      </c>
      <c r="J6936" s="561">
        <v>599.36201000000051</v>
      </c>
      <c r="K6936" s="561">
        <v>2476</v>
      </c>
      <c r="L6936" s="561">
        <v>40877.6948974283</v>
      </c>
      <c r="M6936" s="561">
        <v>40877.6948974283</v>
      </c>
      <c r="N6936" s="561">
        <v>6656.4000000000005</v>
      </c>
      <c r="P6936" s="561">
        <v>34221.294897428299</v>
      </c>
      <c r="Q6936" s="561">
        <v>34221.294677428305</v>
      </c>
    </row>
    <row r="6937" spans="1:38">
      <c r="A6937" s="561">
        <v>46</v>
      </c>
      <c r="B6937" s="561" t="s">
        <v>1874</v>
      </c>
      <c r="C6937" s="561" t="s">
        <v>1267</v>
      </c>
      <c r="D6937" s="561">
        <v>69723.976076244624</v>
      </c>
      <c r="E6937" s="561">
        <v>18232.799999999996</v>
      </c>
      <c r="F6937" s="561">
        <v>51491.175756244607</v>
      </c>
      <c r="G6937" s="561">
        <v>1701</v>
      </c>
      <c r="H6937" s="561">
        <v>75377.255196244601</v>
      </c>
      <c r="I6937" s="561">
        <v>165</v>
      </c>
      <c r="J6937" s="561">
        <v>5734.8821400000015</v>
      </c>
      <c r="K6937" s="561">
        <v>1657</v>
      </c>
      <c r="L6937" s="561">
        <v>69723.976076244624</v>
      </c>
      <c r="M6937" s="561">
        <v>69723.976076244624</v>
      </c>
      <c r="N6937" s="561">
        <v>18232.799999999996</v>
      </c>
      <c r="O6937" s="561">
        <v>0</v>
      </c>
      <c r="P6937" s="561">
        <v>51491.176076244628</v>
      </c>
      <c r="Q6937" s="561">
        <v>51491.175756244607</v>
      </c>
    </row>
    <row r="6938" spans="1:38">
      <c r="C6938" s="561" t="s">
        <v>1197</v>
      </c>
      <c r="D6938" s="561">
        <v>59254.359573920046</v>
      </c>
      <c r="E6938" s="561">
        <v>15809.999999999995</v>
      </c>
      <c r="F6938" s="561">
        <v>43444.360023920039</v>
      </c>
      <c r="G6938" s="561">
        <v>970</v>
      </c>
      <c r="H6938" s="561">
        <v>64777.375763920034</v>
      </c>
      <c r="I6938" s="561">
        <v>125</v>
      </c>
      <c r="J6938" s="561">
        <v>5530.8241900000012</v>
      </c>
      <c r="K6938" s="561">
        <v>927</v>
      </c>
      <c r="L6938" s="561">
        <v>59254.359573920046</v>
      </c>
      <c r="M6938" s="561">
        <v>59254.359573920046</v>
      </c>
      <c r="N6938" s="561">
        <v>15809.999999999995</v>
      </c>
      <c r="Q6938" s="561">
        <v>43444.360023920039</v>
      </c>
      <c r="AL6938" s="561">
        <v>43444.359573920054</v>
      </c>
    </row>
    <row r="6939" spans="1:38">
      <c r="C6939" s="561" t="s">
        <v>1199</v>
      </c>
      <c r="D6939" s="561">
        <v>10469.616502324572</v>
      </c>
      <c r="E6939" s="561">
        <v>2422.7999999999997</v>
      </c>
      <c r="F6939" s="561">
        <v>8046.8157323245714</v>
      </c>
      <c r="G6939" s="561">
        <v>731</v>
      </c>
      <c r="H6939" s="561">
        <v>10599.879432324575</v>
      </c>
      <c r="I6939" s="561">
        <v>40</v>
      </c>
      <c r="J6939" s="561">
        <v>204.05794999999989</v>
      </c>
      <c r="K6939" s="561">
        <v>730</v>
      </c>
      <c r="L6939" s="561">
        <v>10469.616502324572</v>
      </c>
      <c r="M6939" s="561">
        <v>10469.616502324572</v>
      </c>
      <c r="N6939" s="561">
        <v>2422.7999999999997</v>
      </c>
      <c r="P6939" s="561">
        <v>8046.8165023245729</v>
      </c>
      <c r="Q6939" s="561">
        <v>8046.8157323245714</v>
      </c>
    </row>
    <row r="6940" spans="1:38">
      <c r="A6940" s="561">
        <v>47</v>
      </c>
      <c r="B6940" s="561" t="s">
        <v>1875</v>
      </c>
      <c r="C6940" s="561" t="s">
        <v>1267</v>
      </c>
      <c r="D6940" s="561">
        <v>43989.699950000009</v>
      </c>
      <c r="E6940" s="561">
        <v>10537.199999999999</v>
      </c>
      <c r="F6940" s="561">
        <v>33452.500000000007</v>
      </c>
      <c r="G6940" s="561">
        <v>3005</v>
      </c>
      <c r="H6940" s="561">
        <v>48992.007439999994</v>
      </c>
      <c r="I6940" s="561">
        <v>207</v>
      </c>
      <c r="J6940" s="561">
        <v>5019.6881599999997</v>
      </c>
      <c r="K6940" s="561">
        <v>2932</v>
      </c>
      <c r="L6940" s="561">
        <v>43989.699950000009</v>
      </c>
      <c r="M6940" s="561">
        <v>43989.699950000009</v>
      </c>
      <c r="N6940" s="561">
        <v>10537.199999999999</v>
      </c>
      <c r="O6940" s="561">
        <v>0</v>
      </c>
      <c r="P6940" s="561">
        <v>33452.499950000012</v>
      </c>
      <c r="Q6940" s="561">
        <v>33452.500000000007</v>
      </c>
    </row>
    <row r="6941" spans="1:38">
      <c r="C6941" s="561" t="s">
        <v>1199</v>
      </c>
      <c r="D6941" s="561">
        <v>43989.699950000009</v>
      </c>
      <c r="E6941" s="561">
        <v>10537.199999999999</v>
      </c>
      <c r="F6941" s="561">
        <v>33452.500000000007</v>
      </c>
      <c r="G6941" s="561">
        <v>3005</v>
      </c>
      <c r="H6941" s="561">
        <v>48992.007439999994</v>
      </c>
      <c r="I6941" s="561">
        <v>207</v>
      </c>
      <c r="J6941" s="561">
        <v>5019.6881599999997</v>
      </c>
      <c r="K6941" s="561">
        <v>2932</v>
      </c>
      <c r="L6941" s="561">
        <v>43989.699950000009</v>
      </c>
      <c r="M6941" s="561">
        <v>43989.699950000009</v>
      </c>
      <c r="N6941" s="561">
        <v>10537.199999999999</v>
      </c>
      <c r="P6941" s="561">
        <v>33452.499950000012</v>
      </c>
      <c r="Q6941" s="561">
        <v>33452.500000000007</v>
      </c>
    </row>
    <row r="6942" spans="1:38">
      <c r="B6942" s="561" t="s">
        <v>1876</v>
      </c>
      <c r="D6942" s="561">
        <v>403099.60660308471</v>
      </c>
      <c r="E6942" s="561">
        <v>103705.19999999998</v>
      </c>
      <c r="F6942" s="561">
        <v>299394.40668052901</v>
      </c>
      <c r="G6942" s="561">
        <v>8945</v>
      </c>
      <c r="H6942" s="561">
        <v>433771.49604962143</v>
      </c>
      <c r="I6942" s="561">
        <v>740</v>
      </c>
      <c r="J6942" s="561">
        <v>31307.551309999999</v>
      </c>
      <c r="K6942" s="561">
        <v>8861</v>
      </c>
      <c r="L6942" s="561">
        <v>403099.60660308471</v>
      </c>
      <c r="M6942" s="561">
        <v>403099.60660308471</v>
      </c>
      <c r="N6942" s="561">
        <v>103705.19999999998</v>
      </c>
      <c r="O6942" s="561">
        <v>0</v>
      </c>
      <c r="P6942" s="561">
        <v>299394.4066030847</v>
      </c>
      <c r="Q6942" s="561">
        <v>299394.40668052901</v>
      </c>
    </row>
    <row r="6943" spans="1:38">
      <c r="A6943" s="561">
        <v>48</v>
      </c>
      <c r="B6943" s="561" t="s">
        <v>1877</v>
      </c>
      <c r="C6943" s="561" t="s">
        <v>1267</v>
      </c>
      <c r="D6943" s="561">
        <v>384603.65368052904</v>
      </c>
      <c r="E6943" s="561">
        <v>98305.199999999983</v>
      </c>
      <c r="F6943" s="561">
        <v>286298.45368052903</v>
      </c>
      <c r="G6943" s="561">
        <v>7620</v>
      </c>
      <c r="H6943" s="561">
        <v>413981.24747706577</v>
      </c>
      <c r="I6943" s="561">
        <v>655</v>
      </c>
      <c r="J6943" s="561">
        <v>29914.496589999999</v>
      </c>
      <c r="K6943" s="561">
        <v>7554</v>
      </c>
      <c r="L6943" s="561">
        <v>384603.65368052904</v>
      </c>
      <c r="M6943" s="561">
        <v>384603.65368052904</v>
      </c>
      <c r="N6943" s="561">
        <v>98305.199999999983</v>
      </c>
      <c r="O6943" s="561">
        <v>0</v>
      </c>
      <c r="P6943" s="561">
        <v>286298.45368052903</v>
      </c>
      <c r="Q6943" s="561">
        <v>286298.45368052903</v>
      </c>
    </row>
    <row r="6944" spans="1:38">
      <c r="C6944" s="561" t="s">
        <v>1197</v>
      </c>
      <c r="D6944" s="561">
        <v>355646.66685719573</v>
      </c>
      <c r="E6944" s="561">
        <v>92545.199999999983</v>
      </c>
      <c r="F6944" s="561">
        <v>263101.46685719572</v>
      </c>
      <c r="G6944" s="561">
        <v>5705</v>
      </c>
      <c r="H6944" s="561">
        <v>384320.89902719582</v>
      </c>
      <c r="I6944" s="561">
        <v>565</v>
      </c>
      <c r="J6944" s="561">
        <v>29278.515309999999</v>
      </c>
      <c r="K6944" s="561">
        <v>5649</v>
      </c>
      <c r="L6944" s="561">
        <v>355646.66685719573</v>
      </c>
      <c r="M6944" s="561">
        <v>355646.66685719573</v>
      </c>
      <c r="N6944" s="561">
        <v>92545.199999999983</v>
      </c>
      <c r="Q6944" s="561">
        <v>263101.46685719572</v>
      </c>
      <c r="AL6944" s="561">
        <v>263101.46685719572</v>
      </c>
    </row>
    <row r="6945" spans="1:38">
      <c r="C6945" s="561" t="s">
        <v>1199</v>
      </c>
      <c r="D6945" s="561">
        <v>28956.986823333333</v>
      </c>
      <c r="E6945" s="561">
        <v>5760</v>
      </c>
      <c r="F6945" s="561">
        <v>23196.986823333333</v>
      </c>
      <c r="G6945" s="561">
        <v>1915</v>
      </c>
      <c r="H6945" s="561">
        <v>29660.348449869925</v>
      </c>
      <c r="I6945" s="561">
        <v>90</v>
      </c>
      <c r="J6945" s="561">
        <v>635.98127999999951</v>
      </c>
      <c r="K6945" s="561">
        <v>1905</v>
      </c>
      <c r="L6945" s="561">
        <v>28956.986823333333</v>
      </c>
      <c r="M6945" s="561">
        <v>28956.986823333333</v>
      </c>
      <c r="N6945" s="561">
        <v>5760</v>
      </c>
      <c r="P6945" s="561">
        <v>23196.986823333333</v>
      </c>
      <c r="Q6945" s="561">
        <v>23196.986823333333</v>
      </c>
    </row>
    <row r="6946" spans="1:38">
      <c r="A6946" s="561">
        <v>49</v>
      </c>
      <c r="B6946" s="561" t="s">
        <v>1878</v>
      </c>
      <c r="C6946" s="561" t="s">
        <v>1267</v>
      </c>
      <c r="D6946" s="561">
        <v>18495.952922555673</v>
      </c>
      <c r="E6946" s="561">
        <v>5399.9999999999991</v>
      </c>
      <c r="F6946" s="561">
        <v>13095.953000000003</v>
      </c>
      <c r="G6946" s="561">
        <v>1325</v>
      </c>
      <c r="H6946" s="561">
        <v>19790.248572555676</v>
      </c>
      <c r="I6946" s="561">
        <v>85</v>
      </c>
      <c r="J6946" s="561">
        <v>1393.0547199999999</v>
      </c>
      <c r="K6946" s="561">
        <v>1307</v>
      </c>
      <c r="L6946" s="561">
        <v>18495.952922555673</v>
      </c>
      <c r="M6946" s="561">
        <v>18495.952922555673</v>
      </c>
      <c r="N6946" s="561">
        <v>5399.9999999999991</v>
      </c>
      <c r="O6946" s="561">
        <v>0</v>
      </c>
      <c r="P6946" s="561">
        <v>13095.952922555673</v>
      </c>
      <c r="Q6946" s="561">
        <v>13095.953000000003</v>
      </c>
    </row>
    <row r="6947" spans="1:38">
      <c r="C6947" s="561" t="s">
        <v>1199</v>
      </c>
      <c r="D6947" s="561">
        <v>18495.952922555673</v>
      </c>
      <c r="E6947" s="561">
        <v>5399.9999999999991</v>
      </c>
      <c r="F6947" s="561">
        <v>13095.953000000003</v>
      </c>
      <c r="G6947" s="561">
        <v>1325</v>
      </c>
      <c r="H6947" s="561">
        <v>19790.248572555676</v>
      </c>
      <c r="I6947" s="561">
        <v>85</v>
      </c>
      <c r="J6947" s="561">
        <v>1393.0547199999999</v>
      </c>
      <c r="K6947" s="561">
        <v>1307</v>
      </c>
      <c r="L6947" s="561">
        <v>18495.952922555673</v>
      </c>
      <c r="M6947" s="561">
        <v>18495.952922555673</v>
      </c>
      <c r="N6947" s="561">
        <v>5399.9999999999991</v>
      </c>
      <c r="P6947" s="561">
        <v>13095.952922555673</v>
      </c>
      <c r="Q6947" s="561">
        <v>13095.953000000003</v>
      </c>
    </row>
    <row r="6948" spans="1:38">
      <c r="B6948" s="561" t="s">
        <v>1879</v>
      </c>
      <c r="D6948" s="561">
        <v>536375.36543437548</v>
      </c>
      <c r="E6948" s="561">
        <v>158691.6</v>
      </c>
      <c r="F6948" s="561">
        <v>377683.76543433149</v>
      </c>
      <c r="G6948" s="561">
        <v>12778</v>
      </c>
      <c r="H6948" s="561">
        <v>595581.53658770875</v>
      </c>
      <c r="I6948" s="561">
        <v>1680</v>
      </c>
      <c r="J6948" s="561">
        <v>63119.813120000006</v>
      </c>
      <c r="K6948" s="561">
        <v>12662</v>
      </c>
      <c r="L6948" s="561">
        <v>536375.36543437548</v>
      </c>
      <c r="M6948" s="561">
        <v>536375.36543437548</v>
      </c>
      <c r="N6948" s="561">
        <v>158691.6</v>
      </c>
      <c r="O6948" s="561">
        <v>0</v>
      </c>
      <c r="P6948" s="561">
        <v>377683.76543437544</v>
      </c>
      <c r="Q6948" s="561">
        <v>377683.76543433149</v>
      </c>
    </row>
    <row r="6949" spans="1:38">
      <c r="A6949" s="561">
        <v>50</v>
      </c>
      <c r="B6949" s="561" t="s">
        <v>1880</v>
      </c>
      <c r="C6949" s="561" t="s">
        <v>1267</v>
      </c>
      <c r="D6949" s="561">
        <v>503621.46509099816</v>
      </c>
      <c r="E6949" s="561">
        <v>149691.6</v>
      </c>
      <c r="F6949" s="561">
        <v>353929.86543433147</v>
      </c>
      <c r="G6949" s="561">
        <v>10255</v>
      </c>
      <c r="H6949" s="561">
        <v>561769.92022433144</v>
      </c>
      <c r="I6949" s="561">
        <v>1452</v>
      </c>
      <c r="J6949" s="561">
        <v>61880.017370000009</v>
      </c>
      <c r="K6949" s="561">
        <v>10150</v>
      </c>
      <c r="L6949" s="561">
        <v>503621.46509099816</v>
      </c>
      <c r="M6949" s="561">
        <v>503621.46509099816</v>
      </c>
      <c r="N6949" s="561">
        <v>149691.6</v>
      </c>
      <c r="O6949" s="561">
        <v>0</v>
      </c>
      <c r="P6949" s="561">
        <v>353929.86509099818</v>
      </c>
      <c r="Q6949" s="561">
        <v>353929.86543433147</v>
      </c>
    </row>
    <row r="6950" spans="1:38">
      <c r="C6950" s="561" t="s">
        <v>1197</v>
      </c>
      <c r="D6950" s="561">
        <v>477042.10446256201</v>
      </c>
      <c r="E6950" s="561">
        <v>143571.6</v>
      </c>
      <c r="F6950" s="561">
        <v>333470.50439256197</v>
      </c>
      <c r="G6950" s="561">
        <v>8492</v>
      </c>
      <c r="H6950" s="561">
        <v>534536.44487256196</v>
      </c>
      <c r="I6950" s="561">
        <v>1367</v>
      </c>
      <c r="J6950" s="561">
        <v>61382.058540000005</v>
      </c>
      <c r="K6950" s="561">
        <v>8388</v>
      </c>
      <c r="L6950" s="561">
        <v>477042.10446256201</v>
      </c>
      <c r="M6950" s="561">
        <v>477042.10446256201</v>
      </c>
      <c r="N6950" s="561">
        <v>143571.6</v>
      </c>
      <c r="Q6950" s="561">
        <v>333470.50439256197</v>
      </c>
      <c r="AL6950" s="561">
        <v>333470.50446256204</v>
      </c>
    </row>
    <row r="6951" spans="1:38">
      <c r="C6951" s="561" t="s">
        <v>1199</v>
      </c>
      <c r="D6951" s="561">
        <v>26579.360628436159</v>
      </c>
      <c r="E6951" s="561">
        <v>6120</v>
      </c>
      <c r="F6951" s="561">
        <v>20459.361041769491</v>
      </c>
      <c r="G6951" s="561">
        <v>1763</v>
      </c>
      <c r="H6951" s="561">
        <v>27233.475351769495</v>
      </c>
      <c r="I6951" s="561">
        <v>85</v>
      </c>
      <c r="J6951" s="561">
        <v>497.95882999999998</v>
      </c>
      <c r="K6951" s="561">
        <v>1762</v>
      </c>
      <c r="L6951" s="561">
        <v>26579.360628436159</v>
      </c>
      <c r="M6951" s="561">
        <v>26579.360628436159</v>
      </c>
      <c r="N6951" s="561">
        <v>6120</v>
      </c>
      <c r="P6951" s="561">
        <v>20459.360628436159</v>
      </c>
      <c r="Q6951" s="561">
        <v>20459.361041769491</v>
      </c>
    </row>
    <row r="6952" spans="1:38">
      <c r="A6952" s="561">
        <v>51</v>
      </c>
      <c r="B6952" s="561" t="s">
        <v>1881</v>
      </c>
      <c r="C6952" s="561" t="s">
        <v>1267</v>
      </c>
      <c r="D6952" s="561">
        <v>32753.900343377278</v>
      </c>
      <c r="E6952" s="561">
        <v>9000</v>
      </c>
      <c r="F6952" s="561">
        <v>23753.9</v>
      </c>
      <c r="G6952" s="561">
        <v>2523</v>
      </c>
      <c r="H6952" s="561">
        <v>33811.616363377274</v>
      </c>
      <c r="I6952" s="561">
        <v>228</v>
      </c>
      <c r="J6952" s="561">
        <v>1239.7957499999993</v>
      </c>
      <c r="K6952" s="561">
        <v>2512</v>
      </c>
      <c r="L6952" s="561">
        <v>32753.900343377278</v>
      </c>
      <c r="M6952" s="561">
        <v>32753.900343377278</v>
      </c>
      <c r="N6952" s="561">
        <v>9000</v>
      </c>
      <c r="O6952" s="561">
        <v>0</v>
      </c>
      <c r="P6952" s="561">
        <v>23753.900343377278</v>
      </c>
      <c r="Q6952" s="561">
        <v>23753.9</v>
      </c>
    </row>
    <row r="6953" spans="1:38">
      <c r="C6953" s="561" t="s">
        <v>1199</v>
      </c>
      <c r="D6953" s="561">
        <v>32753.900343377278</v>
      </c>
      <c r="E6953" s="561">
        <v>9000</v>
      </c>
      <c r="F6953" s="561">
        <v>23753.9</v>
      </c>
      <c r="G6953" s="561">
        <v>2523</v>
      </c>
      <c r="H6953" s="561">
        <v>33811.616363377274</v>
      </c>
      <c r="I6953" s="561">
        <v>228</v>
      </c>
      <c r="J6953" s="561">
        <v>1239.7957499999993</v>
      </c>
      <c r="K6953" s="561">
        <v>2512</v>
      </c>
      <c r="L6953" s="561">
        <v>32753.900343377278</v>
      </c>
      <c r="M6953" s="561">
        <v>32753.900343377278</v>
      </c>
      <c r="N6953" s="561">
        <v>9000</v>
      </c>
      <c r="P6953" s="561">
        <v>23753.900343377278</v>
      </c>
      <c r="Q6953" s="561">
        <v>23753.9</v>
      </c>
    </row>
    <row r="6954" spans="1:38">
      <c r="B6954" s="561" t="s">
        <v>1882</v>
      </c>
      <c r="D6954" s="561">
        <v>1800424.7548271937</v>
      </c>
      <c r="E6954" s="561">
        <v>466025.29999999993</v>
      </c>
      <c r="F6954" s="561">
        <v>1334399.4543298071</v>
      </c>
      <c r="G6954" s="561">
        <v>39015</v>
      </c>
      <c r="H6954" s="561">
        <v>1983399.8036062317</v>
      </c>
      <c r="I6954" s="561">
        <v>4307</v>
      </c>
      <c r="J6954" s="561">
        <v>192626.26978000003</v>
      </c>
      <c r="K6954" s="561">
        <v>38602</v>
      </c>
      <c r="L6954" s="561">
        <v>1800424.7548271937</v>
      </c>
      <c r="M6954" s="561">
        <v>1800424.7548271937</v>
      </c>
      <c r="N6954" s="561">
        <v>466025.29999999993</v>
      </c>
      <c r="O6954" s="561">
        <v>0</v>
      </c>
      <c r="P6954" s="561">
        <v>1334399.4548271934</v>
      </c>
      <c r="Q6954" s="561">
        <v>1334399.4543298071</v>
      </c>
    </row>
    <row r="6955" spans="1:38">
      <c r="A6955" s="561">
        <v>52</v>
      </c>
      <c r="B6955" s="561" t="s">
        <v>1883</v>
      </c>
      <c r="C6955" s="561" t="s">
        <v>1267</v>
      </c>
      <c r="D6955" s="561">
        <v>695509.41255152435</v>
      </c>
      <c r="E6955" s="561">
        <v>177766.99999999997</v>
      </c>
      <c r="F6955" s="561">
        <v>517742.41237485758</v>
      </c>
      <c r="G6955" s="561">
        <v>12738</v>
      </c>
      <c r="H6955" s="561">
        <v>757974.15579224762</v>
      </c>
      <c r="I6955" s="561">
        <v>1469</v>
      </c>
      <c r="J6955" s="561">
        <v>66865.110209999999</v>
      </c>
      <c r="K6955" s="561">
        <v>12671</v>
      </c>
      <c r="L6955" s="561">
        <v>695509.41255152435</v>
      </c>
      <c r="M6955" s="561">
        <v>695509.41255152435</v>
      </c>
      <c r="N6955" s="561">
        <v>177766.99999999997</v>
      </c>
      <c r="O6955" s="561">
        <v>0</v>
      </c>
      <c r="P6955" s="561">
        <v>517742.41255152435</v>
      </c>
      <c r="Q6955" s="561">
        <v>517742.41237485758</v>
      </c>
    </row>
    <row r="6956" spans="1:38">
      <c r="C6956" s="561" t="s">
        <v>1197</v>
      </c>
      <c r="D6956" s="561">
        <v>611068.70663485769</v>
      </c>
      <c r="E6956" s="561">
        <v>171427.49999999997</v>
      </c>
      <c r="F6956" s="561">
        <v>439641.20629485761</v>
      </c>
      <c r="G6956" s="561">
        <v>10031</v>
      </c>
      <c r="H6956" s="561">
        <v>672650.89645485766</v>
      </c>
      <c r="I6956" s="561">
        <v>1284</v>
      </c>
      <c r="J6956" s="561">
        <v>65845.460319999998</v>
      </c>
      <c r="K6956" s="561">
        <v>9965</v>
      </c>
      <c r="L6956" s="561">
        <v>611068.70663485769</v>
      </c>
      <c r="M6956" s="561">
        <v>611068.70663485769</v>
      </c>
      <c r="N6956" s="561">
        <v>171427.49999999997</v>
      </c>
      <c r="Q6956" s="561">
        <v>439641.20629485761</v>
      </c>
      <c r="AL6956" s="561">
        <v>439641.20663485769</v>
      </c>
    </row>
    <row r="6957" spans="1:38">
      <c r="C6957" s="561" t="s">
        <v>1199</v>
      </c>
      <c r="D6957" s="561">
        <v>84440.705916666673</v>
      </c>
      <c r="E6957" s="561">
        <v>6339.5</v>
      </c>
      <c r="F6957" s="561">
        <v>78101.206080000004</v>
      </c>
      <c r="G6957" s="561">
        <v>2707</v>
      </c>
      <c r="H6957" s="561">
        <v>85323.259337389987</v>
      </c>
      <c r="I6957" s="561">
        <v>185</v>
      </c>
      <c r="J6957" s="561">
        <v>1019.6498899999999</v>
      </c>
      <c r="K6957" s="561">
        <v>2706</v>
      </c>
      <c r="L6957" s="561">
        <v>84440.705916666673</v>
      </c>
      <c r="M6957" s="561">
        <v>84440.705916666673</v>
      </c>
      <c r="N6957" s="561">
        <v>6339.5</v>
      </c>
      <c r="P6957" s="561">
        <v>78101.205916666673</v>
      </c>
      <c r="Q6957" s="561">
        <v>78101.206080000004</v>
      </c>
    </row>
    <row r="6958" spans="1:38">
      <c r="A6958" s="561">
        <v>53</v>
      </c>
      <c r="B6958" s="561" t="s">
        <v>1884</v>
      </c>
      <c r="C6958" s="561" t="s">
        <v>1267</v>
      </c>
      <c r="D6958" s="561">
        <v>459759.38433664263</v>
      </c>
      <c r="E6958" s="561">
        <v>115659.9</v>
      </c>
      <c r="F6958" s="561">
        <v>344099.48418664257</v>
      </c>
      <c r="G6958" s="561">
        <v>7955</v>
      </c>
      <c r="H6958" s="561">
        <v>494018.68016676552</v>
      </c>
      <c r="I6958" s="561">
        <v>884</v>
      </c>
      <c r="J6958" s="561">
        <v>38119.48621000001</v>
      </c>
      <c r="K6958" s="561">
        <v>7869</v>
      </c>
      <c r="L6958" s="561">
        <v>459759.38433664263</v>
      </c>
      <c r="M6958" s="561">
        <v>459759.38433664263</v>
      </c>
      <c r="N6958" s="561">
        <v>115659.9</v>
      </c>
      <c r="O6958" s="561">
        <v>0</v>
      </c>
      <c r="P6958" s="561">
        <v>344099.48433664261</v>
      </c>
      <c r="Q6958" s="561">
        <v>344099.48418664257</v>
      </c>
    </row>
    <row r="6959" spans="1:38">
      <c r="C6959" s="561" t="s">
        <v>1197</v>
      </c>
      <c r="D6959" s="561">
        <v>443393.53154664265</v>
      </c>
      <c r="E6959" s="561">
        <v>110619.9</v>
      </c>
      <c r="F6959" s="561">
        <v>332773.63148664258</v>
      </c>
      <c r="G6959" s="561">
        <v>6960</v>
      </c>
      <c r="H6959" s="561">
        <v>477277.19971664267</v>
      </c>
      <c r="I6959" s="561">
        <v>862</v>
      </c>
      <c r="J6959" s="561">
        <v>37892.782690000007</v>
      </c>
      <c r="K6959" s="561">
        <v>6877</v>
      </c>
      <c r="L6959" s="561">
        <v>443393.53154664265</v>
      </c>
      <c r="M6959" s="561">
        <v>443393.53154664265</v>
      </c>
      <c r="N6959" s="561">
        <v>110619.9</v>
      </c>
      <c r="Q6959" s="561">
        <v>332773.63148664258</v>
      </c>
      <c r="AL6959" s="561">
        <v>332773.63154664263</v>
      </c>
    </row>
    <row r="6960" spans="1:38">
      <c r="C6960" s="561" t="s">
        <v>1199</v>
      </c>
      <c r="D6960" s="561">
        <v>16365.852789999999</v>
      </c>
      <c r="E6960" s="561">
        <v>5039.9999999999991</v>
      </c>
      <c r="F6960" s="561">
        <v>11325.852700000001</v>
      </c>
      <c r="G6960" s="561">
        <v>995</v>
      </c>
      <c r="H6960" s="561">
        <v>16741.480450122868</v>
      </c>
      <c r="I6960" s="561">
        <v>22</v>
      </c>
      <c r="J6960" s="561">
        <v>226.70351999999983</v>
      </c>
      <c r="K6960" s="561">
        <v>992</v>
      </c>
      <c r="L6960" s="561">
        <v>16365.852789999999</v>
      </c>
      <c r="M6960" s="561">
        <v>16365.852789999999</v>
      </c>
      <c r="N6960" s="561">
        <v>5039.9999999999991</v>
      </c>
      <c r="P6960" s="561">
        <v>11325.852790000001</v>
      </c>
      <c r="Q6960" s="561">
        <v>11325.852700000001</v>
      </c>
    </row>
    <row r="6961" spans="1:38">
      <c r="A6961" s="561">
        <v>54</v>
      </c>
      <c r="B6961" s="561" t="s">
        <v>1885</v>
      </c>
      <c r="C6961" s="561" t="s">
        <v>1267</v>
      </c>
      <c r="D6961" s="561">
        <v>237473.85380164013</v>
      </c>
      <c r="E6961" s="561">
        <v>69276.599999999991</v>
      </c>
      <c r="F6961" s="561">
        <v>168197.25384830681</v>
      </c>
      <c r="G6961" s="561">
        <v>4803</v>
      </c>
      <c r="H6961" s="561">
        <v>279680.25078312948</v>
      </c>
      <c r="I6961" s="561">
        <v>714</v>
      </c>
      <c r="J6961" s="561">
        <v>42883.732120000001</v>
      </c>
      <c r="K6961" s="561">
        <v>4728</v>
      </c>
      <c r="L6961" s="561">
        <v>237473.85380164013</v>
      </c>
      <c r="M6961" s="561">
        <v>237473.85380164013</v>
      </c>
      <c r="N6961" s="561">
        <v>69276.599999999991</v>
      </c>
      <c r="O6961" s="561">
        <v>0</v>
      </c>
      <c r="P6961" s="561">
        <v>168197.25380164012</v>
      </c>
      <c r="Q6961" s="561">
        <v>168197.25384830681</v>
      </c>
    </row>
    <row r="6962" spans="1:38">
      <c r="C6962" s="561" t="s">
        <v>1197</v>
      </c>
      <c r="D6962" s="561">
        <v>230804.33853830679</v>
      </c>
      <c r="E6962" s="561">
        <v>67476.599999999991</v>
      </c>
      <c r="F6962" s="561">
        <v>163327.7388683068</v>
      </c>
      <c r="G6962" s="561">
        <v>4337</v>
      </c>
      <c r="H6962" s="561">
        <v>272901.72415830672</v>
      </c>
      <c r="I6962" s="561">
        <v>706</v>
      </c>
      <c r="J6962" s="561">
        <v>42841.225850000003</v>
      </c>
      <c r="K6962" s="561">
        <v>4262</v>
      </c>
      <c r="L6962" s="561">
        <v>230804.33853830679</v>
      </c>
      <c r="M6962" s="561">
        <v>230804.33853830679</v>
      </c>
      <c r="N6962" s="561">
        <v>67476.599999999991</v>
      </c>
      <c r="Q6962" s="561">
        <v>163327.7388683068</v>
      </c>
      <c r="AL6962" s="561">
        <v>163327.73853830679</v>
      </c>
    </row>
    <row r="6963" spans="1:38">
      <c r="C6963" s="561" t="s">
        <v>1199</v>
      </c>
      <c r="D6963" s="561">
        <v>6669.5152633333328</v>
      </c>
      <c r="E6963" s="561">
        <v>1799.9999999999998</v>
      </c>
      <c r="F6963" s="561">
        <v>4869.5149799999999</v>
      </c>
      <c r="G6963" s="561">
        <v>466</v>
      </c>
      <c r="H6963" s="561">
        <v>6778.5266248227817</v>
      </c>
      <c r="I6963" s="561">
        <v>8</v>
      </c>
      <c r="J6963" s="561">
        <v>42.506269999999979</v>
      </c>
      <c r="K6963" s="561">
        <v>466</v>
      </c>
      <c r="L6963" s="561">
        <v>6669.5152633333328</v>
      </c>
      <c r="M6963" s="561">
        <v>6669.5152633333328</v>
      </c>
      <c r="N6963" s="561">
        <v>1799.9999999999998</v>
      </c>
      <c r="P6963" s="561">
        <v>4869.5152633333328</v>
      </c>
      <c r="Q6963" s="561">
        <v>4869.5149799999999</v>
      </c>
    </row>
    <row r="6964" spans="1:38">
      <c r="A6964" s="561">
        <v>55</v>
      </c>
      <c r="B6964" s="561" t="s">
        <v>1886</v>
      </c>
      <c r="C6964" s="561" t="s">
        <v>1267</v>
      </c>
      <c r="D6964" s="561">
        <v>289630.05381000001</v>
      </c>
      <c r="E6964" s="561">
        <v>76357.799999999988</v>
      </c>
      <c r="F6964" s="561">
        <v>213272.25392000005</v>
      </c>
      <c r="G6964" s="561">
        <v>5260</v>
      </c>
      <c r="H6964" s="561">
        <v>317907.6845867025</v>
      </c>
      <c r="I6964" s="561">
        <v>569</v>
      </c>
      <c r="J6964" s="561">
        <v>28880.721609999997</v>
      </c>
      <c r="K6964" s="561">
        <v>5205</v>
      </c>
      <c r="L6964" s="561">
        <v>289630.05381000001</v>
      </c>
      <c r="M6964" s="561">
        <v>289630.05381000001</v>
      </c>
      <c r="N6964" s="561">
        <v>76357.799999999988</v>
      </c>
      <c r="O6964" s="561">
        <v>0</v>
      </c>
      <c r="P6964" s="561">
        <v>213272.25381000002</v>
      </c>
      <c r="Q6964" s="561">
        <v>213272.25392000005</v>
      </c>
    </row>
    <row r="6965" spans="1:38">
      <c r="C6965" s="561" t="s">
        <v>1197</v>
      </c>
      <c r="D6965" s="561">
        <v>276486.64924</v>
      </c>
      <c r="E6965" s="561">
        <v>73837.799999999988</v>
      </c>
      <c r="F6965" s="561">
        <v>202648.84948000003</v>
      </c>
      <c r="G6965" s="561">
        <v>4439</v>
      </c>
      <c r="H6965" s="561">
        <v>304538.97393000004</v>
      </c>
      <c r="I6965" s="561">
        <v>559</v>
      </c>
      <c r="J6965" s="561">
        <v>28787.586039999998</v>
      </c>
      <c r="K6965" s="561">
        <v>4388</v>
      </c>
      <c r="L6965" s="561">
        <v>276486.64924</v>
      </c>
      <c r="M6965" s="561">
        <v>276486.64924</v>
      </c>
      <c r="N6965" s="561">
        <v>73837.799999999988</v>
      </c>
      <c r="Q6965" s="561">
        <v>202648.84948000003</v>
      </c>
      <c r="AL6965" s="561">
        <v>202648.84924000001</v>
      </c>
    </row>
    <row r="6966" spans="1:38">
      <c r="C6966" s="561" t="s">
        <v>1199</v>
      </c>
      <c r="D6966" s="561">
        <v>13143.404569999999</v>
      </c>
      <c r="E6966" s="561">
        <v>2519.9999999999995</v>
      </c>
      <c r="F6966" s="561">
        <v>10623.40444</v>
      </c>
      <c r="G6966" s="561">
        <v>821</v>
      </c>
      <c r="H6966" s="561">
        <v>13368.710656702438</v>
      </c>
      <c r="I6966" s="561">
        <v>10</v>
      </c>
      <c r="J6966" s="561">
        <v>93.135569999999802</v>
      </c>
      <c r="K6966" s="561">
        <v>817</v>
      </c>
      <c r="L6966" s="561">
        <v>13143.404569999999</v>
      </c>
      <c r="M6966" s="561">
        <v>13143.404569999999</v>
      </c>
      <c r="N6966" s="561">
        <v>2519.9999999999995</v>
      </c>
      <c r="P6966" s="561">
        <v>10623.404569999999</v>
      </c>
      <c r="Q6966" s="561">
        <v>10623.40444</v>
      </c>
    </row>
    <row r="6967" spans="1:38">
      <c r="A6967" s="561">
        <v>56</v>
      </c>
      <c r="B6967" s="561" t="s">
        <v>1887</v>
      </c>
      <c r="C6967" s="561" t="s">
        <v>1267</v>
      </c>
      <c r="D6967" s="561">
        <v>54065.000265070812</v>
      </c>
      <c r="E6967" s="561">
        <v>13319.999999999998</v>
      </c>
      <c r="F6967" s="561">
        <v>40745</v>
      </c>
      <c r="G6967" s="561">
        <v>3616</v>
      </c>
      <c r="H6967" s="561">
        <v>58215.612215070811</v>
      </c>
      <c r="I6967" s="561">
        <v>315</v>
      </c>
      <c r="J6967" s="561">
        <v>4623.6017499999998</v>
      </c>
      <c r="K6967" s="561">
        <v>3584</v>
      </c>
      <c r="L6967" s="561">
        <v>54065.000265070812</v>
      </c>
      <c r="M6967" s="561">
        <v>54065.000265070812</v>
      </c>
      <c r="N6967" s="561">
        <v>13319.999999999998</v>
      </c>
      <c r="O6967" s="561">
        <v>0</v>
      </c>
      <c r="P6967" s="561">
        <v>40745.000265070812</v>
      </c>
      <c r="Q6967" s="561">
        <v>40745</v>
      </c>
    </row>
    <row r="6968" spans="1:38">
      <c r="C6968" s="561" t="s">
        <v>1199</v>
      </c>
      <c r="D6968" s="561">
        <v>54065.000265070812</v>
      </c>
      <c r="E6968" s="561">
        <v>13319.999999999998</v>
      </c>
      <c r="F6968" s="561">
        <v>40745</v>
      </c>
      <c r="G6968" s="561">
        <v>3616</v>
      </c>
      <c r="H6968" s="561">
        <v>58215.612215070811</v>
      </c>
      <c r="I6968" s="561">
        <v>315</v>
      </c>
      <c r="J6968" s="561">
        <v>4623.6017499999998</v>
      </c>
      <c r="K6968" s="561">
        <v>3584</v>
      </c>
      <c r="L6968" s="561">
        <v>54065.000265070812</v>
      </c>
      <c r="M6968" s="561">
        <v>54065.000265070812</v>
      </c>
      <c r="N6968" s="561">
        <v>13319.999999999998</v>
      </c>
      <c r="P6968" s="561">
        <v>40745.000265070812</v>
      </c>
      <c r="Q6968" s="561">
        <v>40745</v>
      </c>
    </row>
    <row r="6969" spans="1:38">
      <c r="A6969" s="561">
        <v>57</v>
      </c>
      <c r="B6969" s="561" t="s">
        <v>1888</v>
      </c>
      <c r="C6969" s="561" t="s">
        <v>1267</v>
      </c>
      <c r="D6969" s="561">
        <v>37800.00017808011</v>
      </c>
      <c r="E6969" s="561">
        <v>7200</v>
      </c>
      <c r="F6969" s="561">
        <v>30600</v>
      </c>
      <c r="G6969" s="561">
        <v>2697</v>
      </c>
      <c r="H6969" s="561">
        <v>44178.890408080115</v>
      </c>
      <c r="I6969" s="561">
        <v>236</v>
      </c>
      <c r="J6969" s="561">
        <v>6659.9141799999998</v>
      </c>
      <c r="K6969" s="561">
        <v>2627</v>
      </c>
      <c r="L6969" s="561">
        <v>37800.00017808011</v>
      </c>
      <c r="M6969" s="561">
        <v>37800.00017808011</v>
      </c>
      <c r="N6969" s="561">
        <v>7200</v>
      </c>
      <c r="O6969" s="561">
        <v>0</v>
      </c>
      <c r="P6969" s="561">
        <v>30600.00017808011</v>
      </c>
      <c r="Q6969" s="561">
        <v>30600</v>
      </c>
    </row>
    <row r="6970" spans="1:38">
      <c r="C6970" s="561" t="s">
        <v>1199</v>
      </c>
      <c r="D6970" s="561">
        <v>37800.00017808011</v>
      </c>
      <c r="E6970" s="561">
        <v>7200</v>
      </c>
      <c r="F6970" s="561">
        <v>30600</v>
      </c>
      <c r="G6970" s="561">
        <v>2697</v>
      </c>
      <c r="H6970" s="561">
        <v>44178.890408080115</v>
      </c>
      <c r="I6970" s="561">
        <v>236</v>
      </c>
      <c r="J6970" s="561">
        <v>6659.9141799999998</v>
      </c>
      <c r="K6970" s="561">
        <v>2627</v>
      </c>
      <c r="L6970" s="561">
        <v>37800.00017808011</v>
      </c>
      <c r="M6970" s="561">
        <v>37800.00017808011</v>
      </c>
      <c r="N6970" s="561">
        <v>7200</v>
      </c>
      <c r="P6970" s="561">
        <v>30600.00017808011</v>
      </c>
      <c r="Q6970" s="561">
        <v>30600</v>
      </c>
    </row>
    <row r="6971" spans="1:38">
      <c r="A6971" s="561">
        <v>58</v>
      </c>
      <c r="B6971" s="561" t="s">
        <v>1889</v>
      </c>
      <c r="C6971" s="561" t="s">
        <v>1267</v>
      </c>
      <c r="D6971" s="561">
        <v>17036.300029999999</v>
      </c>
      <c r="E6971" s="561">
        <v>3798</v>
      </c>
      <c r="F6971" s="561">
        <v>13238.300000000003</v>
      </c>
      <c r="G6971" s="561">
        <v>1078</v>
      </c>
      <c r="H6971" s="561">
        <v>18945.425629999998</v>
      </c>
      <c r="I6971" s="561">
        <v>90</v>
      </c>
      <c r="J6971" s="561">
        <v>1860.5497</v>
      </c>
      <c r="K6971" s="561">
        <v>1061</v>
      </c>
      <c r="L6971" s="561">
        <v>17036.300029999999</v>
      </c>
      <c r="M6971" s="561">
        <v>17036.300029999999</v>
      </c>
      <c r="N6971" s="561">
        <v>3798</v>
      </c>
      <c r="O6971" s="561">
        <v>0</v>
      </c>
      <c r="P6971" s="561">
        <v>13238.300029999999</v>
      </c>
      <c r="Q6971" s="561">
        <v>13238.300000000003</v>
      </c>
    </row>
    <row r="6972" spans="1:38">
      <c r="C6972" s="561" t="s">
        <v>1199</v>
      </c>
      <c r="D6972" s="561">
        <v>17036.300029999999</v>
      </c>
      <c r="E6972" s="561">
        <v>3798</v>
      </c>
      <c r="F6972" s="561">
        <v>13238.300000000003</v>
      </c>
      <c r="G6972" s="561">
        <v>1078</v>
      </c>
      <c r="H6972" s="561">
        <v>18945.425629999998</v>
      </c>
      <c r="I6972" s="561">
        <v>90</v>
      </c>
      <c r="J6972" s="561">
        <v>1860.5497</v>
      </c>
      <c r="K6972" s="561">
        <v>1061</v>
      </c>
      <c r="L6972" s="561">
        <v>17036.300029999999</v>
      </c>
      <c r="M6972" s="561">
        <v>17036.300029999999</v>
      </c>
      <c r="N6972" s="561">
        <v>3798</v>
      </c>
      <c r="P6972" s="561">
        <v>13238.300029999999</v>
      </c>
      <c r="Q6972" s="561">
        <v>13238.300000000003</v>
      </c>
    </row>
    <row r="6973" spans="1:38">
      <c r="A6973" s="561">
        <v>59</v>
      </c>
      <c r="B6973" s="561" t="s">
        <v>1890</v>
      </c>
      <c r="C6973" s="561" t="s">
        <v>1267</v>
      </c>
      <c r="D6973" s="561">
        <v>9150.7498542357571</v>
      </c>
      <c r="E6973" s="561">
        <v>2645.9999999999995</v>
      </c>
      <c r="F6973" s="561">
        <v>6504.75</v>
      </c>
      <c r="G6973" s="561">
        <v>868</v>
      </c>
      <c r="H6973" s="561">
        <v>12479.104024235758</v>
      </c>
      <c r="I6973" s="561">
        <v>30</v>
      </c>
      <c r="J6973" s="561">
        <v>2733.154</v>
      </c>
      <c r="K6973" s="561">
        <v>857</v>
      </c>
      <c r="L6973" s="561">
        <v>9150.7498542357571</v>
      </c>
      <c r="M6973" s="561">
        <v>9150.7498542357571</v>
      </c>
      <c r="N6973" s="561">
        <v>2645.9999999999995</v>
      </c>
      <c r="O6973" s="561">
        <v>0</v>
      </c>
      <c r="P6973" s="561">
        <v>6504.7498542357571</v>
      </c>
      <c r="Q6973" s="561">
        <v>6504.75</v>
      </c>
    </row>
    <row r="6974" spans="1:38">
      <c r="C6974" s="561" t="s">
        <v>1199</v>
      </c>
      <c r="D6974" s="561">
        <v>9150.7498542357571</v>
      </c>
      <c r="E6974" s="561">
        <v>2645.9999999999995</v>
      </c>
      <c r="F6974" s="561">
        <v>6504.75</v>
      </c>
      <c r="G6974" s="561">
        <v>868</v>
      </c>
      <c r="H6974" s="561">
        <v>12479.104024235758</v>
      </c>
      <c r="I6974" s="561">
        <v>30</v>
      </c>
      <c r="J6974" s="561">
        <v>2733.154</v>
      </c>
      <c r="K6974" s="561">
        <v>857</v>
      </c>
      <c r="L6974" s="561">
        <v>9150.7498542357571</v>
      </c>
      <c r="M6974" s="561">
        <v>9150.7498542357571</v>
      </c>
      <c r="N6974" s="561">
        <v>2645.9999999999995</v>
      </c>
      <c r="P6974" s="561">
        <v>6504.7498542357571</v>
      </c>
      <c r="Q6974" s="561">
        <v>6504.75</v>
      </c>
    </row>
    <row r="6975" spans="1:38">
      <c r="B6975" s="561" t="s">
        <v>1891</v>
      </c>
      <c r="D6975" s="561">
        <v>537064.5543872749</v>
      </c>
      <c r="E6975" s="561">
        <v>155056.49999999997</v>
      </c>
      <c r="F6975" s="561">
        <v>382008.05444727483</v>
      </c>
      <c r="G6975" s="561">
        <v>11621</v>
      </c>
      <c r="H6975" s="561">
        <v>579573.72317727492</v>
      </c>
      <c r="I6975" s="561">
        <v>1490</v>
      </c>
      <c r="J6975" s="561">
        <v>45197.085430000006</v>
      </c>
      <c r="K6975" s="561">
        <v>11528</v>
      </c>
      <c r="L6975" s="561">
        <v>537064.5543872749</v>
      </c>
      <c r="M6975" s="561">
        <v>537064.5543872749</v>
      </c>
      <c r="N6975" s="561">
        <v>155056.49999999997</v>
      </c>
      <c r="O6975" s="561">
        <v>0</v>
      </c>
      <c r="P6975" s="561">
        <v>382008.0543872749</v>
      </c>
      <c r="Q6975" s="561">
        <v>382008.05444727483</v>
      </c>
    </row>
    <row r="6976" spans="1:38">
      <c r="A6976" s="561">
        <v>60</v>
      </c>
      <c r="B6976" s="561" t="s">
        <v>1892</v>
      </c>
      <c r="C6976" s="561" t="s">
        <v>1267</v>
      </c>
      <c r="D6976" s="561">
        <v>508193.55433727492</v>
      </c>
      <c r="E6976" s="561">
        <v>147496.49999999997</v>
      </c>
      <c r="F6976" s="561">
        <v>360697.05444727483</v>
      </c>
      <c r="G6976" s="561">
        <v>9552</v>
      </c>
      <c r="H6976" s="561">
        <v>548549.98276727495</v>
      </c>
      <c r="I6976" s="561">
        <v>1335</v>
      </c>
      <c r="J6976" s="561">
        <v>42929.970100000006</v>
      </c>
      <c r="K6976" s="561">
        <v>9475</v>
      </c>
      <c r="L6976" s="561">
        <v>508193.55433727492</v>
      </c>
      <c r="M6976" s="561">
        <v>508193.55433727492</v>
      </c>
      <c r="N6976" s="561">
        <v>147496.49999999997</v>
      </c>
      <c r="O6976" s="561">
        <v>0</v>
      </c>
      <c r="P6976" s="561">
        <v>360697.05433727492</v>
      </c>
      <c r="Q6976" s="561">
        <v>360697.05444727483</v>
      </c>
    </row>
    <row r="6977" spans="1:38">
      <c r="C6977" s="561" t="s">
        <v>1197</v>
      </c>
      <c r="D6977" s="561">
        <v>489728.56154130748</v>
      </c>
      <c r="E6977" s="561">
        <v>143896.49999999997</v>
      </c>
      <c r="F6977" s="561">
        <v>345832.06122130743</v>
      </c>
      <c r="G6977" s="561">
        <v>8293</v>
      </c>
      <c r="H6977" s="561">
        <v>529942.46732130751</v>
      </c>
      <c r="I6977" s="561">
        <v>1303</v>
      </c>
      <c r="J6977" s="561">
        <v>42452.540460000004</v>
      </c>
      <c r="K6977" s="561">
        <v>8216</v>
      </c>
      <c r="L6977" s="561">
        <v>489728.56154130748</v>
      </c>
      <c r="M6977" s="561">
        <v>489728.56154130748</v>
      </c>
      <c r="N6977" s="561">
        <v>143896.49999999997</v>
      </c>
      <c r="Q6977" s="561">
        <v>345832.06122130743</v>
      </c>
      <c r="AL6977" s="561">
        <v>345832.06154130748</v>
      </c>
    </row>
    <row r="6978" spans="1:38">
      <c r="C6978" s="561" t="s">
        <v>1199</v>
      </c>
      <c r="D6978" s="561">
        <v>18464.992795967413</v>
      </c>
      <c r="E6978" s="561">
        <v>3600</v>
      </c>
      <c r="F6978" s="561">
        <v>14864.993225967415</v>
      </c>
      <c r="G6978" s="561">
        <v>1259</v>
      </c>
      <c r="H6978" s="561">
        <v>18607.515445967412</v>
      </c>
      <c r="I6978" s="561">
        <v>32</v>
      </c>
      <c r="J6978" s="561">
        <v>477.42964000000001</v>
      </c>
      <c r="K6978" s="561">
        <v>1259</v>
      </c>
      <c r="L6978" s="561">
        <v>18464.992795967413</v>
      </c>
      <c r="M6978" s="561">
        <v>18464.992795967413</v>
      </c>
      <c r="N6978" s="561">
        <v>3600</v>
      </c>
      <c r="P6978" s="561">
        <v>14864.992795967413</v>
      </c>
      <c r="Q6978" s="561">
        <v>14864.993225967415</v>
      </c>
    </row>
    <row r="6979" spans="1:38">
      <c r="A6979" s="561">
        <v>61</v>
      </c>
      <c r="B6979" s="561" t="s">
        <v>1893</v>
      </c>
      <c r="C6979" s="561" t="s">
        <v>1267</v>
      </c>
      <c r="D6979" s="561">
        <v>28871.000050000002</v>
      </c>
      <c r="E6979" s="561">
        <v>7559.9999999999982</v>
      </c>
      <c r="F6979" s="561">
        <v>21311</v>
      </c>
      <c r="G6979" s="561">
        <v>2069</v>
      </c>
      <c r="H6979" s="561">
        <v>31023.740410000002</v>
      </c>
      <c r="I6979" s="561">
        <v>155</v>
      </c>
      <c r="J6979" s="561">
        <v>2267.1153299999996</v>
      </c>
      <c r="K6979" s="561">
        <v>2053</v>
      </c>
      <c r="L6979" s="561">
        <v>28871.000050000002</v>
      </c>
      <c r="M6979" s="561">
        <v>28871.000050000002</v>
      </c>
      <c r="N6979" s="561">
        <v>7559.9999999999982</v>
      </c>
      <c r="O6979" s="561">
        <v>0</v>
      </c>
      <c r="P6979" s="561">
        <v>21311.000050000002</v>
      </c>
      <c r="Q6979" s="561">
        <v>21311</v>
      </c>
    </row>
    <row r="6980" spans="1:38">
      <c r="C6980" s="561" t="s">
        <v>1199</v>
      </c>
      <c r="D6980" s="561">
        <v>28871.000050000002</v>
      </c>
      <c r="E6980" s="561">
        <v>7559.9999999999982</v>
      </c>
      <c r="F6980" s="561">
        <v>21311</v>
      </c>
      <c r="G6980" s="561">
        <v>2069</v>
      </c>
      <c r="H6980" s="561">
        <v>31023.740410000002</v>
      </c>
      <c r="I6980" s="561">
        <v>155</v>
      </c>
      <c r="J6980" s="561">
        <v>2267.1153299999996</v>
      </c>
      <c r="K6980" s="561">
        <v>2053</v>
      </c>
      <c r="L6980" s="561">
        <v>28871.000050000002</v>
      </c>
      <c r="M6980" s="561">
        <v>28871.000050000002</v>
      </c>
      <c r="N6980" s="561">
        <v>7559.9999999999982</v>
      </c>
      <c r="P6980" s="561">
        <v>21311.000050000002</v>
      </c>
      <c r="Q6980" s="561">
        <v>21311</v>
      </c>
    </row>
    <row r="6981" spans="1:38">
      <c r="B6981" s="561" t="s">
        <v>1894</v>
      </c>
      <c r="D6981" s="561">
        <v>495549.57007215789</v>
      </c>
      <c r="E6981" s="561">
        <v>126260.39999999998</v>
      </c>
      <c r="F6981" s="561">
        <v>369289.16992049117</v>
      </c>
      <c r="G6981" s="561">
        <v>11051</v>
      </c>
      <c r="H6981" s="561">
        <v>526731.30477926391</v>
      </c>
      <c r="I6981" s="561">
        <v>847</v>
      </c>
      <c r="J6981" s="561">
        <v>33692.592389999998</v>
      </c>
      <c r="K6981" s="561">
        <v>10975</v>
      </c>
      <c r="L6981" s="561">
        <v>495549.57007215789</v>
      </c>
      <c r="M6981" s="561">
        <v>495549.57007215789</v>
      </c>
      <c r="N6981" s="561">
        <v>126260.39999999998</v>
      </c>
      <c r="O6981" s="561">
        <v>0</v>
      </c>
      <c r="P6981" s="561">
        <v>369289.17007215793</v>
      </c>
      <c r="Q6981" s="561">
        <v>369289.16992049117</v>
      </c>
    </row>
    <row r="6982" spans="1:38">
      <c r="A6982" s="561">
        <v>62</v>
      </c>
      <c r="B6982" s="561" t="s">
        <v>1895</v>
      </c>
      <c r="C6982" s="561" t="s">
        <v>1267</v>
      </c>
      <c r="D6982" s="561">
        <v>442258.96980549122</v>
      </c>
      <c r="E6982" s="561">
        <v>113660.39999999998</v>
      </c>
      <c r="F6982" s="561">
        <v>328598.56992049119</v>
      </c>
      <c r="G6982" s="561">
        <v>7543</v>
      </c>
      <c r="H6982" s="561">
        <v>471002.85434926394</v>
      </c>
      <c r="I6982" s="561">
        <v>647</v>
      </c>
      <c r="J6982" s="561">
        <v>31041.979129999996</v>
      </c>
      <c r="K6982" s="561">
        <v>7481</v>
      </c>
      <c r="L6982" s="561">
        <v>442258.96980549122</v>
      </c>
      <c r="M6982" s="561">
        <v>442258.96980549122</v>
      </c>
      <c r="N6982" s="561">
        <v>113660.39999999998</v>
      </c>
      <c r="O6982" s="561">
        <v>0</v>
      </c>
      <c r="P6982" s="561">
        <v>328598.56980549125</v>
      </c>
      <c r="Q6982" s="561">
        <v>328598.56992049119</v>
      </c>
    </row>
    <row r="6983" spans="1:38">
      <c r="C6983" s="561" t="s">
        <v>1197</v>
      </c>
      <c r="D6983" s="561">
        <v>424050.674665</v>
      </c>
      <c r="E6983" s="561">
        <v>109628.39999999998</v>
      </c>
      <c r="F6983" s="561">
        <v>314422.27499999997</v>
      </c>
      <c r="G6983" s="561">
        <v>6345</v>
      </c>
      <c r="H6983" s="561">
        <v>452598.53724877269</v>
      </c>
      <c r="I6983" s="561">
        <v>594</v>
      </c>
      <c r="J6983" s="561">
        <v>30714.722359999996</v>
      </c>
      <c r="K6983" s="561">
        <v>6288</v>
      </c>
      <c r="L6983" s="561">
        <v>424050.674665</v>
      </c>
      <c r="M6983" s="561">
        <v>424050.674665</v>
      </c>
      <c r="N6983" s="561">
        <v>109628.39999999998</v>
      </c>
      <c r="Q6983" s="561">
        <v>314422.27499999997</v>
      </c>
      <c r="AL6983" s="561">
        <v>314422.27466500003</v>
      </c>
    </row>
    <row r="6984" spans="1:38">
      <c r="C6984" s="561" t="s">
        <v>1199</v>
      </c>
      <c r="D6984" s="561">
        <v>18208.295140491242</v>
      </c>
      <c r="E6984" s="561">
        <v>4032</v>
      </c>
      <c r="F6984" s="561">
        <v>14176.29492049124</v>
      </c>
      <c r="G6984" s="561">
        <v>1198</v>
      </c>
      <c r="H6984" s="561">
        <v>18404.31710049124</v>
      </c>
      <c r="I6984" s="561">
        <v>53</v>
      </c>
      <c r="J6984" s="561">
        <v>327.25677000000019</v>
      </c>
      <c r="K6984" s="561">
        <v>1193</v>
      </c>
      <c r="L6984" s="561">
        <v>18208.295140491242</v>
      </c>
      <c r="M6984" s="561">
        <v>18208.295140491242</v>
      </c>
      <c r="N6984" s="561">
        <v>4032</v>
      </c>
      <c r="P6984" s="561">
        <v>14176.295140491242</v>
      </c>
      <c r="Q6984" s="561">
        <v>14176.29492049124</v>
      </c>
    </row>
    <row r="6985" spans="1:38">
      <c r="A6985" s="561">
        <v>63</v>
      </c>
      <c r="B6985" s="561" t="s">
        <v>1896</v>
      </c>
      <c r="C6985" s="561" t="s">
        <v>1267</v>
      </c>
      <c r="D6985" s="561">
        <v>53290.600266666675</v>
      </c>
      <c r="E6985" s="561">
        <v>12600.000000000004</v>
      </c>
      <c r="F6985" s="561">
        <v>40690.599999999991</v>
      </c>
      <c r="G6985" s="561">
        <v>3508</v>
      </c>
      <c r="H6985" s="561">
        <v>55728.450429999997</v>
      </c>
      <c r="I6985" s="561">
        <v>200</v>
      </c>
      <c r="J6985" s="561">
        <v>2650.613260000001</v>
      </c>
      <c r="K6985" s="561">
        <v>3494</v>
      </c>
      <c r="L6985" s="561">
        <v>53290.600266666675</v>
      </c>
      <c r="M6985" s="561">
        <v>53290.600266666675</v>
      </c>
      <c r="N6985" s="561">
        <v>12600.000000000004</v>
      </c>
      <c r="O6985" s="561">
        <v>0</v>
      </c>
      <c r="P6985" s="561">
        <v>40690.600266666675</v>
      </c>
      <c r="Q6985" s="561">
        <v>40690.599999999991</v>
      </c>
    </row>
    <row r="6986" spans="1:38">
      <c r="C6986" s="561" t="s">
        <v>1199</v>
      </c>
      <c r="D6986" s="561">
        <v>53290.600266666675</v>
      </c>
      <c r="E6986" s="561">
        <v>12600.000000000004</v>
      </c>
      <c r="F6986" s="561">
        <v>40690.599999999991</v>
      </c>
      <c r="G6986" s="561">
        <v>3508</v>
      </c>
      <c r="H6986" s="561">
        <v>55728.450429999997</v>
      </c>
      <c r="I6986" s="561">
        <v>200</v>
      </c>
      <c r="J6986" s="561">
        <v>2650.613260000001</v>
      </c>
      <c r="K6986" s="561">
        <v>3494</v>
      </c>
      <c r="L6986" s="561">
        <v>53290.600266666675</v>
      </c>
      <c r="M6986" s="561">
        <v>53290.600266666675</v>
      </c>
      <c r="N6986" s="561">
        <v>12600.000000000004</v>
      </c>
      <c r="P6986" s="561">
        <v>40690.600266666675</v>
      </c>
      <c r="Q6986" s="561">
        <v>40690.599999999991</v>
      </c>
    </row>
    <row r="6987" spans="1:38">
      <c r="B6987" s="561" t="s">
        <v>1897</v>
      </c>
      <c r="D6987" s="561">
        <v>1570914.7838727206</v>
      </c>
      <c r="E6987" s="561">
        <v>400029.29999999993</v>
      </c>
      <c r="F6987" s="561">
        <v>1170885.4819105128</v>
      </c>
      <c r="G6987" s="561">
        <v>33747</v>
      </c>
      <c r="H6987" s="561">
        <v>1698893.6756393875</v>
      </c>
      <c r="I6987" s="561">
        <v>3709</v>
      </c>
      <c r="J6987" s="561">
        <v>132550.34118000002</v>
      </c>
      <c r="K6987" s="561">
        <v>33425</v>
      </c>
      <c r="L6987" s="561">
        <v>1570914.7838727206</v>
      </c>
      <c r="M6987" s="561">
        <v>1570914.7838727206</v>
      </c>
      <c r="N6987" s="561">
        <v>400029.29999999993</v>
      </c>
      <c r="O6987" s="561">
        <v>0</v>
      </c>
      <c r="P6987" s="561">
        <v>1170885.4838727203</v>
      </c>
      <c r="Q6987" s="561">
        <v>1170885.4819105128</v>
      </c>
    </row>
    <row r="6988" spans="1:38">
      <c r="A6988" s="561">
        <v>64</v>
      </c>
      <c r="B6988" s="561" t="s">
        <v>1898</v>
      </c>
      <c r="C6988" s="561" t="s">
        <v>1267</v>
      </c>
      <c r="D6988" s="561">
        <v>850549.88632125803</v>
      </c>
      <c r="E6988" s="561">
        <v>216486.89999999997</v>
      </c>
      <c r="F6988" s="561">
        <v>634062.98507792491</v>
      </c>
      <c r="G6988" s="561">
        <v>14888</v>
      </c>
      <c r="H6988" s="561">
        <v>916126.19074792496</v>
      </c>
      <c r="I6988" s="561">
        <v>1404</v>
      </c>
      <c r="J6988" s="561">
        <v>66825.790970000002</v>
      </c>
      <c r="K6988" s="561">
        <v>14802</v>
      </c>
      <c r="L6988" s="561">
        <v>850549.88632125803</v>
      </c>
      <c r="M6988" s="561">
        <v>850549.88632125803</v>
      </c>
      <c r="N6988" s="561">
        <v>216486.89999999997</v>
      </c>
      <c r="O6988" s="561">
        <v>0</v>
      </c>
      <c r="P6988" s="561">
        <v>634062.98632125801</v>
      </c>
      <c r="Q6988" s="561">
        <v>634062.98507792491</v>
      </c>
    </row>
    <row r="6989" spans="1:38">
      <c r="C6989" s="561" t="s">
        <v>1197</v>
      </c>
      <c r="D6989" s="561">
        <v>829570.86051100411</v>
      </c>
      <c r="E6989" s="561">
        <v>212706.89999999997</v>
      </c>
      <c r="F6989" s="561">
        <v>616863.95955100434</v>
      </c>
      <c r="G6989" s="561">
        <v>13615</v>
      </c>
      <c r="H6989" s="561">
        <v>894860.56076100434</v>
      </c>
      <c r="I6989" s="561">
        <v>1349</v>
      </c>
      <c r="J6989" s="561">
        <v>66511.898990000002</v>
      </c>
      <c r="K6989" s="561">
        <v>13532</v>
      </c>
      <c r="L6989" s="561">
        <v>829570.86051100411</v>
      </c>
      <c r="M6989" s="561">
        <v>829570.86051100411</v>
      </c>
      <c r="N6989" s="561">
        <v>212706.89999999997</v>
      </c>
      <c r="Q6989" s="561">
        <v>616863.95955100434</v>
      </c>
      <c r="AL6989" s="561">
        <v>616863.96051100409</v>
      </c>
    </row>
    <row r="6990" spans="1:38">
      <c r="C6990" s="561" t="s">
        <v>1199</v>
      </c>
      <c r="D6990" s="561">
        <v>20979.025810253912</v>
      </c>
      <c r="E6990" s="561">
        <v>3779.9999999999991</v>
      </c>
      <c r="F6990" s="561">
        <v>17199.025526920581</v>
      </c>
      <c r="G6990" s="561">
        <v>1273</v>
      </c>
      <c r="H6990" s="561">
        <v>21265.629986920583</v>
      </c>
      <c r="I6990" s="561">
        <v>55</v>
      </c>
      <c r="J6990" s="561">
        <v>313.89198000000005</v>
      </c>
      <c r="K6990" s="561">
        <v>1270</v>
      </c>
      <c r="L6990" s="561">
        <v>20979.025810253912</v>
      </c>
      <c r="M6990" s="561">
        <v>20979.025810253912</v>
      </c>
      <c r="N6990" s="561">
        <v>3779.9999999999991</v>
      </c>
      <c r="P6990" s="561">
        <v>17199.025810253912</v>
      </c>
      <c r="Q6990" s="561">
        <v>17199.025526920581</v>
      </c>
    </row>
    <row r="6991" spans="1:38">
      <c r="A6991" s="561">
        <v>65</v>
      </c>
      <c r="B6991" s="561" t="s">
        <v>1899</v>
      </c>
      <c r="C6991" s="561" t="s">
        <v>1267</v>
      </c>
      <c r="D6991" s="561">
        <v>289520.24281867553</v>
      </c>
      <c r="E6991" s="561">
        <v>71435.7</v>
      </c>
      <c r="F6991" s="561">
        <v>218084.54276200879</v>
      </c>
      <c r="G6991" s="561">
        <v>5462</v>
      </c>
      <c r="H6991" s="561">
        <v>308014.77421200881</v>
      </c>
      <c r="I6991" s="561">
        <v>503</v>
      </c>
      <c r="J6991" s="561">
        <v>19252.616569999998</v>
      </c>
      <c r="K6991" s="561">
        <v>5426</v>
      </c>
      <c r="L6991" s="561">
        <v>289520.24281867553</v>
      </c>
      <c r="M6991" s="561">
        <v>289520.24281867553</v>
      </c>
      <c r="N6991" s="561">
        <v>71435.7</v>
      </c>
      <c r="O6991" s="561">
        <v>0</v>
      </c>
      <c r="P6991" s="561">
        <v>218084.54281867552</v>
      </c>
      <c r="Q6991" s="561">
        <v>218084.54276200879</v>
      </c>
    </row>
    <row r="6992" spans="1:38">
      <c r="C6992" s="561" t="s">
        <v>1197</v>
      </c>
      <c r="D6992" s="561">
        <v>268622.35113023431</v>
      </c>
      <c r="E6992" s="561">
        <v>67835.7</v>
      </c>
      <c r="F6992" s="561">
        <v>200786.65087023424</v>
      </c>
      <c r="G6992" s="561">
        <v>4195</v>
      </c>
      <c r="H6992" s="561">
        <v>286402.53191023425</v>
      </c>
      <c r="I6992" s="561">
        <v>417</v>
      </c>
      <c r="J6992" s="561">
        <v>18434.965469999999</v>
      </c>
      <c r="K6992" s="561">
        <v>4175</v>
      </c>
      <c r="L6992" s="561">
        <v>268622.35113023431</v>
      </c>
      <c r="M6992" s="561">
        <v>268622.35113023431</v>
      </c>
      <c r="N6992" s="561">
        <v>67835.7</v>
      </c>
      <c r="Q6992" s="561">
        <v>200786.65087023424</v>
      </c>
      <c r="AL6992" s="561">
        <v>200786.6511302343</v>
      </c>
    </row>
    <row r="6993" spans="1:38">
      <c r="C6993" s="561" t="s">
        <v>1199</v>
      </c>
      <c r="D6993" s="561">
        <v>20897.891688441206</v>
      </c>
      <c r="E6993" s="561">
        <v>3600</v>
      </c>
      <c r="F6993" s="561">
        <v>17297.891891774543</v>
      </c>
      <c r="G6993" s="561">
        <v>1267</v>
      </c>
      <c r="H6993" s="561">
        <v>21612.242301774535</v>
      </c>
      <c r="I6993" s="561">
        <v>86</v>
      </c>
      <c r="J6993" s="561">
        <v>817.65110000000004</v>
      </c>
      <c r="K6993" s="561">
        <v>1251</v>
      </c>
      <c r="L6993" s="561">
        <v>20897.891688441206</v>
      </c>
      <c r="M6993" s="561">
        <v>20897.891688441206</v>
      </c>
      <c r="N6993" s="561">
        <v>3600</v>
      </c>
      <c r="P6993" s="561">
        <v>17297.891688441206</v>
      </c>
      <c r="Q6993" s="561">
        <v>17297.891891774543</v>
      </c>
    </row>
    <row r="6994" spans="1:38">
      <c r="A6994" s="561">
        <v>66</v>
      </c>
      <c r="B6994" s="561" t="s">
        <v>1900</v>
      </c>
      <c r="C6994" s="561" t="s">
        <v>1267</v>
      </c>
      <c r="D6994" s="561">
        <v>319417.15432666673</v>
      </c>
      <c r="E6994" s="561">
        <v>82988.099999999977</v>
      </c>
      <c r="F6994" s="561">
        <v>236429.05432666672</v>
      </c>
      <c r="G6994" s="561">
        <v>5902</v>
      </c>
      <c r="H6994" s="561">
        <v>353540.20221000002</v>
      </c>
      <c r="I6994" s="561">
        <v>1049</v>
      </c>
      <c r="J6994" s="561">
        <v>36052.545770000004</v>
      </c>
      <c r="K6994" s="561">
        <v>5838</v>
      </c>
      <c r="L6994" s="561">
        <v>319417.15432666673</v>
      </c>
      <c r="M6994" s="561">
        <v>319417.15432666673</v>
      </c>
      <c r="N6994" s="561">
        <v>82988.099999999977</v>
      </c>
      <c r="O6994" s="561">
        <v>0</v>
      </c>
      <c r="P6994" s="561">
        <v>236429.05432666672</v>
      </c>
      <c r="Q6994" s="561">
        <v>236429.05432666672</v>
      </c>
    </row>
    <row r="6995" spans="1:38">
      <c r="C6995" s="561" t="s">
        <v>1197</v>
      </c>
      <c r="D6995" s="561">
        <v>299539.59997000004</v>
      </c>
      <c r="E6995" s="561">
        <v>78848.099999999977</v>
      </c>
      <c r="F6995" s="561">
        <v>220691.49997000006</v>
      </c>
      <c r="G6995" s="561">
        <v>4753</v>
      </c>
      <c r="H6995" s="561">
        <v>332958.83269000001</v>
      </c>
      <c r="I6995" s="561">
        <v>949</v>
      </c>
      <c r="J6995" s="561">
        <v>35143.146930000003</v>
      </c>
      <c r="K6995" s="561">
        <v>4694</v>
      </c>
      <c r="L6995" s="561">
        <v>299539.59997000004</v>
      </c>
      <c r="M6995" s="561">
        <v>299539.59997000004</v>
      </c>
      <c r="N6995" s="561">
        <v>78848.099999999977</v>
      </c>
      <c r="Q6995" s="561">
        <v>220691.49997000006</v>
      </c>
      <c r="AL6995" s="561">
        <v>220691.49997000006</v>
      </c>
    </row>
    <row r="6996" spans="1:38">
      <c r="C6996" s="561" t="s">
        <v>1199</v>
      </c>
      <c r="D6996" s="561">
        <v>19877.554356666671</v>
      </c>
      <c r="E6996" s="561">
        <v>4140</v>
      </c>
      <c r="F6996" s="561">
        <v>15737.554356666671</v>
      </c>
      <c r="G6996" s="561">
        <v>1149</v>
      </c>
      <c r="H6996" s="561">
        <v>20581.36952</v>
      </c>
      <c r="I6996" s="561">
        <v>100</v>
      </c>
      <c r="J6996" s="561">
        <v>909.39884000000006</v>
      </c>
      <c r="K6996" s="561">
        <v>1144</v>
      </c>
      <c r="L6996" s="561">
        <v>19877.554356666671</v>
      </c>
      <c r="M6996" s="561">
        <v>19877.554356666671</v>
      </c>
      <c r="N6996" s="561">
        <v>4140</v>
      </c>
      <c r="P6996" s="561">
        <v>15737.554356666671</v>
      </c>
      <c r="Q6996" s="561">
        <v>15737.554356666671</v>
      </c>
    </row>
    <row r="6997" spans="1:38">
      <c r="A6997" s="561">
        <v>67</v>
      </c>
      <c r="B6997" s="561" t="s">
        <v>1901</v>
      </c>
      <c r="C6997" s="561" t="s">
        <v>1267</v>
      </c>
      <c r="D6997" s="561">
        <v>15861.000033912002</v>
      </c>
      <c r="E6997" s="561">
        <v>4278.5999999999995</v>
      </c>
      <c r="F6997" s="561">
        <v>11582.399743912001</v>
      </c>
      <c r="G6997" s="561">
        <v>577</v>
      </c>
      <c r="H6997" s="561">
        <v>16107.992623912</v>
      </c>
      <c r="I6997" s="561">
        <v>35</v>
      </c>
      <c r="J6997" s="561">
        <v>295.28270999999995</v>
      </c>
      <c r="K6997" s="561">
        <v>576</v>
      </c>
      <c r="L6997" s="561">
        <v>15861.000033912002</v>
      </c>
      <c r="M6997" s="561">
        <v>15861.000033912002</v>
      </c>
      <c r="N6997" s="561">
        <v>4278.5999999999995</v>
      </c>
      <c r="O6997" s="561">
        <v>0</v>
      </c>
      <c r="P6997" s="561">
        <v>11582.400033912001</v>
      </c>
      <c r="Q6997" s="561">
        <v>11582.399743912001</v>
      </c>
    </row>
    <row r="6998" spans="1:38">
      <c r="C6998" s="561" t="s">
        <v>1197</v>
      </c>
      <c r="D6998" s="561">
        <v>10751.53090324</v>
      </c>
      <c r="E6998" s="561">
        <v>2838.5999999999995</v>
      </c>
      <c r="F6998" s="561">
        <v>7912.9309532400002</v>
      </c>
      <c r="G6998" s="561">
        <v>166</v>
      </c>
      <c r="H6998" s="561">
        <v>10934.30523324</v>
      </c>
      <c r="I6998" s="561">
        <v>5</v>
      </c>
      <c r="J6998" s="561">
        <v>182.77422999999999</v>
      </c>
      <c r="K6998" s="561">
        <v>166</v>
      </c>
      <c r="L6998" s="561">
        <v>10751.53090324</v>
      </c>
      <c r="M6998" s="561">
        <v>10751.53090324</v>
      </c>
      <c r="N6998" s="561">
        <v>2838.5999999999995</v>
      </c>
      <c r="Q6998" s="561">
        <v>7912.9309532400002</v>
      </c>
      <c r="AL6998" s="561">
        <v>7912.9309032400006</v>
      </c>
    </row>
    <row r="6999" spans="1:38">
      <c r="C6999" s="561" t="s">
        <v>1199</v>
      </c>
      <c r="D6999" s="561">
        <v>5109.4691306720006</v>
      </c>
      <c r="E6999" s="561">
        <v>1440</v>
      </c>
      <c r="F6999" s="561">
        <v>3669.4687906720005</v>
      </c>
      <c r="G6999" s="561">
        <v>411</v>
      </c>
      <c r="H6999" s="561">
        <v>5173.6873906720002</v>
      </c>
      <c r="I6999" s="561">
        <v>30</v>
      </c>
      <c r="J6999" s="561">
        <v>112.50847999999999</v>
      </c>
      <c r="K6999" s="561">
        <v>410</v>
      </c>
      <c r="L6999" s="561">
        <v>5109.4691306720006</v>
      </c>
      <c r="M6999" s="561">
        <v>5109.4691306720006</v>
      </c>
      <c r="N6999" s="561">
        <v>1440</v>
      </c>
      <c r="P6999" s="561">
        <v>3669.4691306720006</v>
      </c>
      <c r="Q6999" s="561">
        <v>3669.4687906720005</v>
      </c>
    </row>
    <row r="7000" spans="1:38">
      <c r="A7000" s="561">
        <v>68</v>
      </c>
      <c r="B7000" s="561" t="s">
        <v>1902</v>
      </c>
      <c r="C7000" s="561" t="s">
        <v>1267</v>
      </c>
      <c r="D7000" s="561">
        <v>55947.80029554155</v>
      </c>
      <c r="E7000" s="561">
        <v>14399.999999999998</v>
      </c>
      <c r="F7000" s="561">
        <v>41547.800000000003</v>
      </c>
      <c r="G7000" s="561">
        <v>4020</v>
      </c>
      <c r="H7000" s="561">
        <v>57707.70366554155</v>
      </c>
      <c r="I7000" s="561">
        <v>271</v>
      </c>
      <c r="J7000" s="561">
        <v>1750.3067100000003</v>
      </c>
      <c r="K7000" s="561">
        <v>3980</v>
      </c>
      <c r="L7000" s="561">
        <v>55947.80029554155</v>
      </c>
      <c r="M7000" s="561">
        <v>55947.80029554155</v>
      </c>
      <c r="N7000" s="561">
        <v>14399.999999999998</v>
      </c>
      <c r="O7000" s="561">
        <v>0</v>
      </c>
      <c r="P7000" s="561">
        <v>41547.80029554155</v>
      </c>
      <c r="Q7000" s="561">
        <v>41547.800000000003</v>
      </c>
    </row>
    <row r="7001" spans="1:38">
      <c r="C7001" s="561" t="s">
        <v>1199</v>
      </c>
      <c r="D7001" s="561">
        <v>55947.80029554155</v>
      </c>
      <c r="E7001" s="561">
        <v>14399.999999999998</v>
      </c>
      <c r="F7001" s="561">
        <v>41547.800000000003</v>
      </c>
      <c r="G7001" s="561">
        <v>4020</v>
      </c>
      <c r="H7001" s="561">
        <v>57707.70366554155</v>
      </c>
      <c r="I7001" s="561">
        <v>271</v>
      </c>
      <c r="J7001" s="561">
        <v>1750.3067100000003</v>
      </c>
      <c r="K7001" s="561">
        <v>3980</v>
      </c>
      <c r="L7001" s="561">
        <v>55947.80029554155</v>
      </c>
      <c r="M7001" s="561">
        <v>55947.80029554155</v>
      </c>
      <c r="N7001" s="561">
        <v>14399.999999999998</v>
      </c>
      <c r="P7001" s="561">
        <v>41547.80029554155</v>
      </c>
      <c r="Q7001" s="561">
        <v>41547.800000000003</v>
      </c>
    </row>
    <row r="7002" spans="1:38">
      <c r="A7002" s="561">
        <v>69</v>
      </c>
      <c r="B7002" s="561" t="s">
        <v>1903</v>
      </c>
      <c r="C7002" s="561" t="s">
        <v>1267</v>
      </c>
      <c r="D7002" s="561">
        <v>19759.599846666668</v>
      </c>
      <c r="E7002" s="561">
        <v>5039.9999999999991</v>
      </c>
      <c r="F7002" s="561">
        <v>14719.6</v>
      </c>
      <c r="G7002" s="561">
        <v>1443</v>
      </c>
      <c r="H7002" s="561">
        <v>23618.691299999999</v>
      </c>
      <c r="I7002" s="561">
        <v>210</v>
      </c>
      <c r="J7002" s="561">
        <v>4123.5313400000005</v>
      </c>
      <c r="K7002" s="561">
        <v>1368</v>
      </c>
      <c r="L7002" s="561">
        <v>19759.599846666668</v>
      </c>
      <c r="M7002" s="561">
        <v>19759.599846666668</v>
      </c>
      <c r="N7002" s="561">
        <v>5039.9999999999991</v>
      </c>
      <c r="O7002" s="561">
        <v>0</v>
      </c>
      <c r="P7002" s="561">
        <v>14719.599846666668</v>
      </c>
      <c r="Q7002" s="561">
        <v>14719.6</v>
      </c>
    </row>
    <row r="7003" spans="1:38">
      <c r="C7003" s="561" t="s">
        <v>1199</v>
      </c>
      <c r="D7003" s="561">
        <v>19759.599846666668</v>
      </c>
      <c r="E7003" s="561">
        <v>5039.9999999999991</v>
      </c>
      <c r="F7003" s="561">
        <v>14719.6</v>
      </c>
      <c r="G7003" s="561">
        <v>1443</v>
      </c>
      <c r="H7003" s="561">
        <v>23618.691299999999</v>
      </c>
      <c r="I7003" s="561">
        <v>210</v>
      </c>
      <c r="J7003" s="561">
        <v>4123.5313400000005</v>
      </c>
      <c r="K7003" s="561">
        <v>1368</v>
      </c>
      <c r="L7003" s="561">
        <v>19759.599846666668</v>
      </c>
      <c r="M7003" s="561">
        <v>19759.599846666668</v>
      </c>
      <c r="N7003" s="561">
        <v>5039.9999999999991</v>
      </c>
      <c r="P7003" s="561">
        <v>14719.599846666668</v>
      </c>
      <c r="Q7003" s="561">
        <v>14719.6</v>
      </c>
    </row>
    <row r="7004" spans="1:38">
      <c r="A7004" s="561">
        <v>70</v>
      </c>
      <c r="B7004" s="561" t="s">
        <v>1904</v>
      </c>
      <c r="C7004" s="561" t="s">
        <v>1267</v>
      </c>
      <c r="D7004" s="561">
        <v>19859.100230000004</v>
      </c>
      <c r="E7004" s="561">
        <v>5399.9999999999991</v>
      </c>
      <c r="F7004" s="561">
        <v>14459.100000000004</v>
      </c>
      <c r="G7004" s="561">
        <v>1455</v>
      </c>
      <c r="H7004" s="561">
        <v>23778.120880000002</v>
      </c>
      <c r="I7004" s="561">
        <v>237</v>
      </c>
      <c r="J7004" s="561">
        <v>4250.2671099999998</v>
      </c>
      <c r="K7004" s="561">
        <v>1435</v>
      </c>
      <c r="L7004" s="561">
        <v>19859.100230000004</v>
      </c>
      <c r="M7004" s="561">
        <v>19859.100230000004</v>
      </c>
      <c r="N7004" s="561">
        <v>5399.9999999999991</v>
      </c>
      <c r="O7004" s="561">
        <v>0</v>
      </c>
      <c r="P7004" s="561">
        <v>14459.100230000004</v>
      </c>
      <c r="Q7004" s="561">
        <v>14459.100000000004</v>
      </c>
    </row>
    <row r="7005" spans="1:38">
      <c r="C7005" s="561" t="s">
        <v>1199</v>
      </c>
      <c r="D7005" s="561">
        <v>19859.100230000004</v>
      </c>
      <c r="E7005" s="561">
        <v>5399.9999999999991</v>
      </c>
      <c r="F7005" s="561">
        <v>14459.100000000004</v>
      </c>
      <c r="G7005" s="561">
        <v>1455</v>
      </c>
      <c r="H7005" s="561">
        <v>23778.120880000002</v>
      </c>
      <c r="I7005" s="561">
        <v>237</v>
      </c>
      <c r="J7005" s="561">
        <v>4250.2671099999998</v>
      </c>
      <c r="K7005" s="561">
        <v>1435</v>
      </c>
      <c r="L7005" s="561">
        <v>19859.100230000004</v>
      </c>
      <c r="M7005" s="561">
        <v>19859.100230000004</v>
      </c>
      <c r="N7005" s="561">
        <v>5399.9999999999991</v>
      </c>
      <c r="P7005" s="561">
        <v>14459.100230000004</v>
      </c>
      <c r="Q7005" s="561">
        <v>14459.100000000004</v>
      </c>
    </row>
    <row r="7006" spans="1:38">
      <c r="B7006" s="561" t="s">
        <v>1905</v>
      </c>
      <c r="D7006" s="561">
        <v>1527740.6411358675</v>
      </c>
      <c r="E7006" s="561">
        <v>460433.99999999988</v>
      </c>
      <c r="F7006" s="561">
        <v>1067306.6402132581</v>
      </c>
      <c r="G7006" s="561">
        <v>34058</v>
      </c>
      <c r="H7006" s="561">
        <v>1786479.6207308678</v>
      </c>
      <c r="I7006" s="561">
        <v>4702</v>
      </c>
      <c r="J7006" s="561">
        <v>267579.01659500005</v>
      </c>
      <c r="K7006" s="561">
        <v>32945</v>
      </c>
      <c r="L7006" s="561">
        <v>1527740.6411358675</v>
      </c>
      <c r="M7006" s="561">
        <v>1527740.6411358675</v>
      </c>
      <c r="N7006" s="561">
        <v>460433.99999999988</v>
      </c>
      <c r="O7006" s="561">
        <v>0</v>
      </c>
      <c r="P7006" s="561">
        <v>1067306.6411358677</v>
      </c>
      <c r="Q7006" s="561">
        <v>1067306.6402132581</v>
      </c>
    </row>
    <row r="7007" spans="1:38">
      <c r="A7007" s="561">
        <v>71</v>
      </c>
      <c r="B7007" s="561" t="s">
        <v>1906</v>
      </c>
      <c r="C7007" s="561" t="s">
        <v>1267</v>
      </c>
      <c r="D7007" s="561">
        <v>914468.47547000006</v>
      </c>
      <c r="E7007" s="561">
        <v>273462.29999999993</v>
      </c>
      <c r="F7007" s="561">
        <v>641006.17547000013</v>
      </c>
      <c r="G7007" s="561">
        <v>18001</v>
      </c>
      <c r="H7007" s="561">
        <v>1053107.94652</v>
      </c>
      <c r="I7007" s="561">
        <v>2077</v>
      </c>
      <c r="J7007" s="561">
        <v>144351.46797000003</v>
      </c>
      <c r="K7007" s="561">
        <v>17577</v>
      </c>
      <c r="L7007" s="561">
        <v>914468.47547000006</v>
      </c>
      <c r="M7007" s="561">
        <v>914468.47547000006</v>
      </c>
      <c r="N7007" s="561">
        <v>273462.29999999993</v>
      </c>
      <c r="O7007" s="561">
        <v>0</v>
      </c>
      <c r="P7007" s="561">
        <v>641006.17547000013</v>
      </c>
      <c r="Q7007" s="561">
        <v>641006.17547000013</v>
      </c>
    </row>
    <row r="7008" spans="1:38">
      <c r="C7008" s="561" t="s">
        <v>1197</v>
      </c>
      <c r="D7008" s="561">
        <v>892935.64798000001</v>
      </c>
      <c r="E7008" s="561">
        <v>268350.29999999993</v>
      </c>
      <c r="F7008" s="561">
        <v>624585.34798000008</v>
      </c>
      <c r="G7008" s="561">
        <v>16621</v>
      </c>
      <c r="H7008" s="561">
        <v>1026463.9675800001</v>
      </c>
      <c r="I7008" s="561">
        <v>2023</v>
      </c>
      <c r="J7008" s="561">
        <v>139258.79285000003</v>
      </c>
      <c r="K7008" s="561">
        <v>16215</v>
      </c>
      <c r="L7008" s="561">
        <v>892935.64798000001</v>
      </c>
      <c r="M7008" s="561">
        <v>892935.64798000001</v>
      </c>
      <c r="N7008" s="561">
        <v>268350.29999999993</v>
      </c>
      <c r="Q7008" s="561">
        <v>624585.34798000008</v>
      </c>
      <c r="AL7008" s="561">
        <v>624585.34798000008</v>
      </c>
    </row>
    <row r="7009" spans="1:38">
      <c r="C7009" s="561" t="s">
        <v>1199</v>
      </c>
      <c r="D7009" s="561">
        <v>21532.82749</v>
      </c>
      <c r="E7009" s="561">
        <v>5112</v>
      </c>
      <c r="F7009" s="561">
        <v>16420.82749</v>
      </c>
      <c r="G7009" s="561">
        <v>1380</v>
      </c>
      <c r="H7009" s="561">
        <v>26643.978939999997</v>
      </c>
      <c r="I7009" s="561">
        <v>54</v>
      </c>
      <c r="J7009" s="561">
        <v>5092.6751200000008</v>
      </c>
      <c r="K7009" s="561">
        <v>1362</v>
      </c>
      <c r="L7009" s="561">
        <v>21532.82749</v>
      </c>
      <c r="M7009" s="561">
        <v>21532.82749</v>
      </c>
      <c r="N7009" s="561">
        <v>5112</v>
      </c>
      <c r="P7009" s="561">
        <v>16420.82749</v>
      </c>
      <c r="Q7009" s="561">
        <v>16420.82749</v>
      </c>
    </row>
    <row r="7010" spans="1:38">
      <c r="A7010" s="561">
        <v>72</v>
      </c>
      <c r="B7010" s="561" t="s">
        <v>1907</v>
      </c>
      <c r="C7010" s="561" t="s">
        <v>1267</v>
      </c>
      <c r="D7010" s="561">
        <v>478148.56474325794</v>
      </c>
      <c r="E7010" s="561">
        <v>151532.09999999998</v>
      </c>
      <c r="F7010" s="561">
        <v>326616.46474325797</v>
      </c>
      <c r="G7010" s="561">
        <v>9692</v>
      </c>
      <c r="H7010" s="561">
        <v>585886.841598258</v>
      </c>
      <c r="I7010" s="561">
        <v>1809</v>
      </c>
      <c r="J7010" s="561">
        <v>110642.030155</v>
      </c>
      <c r="K7010" s="561">
        <v>9483</v>
      </c>
      <c r="L7010" s="561">
        <v>478148.56474325794</v>
      </c>
      <c r="M7010" s="561">
        <v>478148.56474325794</v>
      </c>
      <c r="N7010" s="561">
        <v>151532.09999999998</v>
      </c>
      <c r="O7010" s="561">
        <v>0</v>
      </c>
      <c r="P7010" s="561">
        <v>326616.46474325797</v>
      </c>
      <c r="Q7010" s="561">
        <v>326616.46474325797</v>
      </c>
    </row>
    <row r="7011" spans="1:38">
      <c r="C7011" s="561" t="s">
        <v>1197</v>
      </c>
      <c r="D7011" s="561">
        <v>468939.04721500009</v>
      </c>
      <c r="E7011" s="561">
        <v>147932.09999999998</v>
      </c>
      <c r="F7011" s="561">
        <v>321006.94721500011</v>
      </c>
      <c r="G7011" s="561">
        <v>9036</v>
      </c>
      <c r="H7011" s="561">
        <v>575916.28897000011</v>
      </c>
      <c r="I7011" s="561">
        <v>1768</v>
      </c>
      <c r="J7011" s="561">
        <v>109881.251325</v>
      </c>
      <c r="K7011" s="561">
        <v>8836</v>
      </c>
      <c r="L7011" s="561">
        <v>468939.04721500009</v>
      </c>
      <c r="M7011" s="561">
        <v>468939.04721500009</v>
      </c>
      <c r="N7011" s="561">
        <v>147932.09999999998</v>
      </c>
      <c r="Q7011" s="561">
        <v>321006.94721500011</v>
      </c>
      <c r="AL7011" s="561">
        <v>321006.94721500011</v>
      </c>
    </row>
    <row r="7012" spans="1:38">
      <c r="C7012" s="561" t="s">
        <v>1199</v>
      </c>
      <c r="D7012" s="561">
        <v>9209.5175282578439</v>
      </c>
      <c r="E7012" s="561">
        <v>3600</v>
      </c>
      <c r="F7012" s="561">
        <v>5609.5175282578439</v>
      </c>
      <c r="G7012" s="561">
        <v>656</v>
      </c>
      <c r="H7012" s="561">
        <v>9970.552628257843</v>
      </c>
      <c r="I7012" s="561">
        <v>41</v>
      </c>
      <c r="J7012" s="561">
        <v>760.77882999999997</v>
      </c>
      <c r="K7012" s="561">
        <v>647</v>
      </c>
      <c r="L7012" s="561">
        <v>9209.5175282578439</v>
      </c>
      <c r="M7012" s="561">
        <v>9209.5175282578439</v>
      </c>
      <c r="N7012" s="561">
        <v>3600</v>
      </c>
      <c r="P7012" s="561">
        <v>5609.5175282578439</v>
      </c>
      <c r="Q7012" s="561">
        <v>5609.5175282578439</v>
      </c>
    </row>
    <row r="7013" spans="1:38">
      <c r="A7013" s="561">
        <v>73</v>
      </c>
      <c r="B7013" s="561" t="s">
        <v>1908</v>
      </c>
      <c r="C7013" s="561" t="s">
        <v>1267</v>
      </c>
      <c r="D7013" s="561">
        <v>41975.500336839854</v>
      </c>
      <c r="E7013" s="561">
        <v>11160</v>
      </c>
      <c r="F7013" s="561">
        <v>30815.500000000004</v>
      </c>
      <c r="G7013" s="561">
        <v>3137</v>
      </c>
      <c r="H7013" s="561">
        <v>47077.350503506539</v>
      </c>
      <c r="I7013" s="561">
        <v>410</v>
      </c>
      <c r="J7013" s="561">
        <v>5383.4803600000014</v>
      </c>
      <c r="K7013" s="561">
        <v>2972</v>
      </c>
      <c r="L7013" s="561">
        <v>41975.500336839854</v>
      </c>
      <c r="M7013" s="561">
        <v>41975.500336839854</v>
      </c>
      <c r="N7013" s="561">
        <v>11160</v>
      </c>
      <c r="O7013" s="561">
        <v>0</v>
      </c>
      <c r="P7013" s="561">
        <v>30815.500336839854</v>
      </c>
      <c r="Q7013" s="561">
        <v>30815.500000000004</v>
      </c>
    </row>
    <row r="7014" spans="1:38">
      <c r="C7014" s="561" t="s">
        <v>1199</v>
      </c>
      <c r="D7014" s="561">
        <v>41975.500336839854</v>
      </c>
      <c r="E7014" s="561">
        <v>11160</v>
      </c>
      <c r="F7014" s="561">
        <v>30815.500000000004</v>
      </c>
      <c r="G7014" s="561">
        <v>3137</v>
      </c>
      <c r="H7014" s="561">
        <v>47077.350503506539</v>
      </c>
      <c r="I7014" s="561">
        <v>410</v>
      </c>
      <c r="J7014" s="561">
        <v>5383.4803600000014</v>
      </c>
      <c r="K7014" s="561">
        <v>2972</v>
      </c>
      <c r="L7014" s="561">
        <v>41975.500336839854</v>
      </c>
      <c r="M7014" s="561">
        <v>41975.500336839854</v>
      </c>
      <c r="N7014" s="561">
        <v>11160</v>
      </c>
      <c r="P7014" s="561">
        <v>30815.500336839854</v>
      </c>
      <c r="Q7014" s="561">
        <v>30815.500000000004</v>
      </c>
    </row>
    <row r="7015" spans="1:38">
      <c r="A7015" s="561">
        <v>74</v>
      </c>
      <c r="B7015" s="561" t="s">
        <v>1909</v>
      </c>
      <c r="C7015" s="561" t="s">
        <v>1267</v>
      </c>
      <c r="D7015" s="561">
        <v>40714.70024576976</v>
      </c>
      <c r="E7015" s="561">
        <v>9360</v>
      </c>
      <c r="F7015" s="561">
        <v>31354.699999999997</v>
      </c>
      <c r="G7015" s="561">
        <v>3021</v>
      </c>
      <c r="H7015" s="561">
        <v>47414.433239103091</v>
      </c>
      <c r="I7015" s="561">
        <v>402</v>
      </c>
      <c r="J7015" s="561">
        <v>6642.3895800000009</v>
      </c>
      <c r="K7015" s="561">
        <v>2710</v>
      </c>
      <c r="L7015" s="561">
        <v>40714.70024576976</v>
      </c>
      <c r="M7015" s="561">
        <v>40714.70024576976</v>
      </c>
      <c r="N7015" s="561">
        <v>9360</v>
      </c>
      <c r="O7015" s="561">
        <v>0</v>
      </c>
      <c r="P7015" s="561">
        <v>31354.70024576976</v>
      </c>
      <c r="Q7015" s="561">
        <v>31354.699999999997</v>
      </c>
    </row>
    <row r="7016" spans="1:38">
      <c r="C7016" s="561" t="s">
        <v>1199</v>
      </c>
      <c r="D7016" s="561">
        <v>40714.70024576976</v>
      </c>
      <c r="E7016" s="561">
        <v>9360</v>
      </c>
      <c r="F7016" s="561">
        <v>31354.699999999997</v>
      </c>
      <c r="G7016" s="561">
        <v>3021</v>
      </c>
      <c r="H7016" s="561">
        <v>47414.433239103091</v>
      </c>
      <c r="I7016" s="561">
        <v>402</v>
      </c>
      <c r="J7016" s="561">
        <v>6642.3895800000009</v>
      </c>
      <c r="K7016" s="561">
        <v>2710</v>
      </c>
      <c r="L7016" s="561">
        <v>40714.70024576976</v>
      </c>
      <c r="M7016" s="561">
        <v>40714.70024576976</v>
      </c>
      <c r="N7016" s="561">
        <v>9360</v>
      </c>
      <c r="P7016" s="561">
        <v>31354.70024576976</v>
      </c>
      <c r="Q7016" s="561">
        <v>31354.699999999997</v>
      </c>
    </row>
    <row r="7017" spans="1:38">
      <c r="A7017" s="561">
        <v>75</v>
      </c>
      <c r="B7017" s="561" t="s">
        <v>1387</v>
      </c>
      <c r="C7017" s="561" t="s">
        <v>1267</v>
      </c>
      <c r="D7017" s="561">
        <v>52433.400339999986</v>
      </c>
      <c r="E7017" s="561">
        <v>14919.6</v>
      </c>
      <c r="F7017" s="561">
        <v>37513.800000000003</v>
      </c>
      <c r="G7017" s="561">
        <v>207</v>
      </c>
      <c r="H7017" s="561">
        <v>52993.048869999991</v>
      </c>
      <c r="I7017" s="561">
        <v>4</v>
      </c>
      <c r="J7017" s="561">
        <v>559.64853000000039</v>
      </c>
      <c r="K7017" s="561">
        <v>203</v>
      </c>
      <c r="L7017" s="561">
        <v>52433.400339999986</v>
      </c>
      <c r="M7017" s="561">
        <v>52433.400339999986</v>
      </c>
      <c r="N7017" s="561">
        <v>14919.6</v>
      </c>
      <c r="O7017" s="561">
        <v>0</v>
      </c>
      <c r="P7017" s="561">
        <v>37513.800339999987</v>
      </c>
      <c r="Q7017" s="561">
        <v>37513.800000000003</v>
      </c>
    </row>
    <row r="7018" spans="1:38">
      <c r="C7018" s="561" t="s">
        <v>1199</v>
      </c>
      <c r="D7018" s="561">
        <v>52433.400339999986</v>
      </c>
      <c r="E7018" s="561">
        <v>14919.6</v>
      </c>
      <c r="F7018" s="561">
        <v>37513.800000000003</v>
      </c>
      <c r="G7018" s="561">
        <v>207</v>
      </c>
      <c r="H7018" s="561">
        <v>52993.048869999991</v>
      </c>
      <c r="I7018" s="561">
        <v>4</v>
      </c>
      <c r="J7018" s="561">
        <v>559.64853000000039</v>
      </c>
      <c r="K7018" s="561">
        <v>203</v>
      </c>
      <c r="L7018" s="561">
        <v>52433.400339999986</v>
      </c>
      <c r="M7018" s="561">
        <v>52433.400339999986</v>
      </c>
      <c r="N7018" s="561">
        <v>14919.6</v>
      </c>
      <c r="P7018" s="561">
        <v>37513.800339999987</v>
      </c>
      <c r="Q7018" s="561">
        <v>37513.800000000003</v>
      </c>
    </row>
    <row r="7019" spans="1:38">
      <c r="B7019" s="561" t="s">
        <v>1910</v>
      </c>
      <c r="D7019" s="561">
        <v>452462.55372695334</v>
      </c>
      <c r="E7019" s="561">
        <v>126571.79999999997</v>
      </c>
      <c r="F7019" s="561">
        <v>325890.7529809199</v>
      </c>
      <c r="G7019" s="561">
        <v>9222</v>
      </c>
      <c r="H7019" s="561">
        <v>480631.43448028673</v>
      </c>
      <c r="I7019" s="561">
        <v>725</v>
      </c>
      <c r="J7019" s="561">
        <v>29539.504690000002</v>
      </c>
      <c r="K7019" s="561">
        <v>9138</v>
      </c>
      <c r="L7019" s="561">
        <v>452462.55372695334</v>
      </c>
      <c r="M7019" s="561">
        <v>452462.55372695334</v>
      </c>
      <c r="N7019" s="561">
        <v>126571.79999999997</v>
      </c>
      <c r="O7019" s="561">
        <v>0</v>
      </c>
      <c r="P7019" s="561">
        <v>325890.75372695335</v>
      </c>
      <c r="Q7019" s="561">
        <v>325890.7529809199</v>
      </c>
    </row>
    <row r="7020" spans="1:38">
      <c r="A7020" s="561">
        <v>76</v>
      </c>
      <c r="B7020" s="561" t="s">
        <v>1911</v>
      </c>
      <c r="C7020" s="561" t="s">
        <v>1267</v>
      </c>
      <c r="D7020" s="561">
        <v>432129.55357425328</v>
      </c>
      <c r="E7020" s="561">
        <v>121171.79999999997</v>
      </c>
      <c r="F7020" s="561">
        <v>310957.7529809199</v>
      </c>
      <c r="G7020" s="561">
        <v>7794</v>
      </c>
      <c r="H7020" s="561">
        <v>458807.84955091996</v>
      </c>
      <c r="I7020" s="561">
        <v>689</v>
      </c>
      <c r="J7020" s="561">
        <v>28166.82661</v>
      </c>
      <c r="K7020" s="561">
        <v>7710</v>
      </c>
      <c r="L7020" s="561">
        <v>432129.55357425328</v>
      </c>
      <c r="M7020" s="561">
        <v>432129.55357425328</v>
      </c>
      <c r="N7020" s="561">
        <v>121171.79999999997</v>
      </c>
      <c r="O7020" s="561">
        <v>0</v>
      </c>
      <c r="P7020" s="561">
        <v>310957.75357425329</v>
      </c>
      <c r="Q7020" s="561">
        <v>310957.7529809199</v>
      </c>
    </row>
    <row r="7021" spans="1:38">
      <c r="C7021" s="561" t="s">
        <v>1197</v>
      </c>
      <c r="D7021" s="561">
        <v>415390.38251999998</v>
      </c>
      <c r="E7021" s="561">
        <v>116491.79999999997</v>
      </c>
      <c r="F7021" s="561">
        <v>298898.58240999992</v>
      </c>
      <c r="G7021" s="561">
        <v>6701</v>
      </c>
      <c r="H7021" s="561">
        <v>441862.50292</v>
      </c>
      <c r="I7021" s="561">
        <v>663</v>
      </c>
      <c r="J7021" s="561">
        <v>28009.181710000001</v>
      </c>
      <c r="K7021" s="561">
        <v>6619</v>
      </c>
      <c r="L7021" s="561">
        <v>415390.38251999998</v>
      </c>
      <c r="M7021" s="561">
        <v>415390.38251999998</v>
      </c>
      <c r="N7021" s="561">
        <v>116491.79999999997</v>
      </c>
      <c r="Q7021" s="561">
        <v>298898.58240999992</v>
      </c>
      <c r="AL7021" s="561">
        <v>298898.58252</v>
      </c>
    </row>
    <row r="7022" spans="1:38">
      <c r="C7022" s="561" t="s">
        <v>1199</v>
      </c>
      <c r="D7022" s="561">
        <v>16739.171054253315</v>
      </c>
      <c r="E7022" s="561">
        <v>4680</v>
      </c>
      <c r="F7022" s="561">
        <v>12059.170570919985</v>
      </c>
      <c r="G7022" s="561">
        <v>1093</v>
      </c>
      <c r="H7022" s="561">
        <v>16945.346630919983</v>
      </c>
      <c r="I7022" s="561">
        <v>26</v>
      </c>
      <c r="J7022" s="561">
        <v>157.64490000000009</v>
      </c>
      <c r="K7022" s="561">
        <v>1091</v>
      </c>
      <c r="L7022" s="561">
        <v>16739.171054253315</v>
      </c>
      <c r="M7022" s="561">
        <v>16739.171054253315</v>
      </c>
      <c r="N7022" s="561">
        <v>4680</v>
      </c>
      <c r="P7022" s="561">
        <v>12059.171054253315</v>
      </c>
      <c r="Q7022" s="561">
        <v>12059.170570919985</v>
      </c>
    </row>
    <row r="7023" spans="1:38">
      <c r="A7023" s="561">
        <v>77</v>
      </c>
      <c r="B7023" s="561" t="s">
        <v>1912</v>
      </c>
      <c r="C7023" s="561" t="s">
        <v>1267</v>
      </c>
      <c r="D7023" s="561">
        <v>20333.000152700082</v>
      </c>
      <c r="E7023" s="561">
        <v>5399.9999999999991</v>
      </c>
      <c r="F7023" s="561">
        <v>14933</v>
      </c>
      <c r="G7023" s="561">
        <v>1428</v>
      </c>
      <c r="H7023" s="561">
        <v>21823.584929366749</v>
      </c>
      <c r="I7023" s="561">
        <v>36</v>
      </c>
      <c r="J7023" s="561">
        <v>1372.6780799999997</v>
      </c>
      <c r="K7023" s="561">
        <v>1428</v>
      </c>
      <c r="L7023" s="561">
        <v>20333.000152700082</v>
      </c>
      <c r="M7023" s="561">
        <v>20333.000152700082</v>
      </c>
      <c r="N7023" s="561">
        <v>5399.9999999999991</v>
      </c>
      <c r="O7023" s="561">
        <v>0</v>
      </c>
      <c r="P7023" s="561">
        <v>14933.000152700082</v>
      </c>
      <c r="Q7023" s="561">
        <v>14933</v>
      </c>
    </row>
    <row r="7024" spans="1:38">
      <c r="C7024" s="561" t="s">
        <v>1199</v>
      </c>
      <c r="D7024" s="561">
        <v>20333.000152700082</v>
      </c>
      <c r="E7024" s="561">
        <v>5399.9999999999991</v>
      </c>
      <c r="F7024" s="561">
        <v>14933</v>
      </c>
      <c r="G7024" s="561">
        <v>1428</v>
      </c>
      <c r="H7024" s="561">
        <v>21823.584929366749</v>
      </c>
      <c r="I7024" s="561">
        <v>36</v>
      </c>
      <c r="J7024" s="561">
        <v>1372.6780799999997</v>
      </c>
      <c r="K7024" s="561">
        <v>1428</v>
      </c>
      <c r="L7024" s="561">
        <v>20333.000152700082</v>
      </c>
      <c r="M7024" s="561">
        <v>20333.000152700082</v>
      </c>
      <c r="N7024" s="561">
        <v>5399.9999999999991</v>
      </c>
      <c r="P7024" s="561">
        <v>14933.000152700082</v>
      </c>
      <c r="Q7024" s="561">
        <v>14933</v>
      </c>
    </row>
    <row r="7025" spans="1:38">
      <c r="B7025" s="561" t="s">
        <v>1913</v>
      </c>
      <c r="D7025" s="561">
        <v>750269.21939704602</v>
      </c>
      <c r="E7025" s="561">
        <v>205955.09999999998</v>
      </c>
      <c r="F7025" s="561">
        <v>544314.11824600399</v>
      </c>
      <c r="G7025" s="561">
        <v>15900</v>
      </c>
      <c r="H7025" s="561">
        <v>804845.97699299059</v>
      </c>
      <c r="I7025" s="561">
        <v>1531</v>
      </c>
      <c r="J7025" s="561">
        <v>58995.719379999995</v>
      </c>
      <c r="K7025" s="561">
        <v>15684</v>
      </c>
      <c r="L7025" s="561">
        <v>750269.21939704602</v>
      </c>
      <c r="M7025" s="561">
        <v>750269.21939704602</v>
      </c>
      <c r="N7025" s="561">
        <v>205955.09999999998</v>
      </c>
      <c r="O7025" s="561">
        <v>0</v>
      </c>
      <c r="P7025" s="561">
        <v>544314.11939704604</v>
      </c>
      <c r="Q7025" s="561">
        <v>544314.11824600399</v>
      </c>
    </row>
    <row r="7026" spans="1:38">
      <c r="A7026" s="561">
        <v>78</v>
      </c>
      <c r="B7026" s="561" t="s">
        <v>1914</v>
      </c>
      <c r="C7026" s="561" t="s">
        <v>1267</v>
      </c>
      <c r="D7026" s="561">
        <v>494190.88570933725</v>
      </c>
      <c r="E7026" s="561">
        <v>97160.39999999998</v>
      </c>
      <c r="F7026" s="561">
        <v>397030.48551600397</v>
      </c>
      <c r="G7026" s="561">
        <v>8754</v>
      </c>
      <c r="H7026" s="561">
        <v>531127.70966861513</v>
      </c>
      <c r="I7026" s="561">
        <v>895</v>
      </c>
      <c r="J7026" s="561">
        <v>39554.966319999992</v>
      </c>
      <c r="K7026" s="561">
        <v>8634</v>
      </c>
      <c r="L7026" s="561">
        <v>494190.88570933725</v>
      </c>
      <c r="M7026" s="561">
        <v>494190.88570933725</v>
      </c>
      <c r="N7026" s="561">
        <v>97160.39999999998</v>
      </c>
      <c r="O7026" s="561">
        <v>0</v>
      </c>
      <c r="P7026" s="561">
        <v>397030.48570933728</v>
      </c>
      <c r="Q7026" s="561">
        <v>397030.48551600397</v>
      </c>
    </row>
    <row r="7027" spans="1:38">
      <c r="C7027" s="561" t="s">
        <v>1197</v>
      </c>
      <c r="D7027" s="561">
        <v>481347.97588600393</v>
      </c>
      <c r="E7027" s="561">
        <v>94460.39999999998</v>
      </c>
      <c r="F7027" s="561">
        <v>386887.57565600396</v>
      </c>
      <c r="G7027" s="561">
        <v>7997</v>
      </c>
      <c r="H7027" s="561">
        <v>518044.82686600398</v>
      </c>
      <c r="I7027" s="561">
        <v>846</v>
      </c>
      <c r="J7027" s="561">
        <v>39278.602579999992</v>
      </c>
      <c r="K7027" s="561">
        <v>7879</v>
      </c>
      <c r="L7027" s="561">
        <v>481347.97588600393</v>
      </c>
      <c r="M7027" s="561">
        <v>481347.97588600393</v>
      </c>
      <c r="N7027" s="561">
        <v>94460.39999999998</v>
      </c>
      <c r="Q7027" s="561">
        <v>386887.57565600396</v>
      </c>
      <c r="AL7027" s="561">
        <v>386887.57588600396</v>
      </c>
    </row>
    <row r="7028" spans="1:38">
      <c r="C7028" s="561" t="s">
        <v>1199</v>
      </c>
      <c r="D7028" s="561">
        <v>12842.909823333332</v>
      </c>
      <c r="E7028" s="561">
        <v>2699.9999999999995</v>
      </c>
      <c r="F7028" s="561">
        <v>10142.90986</v>
      </c>
      <c r="G7028" s="561">
        <v>757</v>
      </c>
      <c r="H7028" s="561">
        <v>13082.882802611199</v>
      </c>
      <c r="I7028" s="561">
        <v>49</v>
      </c>
      <c r="J7028" s="561">
        <v>276.36374000000001</v>
      </c>
      <c r="K7028" s="561">
        <v>755</v>
      </c>
      <c r="L7028" s="561">
        <v>12842.909823333332</v>
      </c>
      <c r="M7028" s="561">
        <v>12842.909823333332</v>
      </c>
      <c r="N7028" s="561">
        <v>2699.9999999999995</v>
      </c>
      <c r="P7028" s="561">
        <v>10142.909823333332</v>
      </c>
      <c r="Q7028" s="561">
        <v>10142.90986</v>
      </c>
    </row>
    <row r="7029" spans="1:38">
      <c r="A7029" s="561">
        <v>79</v>
      </c>
      <c r="B7029" s="561" t="s">
        <v>1915</v>
      </c>
      <c r="C7029" s="561" t="s">
        <v>1267</v>
      </c>
      <c r="D7029" s="561">
        <v>214650.83343666667</v>
      </c>
      <c r="E7029" s="561">
        <v>98534.7</v>
      </c>
      <c r="F7029" s="561">
        <v>116116.13273</v>
      </c>
      <c r="G7029" s="561">
        <v>4108</v>
      </c>
      <c r="H7029" s="561">
        <v>225032.05901999999</v>
      </c>
      <c r="I7029" s="561">
        <v>386</v>
      </c>
      <c r="J7029" s="561">
        <v>12045.634040000001</v>
      </c>
      <c r="K7029" s="561">
        <v>4081</v>
      </c>
      <c r="L7029" s="561">
        <v>214650.83343666667</v>
      </c>
      <c r="M7029" s="561">
        <v>214650.83343666667</v>
      </c>
      <c r="N7029" s="561">
        <v>98534.7</v>
      </c>
      <c r="O7029" s="561">
        <v>0</v>
      </c>
      <c r="P7029" s="561">
        <v>116116.13343666666</v>
      </c>
      <c r="Q7029" s="561">
        <v>116116.13273</v>
      </c>
    </row>
    <row r="7030" spans="1:38">
      <c r="C7030" s="561" t="s">
        <v>1197</v>
      </c>
      <c r="D7030" s="561">
        <v>211910.35256999999</v>
      </c>
      <c r="E7030" s="561">
        <v>96734.7</v>
      </c>
      <c r="F7030" s="561">
        <v>115175.65225</v>
      </c>
      <c r="G7030" s="561">
        <v>3905</v>
      </c>
      <c r="H7030" s="561">
        <v>222188.69224999999</v>
      </c>
      <c r="I7030" s="561">
        <v>377</v>
      </c>
      <c r="J7030" s="561">
        <v>11945.554980000001</v>
      </c>
      <c r="K7030" s="561">
        <v>3883</v>
      </c>
      <c r="L7030" s="561">
        <v>211910.35256999999</v>
      </c>
      <c r="M7030" s="561">
        <v>211910.35256999999</v>
      </c>
      <c r="N7030" s="561">
        <v>96734.7</v>
      </c>
      <c r="Q7030" s="561">
        <v>115175.65225</v>
      </c>
      <c r="AL7030" s="561">
        <v>115175.65256999999</v>
      </c>
    </row>
    <row r="7031" spans="1:38">
      <c r="C7031" s="561" t="s">
        <v>1199</v>
      </c>
      <c r="D7031" s="561">
        <v>2740.4808666666668</v>
      </c>
      <c r="E7031" s="561">
        <v>1800</v>
      </c>
      <c r="F7031" s="561">
        <v>940.48048000000017</v>
      </c>
      <c r="G7031" s="561">
        <v>203</v>
      </c>
      <c r="H7031" s="561">
        <v>2843.3667699999996</v>
      </c>
      <c r="I7031" s="561">
        <v>9</v>
      </c>
      <c r="J7031" s="561">
        <v>100.07905999999998</v>
      </c>
      <c r="K7031" s="561">
        <v>198</v>
      </c>
      <c r="L7031" s="561">
        <v>2740.4808666666668</v>
      </c>
      <c r="M7031" s="561">
        <v>2740.4808666666668</v>
      </c>
      <c r="N7031" s="561">
        <v>1800</v>
      </c>
      <c r="P7031" s="561">
        <v>940.48086666666677</v>
      </c>
      <c r="Q7031" s="561">
        <v>940.48048000000017</v>
      </c>
    </row>
    <row r="7032" spans="1:38">
      <c r="A7032" s="561">
        <v>80</v>
      </c>
      <c r="B7032" s="561" t="s">
        <v>1916</v>
      </c>
      <c r="C7032" s="561" t="s">
        <v>1267</v>
      </c>
      <c r="D7032" s="561">
        <v>32089.999935010408</v>
      </c>
      <c r="E7032" s="561">
        <v>7559.9999999999982</v>
      </c>
      <c r="F7032" s="561">
        <v>24530.000000000004</v>
      </c>
      <c r="G7032" s="561">
        <v>2217</v>
      </c>
      <c r="H7032" s="561">
        <v>36092.044005010415</v>
      </c>
      <c r="I7032" s="561">
        <v>150</v>
      </c>
      <c r="J7032" s="561">
        <v>4044.2376000000004</v>
      </c>
      <c r="K7032" s="561">
        <v>2170</v>
      </c>
      <c r="L7032" s="561">
        <v>32089.999935010408</v>
      </c>
      <c r="M7032" s="561">
        <v>32089.999935010408</v>
      </c>
      <c r="N7032" s="561">
        <v>7559.9999999999982</v>
      </c>
      <c r="O7032" s="561">
        <v>0</v>
      </c>
      <c r="P7032" s="561">
        <v>24529.999935010412</v>
      </c>
      <c r="Q7032" s="561">
        <v>24530.000000000004</v>
      </c>
    </row>
    <row r="7033" spans="1:38">
      <c r="C7033" s="561" t="s">
        <v>1199</v>
      </c>
      <c r="D7033" s="561">
        <v>32089.999935010408</v>
      </c>
      <c r="E7033" s="561">
        <v>7559.9999999999982</v>
      </c>
      <c r="F7033" s="561">
        <v>24530.000000000004</v>
      </c>
      <c r="G7033" s="561">
        <v>2217</v>
      </c>
      <c r="H7033" s="561">
        <v>36092.044005010415</v>
      </c>
      <c r="I7033" s="561">
        <v>150</v>
      </c>
      <c r="J7033" s="561">
        <v>4044.2376000000004</v>
      </c>
      <c r="K7033" s="561">
        <v>2170</v>
      </c>
      <c r="L7033" s="561">
        <v>32089.999935010408</v>
      </c>
      <c r="M7033" s="561">
        <v>32089.999935010408</v>
      </c>
      <c r="N7033" s="561">
        <v>7559.9999999999982</v>
      </c>
      <c r="P7033" s="561">
        <v>24529.999935010412</v>
      </c>
      <c r="Q7033" s="561">
        <v>24530.000000000004</v>
      </c>
    </row>
    <row r="7034" spans="1:38">
      <c r="A7034" s="561">
        <v>81</v>
      </c>
      <c r="B7034" s="561" t="s">
        <v>1917</v>
      </c>
      <c r="C7034" s="561" t="s">
        <v>1267</v>
      </c>
      <c r="D7034" s="561">
        <v>9337.5003160316646</v>
      </c>
      <c r="E7034" s="561">
        <v>2699.9999999999995</v>
      </c>
      <c r="F7034" s="561">
        <v>6637.5</v>
      </c>
      <c r="G7034" s="561">
        <v>821</v>
      </c>
      <c r="H7034" s="561">
        <v>12594.164299364998</v>
      </c>
      <c r="I7034" s="561">
        <v>100</v>
      </c>
      <c r="J7034" s="561">
        <v>3350.8814200000002</v>
      </c>
      <c r="K7034" s="561">
        <v>799</v>
      </c>
      <c r="L7034" s="561">
        <v>9337.5003160316646</v>
      </c>
      <c r="M7034" s="561">
        <v>9337.5003160316646</v>
      </c>
      <c r="N7034" s="561">
        <v>2699.9999999999995</v>
      </c>
      <c r="O7034" s="561">
        <v>0</v>
      </c>
      <c r="P7034" s="561">
        <v>6637.5003160316646</v>
      </c>
      <c r="Q7034" s="561">
        <v>6637.5</v>
      </c>
    </row>
    <row r="7035" spans="1:38">
      <c r="C7035" s="561" t="s">
        <v>1199</v>
      </c>
      <c r="D7035" s="561">
        <v>9337.5003160316646</v>
      </c>
      <c r="E7035" s="561">
        <v>2699.9999999999995</v>
      </c>
      <c r="F7035" s="561">
        <v>6637.5</v>
      </c>
      <c r="G7035" s="561">
        <v>821</v>
      </c>
      <c r="H7035" s="561">
        <v>12594.164299364998</v>
      </c>
      <c r="I7035" s="561">
        <v>100</v>
      </c>
      <c r="J7035" s="561">
        <v>3350.8814200000002</v>
      </c>
      <c r="K7035" s="561">
        <v>799</v>
      </c>
      <c r="L7035" s="561">
        <v>9337.5003160316646</v>
      </c>
      <c r="M7035" s="561">
        <v>9337.5003160316646</v>
      </c>
      <c r="N7035" s="561">
        <v>2699.9999999999995</v>
      </c>
      <c r="P7035" s="561">
        <v>6637.5003160316646</v>
      </c>
      <c r="Q7035" s="561">
        <v>6637.5</v>
      </c>
    </row>
    <row r="7036" spans="1:38">
      <c r="B7036" s="561" t="s">
        <v>1918</v>
      </c>
      <c r="D7036" s="561">
        <v>718521.28606320766</v>
      </c>
      <c r="E7036" s="561">
        <v>172275.29999999996</v>
      </c>
      <c r="F7036" s="561">
        <v>546245.98649987439</v>
      </c>
      <c r="G7036" s="561">
        <v>13862</v>
      </c>
      <c r="H7036" s="561">
        <v>769157.22883987403</v>
      </c>
      <c r="I7036" s="561">
        <v>1493</v>
      </c>
      <c r="J7036" s="561">
        <v>56763.563470000001</v>
      </c>
      <c r="K7036" s="561">
        <v>13711</v>
      </c>
      <c r="L7036" s="561">
        <v>718521.28606320766</v>
      </c>
      <c r="M7036" s="561">
        <v>718521.28606320766</v>
      </c>
      <c r="N7036" s="561">
        <v>172275.29999999996</v>
      </c>
      <c r="O7036" s="561">
        <v>0</v>
      </c>
      <c r="P7036" s="561">
        <v>546245.98606320773</v>
      </c>
      <c r="Q7036" s="561">
        <v>546245.98649987439</v>
      </c>
    </row>
    <row r="7037" spans="1:38">
      <c r="A7037" s="561">
        <v>82</v>
      </c>
      <c r="B7037" s="561" t="s">
        <v>1919</v>
      </c>
      <c r="C7037" s="561" t="s">
        <v>1267</v>
      </c>
      <c r="D7037" s="561">
        <v>698301.18649987434</v>
      </c>
      <c r="E7037" s="561">
        <v>166875.29999999996</v>
      </c>
      <c r="F7037" s="561">
        <v>531425.88649987441</v>
      </c>
      <c r="G7037" s="561">
        <v>12340</v>
      </c>
      <c r="H7037" s="561">
        <v>746601.31514987408</v>
      </c>
      <c r="I7037" s="561">
        <v>1401</v>
      </c>
      <c r="J7037" s="561">
        <v>54428.86909</v>
      </c>
      <c r="K7037" s="561">
        <v>12238</v>
      </c>
      <c r="L7037" s="561">
        <v>698301.18649987434</v>
      </c>
      <c r="M7037" s="561">
        <v>698301.18649987434</v>
      </c>
      <c r="N7037" s="561">
        <v>166875.29999999996</v>
      </c>
      <c r="O7037" s="561">
        <v>0</v>
      </c>
      <c r="P7037" s="561">
        <v>531425.88649987441</v>
      </c>
      <c r="Q7037" s="561">
        <v>531425.88649987441</v>
      </c>
    </row>
    <row r="7038" spans="1:38">
      <c r="C7038" s="561" t="s">
        <v>1197</v>
      </c>
      <c r="D7038" s="561">
        <v>672852.05252000014</v>
      </c>
      <c r="E7038" s="561">
        <v>161475.29999999996</v>
      </c>
      <c r="F7038" s="561">
        <v>511376.75252000021</v>
      </c>
      <c r="G7038" s="561">
        <v>10725</v>
      </c>
      <c r="H7038" s="561">
        <v>720891.52203999995</v>
      </c>
      <c r="I7038" s="561">
        <v>1324</v>
      </c>
      <c r="J7038" s="561">
        <v>54047.35658</v>
      </c>
      <c r="K7038" s="561">
        <v>10625</v>
      </c>
      <c r="L7038" s="561">
        <v>672852.05252000014</v>
      </c>
      <c r="M7038" s="561">
        <v>672852.05252000014</v>
      </c>
      <c r="N7038" s="561">
        <v>161475.29999999996</v>
      </c>
      <c r="Q7038" s="561">
        <v>511376.75252000021</v>
      </c>
      <c r="AL7038" s="561">
        <v>511376.75252000021</v>
      </c>
    </row>
    <row r="7039" spans="1:38">
      <c r="C7039" s="561" t="s">
        <v>1199</v>
      </c>
      <c r="D7039" s="561">
        <v>25449.133979874176</v>
      </c>
      <c r="E7039" s="561">
        <v>5399.9999999999991</v>
      </c>
      <c r="F7039" s="561">
        <v>20049.133979874176</v>
      </c>
      <c r="G7039" s="561">
        <v>1615</v>
      </c>
      <c r="H7039" s="561">
        <v>25709.793109874172</v>
      </c>
      <c r="I7039" s="561">
        <v>77</v>
      </c>
      <c r="J7039" s="561">
        <v>381.51250999999991</v>
      </c>
      <c r="K7039" s="561">
        <v>1613</v>
      </c>
      <c r="L7039" s="561">
        <v>25449.133979874176</v>
      </c>
      <c r="M7039" s="561">
        <v>25449.133979874176</v>
      </c>
      <c r="N7039" s="561">
        <v>5399.9999999999991</v>
      </c>
      <c r="P7039" s="561">
        <v>20049.133979874176</v>
      </c>
      <c r="Q7039" s="561">
        <v>20049.133979874176</v>
      </c>
    </row>
    <row r="7040" spans="1:38">
      <c r="A7040" s="561">
        <v>83</v>
      </c>
      <c r="B7040" s="561" t="s">
        <v>1920</v>
      </c>
      <c r="C7040" s="561" t="s">
        <v>1267</v>
      </c>
      <c r="D7040" s="561">
        <v>20220.09956333333</v>
      </c>
      <c r="E7040" s="561">
        <v>5399.9999999999991</v>
      </c>
      <c r="F7040" s="561">
        <v>14820.1</v>
      </c>
      <c r="G7040" s="561">
        <v>1522</v>
      </c>
      <c r="H7040" s="561">
        <v>22555.913689999994</v>
      </c>
      <c r="I7040" s="561">
        <v>92</v>
      </c>
      <c r="J7040" s="561">
        <v>2334.6943799999999</v>
      </c>
      <c r="K7040" s="561">
        <v>1473</v>
      </c>
      <c r="L7040" s="561">
        <v>20220.09956333333</v>
      </c>
      <c r="M7040" s="561">
        <v>20220.09956333333</v>
      </c>
      <c r="N7040" s="561">
        <v>5399.9999999999991</v>
      </c>
      <c r="O7040" s="561">
        <v>0</v>
      </c>
      <c r="P7040" s="561">
        <v>14820.09956333333</v>
      </c>
      <c r="Q7040" s="561">
        <v>14820.1</v>
      </c>
    </row>
    <row r="7041" spans="1:38">
      <c r="C7041" s="561" t="s">
        <v>1199</v>
      </c>
      <c r="D7041" s="561">
        <v>20220.09956333333</v>
      </c>
      <c r="E7041" s="561">
        <v>5399.9999999999991</v>
      </c>
      <c r="F7041" s="561">
        <v>14820.1</v>
      </c>
      <c r="G7041" s="561">
        <v>1522</v>
      </c>
      <c r="H7041" s="561">
        <v>22555.913689999994</v>
      </c>
      <c r="I7041" s="561">
        <v>92</v>
      </c>
      <c r="J7041" s="561">
        <v>2334.6943799999999</v>
      </c>
      <c r="K7041" s="561">
        <v>1473</v>
      </c>
      <c r="L7041" s="561">
        <v>20220.09956333333</v>
      </c>
      <c r="M7041" s="561">
        <v>20220.09956333333</v>
      </c>
      <c r="N7041" s="561">
        <v>5399.9999999999991</v>
      </c>
      <c r="P7041" s="561">
        <v>14820.09956333333</v>
      </c>
      <c r="Q7041" s="561">
        <v>14820.1</v>
      </c>
    </row>
    <row r="7042" spans="1:38">
      <c r="B7042" s="561" t="s">
        <v>1921</v>
      </c>
      <c r="D7042" s="561">
        <v>470358.96065880603</v>
      </c>
      <c r="E7042" s="561">
        <v>128463.6</v>
      </c>
      <c r="F7042" s="561">
        <v>341895.36008993135</v>
      </c>
      <c r="G7042" s="561">
        <v>11026</v>
      </c>
      <c r="H7042" s="561">
        <v>501902.23090213927</v>
      </c>
      <c r="I7042" s="561">
        <v>1105</v>
      </c>
      <c r="J7042" s="561">
        <v>34435.936450000008</v>
      </c>
      <c r="K7042" s="561">
        <v>10856</v>
      </c>
      <c r="L7042" s="561">
        <v>470358.96065880603</v>
      </c>
      <c r="M7042" s="561">
        <v>470358.96065880603</v>
      </c>
      <c r="N7042" s="561">
        <v>128463.6</v>
      </c>
      <c r="O7042" s="561">
        <v>0</v>
      </c>
      <c r="P7042" s="561">
        <v>341895.36065880599</v>
      </c>
      <c r="Q7042" s="561">
        <v>341895.36008993135</v>
      </c>
    </row>
    <row r="7043" spans="1:38">
      <c r="A7043" s="561">
        <v>84</v>
      </c>
      <c r="B7043" s="561" t="s">
        <v>1922</v>
      </c>
      <c r="C7043" s="561" t="s">
        <v>1267</v>
      </c>
      <c r="D7043" s="561">
        <v>416302.66121993138</v>
      </c>
      <c r="E7043" s="561">
        <v>114646.80000000002</v>
      </c>
      <c r="F7043" s="561">
        <v>301655.86108993134</v>
      </c>
      <c r="G7043" s="561">
        <v>6951</v>
      </c>
      <c r="H7043" s="561">
        <v>443802.69941993128</v>
      </c>
      <c r="I7043" s="561">
        <v>816</v>
      </c>
      <c r="J7043" s="561">
        <v>30336.656740000002</v>
      </c>
      <c r="K7043" s="561">
        <v>6878</v>
      </c>
      <c r="L7043" s="561">
        <v>416302.66121993138</v>
      </c>
      <c r="M7043" s="561">
        <v>416302.66121993138</v>
      </c>
      <c r="N7043" s="561">
        <v>114646.80000000002</v>
      </c>
      <c r="O7043" s="561">
        <v>0</v>
      </c>
      <c r="P7043" s="561">
        <v>301655.86121993134</v>
      </c>
      <c r="Q7043" s="561">
        <v>301655.86108993134</v>
      </c>
    </row>
    <row r="7044" spans="1:38">
      <c r="C7044" s="561" t="s">
        <v>1197</v>
      </c>
      <c r="D7044" s="561">
        <v>406147.88376</v>
      </c>
      <c r="E7044" s="561">
        <v>112306.80000000002</v>
      </c>
      <c r="F7044" s="561">
        <v>293841.08376999997</v>
      </c>
      <c r="G7044" s="561">
        <v>6267</v>
      </c>
      <c r="H7044" s="561">
        <v>433368.83439999993</v>
      </c>
      <c r="I7044" s="561">
        <v>754</v>
      </c>
      <c r="J7044" s="561">
        <v>29988.960030000002</v>
      </c>
      <c r="K7044" s="561">
        <v>6198</v>
      </c>
      <c r="L7044" s="561">
        <v>406147.88376</v>
      </c>
      <c r="M7044" s="561">
        <v>406147.88376</v>
      </c>
      <c r="N7044" s="561">
        <v>112306.80000000002</v>
      </c>
      <c r="Q7044" s="561">
        <v>293841.08376999997</v>
      </c>
      <c r="AL7044" s="561">
        <v>293841.08375999995</v>
      </c>
    </row>
    <row r="7045" spans="1:38">
      <c r="C7045" s="561" t="s">
        <v>1199</v>
      </c>
      <c r="D7045" s="561">
        <v>10154.777459931362</v>
      </c>
      <c r="E7045" s="561">
        <v>2340</v>
      </c>
      <c r="F7045" s="561">
        <v>7814.7773199313588</v>
      </c>
      <c r="G7045" s="561">
        <v>684</v>
      </c>
      <c r="H7045" s="561">
        <v>10433.86501993136</v>
      </c>
      <c r="I7045" s="561">
        <v>62</v>
      </c>
      <c r="J7045" s="561">
        <v>347.69671</v>
      </c>
      <c r="K7045" s="561">
        <v>680</v>
      </c>
      <c r="L7045" s="561">
        <v>10154.777459931362</v>
      </c>
      <c r="M7045" s="561">
        <v>10154.777459931362</v>
      </c>
      <c r="N7045" s="561">
        <v>2340</v>
      </c>
      <c r="P7045" s="561">
        <v>7814.7774599313616</v>
      </c>
      <c r="Q7045" s="561">
        <v>7814.7773199313588</v>
      </c>
    </row>
    <row r="7046" spans="1:38">
      <c r="A7046" s="561">
        <v>85</v>
      </c>
      <c r="B7046" s="561" t="s">
        <v>1923</v>
      </c>
      <c r="C7046" s="561" t="s">
        <v>1267</v>
      </c>
      <c r="D7046" s="561">
        <v>45551.709306464974</v>
      </c>
      <c r="E7046" s="561">
        <v>11656.799999999996</v>
      </c>
      <c r="F7046" s="561">
        <v>33894.909</v>
      </c>
      <c r="G7046" s="561">
        <v>3358</v>
      </c>
      <c r="H7046" s="561">
        <v>48491.032776464977</v>
      </c>
      <c r="I7046" s="561">
        <v>218</v>
      </c>
      <c r="J7046" s="561">
        <v>2943.69947</v>
      </c>
      <c r="K7046" s="561">
        <v>3263</v>
      </c>
      <c r="L7046" s="561">
        <v>45551.709306464974</v>
      </c>
      <c r="M7046" s="561">
        <v>45551.709306464974</v>
      </c>
      <c r="N7046" s="561">
        <v>11656.799999999996</v>
      </c>
      <c r="O7046" s="561">
        <v>0</v>
      </c>
      <c r="P7046" s="561">
        <v>33894.909306464979</v>
      </c>
      <c r="Q7046" s="561">
        <v>33894.909</v>
      </c>
    </row>
    <row r="7047" spans="1:38">
      <c r="C7047" s="561" t="s">
        <v>1199</v>
      </c>
      <c r="D7047" s="561">
        <v>45551.709306464974</v>
      </c>
      <c r="E7047" s="561">
        <v>11656.799999999996</v>
      </c>
      <c r="F7047" s="561">
        <v>33894.909</v>
      </c>
      <c r="G7047" s="561">
        <v>3358</v>
      </c>
      <c r="H7047" s="561">
        <v>48491.032776464977</v>
      </c>
      <c r="I7047" s="561">
        <v>218</v>
      </c>
      <c r="J7047" s="561">
        <v>2943.69947</v>
      </c>
      <c r="K7047" s="561">
        <v>3263</v>
      </c>
      <c r="L7047" s="561">
        <v>45551.709306464974</v>
      </c>
      <c r="M7047" s="561">
        <v>45551.709306464974</v>
      </c>
      <c r="N7047" s="561">
        <v>11656.799999999996</v>
      </c>
      <c r="P7047" s="561">
        <v>33894.909306464979</v>
      </c>
      <c r="Q7047" s="561">
        <v>33894.909</v>
      </c>
    </row>
    <row r="7048" spans="1:38">
      <c r="A7048" s="561">
        <v>86</v>
      </c>
      <c r="B7048" s="561" t="s">
        <v>1924</v>
      </c>
      <c r="C7048" s="561" t="s">
        <v>1267</v>
      </c>
      <c r="D7048" s="561">
        <v>8504.5901324096722</v>
      </c>
      <c r="E7048" s="561">
        <v>2159.9999999999995</v>
      </c>
      <c r="F7048" s="561">
        <v>6344.59</v>
      </c>
      <c r="G7048" s="561">
        <v>717</v>
      </c>
      <c r="H7048" s="561">
        <v>9608.4987057430044</v>
      </c>
      <c r="I7048" s="561">
        <v>71</v>
      </c>
      <c r="J7048" s="561">
        <v>1155.5802400000002</v>
      </c>
      <c r="K7048" s="561">
        <v>715</v>
      </c>
      <c r="L7048" s="561">
        <v>8504.5901324096722</v>
      </c>
      <c r="M7048" s="561">
        <v>8504.5901324096722</v>
      </c>
      <c r="N7048" s="561">
        <v>2159.9999999999995</v>
      </c>
      <c r="O7048" s="561">
        <v>0</v>
      </c>
      <c r="P7048" s="561">
        <v>6344.5901324096722</v>
      </c>
      <c r="Q7048" s="561">
        <v>6344.59</v>
      </c>
    </row>
    <row r="7049" spans="1:38">
      <c r="C7049" s="561" t="s">
        <v>1199</v>
      </c>
      <c r="D7049" s="561">
        <v>8504.5901324096722</v>
      </c>
      <c r="E7049" s="561">
        <v>2159.9999999999995</v>
      </c>
      <c r="F7049" s="561">
        <v>6344.59</v>
      </c>
      <c r="G7049" s="561">
        <v>717</v>
      </c>
      <c r="H7049" s="561">
        <v>9608.4987057430044</v>
      </c>
      <c r="I7049" s="561">
        <v>71</v>
      </c>
      <c r="J7049" s="561">
        <v>1155.5802400000002</v>
      </c>
      <c r="K7049" s="561">
        <v>715</v>
      </c>
      <c r="L7049" s="561">
        <v>8504.5901324096722</v>
      </c>
      <c r="M7049" s="561">
        <v>8504.5901324096722</v>
      </c>
      <c r="N7049" s="561">
        <v>2159.9999999999995</v>
      </c>
      <c r="P7049" s="561">
        <v>6344.5901324096722</v>
      </c>
      <c r="Q7049" s="561">
        <v>6344.59</v>
      </c>
    </row>
    <row r="7050" spans="1:38">
      <c r="B7050" s="561" t="s">
        <v>1925</v>
      </c>
      <c r="D7050" s="561">
        <v>677480.56107198435</v>
      </c>
      <c r="E7050" s="561">
        <v>190625.4</v>
      </c>
      <c r="F7050" s="561">
        <v>486855.16148239496</v>
      </c>
      <c r="G7050" s="561">
        <v>16072</v>
      </c>
      <c r="H7050" s="561">
        <v>717028.75563531765</v>
      </c>
      <c r="I7050" s="561">
        <v>2095</v>
      </c>
      <c r="J7050" s="561">
        <v>43634.179269999986</v>
      </c>
      <c r="K7050" s="561">
        <v>15689</v>
      </c>
      <c r="L7050" s="561">
        <v>677480.56107198435</v>
      </c>
      <c r="M7050" s="561">
        <v>677480.56107198435</v>
      </c>
      <c r="N7050" s="561">
        <v>190625.4</v>
      </c>
      <c r="O7050" s="561">
        <v>0</v>
      </c>
      <c r="P7050" s="561">
        <v>486855.16107198427</v>
      </c>
      <c r="Q7050" s="561">
        <v>486855.16148239496</v>
      </c>
    </row>
    <row r="7051" spans="1:38">
      <c r="A7051" s="561">
        <v>87</v>
      </c>
      <c r="B7051" s="561" t="s">
        <v>1926</v>
      </c>
      <c r="C7051" s="561" t="s">
        <v>1267</v>
      </c>
      <c r="D7051" s="561">
        <v>632395.261482395</v>
      </c>
      <c r="E7051" s="561">
        <v>179105.4</v>
      </c>
      <c r="F7051" s="561">
        <v>453289.86148239498</v>
      </c>
      <c r="G7051" s="561">
        <v>12383</v>
      </c>
      <c r="H7051" s="561">
        <v>664763.9266157283</v>
      </c>
      <c r="I7051" s="561">
        <v>1487</v>
      </c>
      <c r="J7051" s="561">
        <v>36714.921739999991</v>
      </c>
      <c r="K7051" s="561">
        <v>12286</v>
      </c>
      <c r="L7051" s="561">
        <v>632395.261482395</v>
      </c>
      <c r="M7051" s="561">
        <v>632395.261482395</v>
      </c>
      <c r="N7051" s="561">
        <v>179105.4</v>
      </c>
      <c r="O7051" s="561">
        <v>0</v>
      </c>
      <c r="P7051" s="561">
        <v>453289.86148239498</v>
      </c>
      <c r="Q7051" s="561">
        <v>453289.86148239498</v>
      </c>
    </row>
    <row r="7052" spans="1:38">
      <c r="C7052" s="561" t="s">
        <v>1197</v>
      </c>
      <c r="D7052" s="561">
        <v>602251.54072499182</v>
      </c>
      <c r="E7052" s="561">
        <v>172265.4</v>
      </c>
      <c r="F7052" s="561">
        <v>429986.1407249918</v>
      </c>
      <c r="G7052" s="561">
        <v>10284</v>
      </c>
      <c r="H7052" s="561">
        <v>634412.44250499178</v>
      </c>
      <c r="I7052" s="561">
        <v>1456</v>
      </c>
      <c r="J7052" s="561">
        <v>36596.586809999993</v>
      </c>
      <c r="K7052" s="561">
        <v>10190</v>
      </c>
      <c r="L7052" s="561">
        <v>602251.54072499182</v>
      </c>
      <c r="M7052" s="561">
        <v>602251.54072499182</v>
      </c>
      <c r="N7052" s="561">
        <v>172265.4</v>
      </c>
      <c r="Q7052" s="561">
        <v>429986.1407249918</v>
      </c>
      <c r="AL7052" s="561">
        <v>429986.1407249918</v>
      </c>
    </row>
    <row r="7053" spans="1:38">
      <c r="C7053" s="561" t="s">
        <v>1199</v>
      </c>
      <c r="D7053" s="561">
        <v>30143.720757403171</v>
      </c>
      <c r="E7053" s="561">
        <v>6839.9999999999991</v>
      </c>
      <c r="F7053" s="561">
        <v>23303.720757403171</v>
      </c>
      <c r="G7053" s="561">
        <v>2099</v>
      </c>
      <c r="H7053" s="561">
        <v>30351.484110736503</v>
      </c>
      <c r="I7053" s="561">
        <v>31</v>
      </c>
      <c r="J7053" s="561">
        <v>118.33492999999983</v>
      </c>
      <c r="K7053" s="561">
        <v>2096</v>
      </c>
      <c r="L7053" s="561">
        <v>30143.720757403171</v>
      </c>
      <c r="M7053" s="561">
        <v>30143.720757403171</v>
      </c>
      <c r="N7053" s="561">
        <v>6839.9999999999991</v>
      </c>
      <c r="P7053" s="561">
        <v>23303.720757403171</v>
      </c>
      <c r="Q7053" s="561">
        <v>23303.720757403171</v>
      </c>
    </row>
    <row r="7054" spans="1:38">
      <c r="A7054" s="561">
        <v>88</v>
      </c>
      <c r="B7054" s="561" t="s">
        <v>1927</v>
      </c>
      <c r="C7054" s="561" t="s">
        <v>1267</v>
      </c>
      <c r="D7054" s="561">
        <v>38860.299934951821</v>
      </c>
      <c r="E7054" s="561">
        <v>9720</v>
      </c>
      <c r="F7054" s="561">
        <v>29140.3</v>
      </c>
      <c r="G7054" s="561">
        <v>3216</v>
      </c>
      <c r="H7054" s="561">
        <v>45072.851734951815</v>
      </c>
      <c r="I7054" s="561">
        <v>560</v>
      </c>
      <c r="J7054" s="561">
        <v>6540.3395499999997</v>
      </c>
      <c r="K7054" s="561">
        <v>2930</v>
      </c>
      <c r="L7054" s="561">
        <v>38860.299934951821</v>
      </c>
      <c r="M7054" s="561">
        <v>38860.299934951821</v>
      </c>
      <c r="N7054" s="561">
        <v>9720</v>
      </c>
      <c r="O7054" s="561">
        <v>0</v>
      </c>
      <c r="P7054" s="561">
        <v>29140.299934951821</v>
      </c>
      <c r="Q7054" s="561">
        <v>29140.3</v>
      </c>
    </row>
    <row r="7055" spans="1:38">
      <c r="C7055" s="561" t="s">
        <v>1199</v>
      </c>
      <c r="D7055" s="561">
        <v>38860.299934951821</v>
      </c>
      <c r="E7055" s="561">
        <v>9720</v>
      </c>
      <c r="F7055" s="561">
        <v>29140.3</v>
      </c>
      <c r="G7055" s="561">
        <v>3216</v>
      </c>
      <c r="H7055" s="561">
        <v>45072.851734951815</v>
      </c>
      <c r="I7055" s="561">
        <v>560</v>
      </c>
      <c r="J7055" s="561">
        <v>6540.3395499999997</v>
      </c>
      <c r="K7055" s="561">
        <v>2930</v>
      </c>
      <c r="L7055" s="561">
        <v>38860.299934951821</v>
      </c>
      <c r="M7055" s="561">
        <v>38860.299934951821</v>
      </c>
      <c r="N7055" s="561">
        <v>9720</v>
      </c>
      <c r="P7055" s="561">
        <v>29140.299934951821</v>
      </c>
      <c r="Q7055" s="561">
        <v>29140.3</v>
      </c>
    </row>
    <row r="7056" spans="1:38">
      <c r="A7056" s="561">
        <v>89</v>
      </c>
      <c r="B7056" s="561" t="s">
        <v>1928</v>
      </c>
      <c r="C7056" s="561" t="s">
        <v>1267</v>
      </c>
      <c r="D7056" s="561">
        <v>6224.9996546375005</v>
      </c>
      <c r="E7056" s="561">
        <v>1800</v>
      </c>
      <c r="F7056" s="561">
        <v>4425</v>
      </c>
      <c r="G7056" s="561">
        <v>473</v>
      </c>
      <c r="H7056" s="561">
        <v>7191.9772846375017</v>
      </c>
      <c r="I7056" s="561">
        <v>48</v>
      </c>
      <c r="J7056" s="561">
        <v>378.91798</v>
      </c>
      <c r="K7056" s="561">
        <v>473</v>
      </c>
      <c r="L7056" s="561">
        <v>6224.9996546375005</v>
      </c>
      <c r="M7056" s="561">
        <v>6224.9996546375005</v>
      </c>
      <c r="N7056" s="561">
        <v>1800</v>
      </c>
      <c r="O7056" s="561">
        <v>0</v>
      </c>
      <c r="P7056" s="561">
        <v>4424.9996546375005</v>
      </c>
      <c r="Q7056" s="561">
        <v>4425</v>
      </c>
    </row>
    <row r="7057" spans="1:56">
      <c r="C7057" s="561" t="s">
        <v>1199</v>
      </c>
      <c r="D7057" s="561">
        <v>6224.9996546375005</v>
      </c>
      <c r="E7057" s="561">
        <v>1800</v>
      </c>
      <c r="F7057" s="561">
        <v>4425</v>
      </c>
      <c r="G7057" s="561">
        <v>473</v>
      </c>
      <c r="H7057" s="561">
        <v>7191.9772846375017</v>
      </c>
      <c r="I7057" s="561">
        <v>48</v>
      </c>
      <c r="J7057" s="561">
        <v>378.91798</v>
      </c>
      <c r="K7057" s="561">
        <v>473</v>
      </c>
      <c r="L7057" s="561">
        <v>6224.9996546375005</v>
      </c>
      <c r="M7057" s="561">
        <v>6224.9996546375005</v>
      </c>
      <c r="N7057" s="561">
        <v>1800</v>
      </c>
      <c r="P7057" s="561">
        <v>4424.9996546375005</v>
      </c>
      <c r="Q7057" s="561">
        <v>4425</v>
      </c>
    </row>
    <row r="7058" spans="1:56">
      <c r="B7058" s="561" t="s">
        <v>1929</v>
      </c>
      <c r="D7058" s="561">
        <v>1700688.9574319767</v>
      </c>
      <c r="E7058" s="561">
        <v>410092.1999999999</v>
      </c>
      <c r="F7058" s="561">
        <v>1290596.7569944931</v>
      </c>
      <c r="G7058" s="561">
        <v>38352</v>
      </c>
      <c r="H7058" s="561">
        <v>1831215.4935890248</v>
      </c>
      <c r="I7058" s="561">
        <v>3024</v>
      </c>
      <c r="J7058" s="561">
        <v>138474.77435000002</v>
      </c>
      <c r="K7058" s="561">
        <v>37740</v>
      </c>
      <c r="L7058" s="561">
        <v>1700688.9574319767</v>
      </c>
      <c r="M7058" s="561">
        <v>1700688.9574319767</v>
      </c>
      <c r="N7058" s="561">
        <v>410092.1999999999</v>
      </c>
      <c r="O7058" s="561">
        <v>0</v>
      </c>
      <c r="P7058" s="561">
        <v>1290596.7574319767</v>
      </c>
      <c r="Q7058" s="561">
        <v>1290596.7569944931</v>
      </c>
    </row>
    <row r="7059" spans="1:56">
      <c r="A7059" s="561">
        <v>90</v>
      </c>
      <c r="B7059" s="561" t="s">
        <v>1930</v>
      </c>
      <c r="C7059" s="561" t="s">
        <v>1267</v>
      </c>
      <c r="D7059" s="561">
        <v>611275.96069535182</v>
      </c>
      <c r="E7059" s="561">
        <v>152039.39999999997</v>
      </c>
      <c r="F7059" s="561">
        <v>459236.56069535192</v>
      </c>
      <c r="G7059" s="561">
        <v>10589</v>
      </c>
      <c r="H7059" s="561">
        <v>640794.88241201837</v>
      </c>
      <c r="I7059" s="561">
        <v>922</v>
      </c>
      <c r="J7059" s="561">
        <v>32445.340359999998</v>
      </c>
      <c r="K7059" s="561">
        <v>10433</v>
      </c>
      <c r="L7059" s="561">
        <v>611275.96069535182</v>
      </c>
      <c r="M7059" s="561">
        <v>611275.96069535182</v>
      </c>
      <c r="N7059" s="561">
        <v>152039.39999999997</v>
      </c>
      <c r="O7059" s="561">
        <v>0</v>
      </c>
      <c r="P7059" s="561">
        <v>459236.56069535192</v>
      </c>
      <c r="Q7059" s="561">
        <v>459236.56069535192</v>
      </c>
    </row>
    <row r="7060" spans="1:56">
      <c r="C7060" s="561" t="s">
        <v>1197</v>
      </c>
      <c r="D7060" s="561">
        <v>570485.53249000001</v>
      </c>
      <c r="E7060" s="561">
        <v>143759.39999999997</v>
      </c>
      <c r="F7060" s="561">
        <v>426726.13249000005</v>
      </c>
      <c r="G7060" s="561">
        <v>8243</v>
      </c>
      <c r="H7060" s="561">
        <v>599516.0229199999</v>
      </c>
      <c r="I7060" s="561">
        <v>868</v>
      </c>
      <c r="J7060" s="561">
        <v>32018.76874</v>
      </c>
      <c r="K7060" s="561">
        <v>8098</v>
      </c>
      <c r="L7060" s="561">
        <v>570485.53249000001</v>
      </c>
      <c r="M7060" s="561">
        <v>570485.53249000001</v>
      </c>
      <c r="N7060" s="561">
        <v>143759.39999999997</v>
      </c>
      <c r="Q7060" s="561">
        <v>426726.13249000005</v>
      </c>
      <c r="AL7060" s="561">
        <v>426726.13249000005</v>
      </c>
    </row>
    <row r="7061" spans="1:56">
      <c r="C7061" s="561" t="s">
        <v>1199</v>
      </c>
      <c r="D7061" s="561">
        <v>40790.428205351855</v>
      </c>
      <c r="E7061" s="561">
        <v>8280</v>
      </c>
      <c r="F7061" s="561">
        <v>32510.428205351855</v>
      </c>
      <c r="G7061" s="561">
        <v>2346</v>
      </c>
      <c r="H7061" s="561">
        <v>41278.859492018513</v>
      </c>
      <c r="I7061" s="561">
        <v>54</v>
      </c>
      <c r="J7061" s="561">
        <v>426.57162000000028</v>
      </c>
      <c r="K7061" s="561">
        <v>2335</v>
      </c>
      <c r="L7061" s="561">
        <v>40790.428205351855</v>
      </c>
      <c r="M7061" s="561">
        <v>40790.428205351855</v>
      </c>
      <c r="N7061" s="561">
        <v>8280</v>
      </c>
      <c r="P7061" s="561">
        <v>32510.428205351855</v>
      </c>
      <c r="Q7061" s="561">
        <v>32510.428205351855</v>
      </c>
    </row>
    <row r="7062" spans="1:56">
      <c r="A7062" s="561">
        <v>91</v>
      </c>
      <c r="B7062" s="561" t="s">
        <v>1931</v>
      </c>
      <c r="C7062" s="561" t="s">
        <v>1267</v>
      </c>
      <c r="D7062" s="561">
        <v>68434.652280000009</v>
      </c>
      <c r="E7062" s="561">
        <v>16200</v>
      </c>
      <c r="F7062" s="561">
        <v>52234.652000000002</v>
      </c>
      <c r="G7062" s="561">
        <v>5174</v>
      </c>
      <c r="H7062" s="561">
        <v>71476.558059999996</v>
      </c>
      <c r="I7062" s="561">
        <v>258</v>
      </c>
      <c r="J7062" s="561">
        <v>3172.6226500000002</v>
      </c>
      <c r="K7062" s="561">
        <v>5013</v>
      </c>
      <c r="L7062" s="561">
        <v>68434.652280000009</v>
      </c>
      <c r="M7062" s="561">
        <v>68434.652280000009</v>
      </c>
      <c r="N7062" s="561">
        <v>16200</v>
      </c>
      <c r="O7062" s="561">
        <v>0</v>
      </c>
      <c r="P7062" s="561">
        <v>52234.652280000009</v>
      </c>
      <c r="Q7062" s="561">
        <v>52234.652000000002</v>
      </c>
    </row>
    <row r="7063" spans="1:56">
      <c r="C7063" s="561" t="s">
        <v>1199</v>
      </c>
      <c r="D7063" s="561">
        <v>68434.652280000009</v>
      </c>
      <c r="E7063" s="561">
        <v>16200</v>
      </c>
      <c r="F7063" s="561">
        <v>52234.652000000002</v>
      </c>
      <c r="G7063" s="561">
        <v>5174</v>
      </c>
      <c r="H7063" s="561">
        <v>71476.558059999996</v>
      </c>
      <c r="I7063" s="561">
        <v>258</v>
      </c>
      <c r="J7063" s="561">
        <v>3172.6226500000002</v>
      </c>
      <c r="K7063" s="561">
        <v>5013</v>
      </c>
      <c r="L7063" s="561">
        <v>68434.652280000009</v>
      </c>
      <c r="M7063" s="561">
        <v>68434.652280000009</v>
      </c>
      <c r="N7063" s="561">
        <v>16200</v>
      </c>
      <c r="P7063" s="561">
        <v>52234.652280000009</v>
      </c>
      <c r="Q7063" s="561">
        <v>52234.652000000002</v>
      </c>
    </row>
    <row r="7064" spans="1:56">
      <c r="A7064" s="561">
        <v>92</v>
      </c>
      <c r="B7064" s="561" t="s">
        <v>1932</v>
      </c>
      <c r="C7064" s="561" t="s">
        <v>1267</v>
      </c>
      <c r="D7064" s="561">
        <v>236451.59441735767</v>
      </c>
      <c r="E7064" s="561">
        <v>63236.399999999987</v>
      </c>
      <c r="F7064" s="561">
        <v>173215.19490735768</v>
      </c>
      <c r="G7064" s="561">
        <v>4536</v>
      </c>
      <c r="H7064" s="561">
        <v>261314.46883107262</v>
      </c>
      <c r="I7064" s="561">
        <v>469</v>
      </c>
      <c r="J7064" s="561">
        <v>25608.615690000002</v>
      </c>
      <c r="K7064" s="561">
        <v>4504</v>
      </c>
      <c r="L7064" s="561">
        <v>236451.59441735767</v>
      </c>
      <c r="M7064" s="561">
        <v>236451.59441735767</v>
      </c>
      <c r="N7064" s="561">
        <v>63236.399999999987</v>
      </c>
      <c r="O7064" s="561">
        <v>0</v>
      </c>
      <c r="P7064" s="561">
        <v>173215.19441735768</v>
      </c>
      <c r="Q7064" s="561">
        <v>173215.19490735768</v>
      </c>
    </row>
    <row r="7065" spans="1:56">
      <c r="C7065" s="561" t="s">
        <v>1197</v>
      </c>
      <c r="D7065" s="561">
        <v>228081.73006735768</v>
      </c>
      <c r="E7065" s="561">
        <v>60896.399999999987</v>
      </c>
      <c r="F7065" s="561">
        <v>167185.33027735769</v>
      </c>
      <c r="G7065" s="561">
        <v>3903</v>
      </c>
      <c r="H7065" s="561">
        <v>252904.1778773577</v>
      </c>
      <c r="I7065" s="561">
        <v>459</v>
      </c>
      <c r="J7065" s="561">
        <v>25562.574090000002</v>
      </c>
      <c r="K7065" s="561">
        <v>3871</v>
      </c>
      <c r="L7065" s="561">
        <v>228081.73006735768</v>
      </c>
      <c r="M7065" s="561">
        <v>228081.73006735768</v>
      </c>
      <c r="N7065" s="561">
        <v>60896.399999999987</v>
      </c>
      <c r="Q7065" s="561">
        <v>167185.33027735769</v>
      </c>
      <c r="AL7065" s="561">
        <v>167185.33006735769</v>
      </c>
    </row>
    <row r="7066" spans="1:56">
      <c r="C7066" s="561" t="s">
        <v>1199</v>
      </c>
      <c r="D7066" s="561">
        <v>8369.8643500000017</v>
      </c>
      <c r="E7066" s="561">
        <v>2340</v>
      </c>
      <c r="F7066" s="561">
        <v>6029.86463</v>
      </c>
      <c r="G7066" s="561">
        <v>633</v>
      </c>
      <c r="H7066" s="561">
        <v>8410.2909537149153</v>
      </c>
      <c r="I7066" s="561">
        <v>10</v>
      </c>
      <c r="J7066" s="561">
        <v>46.041600000000003</v>
      </c>
      <c r="K7066" s="561">
        <v>633</v>
      </c>
      <c r="L7066" s="561">
        <v>8369.8643500000017</v>
      </c>
      <c r="M7066" s="561">
        <v>8369.8643500000017</v>
      </c>
      <c r="N7066" s="561">
        <v>2340</v>
      </c>
      <c r="P7066" s="561">
        <v>6029.8643500000017</v>
      </c>
      <c r="Q7066" s="561">
        <v>6029.86463</v>
      </c>
    </row>
    <row r="7067" spans="1:56">
      <c r="A7067" s="561">
        <v>93</v>
      </c>
      <c r="B7067" s="561" t="s">
        <v>1933</v>
      </c>
      <c r="C7067" s="561" t="s">
        <v>1267</v>
      </c>
      <c r="D7067" s="561">
        <v>420781.30000666663</v>
      </c>
      <c r="E7067" s="561">
        <v>89295.599999999977</v>
      </c>
      <c r="F7067" s="561">
        <v>331485.70000666665</v>
      </c>
      <c r="G7067" s="561">
        <v>8824</v>
      </c>
      <c r="H7067" s="561">
        <v>463143.35200000001</v>
      </c>
      <c r="I7067" s="561">
        <v>800</v>
      </c>
      <c r="J7067" s="561">
        <v>46394.419310000005</v>
      </c>
      <c r="K7067" s="561">
        <v>8704</v>
      </c>
      <c r="L7067" s="561">
        <v>420781.30000666663</v>
      </c>
      <c r="M7067" s="561">
        <v>420781.30000666663</v>
      </c>
      <c r="N7067" s="561">
        <v>89295.599999999977</v>
      </c>
      <c r="O7067" s="561">
        <v>0</v>
      </c>
      <c r="P7067" s="561">
        <v>331485.70000666665</v>
      </c>
      <c r="Q7067" s="561">
        <v>331485.70000666665</v>
      </c>
    </row>
    <row r="7068" spans="1:56">
      <c r="C7068" s="561" t="s">
        <v>1197</v>
      </c>
      <c r="D7068" s="561">
        <v>375797.65366999997</v>
      </c>
      <c r="E7068" s="561">
        <v>80835.599999999977</v>
      </c>
      <c r="F7068" s="561">
        <v>294962.05366999999</v>
      </c>
      <c r="G7068" s="561">
        <v>6005</v>
      </c>
      <c r="H7068" s="561">
        <v>417580.04511000001</v>
      </c>
      <c r="I7068" s="561">
        <v>705</v>
      </c>
      <c r="J7068" s="561">
        <v>45947.509090000007</v>
      </c>
      <c r="K7068" s="561">
        <v>5889</v>
      </c>
      <c r="L7068" s="561">
        <v>375797.65366999997</v>
      </c>
      <c r="M7068" s="561">
        <v>375797.65366999997</v>
      </c>
      <c r="N7068" s="561">
        <v>80835.599999999977</v>
      </c>
      <c r="Q7068" s="561">
        <v>294962.05366999999</v>
      </c>
      <c r="BD7068" s="561">
        <v>294962.05366999999</v>
      </c>
    </row>
    <row r="7069" spans="1:56">
      <c r="C7069" s="561" t="s">
        <v>1199</v>
      </c>
      <c r="D7069" s="561">
        <v>44983.646336666672</v>
      </c>
      <c r="E7069" s="561">
        <v>8459.9999999999982</v>
      </c>
      <c r="F7069" s="561">
        <v>36523.646336666672</v>
      </c>
      <c r="G7069" s="561">
        <v>2819</v>
      </c>
      <c r="H7069" s="561">
        <v>45563.30689</v>
      </c>
      <c r="I7069" s="561">
        <v>95</v>
      </c>
      <c r="J7069" s="561">
        <v>446.91021999999998</v>
      </c>
      <c r="K7069" s="561">
        <v>2815</v>
      </c>
      <c r="L7069" s="561">
        <v>44983.646336666672</v>
      </c>
      <c r="M7069" s="561">
        <v>44983.646336666672</v>
      </c>
      <c r="N7069" s="561">
        <v>8459.9999999999982</v>
      </c>
      <c r="P7069" s="561">
        <v>36523.646336666672</v>
      </c>
      <c r="Q7069" s="561">
        <v>36523.646336666672</v>
      </c>
    </row>
    <row r="7070" spans="1:56">
      <c r="A7070" s="561">
        <v>94</v>
      </c>
      <c r="B7070" s="561" t="s">
        <v>1934</v>
      </c>
      <c r="C7070" s="561" t="s">
        <v>1267</v>
      </c>
      <c r="D7070" s="561">
        <v>162931.5996601177</v>
      </c>
      <c r="E7070" s="561">
        <v>43108.200000000004</v>
      </c>
      <c r="F7070" s="561">
        <v>119823.39939345107</v>
      </c>
      <c r="G7070" s="561">
        <v>5058</v>
      </c>
      <c r="H7070" s="561">
        <v>184351.38691345105</v>
      </c>
      <c r="I7070" s="561">
        <v>409</v>
      </c>
      <c r="J7070" s="561">
        <v>21481.809440000001</v>
      </c>
      <c r="K7070" s="561">
        <v>4939</v>
      </c>
      <c r="L7070" s="561">
        <v>162931.5996601177</v>
      </c>
      <c r="M7070" s="561">
        <v>162931.5996601177</v>
      </c>
      <c r="N7070" s="561">
        <v>43108.200000000004</v>
      </c>
      <c r="O7070" s="561">
        <v>0</v>
      </c>
      <c r="P7070" s="561">
        <v>119823.39966011769</v>
      </c>
      <c r="Q7070" s="561">
        <v>119823.39939345107</v>
      </c>
    </row>
    <row r="7071" spans="1:56">
      <c r="C7071" s="561" t="s">
        <v>1197</v>
      </c>
      <c r="D7071" s="561">
        <v>118896.96434360149</v>
      </c>
      <c r="E7071" s="561">
        <v>32308.200000000004</v>
      </c>
      <c r="F7071" s="561">
        <v>86588.764073601516</v>
      </c>
      <c r="G7071" s="561">
        <v>2002</v>
      </c>
      <c r="H7071" s="561">
        <v>138499.88139360151</v>
      </c>
      <c r="I7071" s="561">
        <v>290</v>
      </c>
      <c r="J7071" s="561">
        <v>19646.0226</v>
      </c>
      <c r="K7071" s="561">
        <v>1922</v>
      </c>
      <c r="L7071" s="561">
        <v>118896.96434360149</v>
      </c>
      <c r="M7071" s="561">
        <v>118896.96434360149</v>
      </c>
      <c r="N7071" s="561">
        <v>32308.200000000004</v>
      </c>
      <c r="P7071" s="561">
        <v>86588.764343601477</v>
      </c>
      <c r="Q7071" s="561">
        <v>86588.764073601516</v>
      </c>
    </row>
    <row r="7072" spans="1:56">
      <c r="C7072" s="561" t="s">
        <v>1199</v>
      </c>
      <c r="D7072" s="561">
        <v>44034.635316516222</v>
      </c>
      <c r="E7072" s="561">
        <v>10800</v>
      </c>
      <c r="F7072" s="561">
        <v>33234.635319849549</v>
      </c>
      <c r="G7072" s="561">
        <v>3056</v>
      </c>
      <c r="H7072" s="561">
        <v>45851.505519849547</v>
      </c>
      <c r="I7072" s="561">
        <v>119</v>
      </c>
      <c r="J7072" s="561">
        <v>1835.7868400000002</v>
      </c>
      <c r="K7072" s="561">
        <v>3017</v>
      </c>
      <c r="L7072" s="561">
        <v>44034.635316516222</v>
      </c>
      <c r="M7072" s="561">
        <v>44034.635316516222</v>
      </c>
      <c r="N7072" s="561">
        <v>10800</v>
      </c>
      <c r="P7072" s="561">
        <v>33234.635316516222</v>
      </c>
      <c r="Q7072" s="561">
        <v>33234.635319849549</v>
      </c>
    </row>
    <row r="7073" spans="1:111">
      <c r="A7073" s="561">
        <v>95</v>
      </c>
      <c r="B7073" s="561" t="s">
        <v>1935</v>
      </c>
      <c r="C7073" s="561" t="s">
        <v>1267</v>
      </c>
      <c r="D7073" s="561">
        <v>188363.84999166566</v>
      </c>
      <c r="E7073" s="561">
        <v>42612.599999999991</v>
      </c>
      <c r="F7073" s="561">
        <v>145751.24999166565</v>
      </c>
      <c r="G7073" s="561">
        <v>3169</v>
      </c>
      <c r="H7073" s="561">
        <v>196768.85537166565</v>
      </c>
      <c r="I7073" s="561">
        <v>120</v>
      </c>
      <c r="J7073" s="561">
        <v>8465.963389999999</v>
      </c>
      <c r="K7073" s="561">
        <v>3150</v>
      </c>
      <c r="L7073" s="561">
        <v>188363.84999166566</v>
      </c>
      <c r="M7073" s="561">
        <v>188363.84999166566</v>
      </c>
      <c r="N7073" s="561">
        <v>42612.599999999991</v>
      </c>
      <c r="O7073" s="561">
        <v>0</v>
      </c>
      <c r="P7073" s="561">
        <v>145751.24999166565</v>
      </c>
      <c r="Q7073" s="561">
        <v>145751.24999166565</v>
      </c>
    </row>
    <row r="7074" spans="1:111">
      <c r="C7074" s="561" t="s">
        <v>1197</v>
      </c>
      <c r="D7074" s="561">
        <v>163441.29587937458</v>
      </c>
      <c r="E7074" s="561">
        <v>32680.199999999993</v>
      </c>
      <c r="F7074" s="561">
        <v>130761.09587937458</v>
      </c>
      <c r="G7074" s="561">
        <v>2069</v>
      </c>
      <c r="H7074" s="561">
        <v>171708.99950937458</v>
      </c>
      <c r="I7074" s="561">
        <v>98</v>
      </c>
      <c r="J7074" s="561">
        <v>8328.6690299999991</v>
      </c>
      <c r="K7074" s="561">
        <v>2057</v>
      </c>
      <c r="L7074" s="561">
        <v>163441.29587937458</v>
      </c>
      <c r="M7074" s="561">
        <v>163441.29587937458</v>
      </c>
      <c r="N7074" s="561">
        <v>32680.199999999993</v>
      </c>
      <c r="Q7074" s="561">
        <v>130761.09587937458</v>
      </c>
      <c r="BD7074" s="561">
        <v>130761.09587937458</v>
      </c>
    </row>
    <row r="7075" spans="1:111">
      <c r="C7075" s="561" t="s">
        <v>1199</v>
      </c>
      <c r="D7075" s="561">
        <v>16360.196870858244</v>
      </c>
      <c r="E7075" s="561">
        <v>3704.3999999999996</v>
      </c>
      <c r="F7075" s="561">
        <v>12655.796870858245</v>
      </c>
      <c r="G7075" s="561">
        <v>1077</v>
      </c>
      <c r="H7075" s="561">
        <v>16497.498620858241</v>
      </c>
      <c r="I7075" s="561">
        <v>21</v>
      </c>
      <c r="J7075" s="561">
        <v>123.18822999999989</v>
      </c>
      <c r="K7075" s="561">
        <v>1070</v>
      </c>
      <c r="L7075" s="561">
        <v>16360.196870858244</v>
      </c>
      <c r="M7075" s="561">
        <v>16360.196870858244</v>
      </c>
      <c r="N7075" s="561">
        <v>3704.3999999999996</v>
      </c>
      <c r="P7075" s="561">
        <v>12655.796870858245</v>
      </c>
      <c r="Q7075" s="561">
        <v>12655.796870858245</v>
      </c>
    </row>
    <row r="7076" spans="1:111">
      <c r="C7076" s="561" t="s">
        <v>1198</v>
      </c>
      <c r="D7076" s="561">
        <v>8562.3572414328337</v>
      </c>
      <c r="E7076" s="561">
        <v>6228</v>
      </c>
      <c r="F7076" s="561">
        <v>2334.3572414328337</v>
      </c>
      <c r="G7076" s="561">
        <v>23</v>
      </c>
      <c r="H7076" s="561">
        <v>8562.3572414328337</v>
      </c>
      <c r="I7076" s="561">
        <v>1</v>
      </c>
      <c r="J7076" s="561">
        <v>14.106129999999999</v>
      </c>
      <c r="K7076" s="561">
        <v>23</v>
      </c>
      <c r="L7076" s="561">
        <v>8562.3572414328337</v>
      </c>
      <c r="M7076" s="561">
        <v>8562.3572414328337</v>
      </c>
      <c r="N7076" s="561">
        <v>6228</v>
      </c>
      <c r="P7076" s="561">
        <v>2334.3572414328337</v>
      </c>
      <c r="Q7076" s="561">
        <v>2334.3572414328337</v>
      </c>
    </row>
    <row r="7077" spans="1:111">
      <c r="A7077" s="561">
        <v>96</v>
      </c>
      <c r="B7077" s="561" t="s">
        <v>1936</v>
      </c>
      <c r="C7077" s="561" t="s">
        <v>1267</v>
      </c>
      <c r="D7077" s="561">
        <v>12450.000380817111</v>
      </c>
      <c r="E7077" s="561">
        <v>3599.9999999999995</v>
      </c>
      <c r="F7077" s="561">
        <v>8850</v>
      </c>
      <c r="G7077" s="561">
        <v>1002</v>
      </c>
      <c r="H7077" s="561">
        <v>13365.990000817108</v>
      </c>
      <c r="I7077" s="561">
        <v>46</v>
      </c>
      <c r="J7077" s="561">
        <v>906.00351000000001</v>
      </c>
      <c r="K7077" s="561">
        <v>997</v>
      </c>
      <c r="L7077" s="561">
        <v>12450.000380817111</v>
      </c>
      <c r="M7077" s="561">
        <v>12450.000380817111</v>
      </c>
      <c r="N7077" s="561">
        <v>3599.9999999999995</v>
      </c>
      <c r="O7077" s="561">
        <v>0</v>
      </c>
      <c r="P7077" s="561">
        <v>8850.0003808171114</v>
      </c>
      <c r="Q7077" s="561">
        <v>8850</v>
      </c>
    </row>
    <row r="7078" spans="1:111">
      <c r="C7078" s="561" t="s">
        <v>1199</v>
      </c>
      <c r="D7078" s="561">
        <v>12450.000380817111</v>
      </c>
      <c r="E7078" s="561">
        <v>3599.9999999999995</v>
      </c>
      <c r="F7078" s="561">
        <v>8850</v>
      </c>
      <c r="G7078" s="561">
        <v>1002</v>
      </c>
      <c r="H7078" s="561">
        <v>13365.990000817108</v>
      </c>
      <c r="I7078" s="561">
        <v>46</v>
      </c>
      <c r="J7078" s="561">
        <v>906.00351000000001</v>
      </c>
      <c r="K7078" s="561">
        <v>997</v>
      </c>
      <c r="L7078" s="561">
        <v>12450.000380817111</v>
      </c>
      <c r="M7078" s="561">
        <v>12450.000380817111</v>
      </c>
      <c r="N7078" s="561">
        <v>3599.9999999999995</v>
      </c>
      <c r="P7078" s="561">
        <v>8850.0003808171114</v>
      </c>
      <c r="Q7078" s="561">
        <v>8850</v>
      </c>
    </row>
    <row r="7079" spans="1:111">
      <c r="A7079" s="1735" t="s">
        <v>1198</v>
      </c>
      <c r="B7079" s="1735"/>
      <c r="C7079" s="1735"/>
      <c r="D7079" s="1735"/>
      <c r="E7079" s="1735"/>
      <c r="F7079" s="1735"/>
      <c r="G7079" s="1735"/>
      <c r="H7079" s="1735"/>
      <c r="I7079" s="1735"/>
      <c r="J7079" s="1735"/>
      <c r="K7079" s="1735"/>
      <c r="L7079" s="1735"/>
      <c r="M7079" s="1735"/>
      <c r="N7079" s="1735"/>
      <c r="O7079" s="1735"/>
      <c r="P7079" s="1735"/>
      <c r="AL7079" s="561">
        <f>SUM(AL7080:AL7330)</f>
        <v>144431.29756879498</v>
      </c>
      <c r="AM7079" s="561">
        <f t="shared" ref="AM7079:CX7079" si="152">SUM(AM7080:AM7330)</f>
        <v>0</v>
      </c>
      <c r="AN7079" s="561">
        <f t="shared" si="152"/>
        <v>0</v>
      </c>
      <c r="AO7079" s="561">
        <f t="shared" si="152"/>
        <v>0</v>
      </c>
      <c r="AP7079" s="561">
        <f t="shared" si="152"/>
        <v>0</v>
      </c>
      <c r="AQ7079" s="561">
        <f t="shared" si="152"/>
        <v>0</v>
      </c>
      <c r="AR7079" s="561">
        <f t="shared" si="152"/>
        <v>0</v>
      </c>
      <c r="AS7079" s="561">
        <f t="shared" si="152"/>
        <v>0</v>
      </c>
      <c r="AT7079" s="561">
        <f t="shared" si="152"/>
        <v>0</v>
      </c>
      <c r="AU7079" s="561">
        <f t="shared" si="152"/>
        <v>0</v>
      </c>
      <c r="AV7079" s="561">
        <f t="shared" si="152"/>
        <v>0</v>
      </c>
      <c r="AW7079" s="561">
        <f t="shared" si="152"/>
        <v>0</v>
      </c>
      <c r="AX7079" s="561">
        <f t="shared" si="152"/>
        <v>744602.17920173611</v>
      </c>
      <c r="AY7079" s="561">
        <f t="shared" si="152"/>
        <v>0</v>
      </c>
      <c r="AZ7079" s="561">
        <f t="shared" si="152"/>
        <v>0</v>
      </c>
      <c r="BA7079" s="561">
        <f t="shared" si="152"/>
        <v>0</v>
      </c>
      <c r="BB7079" s="561">
        <f t="shared" si="152"/>
        <v>0</v>
      </c>
      <c r="BC7079" s="561">
        <f t="shared" si="152"/>
        <v>0</v>
      </c>
      <c r="BD7079" s="561">
        <f t="shared" si="152"/>
        <v>310815.35351143288</v>
      </c>
      <c r="BE7079" s="561">
        <f t="shared" si="152"/>
        <v>0</v>
      </c>
      <c r="BF7079" s="561">
        <f t="shared" si="152"/>
        <v>0</v>
      </c>
      <c r="BG7079" s="561">
        <f t="shared" si="152"/>
        <v>0</v>
      </c>
      <c r="BH7079" s="561">
        <f t="shared" si="152"/>
        <v>0</v>
      </c>
      <c r="BI7079" s="561">
        <f t="shared" si="152"/>
        <v>0</v>
      </c>
      <c r="BJ7079" s="561">
        <f t="shared" si="152"/>
        <v>0</v>
      </c>
      <c r="BK7079" s="561">
        <f t="shared" si="152"/>
        <v>0</v>
      </c>
      <c r="BL7079" s="561">
        <f t="shared" si="152"/>
        <v>0</v>
      </c>
      <c r="BM7079" s="561">
        <f t="shared" si="152"/>
        <v>0</v>
      </c>
      <c r="BN7079" s="561">
        <f t="shared" si="152"/>
        <v>0</v>
      </c>
      <c r="BO7079" s="561">
        <f t="shared" si="152"/>
        <v>0</v>
      </c>
      <c r="BP7079" s="561">
        <f t="shared" si="152"/>
        <v>0</v>
      </c>
      <c r="BQ7079" s="561">
        <f t="shared" si="152"/>
        <v>0</v>
      </c>
      <c r="BR7079" s="561">
        <f t="shared" si="152"/>
        <v>0</v>
      </c>
      <c r="BS7079" s="561">
        <f t="shared" si="152"/>
        <v>0</v>
      </c>
      <c r="BT7079" s="561">
        <f t="shared" si="152"/>
        <v>0</v>
      </c>
      <c r="BU7079" s="561">
        <f t="shared" si="152"/>
        <v>0</v>
      </c>
      <c r="BV7079" s="561">
        <f t="shared" si="152"/>
        <v>0</v>
      </c>
      <c r="BW7079" s="561">
        <f t="shared" si="152"/>
        <v>0</v>
      </c>
      <c r="BX7079" s="561">
        <f t="shared" si="152"/>
        <v>0</v>
      </c>
      <c r="BY7079" s="561">
        <f t="shared" si="152"/>
        <v>0</v>
      </c>
      <c r="BZ7079" s="561">
        <f t="shared" si="152"/>
        <v>0</v>
      </c>
      <c r="CA7079" s="561">
        <f t="shared" si="152"/>
        <v>0</v>
      </c>
      <c r="CB7079" s="561">
        <f t="shared" si="152"/>
        <v>0</v>
      </c>
      <c r="CC7079" s="561">
        <f t="shared" si="152"/>
        <v>0</v>
      </c>
      <c r="CD7079" s="561">
        <f t="shared" si="152"/>
        <v>0</v>
      </c>
      <c r="CE7079" s="561">
        <f t="shared" si="152"/>
        <v>0</v>
      </c>
      <c r="CF7079" s="561">
        <f t="shared" si="152"/>
        <v>0</v>
      </c>
      <c r="CG7079" s="561">
        <f t="shared" si="152"/>
        <v>0</v>
      </c>
      <c r="CH7079" s="561">
        <f t="shared" si="152"/>
        <v>0</v>
      </c>
      <c r="CI7079" s="561">
        <f t="shared" si="152"/>
        <v>0</v>
      </c>
      <c r="CJ7079" s="561">
        <f t="shared" si="152"/>
        <v>0</v>
      </c>
      <c r="CK7079" s="561">
        <f t="shared" si="152"/>
        <v>0</v>
      </c>
      <c r="CL7079" s="561">
        <f t="shared" si="152"/>
        <v>0</v>
      </c>
      <c r="CM7079" s="561">
        <f t="shared" si="152"/>
        <v>0</v>
      </c>
      <c r="CN7079" s="561">
        <f t="shared" si="152"/>
        <v>0</v>
      </c>
      <c r="CO7079" s="561">
        <f t="shared" si="152"/>
        <v>0</v>
      </c>
      <c r="CP7079" s="561">
        <f t="shared" si="152"/>
        <v>0</v>
      </c>
      <c r="CQ7079" s="561">
        <f t="shared" si="152"/>
        <v>0</v>
      </c>
      <c r="CR7079" s="561">
        <f t="shared" si="152"/>
        <v>0</v>
      </c>
      <c r="CS7079" s="561">
        <f t="shared" si="152"/>
        <v>0</v>
      </c>
      <c r="CT7079" s="561">
        <f t="shared" si="152"/>
        <v>0</v>
      </c>
      <c r="CU7079" s="561">
        <f t="shared" si="152"/>
        <v>0</v>
      </c>
      <c r="CV7079" s="561">
        <f t="shared" si="152"/>
        <v>0</v>
      </c>
      <c r="CW7079" s="561">
        <f t="shared" si="152"/>
        <v>0</v>
      </c>
      <c r="CX7079" s="561">
        <f t="shared" si="152"/>
        <v>0</v>
      </c>
      <c r="CY7079" s="561">
        <f t="shared" ref="CY7079:DG7079" si="153">SUM(CY7080:CY7330)</f>
        <v>0</v>
      </c>
      <c r="CZ7079" s="561">
        <f t="shared" si="153"/>
        <v>0</v>
      </c>
      <c r="DA7079" s="561">
        <f t="shared" si="153"/>
        <v>0</v>
      </c>
      <c r="DB7079" s="561">
        <f t="shared" si="153"/>
        <v>0</v>
      </c>
      <c r="DC7079" s="561">
        <f t="shared" si="153"/>
        <v>0</v>
      </c>
      <c r="DD7079" s="561">
        <f t="shared" si="153"/>
        <v>0</v>
      </c>
      <c r="DE7079" s="561">
        <f t="shared" si="153"/>
        <v>0</v>
      </c>
      <c r="DF7079" s="561">
        <f t="shared" si="153"/>
        <v>0</v>
      </c>
      <c r="DG7079" s="561">
        <f t="shared" si="153"/>
        <v>0</v>
      </c>
    </row>
    <row r="7080" spans="1:111">
      <c r="A7080" s="561">
        <v>1</v>
      </c>
      <c r="B7080" s="561" t="s">
        <v>1826</v>
      </c>
      <c r="C7080" s="561" t="s">
        <v>1267</v>
      </c>
      <c r="D7080" s="561">
        <v>1644748.1912517359</v>
      </c>
      <c r="E7080" s="561">
        <v>316394.39999999991</v>
      </c>
      <c r="F7080" s="561">
        <v>1328353.791251736</v>
      </c>
      <c r="G7080" s="561">
        <v>4036</v>
      </c>
      <c r="H7080" s="561">
        <v>2151593.3647817359</v>
      </c>
      <c r="I7080" s="561">
        <v>396</v>
      </c>
      <c r="J7080" s="561">
        <v>506845.17352999997</v>
      </c>
      <c r="K7080" s="561">
        <v>4001</v>
      </c>
      <c r="L7080" s="561">
        <v>1644748.1912517359</v>
      </c>
      <c r="M7080" s="561">
        <v>1644748.1912517359</v>
      </c>
      <c r="N7080" s="561">
        <v>316394.39999999991</v>
      </c>
      <c r="O7080" s="561">
        <v>0</v>
      </c>
      <c r="P7080" s="561">
        <v>1328353.791251736</v>
      </c>
    </row>
    <row r="7081" spans="1:111">
      <c r="C7081" s="561" t="s">
        <v>1197</v>
      </c>
      <c r="D7081" s="561">
        <v>717950.61204999988</v>
      </c>
      <c r="E7081" s="561">
        <v>134198.99999999997</v>
      </c>
      <c r="F7081" s="561">
        <v>583751.61204999988</v>
      </c>
      <c r="G7081" s="561">
        <v>2848</v>
      </c>
      <c r="H7081" s="561">
        <v>729851.30004999985</v>
      </c>
      <c r="I7081" s="561">
        <v>229</v>
      </c>
      <c r="J7081" s="561">
        <v>11900.688000000002</v>
      </c>
      <c r="K7081" s="561">
        <v>2834</v>
      </c>
      <c r="L7081" s="561">
        <v>717950.61204999988</v>
      </c>
      <c r="M7081" s="561">
        <v>717950.61204999988</v>
      </c>
      <c r="N7081" s="561">
        <v>134198.99999999997</v>
      </c>
    </row>
    <row r="7082" spans="1:111">
      <c r="C7082" s="561" t="s">
        <v>1198</v>
      </c>
      <c r="D7082" s="561">
        <v>926797.57920173602</v>
      </c>
      <c r="E7082" s="561">
        <v>182195.39999999997</v>
      </c>
      <c r="F7082" s="561">
        <v>744602.17920173611</v>
      </c>
      <c r="G7082" s="561">
        <v>1188</v>
      </c>
      <c r="H7082" s="561">
        <v>1421742.064731736</v>
      </c>
      <c r="I7082" s="561">
        <v>167</v>
      </c>
      <c r="J7082" s="561">
        <v>494944.48552999995</v>
      </c>
      <c r="K7082" s="561">
        <v>1167</v>
      </c>
      <c r="L7082" s="561">
        <v>926797.57920173602</v>
      </c>
      <c r="M7082" s="561">
        <v>926797.57920173602</v>
      </c>
      <c r="N7082" s="561">
        <v>182195.39999999997</v>
      </c>
      <c r="AX7082" s="561">
        <v>744602.17920173611</v>
      </c>
    </row>
    <row r="7083" spans="1:111">
      <c r="A7083" s="561">
        <v>2</v>
      </c>
      <c r="B7083" s="561" t="s">
        <v>1827</v>
      </c>
      <c r="C7083" s="561" t="s">
        <v>1267</v>
      </c>
      <c r="D7083" s="561">
        <v>163711</v>
      </c>
      <c r="E7083" s="561">
        <v>49113.299999999996</v>
      </c>
      <c r="F7083" s="561">
        <v>114597.70000000001</v>
      </c>
      <c r="G7083" s="561">
        <v>2953</v>
      </c>
      <c r="H7083" s="561">
        <v>172301.81106420397</v>
      </c>
      <c r="I7083" s="561">
        <v>444</v>
      </c>
      <c r="J7083" s="561">
        <v>9355.7704616119918</v>
      </c>
      <c r="K7083" s="561">
        <v>2888</v>
      </c>
      <c r="L7083" s="561">
        <v>163711</v>
      </c>
      <c r="M7083" s="561">
        <v>163711</v>
      </c>
      <c r="N7083" s="561">
        <v>49113.299999999996</v>
      </c>
      <c r="O7083" s="561">
        <v>0</v>
      </c>
      <c r="P7083" s="561">
        <v>114597.70000000001</v>
      </c>
    </row>
    <row r="7084" spans="1:111">
      <c r="C7084" s="561" t="s">
        <v>1197</v>
      </c>
      <c r="D7084" s="561">
        <v>163711</v>
      </c>
      <c r="E7084" s="561">
        <v>49113.299999999996</v>
      </c>
      <c r="F7084" s="561">
        <v>114597.70000000001</v>
      </c>
      <c r="G7084" s="561">
        <v>2953</v>
      </c>
      <c r="H7084" s="561">
        <v>172301.81106420397</v>
      </c>
      <c r="I7084" s="561">
        <v>444</v>
      </c>
      <c r="J7084" s="561">
        <v>9355.7704616119918</v>
      </c>
      <c r="K7084" s="561">
        <v>2888</v>
      </c>
      <c r="L7084" s="561">
        <v>163711</v>
      </c>
      <c r="M7084" s="561">
        <v>163711</v>
      </c>
      <c r="N7084" s="561">
        <v>49113.299999999996</v>
      </c>
    </row>
    <row r="7085" spans="1:111">
      <c r="A7085" s="561">
        <v>3</v>
      </c>
      <c r="B7085" s="561" t="s">
        <v>1828</v>
      </c>
      <c r="C7085" s="561" t="s">
        <v>1267</v>
      </c>
      <c r="D7085" s="561">
        <v>2509792.9875666671</v>
      </c>
      <c r="E7085" s="561">
        <v>516534.3</v>
      </c>
      <c r="F7085" s="561">
        <v>1993258.6873600003</v>
      </c>
      <c r="G7085" s="561">
        <v>25633</v>
      </c>
      <c r="H7085" s="561">
        <v>2610644.6015699999</v>
      </c>
      <c r="I7085" s="561">
        <v>2408</v>
      </c>
      <c r="J7085" s="561">
        <v>115255.59105105542</v>
      </c>
      <c r="K7085" s="561">
        <v>25333</v>
      </c>
      <c r="L7085" s="561">
        <v>2509792.9875666671</v>
      </c>
      <c r="M7085" s="561">
        <v>2509792.9875666671</v>
      </c>
      <c r="N7085" s="561">
        <v>516534.3</v>
      </c>
      <c r="O7085" s="561">
        <v>0</v>
      </c>
      <c r="P7085" s="561">
        <v>1993258.6875666669</v>
      </c>
    </row>
    <row r="7086" spans="1:111">
      <c r="C7086" s="561" t="s">
        <v>1197</v>
      </c>
      <c r="D7086" s="561">
        <v>1843150.2674600002</v>
      </c>
      <c r="E7086" s="561">
        <v>426606.3</v>
      </c>
      <c r="F7086" s="561">
        <v>1416543.9674600002</v>
      </c>
      <c r="G7086" s="561">
        <v>22643</v>
      </c>
      <c r="H7086" s="561">
        <v>1935320.5860799998</v>
      </c>
      <c r="I7086" s="561">
        <v>2307</v>
      </c>
      <c r="J7086" s="561">
        <v>105723.06001505542</v>
      </c>
      <c r="K7086" s="561">
        <v>22374</v>
      </c>
      <c r="L7086" s="561">
        <v>1843150.2674600002</v>
      </c>
      <c r="M7086" s="561">
        <v>1843150.2674600002</v>
      </c>
      <c r="N7086" s="561">
        <v>426606.3</v>
      </c>
    </row>
    <row r="7087" spans="1:111">
      <c r="C7087" s="561" t="s">
        <v>1198</v>
      </c>
      <c r="D7087" s="561">
        <v>363161.99627000006</v>
      </c>
      <c r="E7087" s="561">
        <v>54680.999999999993</v>
      </c>
      <c r="F7087" s="561">
        <v>308480.99627000006</v>
      </c>
      <c r="G7087" s="561">
        <v>874</v>
      </c>
      <c r="H7087" s="561">
        <v>370707.21187000006</v>
      </c>
      <c r="I7087" s="561">
        <v>40</v>
      </c>
      <c r="J7087" s="561">
        <v>8257.8953700000002</v>
      </c>
      <c r="K7087" s="561">
        <v>873</v>
      </c>
      <c r="L7087" s="561">
        <v>363161.99627000006</v>
      </c>
      <c r="M7087" s="561">
        <v>363161.99627000006</v>
      </c>
      <c r="N7087" s="561">
        <v>54680.999999999993</v>
      </c>
      <c r="BD7087" s="561">
        <v>308480.99627000006</v>
      </c>
    </row>
    <row r="7088" spans="1:111">
      <c r="C7088" s="561" t="s">
        <v>1199</v>
      </c>
      <c r="D7088" s="561">
        <v>303480.72383666673</v>
      </c>
      <c r="E7088" s="561">
        <v>35247</v>
      </c>
      <c r="F7088" s="561">
        <v>268233.72363000002</v>
      </c>
      <c r="G7088" s="561">
        <v>2116</v>
      </c>
      <c r="H7088" s="561">
        <v>304616.80362000002</v>
      </c>
      <c r="I7088" s="561">
        <v>61</v>
      </c>
      <c r="J7088" s="561">
        <v>1274.6356659999985</v>
      </c>
      <c r="K7088" s="561">
        <v>2086</v>
      </c>
      <c r="L7088" s="561">
        <v>303480.72383666673</v>
      </c>
      <c r="M7088" s="561">
        <v>303480.72383666673</v>
      </c>
      <c r="N7088" s="561">
        <v>35247</v>
      </c>
      <c r="P7088" s="561">
        <v>268233.72383666673</v>
      </c>
    </row>
    <row r="7089" spans="1:38">
      <c r="A7089" s="561">
        <v>4</v>
      </c>
      <c r="B7089" s="561" t="s">
        <v>1829</v>
      </c>
      <c r="C7089" s="561" t="s">
        <v>1267</v>
      </c>
      <c r="D7089" s="561">
        <v>1205968.0874805818</v>
      </c>
      <c r="E7089" s="561">
        <v>269205.3</v>
      </c>
      <c r="F7089" s="561">
        <v>936762.7899999998</v>
      </c>
      <c r="G7089" s="561">
        <v>14594</v>
      </c>
      <c r="H7089" s="561">
        <v>1257955.1458905817</v>
      </c>
      <c r="I7089" s="561">
        <v>1751</v>
      </c>
      <c r="J7089" s="561">
        <v>75843.657029410155</v>
      </c>
      <c r="K7089" s="561">
        <v>14583</v>
      </c>
      <c r="L7089" s="561">
        <v>1205968.0874805818</v>
      </c>
      <c r="M7089" s="561">
        <v>1205968.0874805818</v>
      </c>
      <c r="N7089" s="561">
        <v>269205.3</v>
      </c>
      <c r="O7089" s="561">
        <v>0</v>
      </c>
      <c r="P7089" s="561">
        <v>936762.7874805819</v>
      </c>
    </row>
    <row r="7090" spans="1:38">
      <c r="C7090" s="561" t="s">
        <v>1830</v>
      </c>
      <c r="D7090" s="561">
        <v>1176981.3889005859</v>
      </c>
      <c r="E7090" s="561">
        <v>264670.2</v>
      </c>
      <c r="F7090" s="561">
        <v>912311.18999999983</v>
      </c>
      <c r="G7090" s="561">
        <v>14408</v>
      </c>
      <c r="H7090" s="561">
        <v>1227854.7567905858</v>
      </c>
      <c r="I7090" s="561">
        <v>1735</v>
      </c>
      <c r="J7090" s="561">
        <v>70297.722180915749</v>
      </c>
      <c r="K7090" s="561">
        <v>14398</v>
      </c>
      <c r="L7090" s="561">
        <v>1176981.3889005859</v>
      </c>
      <c r="M7090" s="561">
        <v>1176981.3889005859</v>
      </c>
      <c r="N7090" s="561">
        <v>264670.2</v>
      </c>
    </row>
    <row r="7091" spans="1:38">
      <c r="C7091" s="561" t="s">
        <v>1198</v>
      </c>
      <c r="D7091" s="561">
        <v>28787.098079995998</v>
      </c>
      <c r="E7091" s="561">
        <v>4535.0999999999995</v>
      </c>
      <c r="F7091" s="561">
        <v>24252</v>
      </c>
      <c r="G7091" s="561">
        <v>74</v>
      </c>
      <c r="H7091" s="561">
        <v>29856.792849996007</v>
      </c>
      <c r="I7091" s="561">
        <v>16</v>
      </c>
      <c r="J7091" s="561">
        <v>5545.9348484943994</v>
      </c>
      <c r="K7091" s="561">
        <v>73</v>
      </c>
      <c r="L7091" s="561">
        <v>28787.098079995998</v>
      </c>
      <c r="M7091" s="561">
        <v>28787.098079995998</v>
      </c>
      <c r="N7091" s="561">
        <v>4535.0999999999995</v>
      </c>
      <c r="AL7091" s="561">
        <v>24251.998079995999</v>
      </c>
    </row>
    <row r="7092" spans="1:38">
      <c r="C7092" s="561" t="s">
        <v>1202</v>
      </c>
      <c r="D7092" s="561">
        <v>199.60050000000001</v>
      </c>
      <c r="F7092" s="561">
        <v>199.6</v>
      </c>
      <c r="G7092" s="561">
        <v>112</v>
      </c>
      <c r="H7092" s="561">
        <v>243.59625</v>
      </c>
      <c r="I7092" s="561">
        <v>0</v>
      </c>
      <c r="J7092" s="561">
        <v>0</v>
      </c>
      <c r="K7092" s="561">
        <v>112</v>
      </c>
      <c r="L7092" s="561">
        <v>199.60050000000001</v>
      </c>
      <c r="M7092" s="561">
        <v>199.60050000000001</v>
      </c>
      <c r="P7092" s="561">
        <v>199.60050000000001</v>
      </c>
    </row>
    <row r="7093" spans="1:38">
      <c r="A7093" s="561">
        <v>5</v>
      </c>
      <c r="B7093" s="561" t="s">
        <v>1831</v>
      </c>
      <c r="C7093" s="561" t="s">
        <v>1267</v>
      </c>
      <c r="D7093" s="561">
        <v>255325.04948498119</v>
      </c>
      <c r="E7093" s="561">
        <v>84743.699999999983</v>
      </c>
      <c r="F7093" s="561">
        <v>170581.34948498121</v>
      </c>
      <c r="G7093" s="561">
        <v>4943</v>
      </c>
      <c r="H7093" s="561">
        <v>259024.78650831449</v>
      </c>
      <c r="I7093" s="561">
        <v>73</v>
      </c>
      <c r="J7093" s="561">
        <v>3571.4695600000005</v>
      </c>
      <c r="K7093" s="561">
        <v>4931</v>
      </c>
      <c r="L7093" s="561">
        <v>255325.04948498119</v>
      </c>
      <c r="M7093" s="561">
        <v>255325.04948498119</v>
      </c>
      <c r="N7093" s="561">
        <v>84743.699999999983</v>
      </c>
      <c r="O7093" s="561">
        <v>0</v>
      </c>
      <c r="P7093" s="561">
        <v>170581.34948498121</v>
      </c>
    </row>
    <row r="7094" spans="1:38">
      <c r="C7094" s="561" t="s">
        <v>1197</v>
      </c>
      <c r="D7094" s="561">
        <v>236135.42224745202</v>
      </c>
      <c r="E7094" s="561">
        <v>80988.89999999998</v>
      </c>
      <c r="F7094" s="561">
        <v>155146.52224745206</v>
      </c>
      <c r="G7094" s="561">
        <v>3650</v>
      </c>
      <c r="H7094" s="561">
        <v>239680.003037452</v>
      </c>
      <c r="I7094" s="561">
        <v>48</v>
      </c>
      <c r="J7094" s="561">
        <v>3394.2616600000006</v>
      </c>
      <c r="K7094" s="561">
        <v>3640</v>
      </c>
      <c r="L7094" s="561">
        <v>236135.42224745202</v>
      </c>
      <c r="M7094" s="561">
        <v>236135.42224745202</v>
      </c>
      <c r="N7094" s="561">
        <v>80988.89999999998</v>
      </c>
    </row>
    <row r="7095" spans="1:38">
      <c r="C7095" s="561" t="s">
        <v>1199</v>
      </c>
      <c r="D7095" s="561">
        <v>19189.627237529166</v>
      </c>
      <c r="E7095" s="561">
        <v>3754.7999999999993</v>
      </c>
      <c r="F7095" s="561">
        <v>15434.827237529167</v>
      </c>
      <c r="G7095" s="561">
        <v>1293</v>
      </c>
      <c r="H7095" s="561">
        <v>19344.783470862498</v>
      </c>
      <c r="I7095" s="561">
        <v>25</v>
      </c>
      <c r="J7095" s="561">
        <v>177.2079</v>
      </c>
      <c r="K7095" s="561">
        <v>1291</v>
      </c>
      <c r="L7095" s="561">
        <v>19189.627237529166</v>
      </c>
      <c r="M7095" s="561">
        <v>19189.627237529166</v>
      </c>
      <c r="N7095" s="561">
        <v>3754.7999999999993</v>
      </c>
      <c r="P7095" s="561">
        <v>15434.827237529167</v>
      </c>
    </row>
    <row r="7096" spans="1:38">
      <c r="A7096" s="561">
        <v>6</v>
      </c>
      <c r="B7096" s="561" t="s">
        <v>1832</v>
      </c>
      <c r="C7096" s="561" t="s">
        <v>1267</v>
      </c>
      <c r="D7096" s="561">
        <v>273875.99932057335</v>
      </c>
      <c r="E7096" s="561">
        <v>74635.799999999988</v>
      </c>
      <c r="F7096" s="561">
        <v>199240.19932057339</v>
      </c>
      <c r="G7096" s="561">
        <v>4349</v>
      </c>
      <c r="H7096" s="561">
        <v>286447.13290724001</v>
      </c>
      <c r="I7096" s="561">
        <v>169</v>
      </c>
      <c r="J7096" s="561">
        <v>12705.438220000002</v>
      </c>
      <c r="K7096" s="561">
        <v>4289</v>
      </c>
      <c r="L7096" s="561">
        <v>273875.99932057335</v>
      </c>
      <c r="M7096" s="561">
        <v>273875.99932057335</v>
      </c>
      <c r="N7096" s="561">
        <v>74635.799999999988</v>
      </c>
      <c r="O7096" s="561">
        <v>0</v>
      </c>
      <c r="P7096" s="561">
        <v>199240.19932057339</v>
      </c>
    </row>
    <row r="7097" spans="1:38">
      <c r="C7097" s="561" t="s">
        <v>1197</v>
      </c>
      <c r="D7097" s="561">
        <v>250576.20683000004</v>
      </c>
      <c r="E7097" s="561">
        <v>70675.799999999988</v>
      </c>
      <c r="F7097" s="561">
        <v>179900.40683000005</v>
      </c>
      <c r="G7097" s="561">
        <v>3152</v>
      </c>
      <c r="H7097" s="561">
        <v>263086.98713999998</v>
      </c>
      <c r="I7097" s="561">
        <v>165</v>
      </c>
      <c r="J7097" s="561">
        <v>12645.119610000002</v>
      </c>
      <c r="K7097" s="561">
        <v>3093</v>
      </c>
      <c r="L7097" s="561">
        <v>250576.20683000004</v>
      </c>
      <c r="M7097" s="561">
        <v>250576.20683000004</v>
      </c>
      <c r="N7097" s="561">
        <v>70675.799999999988</v>
      </c>
    </row>
    <row r="7098" spans="1:38">
      <c r="C7098" s="561" t="s">
        <v>1199</v>
      </c>
      <c r="D7098" s="561">
        <v>23299.792490573331</v>
      </c>
      <c r="E7098" s="561">
        <v>3959.9999999999991</v>
      </c>
      <c r="F7098" s="561">
        <v>19339.792490573331</v>
      </c>
      <c r="G7098" s="561">
        <v>1197</v>
      </c>
      <c r="H7098" s="561">
        <v>23360.145767240003</v>
      </c>
      <c r="I7098" s="561">
        <v>4</v>
      </c>
      <c r="J7098" s="561">
        <v>60.31861</v>
      </c>
      <c r="K7098" s="561">
        <v>1196</v>
      </c>
      <c r="L7098" s="561">
        <v>23299.792490573331</v>
      </c>
      <c r="M7098" s="561">
        <v>23299.792490573331</v>
      </c>
      <c r="N7098" s="561">
        <v>3959.9999999999991</v>
      </c>
      <c r="P7098" s="561">
        <v>19339.792490573331</v>
      </c>
    </row>
    <row r="7099" spans="1:38">
      <c r="A7099" s="561">
        <v>7</v>
      </c>
      <c r="B7099" s="561" t="s">
        <v>1833</v>
      </c>
      <c r="C7099" s="561" t="s">
        <v>1267</v>
      </c>
      <c r="D7099" s="561">
        <v>226139.89960260451</v>
      </c>
      <c r="E7099" s="561">
        <v>70257</v>
      </c>
      <c r="F7099" s="561">
        <v>155882.89960260451</v>
      </c>
      <c r="G7099" s="561">
        <v>3764</v>
      </c>
      <c r="H7099" s="561">
        <v>232442.88303260453</v>
      </c>
      <c r="I7099" s="561">
        <v>124</v>
      </c>
      <c r="J7099" s="561">
        <v>6312.1509341946048</v>
      </c>
      <c r="K7099" s="561">
        <v>3734</v>
      </c>
      <c r="L7099" s="561">
        <v>226139.89960260451</v>
      </c>
      <c r="M7099" s="561">
        <v>226139.89960260451</v>
      </c>
      <c r="N7099" s="561">
        <v>70257</v>
      </c>
      <c r="O7099" s="561">
        <v>0</v>
      </c>
      <c r="P7099" s="561">
        <v>155882.89960260451</v>
      </c>
    </row>
    <row r="7100" spans="1:38">
      <c r="C7100" s="561" t="s">
        <v>1197</v>
      </c>
      <c r="D7100" s="561">
        <v>217617.93894509799</v>
      </c>
      <c r="E7100" s="561">
        <v>68817</v>
      </c>
      <c r="F7100" s="561">
        <v>148800.93894509799</v>
      </c>
      <c r="G7100" s="561">
        <v>3326</v>
      </c>
      <c r="H7100" s="561">
        <v>223837.02964509802</v>
      </c>
      <c r="I7100" s="561">
        <v>113</v>
      </c>
      <c r="J7100" s="561">
        <v>6228.3446941946049</v>
      </c>
      <c r="K7100" s="561">
        <v>3300</v>
      </c>
      <c r="L7100" s="561">
        <v>217617.93894509799</v>
      </c>
      <c r="M7100" s="561">
        <v>217617.93894509799</v>
      </c>
      <c r="N7100" s="561">
        <v>68817</v>
      </c>
    </row>
    <row r="7101" spans="1:38">
      <c r="C7101" s="561" t="s">
        <v>1199</v>
      </c>
      <c r="D7101" s="561">
        <v>8521.960657506499</v>
      </c>
      <c r="E7101" s="561">
        <v>1440</v>
      </c>
      <c r="F7101" s="561">
        <v>7081.960657506499</v>
      </c>
      <c r="G7101" s="561">
        <v>438</v>
      </c>
      <c r="H7101" s="561">
        <v>8605.8533875065004</v>
      </c>
      <c r="I7101" s="561">
        <v>11</v>
      </c>
      <c r="J7101" s="561">
        <v>83.806240000000003</v>
      </c>
      <c r="K7101" s="561">
        <v>434</v>
      </c>
      <c r="L7101" s="561">
        <v>8521.960657506499</v>
      </c>
      <c r="M7101" s="561">
        <v>8521.960657506499</v>
      </c>
      <c r="N7101" s="561">
        <v>1440</v>
      </c>
      <c r="P7101" s="561">
        <v>7081.960657506499</v>
      </c>
    </row>
    <row r="7102" spans="1:38">
      <c r="A7102" s="561">
        <v>8</v>
      </c>
      <c r="B7102" s="561" t="s">
        <v>1834</v>
      </c>
      <c r="C7102" s="561" t="s">
        <v>1267</v>
      </c>
      <c r="D7102" s="561">
        <v>974598.69987999997</v>
      </c>
      <c r="E7102" s="561">
        <v>224250</v>
      </c>
      <c r="F7102" s="561">
        <v>750348.69987999997</v>
      </c>
      <c r="G7102" s="561">
        <v>13503</v>
      </c>
      <c r="H7102" s="561">
        <v>1016065.3985100001</v>
      </c>
      <c r="I7102" s="561">
        <v>1906</v>
      </c>
      <c r="J7102" s="561">
        <v>67334.895626958591</v>
      </c>
      <c r="K7102" s="561">
        <v>13466</v>
      </c>
      <c r="L7102" s="561">
        <v>974598.69987999997</v>
      </c>
      <c r="M7102" s="561">
        <v>974598.69987999997</v>
      </c>
      <c r="N7102" s="561">
        <v>224250</v>
      </c>
      <c r="O7102" s="561">
        <v>0</v>
      </c>
      <c r="P7102" s="561">
        <v>750348.69987999997</v>
      </c>
    </row>
    <row r="7103" spans="1:38">
      <c r="C7103" s="561" t="s">
        <v>1197</v>
      </c>
      <c r="D7103" s="561">
        <v>974598.69987999997</v>
      </c>
      <c r="E7103" s="561">
        <v>224250</v>
      </c>
      <c r="F7103" s="561">
        <v>750348.69987999997</v>
      </c>
      <c r="G7103" s="561">
        <v>13503</v>
      </c>
      <c r="H7103" s="561">
        <v>1016065.3985100001</v>
      </c>
      <c r="I7103" s="561">
        <v>1906</v>
      </c>
      <c r="J7103" s="561">
        <v>67334.895626958591</v>
      </c>
      <c r="K7103" s="561">
        <v>13466</v>
      </c>
      <c r="L7103" s="561">
        <v>974598.69987999997</v>
      </c>
      <c r="M7103" s="561">
        <v>974598.69987999997</v>
      </c>
      <c r="N7103" s="561">
        <v>224250</v>
      </c>
    </row>
    <row r="7104" spans="1:38">
      <c r="A7104" s="561">
        <v>9</v>
      </c>
      <c r="B7104" s="561" t="s">
        <v>1835</v>
      </c>
      <c r="C7104" s="561" t="s">
        <v>1267</v>
      </c>
      <c r="D7104" s="561">
        <v>598778.00010999991</v>
      </c>
      <c r="E7104" s="561">
        <v>164033.39999999997</v>
      </c>
      <c r="F7104" s="561">
        <v>434744.60010999994</v>
      </c>
      <c r="G7104" s="561">
        <v>9381</v>
      </c>
      <c r="H7104" s="561">
        <v>618683.55981999997</v>
      </c>
      <c r="I7104" s="561">
        <v>1269</v>
      </c>
      <c r="J7104" s="561">
        <v>33990.537525274325</v>
      </c>
      <c r="K7104" s="561">
        <v>9370</v>
      </c>
      <c r="L7104" s="561">
        <v>598778.00010999991</v>
      </c>
      <c r="M7104" s="561">
        <v>598778.00010999991</v>
      </c>
      <c r="N7104" s="561">
        <v>164033.39999999997</v>
      </c>
      <c r="O7104" s="561">
        <v>0</v>
      </c>
      <c r="P7104" s="561">
        <v>434744.60010999994</v>
      </c>
    </row>
    <row r="7105" spans="1:38">
      <c r="C7105" s="561" t="s">
        <v>1197</v>
      </c>
      <c r="D7105" s="561">
        <v>598778.00010999991</v>
      </c>
      <c r="E7105" s="561">
        <v>164033.39999999997</v>
      </c>
      <c r="F7105" s="561">
        <v>434744.60010999994</v>
      </c>
      <c r="G7105" s="561">
        <v>9381</v>
      </c>
      <c r="H7105" s="561">
        <v>618683.55981999997</v>
      </c>
      <c r="I7105" s="561">
        <v>1269</v>
      </c>
      <c r="J7105" s="561">
        <v>33990.537525274325</v>
      </c>
      <c r="K7105" s="561">
        <v>9370</v>
      </c>
      <c r="L7105" s="561">
        <v>598778.00010999991</v>
      </c>
      <c r="M7105" s="561">
        <v>598778.00010999991</v>
      </c>
      <c r="N7105" s="561">
        <v>164033.39999999997</v>
      </c>
    </row>
    <row r="7106" spans="1:38">
      <c r="A7106" s="561">
        <v>10</v>
      </c>
      <c r="B7106" s="561" t="s">
        <v>1836</v>
      </c>
      <c r="C7106" s="561" t="s">
        <v>1267</v>
      </c>
      <c r="D7106" s="561">
        <v>691299.9999099999</v>
      </c>
      <c r="E7106" s="561">
        <v>190290</v>
      </c>
      <c r="F7106" s="561">
        <v>501009.9999099999</v>
      </c>
      <c r="G7106" s="561">
        <v>10649</v>
      </c>
      <c r="H7106" s="561">
        <v>788458.05380999984</v>
      </c>
      <c r="I7106" s="561">
        <v>2909</v>
      </c>
      <c r="J7106" s="561">
        <v>115916.9210721229</v>
      </c>
      <c r="K7106" s="561">
        <v>10521</v>
      </c>
      <c r="L7106" s="561">
        <v>691299.9999099999</v>
      </c>
      <c r="M7106" s="561">
        <v>691299.9999099999</v>
      </c>
      <c r="N7106" s="561">
        <v>190290</v>
      </c>
      <c r="O7106" s="561">
        <v>0</v>
      </c>
      <c r="P7106" s="561">
        <v>501009.9999099999</v>
      </c>
    </row>
    <row r="7107" spans="1:38">
      <c r="C7107" s="561" t="s">
        <v>1197</v>
      </c>
      <c r="D7107" s="561">
        <v>691299.9999099999</v>
      </c>
      <c r="E7107" s="561">
        <v>190290</v>
      </c>
      <c r="F7107" s="561">
        <v>501009.9999099999</v>
      </c>
      <c r="G7107" s="561">
        <v>10649</v>
      </c>
      <c r="H7107" s="561">
        <v>788458.05380999984</v>
      </c>
      <c r="I7107" s="561">
        <v>2909</v>
      </c>
      <c r="J7107" s="561">
        <v>115916.9210721229</v>
      </c>
      <c r="K7107" s="561">
        <v>10521</v>
      </c>
      <c r="L7107" s="561">
        <v>691299.9999099999</v>
      </c>
      <c r="M7107" s="561">
        <v>691299.9999099999</v>
      </c>
      <c r="N7107" s="561">
        <v>190290</v>
      </c>
    </row>
    <row r="7108" spans="1:38">
      <c r="A7108" s="561">
        <v>11</v>
      </c>
      <c r="B7108" s="561" t="s">
        <v>1837</v>
      </c>
      <c r="C7108" s="561" t="s">
        <v>1267</v>
      </c>
      <c r="D7108" s="561">
        <v>570697</v>
      </c>
      <c r="E7108" s="561">
        <v>146249.99999999997</v>
      </c>
      <c r="F7108" s="561">
        <v>424447</v>
      </c>
      <c r="G7108" s="561">
        <v>9723</v>
      </c>
      <c r="H7108" s="561">
        <v>585556.62882805313</v>
      </c>
      <c r="I7108" s="561">
        <v>1019</v>
      </c>
      <c r="J7108" s="561">
        <v>29283.432967877758</v>
      </c>
      <c r="K7108" s="561">
        <v>9718</v>
      </c>
      <c r="L7108" s="561">
        <v>570697</v>
      </c>
      <c r="M7108" s="561">
        <v>570697</v>
      </c>
      <c r="N7108" s="561">
        <v>146249.99999999997</v>
      </c>
      <c r="O7108" s="561">
        <v>0</v>
      </c>
      <c r="P7108" s="561">
        <v>424447</v>
      </c>
    </row>
    <row r="7109" spans="1:38">
      <c r="C7109" s="561" t="s">
        <v>1197</v>
      </c>
      <c r="D7109" s="561">
        <v>570697</v>
      </c>
      <c r="E7109" s="561">
        <v>146249.99999999997</v>
      </c>
      <c r="F7109" s="561">
        <v>424447</v>
      </c>
      <c r="G7109" s="561">
        <v>9723</v>
      </c>
      <c r="H7109" s="561">
        <v>585556.62882805313</v>
      </c>
      <c r="I7109" s="561">
        <v>1019</v>
      </c>
      <c r="J7109" s="561">
        <v>29283.432967877758</v>
      </c>
      <c r="K7109" s="561">
        <v>9718</v>
      </c>
      <c r="L7109" s="561">
        <v>570697</v>
      </c>
      <c r="M7109" s="561">
        <v>570697</v>
      </c>
      <c r="N7109" s="561">
        <v>146249.99999999997</v>
      </c>
    </row>
    <row r="7110" spans="1:38">
      <c r="B7110" s="561" t="s">
        <v>1838</v>
      </c>
      <c r="D7110" s="561">
        <v>3925613.2419308987</v>
      </c>
      <c r="E7110" s="561">
        <v>1085440.1999999997</v>
      </c>
      <c r="F7110" s="561">
        <v>2840173.069842746</v>
      </c>
      <c r="G7110" s="561">
        <v>75402</v>
      </c>
      <c r="H7110" s="561">
        <v>4121558.617450899</v>
      </c>
      <c r="I7110" s="561">
        <v>8244</v>
      </c>
      <c r="J7110" s="561">
        <v>215775.57821808162</v>
      </c>
      <c r="K7110" s="561">
        <v>74598</v>
      </c>
      <c r="L7110" s="561">
        <v>3925613.2419308987</v>
      </c>
      <c r="M7110" s="561">
        <v>3925613.2419308987</v>
      </c>
      <c r="N7110" s="561">
        <v>1085440.1999999997</v>
      </c>
      <c r="O7110" s="561">
        <v>0</v>
      </c>
      <c r="P7110" s="561">
        <v>2840173.0419308981</v>
      </c>
    </row>
    <row r="7111" spans="1:38">
      <c r="A7111" s="561">
        <v>12</v>
      </c>
      <c r="B7111" s="561" t="s">
        <v>1839</v>
      </c>
      <c r="C7111" s="561" t="s">
        <v>1267</v>
      </c>
      <c r="D7111" s="561">
        <v>1322310.2525217419</v>
      </c>
      <c r="E7111" s="561">
        <v>384929.1</v>
      </c>
      <c r="F7111" s="561">
        <v>937381.15252174193</v>
      </c>
      <c r="G7111" s="561">
        <v>19245</v>
      </c>
      <c r="H7111" s="561">
        <v>1399735.8335617422</v>
      </c>
      <c r="I7111" s="561">
        <v>3103</v>
      </c>
      <c r="J7111" s="561">
        <v>97995.120213646151</v>
      </c>
      <c r="K7111" s="561">
        <v>18968</v>
      </c>
      <c r="L7111" s="561">
        <v>1322310.2525217419</v>
      </c>
      <c r="M7111" s="561">
        <v>1322310.2525217419</v>
      </c>
      <c r="N7111" s="561">
        <v>384929.1</v>
      </c>
      <c r="O7111" s="561">
        <v>0</v>
      </c>
      <c r="P7111" s="561">
        <v>937381.15252174193</v>
      </c>
    </row>
    <row r="7112" spans="1:38">
      <c r="C7112" s="561" t="s">
        <v>1197</v>
      </c>
      <c r="D7112" s="561">
        <v>1265692.043632943</v>
      </c>
      <c r="E7112" s="561">
        <v>382950</v>
      </c>
      <c r="F7112" s="561">
        <v>882742.04363294295</v>
      </c>
      <c r="G7112" s="561">
        <v>19037</v>
      </c>
      <c r="H7112" s="561">
        <v>1338134.2597629433</v>
      </c>
      <c r="I7112" s="561">
        <v>3084</v>
      </c>
      <c r="J7112" s="561">
        <v>93396.223586625347</v>
      </c>
      <c r="K7112" s="561">
        <v>18762</v>
      </c>
      <c r="L7112" s="561">
        <v>1265692.043632943</v>
      </c>
      <c r="M7112" s="561">
        <v>1265692.043632943</v>
      </c>
      <c r="N7112" s="561">
        <v>382950</v>
      </c>
    </row>
    <row r="7113" spans="1:38">
      <c r="C7113" s="561" t="s">
        <v>1198</v>
      </c>
      <c r="D7113" s="561">
        <v>56618.208888798996</v>
      </c>
      <c r="E7113" s="561">
        <v>1979.1</v>
      </c>
      <c r="F7113" s="561">
        <v>54639.108888798997</v>
      </c>
      <c r="G7113" s="561">
        <v>208</v>
      </c>
      <c r="H7113" s="561">
        <v>61601.573798798992</v>
      </c>
      <c r="I7113" s="561">
        <v>19</v>
      </c>
      <c r="J7113" s="561">
        <v>4598.8966270208002</v>
      </c>
      <c r="K7113" s="561">
        <v>206</v>
      </c>
      <c r="L7113" s="561">
        <v>56618.208888798996</v>
      </c>
      <c r="M7113" s="561">
        <v>56618.208888798996</v>
      </c>
      <c r="N7113" s="561">
        <v>1979.1</v>
      </c>
      <c r="AL7113" s="561">
        <v>54639.108888798997</v>
      </c>
    </row>
    <row r="7114" spans="1:38">
      <c r="A7114" s="561">
        <v>13</v>
      </c>
      <c r="B7114" s="561" t="s">
        <v>1840</v>
      </c>
      <c r="C7114" s="561" t="s">
        <v>1267</v>
      </c>
      <c r="D7114" s="561">
        <v>887196.35018999991</v>
      </c>
      <c r="E7114" s="561">
        <v>224363.99999999997</v>
      </c>
      <c r="F7114" s="561">
        <v>662832.35018999991</v>
      </c>
      <c r="G7114" s="561">
        <v>15413</v>
      </c>
      <c r="H7114" s="561">
        <v>912331.85354000016</v>
      </c>
      <c r="I7114" s="561">
        <v>1083</v>
      </c>
      <c r="J7114" s="561">
        <v>25922.016017140002</v>
      </c>
      <c r="K7114" s="561">
        <v>15332</v>
      </c>
      <c r="L7114" s="561">
        <v>887196.35018999991</v>
      </c>
      <c r="M7114" s="561">
        <v>887196.35018999991</v>
      </c>
      <c r="N7114" s="561">
        <v>224363.99999999997</v>
      </c>
      <c r="O7114" s="561">
        <v>0</v>
      </c>
      <c r="P7114" s="561">
        <v>662832.35018999991</v>
      </c>
    </row>
    <row r="7115" spans="1:38">
      <c r="C7115" s="561" t="s">
        <v>1197</v>
      </c>
      <c r="D7115" s="561">
        <v>724816.64784999995</v>
      </c>
      <c r="E7115" s="561">
        <v>196349.99999999997</v>
      </c>
      <c r="F7115" s="561">
        <v>528466.64784999995</v>
      </c>
      <c r="G7115" s="561">
        <v>12756</v>
      </c>
      <c r="H7115" s="561">
        <v>749351.0076400002</v>
      </c>
      <c r="I7115" s="561">
        <v>1061</v>
      </c>
      <c r="J7115" s="561">
        <v>25723.649287140001</v>
      </c>
      <c r="K7115" s="561">
        <v>12715</v>
      </c>
      <c r="L7115" s="561">
        <v>724816.64784999995</v>
      </c>
      <c r="M7115" s="561">
        <v>724816.64784999995</v>
      </c>
      <c r="N7115" s="561">
        <v>196349.99999999997</v>
      </c>
    </row>
    <row r="7116" spans="1:38">
      <c r="C7116" s="561" t="s">
        <v>1199</v>
      </c>
      <c r="D7116" s="561">
        <v>162379.70233999996</v>
      </c>
      <c r="E7116" s="561">
        <v>28014</v>
      </c>
      <c r="F7116" s="561">
        <v>134365.70233999996</v>
      </c>
      <c r="G7116" s="561">
        <v>2657</v>
      </c>
      <c r="H7116" s="561">
        <v>162980.84589999999</v>
      </c>
      <c r="I7116" s="561">
        <v>22</v>
      </c>
      <c r="J7116" s="561">
        <v>198.3667300000009</v>
      </c>
      <c r="K7116" s="561">
        <v>2617</v>
      </c>
      <c r="L7116" s="561">
        <v>162379.70233999996</v>
      </c>
      <c r="M7116" s="561">
        <v>162379.70233999996</v>
      </c>
      <c r="N7116" s="561">
        <v>28014</v>
      </c>
      <c r="P7116" s="561">
        <v>134365.70233999996</v>
      </c>
    </row>
    <row r="7117" spans="1:38">
      <c r="A7117" s="561">
        <v>14</v>
      </c>
      <c r="B7117" s="561" t="s">
        <v>1841</v>
      </c>
      <c r="C7117" s="561" t="s">
        <v>1267</v>
      </c>
      <c r="D7117" s="561">
        <v>400578.00025860005</v>
      </c>
      <c r="E7117" s="561">
        <v>170247.6</v>
      </c>
      <c r="F7117" s="561">
        <v>230330.40025860004</v>
      </c>
      <c r="G7117" s="561">
        <v>7473</v>
      </c>
      <c r="H7117" s="561">
        <v>427110.00773859996</v>
      </c>
      <c r="I7117" s="561">
        <v>1090</v>
      </c>
      <c r="J7117" s="561">
        <v>26174.457789807002</v>
      </c>
      <c r="K7117" s="561">
        <v>7464</v>
      </c>
      <c r="L7117" s="561">
        <v>400578.00025860005</v>
      </c>
      <c r="M7117" s="561">
        <v>400578.00025860005</v>
      </c>
      <c r="N7117" s="561">
        <v>170247.6</v>
      </c>
      <c r="O7117" s="561">
        <v>0</v>
      </c>
      <c r="P7117" s="561">
        <v>230330.40025860004</v>
      </c>
    </row>
    <row r="7118" spans="1:38">
      <c r="C7118" s="561" t="s">
        <v>1197</v>
      </c>
      <c r="D7118" s="561">
        <v>400578.00025860005</v>
      </c>
      <c r="E7118" s="561">
        <v>170247.6</v>
      </c>
      <c r="F7118" s="561">
        <v>230330.40025860004</v>
      </c>
      <c r="G7118" s="561">
        <v>7473</v>
      </c>
      <c r="H7118" s="561">
        <v>427110.00773859996</v>
      </c>
      <c r="I7118" s="561">
        <v>1090</v>
      </c>
      <c r="J7118" s="561">
        <v>26174.457789807002</v>
      </c>
      <c r="K7118" s="561">
        <v>7464</v>
      </c>
      <c r="L7118" s="561">
        <v>400578.00025860005</v>
      </c>
      <c r="M7118" s="561">
        <v>400578.00025860005</v>
      </c>
      <c r="N7118" s="561">
        <v>170247.6</v>
      </c>
    </row>
    <row r="7119" spans="1:38">
      <c r="A7119" s="561">
        <v>15</v>
      </c>
      <c r="B7119" s="561" t="s">
        <v>1842</v>
      </c>
      <c r="C7119" s="561" t="s">
        <v>1267</v>
      </c>
      <c r="D7119" s="561">
        <v>529741.76623147202</v>
      </c>
      <c r="E7119" s="561">
        <v>114030</v>
      </c>
      <c r="F7119" s="561">
        <v>415711.76623147202</v>
      </c>
      <c r="G7119" s="561">
        <v>8186</v>
      </c>
      <c r="H7119" s="561">
        <v>566928.79296147206</v>
      </c>
      <c r="I7119" s="561">
        <v>1702</v>
      </c>
      <c r="J7119" s="561">
        <v>39069.992231976503</v>
      </c>
      <c r="K7119" s="561">
        <v>8151</v>
      </c>
      <c r="L7119" s="561">
        <v>529741.76623147202</v>
      </c>
      <c r="M7119" s="561">
        <v>529741.76623147202</v>
      </c>
      <c r="N7119" s="561">
        <v>114030</v>
      </c>
      <c r="O7119" s="561">
        <v>0</v>
      </c>
      <c r="P7119" s="561">
        <v>415711.76623147202</v>
      </c>
    </row>
    <row r="7120" spans="1:38">
      <c r="C7120" s="561" t="s">
        <v>1197</v>
      </c>
      <c r="D7120" s="561">
        <v>510075.44698657602</v>
      </c>
      <c r="E7120" s="561">
        <v>111150</v>
      </c>
      <c r="F7120" s="561">
        <v>398925.44698657602</v>
      </c>
      <c r="G7120" s="561">
        <v>7046</v>
      </c>
      <c r="H7120" s="561">
        <v>547048.78936657601</v>
      </c>
      <c r="I7120" s="561">
        <v>1582</v>
      </c>
      <c r="J7120" s="561">
        <v>38837.477191976504</v>
      </c>
      <c r="K7120" s="561">
        <v>7013</v>
      </c>
      <c r="L7120" s="561">
        <v>510075.44698657602</v>
      </c>
      <c r="M7120" s="561">
        <v>510075.44698657602</v>
      </c>
      <c r="N7120" s="561">
        <v>111150</v>
      </c>
    </row>
    <row r="7121" spans="1:38">
      <c r="C7121" s="561" t="s">
        <v>1199</v>
      </c>
      <c r="D7121" s="561">
        <v>19666.319244896</v>
      </c>
      <c r="E7121" s="561">
        <v>2880</v>
      </c>
      <c r="F7121" s="561">
        <v>16786.319244896</v>
      </c>
      <c r="G7121" s="561">
        <v>1140</v>
      </c>
      <c r="H7121" s="561">
        <v>19880.003594896003</v>
      </c>
      <c r="I7121" s="561">
        <v>120</v>
      </c>
      <c r="J7121" s="561">
        <v>232.51504000000011</v>
      </c>
      <c r="K7121" s="561">
        <v>1138</v>
      </c>
      <c r="L7121" s="561">
        <v>19666.319244896</v>
      </c>
      <c r="M7121" s="561">
        <v>19666.319244896</v>
      </c>
      <c r="N7121" s="561">
        <v>2880</v>
      </c>
      <c r="P7121" s="561">
        <v>16786.319244896</v>
      </c>
    </row>
    <row r="7122" spans="1:38">
      <c r="A7122" s="561">
        <v>16</v>
      </c>
      <c r="B7122" s="561" t="s">
        <v>1843</v>
      </c>
      <c r="C7122" s="561" t="s">
        <v>1267</v>
      </c>
      <c r="D7122" s="561">
        <v>88684.499969679979</v>
      </c>
      <c r="E7122" s="561">
        <v>19681.5</v>
      </c>
      <c r="F7122" s="561">
        <v>69002.999969679979</v>
      </c>
      <c r="G7122" s="561">
        <v>2195</v>
      </c>
      <c r="H7122" s="561">
        <v>93259.332369680022</v>
      </c>
      <c r="I7122" s="561">
        <v>120</v>
      </c>
      <c r="J7122" s="561">
        <v>4595.3468900000007</v>
      </c>
      <c r="K7122" s="561">
        <v>2186</v>
      </c>
      <c r="L7122" s="561">
        <v>88684.499969679979</v>
      </c>
      <c r="M7122" s="561">
        <v>88684.499969679979</v>
      </c>
      <c r="N7122" s="561">
        <v>19681.5</v>
      </c>
      <c r="O7122" s="561">
        <v>0</v>
      </c>
      <c r="P7122" s="561">
        <v>69002.999969679979</v>
      </c>
    </row>
    <row r="7123" spans="1:38">
      <c r="C7123" s="561" t="s">
        <v>1197</v>
      </c>
      <c r="D7123" s="561">
        <v>74057.874932379986</v>
      </c>
      <c r="E7123" s="561">
        <v>15361.500000000002</v>
      </c>
      <c r="F7123" s="561">
        <v>58696.374932379986</v>
      </c>
      <c r="G7123" s="561">
        <v>1074</v>
      </c>
      <c r="H7123" s="561">
        <v>78499.195422380028</v>
      </c>
      <c r="I7123" s="561">
        <v>89</v>
      </c>
      <c r="J7123" s="561">
        <v>4441.3199700000005</v>
      </c>
      <c r="K7123" s="561">
        <v>1067</v>
      </c>
      <c r="L7123" s="561">
        <v>74057.874932379986</v>
      </c>
      <c r="M7123" s="561">
        <v>74057.874932379986</v>
      </c>
      <c r="N7123" s="561">
        <v>15361.500000000002</v>
      </c>
    </row>
    <row r="7124" spans="1:38">
      <c r="C7124" s="561" t="s">
        <v>1199</v>
      </c>
      <c r="D7124" s="561">
        <v>14626.6250373</v>
      </c>
      <c r="E7124" s="561">
        <v>4319.9999999999991</v>
      </c>
      <c r="F7124" s="561">
        <v>10306.6250373</v>
      </c>
      <c r="G7124" s="561">
        <v>1121</v>
      </c>
      <c r="H7124" s="561">
        <v>14760.1369473</v>
      </c>
      <c r="I7124" s="561">
        <v>31</v>
      </c>
      <c r="J7124" s="561">
        <v>154.0269199999999</v>
      </c>
      <c r="K7124" s="561">
        <v>1119</v>
      </c>
      <c r="L7124" s="561">
        <v>14626.6250373</v>
      </c>
      <c r="M7124" s="561">
        <v>14626.6250373</v>
      </c>
      <c r="N7124" s="561">
        <v>4319.9999999999991</v>
      </c>
      <c r="P7124" s="561">
        <v>10306.6250373</v>
      </c>
    </row>
    <row r="7125" spans="1:38">
      <c r="A7125" s="561">
        <v>17</v>
      </c>
      <c r="B7125" s="561" t="s">
        <v>1844</v>
      </c>
      <c r="C7125" s="561" t="s">
        <v>1267</v>
      </c>
      <c r="D7125" s="561">
        <v>266777.94974000001</v>
      </c>
      <c r="E7125" s="561">
        <v>76609.199999999983</v>
      </c>
      <c r="F7125" s="561">
        <v>190168.74936000005</v>
      </c>
      <c r="G7125" s="561">
        <v>1203</v>
      </c>
      <c r="H7125" s="561">
        <v>269939.95752</v>
      </c>
      <c r="I7125" s="561">
        <v>51</v>
      </c>
      <c r="J7125" s="561">
        <v>3214.8523400000004</v>
      </c>
      <c r="K7125" s="561">
        <v>1188</v>
      </c>
      <c r="L7125" s="561">
        <v>266777.94974000001</v>
      </c>
      <c r="M7125" s="561">
        <v>266777.94974000001</v>
      </c>
      <c r="N7125" s="561">
        <v>76609.199999999983</v>
      </c>
      <c r="O7125" s="561">
        <v>0</v>
      </c>
      <c r="P7125" s="561">
        <v>190168.74974000006</v>
      </c>
    </row>
    <row r="7126" spans="1:38">
      <c r="C7126" s="561" t="s">
        <v>1197</v>
      </c>
      <c r="D7126" s="561">
        <v>27178.02721</v>
      </c>
      <c r="E7126" s="561">
        <v>5741.9999999999991</v>
      </c>
      <c r="F7126" s="561">
        <v>21436.02721</v>
      </c>
      <c r="G7126" s="561">
        <v>380</v>
      </c>
      <c r="H7126" s="561">
        <v>27897.107560000004</v>
      </c>
      <c r="I7126" s="561">
        <v>34</v>
      </c>
      <c r="J7126" s="561">
        <v>1041.60942</v>
      </c>
      <c r="K7126" s="561">
        <v>379</v>
      </c>
      <c r="L7126" s="561">
        <v>27178.02721</v>
      </c>
      <c r="M7126" s="561">
        <v>27178.02721</v>
      </c>
      <c r="N7126" s="561">
        <v>5741.9999999999991</v>
      </c>
    </row>
    <row r="7127" spans="1:38">
      <c r="C7127" s="561" t="s">
        <v>1199</v>
      </c>
      <c r="D7127" s="561">
        <v>218719.43315000003</v>
      </c>
      <c r="E7127" s="561">
        <v>60965.999999999985</v>
      </c>
      <c r="F7127" s="561">
        <v>157753.43315000006</v>
      </c>
      <c r="G7127" s="561">
        <v>768</v>
      </c>
      <c r="H7127" s="561">
        <v>220757.48816000001</v>
      </c>
      <c r="I7127" s="561">
        <v>14</v>
      </c>
      <c r="J7127" s="561">
        <v>2038.0550100000007</v>
      </c>
      <c r="K7127" s="561">
        <v>755</v>
      </c>
      <c r="L7127" s="561">
        <v>218719.43315000003</v>
      </c>
      <c r="M7127" s="561">
        <v>218719.43315000003</v>
      </c>
      <c r="N7127" s="561">
        <v>60965.999999999985</v>
      </c>
      <c r="P7127" s="561">
        <v>157753.43315000006</v>
      </c>
    </row>
    <row r="7128" spans="1:38">
      <c r="C7128" s="561" t="s">
        <v>1198</v>
      </c>
      <c r="D7128" s="561">
        <v>20880.489380000003</v>
      </c>
      <c r="E7128" s="561">
        <v>9901.2000000000007</v>
      </c>
      <c r="F7128" s="561">
        <v>10979.289000000001</v>
      </c>
      <c r="G7128" s="561">
        <v>55</v>
      </c>
      <c r="H7128" s="561">
        <v>21285.361800000002</v>
      </c>
      <c r="I7128" s="561">
        <v>3</v>
      </c>
      <c r="J7128" s="561">
        <v>135.1879099999997</v>
      </c>
      <c r="K7128" s="561">
        <v>54</v>
      </c>
      <c r="L7128" s="561">
        <v>20880.489380000003</v>
      </c>
      <c r="M7128" s="561">
        <v>20880.489380000003</v>
      </c>
      <c r="N7128" s="561">
        <v>9901.2000000000007</v>
      </c>
      <c r="AL7128" s="561">
        <v>10979.289380000002</v>
      </c>
    </row>
    <row r="7129" spans="1:38">
      <c r="A7129" s="561">
        <v>18</v>
      </c>
      <c r="B7129" s="561" t="s">
        <v>1845</v>
      </c>
      <c r="C7129" s="561" t="s">
        <v>1267</v>
      </c>
      <c r="D7129" s="561">
        <v>31144.999700646502</v>
      </c>
      <c r="E7129" s="561">
        <v>9343.4999999999982</v>
      </c>
      <c r="F7129" s="561">
        <v>21801.499840646502</v>
      </c>
      <c r="G7129" s="561">
        <v>1802</v>
      </c>
      <c r="H7129" s="561">
        <v>33679.476940646506</v>
      </c>
      <c r="I7129" s="561">
        <v>23</v>
      </c>
      <c r="J7129" s="561">
        <v>2534.47723</v>
      </c>
      <c r="K7129" s="561">
        <v>1798</v>
      </c>
      <c r="L7129" s="561">
        <v>31144.999700646502</v>
      </c>
      <c r="M7129" s="561">
        <v>31144.999700646502</v>
      </c>
      <c r="N7129" s="561">
        <v>9343.4999999999982</v>
      </c>
      <c r="O7129" s="561">
        <v>0</v>
      </c>
      <c r="P7129" s="561">
        <v>21801.499700646506</v>
      </c>
    </row>
    <row r="7130" spans="1:38">
      <c r="C7130" s="561" t="s">
        <v>1197</v>
      </c>
      <c r="D7130" s="561">
        <v>13020.131627266001</v>
      </c>
      <c r="E7130" s="561">
        <v>3943.4999999999986</v>
      </c>
      <c r="F7130" s="561">
        <v>9076.6316272660024</v>
      </c>
      <c r="G7130" s="561">
        <v>269</v>
      </c>
      <c r="H7130" s="561">
        <v>14845.900437266002</v>
      </c>
      <c r="I7130" s="561">
        <v>11</v>
      </c>
      <c r="J7130" s="561">
        <v>1825.7687999999998</v>
      </c>
      <c r="K7130" s="561">
        <v>267</v>
      </c>
      <c r="L7130" s="561">
        <v>13020.131627266001</v>
      </c>
      <c r="M7130" s="561">
        <v>13020.131627266001</v>
      </c>
      <c r="N7130" s="561">
        <v>3943.4999999999986</v>
      </c>
    </row>
    <row r="7131" spans="1:38">
      <c r="C7131" s="561" t="s">
        <v>1199</v>
      </c>
      <c r="D7131" s="561">
        <v>18124.868073380501</v>
      </c>
      <c r="E7131" s="561">
        <v>5399.9999999999991</v>
      </c>
      <c r="F7131" s="561">
        <v>12724.868213380498</v>
      </c>
      <c r="G7131" s="561">
        <v>1533</v>
      </c>
      <c r="H7131" s="561">
        <v>18833.5765033805</v>
      </c>
      <c r="I7131" s="561">
        <v>12</v>
      </c>
      <c r="J7131" s="561">
        <v>708.70843000000013</v>
      </c>
      <c r="K7131" s="561">
        <v>1531</v>
      </c>
      <c r="L7131" s="561">
        <v>18124.868073380501</v>
      </c>
      <c r="M7131" s="561">
        <v>18124.868073380501</v>
      </c>
      <c r="N7131" s="561">
        <v>5399.9999999999991</v>
      </c>
      <c r="P7131" s="561">
        <v>12724.868073380501</v>
      </c>
    </row>
    <row r="7132" spans="1:38">
      <c r="A7132" s="561">
        <v>19</v>
      </c>
      <c r="B7132" s="561" t="s">
        <v>1846</v>
      </c>
      <c r="C7132" s="561" t="s">
        <v>1267</v>
      </c>
      <c r="D7132" s="561">
        <v>5499.9998536920002</v>
      </c>
      <c r="E7132" s="561">
        <v>1650</v>
      </c>
      <c r="F7132" s="561">
        <v>3850</v>
      </c>
      <c r="G7132" s="561">
        <v>84</v>
      </c>
      <c r="H7132" s="561">
        <v>5595.2658736920002</v>
      </c>
      <c r="I7132" s="561">
        <v>5</v>
      </c>
      <c r="J7132" s="561">
        <v>-67.027979999999928</v>
      </c>
      <c r="K7132" s="561">
        <v>84</v>
      </c>
      <c r="L7132" s="561">
        <v>5499.9998536920002</v>
      </c>
      <c r="M7132" s="561">
        <v>5499.9998536920002</v>
      </c>
      <c r="N7132" s="561">
        <v>1650</v>
      </c>
      <c r="O7132" s="561">
        <v>0</v>
      </c>
      <c r="P7132" s="561">
        <v>3849.9998536920002</v>
      </c>
    </row>
    <row r="7133" spans="1:38">
      <c r="C7133" s="561" t="s">
        <v>1197</v>
      </c>
      <c r="D7133" s="561">
        <v>5499.9998536920002</v>
      </c>
      <c r="E7133" s="561">
        <v>1650</v>
      </c>
      <c r="F7133" s="561">
        <v>3850</v>
      </c>
      <c r="G7133" s="561">
        <v>84</v>
      </c>
      <c r="H7133" s="561">
        <v>5595.2658736920002</v>
      </c>
      <c r="I7133" s="561">
        <v>5</v>
      </c>
      <c r="J7133" s="561">
        <v>-67.027979999999928</v>
      </c>
      <c r="K7133" s="561">
        <v>84</v>
      </c>
      <c r="L7133" s="561">
        <v>5499.9998536920002</v>
      </c>
      <c r="M7133" s="561">
        <v>5499.9998536920002</v>
      </c>
      <c r="N7133" s="561">
        <v>1650</v>
      </c>
    </row>
    <row r="7134" spans="1:38">
      <c r="A7134" s="561">
        <v>20</v>
      </c>
      <c r="B7134" s="561" t="s">
        <v>1847</v>
      </c>
      <c r="C7134" s="561" t="s">
        <v>1267</v>
      </c>
      <c r="D7134" s="561">
        <v>57827.800070605997</v>
      </c>
      <c r="E7134" s="561">
        <v>2175</v>
      </c>
      <c r="F7134" s="561">
        <v>55652.826470606</v>
      </c>
      <c r="G7134" s="561">
        <v>91</v>
      </c>
      <c r="H7134" s="561">
        <v>58369.518330605999</v>
      </c>
      <c r="I7134" s="561">
        <v>4</v>
      </c>
      <c r="J7134" s="561">
        <v>541.64348000000007</v>
      </c>
      <c r="K7134" s="561">
        <v>90</v>
      </c>
      <c r="L7134" s="561">
        <v>57827.800070605997</v>
      </c>
      <c r="M7134" s="561">
        <v>57827.800070605997</v>
      </c>
      <c r="N7134" s="561">
        <v>2175</v>
      </c>
      <c r="O7134" s="561">
        <v>0</v>
      </c>
      <c r="P7134" s="561">
        <v>55652.800070605997</v>
      </c>
    </row>
    <row r="7135" spans="1:38">
      <c r="C7135" s="561" t="s">
        <v>1197</v>
      </c>
      <c r="D7135" s="561">
        <v>1586.898850606</v>
      </c>
      <c r="E7135" s="561">
        <v>494.99999999999989</v>
      </c>
      <c r="F7135" s="561">
        <v>1091.9253806060001</v>
      </c>
      <c r="G7135" s="561">
        <v>15</v>
      </c>
      <c r="H7135" s="561">
        <v>1760.4511106060002</v>
      </c>
      <c r="I7135" s="561">
        <v>3</v>
      </c>
      <c r="J7135" s="561">
        <v>173.47797</v>
      </c>
      <c r="K7135" s="561">
        <v>14</v>
      </c>
      <c r="L7135" s="561">
        <v>1586.898850606</v>
      </c>
      <c r="M7135" s="561">
        <v>1586.898850606</v>
      </c>
      <c r="N7135" s="561">
        <v>494.99999999999989</v>
      </c>
    </row>
    <row r="7136" spans="1:38">
      <c r="C7136" s="561" t="s">
        <v>1198</v>
      </c>
      <c r="D7136" s="561">
        <v>56240.90122</v>
      </c>
      <c r="E7136" s="561">
        <v>1680</v>
      </c>
      <c r="F7136" s="561">
        <v>54560.901089999999</v>
      </c>
      <c r="G7136" s="561">
        <v>76</v>
      </c>
      <c r="H7136" s="561">
        <v>56609.067219999997</v>
      </c>
      <c r="I7136" s="561">
        <v>1</v>
      </c>
      <c r="J7136" s="561">
        <v>368.1655100000001</v>
      </c>
      <c r="K7136" s="561">
        <v>76</v>
      </c>
      <c r="L7136" s="561">
        <v>56240.90122</v>
      </c>
      <c r="M7136" s="561">
        <v>56240.90122</v>
      </c>
      <c r="N7136" s="561">
        <v>1680</v>
      </c>
      <c r="AL7136" s="561">
        <v>54560.90122</v>
      </c>
    </row>
    <row r="7137" spans="1:16">
      <c r="A7137" s="561">
        <v>21</v>
      </c>
      <c r="B7137" s="561" t="s">
        <v>1848</v>
      </c>
      <c r="C7137" s="561" t="s">
        <v>1267</v>
      </c>
      <c r="D7137" s="561">
        <v>12609.999832705831</v>
      </c>
      <c r="E7137" s="561">
        <v>3239.9999999999986</v>
      </c>
      <c r="F7137" s="561">
        <v>9370.0000000000036</v>
      </c>
      <c r="G7137" s="561">
        <v>909</v>
      </c>
      <c r="H7137" s="561">
        <v>13072.479812705833</v>
      </c>
      <c r="I7137" s="561">
        <v>25</v>
      </c>
      <c r="J7137" s="561">
        <v>462.47976999999992</v>
      </c>
      <c r="K7137" s="561">
        <v>903</v>
      </c>
      <c r="L7137" s="561">
        <v>12609.999832705831</v>
      </c>
      <c r="M7137" s="561">
        <v>12609.999832705831</v>
      </c>
      <c r="N7137" s="561">
        <v>3239.9999999999986</v>
      </c>
      <c r="O7137" s="561">
        <v>0</v>
      </c>
      <c r="P7137" s="561">
        <v>9369.9998327058329</v>
      </c>
    </row>
    <row r="7138" spans="1:16">
      <c r="C7138" s="561" t="s">
        <v>1199</v>
      </c>
      <c r="D7138" s="561">
        <v>12609.999832705831</v>
      </c>
      <c r="E7138" s="561">
        <v>3239.9999999999986</v>
      </c>
      <c r="F7138" s="561">
        <v>9370.0000000000036</v>
      </c>
      <c r="G7138" s="561">
        <v>909</v>
      </c>
      <c r="H7138" s="561">
        <v>13072.479812705833</v>
      </c>
      <c r="I7138" s="561">
        <v>25</v>
      </c>
      <c r="J7138" s="561">
        <v>462.47976999999992</v>
      </c>
      <c r="K7138" s="561">
        <v>903</v>
      </c>
      <c r="L7138" s="561">
        <v>12609.999832705831</v>
      </c>
      <c r="M7138" s="561">
        <v>12609.999832705831</v>
      </c>
      <c r="N7138" s="561">
        <v>3239.9999999999986</v>
      </c>
      <c r="P7138" s="561">
        <v>9369.9998327058329</v>
      </c>
    </row>
    <row r="7139" spans="1:16">
      <c r="A7139" s="561">
        <v>22</v>
      </c>
      <c r="B7139" s="561" t="s">
        <v>1849</v>
      </c>
      <c r="C7139" s="561" t="s">
        <v>1267</v>
      </c>
      <c r="D7139" s="561">
        <v>10135.899853947501</v>
      </c>
      <c r="E7139" s="561">
        <v>2699.9999999999995</v>
      </c>
      <c r="F7139" s="561">
        <v>7435.9000000000005</v>
      </c>
      <c r="G7139" s="561">
        <v>749</v>
      </c>
      <c r="H7139" s="561">
        <v>11810.404973947499</v>
      </c>
      <c r="I7139" s="561">
        <v>60</v>
      </c>
      <c r="J7139" s="561">
        <v>1674.5050400000002</v>
      </c>
      <c r="K7139" s="561">
        <v>700</v>
      </c>
      <c r="L7139" s="561">
        <v>10135.899853947501</v>
      </c>
      <c r="M7139" s="561">
        <v>10135.899853947501</v>
      </c>
      <c r="N7139" s="561">
        <v>2699.9999999999995</v>
      </c>
      <c r="O7139" s="561">
        <v>0</v>
      </c>
      <c r="P7139" s="561">
        <v>7435.8998539475015</v>
      </c>
    </row>
    <row r="7140" spans="1:16">
      <c r="C7140" s="561" t="s">
        <v>1199</v>
      </c>
      <c r="D7140" s="561">
        <v>10135.899853947501</v>
      </c>
      <c r="E7140" s="561">
        <v>2699.9999999999995</v>
      </c>
      <c r="F7140" s="561">
        <v>7435.9000000000005</v>
      </c>
      <c r="G7140" s="561">
        <v>749</v>
      </c>
      <c r="H7140" s="561">
        <v>11810.404973947499</v>
      </c>
      <c r="I7140" s="561">
        <v>60</v>
      </c>
      <c r="J7140" s="561">
        <v>1674.5050400000002</v>
      </c>
      <c r="K7140" s="561">
        <v>700</v>
      </c>
      <c r="L7140" s="561">
        <v>10135.899853947501</v>
      </c>
      <c r="M7140" s="561">
        <v>10135.899853947501</v>
      </c>
      <c r="N7140" s="561">
        <v>2699.9999999999995</v>
      </c>
      <c r="P7140" s="561">
        <v>7435.8998539475015</v>
      </c>
    </row>
    <row r="7141" spans="1:16">
      <c r="A7141" s="561">
        <v>23</v>
      </c>
      <c r="B7141" s="561" t="s">
        <v>1850</v>
      </c>
      <c r="C7141" s="561" t="s">
        <v>1267</v>
      </c>
      <c r="D7141" s="561">
        <v>13545.000222427669</v>
      </c>
      <c r="E7141" s="561">
        <v>3779.9999999999991</v>
      </c>
      <c r="F7141" s="561">
        <v>9765</v>
      </c>
      <c r="G7141" s="561">
        <v>1050</v>
      </c>
      <c r="H7141" s="561">
        <v>13647.226102427669</v>
      </c>
      <c r="I7141" s="561">
        <v>9</v>
      </c>
      <c r="J7141" s="561">
        <v>102.22588000000002</v>
      </c>
      <c r="K7141" s="561">
        <v>1050</v>
      </c>
      <c r="L7141" s="561">
        <v>13545.000222427669</v>
      </c>
      <c r="M7141" s="561">
        <v>13545.000222427669</v>
      </c>
      <c r="N7141" s="561">
        <v>3779.9999999999991</v>
      </c>
      <c r="O7141" s="561">
        <v>0</v>
      </c>
      <c r="P7141" s="561">
        <v>9765.0002224276686</v>
      </c>
    </row>
    <row r="7142" spans="1:16">
      <c r="C7142" s="561" t="s">
        <v>1199</v>
      </c>
      <c r="D7142" s="561">
        <v>13545.000222427669</v>
      </c>
      <c r="E7142" s="561">
        <v>3779.9999999999991</v>
      </c>
      <c r="F7142" s="561">
        <v>9765</v>
      </c>
      <c r="G7142" s="561">
        <v>1050</v>
      </c>
      <c r="H7142" s="561">
        <v>13647.226102427669</v>
      </c>
      <c r="I7142" s="561">
        <v>9</v>
      </c>
      <c r="J7142" s="561">
        <v>102.22588000000002</v>
      </c>
      <c r="K7142" s="561">
        <v>1050</v>
      </c>
      <c r="L7142" s="561">
        <v>13545.000222427669</v>
      </c>
      <c r="M7142" s="561">
        <v>13545.000222427669</v>
      </c>
      <c r="N7142" s="561">
        <v>3779.9999999999991</v>
      </c>
      <c r="P7142" s="561">
        <v>9765.0002224276686</v>
      </c>
    </row>
    <row r="7143" spans="1:16">
      <c r="A7143" s="561">
        <v>24</v>
      </c>
      <c r="B7143" s="561" t="s">
        <v>1851</v>
      </c>
      <c r="C7143" s="561" t="s">
        <v>1267</v>
      </c>
      <c r="D7143" s="561">
        <v>11784.3004935545</v>
      </c>
      <c r="E7143" s="561">
        <v>2880</v>
      </c>
      <c r="F7143" s="561">
        <v>8904.2999999999993</v>
      </c>
      <c r="G7143" s="561">
        <v>820</v>
      </c>
      <c r="H7143" s="561">
        <v>12359.544823554499</v>
      </c>
      <c r="I7143" s="561">
        <v>5</v>
      </c>
      <c r="J7143" s="561">
        <v>43.949710000000039</v>
      </c>
      <c r="K7143" s="561">
        <v>817</v>
      </c>
      <c r="L7143" s="561">
        <v>11784.3004935545</v>
      </c>
      <c r="M7143" s="561">
        <v>11784.3004935545</v>
      </c>
      <c r="N7143" s="561">
        <v>2880</v>
      </c>
      <c r="O7143" s="561">
        <v>0</v>
      </c>
      <c r="P7143" s="561">
        <v>8904.3004935544996</v>
      </c>
    </row>
    <row r="7144" spans="1:16">
      <c r="C7144" s="561" t="s">
        <v>1199</v>
      </c>
      <c r="D7144" s="561">
        <v>11784.3004935545</v>
      </c>
      <c r="E7144" s="561">
        <v>2880</v>
      </c>
      <c r="F7144" s="561">
        <v>8904.2999999999993</v>
      </c>
      <c r="G7144" s="561">
        <v>820</v>
      </c>
      <c r="H7144" s="561">
        <v>12359.544823554499</v>
      </c>
      <c r="I7144" s="561">
        <v>5</v>
      </c>
      <c r="J7144" s="561">
        <v>43.949710000000039</v>
      </c>
      <c r="K7144" s="561">
        <v>817</v>
      </c>
      <c r="L7144" s="561">
        <v>11784.3004935545</v>
      </c>
      <c r="M7144" s="561">
        <v>11784.3004935545</v>
      </c>
      <c r="N7144" s="561">
        <v>2880</v>
      </c>
      <c r="P7144" s="561">
        <v>8904.3004935544996</v>
      </c>
    </row>
    <row r="7145" spans="1:16">
      <c r="A7145" s="561">
        <v>25</v>
      </c>
      <c r="B7145" s="561" t="s">
        <v>1852</v>
      </c>
      <c r="C7145" s="561" t="s">
        <v>1267</v>
      </c>
      <c r="D7145" s="561">
        <v>15899.999883820503</v>
      </c>
      <c r="E7145" s="561">
        <v>3600</v>
      </c>
      <c r="F7145" s="561">
        <v>12300</v>
      </c>
      <c r="G7145" s="561">
        <v>1293</v>
      </c>
      <c r="H7145" s="561">
        <v>18990.5812238205</v>
      </c>
      <c r="I7145" s="561">
        <v>124</v>
      </c>
      <c r="J7145" s="561">
        <v>3087.5617555559998</v>
      </c>
      <c r="K7145" s="561">
        <v>1256</v>
      </c>
      <c r="L7145" s="561">
        <v>15899.999883820503</v>
      </c>
      <c r="M7145" s="561">
        <v>15899.999883820503</v>
      </c>
      <c r="N7145" s="561">
        <v>3600</v>
      </c>
      <c r="O7145" s="561">
        <v>0</v>
      </c>
      <c r="P7145" s="561">
        <v>12299.999883820503</v>
      </c>
    </row>
    <row r="7146" spans="1:16">
      <c r="C7146" s="561" t="s">
        <v>1199</v>
      </c>
      <c r="D7146" s="561">
        <v>15899.999883820503</v>
      </c>
      <c r="E7146" s="561">
        <v>3600</v>
      </c>
      <c r="F7146" s="561">
        <v>12300</v>
      </c>
      <c r="G7146" s="561">
        <v>1293</v>
      </c>
      <c r="H7146" s="561">
        <v>18990.5812238205</v>
      </c>
      <c r="I7146" s="561">
        <v>124</v>
      </c>
      <c r="J7146" s="561">
        <v>3087.5617555559998</v>
      </c>
      <c r="K7146" s="561">
        <v>1256</v>
      </c>
      <c r="L7146" s="561">
        <v>15899.999883820503</v>
      </c>
      <c r="M7146" s="561">
        <v>15899.999883820503</v>
      </c>
      <c r="N7146" s="561">
        <v>3600</v>
      </c>
      <c r="P7146" s="561">
        <v>12299.999883820503</v>
      </c>
    </row>
    <row r="7147" spans="1:16">
      <c r="A7147" s="561">
        <v>26</v>
      </c>
      <c r="B7147" s="561" t="s">
        <v>1853</v>
      </c>
      <c r="C7147" s="561" t="s">
        <v>1267</v>
      </c>
      <c r="D7147" s="561">
        <v>16532.000482961001</v>
      </c>
      <c r="E7147" s="561">
        <v>3887.9999999999991</v>
      </c>
      <c r="F7147" s="561">
        <v>12644.000000000002</v>
      </c>
      <c r="G7147" s="561">
        <v>1097</v>
      </c>
      <c r="H7147" s="561">
        <v>17289.747312960997</v>
      </c>
      <c r="I7147" s="561">
        <v>42</v>
      </c>
      <c r="J7147" s="561">
        <v>805.36380999999994</v>
      </c>
      <c r="K7147" s="561">
        <v>1090</v>
      </c>
      <c r="L7147" s="561">
        <v>16532.000482961001</v>
      </c>
      <c r="M7147" s="561">
        <v>16532.000482961001</v>
      </c>
      <c r="N7147" s="561">
        <v>3887.9999999999991</v>
      </c>
      <c r="O7147" s="561">
        <v>0</v>
      </c>
      <c r="P7147" s="561">
        <v>12644.000482961001</v>
      </c>
    </row>
    <row r="7148" spans="1:16">
      <c r="C7148" s="561" t="s">
        <v>1199</v>
      </c>
      <c r="D7148" s="561">
        <v>16532.000482961001</v>
      </c>
      <c r="E7148" s="561">
        <v>3887.9999999999991</v>
      </c>
      <c r="F7148" s="561">
        <v>12644.000000000002</v>
      </c>
      <c r="G7148" s="561">
        <v>1097</v>
      </c>
      <c r="H7148" s="561">
        <v>17289.747312960997</v>
      </c>
      <c r="I7148" s="561">
        <v>42</v>
      </c>
      <c r="J7148" s="561">
        <v>805.36380999999994</v>
      </c>
      <c r="K7148" s="561">
        <v>1090</v>
      </c>
      <c r="L7148" s="561">
        <v>16532.000482961001</v>
      </c>
      <c r="M7148" s="561">
        <v>16532.000482961001</v>
      </c>
      <c r="N7148" s="561">
        <v>3887.9999999999991</v>
      </c>
      <c r="P7148" s="561">
        <v>12644.000482961001</v>
      </c>
    </row>
    <row r="7149" spans="1:16">
      <c r="A7149" s="561">
        <v>27</v>
      </c>
      <c r="B7149" s="561" t="s">
        <v>1854</v>
      </c>
      <c r="C7149" s="561" t="s">
        <v>1267</v>
      </c>
      <c r="D7149" s="561">
        <v>18568.950207012338</v>
      </c>
      <c r="E7149" s="561">
        <v>4935.5999999999995</v>
      </c>
      <c r="F7149" s="561">
        <v>13633.349999999999</v>
      </c>
      <c r="G7149" s="561">
        <v>1397</v>
      </c>
      <c r="H7149" s="561">
        <v>19476.076053679</v>
      </c>
      <c r="I7149" s="561">
        <v>43</v>
      </c>
      <c r="J7149" s="561">
        <v>906.78347000000008</v>
      </c>
      <c r="K7149" s="561">
        <v>1395</v>
      </c>
      <c r="L7149" s="561">
        <v>18568.950207012338</v>
      </c>
      <c r="M7149" s="561">
        <v>18568.950207012338</v>
      </c>
      <c r="N7149" s="561">
        <v>4935.5999999999995</v>
      </c>
      <c r="O7149" s="561">
        <v>0</v>
      </c>
      <c r="P7149" s="561">
        <v>13633.35020701234</v>
      </c>
    </row>
    <row r="7150" spans="1:16">
      <c r="C7150" s="561" t="s">
        <v>1199</v>
      </c>
      <c r="D7150" s="561">
        <v>18568.950207012338</v>
      </c>
      <c r="E7150" s="561">
        <v>4935.5999999999995</v>
      </c>
      <c r="F7150" s="561">
        <v>13633.349999999999</v>
      </c>
      <c r="G7150" s="561">
        <v>1397</v>
      </c>
      <c r="H7150" s="561">
        <v>19476.076053679</v>
      </c>
      <c r="I7150" s="561">
        <v>43</v>
      </c>
      <c r="J7150" s="561">
        <v>906.78347000000008</v>
      </c>
      <c r="K7150" s="561">
        <v>1395</v>
      </c>
      <c r="L7150" s="561">
        <v>18568.950207012338</v>
      </c>
      <c r="M7150" s="561">
        <v>18568.950207012338</v>
      </c>
      <c r="N7150" s="561">
        <v>4935.5999999999995</v>
      </c>
      <c r="P7150" s="561">
        <v>13633.35020701234</v>
      </c>
    </row>
    <row r="7151" spans="1:16">
      <c r="A7151" s="561">
        <v>28</v>
      </c>
      <c r="B7151" s="561" t="s">
        <v>1855</v>
      </c>
      <c r="C7151" s="561" t="s">
        <v>1267</v>
      </c>
      <c r="D7151" s="561">
        <v>8520.2999167196667</v>
      </c>
      <c r="E7151" s="561">
        <v>2159.9999999999995</v>
      </c>
      <c r="F7151" s="561">
        <v>6360.2999999999993</v>
      </c>
      <c r="G7151" s="561">
        <v>529</v>
      </c>
      <c r="H7151" s="561">
        <v>8729.5424733863329</v>
      </c>
      <c r="I7151" s="561">
        <v>5</v>
      </c>
      <c r="J7151" s="561">
        <v>209.40379999999999</v>
      </c>
      <c r="K7151" s="561">
        <v>529</v>
      </c>
      <c r="L7151" s="561">
        <v>8520.2999167196667</v>
      </c>
      <c r="M7151" s="561">
        <v>8520.2999167196667</v>
      </c>
      <c r="N7151" s="561">
        <v>2159.9999999999995</v>
      </c>
      <c r="O7151" s="561">
        <v>0</v>
      </c>
      <c r="P7151" s="561">
        <v>6360.2999167196667</v>
      </c>
    </row>
    <row r="7152" spans="1:16">
      <c r="C7152" s="561" t="s">
        <v>1199</v>
      </c>
      <c r="D7152" s="561">
        <v>8520.2999167196667</v>
      </c>
      <c r="E7152" s="561">
        <v>2159.9999999999995</v>
      </c>
      <c r="F7152" s="561">
        <v>6360.2999999999993</v>
      </c>
      <c r="G7152" s="561">
        <v>529</v>
      </c>
      <c r="H7152" s="561">
        <v>8729.5424733863329</v>
      </c>
      <c r="I7152" s="561">
        <v>5</v>
      </c>
      <c r="J7152" s="561">
        <v>209.40379999999999</v>
      </c>
      <c r="K7152" s="561">
        <v>529</v>
      </c>
      <c r="L7152" s="561">
        <v>8520.2999167196667</v>
      </c>
      <c r="M7152" s="561">
        <v>8520.2999167196667</v>
      </c>
      <c r="N7152" s="561">
        <v>2159.9999999999995</v>
      </c>
      <c r="P7152" s="561">
        <v>6360.2999167196667</v>
      </c>
    </row>
    <row r="7153" spans="1:16">
      <c r="A7153" s="561">
        <v>29</v>
      </c>
      <c r="B7153" s="561" t="s">
        <v>1856</v>
      </c>
      <c r="C7153" s="561" t="s">
        <v>1267</v>
      </c>
      <c r="D7153" s="561">
        <v>8714.9998321323328</v>
      </c>
      <c r="E7153" s="561">
        <v>2519.9999999999995</v>
      </c>
      <c r="F7153" s="561">
        <v>6195</v>
      </c>
      <c r="G7153" s="561">
        <v>720</v>
      </c>
      <c r="H7153" s="561">
        <v>9347.5544387989994</v>
      </c>
      <c r="I7153" s="561">
        <v>24</v>
      </c>
      <c r="J7153" s="561">
        <v>631.26382000000001</v>
      </c>
      <c r="K7153" s="561">
        <v>712</v>
      </c>
      <c r="L7153" s="561">
        <v>8714.9998321323328</v>
      </c>
      <c r="M7153" s="561">
        <v>8714.9998321323328</v>
      </c>
      <c r="N7153" s="561">
        <v>2519.9999999999995</v>
      </c>
      <c r="O7153" s="561">
        <v>0</v>
      </c>
      <c r="P7153" s="561">
        <v>6194.9998321323328</v>
      </c>
    </row>
    <row r="7154" spans="1:16">
      <c r="C7154" s="561" t="s">
        <v>1199</v>
      </c>
      <c r="D7154" s="561">
        <v>8714.9998321323328</v>
      </c>
      <c r="E7154" s="561">
        <v>2519.9999999999995</v>
      </c>
      <c r="F7154" s="561">
        <v>6195</v>
      </c>
      <c r="G7154" s="561">
        <v>720</v>
      </c>
      <c r="H7154" s="561">
        <v>9347.5544387989994</v>
      </c>
      <c r="I7154" s="561">
        <v>24</v>
      </c>
      <c r="J7154" s="561">
        <v>631.26382000000001</v>
      </c>
      <c r="K7154" s="561">
        <v>712</v>
      </c>
      <c r="L7154" s="561">
        <v>8714.9998321323328</v>
      </c>
      <c r="M7154" s="561">
        <v>8714.9998321323328</v>
      </c>
      <c r="N7154" s="561">
        <v>2519.9999999999995</v>
      </c>
      <c r="P7154" s="561">
        <v>6194.9998321323328</v>
      </c>
    </row>
    <row r="7155" spans="1:16">
      <c r="A7155" s="561">
        <v>30</v>
      </c>
      <c r="B7155" s="561" t="s">
        <v>1857</v>
      </c>
      <c r="C7155" s="561" t="s">
        <v>1267</v>
      </c>
      <c r="D7155" s="561">
        <v>7870.0001985336667</v>
      </c>
      <c r="E7155" s="561">
        <v>2159.9999999999995</v>
      </c>
      <c r="F7155" s="561">
        <v>5710</v>
      </c>
      <c r="G7155" s="561">
        <v>593</v>
      </c>
      <c r="H7155" s="561">
        <v>8176.8342918669996</v>
      </c>
      <c r="I7155" s="561">
        <v>17</v>
      </c>
      <c r="J7155" s="561">
        <v>297.11878999999993</v>
      </c>
      <c r="K7155" s="561">
        <v>591</v>
      </c>
      <c r="L7155" s="561">
        <v>7870.0001985336667</v>
      </c>
      <c r="M7155" s="561">
        <v>7870.0001985336667</v>
      </c>
      <c r="N7155" s="561">
        <v>2159.9999999999995</v>
      </c>
      <c r="O7155" s="561">
        <v>0</v>
      </c>
      <c r="P7155" s="561">
        <v>5710.0001985336676</v>
      </c>
    </row>
    <row r="7156" spans="1:16">
      <c r="C7156" s="561" t="s">
        <v>1199</v>
      </c>
      <c r="D7156" s="561">
        <v>7870.0001985336667</v>
      </c>
      <c r="E7156" s="561">
        <v>2159.9999999999995</v>
      </c>
      <c r="F7156" s="561">
        <v>5710</v>
      </c>
      <c r="G7156" s="561">
        <v>593</v>
      </c>
      <c r="H7156" s="561">
        <v>8176.8342918669996</v>
      </c>
      <c r="I7156" s="561">
        <v>17</v>
      </c>
      <c r="J7156" s="561">
        <v>297.11878999999993</v>
      </c>
      <c r="K7156" s="561">
        <v>591</v>
      </c>
      <c r="L7156" s="561">
        <v>7870.0001985336667</v>
      </c>
      <c r="M7156" s="561">
        <v>7870.0001985336667</v>
      </c>
      <c r="N7156" s="561">
        <v>2159.9999999999995</v>
      </c>
      <c r="P7156" s="561">
        <v>5710.0001985336676</v>
      </c>
    </row>
    <row r="7157" spans="1:16">
      <c r="A7157" s="561">
        <v>31</v>
      </c>
      <c r="B7157" s="561" t="s">
        <v>1858</v>
      </c>
      <c r="C7157" s="561" t="s">
        <v>1267</v>
      </c>
      <c r="D7157" s="561">
        <v>6224.9996212799997</v>
      </c>
      <c r="E7157" s="561">
        <v>1800</v>
      </c>
      <c r="F7157" s="561">
        <v>4425</v>
      </c>
      <c r="G7157" s="561">
        <v>546</v>
      </c>
      <c r="H7157" s="561">
        <v>7003.5245412800004</v>
      </c>
      <c r="I7157" s="561">
        <v>5</v>
      </c>
      <c r="J7157" s="561">
        <v>63.884070000000008</v>
      </c>
      <c r="K7157" s="561">
        <v>544</v>
      </c>
      <c r="L7157" s="561">
        <v>6224.9996212799997</v>
      </c>
      <c r="M7157" s="561">
        <v>6224.9996212799997</v>
      </c>
      <c r="N7157" s="561">
        <v>1800</v>
      </c>
      <c r="O7157" s="561">
        <v>0</v>
      </c>
      <c r="P7157" s="561">
        <v>4424.9996212799997</v>
      </c>
    </row>
    <row r="7158" spans="1:16">
      <c r="C7158" s="561" t="s">
        <v>1199</v>
      </c>
      <c r="D7158" s="561">
        <v>6224.9996212799997</v>
      </c>
      <c r="E7158" s="561">
        <v>1800</v>
      </c>
      <c r="F7158" s="561">
        <v>4425</v>
      </c>
      <c r="G7158" s="561">
        <v>546</v>
      </c>
      <c r="H7158" s="561">
        <v>7003.5245412800004</v>
      </c>
      <c r="I7158" s="561">
        <v>5</v>
      </c>
      <c r="J7158" s="561">
        <v>63.884070000000008</v>
      </c>
      <c r="K7158" s="561">
        <v>544</v>
      </c>
      <c r="L7158" s="561">
        <v>6224.9996212799997</v>
      </c>
      <c r="M7158" s="561">
        <v>6224.9996212799997</v>
      </c>
      <c r="N7158" s="561">
        <v>1800</v>
      </c>
      <c r="P7158" s="561">
        <v>4424.9996212799997</v>
      </c>
    </row>
    <row r="7159" spans="1:16">
      <c r="A7159" s="561">
        <v>32</v>
      </c>
      <c r="B7159" s="561" t="s">
        <v>1859</v>
      </c>
      <c r="C7159" s="561" t="s">
        <v>1267</v>
      </c>
      <c r="D7159" s="561">
        <v>9144.9995995508325</v>
      </c>
      <c r="E7159" s="561">
        <v>2159.9999999999995</v>
      </c>
      <c r="F7159" s="561">
        <v>6985.0000000000009</v>
      </c>
      <c r="G7159" s="561">
        <v>739</v>
      </c>
      <c r="H7159" s="561">
        <v>10252.8088562175</v>
      </c>
      <c r="I7159" s="561">
        <v>35</v>
      </c>
      <c r="J7159" s="561">
        <v>539.4300300000001</v>
      </c>
      <c r="K7159" s="561">
        <v>717</v>
      </c>
      <c r="L7159" s="561">
        <v>9144.9995995508325</v>
      </c>
      <c r="M7159" s="561">
        <v>9144.9995995508325</v>
      </c>
      <c r="N7159" s="561">
        <v>2159.9999999999995</v>
      </c>
      <c r="O7159" s="561">
        <v>0</v>
      </c>
      <c r="P7159" s="561">
        <v>6984.9995995508325</v>
      </c>
    </row>
    <row r="7160" spans="1:16">
      <c r="C7160" s="561" t="s">
        <v>1199</v>
      </c>
      <c r="D7160" s="561">
        <v>9144.9995995508325</v>
      </c>
      <c r="E7160" s="561">
        <v>2159.9999999999995</v>
      </c>
      <c r="F7160" s="561">
        <v>6985.0000000000009</v>
      </c>
      <c r="G7160" s="561">
        <v>739</v>
      </c>
      <c r="H7160" s="561">
        <v>10252.8088562175</v>
      </c>
      <c r="I7160" s="561">
        <v>35</v>
      </c>
      <c r="J7160" s="561">
        <v>539.4300300000001</v>
      </c>
      <c r="K7160" s="561">
        <v>717</v>
      </c>
      <c r="L7160" s="561">
        <v>9144.9995995508325</v>
      </c>
      <c r="M7160" s="561">
        <v>9144.9995995508325</v>
      </c>
      <c r="N7160" s="561">
        <v>2159.9999999999995</v>
      </c>
      <c r="P7160" s="561">
        <v>6984.9995995508325</v>
      </c>
    </row>
    <row r="7161" spans="1:16">
      <c r="A7161" s="561">
        <v>33</v>
      </c>
      <c r="B7161" s="561" t="s">
        <v>1860</v>
      </c>
      <c r="C7161" s="561" t="s">
        <v>1267</v>
      </c>
      <c r="D7161" s="561">
        <v>8714.9997899999998</v>
      </c>
      <c r="E7161" s="561">
        <v>2519.9999999999995</v>
      </c>
      <c r="F7161" s="561">
        <v>6195</v>
      </c>
      <c r="G7161" s="561">
        <v>783</v>
      </c>
      <c r="H7161" s="561">
        <v>10476.908530000001</v>
      </c>
      <c r="I7161" s="561">
        <v>104</v>
      </c>
      <c r="J7161" s="561">
        <v>1853.8060700000001</v>
      </c>
      <c r="K7161" s="561">
        <v>777</v>
      </c>
      <c r="L7161" s="561">
        <v>8714.9997899999998</v>
      </c>
      <c r="M7161" s="561">
        <v>8714.9997899999998</v>
      </c>
      <c r="N7161" s="561">
        <v>2519.9999999999995</v>
      </c>
      <c r="O7161" s="561">
        <v>0</v>
      </c>
      <c r="P7161" s="561">
        <v>6194.9997899999998</v>
      </c>
    </row>
    <row r="7162" spans="1:16">
      <c r="C7162" s="561" t="s">
        <v>1199</v>
      </c>
      <c r="D7162" s="561">
        <v>8714.9997899999998</v>
      </c>
      <c r="E7162" s="561">
        <v>2519.9999999999995</v>
      </c>
      <c r="F7162" s="561">
        <v>6195</v>
      </c>
      <c r="G7162" s="561">
        <v>783</v>
      </c>
      <c r="H7162" s="561">
        <v>10476.908530000001</v>
      </c>
      <c r="I7162" s="561">
        <v>104</v>
      </c>
      <c r="J7162" s="561">
        <v>1853.8060700000001</v>
      </c>
      <c r="K7162" s="561">
        <v>777</v>
      </c>
      <c r="L7162" s="561">
        <v>8714.9997899999998</v>
      </c>
      <c r="M7162" s="561">
        <v>8714.9997899999998</v>
      </c>
      <c r="N7162" s="561">
        <v>2519.9999999999995</v>
      </c>
      <c r="P7162" s="561">
        <v>6194.9997899999998</v>
      </c>
    </row>
    <row r="7163" spans="1:16">
      <c r="A7163" s="561">
        <v>34</v>
      </c>
      <c r="B7163" s="561" t="s">
        <v>1861</v>
      </c>
      <c r="C7163" s="561" t="s">
        <v>1267</v>
      </c>
      <c r="D7163" s="561">
        <v>9337.4995978619991</v>
      </c>
      <c r="E7163" s="561">
        <v>2699.9999999999995</v>
      </c>
      <c r="F7163" s="561">
        <v>6637.5</v>
      </c>
      <c r="G7163" s="561">
        <v>701</v>
      </c>
      <c r="H7163" s="561">
        <v>9418.2689978620001</v>
      </c>
      <c r="I7163" s="561">
        <v>3</v>
      </c>
      <c r="J7163" s="561">
        <v>80.76944995599996</v>
      </c>
      <c r="K7163" s="561">
        <v>698</v>
      </c>
      <c r="L7163" s="561">
        <v>9337.4995978619991</v>
      </c>
      <c r="M7163" s="561">
        <v>9337.4995978619991</v>
      </c>
      <c r="N7163" s="561">
        <v>2699.9999999999995</v>
      </c>
      <c r="O7163" s="561">
        <v>0</v>
      </c>
      <c r="P7163" s="561">
        <v>6637.4995978619991</v>
      </c>
    </row>
    <row r="7164" spans="1:16">
      <c r="C7164" s="561" t="s">
        <v>1199</v>
      </c>
      <c r="D7164" s="561">
        <v>9337.4995978619991</v>
      </c>
      <c r="E7164" s="561">
        <v>2699.9999999999995</v>
      </c>
      <c r="F7164" s="561">
        <v>6637.5</v>
      </c>
      <c r="G7164" s="561">
        <v>701</v>
      </c>
      <c r="H7164" s="561">
        <v>9418.2689978620001</v>
      </c>
      <c r="I7164" s="561">
        <v>3</v>
      </c>
      <c r="J7164" s="561">
        <v>80.76944995599996</v>
      </c>
      <c r="K7164" s="561">
        <v>698</v>
      </c>
      <c r="L7164" s="561">
        <v>9337.4995978619991</v>
      </c>
      <c r="M7164" s="561">
        <v>9337.4995978619991</v>
      </c>
      <c r="N7164" s="561">
        <v>2699.9999999999995</v>
      </c>
      <c r="P7164" s="561">
        <v>6637.4995978619991</v>
      </c>
    </row>
    <row r="7165" spans="1:16">
      <c r="A7165" s="561">
        <v>35</v>
      </c>
      <c r="B7165" s="561" t="s">
        <v>1862</v>
      </c>
      <c r="C7165" s="561" t="s">
        <v>1267</v>
      </c>
      <c r="D7165" s="561">
        <v>9215.0000740820014</v>
      </c>
      <c r="E7165" s="561">
        <v>2519.9999999999995</v>
      </c>
      <c r="F7165" s="561">
        <v>6695</v>
      </c>
      <c r="G7165" s="561">
        <v>743</v>
      </c>
      <c r="H7165" s="561">
        <v>9318.1369640820012</v>
      </c>
      <c r="I7165" s="561">
        <v>35</v>
      </c>
      <c r="J7165" s="561">
        <v>110.29823000000005</v>
      </c>
      <c r="K7165" s="561">
        <v>739</v>
      </c>
      <c r="L7165" s="561">
        <v>9215.0000740820014</v>
      </c>
      <c r="M7165" s="561">
        <v>9215.0000740820014</v>
      </c>
      <c r="N7165" s="561">
        <v>2519.9999999999995</v>
      </c>
      <c r="O7165" s="561">
        <v>0</v>
      </c>
      <c r="P7165" s="561">
        <v>6695.0000740820014</v>
      </c>
    </row>
    <row r="7166" spans="1:16">
      <c r="C7166" s="561" t="s">
        <v>1199</v>
      </c>
      <c r="D7166" s="561">
        <v>9215.0000740820014</v>
      </c>
      <c r="E7166" s="561">
        <v>2519.9999999999995</v>
      </c>
      <c r="F7166" s="561">
        <v>6695</v>
      </c>
      <c r="G7166" s="561">
        <v>743</v>
      </c>
      <c r="H7166" s="561">
        <v>9318.1369640820012</v>
      </c>
      <c r="I7166" s="561">
        <v>35</v>
      </c>
      <c r="J7166" s="561">
        <v>110.29823000000005</v>
      </c>
      <c r="K7166" s="561">
        <v>739</v>
      </c>
      <c r="L7166" s="561">
        <v>9215.0000740820014</v>
      </c>
      <c r="M7166" s="561">
        <v>9215.0000740820014</v>
      </c>
      <c r="N7166" s="561">
        <v>2519.9999999999995</v>
      </c>
      <c r="P7166" s="561">
        <v>6695.0000740820014</v>
      </c>
    </row>
    <row r="7167" spans="1:16">
      <c r="A7167" s="561">
        <v>36</v>
      </c>
      <c r="B7167" s="561" t="s">
        <v>1863</v>
      </c>
      <c r="C7167" s="561" t="s">
        <v>1267</v>
      </c>
      <c r="D7167" s="561">
        <v>5018.9996921870006</v>
      </c>
      <c r="E7167" s="561">
        <v>1116</v>
      </c>
      <c r="F7167" s="561">
        <v>3902.9999999999995</v>
      </c>
      <c r="G7167" s="561">
        <v>439</v>
      </c>
      <c r="H7167" s="561">
        <v>6057.7567321870001</v>
      </c>
      <c r="I7167" s="561">
        <v>20</v>
      </c>
      <c r="J7167" s="561">
        <v>293.87073000000009</v>
      </c>
      <c r="K7167" s="561">
        <v>429</v>
      </c>
      <c r="L7167" s="561">
        <v>5018.9996921870006</v>
      </c>
      <c r="M7167" s="561">
        <v>5018.9996921870006</v>
      </c>
      <c r="N7167" s="561">
        <v>1116</v>
      </c>
      <c r="O7167" s="561">
        <v>0</v>
      </c>
      <c r="P7167" s="561">
        <v>3902.9996921870006</v>
      </c>
    </row>
    <row r="7168" spans="1:16">
      <c r="C7168" s="561" t="s">
        <v>1199</v>
      </c>
      <c r="D7168" s="561">
        <v>5018.9996921870006</v>
      </c>
      <c r="E7168" s="561">
        <v>1116</v>
      </c>
      <c r="F7168" s="561">
        <v>3902.9999999999995</v>
      </c>
      <c r="G7168" s="561">
        <v>439</v>
      </c>
      <c r="H7168" s="561">
        <v>6057.7567321870001</v>
      </c>
      <c r="I7168" s="561">
        <v>20</v>
      </c>
      <c r="J7168" s="561">
        <v>293.87073000000009</v>
      </c>
      <c r="K7168" s="561">
        <v>429</v>
      </c>
      <c r="L7168" s="561">
        <v>5018.9996921870006</v>
      </c>
      <c r="M7168" s="561">
        <v>5018.9996921870006</v>
      </c>
      <c r="N7168" s="561">
        <v>1116</v>
      </c>
      <c r="P7168" s="561">
        <v>3902.9996921870006</v>
      </c>
    </row>
    <row r="7169" spans="1:16">
      <c r="A7169" s="561">
        <v>37</v>
      </c>
      <c r="B7169" s="561" t="s">
        <v>1864</v>
      </c>
      <c r="C7169" s="561" t="s">
        <v>1267</v>
      </c>
      <c r="D7169" s="561">
        <v>6669.9995168949999</v>
      </c>
      <c r="E7169" s="561">
        <v>2159.9999999999995</v>
      </c>
      <c r="F7169" s="561">
        <v>4510</v>
      </c>
      <c r="G7169" s="561">
        <v>545</v>
      </c>
      <c r="H7169" s="561">
        <v>7186.7609468949995</v>
      </c>
      <c r="I7169" s="561">
        <v>45</v>
      </c>
      <c r="J7169" s="561">
        <v>530.21024999999997</v>
      </c>
      <c r="K7169" s="561">
        <v>520</v>
      </c>
      <c r="L7169" s="561">
        <v>6669.9995168949999</v>
      </c>
      <c r="M7169" s="561">
        <v>6669.9995168949999</v>
      </c>
      <c r="N7169" s="561">
        <v>2159.9999999999995</v>
      </c>
      <c r="O7169" s="561">
        <v>0</v>
      </c>
      <c r="P7169" s="561">
        <v>4509.9995168950009</v>
      </c>
    </row>
    <row r="7170" spans="1:16">
      <c r="C7170" s="561" t="s">
        <v>1199</v>
      </c>
      <c r="D7170" s="561">
        <v>6669.9995168949999</v>
      </c>
      <c r="E7170" s="561">
        <v>2159.9999999999995</v>
      </c>
      <c r="F7170" s="561">
        <v>4510</v>
      </c>
      <c r="G7170" s="561">
        <v>545</v>
      </c>
      <c r="H7170" s="561">
        <v>7186.7609468949995</v>
      </c>
      <c r="I7170" s="561">
        <v>45</v>
      </c>
      <c r="J7170" s="561">
        <v>530.21024999999997</v>
      </c>
      <c r="K7170" s="561">
        <v>520</v>
      </c>
      <c r="L7170" s="561">
        <v>6669.9995168949999</v>
      </c>
      <c r="M7170" s="561">
        <v>6669.9995168949999</v>
      </c>
      <c r="N7170" s="561">
        <v>2159.9999999999995</v>
      </c>
      <c r="P7170" s="561">
        <v>4509.9995168950009</v>
      </c>
    </row>
    <row r="7171" spans="1:16">
      <c r="A7171" s="561">
        <v>38</v>
      </c>
      <c r="B7171" s="561" t="s">
        <v>1865</v>
      </c>
      <c r="C7171" s="561" t="s">
        <v>1267</v>
      </c>
      <c r="D7171" s="561">
        <v>56240.000151762491</v>
      </c>
      <c r="E7171" s="561">
        <v>11520</v>
      </c>
      <c r="F7171" s="561">
        <v>44720</v>
      </c>
      <c r="G7171" s="561">
        <v>3218</v>
      </c>
      <c r="H7171" s="561">
        <v>57799.693291762494</v>
      </c>
      <c r="I7171" s="561">
        <v>382</v>
      </c>
      <c r="J7171" s="561">
        <v>1469.6055299999998</v>
      </c>
      <c r="K7171" s="561">
        <v>3080</v>
      </c>
      <c r="L7171" s="561">
        <v>56240.000151762491</v>
      </c>
      <c r="M7171" s="561">
        <v>56240.000151762491</v>
      </c>
      <c r="N7171" s="561">
        <v>11520</v>
      </c>
      <c r="O7171" s="561">
        <v>0</v>
      </c>
      <c r="P7171" s="561">
        <v>44720.000151762491</v>
      </c>
    </row>
    <row r="7172" spans="1:16">
      <c r="C7172" s="561" t="s">
        <v>1199</v>
      </c>
      <c r="D7172" s="561">
        <v>56240.000151762491</v>
      </c>
      <c r="E7172" s="561">
        <v>11520</v>
      </c>
      <c r="F7172" s="561">
        <v>44720</v>
      </c>
      <c r="G7172" s="561">
        <v>3218</v>
      </c>
      <c r="H7172" s="561">
        <v>57799.693291762494</v>
      </c>
      <c r="I7172" s="561">
        <v>382</v>
      </c>
      <c r="J7172" s="561">
        <v>1469.6055299999998</v>
      </c>
      <c r="K7172" s="561">
        <v>3080</v>
      </c>
      <c r="L7172" s="561">
        <v>56240.000151762491</v>
      </c>
      <c r="M7172" s="561">
        <v>56240.000151762491</v>
      </c>
      <c r="N7172" s="561">
        <v>11520</v>
      </c>
      <c r="P7172" s="561">
        <v>44720.000151762491</v>
      </c>
    </row>
    <row r="7173" spans="1:16">
      <c r="A7173" s="561">
        <v>39</v>
      </c>
      <c r="B7173" s="561" t="s">
        <v>1866</v>
      </c>
      <c r="C7173" s="561" t="s">
        <v>1267</v>
      </c>
      <c r="D7173" s="561">
        <v>14683.699902639</v>
      </c>
      <c r="E7173" s="561">
        <v>3600</v>
      </c>
      <c r="F7173" s="561">
        <v>11083.7</v>
      </c>
      <c r="G7173" s="561">
        <v>996</v>
      </c>
      <c r="H7173" s="561">
        <v>14827.077132639</v>
      </c>
      <c r="I7173" s="561">
        <v>17</v>
      </c>
      <c r="J7173" s="561">
        <v>143.37732000000022</v>
      </c>
      <c r="K7173" s="561">
        <v>992</v>
      </c>
      <c r="L7173" s="561">
        <v>14683.699902639</v>
      </c>
      <c r="M7173" s="561">
        <v>14683.699902639</v>
      </c>
      <c r="N7173" s="561">
        <v>3600</v>
      </c>
      <c r="O7173" s="561">
        <v>0</v>
      </c>
      <c r="P7173" s="561">
        <v>11083.699902639</v>
      </c>
    </row>
    <row r="7174" spans="1:16">
      <c r="C7174" s="561" t="s">
        <v>1199</v>
      </c>
      <c r="D7174" s="561">
        <v>14683.699902639</v>
      </c>
      <c r="E7174" s="561">
        <v>3600</v>
      </c>
      <c r="F7174" s="561">
        <v>11083.7</v>
      </c>
      <c r="G7174" s="561">
        <v>996</v>
      </c>
      <c r="H7174" s="561">
        <v>14827.077132639</v>
      </c>
      <c r="I7174" s="561">
        <v>17</v>
      </c>
      <c r="J7174" s="561">
        <v>143.37732000000022</v>
      </c>
      <c r="K7174" s="561">
        <v>992</v>
      </c>
      <c r="L7174" s="561">
        <v>14683.699902639</v>
      </c>
      <c r="M7174" s="561">
        <v>14683.699902639</v>
      </c>
      <c r="N7174" s="561">
        <v>3600</v>
      </c>
      <c r="P7174" s="561">
        <v>11083.699902639</v>
      </c>
    </row>
    <row r="7175" spans="1:16">
      <c r="A7175" s="561">
        <v>40</v>
      </c>
      <c r="B7175" s="561" t="s">
        <v>1867</v>
      </c>
      <c r="C7175" s="561" t="s">
        <v>1267</v>
      </c>
      <c r="D7175" s="561">
        <v>18033.999848924501</v>
      </c>
      <c r="E7175" s="561">
        <v>4050</v>
      </c>
      <c r="F7175" s="561">
        <v>13984</v>
      </c>
      <c r="G7175" s="561">
        <v>315</v>
      </c>
      <c r="H7175" s="561">
        <v>18053.340848924501</v>
      </c>
      <c r="I7175" s="561">
        <v>1</v>
      </c>
      <c r="J7175" s="561">
        <v>19.340969999999963</v>
      </c>
      <c r="K7175" s="561">
        <v>314</v>
      </c>
      <c r="L7175" s="561">
        <v>18033.999848924501</v>
      </c>
      <c r="M7175" s="561">
        <v>18033.999848924501</v>
      </c>
      <c r="N7175" s="561">
        <v>4050</v>
      </c>
      <c r="O7175" s="561">
        <v>0</v>
      </c>
      <c r="P7175" s="561">
        <v>13983.999848924501</v>
      </c>
    </row>
    <row r="7176" spans="1:16">
      <c r="C7176" s="561" t="s">
        <v>1199</v>
      </c>
      <c r="D7176" s="561">
        <v>18033.999848924501</v>
      </c>
      <c r="E7176" s="561">
        <v>4050</v>
      </c>
      <c r="F7176" s="561">
        <v>13984</v>
      </c>
      <c r="G7176" s="561">
        <v>315</v>
      </c>
      <c r="H7176" s="561">
        <v>18053.340848924501</v>
      </c>
      <c r="I7176" s="561">
        <v>1</v>
      </c>
      <c r="J7176" s="561">
        <v>19.340969999999963</v>
      </c>
      <c r="K7176" s="561">
        <v>314</v>
      </c>
      <c r="L7176" s="561">
        <v>18033.999848924501</v>
      </c>
      <c r="M7176" s="561">
        <v>18033.999848924501</v>
      </c>
      <c r="N7176" s="561">
        <v>4050</v>
      </c>
      <c r="P7176" s="561">
        <v>13983.999848924501</v>
      </c>
    </row>
    <row r="7177" spans="1:16">
      <c r="A7177" s="561">
        <v>41</v>
      </c>
      <c r="B7177" s="561" t="s">
        <v>1868</v>
      </c>
      <c r="C7177" s="561" t="s">
        <v>1267</v>
      </c>
      <c r="D7177" s="561">
        <v>52787.074989999994</v>
      </c>
      <c r="E7177" s="561">
        <v>12260.699999999997</v>
      </c>
      <c r="F7177" s="561">
        <v>40526.375000000007</v>
      </c>
      <c r="G7177" s="561">
        <v>194</v>
      </c>
      <c r="H7177" s="561">
        <v>53168.949029999996</v>
      </c>
      <c r="I7177" s="561">
        <v>1</v>
      </c>
      <c r="J7177" s="561">
        <v>381.87399999999968</v>
      </c>
      <c r="K7177" s="561">
        <v>193</v>
      </c>
      <c r="L7177" s="561">
        <v>52787.074989999994</v>
      </c>
      <c r="M7177" s="561">
        <v>52787.074989999994</v>
      </c>
      <c r="N7177" s="561">
        <v>12260.699999999997</v>
      </c>
      <c r="O7177" s="561">
        <v>0</v>
      </c>
      <c r="P7177" s="561">
        <v>40526.374989999997</v>
      </c>
    </row>
    <row r="7178" spans="1:16">
      <c r="C7178" s="561" t="s">
        <v>1199</v>
      </c>
      <c r="D7178" s="561">
        <v>52787.074989999994</v>
      </c>
      <c r="E7178" s="561">
        <v>12260.699999999997</v>
      </c>
      <c r="F7178" s="561">
        <v>40526.375000000007</v>
      </c>
      <c r="G7178" s="561">
        <v>194</v>
      </c>
      <c r="H7178" s="561">
        <v>53168.949029999996</v>
      </c>
      <c r="I7178" s="561">
        <v>1</v>
      </c>
      <c r="J7178" s="561">
        <v>381.87399999999968</v>
      </c>
      <c r="K7178" s="561">
        <v>193</v>
      </c>
      <c r="L7178" s="561">
        <v>52787.074989999994</v>
      </c>
      <c r="M7178" s="561">
        <v>52787.074989999994</v>
      </c>
      <c r="N7178" s="561">
        <v>12260.699999999997</v>
      </c>
      <c r="P7178" s="561">
        <v>40526.374989999997</v>
      </c>
    </row>
    <row r="7179" spans="1:16">
      <c r="A7179" s="561">
        <v>42</v>
      </c>
      <c r="B7179" s="561" t="s">
        <v>1869</v>
      </c>
      <c r="C7179" s="561" t="s">
        <v>1267</v>
      </c>
      <c r="D7179" s="561">
        <v>5154.7998178289999</v>
      </c>
      <c r="E7179" s="561">
        <v>1259.9999999999998</v>
      </c>
      <c r="F7179" s="561">
        <v>3894.8</v>
      </c>
      <c r="G7179" s="561">
        <v>386</v>
      </c>
      <c r="H7179" s="561">
        <v>6271.4789078290005</v>
      </c>
      <c r="I7179" s="561">
        <v>32</v>
      </c>
      <c r="J7179" s="561">
        <v>861.06573000000003</v>
      </c>
      <c r="K7179" s="561">
        <v>363</v>
      </c>
      <c r="L7179" s="561">
        <v>5154.7998178289999</v>
      </c>
      <c r="M7179" s="561">
        <v>5154.7998178289999</v>
      </c>
      <c r="N7179" s="561">
        <v>1259.9999999999998</v>
      </c>
      <c r="O7179" s="561">
        <v>0</v>
      </c>
      <c r="P7179" s="561">
        <v>3894.7998178289999</v>
      </c>
    </row>
    <row r="7180" spans="1:16">
      <c r="C7180" s="561" t="s">
        <v>1199</v>
      </c>
      <c r="D7180" s="561">
        <v>5154.7998178289999</v>
      </c>
      <c r="E7180" s="561">
        <v>1259.9999999999998</v>
      </c>
      <c r="F7180" s="561">
        <v>3894.8</v>
      </c>
      <c r="G7180" s="561">
        <v>386</v>
      </c>
      <c r="H7180" s="561">
        <v>6271.4789078290005</v>
      </c>
      <c r="I7180" s="561">
        <v>32</v>
      </c>
      <c r="J7180" s="561">
        <v>861.06573000000003</v>
      </c>
      <c r="K7180" s="561">
        <v>363</v>
      </c>
      <c r="L7180" s="561">
        <v>5154.7998178289999</v>
      </c>
      <c r="M7180" s="561">
        <v>5154.7998178289999</v>
      </c>
      <c r="N7180" s="561">
        <v>1259.9999999999998</v>
      </c>
      <c r="P7180" s="561">
        <v>3894.7998178289999</v>
      </c>
    </row>
    <row r="7181" spans="1:16">
      <c r="A7181" s="561">
        <v>43</v>
      </c>
      <c r="B7181" s="561" t="s">
        <v>1870</v>
      </c>
      <c r="C7181" s="561" t="s">
        <v>1267</v>
      </c>
      <c r="D7181" s="561">
        <v>3734.999619417667</v>
      </c>
      <c r="E7181" s="561">
        <v>1079.9999999999998</v>
      </c>
      <c r="F7181" s="561">
        <v>2655</v>
      </c>
      <c r="G7181" s="561">
        <v>448</v>
      </c>
      <c r="H7181" s="561">
        <v>4628.362609417667</v>
      </c>
      <c r="I7181" s="561">
        <v>7</v>
      </c>
      <c r="J7181" s="561">
        <v>893.36339999999996</v>
      </c>
      <c r="K7181" s="561">
        <v>446</v>
      </c>
      <c r="L7181" s="561">
        <v>3734.999619417667</v>
      </c>
      <c r="M7181" s="561">
        <v>3734.999619417667</v>
      </c>
      <c r="N7181" s="561">
        <v>1079.9999999999998</v>
      </c>
      <c r="O7181" s="561">
        <v>0</v>
      </c>
      <c r="P7181" s="561">
        <v>2654.9996194176674</v>
      </c>
    </row>
    <row r="7182" spans="1:16">
      <c r="C7182" s="561" t="s">
        <v>1199</v>
      </c>
      <c r="D7182" s="561">
        <v>3734.999619417667</v>
      </c>
      <c r="E7182" s="561">
        <v>1079.9999999999998</v>
      </c>
      <c r="F7182" s="561">
        <v>2655</v>
      </c>
      <c r="G7182" s="561">
        <v>448</v>
      </c>
      <c r="H7182" s="561">
        <v>4628.362609417667</v>
      </c>
      <c r="I7182" s="561">
        <v>7</v>
      </c>
      <c r="J7182" s="561">
        <v>893.36339999999996</v>
      </c>
      <c r="K7182" s="561">
        <v>446</v>
      </c>
      <c r="L7182" s="561">
        <v>3734.999619417667</v>
      </c>
      <c r="M7182" s="561">
        <v>3734.999619417667</v>
      </c>
      <c r="N7182" s="561">
        <v>1079.9999999999998</v>
      </c>
      <c r="P7182" s="561">
        <v>2654.9996194176674</v>
      </c>
    </row>
    <row r="7183" spans="1:16">
      <c r="A7183" s="561">
        <v>44</v>
      </c>
      <c r="B7183" s="561" t="s">
        <v>1871</v>
      </c>
      <c r="C7183" s="561" t="s">
        <v>1267</v>
      </c>
      <c r="D7183" s="561">
        <v>6709.1002482155</v>
      </c>
      <c r="E7183" s="561">
        <v>1800</v>
      </c>
      <c r="F7183" s="561">
        <v>4909.1000000000004</v>
      </c>
      <c r="G7183" s="561">
        <v>500</v>
      </c>
      <c r="H7183" s="561">
        <v>7245.5197182154989</v>
      </c>
      <c r="I7183" s="561">
        <v>22</v>
      </c>
      <c r="J7183" s="561">
        <v>333.14837999999997</v>
      </c>
      <c r="K7183" s="561">
        <v>482</v>
      </c>
      <c r="L7183" s="561">
        <v>6709.1002482155</v>
      </c>
      <c r="M7183" s="561">
        <v>6709.1002482155</v>
      </c>
      <c r="N7183" s="561">
        <v>1800</v>
      </c>
      <c r="O7183" s="561">
        <v>0</v>
      </c>
      <c r="P7183" s="561">
        <v>4909.1002482155</v>
      </c>
    </row>
    <row r="7184" spans="1:16">
      <c r="C7184" s="561" t="s">
        <v>1199</v>
      </c>
      <c r="D7184" s="561">
        <v>6709.1002482155</v>
      </c>
      <c r="E7184" s="561">
        <v>1800</v>
      </c>
      <c r="F7184" s="561">
        <v>4909.1000000000004</v>
      </c>
      <c r="G7184" s="561">
        <v>500</v>
      </c>
      <c r="H7184" s="561">
        <v>7245.5197182154989</v>
      </c>
      <c r="I7184" s="561">
        <v>22</v>
      </c>
      <c r="J7184" s="561">
        <v>333.14837999999997</v>
      </c>
      <c r="K7184" s="561">
        <v>482</v>
      </c>
      <c r="L7184" s="561">
        <v>6709.1002482155</v>
      </c>
      <c r="M7184" s="561">
        <v>6709.1002482155</v>
      </c>
      <c r="N7184" s="561">
        <v>1800</v>
      </c>
      <c r="P7184" s="561">
        <v>4909.1002482155</v>
      </c>
    </row>
    <row r="7185" spans="1:16">
      <c r="B7185" s="561" t="s">
        <v>1872</v>
      </c>
      <c r="D7185" s="561">
        <v>625508.62330500165</v>
      </c>
      <c r="E7185" s="561">
        <v>154763.99999999997</v>
      </c>
      <c r="F7185" s="561">
        <v>470744.62319500174</v>
      </c>
      <c r="G7185" s="561">
        <v>14175</v>
      </c>
      <c r="H7185" s="561">
        <v>690184.68749500159</v>
      </c>
      <c r="I7185" s="561">
        <v>1595</v>
      </c>
      <c r="J7185" s="561">
        <v>67516.627189999999</v>
      </c>
      <c r="K7185" s="561">
        <v>13994</v>
      </c>
      <c r="L7185" s="561">
        <v>625508.62330500165</v>
      </c>
      <c r="M7185" s="561">
        <v>625508.62330500165</v>
      </c>
      <c r="N7185" s="561">
        <v>154763.99999999997</v>
      </c>
      <c r="O7185" s="561">
        <v>0</v>
      </c>
      <c r="P7185" s="561">
        <v>470744.6233050017</v>
      </c>
    </row>
    <row r="7186" spans="1:16">
      <c r="A7186" s="561">
        <v>45</v>
      </c>
      <c r="B7186" s="561" t="s">
        <v>1873</v>
      </c>
      <c r="C7186" s="561" t="s">
        <v>1267</v>
      </c>
      <c r="D7186" s="561">
        <v>511794.947278757</v>
      </c>
      <c r="E7186" s="561">
        <v>125993.99999999997</v>
      </c>
      <c r="F7186" s="561">
        <v>385800.94743875711</v>
      </c>
      <c r="G7186" s="561">
        <v>9469</v>
      </c>
      <c r="H7186" s="561">
        <v>565815.42485875706</v>
      </c>
      <c r="I7186" s="561">
        <v>1223</v>
      </c>
      <c r="J7186" s="561">
        <v>56762.05689</v>
      </c>
      <c r="K7186" s="561">
        <v>9405</v>
      </c>
      <c r="L7186" s="561">
        <v>511794.947278757</v>
      </c>
      <c r="M7186" s="561">
        <v>511794.947278757</v>
      </c>
      <c r="N7186" s="561">
        <v>125993.99999999997</v>
      </c>
      <c r="O7186" s="561">
        <v>0</v>
      </c>
      <c r="P7186" s="561">
        <v>385800.94727875706</v>
      </c>
    </row>
    <row r="7187" spans="1:16">
      <c r="C7187" s="561" t="s">
        <v>1197</v>
      </c>
      <c r="D7187" s="561">
        <v>470917.25238132873</v>
      </c>
      <c r="E7187" s="561">
        <v>119337.59999999998</v>
      </c>
      <c r="F7187" s="561">
        <v>351579.65276132879</v>
      </c>
      <c r="G7187" s="561">
        <v>6988</v>
      </c>
      <c r="H7187" s="561">
        <v>524048.22984132881</v>
      </c>
      <c r="I7187" s="561">
        <v>1140</v>
      </c>
      <c r="J7187" s="561">
        <v>56162.694880000003</v>
      </c>
      <c r="K7187" s="561">
        <v>6929</v>
      </c>
      <c r="L7187" s="561">
        <v>470917.25238132873</v>
      </c>
      <c r="M7187" s="561">
        <v>470917.25238132873</v>
      </c>
      <c r="N7187" s="561">
        <v>119337.59999999998</v>
      </c>
    </row>
    <row r="7188" spans="1:16">
      <c r="C7188" s="561" t="s">
        <v>1199</v>
      </c>
      <c r="D7188" s="561">
        <v>40877.6948974283</v>
      </c>
      <c r="E7188" s="561">
        <v>6656.4000000000005</v>
      </c>
      <c r="F7188" s="561">
        <v>34221.294677428305</v>
      </c>
      <c r="G7188" s="561">
        <v>2481</v>
      </c>
      <c r="H7188" s="561">
        <v>41767.195017428305</v>
      </c>
      <c r="I7188" s="561">
        <v>83</v>
      </c>
      <c r="J7188" s="561">
        <v>599.36201000000051</v>
      </c>
      <c r="K7188" s="561">
        <v>2476</v>
      </c>
      <c r="L7188" s="561">
        <v>40877.6948974283</v>
      </c>
      <c r="M7188" s="561">
        <v>40877.6948974283</v>
      </c>
      <c r="N7188" s="561">
        <v>6656.4000000000005</v>
      </c>
      <c r="P7188" s="561">
        <v>34221.294897428299</v>
      </c>
    </row>
    <row r="7189" spans="1:16">
      <c r="A7189" s="561">
        <v>46</v>
      </c>
      <c r="B7189" s="561" t="s">
        <v>1874</v>
      </c>
      <c r="C7189" s="561" t="s">
        <v>1267</v>
      </c>
      <c r="D7189" s="561">
        <v>69723.976076244624</v>
      </c>
      <c r="E7189" s="561">
        <v>18232.799999999996</v>
      </c>
      <c r="F7189" s="561">
        <v>51491.175756244607</v>
      </c>
      <c r="G7189" s="561">
        <v>1701</v>
      </c>
      <c r="H7189" s="561">
        <v>75377.255196244601</v>
      </c>
      <c r="I7189" s="561">
        <v>165</v>
      </c>
      <c r="J7189" s="561">
        <v>5734.8821400000015</v>
      </c>
      <c r="K7189" s="561">
        <v>1657</v>
      </c>
      <c r="L7189" s="561">
        <v>69723.976076244624</v>
      </c>
      <c r="M7189" s="561">
        <v>69723.976076244624</v>
      </c>
      <c r="N7189" s="561">
        <v>18232.799999999996</v>
      </c>
      <c r="O7189" s="561">
        <v>0</v>
      </c>
      <c r="P7189" s="561">
        <v>51491.176076244628</v>
      </c>
    </row>
    <row r="7190" spans="1:16">
      <c r="C7190" s="561" t="s">
        <v>1197</v>
      </c>
      <c r="D7190" s="561">
        <v>59254.359573920046</v>
      </c>
      <c r="E7190" s="561">
        <v>15809.999999999995</v>
      </c>
      <c r="F7190" s="561">
        <v>43444.360023920039</v>
      </c>
      <c r="G7190" s="561">
        <v>970</v>
      </c>
      <c r="H7190" s="561">
        <v>64777.375763920034</v>
      </c>
      <c r="I7190" s="561">
        <v>125</v>
      </c>
      <c r="J7190" s="561">
        <v>5530.8241900000012</v>
      </c>
      <c r="K7190" s="561">
        <v>927</v>
      </c>
      <c r="L7190" s="561">
        <v>59254.359573920046</v>
      </c>
      <c r="M7190" s="561">
        <v>59254.359573920046</v>
      </c>
      <c r="N7190" s="561">
        <v>15809.999999999995</v>
      </c>
    </row>
    <row r="7191" spans="1:16">
      <c r="C7191" s="561" t="s">
        <v>1199</v>
      </c>
      <c r="D7191" s="561">
        <v>10469.616502324572</v>
      </c>
      <c r="E7191" s="561">
        <v>2422.7999999999997</v>
      </c>
      <c r="F7191" s="561">
        <v>8046.8157323245714</v>
      </c>
      <c r="G7191" s="561">
        <v>731</v>
      </c>
      <c r="H7191" s="561">
        <v>10599.879432324575</v>
      </c>
      <c r="I7191" s="561">
        <v>40</v>
      </c>
      <c r="J7191" s="561">
        <v>204.05794999999989</v>
      </c>
      <c r="K7191" s="561">
        <v>730</v>
      </c>
      <c r="L7191" s="561">
        <v>10469.616502324572</v>
      </c>
      <c r="M7191" s="561">
        <v>10469.616502324572</v>
      </c>
      <c r="N7191" s="561">
        <v>2422.7999999999997</v>
      </c>
      <c r="P7191" s="561">
        <v>8046.8165023245729</v>
      </c>
    </row>
    <row r="7192" spans="1:16">
      <c r="A7192" s="561">
        <v>47</v>
      </c>
      <c r="B7192" s="561" t="s">
        <v>1875</v>
      </c>
      <c r="C7192" s="561" t="s">
        <v>1267</v>
      </c>
      <c r="D7192" s="561">
        <v>43989.699950000009</v>
      </c>
      <c r="E7192" s="561">
        <v>10537.199999999999</v>
      </c>
      <c r="F7192" s="561">
        <v>33452.500000000007</v>
      </c>
      <c r="G7192" s="561">
        <v>3005</v>
      </c>
      <c r="H7192" s="561">
        <v>48992.007439999994</v>
      </c>
      <c r="I7192" s="561">
        <v>207</v>
      </c>
      <c r="J7192" s="561">
        <v>5019.6881599999997</v>
      </c>
      <c r="K7192" s="561">
        <v>2932</v>
      </c>
      <c r="L7192" s="561">
        <v>43989.699950000009</v>
      </c>
      <c r="M7192" s="561">
        <v>43989.699950000009</v>
      </c>
      <c r="N7192" s="561">
        <v>10537.199999999999</v>
      </c>
      <c r="O7192" s="561">
        <v>0</v>
      </c>
      <c r="P7192" s="561">
        <v>33452.499950000012</v>
      </c>
    </row>
    <row r="7193" spans="1:16">
      <c r="C7193" s="561" t="s">
        <v>1199</v>
      </c>
      <c r="D7193" s="561">
        <v>43989.699950000009</v>
      </c>
      <c r="E7193" s="561">
        <v>10537.199999999999</v>
      </c>
      <c r="F7193" s="561">
        <v>33452.500000000007</v>
      </c>
      <c r="G7193" s="561">
        <v>3005</v>
      </c>
      <c r="H7193" s="561">
        <v>48992.007439999994</v>
      </c>
      <c r="I7193" s="561">
        <v>207</v>
      </c>
      <c r="J7193" s="561">
        <v>5019.6881599999997</v>
      </c>
      <c r="K7193" s="561">
        <v>2932</v>
      </c>
      <c r="L7193" s="561">
        <v>43989.699950000009</v>
      </c>
      <c r="M7193" s="561">
        <v>43989.699950000009</v>
      </c>
      <c r="N7193" s="561">
        <v>10537.199999999999</v>
      </c>
      <c r="P7193" s="561">
        <v>33452.499950000012</v>
      </c>
    </row>
    <row r="7194" spans="1:16">
      <c r="B7194" s="561" t="s">
        <v>1876</v>
      </c>
      <c r="D7194" s="561">
        <v>403099.60660308471</v>
      </c>
      <c r="E7194" s="561">
        <v>103705.19999999998</v>
      </c>
      <c r="F7194" s="561">
        <v>299394.40668052901</v>
      </c>
      <c r="G7194" s="561">
        <v>8945</v>
      </c>
      <c r="H7194" s="561">
        <v>433771.49604962143</v>
      </c>
      <c r="I7194" s="561">
        <v>740</v>
      </c>
      <c r="J7194" s="561">
        <v>31307.551309999999</v>
      </c>
      <c r="K7194" s="561">
        <v>8861</v>
      </c>
      <c r="L7194" s="561">
        <v>403099.60660308471</v>
      </c>
      <c r="M7194" s="561">
        <v>403099.60660308471</v>
      </c>
      <c r="N7194" s="561">
        <v>103705.19999999998</v>
      </c>
      <c r="O7194" s="561">
        <v>0</v>
      </c>
      <c r="P7194" s="561">
        <v>299394.4066030847</v>
      </c>
    </row>
    <row r="7195" spans="1:16">
      <c r="A7195" s="561">
        <v>48</v>
      </c>
      <c r="B7195" s="561" t="s">
        <v>1877</v>
      </c>
      <c r="C7195" s="561" t="s">
        <v>1267</v>
      </c>
      <c r="D7195" s="561">
        <v>384603.65368052904</v>
      </c>
      <c r="E7195" s="561">
        <v>98305.199999999983</v>
      </c>
      <c r="F7195" s="561">
        <v>286298.45368052903</v>
      </c>
      <c r="G7195" s="561">
        <v>7620</v>
      </c>
      <c r="H7195" s="561">
        <v>413981.24747706577</v>
      </c>
      <c r="I7195" s="561">
        <v>655</v>
      </c>
      <c r="J7195" s="561">
        <v>29914.496589999999</v>
      </c>
      <c r="K7195" s="561">
        <v>7554</v>
      </c>
      <c r="L7195" s="561">
        <v>384603.65368052904</v>
      </c>
      <c r="M7195" s="561">
        <v>384603.65368052904</v>
      </c>
      <c r="N7195" s="561">
        <v>98305.199999999983</v>
      </c>
      <c r="O7195" s="561">
        <v>0</v>
      </c>
      <c r="P7195" s="561">
        <v>286298.45368052903</v>
      </c>
    </row>
    <row r="7196" spans="1:16">
      <c r="C7196" s="561" t="s">
        <v>1197</v>
      </c>
      <c r="D7196" s="561">
        <v>355646.66685719573</v>
      </c>
      <c r="E7196" s="561">
        <v>92545.199999999983</v>
      </c>
      <c r="F7196" s="561">
        <v>263101.46685719572</v>
      </c>
      <c r="G7196" s="561">
        <v>5705</v>
      </c>
      <c r="H7196" s="561">
        <v>384320.89902719582</v>
      </c>
      <c r="I7196" s="561">
        <v>565</v>
      </c>
      <c r="J7196" s="561">
        <v>29278.515309999999</v>
      </c>
      <c r="K7196" s="561">
        <v>5649</v>
      </c>
      <c r="L7196" s="561">
        <v>355646.66685719573</v>
      </c>
      <c r="M7196" s="561">
        <v>355646.66685719573</v>
      </c>
      <c r="N7196" s="561">
        <v>92545.199999999983</v>
      </c>
    </row>
    <row r="7197" spans="1:16">
      <c r="C7197" s="561" t="s">
        <v>1199</v>
      </c>
      <c r="D7197" s="561">
        <v>28956.986823333333</v>
      </c>
      <c r="E7197" s="561">
        <v>5760</v>
      </c>
      <c r="F7197" s="561">
        <v>23196.986823333333</v>
      </c>
      <c r="G7197" s="561">
        <v>1915</v>
      </c>
      <c r="H7197" s="561">
        <v>29660.348449869925</v>
      </c>
      <c r="I7197" s="561">
        <v>90</v>
      </c>
      <c r="J7197" s="561">
        <v>635.98127999999951</v>
      </c>
      <c r="K7197" s="561">
        <v>1905</v>
      </c>
      <c r="L7197" s="561">
        <v>28956.986823333333</v>
      </c>
      <c r="M7197" s="561">
        <v>28956.986823333333</v>
      </c>
      <c r="N7197" s="561">
        <v>5760</v>
      </c>
      <c r="P7197" s="561">
        <v>23196.986823333333</v>
      </c>
    </row>
    <row r="7198" spans="1:16">
      <c r="A7198" s="561">
        <v>49</v>
      </c>
      <c r="B7198" s="561" t="s">
        <v>1878</v>
      </c>
      <c r="C7198" s="561" t="s">
        <v>1267</v>
      </c>
      <c r="D7198" s="561">
        <v>18495.952922555673</v>
      </c>
      <c r="E7198" s="561">
        <v>5399.9999999999991</v>
      </c>
      <c r="F7198" s="561">
        <v>13095.953000000003</v>
      </c>
      <c r="G7198" s="561">
        <v>1325</v>
      </c>
      <c r="H7198" s="561">
        <v>19790.248572555676</v>
      </c>
      <c r="I7198" s="561">
        <v>85</v>
      </c>
      <c r="J7198" s="561">
        <v>1393.0547199999999</v>
      </c>
      <c r="K7198" s="561">
        <v>1307</v>
      </c>
      <c r="L7198" s="561">
        <v>18495.952922555673</v>
      </c>
      <c r="M7198" s="561">
        <v>18495.952922555673</v>
      </c>
      <c r="N7198" s="561">
        <v>5399.9999999999991</v>
      </c>
      <c r="O7198" s="561">
        <v>0</v>
      </c>
      <c r="P7198" s="561">
        <v>13095.952922555673</v>
      </c>
    </row>
    <row r="7199" spans="1:16">
      <c r="C7199" s="561" t="s">
        <v>1199</v>
      </c>
      <c r="D7199" s="561">
        <v>18495.952922555673</v>
      </c>
      <c r="E7199" s="561">
        <v>5399.9999999999991</v>
      </c>
      <c r="F7199" s="561">
        <v>13095.953000000003</v>
      </c>
      <c r="G7199" s="561">
        <v>1325</v>
      </c>
      <c r="H7199" s="561">
        <v>19790.248572555676</v>
      </c>
      <c r="I7199" s="561">
        <v>85</v>
      </c>
      <c r="J7199" s="561">
        <v>1393.0547199999999</v>
      </c>
      <c r="K7199" s="561">
        <v>1307</v>
      </c>
      <c r="L7199" s="561">
        <v>18495.952922555673</v>
      </c>
      <c r="M7199" s="561">
        <v>18495.952922555673</v>
      </c>
      <c r="N7199" s="561">
        <v>5399.9999999999991</v>
      </c>
      <c r="P7199" s="561">
        <v>13095.952922555673</v>
      </c>
    </row>
    <row r="7200" spans="1:16">
      <c r="B7200" s="561" t="s">
        <v>1879</v>
      </c>
      <c r="D7200" s="561">
        <v>536375.36543437548</v>
      </c>
      <c r="E7200" s="561">
        <v>158691.6</v>
      </c>
      <c r="F7200" s="561">
        <v>377683.76543433149</v>
      </c>
      <c r="G7200" s="561">
        <v>12778</v>
      </c>
      <c r="H7200" s="561">
        <v>595581.53658770875</v>
      </c>
      <c r="I7200" s="561">
        <v>1680</v>
      </c>
      <c r="J7200" s="561">
        <v>63119.813120000006</v>
      </c>
      <c r="K7200" s="561">
        <v>12662</v>
      </c>
      <c r="L7200" s="561">
        <v>536375.36543437548</v>
      </c>
      <c r="M7200" s="561">
        <v>536375.36543437548</v>
      </c>
      <c r="N7200" s="561">
        <v>158691.6</v>
      </c>
      <c r="O7200" s="561">
        <v>0</v>
      </c>
      <c r="P7200" s="561">
        <v>377683.76543437544</v>
      </c>
    </row>
    <row r="7201" spans="1:16">
      <c r="A7201" s="561">
        <v>50</v>
      </c>
      <c r="B7201" s="561" t="s">
        <v>1880</v>
      </c>
      <c r="C7201" s="561" t="s">
        <v>1267</v>
      </c>
      <c r="D7201" s="561">
        <v>503621.46509099816</v>
      </c>
      <c r="E7201" s="561">
        <v>149691.6</v>
      </c>
      <c r="F7201" s="561">
        <v>353929.86543433147</v>
      </c>
      <c r="G7201" s="561">
        <v>10255</v>
      </c>
      <c r="H7201" s="561">
        <v>561769.92022433144</v>
      </c>
      <c r="I7201" s="561">
        <v>1452</v>
      </c>
      <c r="J7201" s="561">
        <v>61880.017370000009</v>
      </c>
      <c r="K7201" s="561">
        <v>10150</v>
      </c>
      <c r="L7201" s="561">
        <v>503621.46509099816</v>
      </c>
      <c r="M7201" s="561">
        <v>503621.46509099816</v>
      </c>
      <c r="N7201" s="561">
        <v>149691.6</v>
      </c>
      <c r="O7201" s="561">
        <v>0</v>
      </c>
      <c r="P7201" s="561">
        <v>353929.86509099818</v>
      </c>
    </row>
    <row r="7202" spans="1:16">
      <c r="C7202" s="561" t="s">
        <v>1197</v>
      </c>
      <c r="D7202" s="561">
        <v>477042.10446256201</v>
      </c>
      <c r="E7202" s="561">
        <v>143571.6</v>
      </c>
      <c r="F7202" s="561">
        <v>333470.50439256197</v>
      </c>
      <c r="G7202" s="561">
        <v>8492</v>
      </c>
      <c r="H7202" s="561">
        <v>534536.44487256196</v>
      </c>
      <c r="I7202" s="561">
        <v>1367</v>
      </c>
      <c r="J7202" s="561">
        <v>61382.058540000005</v>
      </c>
      <c r="K7202" s="561">
        <v>8388</v>
      </c>
      <c r="L7202" s="561">
        <v>477042.10446256201</v>
      </c>
      <c r="M7202" s="561">
        <v>477042.10446256201</v>
      </c>
      <c r="N7202" s="561">
        <v>143571.6</v>
      </c>
    </row>
    <row r="7203" spans="1:16">
      <c r="C7203" s="561" t="s">
        <v>1199</v>
      </c>
      <c r="D7203" s="561">
        <v>26579.360628436159</v>
      </c>
      <c r="E7203" s="561">
        <v>6120</v>
      </c>
      <c r="F7203" s="561">
        <v>20459.361041769491</v>
      </c>
      <c r="G7203" s="561">
        <v>1763</v>
      </c>
      <c r="H7203" s="561">
        <v>27233.475351769495</v>
      </c>
      <c r="I7203" s="561">
        <v>85</v>
      </c>
      <c r="J7203" s="561">
        <v>497.95882999999998</v>
      </c>
      <c r="K7203" s="561">
        <v>1762</v>
      </c>
      <c r="L7203" s="561">
        <v>26579.360628436159</v>
      </c>
      <c r="M7203" s="561">
        <v>26579.360628436159</v>
      </c>
      <c r="N7203" s="561">
        <v>6120</v>
      </c>
      <c r="P7203" s="561">
        <v>20459.360628436159</v>
      </c>
    </row>
    <row r="7204" spans="1:16">
      <c r="A7204" s="561">
        <v>51</v>
      </c>
      <c r="B7204" s="561" t="s">
        <v>1881</v>
      </c>
      <c r="C7204" s="561" t="s">
        <v>1267</v>
      </c>
      <c r="D7204" s="561">
        <v>32753.900343377278</v>
      </c>
      <c r="E7204" s="561">
        <v>9000</v>
      </c>
      <c r="F7204" s="561">
        <v>23753.9</v>
      </c>
      <c r="G7204" s="561">
        <v>2523</v>
      </c>
      <c r="H7204" s="561">
        <v>33811.616363377274</v>
      </c>
      <c r="I7204" s="561">
        <v>228</v>
      </c>
      <c r="J7204" s="561">
        <v>1239.7957499999993</v>
      </c>
      <c r="K7204" s="561">
        <v>2512</v>
      </c>
      <c r="L7204" s="561">
        <v>32753.900343377278</v>
      </c>
      <c r="M7204" s="561">
        <v>32753.900343377278</v>
      </c>
      <c r="N7204" s="561">
        <v>9000</v>
      </c>
      <c r="O7204" s="561">
        <v>0</v>
      </c>
      <c r="P7204" s="561">
        <v>23753.900343377278</v>
      </c>
    </row>
    <row r="7205" spans="1:16">
      <c r="C7205" s="561" t="s">
        <v>1199</v>
      </c>
      <c r="D7205" s="561">
        <v>32753.900343377278</v>
      </c>
      <c r="E7205" s="561">
        <v>9000</v>
      </c>
      <c r="F7205" s="561">
        <v>23753.9</v>
      </c>
      <c r="G7205" s="561">
        <v>2523</v>
      </c>
      <c r="H7205" s="561">
        <v>33811.616363377274</v>
      </c>
      <c r="I7205" s="561">
        <v>228</v>
      </c>
      <c r="J7205" s="561">
        <v>1239.7957499999993</v>
      </c>
      <c r="K7205" s="561">
        <v>2512</v>
      </c>
      <c r="L7205" s="561">
        <v>32753.900343377278</v>
      </c>
      <c r="M7205" s="561">
        <v>32753.900343377278</v>
      </c>
      <c r="N7205" s="561">
        <v>9000</v>
      </c>
      <c r="P7205" s="561">
        <v>23753.900343377278</v>
      </c>
    </row>
    <row r="7206" spans="1:16">
      <c r="B7206" s="561" t="s">
        <v>1882</v>
      </c>
      <c r="D7206" s="561">
        <v>1800424.7548271937</v>
      </c>
      <c r="E7206" s="561">
        <v>466025.29999999993</v>
      </c>
      <c r="F7206" s="561">
        <v>1334399.4543298071</v>
      </c>
      <c r="G7206" s="561">
        <v>39015</v>
      </c>
      <c r="H7206" s="561">
        <v>1983399.8036062317</v>
      </c>
      <c r="I7206" s="561">
        <v>4307</v>
      </c>
      <c r="J7206" s="561">
        <v>192626.26978000003</v>
      </c>
      <c r="K7206" s="561">
        <v>38602</v>
      </c>
      <c r="L7206" s="561">
        <v>1800424.7548271937</v>
      </c>
      <c r="M7206" s="561">
        <v>1800424.7548271937</v>
      </c>
      <c r="N7206" s="561">
        <v>466025.29999999993</v>
      </c>
      <c r="O7206" s="561">
        <v>0</v>
      </c>
      <c r="P7206" s="561">
        <v>1334399.4548271934</v>
      </c>
    </row>
    <row r="7207" spans="1:16">
      <c r="A7207" s="561">
        <v>52</v>
      </c>
      <c r="B7207" s="561" t="s">
        <v>1883</v>
      </c>
      <c r="C7207" s="561" t="s">
        <v>1267</v>
      </c>
      <c r="D7207" s="561">
        <v>695509.41255152435</v>
      </c>
      <c r="E7207" s="561">
        <v>177766.99999999997</v>
      </c>
      <c r="F7207" s="561">
        <v>517742.41237485758</v>
      </c>
      <c r="G7207" s="561">
        <v>12738</v>
      </c>
      <c r="H7207" s="561">
        <v>757974.15579224762</v>
      </c>
      <c r="I7207" s="561">
        <v>1469</v>
      </c>
      <c r="J7207" s="561">
        <v>66865.110209999999</v>
      </c>
      <c r="K7207" s="561">
        <v>12671</v>
      </c>
      <c r="L7207" s="561">
        <v>695509.41255152435</v>
      </c>
      <c r="M7207" s="561">
        <v>695509.41255152435</v>
      </c>
      <c r="N7207" s="561">
        <v>177766.99999999997</v>
      </c>
      <c r="O7207" s="561">
        <v>0</v>
      </c>
      <c r="P7207" s="561">
        <v>517742.41255152435</v>
      </c>
    </row>
    <row r="7208" spans="1:16">
      <c r="C7208" s="561" t="s">
        <v>1197</v>
      </c>
      <c r="D7208" s="561">
        <v>611068.70663485769</v>
      </c>
      <c r="E7208" s="561">
        <v>171427.49999999997</v>
      </c>
      <c r="F7208" s="561">
        <v>439641.20629485761</v>
      </c>
      <c r="G7208" s="561">
        <v>10031</v>
      </c>
      <c r="H7208" s="561">
        <v>672650.89645485766</v>
      </c>
      <c r="I7208" s="561">
        <v>1284</v>
      </c>
      <c r="J7208" s="561">
        <v>65845.460319999998</v>
      </c>
      <c r="K7208" s="561">
        <v>9965</v>
      </c>
      <c r="L7208" s="561">
        <v>611068.70663485769</v>
      </c>
      <c r="M7208" s="561">
        <v>611068.70663485769</v>
      </c>
      <c r="N7208" s="561">
        <v>171427.49999999997</v>
      </c>
    </row>
    <row r="7209" spans="1:16">
      <c r="C7209" s="561" t="s">
        <v>1199</v>
      </c>
      <c r="D7209" s="561">
        <v>84440.705916666673</v>
      </c>
      <c r="E7209" s="561">
        <v>6339.5</v>
      </c>
      <c r="F7209" s="561">
        <v>78101.206080000004</v>
      </c>
      <c r="G7209" s="561">
        <v>2707</v>
      </c>
      <c r="H7209" s="561">
        <v>85323.259337389987</v>
      </c>
      <c r="I7209" s="561">
        <v>185</v>
      </c>
      <c r="J7209" s="561">
        <v>1019.6498899999999</v>
      </c>
      <c r="K7209" s="561">
        <v>2706</v>
      </c>
      <c r="L7209" s="561">
        <v>84440.705916666673</v>
      </c>
      <c r="M7209" s="561">
        <v>84440.705916666673</v>
      </c>
      <c r="N7209" s="561">
        <v>6339.5</v>
      </c>
      <c r="P7209" s="561">
        <v>78101.205916666673</v>
      </c>
    </row>
    <row r="7210" spans="1:16">
      <c r="A7210" s="561">
        <v>53</v>
      </c>
      <c r="B7210" s="561" t="s">
        <v>1884</v>
      </c>
      <c r="C7210" s="561" t="s">
        <v>1267</v>
      </c>
      <c r="D7210" s="561">
        <v>459759.38433664263</v>
      </c>
      <c r="E7210" s="561">
        <v>115659.9</v>
      </c>
      <c r="F7210" s="561">
        <v>344099.48418664257</v>
      </c>
      <c r="G7210" s="561">
        <v>7955</v>
      </c>
      <c r="H7210" s="561">
        <v>494018.68016676552</v>
      </c>
      <c r="I7210" s="561">
        <v>884</v>
      </c>
      <c r="J7210" s="561">
        <v>38119.48621000001</v>
      </c>
      <c r="K7210" s="561">
        <v>7869</v>
      </c>
      <c r="L7210" s="561">
        <v>459759.38433664263</v>
      </c>
      <c r="M7210" s="561">
        <v>459759.38433664263</v>
      </c>
      <c r="N7210" s="561">
        <v>115659.9</v>
      </c>
      <c r="O7210" s="561">
        <v>0</v>
      </c>
      <c r="P7210" s="561">
        <v>344099.48433664261</v>
      </c>
    </row>
    <row r="7211" spans="1:16">
      <c r="C7211" s="561" t="s">
        <v>1197</v>
      </c>
      <c r="D7211" s="561">
        <v>443393.53154664265</v>
      </c>
      <c r="E7211" s="561">
        <v>110619.9</v>
      </c>
      <c r="F7211" s="561">
        <v>332773.63148664258</v>
      </c>
      <c r="G7211" s="561">
        <v>6960</v>
      </c>
      <c r="H7211" s="561">
        <v>477277.19971664267</v>
      </c>
      <c r="I7211" s="561">
        <v>862</v>
      </c>
      <c r="J7211" s="561">
        <v>37892.782690000007</v>
      </c>
      <c r="K7211" s="561">
        <v>6877</v>
      </c>
      <c r="L7211" s="561">
        <v>443393.53154664265</v>
      </c>
      <c r="M7211" s="561">
        <v>443393.53154664265</v>
      </c>
      <c r="N7211" s="561">
        <v>110619.9</v>
      </c>
    </row>
    <row r="7212" spans="1:16">
      <c r="C7212" s="561" t="s">
        <v>1199</v>
      </c>
      <c r="D7212" s="561">
        <v>16365.852789999999</v>
      </c>
      <c r="E7212" s="561">
        <v>5039.9999999999991</v>
      </c>
      <c r="F7212" s="561">
        <v>11325.852700000001</v>
      </c>
      <c r="G7212" s="561">
        <v>995</v>
      </c>
      <c r="H7212" s="561">
        <v>16741.480450122868</v>
      </c>
      <c r="I7212" s="561">
        <v>22</v>
      </c>
      <c r="J7212" s="561">
        <v>226.70351999999983</v>
      </c>
      <c r="K7212" s="561">
        <v>992</v>
      </c>
      <c r="L7212" s="561">
        <v>16365.852789999999</v>
      </c>
      <c r="M7212" s="561">
        <v>16365.852789999999</v>
      </c>
      <c r="N7212" s="561">
        <v>5039.9999999999991</v>
      </c>
      <c r="P7212" s="561">
        <v>11325.852790000001</v>
      </c>
    </row>
    <row r="7213" spans="1:16">
      <c r="A7213" s="561">
        <v>54</v>
      </c>
      <c r="B7213" s="561" t="s">
        <v>1885</v>
      </c>
      <c r="C7213" s="561" t="s">
        <v>1267</v>
      </c>
      <c r="D7213" s="561">
        <v>237473.85380164013</v>
      </c>
      <c r="E7213" s="561">
        <v>69276.599999999991</v>
      </c>
      <c r="F7213" s="561">
        <v>168197.25384830681</v>
      </c>
      <c r="G7213" s="561">
        <v>4803</v>
      </c>
      <c r="H7213" s="561">
        <v>279680.25078312948</v>
      </c>
      <c r="I7213" s="561">
        <v>714</v>
      </c>
      <c r="J7213" s="561">
        <v>42883.732120000001</v>
      </c>
      <c r="K7213" s="561">
        <v>4728</v>
      </c>
      <c r="L7213" s="561">
        <v>237473.85380164013</v>
      </c>
      <c r="M7213" s="561">
        <v>237473.85380164013</v>
      </c>
      <c r="N7213" s="561">
        <v>69276.599999999991</v>
      </c>
      <c r="O7213" s="561">
        <v>0</v>
      </c>
      <c r="P7213" s="561">
        <v>168197.25380164012</v>
      </c>
    </row>
    <row r="7214" spans="1:16">
      <c r="C7214" s="561" t="s">
        <v>1197</v>
      </c>
      <c r="D7214" s="561">
        <v>230804.33853830679</v>
      </c>
      <c r="E7214" s="561">
        <v>67476.599999999991</v>
      </c>
      <c r="F7214" s="561">
        <v>163327.7388683068</v>
      </c>
      <c r="G7214" s="561">
        <v>4337</v>
      </c>
      <c r="H7214" s="561">
        <v>272901.72415830672</v>
      </c>
      <c r="I7214" s="561">
        <v>706</v>
      </c>
      <c r="J7214" s="561">
        <v>42841.225850000003</v>
      </c>
      <c r="K7214" s="561">
        <v>4262</v>
      </c>
      <c r="L7214" s="561">
        <v>230804.33853830679</v>
      </c>
      <c r="M7214" s="561">
        <v>230804.33853830679</v>
      </c>
      <c r="N7214" s="561">
        <v>67476.599999999991</v>
      </c>
    </row>
    <row r="7215" spans="1:16">
      <c r="C7215" s="561" t="s">
        <v>1199</v>
      </c>
      <c r="D7215" s="561">
        <v>6669.5152633333328</v>
      </c>
      <c r="E7215" s="561">
        <v>1799.9999999999998</v>
      </c>
      <c r="F7215" s="561">
        <v>4869.5149799999999</v>
      </c>
      <c r="G7215" s="561">
        <v>466</v>
      </c>
      <c r="H7215" s="561">
        <v>6778.5266248227817</v>
      </c>
      <c r="I7215" s="561">
        <v>8</v>
      </c>
      <c r="J7215" s="561">
        <v>42.506269999999979</v>
      </c>
      <c r="K7215" s="561">
        <v>466</v>
      </c>
      <c r="L7215" s="561">
        <v>6669.5152633333328</v>
      </c>
      <c r="M7215" s="561">
        <v>6669.5152633333328</v>
      </c>
      <c r="N7215" s="561">
        <v>1799.9999999999998</v>
      </c>
      <c r="P7215" s="561">
        <v>4869.5152633333328</v>
      </c>
    </row>
    <row r="7216" spans="1:16">
      <c r="A7216" s="561">
        <v>55</v>
      </c>
      <c r="B7216" s="561" t="s">
        <v>1886</v>
      </c>
      <c r="C7216" s="561" t="s">
        <v>1267</v>
      </c>
      <c r="D7216" s="561">
        <v>289630.05381000001</v>
      </c>
      <c r="E7216" s="561">
        <v>76357.799999999988</v>
      </c>
      <c r="F7216" s="561">
        <v>213272.25392000005</v>
      </c>
      <c r="G7216" s="561">
        <v>5260</v>
      </c>
      <c r="H7216" s="561">
        <v>317907.6845867025</v>
      </c>
      <c r="I7216" s="561">
        <v>569</v>
      </c>
      <c r="J7216" s="561">
        <v>28880.721609999997</v>
      </c>
      <c r="K7216" s="561">
        <v>5205</v>
      </c>
      <c r="L7216" s="561">
        <v>289630.05381000001</v>
      </c>
      <c r="M7216" s="561">
        <v>289630.05381000001</v>
      </c>
      <c r="N7216" s="561">
        <v>76357.799999999988</v>
      </c>
      <c r="O7216" s="561">
        <v>0</v>
      </c>
      <c r="P7216" s="561">
        <v>213272.25381000002</v>
      </c>
    </row>
    <row r="7217" spans="1:16">
      <c r="C7217" s="561" t="s">
        <v>1197</v>
      </c>
      <c r="D7217" s="561">
        <v>276486.64924</v>
      </c>
      <c r="E7217" s="561">
        <v>73837.799999999988</v>
      </c>
      <c r="F7217" s="561">
        <v>202648.84948000003</v>
      </c>
      <c r="G7217" s="561">
        <v>4439</v>
      </c>
      <c r="H7217" s="561">
        <v>304538.97393000004</v>
      </c>
      <c r="I7217" s="561">
        <v>559</v>
      </c>
      <c r="J7217" s="561">
        <v>28787.586039999998</v>
      </c>
      <c r="K7217" s="561">
        <v>4388</v>
      </c>
      <c r="L7217" s="561">
        <v>276486.64924</v>
      </c>
      <c r="M7217" s="561">
        <v>276486.64924</v>
      </c>
      <c r="N7217" s="561">
        <v>73837.799999999988</v>
      </c>
    </row>
    <row r="7218" spans="1:16">
      <c r="C7218" s="561" t="s">
        <v>1199</v>
      </c>
      <c r="D7218" s="561">
        <v>13143.404569999999</v>
      </c>
      <c r="E7218" s="561">
        <v>2519.9999999999995</v>
      </c>
      <c r="F7218" s="561">
        <v>10623.40444</v>
      </c>
      <c r="G7218" s="561">
        <v>821</v>
      </c>
      <c r="H7218" s="561">
        <v>13368.710656702438</v>
      </c>
      <c r="I7218" s="561">
        <v>10</v>
      </c>
      <c r="J7218" s="561">
        <v>93.135569999999802</v>
      </c>
      <c r="K7218" s="561">
        <v>817</v>
      </c>
      <c r="L7218" s="561">
        <v>13143.404569999999</v>
      </c>
      <c r="M7218" s="561">
        <v>13143.404569999999</v>
      </c>
      <c r="N7218" s="561">
        <v>2519.9999999999995</v>
      </c>
      <c r="P7218" s="561">
        <v>10623.404569999999</v>
      </c>
    </row>
    <row r="7219" spans="1:16">
      <c r="A7219" s="561">
        <v>56</v>
      </c>
      <c r="B7219" s="561" t="s">
        <v>1887</v>
      </c>
      <c r="C7219" s="561" t="s">
        <v>1267</v>
      </c>
      <c r="D7219" s="561">
        <v>54065.000265070812</v>
      </c>
      <c r="E7219" s="561">
        <v>13319.999999999998</v>
      </c>
      <c r="F7219" s="561">
        <v>40745</v>
      </c>
      <c r="G7219" s="561">
        <v>3616</v>
      </c>
      <c r="H7219" s="561">
        <v>58215.612215070811</v>
      </c>
      <c r="I7219" s="561">
        <v>315</v>
      </c>
      <c r="J7219" s="561">
        <v>4623.6017499999998</v>
      </c>
      <c r="K7219" s="561">
        <v>3584</v>
      </c>
      <c r="L7219" s="561">
        <v>54065.000265070812</v>
      </c>
      <c r="M7219" s="561">
        <v>54065.000265070812</v>
      </c>
      <c r="N7219" s="561">
        <v>13319.999999999998</v>
      </c>
      <c r="O7219" s="561">
        <v>0</v>
      </c>
      <c r="P7219" s="561">
        <v>40745.000265070812</v>
      </c>
    </row>
    <row r="7220" spans="1:16">
      <c r="C7220" s="561" t="s">
        <v>1199</v>
      </c>
      <c r="D7220" s="561">
        <v>54065.000265070812</v>
      </c>
      <c r="E7220" s="561">
        <v>13319.999999999998</v>
      </c>
      <c r="F7220" s="561">
        <v>40745</v>
      </c>
      <c r="G7220" s="561">
        <v>3616</v>
      </c>
      <c r="H7220" s="561">
        <v>58215.612215070811</v>
      </c>
      <c r="I7220" s="561">
        <v>315</v>
      </c>
      <c r="J7220" s="561">
        <v>4623.6017499999998</v>
      </c>
      <c r="K7220" s="561">
        <v>3584</v>
      </c>
      <c r="L7220" s="561">
        <v>54065.000265070812</v>
      </c>
      <c r="M7220" s="561">
        <v>54065.000265070812</v>
      </c>
      <c r="N7220" s="561">
        <v>13319.999999999998</v>
      </c>
      <c r="P7220" s="561">
        <v>40745.000265070812</v>
      </c>
    </row>
    <row r="7221" spans="1:16">
      <c r="A7221" s="561">
        <v>57</v>
      </c>
      <c r="B7221" s="561" t="s">
        <v>1888</v>
      </c>
      <c r="C7221" s="561" t="s">
        <v>1267</v>
      </c>
      <c r="D7221" s="561">
        <v>37800.00017808011</v>
      </c>
      <c r="E7221" s="561">
        <v>7200</v>
      </c>
      <c r="F7221" s="561">
        <v>30600</v>
      </c>
      <c r="G7221" s="561">
        <v>2697</v>
      </c>
      <c r="H7221" s="561">
        <v>44178.890408080115</v>
      </c>
      <c r="I7221" s="561">
        <v>236</v>
      </c>
      <c r="J7221" s="561">
        <v>6659.9141799999998</v>
      </c>
      <c r="K7221" s="561">
        <v>2627</v>
      </c>
      <c r="L7221" s="561">
        <v>37800.00017808011</v>
      </c>
      <c r="M7221" s="561">
        <v>37800.00017808011</v>
      </c>
      <c r="N7221" s="561">
        <v>7200</v>
      </c>
      <c r="O7221" s="561">
        <v>0</v>
      </c>
      <c r="P7221" s="561">
        <v>30600.00017808011</v>
      </c>
    </row>
    <row r="7222" spans="1:16">
      <c r="C7222" s="561" t="s">
        <v>1199</v>
      </c>
      <c r="D7222" s="561">
        <v>37800.00017808011</v>
      </c>
      <c r="E7222" s="561">
        <v>7200</v>
      </c>
      <c r="F7222" s="561">
        <v>30600</v>
      </c>
      <c r="G7222" s="561">
        <v>2697</v>
      </c>
      <c r="H7222" s="561">
        <v>44178.890408080115</v>
      </c>
      <c r="I7222" s="561">
        <v>236</v>
      </c>
      <c r="J7222" s="561">
        <v>6659.9141799999998</v>
      </c>
      <c r="K7222" s="561">
        <v>2627</v>
      </c>
      <c r="L7222" s="561">
        <v>37800.00017808011</v>
      </c>
      <c r="M7222" s="561">
        <v>37800.00017808011</v>
      </c>
      <c r="N7222" s="561">
        <v>7200</v>
      </c>
      <c r="P7222" s="561">
        <v>30600.00017808011</v>
      </c>
    </row>
    <row r="7223" spans="1:16">
      <c r="A7223" s="561">
        <v>58</v>
      </c>
      <c r="B7223" s="561" t="s">
        <v>1889</v>
      </c>
      <c r="C7223" s="561" t="s">
        <v>1267</v>
      </c>
      <c r="D7223" s="561">
        <v>17036.300029999999</v>
      </c>
      <c r="E7223" s="561">
        <v>3798</v>
      </c>
      <c r="F7223" s="561">
        <v>13238.300000000003</v>
      </c>
      <c r="G7223" s="561">
        <v>1078</v>
      </c>
      <c r="H7223" s="561">
        <v>18945.425629999998</v>
      </c>
      <c r="I7223" s="561">
        <v>90</v>
      </c>
      <c r="J7223" s="561">
        <v>1860.5497</v>
      </c>
      <c r="K7223" s="561">
        <v>1061</v>
      </c>
      <c r="L7223" s="561">
        <v>17036.300029999999</v>
      </c>
      <c r="M7223" s="561">
        <v>17036.300029999999</v>
      </c>
      <c r="N7223" s="561">
        <v>3798</v>
      </c>
      <c r="O7223" s="561">
        <v>0</v>
      </c>
      <c r="P7223" s="561">
        <v>13238.300029999999</v>
      </c>
    </row>
    <row r="7224" spans="1:16">
      <c r="C7224" s="561" t="s">
        <v>1199</v>
      </c>
      <c r="D7224" s="561">
        <v>17036.300029999999</v>
      </c>
      <c r="E7224" s="561">
        <v>3798</v>
      </c>
      <c r="F7224" s="561">
        <v>13238.300000000003</v>
      </c>
      <c r="G7224" s="561">
        <v>1078</v>
      </c>
      <c r="H7224" s="561">
        <v>18945.425629999998</v>
      </c>
      <c r="I7224" s="561">
        <v>90</v>
      </c>
      <c r="J7224" s="561">
        <v>1860.5497</v>
      </c>
      <c r="K7224" s="561">
        <v>1061</v>
      </c>
      <c r="L7224" s="561">
        <v>17036.300029999999</v>
      </c>
      <c r="M7224" s="561">
        <v>17036.300029999999</v>
      </c>
      <c r="N7224" s="561">
        <v>3798</v>
      </c>
      <c r="P7224" s="561">
        <v>13238.300029999999</v>
      </c>
    </row>
    <row r="7225" spans="1:16">
      <c r="A7225" s="561">
        <v>59</v>
      </c>
      <c r="B7225" s="561" t="s">
        <v>1890</v>
      </c>
      <c r="C7225" s="561" t="s">
        <v>1267</v>
      </c>
      <c r="D7225" s="561">
        <v>9150.7498542357571</v>
      </c>
      <c r="E7225" s="561">
        <v>2645.9999999999995</v>
      </c>
      <c r="F7225" s="561">
        <v>6504.75</v>
      </c>
      <c r="G7225" s="561">
        <v>868</v>
      </c>
      <c r="H7225" s="561">
        <v>12479.104024235758</v>
      </c>
      <c r="I7225" s="561">
        <v>30</v>
      </c>
      <c r="J7225" s="561">
        <v>2733.154</v>
      </c>
      <c r="K7225" s="561">
        <v>857</v>
      </c>
      <c r="L7225" s="561">
        <v>9150.7498542357571</v>
      </c>
      <c r="M7225" s="561">
        <v>9150.7498542357571</v>
      </c>
      <c r="N7225" s="561">
        <v>2645.9999999999995</v>
      </c>
      <c r="O7225" s="561">
        <v>0</v>
      </c>
      <c r="P7225" s="561">
        <v>6504.7498542357571</v>
      </c>
    </row>
    <row r="7226" spans="1:16">
      <c r="C7226" s="561" t="s">
        <v>1199</v>
      </c>
      <c r="D7226" s="561">
        <v>9150.7498542357571</v>
      </c>
      <c r="E7226" s="561">
        <v>2645.9999999999995</v>
      </c>
      <c r="F7226" s="561">
        <v>6504.75</v>
      </c>
      <c r="G7226" s="561">
        <v>868</v>
      </c>
      <c r="H7226" s="561">
        <v>12479.104024235758</v>
      </c>
      <c r="I7226" s="561">
        <v>30</v>
      </c>
      <c r="J7226" s="561">
        <v>2733.154</v>
      </c>
      <c r="K7226" s="561">
        <v>857</v>
      </c>
      <c r="L7226" s="561">
        <v>9150.7498542357571</v>
      </c>
      <c r="M7226" s="561">
        <v>9150.7498542357571</v>
      </c>
      <c r="N7226" s="561">
        <v>2645.9999999999995</v>
      </c>
      <c r="P7226" s="561">
        <v>6504.7498542357571</v>
      </c>
    </row>
    <row r="7227" spans="1:16">
      <c r="B7227" s="561" t="s">
        <v>1891</v>
      </c>
      <c r="D7227" s="561">
        <v>537064.5543872749</v>
      </c>
      <c r="E7227" s="561">
        <v>155056.49999999997</v>
      </c>
      <c r="F7227" s="561">
        <v>382008.05444727483</v>
      </c>
      <c r="G7227" s="561">
        <v>11621</v>
      </c>
      <c r="H7227" s="561">
        <v>579573.72317727492</v>
      </c>
      <c r="I7227" s="561">
        <v>1490</v>
      </c>
      <c r="J7227" s="561">
        <v>45197.085430000006</v>
      </c>
      <c r="K7227" s="561">
        <v>11528</v>
      </c>
      <c r="L7227" s="561">
        <v>537064.5543872749</v>
      </c>
      <c r="M7227" s="561">
        <v>537064.5543872749</v>
      </c>
      <c r="N7227" s="561">
        <v>155056.49999999997</v>
      </c>
      <c r="O7227" s="561">
        <v>0</v>
      </c>
      <c r="P7227" s="561">
        <v>382008.0543872749</v>
      </c>
    </row>
    <row r="7228" spans="1:16">
      <c r="A7228" s="561">
        <v>60</v>
      </c>
      <c r="B7228" s="561" t="s">
        <v>1892</v>
      </c>
      <c r="C7228" s="561" t="s">
        <v>1267</v>
      </c>
      <c r="D7228" s="561">
        <v>508193.55433727492</v>
      </c>
      <c r="E7228" s="561">
        <v>147496.49999999997</v>
      </c>
      <c r="F7228" s="561">
        <v>360697.05444727483</v>
      </c>
      <c r="G7228" s="561">
        <v>9552</v>
      </c>
      <c r="H7228" s="561">
        <v>548549.98276727495</v>
      </c>
      <c r="I7228" s="561">
        <v>1335</v>
      </c>
      <c r="J7228" s="561">
        <v>42929.970100000006</v>
      </c>
      <c r="K7228" s="561">
        <v>9475</v>
      </c>
      <c r="L7228" s="561">
        <v>508193.55433727492</v>
      </c>
      <c r="M7228" s="561">
        <v>508193.55433727492</v>
      </c>
      <c r="N7228" s="561">
        <v>147496.49999999997</v>
      </c>
      <c r="O7228" s="561">
        <v>0</v>
      </c>
      <c r="P7228" s="561">
        <v>360697.05433727492</v>
      </c>
    </row>
    <row r="7229" spans="1:16">
      <c r="C7229" s="561" t="s">
        <v>1197</v>
      </c>
      <c r="D7229" s="561">
        <v>489728.56154130748</v>
      </c>
      <c r="E7229" s="561">
        <v>143896.49999999997</v>
      </c>
      <c r="F7229" s="561">
        <v>345832.06122130743</v>
      </c>
      <c r="G7229" s="561">
        <v>8293</v>
      </c>
      <c r="H7229" s="561">
        <v>529942.46732130751</v>
      </c>
      <c r="I7229" s="561">
        <v>1303</v>
      </c>
      <c r="J7229" s="561">
        <v>42452.540460000004</v>
      </c>
      <c r="K7229" s="561">
        <v>8216</v>
      </c>
      <c r="L7229" s="561">
        <v>489728.56154130748</v>
      </c>
      <c r="M7229" s="561">
        <v>489728.56154130748</v>
      </c>
      <c r="N7229" s="561">
        <v>143896.49999999997</v>
      </c>
    </row>
    <row r="7230" spans="1:16">
      <c r="C7230" s="561" t="s">
        <v>1199</v>
      </c>
      <c r="D7230" s="561">
        <v>18464.992795967413</v>
      </c>
      <c r="E7230" s="561">
        <v>3600</v>
      </c>
      <c r="F7230" s="561">
        <v>14864.993225967415</v>
      </c>
      <c r="G7230" s="561">
        <v>1259</v>
      </c>
      <c r="H7230" s="561">
        <v>18607.515445967412</v>
      </c>
      <c r="I7230" s="561">
        <v>32</v>
      </c>
      <c r="J7230" s="561">
        <v>477.42964000000001</v>
      </c>
      <c r="K7230" s="561">
        <v>1259</v>
      </c>
      <c r="L7230" s="561">
        <v>18464.992795967413</v>
      </c>
      <c r="M7230" s="561">
        <v>18464.992795967413</v>
      </c>
      <c r="N7230" s="561">
        <v>3600</v>
      </c>
      <c r="P7230" s="561">
        <v>14864.992795967413</v>
      </c>
    </row>
    <row r="7231" spans="1:16">
      <c r="A7231" s="561">
        <v>61</v>
      </c>
      <c r="B7231" s="561" t="s">
        <v>1893</v>
      </c>
      <c r="C7231" s="561" t="s">
        <v>1267</v>
      </c>
      <c r="D7231" s="561">
        <v>28871.000050000002</v>
      </c>
      <c r="E7231" s="561">
        <v>7559.9999999999982</v>
      </c>
      <c r="F7231" s="561">
        <v>21311</v>
      </c>
      <c r="G7231" s="561">
        <v>2069</v>
      </c>
      <c r="H7231" s="561">
        <v>31023.740410000002</v>
      </c>
      <c r="I7231" s="561">
        <v>155</v>
      </c>
      <c r="J7231" s="561">
        <v>2267.1153299999996</v>
      </c>
      <c r="K7231" s="561">
        <v>2053</v>
      </c>
      <c r="L7231" s="561">
        <v>28871.000050000002</v>
      </c>
      <c r="M7231" s="561">
        <v>28871.000050000002</v>
      </c>
      <c r="N7231" s="561">
        <v>7559.9999999999982</v>
      </c>
      <c r="O7231" s="561">
        <v>0</v>
      </c>
      <c r="P7231" s="561">
        <v>21311.000050000002</v>
      </c>
    </row>
    <row r="7232" spans="1:16">
      <c r="C7232" s="561" t="s">
        <v>1199</v>
      </c>
      <c r="D7232" s="561">
        <v>28871.000050000002</v>
      </c>
      <c r="E7232" s="561">
        <v>7559.9999999999982</v>
      </c>
      <c r="F7232" s="561">
        <v>21311</v>
      </c>
      <c r="G7232" s="561">
        <v>2069</v>
      </c>
      <c r="H7232" s="561">
        <v>31023.740410000002</v>
      </c>
      <c r="I7232" s="561">
        <v>155</v>
      </c>
      <c r="J7232" s="561">
        <v>2267.1153299999996</v>
      </c>
      <c r="K7232" s="561">
        <v>2053</v>
      </c>
      <c r="L7232" s="561">
        <v>28871.000050000002</v>
      </c>
      <c r="M7232" s="561">
        <v>28871.000050000002</v>
      </c>
      <c r="N7232" s="561">
        <v>7559.9999999999982</v>
      </c>
      <c r="P7232" s="561">
        <v>21311.000050000002</v>
      </c>
    </row>
    <row r="7233" spans="1:16">
      <c r="B7233" s="561" t="s">
        <v>1894</v>
      </c>
      <c r="D7233" s="561">
        <v>495549.57007215789</v>
      </c>
      <c r="E7233" s="561">
        <v>126260.39999999998</v>
      </c>
      <c r="F7233" s="561">
        <v>369289.16992049117</v>
      </c>
      <c r="G7233" s="561">
        <v>11051</v>
      </c>
      <c r="H7233" s="561">
        <v>526731.30477926391</v>
      </c>
      <c r="I7233" s="561">
        <v>847</v>
      </c>
      <c r="J7233" s="561">
        <v>33692.592389999998</v>
      </c>
      <c r="K7233" s="561">
        <v>10975</v>
      </c>
      <c r="L7233" s="561">
        <v>495549.57007215789</v>
      </c>
      <c r="M7233" s="561">
        <v>495549.57007215789</v>
      </c>
      <c r="N7233" s="561">
        <v>126260.39999999998</v>
      </c>
      <c r="O7233" s="561">
        <v>0</v>
      </c>
      <c r="P7233" s="561">
        <v>369289.17007215793</v>
      </c>
    </row>
    <row r="7234" spans="1:16">
      <c r="A7234" s="561">
        <v>62</v>
      </c>
      <c r="B7234" s="561" t="s">
        <v>1895</v>
      </c>
      <c r="C7234" s="561" t="s">
        <v>1267</v>
      </c>
      <c r="D7234" s="561">
        <v>442258.96980549122</v>
      </c>
      <c r="E7234" s="561">
        <v>113660.39999999998</v>
      </c>
      <c r="F7234" s="561">
        <v>328598.56992049119</v>
      </c>
      <c r="G7234" s="561">
        <v>7543</v>
      </c>
      <c r="H7234" s="561">
        <v>471002.85434926394</v>
      </c>
      <c r="I7234" s="561">
        <v>647</v>
      </c>
      <c r="J7234" s="561">
        <v>31041.979129999996</v>
      </c>
      <c r="K7234" s="561">
        <v>7481</v>
      </c>
      <c r="L7234" s="561">
        <v>442258.96980549122</v>
      </c>
      <c r="M7234" s="561">
        <v>442258.96980549122</v>
      </c>
      <c r="N7234" s="561">
        <v>113660.39999999998</v>
      </c>
      <c r="O7234" s="561">
        <v>0</v>
      </c>
      <c r="P7234" s="561">
        <v>328598.56980549125</v>
      </c>
    </row>
    <row r="7235" spans="1:16">
      <c r="C7235" s="561" t="s">
        <v>1197</v>
      </c>
      <c r="D7235" s="561">
        <v>424050.674665</v>
      </c>
      <c r="E7235" s="561">
        <v>109628.39999999998</v>
      </c>
      <c r="F7235" s="561">
        <v>314422.27499999997</v>
      </c>
      <c r="G7235" s="561">
        <v>6345</v>
      </c>
      <c r="H7235" s="561">
        <v>452598.53724877269</v>
      </c>
      <c r="I7235" s="561">
        <v>594</v>
      </c>
      <c r="J7235" s="561">
        <v>30714.722359999996</v>
      </c>
      <c r="K7235" s="561">
        <v>6288</v>
      </c>
      <c r="L7235" s="561">
        <v>424050.674665</v>
      </c>
      <c r="M7235" s="561">
        <v>424050.674665</v>
      </c>
      <c r="N7235" s="561">
        <v>109628.39999999998</v>
      </c>
    </row>
    <row r="7236" spans="1:16">
      <c r="C7236" s="561" t="s">
        <v>1199</v>
      </c>
      <c r="D7236" s="561">
        <v>18208.295140491242</v>
      </c>
      <c r="E7236" s="561">
        <v>4032</v>
      </c>
      <c r="F7236" s="561">
        <v>14176.29492049124</v>
      </c>
      <c r="G7236" s="561">
        <v>1198</v>
      </c>
      <c r="H7236" s="561">
        <v>18404.31710049124</v>
      </c>
      <c r="I7236" s="561">
        <v>53</v>
      </c>
      <c r="J7236" s="561">
        <v>327.25677000000019</v>
      </c>
      <c r="K7236" s="561">
        <v>1193</v>
      </c>
      <c r="L7236" s="561">
        <v>18208.295140491242</v>
      </c>
      <c r="M7236" s="561">
        <v>18208.295140491242</v>
      </c>
      <c r="N7236" s="561">
        <v>4032</v>
      </c>
      <c r="P7236" s="561">
        <v>14176.295140491242</v>
      </c>
    </row>
    <row r="7237" spans="1:16">
      <c r="A7237" s="561">
        <v>63</v>
      </c>
      <c r="B7237" s="561" t="s">
        <v>1896</v>
      </c>
      <c r="C7237" s="561" t="s">
        <v>1267</v>
      </c>
      <c r="D7237" s="561">
        <v>53290.600266666675</v>
      </c>
      <c r="E7237" s="561">
        <v>12600.000000000004</v>
      </c>
      <c r="F7237" s="561">
        <v>40690.599999999991</v>
      </c>
      <c r="G7237" s="561">
        <v>3508</v>
      </c>
      <c r="H7237" s="561">
        <v>55728.450429999997</v>
      </c>
      <c r="I7237" s="561">
        <v>200</v>
      </c>
      <c r="J7237" s="561">
        <v>2650.613260000001</v>
      </c>
      <c r="K7237" s="561">
        <v>3494</v>
      </c>
      <c r="L7237" s="561">
        <v>53290.600266666675</v>
      </c>
      <c r="M7237" s="561">
        <v>53290.600266666675</v>
      </c>
      <c r="N7237" s="561">
        <v>12600.000000000004</v>
      </c>
      <c r="O7237" s="561">
        <v>0</v>
      </c>
      <c r="P7237" s="561">
        <v>40690.600266666675</v>
      </c>
    </row>
    <row r="7238" spans="1:16">
      <c r="C7238" s="561" t="s">
        <v>1199</v>
      </c>
      <c r="D7238" s="561">
        <v>53290.600266666675</v>
      </c>
      <c r="E7238" s="561">
        <v>12600.000000000004</v>
      </c>
      <c r="F7238" s="561">
        <v>40690.599999999991</v>
      </c>
      <c r="G7238" s="561">
        <v>3508</v>
      </c>
      <c r="H7238" s="561">
        <v>55728.450429999997</v>
      </c>
      <c r="I7238" s="561">
        <v>200</v>
      </c>
      <c r="J7238" s="561">
        <v>2650.613260000001</v>
      </c>
      <c r="K7238" s="561">
        <v>3494</v>
      </c>
      <c r="L7238" s="561">
        <v>53290.600266666675</v>
      </c>
      <c r="M7238" s="561">
        <v>53290.600266666675</v>
      </c>
      <c r="N7238" s="561">
        <v>12600.000000000004</v>
      </c>
      <c r="P7238" s="561">
        <v>40690.600266666675</v>
      </c>
    </row>
    <row r="7239" spans="1:16">
      <c r="B7239" s="561" t="s">
        <v>1897</v>
      </c>
      <c r="D7239" s="561">
        <v>1570914.7838727206</v>
      </c>
      <c r="E7239" s="561">
        <v>400029.29999999993</v>
      </c>
      <c r="F7239" s="561">
        <v>1170885.4819105128</v>
      </c>
      <c r="G7239" s="561">
        <v>33747</v>
      </c>
      <c r="H7239" s="561">
        <v>1698893.6756393875</v>
      </c>
      <c r="I7239" s="561">
        <v>3709</v>
      </c>
      <c r="J7239" s="561">
        <v>132550.34118000002</v>
      </c>
      <c r="K7239" s="561">
        <v>33425</v>
      </c>
      <c r="L7239" s="561">
        <v>1570914.7838727206</v>
      </c>
      <c r="M7239" s="561">
        <v>1570914.7838727206</v>
      </c>
      <c r="N7239" s="561">
        <v>400029.29999999993</v>
      </c>
      <c r="O7239" s="561">
        <v>0</v>
      </c>
      <c r="P7239" s="561">
        <v>1170885.4838727203</v>
      </c>
    </row>
    <row r="7240" spans="1:16">
      <c r="A7240" s="561">
        <v>64</v>
      </c>
      <c r="B7240" s="561" t="s">
        <v>1898</v>
      </c>
      <c r="C7240" s="561" t="s">
        <v>1267</v>
      </c>
      <c r="D7240" s="561">
        <v>850549.88632125803</v>
      </c>
      <c r="E7240" s="561">
        <v>216486.89999999997</v>
      </c>
      <c r="F7240" s="561">
        <v>634062.98507792491</v>
      </c>
      <c r="G7240" s="561">
        <v>14888</v>
      </c>
      <c r="H7240" s="561">
        <v>916126.19074792496</v>
      </c>
      <c r="I7240" s="561">
        <v>1404</v>
      </c>
      <c r="J7240" s="561">
        <v>66825.790970000002</v>
      </c>
      <c r="K7240" s="561">
        <v>14802</v>
      </c>
      <c r="L7240" s="561">
        <v>850549.88632125803</v>
      </c>
      <c r="M7240" s="561">
        <v>850549.88632125803</v>
      </c>
      <c r="N7240" s="561">
        <v>216486.89999999997</v>
      </c>
      <c r="O7240" s="561">
        <v>0</v>
      </c>
      <c r="P7240" s="561">
        <v>634062.98632125801</v>
      </c>
    </row>
    <row r="7241" spans="1:16">
      <c r="C7241" s="561" t="s">
        <v>1197</v>
      </c>
      <c r="D7241" s="561">
        <v>829570.86051100411</v>
      </c>
      <c r="E7241" s="561">
        <v>212706.89999999997</v>
      </c>
      <c r="F7241" s="561">
        <v>616863.95955100434</v>
      </c>
      <c r="G7241" s="561">
        <v>13615</v>
      </c>
      <c r="H7241" s="561">
        <v>894860.56076100434</v>
      </c>
      <c r="I7241" s="561">
        <v>1349</v>
      </c>
      <c r="J7241" s="561">
        <v>66511.898990000002</v>
      </c>
      <c r="K7241" s="561">
        <v>13532</v>
      </c>
      <c r="L7241" s="561">
        <v>829570.86051100411</v>
      </c>
      <c r="M7241" s="561">
        <v>829570.86051100411</v>
      </c>
      <c r="N7241" s="561">
        <v>212706.89999999997</v>
      </c>
    </row>
    <row r="7242" spans="1:16">
      <c r="C7242" s="561" t="s">
        <v>1199</v>
      </c>
      <c r="D7242" s="561">
        <v>20979.025810253912</v>
      </c>
      <c r="E7242" s="561">
        <v>3779.9999999999991</v>
      </c>
      <c r="F7242" s="561">
        <v>17199.025526920581</v>
      </c>
      <c r="G7242" s="561">
        <v>1273</v>
      </c>
      <c r="H7242" s="561">
        <v>21265.629986920583</v>
      </c>
      <c r="I7242" s="561">
        <v>55</v>
      </c>
      <c r="J7242" s="561">
        <v>313.89198000000005</v>
      </c>
      <c r="K7242" s="561">
        <v>1270</v>
      </c>
      <c r="L7242" s="561">
        <v>20979.025810253912</v>
      </c>
      <c r="M7242" s="561">
        <v>20979.025810253912</v>
      </c>
      <c r="N7242" s="561">
        <v>3779.9999999999991</v>
      </c>
      <c r="P7242" s="561">
        <v>17199.025810253912</v>
      </c>
    </row>
    <row r="7243" spans="1:16">
      <c r="A7243" s="561">
        <v>65</v>
      </c>
      <c r="B7243" s="561" t="s">
        <v>1899</v>
      </c>
      <c r="C7243" s="561" t="s">
        <v>1267</v>
      </c>
      <c r="D7243" s="561">
        <v>289520.24281867553</v>
      </c>
      <c r="E7243" s="561">
        <v>71435.7</v>
      </c>
      <c r="F7243" s="561">
        <v>218084.54276200879</v>
      </c>
      <c r="G7243" s="561">
        <v>5462</v>
      </c>
      <c r="H7243" s="561">
        <v>308014.77421200881</v>
      </c>
      <c r="I7243" s="561">
        <v>503</v>
      </c>
      <c r="J7243" s="561">
        <v>19252.616569999998</v>
      </c>
      <c r="K7243" s="561">
        <v>5426</v>
      </c>
      <c r="L7243" s="561">
        <v>289520.24281867553</v>
      </c>
      <c r="M7243" s="561">
        <v>289520.24281867553</v>
      </c>
      <c r="N7243" s="561">
        <v>71435.7</v>
      </c>
      <c r="O7243" s="561">
        <v>0</v>
      </c>
      <c r="P7243" s="561">
        <v>218084.54281867552</v>
      </c>
    </row>
    <row r="7244" spans="1:16">
      <c r="C7244" s="561" t="s">
        <v>1197</v>
      </c>
      <c r="D7244" s="561">
        <v>268622.35113023431</v>
      </c>
      <c r="E7244" s="561">
        <v>67835.7</v>
      </c>
      <c r="F7244" s="561">
        <v>200786.65087023424</v>
      </c>
      <c r="G7244" s="561">
        <v>4195</v>
      </c>
      <c r="H7244" s="561">
        <v>286402.53191023425</v>
      </c>
      <c r="I7244" s="561">
        <v>417</v>
      </c>
      <c r="J7244" s="561">
        <v>18434.965469999999</v>
      </c>
      <c r="K7244" s="561">
        <v>4175</v>
      </c>
      <c r="L7244" s="561">
        <v>268622.35113023431</v>
      </c>
      <c r="M7244" s="561">
        <v>268622.35113023431</v>
      </c>
      <c r="N7244" s="561">
        <v>67835.7</v>
      </c>
    </row>
    <row r="7245" spans="1:16">
      <c r="C7245" s="561" t="s">
        <v>1199</v>
      </c>
      <c r="D7245" s="561">
        <v>20897.891688441206</v>
      </c>
      <c r="E7245" s="561">
        <v>3600</v>
      </c>
      <c r="F7245" s="561">
        <v>17297.891891774543</v>
      </c>
      <c r="G7245" s="561">
        <v>1267</v>
      </c>
      <c r="H7245" s="561">
        <v>21612.242301774535</v>
      </c>
      <c r="I7245" s="561">
        <v>86</v>
      </c>
      <c r="J7245" s="561">
        <v>817.65110000000004</v>
      </c>
      <c r="K7245" s="561">
        <v>1251</v>
      </c>
      <c r="L7245" s="561">
        <v>20897.891688441206</v>
      </c>
      <c r="M7245" s="561">
        <v>20897.891688441206</v>
      </c>
      <c r="N7245" s="561">
        <v>3600</v>
      </c>
      <c r="P7245" s="561">
        <v>17297.891688441206</v>
      </c>
    </row>
    <row r="7246" spans="1:16">
      <c r="A7246" s="561">
        <v>66</v>
      </c>
      <c r="B7246" s="561" t="s">
        <v>1900</v>
      </c>
      <c r="C7246" s="561" t="s">
        <v>1267</v>
      </c>
      <c r="D7246" s="561">
        <v>319417.15432666673</v>
      </c>
      <c r="E7246" s="561">
        <v>82988.099999999977</v>
      </c>
      <c r="F7246" s="561">
        <v>236429.05432666672</v>
      </c>
      <c r="G7246" s="561">
        <v>5902</v>
      </c>
      <c r="H7246" s="561">
        <v>353540.20221000002</v>
      </c>
      <c r="I7246" s="561">
        <v>1049</v>
      </c>
      <c r="J7246" s="561">
        <v>36052.545770000004</v>
      </c>
      <c r="K7246" s="561">
        <v>5838</v>
      </c>
      <c r="L7246" s="561">
        <v>319417.15432666673</v>
      </c>
      <c r="M7246" s="561">
        <v>319417.15432666673</v>
      </c>
      <c r="N7246" s="561">
        <v>82988.099999999977</v>
      </c>
      <c r="O7246" s="561">
        <v>0</v>
      </c>
      <c r="P7246" s="561">
        <v>236429.05432666672</v>
      </c>
    </row>
    <row r="7247" spans="1:16">
      <c r="C7247" s="561" t="s">
        <v>1197</v>
      </c>
      <c r="D7247" s="561">
        <v>299539.59997000004</v>
      </c>
      <c r="E7247" s="561">
        <v>78848.099999999977</v>
      </c>
      <c r="F7247" s="561">
        <v>220691.49997000006</v>
      </c>
      <c r="G7247" s="561">
        <v>4753</v>
      </c>
      <c r="H7247" s="561">
        <v>332958.83269000001</v>
      </c>
      <c r="I7247" s="561">
        <v>949</v>
      </c>
      <c r="J7247" s="561">
        <v>35143.146930000003</v>
      </c>
      <c r="K7247" s="561">
        <v>4694</v>
      </c>
      <c r="L7247" s="561">
        <v>299539.59997000004</v>
      </c>
      <c r="M7247" s="561">
        <v>299539.59997000004</v>
      </c>
      <c r="N7247" s="561">
        <v>78848.099999999977</v>
      </c>
    </row>
    <row r="7248" spans="1:16">
      <c r="C7248" s="561" t="s">
        <v>1199</v>
      </c>
      <c r="D7248" s="561">
        <v>19877.554356666671</v>
      </c>
      <c r="E7248" s="561">
        <v>4140</v>
      </c>
      <c r="F7248" s="561">
        <v>15737.554356666671</v>
      </c>
      <c r="G7248" s="561">
        <v>1149</v>
      </c>
      <c r="H7248" s="561">
        <v>20581.36952</v>
      </c>
      <c r="I7248" s="561">
        <v>100</v>
      </c>
      <c r="J7248" s="561">
        <v>909.39884000000006</v>
      </c>
      <c r="K7248" s="561">
        <v>1144</v>
      </c>
      <c r="L7248" s="561">
        <v>19877.554356666671</v>
      </c>
      <c r="M7248" s="561">
        <v>19877.554356666671</v>
      </c>
      <c r="N7248" s="561">
        <v>4140</v>
      </c>
      <c r="P7248" s="561">
        <v>15737.554356666671</v>
      </c>
    </row>
    <row r="7249" spans="1:16">
      <c r="A7249" s="561">
        <v>67</v>
      </c>
      <c r="B7249" s="561" t="s">
        <v>1901</v>
      </c>
      <c r="C7249" s="561" t="s">
        <v>1267</v>
      </c>
      <c r="D7249" s="561">
        <v>15861.000033912002</v>
      </c>
      <c r="E7249" s="561">
        <v>4278.5999999999995</v>
      </c>
      <c r="F7249" s="561">
        <v>11582.399743912001</v>
      </c>
      <c r="G7249" s="561">
        <v>577</v>
      </c>
      <c r="H7249" s="561">
        <v>16107.992623912</v>
      </c>
      <c r="I7249" s="561">
        <v>35</v>
      </c>
      <c r="J7249" s="561">
        <v>295.28270999999995</v>
      </c>
      <c r="K7249" s="561">
        <v>576</v>
      </c>
      <c r="L7249" s="561">
        <v>15861.000033912002</v>
      </c>
      <c r="M7249" s="561">
        <v>15861.000033912002</v>
      </c>
      <c r="N7249" s="561">
        <v>4278.5999999999995</v>
      </c>
      <c r="O7249" s="561">
        <v>0</v>
      </c>
      <c r="P7249" s="561">
        <v>11582.400033912001</v>
      </c>
    </row>
    <row r="7250" spans="1:16">
      <c r="C7250" s="561" t="s">
        <v>1197</v>
      </c>
      <c r="D7250" s="561">
        <v>10751.53090324</v>
      </c>
      <c r="E7250" s="561">
        <v>2838.5999999999995</v>
      </c>
      <c r="F7250" s="561">
        <v>7912.9309532400002</v>
      </c>
      <c r="G7250" s="561">
        <v>166</v>
      </c>
      <c r="H7250" s="561">
        <v>10934.30523324</v>
      </c>
      <c r="I7250" s="561">
        <v>5</v>
      </c>
      <c r="J7250" s="561">
        <v>182.77422999999999</v>
      </c>
      <c r="K7250" s="561">
        <v>166</v>
      </c>
      <c r="L7250" s="561">
        <v>10751.53090324</v>
      </c>
      <c r="M7250" s="561">
        <v>10751.53090324</v>
      </c>
      <c r="N7250" s="561">
        <v>2838.5999999999995</v>
      </c>
    </row>
    <row r="7251" spans="1:16">
      <c r="C7251" s="561" t="s">
        <v>1199</v>
      </c>
      <c r="D7251" s="561">
        <v>5109.4691306720006</v>
      </c>
      <c r="E7251" s="561">
        <v>1440</v>
      </c>
      <c r="F7251" s="561">
        <v>3669.4687906720005</v>
      </c>
      <c r="G7251" s="561">
        <v>411</v>
      </c>
      <c r="H7251" s="561">
        <v>5173.6873906720002</v>
      </c>
      <c r="I7251" s="561">
        <v>30</v>
      </c>
      <c r="J7251" s="561">
        <v>112.50847999999999</v>
      </c>
      <c r="K7251" s="561">
        <v>410</v>
      </c>
      <c r="L7251" s="561">
        <v>5109.4691306720006</v>
      </c>
      <c r="M7251" s="561">
        <v>5109.4691306720006</v>
      </c>
      <c r="N7251" s="561">
        <v>1440</v>
      </c>
      <c r="P7251" s="561">
        <v>3669.4691306720006</v>
      </c>
    </row>
    <row r="7252" spans="1:16">
      <c r="A7252" s="561">
        <v>68</v>
      </c>
      <c r="B7252" s="561" t="s">
        <v>1902</v>
      </c>
      <c r="C7252" s="561" t="s">
        <v>1267</v>
      </c>
      <c r="D7252" s="561">
        <v>55947.80029554155</v>
      </c>
      <c r="E7252" s="561">
        <v>14399.999999999998</v>
      </c>
      <c r="F7252" s="561">
        <v>41547.800000000003</v>
      </c>
      <c r="G7252" s="561">
        <v>4020</v>
      </c>
      <c r="H7252" s="561">
        <v>57707.70366554155</v>
      </c>
      <c r="I7252" s="561">
        <v>271</v>
      </c>
      <c r="J7252" s="561">
        <v>1750.3067100000003</v>
      </c>
      <c r="K7252" s="561">
        <v>3980</v>
      </c>
      <c r="L7252" s="561">
        <v>55947.80029554155</v>
      </c>
      <c r="M7252" s="561">
        <v>55947.80029554155</v>
      </c>
      <c r="N7252" s="561">
        <v>14399.999999999998</v>
      </c>
      <c r="O7252" s="561">
        <v>0</v>
      </c>
      <c r="P7252" s="561">
        <v>41547.80029554155</v>
      </c>
    </row>
    <row r="7253" spans="1:16">
      <c r="C7253" s="561" t="s">
        <v>1199</v>
      </c>
      <c r="D7253" s="561">
        <v>55947.80029554155</v>
      </c>
      <c r="E7253" s="561">
        <v>14399.999999999998</v>
      </c>
      <c r="F7253" s="561">
        <v>41547.800000000003</v>
      </c>
      <c r="G7253" s="561">
        <v>4020</v>
      </c>
      <c r="H7253" s="561">
        <v>57707.70366554155</v>
      </c>
      <c r="I7253" s="561">
        <v>271</v>
      </c>
      <c r="J7253" s="561">
        <v>1750.3067100000003</v>
      </c>
      <c r="K7253" s="561">
        <v>3980</v>
      </c>
      <c r="L7253" s="561">
        <v>55947.80029554155</v>
      </c>
      <c r="M7253" s="561">
        <v>55947.80029554155</v>
      </c>
      <c r="N7253" s="561">
        <v>14399.999999999998</v>
      </c>
      <c r="P7253" s="561">
        <v>41547.80029554155</v>
      </c>
    </row>
    <row r="7254" spans="1:16">
      <c r="A7254" s="561">
        <v>69</v>
      </c>
      <c r="B7254" s="561" t="s">
        <v>1903</v>
      </c>
      <c r="C7254" s="561" t="s">
        <v>1267</v>
      </c>
      <c r="D7254" s="561">
        <v>19759.599846666668</v>
      </c>
      <c r="E7254" s="561">
        <v>5039.9999999999991</v>
      </c>
      <c r="F7254" s="561">
        <v>14719.6</v>
      </c>
      <c r="G7254" s="561">
        <v>1443</v>
      </c>
      <c r="H7254" s="561">
        <v>23618.691299999999</v>
      </c>
      <c r="I7254" s="561">
        <v>210</v>
      </c>
      <c r="J7254" s="561">
        <v>4123.5313400000005</v>
      </c>
      <c r="K7254" s="561">
        <v>1368</v>
      </c>
      <c r="L7254" s="561">
        <v>19759.599846666668</v>
      </c>
      <c r="M7254" s="561">
        <v>19759.599846666668</v>
      </c>
      <c r="N7254" s="561">
        <v>5039.9999999999991</v>
      </c>
      <c r="O7254" s="561">
        <v>0</v>
      </c>
      <c r="P7254" s="561">
        <v>14719.599846666668</v>
      </c>
    </row>
    <row r="7255" spans="1:16">
      <c r="C7255" s="561" t="s">
        <v>1199</v>
      </c>
      <c r="D7255" s="561">
        <v>19759.599846666668</v>
      </c>
      <c r="E7255" s="561">
        <v>5039.9999999999991</v>
      </c>
      <c r="F7255" s="561">
        <v>14719.6</v>
      </c>
      <c r="G7255" s="561">
        <v>1443</v>
      </c>
      <c r="H7255" s="561">
        <v>23618.691299999999</v>
      </c>
      <c r="I7255" s="561">
        <v>210</v>
      </c>
      <c r="J7255" s="561">
        <v>4123.5313400000005</v>
      </c>
      <c r="K7255" s="561">
        <v>1368</v>
      </c>
      <c r="L7255" s="561">
        <v>19759.599846666668</v>
      </c>
      <c r="M7255" s="561">
        <v>19759.599846666668</v>
      </c>
      <c r="N7255" s="561">
        <v>5039.9999999999991</v>
      </c>
      <c r="P7255" s="561">
        <v>14719.599846666668</v>
      </c>
    </row>
    <row r="7256" spans="1:16">
      <c r="A7256" s="561">
        <v>70</v>
      </c>
      <c r="B7256" s="561" t="s">
        <v>1904</v>
      </c>
      <c r="C7256" s="561" t="s">
        <v>1267</v>
      </c>
      <c r="D7256" s="561">
        <v>19859.100230000004</v>
      </c>
      <c r="E7256" s="561">
        <v>5399.9999999999991</v>
      </c>
      <c r="F7256" s="561">
        <v>14459.100000000004</v>
      </c>
      <c r="G7256" s="561">
        <v>1455</v>
      </c>
      <c r="H7256" s="561">
        <v>23778.120880000002</v>
      </c>
      <c r="I7256" s="561">
        <v>237</v>
      </c>
      <c r="J7256" s="561">
        <v>4250.2671099999998</v>
      </c>
      <c r="K7256" s="561">
        <v>1435</v>
      </c>
      <c r="L7256" s="561">
        <v>19859.100230000004</v>
      </c>
      <c r="M7256" s="561">
        <v>19859.100230000004</v>
      </c>
      <c r="N7256" s="561">
        <v>5399.9999999999991</v>
      </c>
      <c r="O7256" s="561">
        <v>0</v>
      </c>
      <c r="P7256" s="561">
        <v>14459.100230000004</v>
      </c>
    </row>
    <row r="7257" spans="1:16">
      <c r="C7257" s="561" t="s">
        <v>1199</v>
      </c>
      <c r="D7257" s="561">
        <v>19859.100230000004</v>
      </c>
      <c r="E7257" s="561">
        <v>5399.9999999999991</v>
      </c>
      <c r="F7257" s="561">
        <v>14459.100000000004</v>
      </c>
      <c r="G7257" s="561">
        <v>1455</v>
      </c>
      <c r="H7257" s="561">
        <v>23778.120880000002</v>
      </c>
      <c r="I7257" s="561">
        <v>237</v>
      </c>
      <c r="J7257" s="561">
        <v>4250.2671099999998</v>
      </c>
      <c r="K7257" s="561">
        <v>1435</v>
      </c>
      <c r="L7257" s="561">
        <v>19859.100230000004</v>
      </c>
      <c r="M7257" s="561">
        <v>19859.100230000004</v>
      </c>
      <c r="N7257" s="561">
        <v>5399.9999999999991</v>
      </c>
      <c r="P7257" s="561">
        <v>14459.100230000004</v>
      </c>
    </row>
    <row r="7258" spans="1:16">
      <c r="B7258" s="561" t="s">
        <v>1905</v>
      </c>
      <c r="D7258" s="561">
        <v>1527740.6411358675</v>
      </c>
      <c r="E7258" s="561">
        <v>460433.99999999988</v>
      </c>
      <c r="F7258" s="561">
        <v>1067306.6402132581</v>
      </c>
      <c r="G7258" s="561">
        <v>34058</v>
      </c>
      <c r="H7258" s="561">
        <v>1786479.6207308678</v>
      </c>
      <c r="I7258" s="561">
        <v>4702</v>
      </c>
      <c r="J7258" s="561">
        <v>267579.01659500005</v>
      </c>
      <c r="K7258" s="561">
        <v>32945</v>
      </c>
      <c r="L7258" s="561">
        <v>1527740.6411358675</v>
      </c>
      <c r="M7258" s="561">
        <v>1527740.6411358675</v>
      </c>
      <c r="N7258" s="561">
        <v>460433.99999999988</v>
      </c>
      <c r="O7258" s="561">
        <v>0</v>
      </c>
      <c r="P7258" s="561">
        <v>1067306.6411358677</v>
      </c>
    </row>
    <row r="7259" spans="1:16">
      <c r="A7259" s="561">
        <v>71</v>
      </c>
      <c r="B7259" s="561" t="s">
        <v>1906</v>
      </c>
      <c r="C7259" s="561" t="s">
        <v>1267</v>
      </c>
      <c r="D7259" s="561">
        <v>914468.47547000006</v>
      </c>
      <c r="E7259" s="561">
        <v>273462.29999999993</v>
      </c>
      <c r="F7259" s="561">
        <v>641006.17547000013</v>
      </c>
      <c r="G7259" s="561">
        <v>18001</v>
      </c>
      <c r="H7259" s="561">
        <v>1053107.94652</v>
      </c>
      <c r="I7259" s="561">
        <v>2077</v>
      </c>
      <c r="J7259" s="561">
        <v>144351.46797000003</v>
      </c>
      <c r="K7259" s="561">
        <v>17577</v>
      </c>
      <c r="L7259" s="561">
        <v>914468.47547000006</v>
      </c>
      <c r="M7259" s="561">
        <v>914468.47547000006</v>
      </c>
      <c r="N7259" s="561">
        <v>273462.29999999993</v>
      </c>
      <c r="O7259" s="561">
        <v>0</v>
      </c>
      <c r="P7259" s="561">
        <v>641006.17547000013</v>
      </c>
    </row>
    <row r="7260" spans="1:16">
      <c r="C7260" s="561" t="s">
        <v>1197</v>
      </c>
      <c r="D7260" s="561">
        <v>892935.64798000001</v>
      </c>
      <c r="E7260" s="561">
        <v>268350.29999999993</v>
      </c>
      <c r="F7260" s="561">
        <v>624585.34798000008</v>
      </c>
      <c r="G7260" s="561">
        <v>16621</v>
      </c>
      <c r="H7260" s="561">
        <v>1026463.9675800001</v>
      </c>
      <c r="I7260" s="561">
        <v>2023</v>
      </c>
      <c r="J7260" s="561">
        <v>139258.79285000003</v>
      </c>
      <c r="K7260" s="561">
        <v>16215</v>
      </c>
      <c r="L7260" s="561">
        <v>892935.64798000001</v>
      </c>
      <c r="M7260" s="561">
        <v>892935.64798000001</v>
      </c>
      <c r="N7260" s="561">
        <v>268350.29999999993</v>
      </c>
    </row>
    <row r="7261" spans="1:16">
      <c r="C7261" s="561" t="s">
        <v>1199</v>
      </c>
      <c r="D7261" s="561">
        <v>21532.82749</v>
      </c>
      <c r="E7261" s="561">
        <v>5112</v>
      </c>
      <c r="F7261" s="561">
        <v>16420.82749</v>
      </c>
      <c r="G7261" s="561">
        <v>1380</v>
      </c>
      <c r="H7261" s="561">
        <v>26643.978939999997</v>
      </c>
      <c r="I7261" s="561">
        <v>54</v>
      </c>
      <c r="J7261" s="561">
        <v>5092.6751200000008</v>
      </c>
      <c r="K7261" s="561">
        <v>1362</v>
      </c>
      <c r="L7261" s="561">
        <v>21532.82749</v>
      </c>
      <c r="M7261" s="561">
        <v>21532.82749</v>
      </c>
      <c r="N7261" s="561">
        <v>5112</v>
      </c>
      <c r="P7261" s="561">
        <v>16420.82749</v>
      </c>
    </row>
    <row r="7262" spans="1:16">
      <c r="A7262" s="561">
        <v>72</v>
      </c>
      <c r="B7262" s="561" t="s">
        <v>1907</v>
      </c>
      <c r="C7262" s="561" t="s">
        <v>1267</v>
      </c>
      <c r="D7262" s="561">
        <v>478148.56474325794</v>
      </c>
      <c r="E7262" s="561">
        <v>151532.09999999998</v>
      </c>
      <c r="F7262" s="561">
        <v>326616.46474325797</v>
      </c>
      <c r="G7262" s="561">
        <v>9692</v>
      </c>
      <c r="H7262" s="561">
        <v>585886.841598258</v>
      </c>
      <c r="I7262" s="561">
        <v>1809</v>
      </c>
      <c r="J7262" s="561">
        <v>110642.030155</v>
      </c>
      <c r="K7262" s="561">
        <v>9483</v>
      </c>
      <c r="L7262" s="561">
        <v>478148.56474325794</v>
      </c>
      <c r="M7262" s="561">
        <v>478148.56474325794</v>
      </c>
      <c r="N7262" s="561">
        <v>151532.09999999998</v>
      </c>
      <c r="O7262" s="561">
        <v>0</v>
      </c>
      <c r="P7262" s="561">
        <v>326616.46474325797</v>
      </c>
    </row>
    <row r="7263" spans="1:16">
      <c r="C7263" s="561" t="s">
        <v>1197</v>
      </c>
      <c r="D7263" s="561">
        <v>468939.04721500009</v>
      </c>
      <c r="E7263" s="561">
        <v>147932.09999999998</v>
      </c>
      <c r="F7263" s="561">
        <v>321006.94721500011</v>
      </c>
      <c r="G7263" s="561">
        <v>9036</v>
      </c>
      <c r="H7263" s="561">
        <v>575916.28897000011</v>
      </c>
      <c r="I7263" s="561">
        <v>1768</v>
      </c>
      <c r="J7263" s="561">
        <v>109881.251325</v>
      </c>
      <c r="K7263" s="561">
        <v>8836</v>
      </c>
      <c r="L7263" s="561">
        <v>468939.04721500009</v>
      </c>
      <c r="M7263" s="561">
        <v>468939.04721500009</v>
      </c>
      <c r="N7263" s="561">
        <v>147932.09999999998</v>
      </c>
    </row>
    <row r="7264" spans="1:16">
      <c r="C7264" s="561" t="s">
        <v>1199</v>
      </c>
      <c r="D7264" s="561">
        <v>9209.5175282578439</v>
      </c>
      <c r="E7264" s="561">
        <v>3600</v>
      </c>
      <c r="F7264" s="561">
        <v>5609.5175282578439</v>
      </c>
      <c r="G7264" s="561">
        <v>656</v>
      </c>
      <c r="H7264" s="561">
        <v>9970.552628257843</v>
      </c>
      <c r="I7264" s="561">
        <v>41</v>
      </c>
      <c r="J7264" s="561">
        <v>760.77882999999997</v>
      </c>
      <c r="K7264" s="561">
        <v>647</v>
      </c>
      <c r="L7264" s="561">
        <v>9209.5175282578439</v>
      </c>
      <c r="M7264" s="561">
        <v>9209.5175282578439</v>
      </c>
      <c r="N7264" s="561">
        <v>3600</v>
      </c>
      <c r="P7264" s="561">
        <v>5609.5175282578439</v>
      </c>
    </row>
    <row r="7265" spans="1:16">
      <c r="A7265" s="561">
        <v>73</v>
      </c>
      <c r="B7265" s="561" t="s">
        <v>1908</v>
      </c>
      <c r="C7265" s="561" t="s">
        <v>1267</v>
      </c>
      <c r="D7265" s="561">
        <v>41975.500336839854</v>
      </c>
      <c r="E7265" s="561">
        <v>11160</v>
      </c>
      <c r="F7265" s="561">
        <v>30815.500000000004</v>
      </c>
      <c r="G7265" s="561">
        <v>3137</v>
      </c>
      <c r="H7265" s="561">
        <v>47077.350503506539</v>
      </c>
      <c r="I7265" s="561">
        <v>410</v>
      </c>
      <c r="J7265" s="561">
        <v>5383.4803600000014</v>
      </c>
      <c r="K7265" s="561">
        <v>2972</v>
      </c>
      <c r="L7265" s="561">
        <v>41975.500336839854</v>
      </c>
      <c r="M7265" s="561">
        <v>41975.500336839854</v>
      </c>
      <c r="N7265" s="561">
        <v>11160</v>
      </c>
      <c r="O7265" s="561">
        <v>0</v>
      </c>
      <c r="P7265" s="561">
        <v>30815.500336839854</v>
      </c>
    </row>
    <row r="7266" spans="1:16">
      <c r="C7266" s="561" t="s">
        <v>1199</v>
      </c>
      <c r="D7266" s="561">
        <v>41975.500336839854</v>
      </c>
      <c r="E7266" s="561">
        <v>11160</v>
      </c>
      <c r="F7266" s="561">
        <v>30815.500000000004</v>
      </c>
      <c r="G7266" s="561">
        <v>3137</v>
      </c>
      <c r="H7266" s="561">
        <v>47077.350503506539</v>
      </c>
      <c r="I7266" s="561">
        <v>410</v>
      </c>
      <c r="J7266" s="561">
        <v>5383.4803600000014</v>
      </c>
      <c r="K7266" s="561">
        <v>2972</v>
      </c>
      <c r="L7266" s="561">
        <v>41975.500336839854</v>
      </c>
      <c r="M7266" s="561">
        <v>41975.500336839854</v>
      </c>
      <c r="N7266" s="561">
        <v>11160</v>
      </c>
      <c r="P7266" s="561">
        <v>30815.500336839854</v>
      </c>
    </row>
    <row r="7267" spans="1:16">
      <c r="A7267" s="561">
        <v>74</v>
      </c>
      <c r="B7267" s="561" t="s">
        <v>1909</v>
      </c>
      <c r="C7267" s="561" t="s">
        <v>1267</v>
      </c>
      <c r="D7267" s="561">
        <v>40714.70024576976</v>
      </c>
      <c r="E7267" s="561">
        <v>9360</v>
      </c>
      <c r="F7267" s="561">
        <v>31354.699999999997</v>
      </c>
      <c r="G7267" s="561">
        <v>3021</v>
      </c>
      <c r="H7267" s="561">
        <v>47414.433239103091</v>
      </c>
      <c r="I7267" s="561">
        <v>402</v>
      </c>
      <c r="J7267" s="561">
        <v>6642.3895800000009</v>
      </c>
      <c r="K7267" s="561">
        <v>2710</v>
      </c>
      <c r="L7267" s="561">
        <v>40714.70024576976</v>
      </c>
      <c r="M7267" s="561">
        <v>40714.70024576976</v>
      </c>
      <c r="N7267" s="561">
        <v>9360</v>
      </c>
      <c r="O7267" s="561">
        <v>0</v>
      </c>
      <c r="P7267" s="561">
        <v>31354.70024576976</v>
      </c>
    </row>
    <row r="7268" spans="1:16">
      <c r="C7268" s="561" t="s">
        <v>1199</v>
      </c>
      <c r="D7268" s="561">
        <v>40714.70024576976</v>
      </c>
      <c r="E7268" s="561">
        <v>9360</v>
      </c>
      <c r="F7268" s="561">
        <v>31354.699999999997</v>
      </c>
      <c r="G7268" s="561">
        <v>3021</v>
      </c>
      <c r="H7268" s="561">
        <v>47414.433239103091</v>
      </c>
      <c r="I7268" s="561">
        <v>402</v>
      </c>
      <c r="J7268" s="561">
        <v>6642.3895800000009</v>
      </c>
      <c r="K7268" s="561">
        <v>2710</v>
      </c>
      <c r="L7268" s="561">
        <v>40714.70024576976</v>
      </c>
      <c r="M7268" s="561">
        <v>40714.70024576976</v>
      </c>
      <c r="N7268" s="561">
        <v>9360</v>
      </c>
      <c r="P7268" s="561">
        <v>31354.70024576976</v>
      </c>
    </row>
    <row r="7269" spans="1:16">
      <c r="A7269" s="561">
        <v>75</v>
      </c>
      <c r="B7269" s="561" t="s">
        <v>1387</v>
      </c>
      <c r="C7269" s="561" t="s">
        <v>1267</v>
      </c>
      <c r="D7269" s="561">
        <v>52433.400339999986</v>
      </c>
      <c r="E7269" s="561">
        <v>14919.6</v>
      </c>
      <c r="F7269" s="561">
        <v>37513.800000000003</v>
      </c>
      <c r="G7269" s="561">
        <v>207</v>
      </c>
      <c r="H7269" s="561">
        <v>52993.048869999991</v>
      </c>
      <c r="I7269" s="561">
        <v>4</v>
      </c>
      <c r="J7269" s="561">
        <v>559.64853000000039</v>
      </c>
      <c r="K7269" s="561">
        <v>203</v>
      </c>
      <c r="L7269" s="561">
        <v>52433.400339999986</v>
      </c>
      <c r="M7269" s="561">
        <v>52433.400339999986</v>
      </c>
      <c r="N7269" s="561">
        <v>14919.6</v>
      </c>
      <c r="O7269" s="561">
        <v>0</v>
      </c>
      <c r="P7269" s="561">
        <v>37513.800339999987</v>
      </c>
    </row>
    <row r="7270" spans="1:16">
      <c r="C7270" s="561" t="s">
        <v>1199</v>
      </c>
      <c r="D7270" s="561">
        <v>52433.400339999986</v>
      </c>
      <c r="E7270" s="561">
        <v>14919.6</v>
      </c>
      <c r="F7270" s="561">
        <v>37513.800000000003</v>
      </c>
      <c r="G7270" s="561">
        <v>207</v>
      </c>
      <c r="H7270" s="561">
        <v>52993.048869999991</v>
      </c>
      <c r="I7270" s="561">
        <v>4</v>
      </c>
      <c r="J7270" s="561">
        <v>559.64853000000039</v>
      </c>
      <c r="K7270" s="561">
        <v>203</v>
      </c>
      <c r="L7270" s="561">
        <v>52433.400339999986</v>
      </c>
      <c r="M7270" s="561">
        <v>52433.400339999986</v>
      </c>
      <c r="N7270" s="561">
        <v>14919.6</v>
      </c>
      <c r="P7270" s="561">
        <v>37513.800339999987</v>
      </c>
    </row>
    <row r="7271" spans="1:16">
      <c r="B7271" s="561" t="s">
        <v>1910</v>
      </c>
      <c r="D7271" s="561">
        <v>452462.55372695334</v>
      </c>
      <c r="E7271" s="561">
        <v>126571.79999999997</v>
      </c>
      <c r="F7271" s="561">
        <v>325890.7529809199</v>
      </c>
      <c r="G7271" s="561">
        <v>9222</v>
      </c>
      <c r="H7271" s="561">
        <v>480631.43448028673</v>
      </c>
      <c r="I7271" s="561">
        <v>725</v>
      </c>
      <c r="J7271" s="561">
        <v>29539.504690000002</v>
      </c>
      <c r="K7271" s="561">
        <v>9138</v>
      </c>
      <c r="L7271" s="561">
        <v>452462.55372695334</v>
      </c>
      <c r="M7271" s="561">
        <v>452462.55372695334</v>
      </c>
      <c r="N7271" s="561">
        <v>126571.79999999997</v>
      </c>
      <c r="O7271" s="561">
        <v>0</v>
      </c>
      <c r="P7271" s="561">
        <v>325890.75372695335</v>
      </c>
    </row>
    <row r="7272" spans="1:16">
      <c r="A7272" s="561">
        <v>76</v>
      </c>
      <c r="B7272" s="561" t="s">
        <v>1911</v>
      </c>
      <c r="C7272" s="561" t="s">
        <v>1267</v>
      </c>
      <c r="D7272" s="561">
        <v>432129.55357425328</v>
      </c>
      <c r="E7272" s="561">
        <v>121171.79999999997</v>
      </c>
      <c r="F7272" s="561">
        <v>310957.7529809199</v>
      </c>
      <c r="G7272" s="561">
        <v>7794</v>
      </c>
      <c r="H7272" s="561">
        <v>458807.84955091996</v>
      </c>
      <c r="I7272" s="561">
        <v>689</v>
      </c>
      <c r="J7272" s="561">
        <v>28166.82661</v>
      </c>
      <c r="K7272" s="561">
        <v>7710</v>
      </c>
      <c r="L7272" s="561">
        <v>432129.55357425328</v>
      </c>
      <c r="M7272" s="561">
        <v>432129.55357425328</v>
      </c>
      <c r="N7272" s="561">
        <v>121171.79999999997</v>
      </c>
      <c r="O7272" s="561">
        <v>0</v>
      </c>
      <c r="P7272" s="561">
        <v>310957.75357425329</v>
      </c>
    </row>
    <row r="7273" spans="1:16">
      <c r="C7273" s="561" t="s">
        <v>1197</v>
      </c>
      <c r="D7273" s="561">
        <v>415390.38251999998</v>
      </c>
      <c r="E7273" s="561">
        <v>116491.79999999997</v>
      </c>
      <c r="F7273" s="561">
        <v>298898.58240999992</v>
      </c>
      <c r="G7273" s="561">
        <v>6701</v>
      </c>
      <c r="H7273" s="561">
        <v>441862.50292</v>
      </c>
      <c r="I7273" s="561">
        <v>663</v>
      </c>
      <c r="J7273" s="561">
        <v>28009.181710000001</v>
      </c>
      <c r="K7273" s="561">
        <v>6619</v>
      </c>
      <c r="L7273" s="561">
        <v>415390.38251999998</v>
      </c>
      <c r="M7273" s="561">
        <v>415390.38251999998</v>
      </c>
      <c r="N7273" s="561">
        <v>116491.79999999997</v>
      </c>
    </row>
    <row r="7274" spans="1:16">
      <c r="C7274" s="561" t="s">
        <v>1199</v>
      </c>
      <c r="D7274" s="561">
        <v>16739.171054253315</v>
      </c>
      <c r="E7274" s="561">
        <v>4680</v>
      </c>
      <c r="F7274" s="561">
        <v>12059.170570919985</v>
      </c>
      <c r="G7274" s="561">
        <v>1093</v>
      </c>
      <c r="H7274" s="561">
        <v>16945.346630919983</v>
      </c>
      <c r="I7274" s="561">
        <v>26</v>
      </c>
      <c r="J7274" s="561">
        <v>157.64490000000009</v>
      </c>
      <c r="K7274" s="561">
        <v>1091</v>
      </c>
      <c r="L7274" s="561">
        <v>16739.171054253315</v>
      </c>
      <c r="M7274" s="561">
        <v>16739.171054253315</v>
      </c>
      <c r="N7274" s="561">
        <v>4680</v>
      </c>
      <c r="P7274" s="561">
        <v>12059.171054253315</v>
      </c>
    </row>
    <row r="7275" spans="1:16">
      <c r="A7275" s="561">
        <v>77</v>
      </c>
      <c r="B7275" s="561" t="s">
        <v>1912</v>
      </c>
      <c r="C7275" s="561" t="s">
        <v>1267</v>
      </c>
      <c r="D7275" s="561">
        <v>20333.000152700082</v>
      </c>
      <c r="E7275" s="561">
        <v>5399.9999999999991</v>
      </c>
      <c r="F7275" s="561">
        <v>14933</v>
      </c>
      <c r="G7275" s="561">
        <v>1428</v>
      </c>
      <c r="H7275" s="561">
        <v>21823.584929366749</v>
      </c>
      <c r="I7275" s="561">
        <v>36</v>
      </c>
      <c r="J7275" s="561">
        <v>1372.6780799999997</v>
      </c>
      <c r="K7275" s="561">
        <v>1428</v>
      </c>
      <c r="L7275" s="561">
        <v>20333.000152700082</v>
      </c>
      <c r="M7275" s="561">
        <v>20333.000152700082</v>
      </c>
      <c r="N7275" s="561">
        <v>5399.9999999999991</v>
      </c>
      <c r="O7275" s="561">
        <v>0</v>
      </c>
      <c r="P7275" s="561">
        <v>14933.000152700082</v>
      </c>
    </row>
    <row r="7276" spans="1:16">
      <c r="C7276" s="561" t="s">
        <v>1199</v>
      </c>
      <c r="D7276" s="561">
        <v>20333.000152700082</v>
      </c>
      <c r="E7276" s="561">
        <v>5399.9999999999991</v>
      </c>
      <c r="F7276" s="561">
        <v>14933</v>
      </c>
      <c r="G7276" s="561">
        <v>1428</v>
      </c>
      <c r="H7276" s="561">
        <v>21823.584929366749</v>
      </c>
      <c r="I7276" s="561">
        <v>36</v>
      </c>
      <c r="J7276" s="561">
        <v>1372.6780799999997</v>
      </c>
      <c r="K7276" s="561">
        <v>1428</v>
      </c>
      <c r="L7276" s="561">
        <v>20333.000152700082</v>
      </c>
      <c r="M7276" s="561">
        <v>20333.000152700082</v>
      </c>
      <c r="N7276" s="561">
        <v>5399.9999999999991</v>
      </c>
      <c r="P7276" s="561">
        <v>14933.000152700082</v>
      </c>
    </row>
    <row r="7277" spans="1:16">
      <c r="B7277" s="561" t="s">
        <v>1913</v>
      </c>
      <c r="D7277" s="561">
        <v>750269.21939704602</v>
      </c>
      <c r="E7277" s="561">
        <v>205955.09999999998</v>
      </c>
      <c r="F7277" s="561">
        <v>544314.11824600399</v>
      </c>
      <c r="G7277" s="561">
        <v>15900</v>
      </c>
      <c r="H7277" s="561">
        <v>804845.97699299059</v>
      </c>
      <c r="I7277" s="561">
        <v>1531</v>
      </c>
      <c r="J7277" s="561">
        <v>58995.719379999995</v>
      </c>
      <c r="K7277" s="561">
        <v>15684</v>
      </c>
      <c r="L7277" s="561">
        <v>750269.21939704602</v>
      </c>
      <c r="M7277" s="561">
        <v>750269.21939704602</v>
      </c>
      <c r="N7277" s="561">
        <v>205955.09999999998</v>
      </c>
      <c r="O7277" s="561">
        <v>0</v>
      </c>
      <c r="P7277" s="561">
        <v>544314.11939704604</v>
      </c>
    </row>
    <row r="7278" spans="1:16">
      <c r="A7278" s="561">
        <v>78</v>
      </c>
      <c r="B7278" s="561" t="s">
        <v>1914</v>
      </c>
      <c r="C7278" s="561" t="s">
        <v>1267</v>
      </c>
      <c r="D7278" s="561">
        <v>494190.88570933725</v>
      </c>
      <c r="E7278" s="561">
        <v>97160.39999999998</v>
      </c>
      <c r="F7278" s="561">
        <v>397030.48551600397</v>
      </c>
      <c r="G7278" s="561">
        <v>8754</v>
      </c>
      <c r="H7278" s="561">
        <v>531127.70966861513</v>
      </c>
      <c r="I7278" s="561">
        <v>895</v>
      </c>
      <c r="J7278" s="561">
        <v>39554.966319999992</v>
      </c>
      <c r="K7278" s="561">
        <v>8634</v>
      </c>
      <c r="L7278" s="561">
        <v>494190.88570933725</v>
      </c>
      <c r="M7278" s="561">
        <v>494190.88570933725</v>
      </c>
      <c r="N7278" s="561">
        <v>97160.39999999998</v>
      </c>
      <c r="O7278" s="561">
        <v>0</v>
      </c>
      <c r="P7278" s="561">
        <v>397030.48570933728</v>
      </c>
    </row>
    <row r="7279" spans="1:16">
      <c r="C7279" s="561" t="s">
        <v>1197</v>
      </c>
      <c r="D7279" s="561">
        <v>481347.97588600393</v>
      </c>
      <c r="E7279" s="561">
        <v>94460.39999999998</v>
      </c>
      <c r="F7279" s="561">
        <v>386887.57565600396</v>
      </c>
      <c r="G7279" s="561">
        <v>7997</v>
      </c>
      <c r="H7279" s="561">
        <v>518044.82686600398</v>
      </c>
      <c r="I7279" s="561">
        <v>846</v>
      </c>
      <c r="J7279" s="561">
        <v>39278.602579999992</v>
      </c>
      <c r="K7279" s="561">
        <v>7879</v>
      </c>
      <c r="L7279" s="561">
        <v>481347.97588600393</v>
      </c>
      <c r="M7279" s="561">
        <v>481347.97588600393</v>
      </c>
      <c r="N7279" s="561">
        <v>94460.39999999998</v>
      </c>
    </row>
    <row r="7280" spans="1:16">
      <c r="C7280" s="561" t="s">
        <v>1199</v>
      </c>
      <c r="D7280" s="561">
        <v>12842.909823333332</v>
      </c>
      <c r="E7280" s="561">
        <v>2699.9999999999995</v>
      </c>
      <c r="F7280" s="561">
        <v>10142.90986</v>
      </c>
      <c r="G7280" s="561">
        <v>757</v>
      </c>
      <c r="H7280" s="561">
        <v>13082.882802611199</v>
      </c>
      <c r="I7280" s="561">
        <v>49</v>
      </c>
      <c r="J7280" s="561">
        <v>276.36374000000001</v>
      </c>
      <c r="K7280" s="561">
        <v>755</v>
      </c>
      <c r="L7280" s="561">
        <v>12842.909823333332</v>
      </c>
      <c r="M7280" s="561">
        <v>12842.909823333332</v>
      </c>
      <c r="N7280" s="561">
        <v>2699.9999999999995</v>
      </c>
      <c r="P7280" s="561">
        <v>10142.909823333332</v>
      </c>
    </row>
    <row r="7281" spans="1:16">
      <c r="A7281" s="561">
        <v>79</v>
      </c>
      <c r="B7281" s="561" t="s">
        <v>1915</v>
      </c>
      <c r="C7281" s="561" t="s">
        <v>1267</v>
      </c>
      <c r="D7281" s="561">
        <v>214650.83343666667</v>
      </c>
      <c r="E7281" s="561">
        <v>98534.7</v>
      </c>
      <c r="F7281" s="561">
        <v>116116.13273</v>
      </c>
      <c r="G7281" s="561">
        <v>4108</v>
      </c>
      <c r="H7281" s="561">
        <v>225032.05901999999</v>
      </c>
      <c r="I7281" s="561">
        <v>386</v>
      </c>
      <c r="J7281" s="561">
        <v>12045.634040000001</v>
      </c>
      <c r="K7281" s="561">
        <v>4081</v>
      </c>
      <c r="L7281" s="561">
        <v>214650.83343666667</v>
      </c>
      <c r="M7281" s="561">
        <v>214650.83343666667</v>
      </c>
      <c r="N7281" s="561">
        <v>98534.7</v>
      </c>
      <c r="O7281" s="561">
        <v>0</v>
      </c>
      <c r="P7281" s="561">
        <v>116116.13343666666</v>
      </c>
    </row>
    <row r="7282" spans="1:16">
      <c r="C7282" s="561" t="s">
        <v>1197</v>
      </c>
      <c r="D7282" s="561">
        <v>211910.35256999999</v>
      </c>
      <c r="E7282" s="561">
        <v>96734.7</v>
      </c>
      <c r="F7282" s="561">
        <v>115175.65225</v>
      </c>
      <c r="G7282" s="561">
        <v>3905</v>
      </c>
      <c r="H7282" s="561">
        <v>222188.69224999999</v>
      </c>
      <c r="I7282" s="561">
        <v>377</v>
      </c>
      <c r="J7282" s="561">
        <v>11945.554980000001</v>
      </c>
      <c r="K7282" s="561">
        <v>3883</v>
      </c>
      <c r="L7282" s="561">
        <v>211910.35256999999</v>
      </c>
      <c r="M7282" s="561">
        <v>211910.35256999999</v>
      </c>
      <c r="N7282" s="561">
        <v>96734.7</v>
      </c>
    </row>
    <row r="7283" spans="1:16">
      <c r="C7283" s="561" t="s">
        <v>1199</v>
      </c>
      <c r="D7283" s="561">
        <v>2740.4808666666668</v>
      </c>
      <c r="E7283" s="561">
        <v>1800</v>
      </c>
      <c r="F7283" s="561">
        <v>940.48048000000017</v>
      </c>
      <c r="G7283" s="561">
        <v>203</v>
      </c>
      <c r="H7283" s="561">
        <v>2843.3667699999996</v>
      </c>
      <c r="I7283" s="561">
        <v>9</v>
      </c>
      <c r="J7283" s="561">
        <v>100.07905999999998</v>
      </c>
      <c r="K7283" s="561">
        <v>198</v>
      </c>
      <c r="L7283" s="561">
        <v>2740.4808666666668</v>
      </c>
      <c r="M7283" s="561">
        <v>2740.4808666666668</v>
      </c>
      <c r="N7283" s="561">
        <v>1800</v>
      </c>
      <c r="P7283" s="561">
        <v>940.48086666666677</v>
      </c>
    </row>
    <row r="7284" spans="1:16">
      <c r="A7284" s="561">
        <v>80</v>
      </c>
      <c r="B7284" s="561" t="s">
        <v>1916</v>
      </c>
      <c r="C7284" s="561" t="s">
        <v>1267</v>
      </c>
      <c r="D7284" s="561">
        <v>32089.999935010408</v>
      </c>
      <c r="E7284" s="561">
        <v>7559.9999999999982</v>
      </c>
      <c r="F7284" s="561">
        <v>24530.000000000004</v>
      </c>
      <c r="G7284" s="561">
        <v>2217</v>
      </c>
      <c r="H7284" s="561">
        <v>36092.044005010415</v>
      </c>
      <c r="I7284" s="561">
        <v>150</v>
      </c>
      <c r="J7284" s="561">
        <v>4044.2376000000004</v>
      </c>
      <c r="K7284" s="561">
        <v>2170</v>
      </c>
      <c r="L7284" s="561">
        <v>32089.999935010408</v>
      </c>
      <c r="M7284" s="561">
        <v>32089.999935010408</v>
      </c>
      <c r="N7284" s="561">
        <v>7559.9999999999982</v>
      </c>
      <c r="O7284" s="561">
        <v>0</v>
      </c>
      <c r="P7284" s="561">
        <v>24529.999935010412</v>
      </c>
    </row>
    <row r="7285" spans="1:16">
      <c r="C7285" s="561" t="s">
        <v>1199</v>
      </c>
      <c r="D7285" s="561">
        <v>32089.999935010408</v>
      </c>
      <c r="E7285" s="561">
        <v>7559.9999999999982</v>
      </c>
      <c r="F7285" s="561">
        <v>24530.000000000004</v>
      </c>
      <c r="G7285" s="561">
        <v>2217</v>
      </c>
      <c r="H7285" s="561">
        <v>36092.044005010415</v>
      </c>
      <c r="I7285" s="561">
        <v>150</v>
      </c>
      <c r="J7285" s="561">
        <v>4044.2376000000004</v>
      </c>
      <c r="K7285" s="561">
        <v>2170</v>
      </c>
      <c r="L7285" s="561">
        <v>32089.999935010408</v>
      </c>
      <c r="M7285" s="561">
        <v>32089.999935010408</v>
      </c>
      <c r="N7285" s="561">
        <v>7559.9999999999982</v>
      </c>
      <c r="P7285" s="561">
        <v>24529.999935010412</v>
      </c>
    </row>
    <row r="7286" spans="1:16">
      <c r="A7286" s="561">
        <v>81</v>
      </c>
      <c r="B7286" s="561" t="s">
        <v>1917</v>
      </c>
      <c r="C7286" s="561" t="s">
        <v>1267</v>
      </c>
      <c r="D7286" s="561">
        <v>9337.5003160316646</v>
      </c>
      <c r="E7286" s="561">
        <v>2699.9999999999995</v>
      </c>
      <c r="F7286" s="561">
        <v>6637.5</v>
      </c>
      <c r="G7286" s="561">
        <v>821</v>
      </c>
      <c r="H7286" s="561">
        <v>12594.164299364998</v>
      </c>
      <c r="I7286" s="561">
        <v>100</v>
      </c>
      <c r="J7286" s="561">
        <v>3350.8814200000002</v>
      </c>
      <c r="K7286" s="561">
        <v>799</v>
      </c>
      <c r="L7286" s="561">
        <v>9337.5003160316646</v>
      </c>
      <c r="M7286" s="561">
        <v>9337.5003160316646</v>
      </c>
      <c r="N7286" s="561">
        <v>2699.9999999999995</v>
      </c>
      <c r="O7286" s="561">
        <v>0</v>
      </c>
      <c r="P7286" s="561">
        <v>6637.5003160316646</v>
      </c>
    </row>
    <row r="7287" spans="1:16">
      <c r="C7287" s="561" t="s">
        <v>1199</v>
      </c>
      <c r="D7287" s="561">
        <v>9337.5003160316646</v>
      </c>
      <c r="E7287" s="561">
        <v>2699.9999999999995</v>
      </c>
      <c r="F7287" s="561">
        <v>6637.5</v>
      </c>
      <c r="G7287" s="561">
        <v>821</v>
      </c>
      <c r="H7287" s="561">
        <v>12594.164299364998</v>
      </c>
      <c r="I7287" s="561">
        <v>100</v>
      </c>
      <c r="J7287" s="561">
        <v>3350.8814200000002</v>
      </c>
      <c r="K7287" s="561">
        <v>799</v>
      </c>
      <c r="L7287" s="561">
        <v>9337.5003160316646</v>
      </c>
      <c r="M7287" s="561">
        <v>9337.5003160316646</v>
      </c>
      <c r="N7287" s="561">
        <v>2699.9999999999995</v>
      </c>
      <c r="P7287" s="561">
        <v>6637.5003160316646</v>
      </c>
    </row>
    <row r="7288" spans="1:16">
      <c r="B7288" s="561" t="s">
        <v>1918</v>
      </c>
      <c r="D7288" s="561">
        <v>718521.28606320766</v>
      </c>
      <c r="E7288" s="561">
        <v>172275.29999999996</v>
      </c>
      <c r="F7288" s="561">
        <v>546245.98649987439</v>
      </c>
      <c r="G7288" s="561">
        <v>13862</v>
      </c>
      <c r="H7288" s="561">
        <v>769157.22883987403</v>
      </c>
      <c r="I7288" s="561">
        <v>1493</v>
      </c>
      <c r="J7288" s="561">
        <v>56763.563470000001</v>
      </c>
      <c r="K7288" s="561">
        <v>13711</v>
      </c>
      <c r="L7288" s="561">
        <v>718521.28606320766</v>
      </c>
      <c r="M7288" s="561">
        <v>718521.28606320766</v>
      </c>
      <c r="N7288" s="561">
        <v>172275.29999999996</v>
      </c>
      <c r="O7288" s="561">
        <v>0</v>
      </c>
      <c r="P7288" s="561">
        <v>546245.98606320773</v>
      </c>
    </row>
    <row r="7289" spans="1:16">
      <c r="A7289" s="561">
        <v>82</v>
      </c>
      <c r="B7289" s="561" t="s">
        <v>1919</v>
      </c>
      <c r="C7289" s="561" t="s">
        <v>1267</v>
      </c>
      <c r="D7289" s="561">
        <v>698301.18649987434</v>
      </c>
      <c r="E7289" s="561">
        <v>166875.29999999996</v>
      </c>
      <c r="F7289" s="561">
        <v>531425.88649987441</v>
      </c>
      <c r="G7289" s="561">
        <v>12340</v>
      </c>
      <c r="H7289" s="561">
        <v>746601.31514987408</v>
      </c>
      <c r="I7289" s="561">
        <v>1401</v>
      </c>
      <c r="J7289" s="561">
        <v>54428.86909</v>
      </c>
      <c r="K7289" s="561">
        <v>12238</v>
      </c>
      <c r="L7289" s="561">
        <v>698301.18649987434</v>
      </c>
      <c r="M7289" s="561">
        <v>698301.18649987434</v>
      </c>
      <c r="N7289" s="561">
        <v>166875.29999999996</v>
      </c>
      <c r="O7289" s="561">
        <v>0</v>
      </c>
      <c r="P7289" s="561">
        <v>531425.88649987441</v>
      </c>
    </row>
    <row r="7290" spans="1:16">
      <c r="C7290" s="561" t="s">
        <v>1197</v>
      </c>
      <c r="D7290" s="561">
        <v>672852.05252000014</v>
      </c>
      <c r="E7290" s="561">
        <v>161475.29999999996</v>
      </c>
      <c r="F7290" s="561">
        <v>511376.75252000021</v>
      </c>
      <c r="G7290" s="561">
        <v>10725</v>
      </c>
      <c r="H7290" s="561">
        <v>720891.52203999995</v>
      </c>
      <c r="I7290" s="561">
        <v>1324</v>
      </c>
      <c r="J7290" s="561">
        <v>54047.35658</v>
      </c>
      <c r="K7290" s="561">
        <v>10625</v>
      </c>
      <c r="L7290" s="561">
        <v>672852.05252000014</v>
      </c>
      <c r="M7290" s="561">
        <v>672852.05252000014</v>
      </c>
      <c r="N7290" s="561">
        <v>161475.29999999996</v>
      </c>
    </row>
    <row r="7291" spans="1:16">
      <c r="C7291" s="561" t="s">
        <v>1199</v>
      </c>
      <c r="D7291" s="561">
        <v>25449.133979874176</v>
      </c>
      <c r="E7291" s="561">
        <v>5399.9999999999991</v>
      </c>
      <c r="F7291" s="561">
        <v>20049.133979874176</v>
      </c>
      <c r="G7291" s="561">
        <v>1615</v>
      </c>
      <c r="H7291" s="561">
        <v>25709.793109874172</v>
      </c>
      <c r="I7291" s="561">
        <v>77</v>
      </c>
      <c r="J7291" s="561">
        <v>381.51250999999991</v>
      </c>
      <c r="K7291" s="561">
        <v>1613</v>
      </c>
      <c r="L7291" s="561">
        <v>25449.133979874176</v>
      </c>
      <c r="M7291" s="561">
        <v>25449.133979874176</v>
      </c>
      <c r="N7291" s="561">
        <v>5399.9999999999991</v>
      </c>
      <c r="P7291" s="561">
        <v>20049.133979874176</v>
      </c>
    </row>
    <row r="7292" spans="1:16">
      <c r="A7292" s="561">
        <v>83</v>
      </c>
      <c r="B7292" s="561" t="s">
        <v>1920</v>
      </c>
      <c r="C7292" s="561" t="s">
        <v>1267</v>
      </c>
      <c r="D7292" s="561">
        <v>20220.09956333333</v>
      </c>
      <c r="E7292" s="561">
        <v>5399.9999999999991</v>
      </c>
      <c r="F7292" s="561">
        <v>14820.1</v>
      </c>
      <c r="G7292" s="561">
        <v>1522</v>
      </c>
      <c r="H7292" s="561">
        <v>22555.913689999994</v>
      </c>
      <c r="I7292" s="561">
        <v>92</v>
      </c>
      <c r="J7292" s="561">
        <v>2334.6943799999999</v>
      </c>
      <c r="K7292" s="561">
        <v>1473</v>
      </c>
      <c r="L7292" s="561">
        <v>20220.09956333333</v>
      </c>
      <c r="M7292" s="561">
        <v>20220.09956333333</v>
      </c>
      <c r="N7292" s="561">
        <v>5399.9999999999991</v>
      </c>
      <c r="O7292" s="561">
        <v>0</v>
      </c>
      <c r="P7292" s="561">
        <v>14820.09956333333</v>
      </c>
    </row>
    <row r="7293" spans="1:16">
      <c r="C7293" s="561" t="s">
        <v>1199</v>
      </c>
      <c r="D7293" s="561">
        <v>20220.09956333333</v>
      </c>
      <c r="E7293" s="561">
        <v>5399.9999999999991</v>
      </c>
      <c r="F7293" s="561">
        <v>14820.1</v>
      </c>
      <c r="G7293" s="561">
        <v>1522</v>
      </c>
      <c r="H7293" s="561">
        <v>22555.913689999994</v>
      </c>
      <c r="I7293" s="561">
        <v>92</v>
      </c>
      <c r="J7293" s="561">
        <v>2334.6943799999999</v>
      </c>
      <c r="K7293" s="561">
        <v>1473</v>
      </c>
      <c r="L7293" s="561">
        <v>20220.09956333333</v>
      </c>
      <c r="M7293" s="561">
        <v>20220.09956333333</v>
      </c>
      <c r="N7293" s="561">
        <v>5399.9999999999991</v>
      </c>
      <c r="P7293" s="561">
        <v>14820.09956333333</v>
      </c>
    </row>
    <row r="7294" spans="1:16">
      <c r="B7294" s="561" t="s">
        <v>1921</v>
      </c>
      <c r="D7294" s="561">
        <v>470358.96065880603</v>
      </c>
      <c r="E7294" s="561">
        <v>128463.6</v>
      </c>
      <c r="F7294" s="561">
        <v>341895.36008993135</v>
      </c>
      <c r="G7294" s="561">
        <v>11026</v>
      </c>
      <c r="H7294" s="561">
        <v>501902.23090213927</v>
      </c>
      <c r="I7294" s="561">
        <v>1105</v>
      </c>
      <c r="J7294" s="561">
        <v>34435.936450000008</v>
      </c>
      <c r="K7294" s="561">
        <v>10856</v>
      </c>
      <c r="L7294" s="561">
        <v>470358.96065880603</v>
      </c>
      <c r="M7294" s="561">
        <v>470358.96065880603</v>
      </c>
      <c r="N7294" s="561">
        <v>128463.6</v>
      </c>
      <c r="O7294" s="561">
        <v>0</v>
      </c>
      <c r="P7294" s="561">
        <v>341895.36065880599</v>
      </c>
    </row>
    <row r="7295" spans="1:16">
      <c r="A7295" s="561">
        <v>84</v>
      </c>
      <c r="B7295" s="561" t="s">
        <v>1922</v>
      </c>
      <c r="C7295" s="561" t="s">
        <v>1267</v>
      </c>
      <c r="D7295" s="561">
        <v>416302.66121993138</v>
      </c>
      <c r="E7295" s="561">
        <v>114646.80000000002</v>
      </c>
      <c r="F7295" s="561">
        <v>301655.86108993134</v>
      </c>
      <c r="G7295" s="561">
        <v>6951</v>
      </c>
      <c r="H7295" s="561">
        <v>443802.69941993128</v>
      </c>
      <c r="I7295" s="561">
        <v>816</v>
      </c>
      <c r="J7295" s="561">
        <v>30336.656740000002</v>
      </c>
      <c r="K7295" s="561">
        <v>6878</v>
      </c>
      <c r="L7295" s="561">
        <v>416302.66121993138</v>
      </c>
      <c r="M7295" s="561">
        <v>416302.66121993138</v>
      </c>
      <c r="N7295" s="561">
        <v>114646.80000000002</v>
      </c>
      <c r="O7295" s="561">
        <v>0</v>
      </c>
      <c r="P7295" s="561">
        <v>301655.86121993134</v>
      </c>
    </row>
    <row r="7296" spans="1:16">
      <c r="C7296" s="561" t="s">
        <v>1197</v>
      </c>
      <c r="D7296" s="561">
        <v>406147.88376</v>
      </c>
      <c r="E7296" s="561">
        <v>112306.80000000002</v>
      </c>
      <c r="F7296" s="561">
        <v>293841.08376999997</v>
      </c>
      <c r="G7296" s="561">
        <v>6267</v>
      </c>
      <c r="H7296" s="561">
        <v>433368.83439999993</v>
      </c>
      <c r="I7296" s="561">
        <v>754</v>
      </c>
      <c r="J7296" s="561">
        <v>29988.960030000002</v>
      </c>
      <c r="K7296" s="561">
        <v>6198</v>
      </c>
      <c r="L7296" s="561">
        <v>406147.88376</v>
      </c>
      <c r="M7296" s="561">
        <v>406147.88376</v>
      </c>
      <c r="N7296" s="561">
        <v>112306.80000000002</v>
      </c>
    </row>
    <row r="7297" spans="1:16">
      <c r="C7297" s="561" t="s">
        <v>1199</v>
      </c>
      <c r="D7297" s="561">
        <v>10154.777459931362</v>
      </c>
      <c r="E7297" s="561">
        <v>2340</v>
      </c>
      <c r="F7297" s="561">
        <v>7814.7773199313588</v>
      </c>
      <c r="G7297" s="561">
        <v>684</v>
      </c>
      <c r="H7297" s="561">
        <v>10433.86501993136</v>
      </c>
      <c r="I7297" s="561">
        <v>62</v>
      </c>
      <c r="J7297" s="561">
        <v>347.69671</v>
      </c>
      <c r="K7297" s="561">
        <v>680</v>
      </c>
      <c r="L7297" s="561">
        <v>10154.777459931362</v>
      </c>
      <c r="M7297" s="561">
        <v>10154.777459931362</v>
      </c>
      <c r="N7297" s="561">
        <v>2340</v>
      </c>
      <c r="P7297" s="561">
        <v>7814.7774599313616</v>
      </c>
    </row>
    <row r="7298" spans="1:16">
      <c r="A7298" s="561">
        <v>85</v>
      </c>
      <c r="B7298" s="561" t="s">
        <v>1923</v>
      </c>
      <c r="C7298" s="561" t="s">
        <v>1267</v>
      </c>
      <c r="D7298" s="561">
        <v>45551.709306464974</v>
      </c>
      <c r="E7298" s="561">
        <v>11656.799999999996</v>
      </c>
      <c r="F7298" s="561">
        <v>33894.909</v>
      </c>
      <c r="G7298" s="561">
        <v>3358</v>
      </c>
      <c r="H7298" s="561">
        <v>48491.032776464977</v>
      </c>
      <c r="I7298" s="561">
        <v>218</v>
      </c>
      <c r="J7298" s="561">
        <v>2943.69947</v>
      </c>
      <c r="K7298" s="561">
        <v>3263</v>
      </c>
      <c r="L7298" s="561">
        <v>45551.709306464974</v>
      </c>
      <c r="M7298" s="561">
        <v>45551.709306464974</v>
      </c>
      <c r="N7298" s="561">
        <v>11656.799999999996</v>
      </c>
      <c r="O7298" s="561">
        <v>0</v>
      </c>
      <c r="P7298" s="561">
        <v>33894.909306464979</v>
      </c>
    </row>
    <row r="7299" spans="1:16">
      <c r="C7299" s="561" t="s">
        <v>1199</v>
      </c>
      <c r="D7299" s="561">
        <v>45551.709306464974</v>
      </c>
      <c r="E7299" s="561">
        <v>11656.799999999996</v>
      </c>
      <c r="F7299" s="561">
        <v>33894.909</v>
      </c>
      <c r="G7299" s="561">
        <v>3358</v>
      </c>
      <c r="H7299" s="561">
        <v>48491.032776464977</v>
      </c>
      <c r="I7299" s="561">
        <v>218</v>
      </c>
      <c r="J7299" s="561">
        <v>2943.69947</v>
      </c>
      <c r="K7299" s="561">
        <v>3263</v>
      </c>
      <c r="L7299" s="561">
        <v>45551.709306464974</v>
      </c>
      <c r="M7299" s="561">
        <v>45551.709306464974</v>
      </c>
      <c r="N7299" s="561">
        <v>11656.799999999996</v>
      </c>
      <c r="P7299" s="561">
        <v>33894.909306464979</v>
      </c>
    </row>
    <row r="7300" spans="1:16">
      <c r="A7300" s="561">
        <v>86</v>
      </c>
      <c r="B7300" s="561" t="s">
        <v>1924</v>
      </c>
      <c r="C7300" s="561" t="s">
        <v>1267</v>
      </c>
      <c r="D7300" s="561">
        <v>8504.5901324096722</v>
      </c>
      <c r="E7300" s="561">
        <v>2159.9999999999995</v>
      </c>
      <c r="F7300" s="561">
        <v>6344.59</v>
      </c>
      <c r="G7300" s="561">
        <v>717</v>
      </c>
      <c r="H7300" s="561">
        <v>9608.4987057430044</v>
      </c>
      <c r="I7300" s="561">
        <v>71</v>
      </c>
      <c r="J7300" s="561">
        <v>1155.5802400000002</v>
      </c>
      <c r="K7300" s="561">
        <v>715</v>
      </c>
      <c r="L7300" s="561">
        <v>8504.5901324096722</v>
      </c>
      <c r="M7300" s="561">
        <v>8504.5901324096722</v>
      </c>
      <c r="N7300" s="561">
        <v>2159.9999999999995</v>
      </c>
      <c r="O7300" s="561">
        <v>0</v>
      </c>
      <c r="P7300" s="561">
        <v>6344.5901324096722</v>
      </c>
    </row>
    <row r="7301" spans="1:16">
      <c r="C7301" s="561" t="s">
        <v>1199</v>
      </c>
      <c r="D7301" s="561">
        <v>8504.5901324096722</v>
      </c>
      <c r="E7301" s="561">
        <v>2159.9999999999995</v>
      </c>
      <c r="F7301" s="561">
        <v>6344.59</v>
      </c>
      <c r="G7301" s="561">
        <v>717</v>
      </c>
      <c r="H7301" s="561">
        <v>9608.4987057430044</v>
      </c>
      <c r="I7301" s="561">
        <v>71</v>
      </c>
      <c r="J7301" s="561">
        <v>1155.5802400000002</v>
      </c>
      <c r="K7301" s="561">
        <v>715</v>
      </c>
      <c r="L7301" s="561">
        <v>8504.5901324096722</v>
      </c>
      <c r="M7301" s="561">
        <v>8504.5901324096722</v>
      </c>
      <c r="N7301" s="561">
        <v>2159.9999999999995</v>
      </c>
      <c r="P7301" s="561">
        <v>6344.5901324096722</v>
      </c>
    </row>
    <row r="7302" spans="1:16">
      <c r="B7302" s="561" t="s">
        <v>1925</v>
      </c>
      <c r="D7302" s="561">
        <v>677480.56107198435</v>
      </c>
      <c r="E7302" s="561">
        <v>190625.4</v>
      </c>
      <c r="F7302" s="561">
        <v>486855.16148239496</v>
      </c>
      <c r="G7302" s="561">
        <v>16072</v>
      </c>
      <c r="H7302" s="561">
        <v>717028.75563531765</v>
      </c>
      <c r="I7302" s="561">
        <v>2095</v>
      </c>
      <c r="J7302" s="561">
        <v>43634.179269999986</v>
      </c>
      <c r="K7302" s="561">
        <v>15689</v>
      </c>
      <c r="L7302" s="561">
        <v>677480.56107198435</v>
      </c>
      <c r="M7302" s="561">
        <v>677480.56107198435</v>
      </c>
      <c r="N7302" s="561">
        <v>190625.4</v>
      </c>
      <c r="O7302" s="561">
        <v>0</v>
      </c>
      <c r="P7302" s="561">
        <v>486855.16107198427</v>
      </c>
    </row>
    <row r="7303" spans="1:16">
      <c r="A7303" s="561">
        <v>87</v>
      </c>
      <c r="B7303" s="561" t="s">
        <v>1926</v>
      </c>
      <c r="C7303" s="561" t="s">
        <v>1267</v>
      </c>
      <c r="D7303" s="561">
        <v>632395.261482395</v>
      </c>
      <c r="E7303" s="561">
        <v>179105.4</v>
      </c>
      <c r="F7303" s="561">
        <v>453289.86148239498</v>
      </c>
      <c r="G7303" s="561">
        <v>12383</v>
      </c>
      <c r="H7303" s="561">
        <v>664763.9266157283</v>
      </c>
      <c r="I7303" s="561">
        <v>1487</v>
      </c>
      <c r="J7303" s="561">
        <v>36714.921739999991</v>
      </c>
      <c r="K7303" s="561">
        <v>12286</v>
      </c>
      <c r="L7303" s="561">
        <v>632395.261482395</v>
      </c>
      <c r="M7303" s="561">
        <v>632395.261482395</v>
      </c>
      <c r="N7303" s="561">
        <v>179105.4</v>
      </c>
      <c r="O7303" s="561">
        <v>0</v>
      </c>
      <c r="P7303" s="561">
        <v>453289.86148239498</v>
      </c>
    </row>
    <row r="7304" spans="1:16">
      <c r="C7304" s="561" t="s">
        <v>1197</v>
      </c>
      <c r="D7304" s="561">
        <v>602251.54072499182</v>
      </c>
      <c r="E7304" s="561">
        <v>172265.4</v>
      </c>
      <c r="F7304" s="561">
        <v>429986.1407249918</v>
      </c>
      <c r="G7304" s="561">
        <v>10284</v>
      </c>
      <c r="H7304" s="561">
        <v>634412.44250499178</v>
      </c>
      <c r="I7304" s="561">
        <v>1456</v>
      </c>
      <c r="J7304" s="561">
        <v>36596.586809999993</v>
      </c>
      <c r="K7304" s="561">
        <v>10190</v>
      </c>
      <c r="L7304" s="561">
        <v>602251.54072499182</v>
      </c>
      <c r="M7304" s="561">
        <v>602251.54072499182</v>
      </c>
      <c r="N7304" s="561">
        <v>172265.4</v>
      </c>
    </row>
    <row r="7305" spans="1:16">
      <c r="C7305" s="561" t="s">
        <v>1199</v>
      </c>
      <c r="D7305" s="561">
        <v>30143.720757403171</v>
      </c>
      <c r="E7305" s="561">
        <v>6839.9999999999991</v>
      </c>
      <c r="F7305" s="561">
        <v>23303.720757403171</v>
      </c>
      <c r="G7305" s="561">
        <v>2099</v>
      </c>
      <c r="H7305" s="561">
        <v>30351.484110736503</v>
      </c>
      <c r="I7305" s="561">
        <v>31</v>
      </c>
      <c r="J7305" s="561">
        <v>118.33492999999983</v>
      </c>
      <c r="K7305" s="561">
        <v>2096</v>
      </c>
      <c r="L7305" s="561">
        <v>30143.720757403171</v>
      </c>
      <c r="M7305" s="561">
        <v>30143.720757403171</v>
      </c>
      <c r="N7305" s="561">
        <v>6839.9999999999991</v>
      </c>
      <c r="P7305" s="561">
        <v>23303.720757403171</v>
      </c>
    </row>
    <row r="7306" spans="1:16">
      <c r="A7306" s="561">
        <v>88</v>
      </c>
      <c r="B7306" s="561" t="s">
        <v>1927</v>
      </c>
      <c r="C7306" s="561" t="s">
        <v>1267</v>
      </c>
      <c r="D7306" s="561">
        <v>38860.299934951821</v>
      </c>
      <c r="E7306" s="561">
        <v>9720</v>
      </c>
      <c r="F7306" s="561">
        <v>29140.3</v>
      </c>
      <c r="G7306" s="561">
        <v>3216</v>
      </c>
      <c r="H7306" s="561">
        <v>45072.851734951815</v>
      </c>
      <c r="I7306" s="561">
        <v>560</v>
      </c>
      <c r="J7306" s="561">
        <v>6540.3395499999997</v>
      </c>
      <c r="K7306" s="561">
        <v>2930</v>
      </c>
      <c r="L7306" s="561">
        <v>38860.299934951821</v>
      </c>
      <c r="M7306" s="561">
        <v>38860.299934951821</v>
      </c>
      <c r="N7306" s="561">
        <v>9720</v>
      </c>
      <c r="O7306" s="561">
        <v>0</v>
      </c>
      <c r="P7306" s="561">
        <v>29140.299934951821</v>
      </c>
    </row>
    <row r="7307" spans="1:16">
      <c r="C7307" s="561" t="s">
        <v>1199</v>
      </c>
      <c r="D7307" s="561">
        <v>38860.299934951821</v>
      </c>
      <c r="E7307" s="561">
        <v>9720</v>
      </c>
      <c r="F7307" s="561">
        <v>29140.3</v>
      </c>
      <c r="G7307" s="561">
        <v>3216</v>
      </c>
      <c r="H7307" s="561">
        <v>45072.851734951815</v>
      </c>
      <c r="I7307" s="561">
        <v>560</v>
      </c>
      <c r="J7307" s="561">
        <v>6540.3395499999997</v>
      </c>
      <c r="K7307" s="561">
        <v>2930</v>
      </c>
      <c r="L7307" s="561">
        <v>38860.299934951821</v>
      </c>
      <c r="M7307" s="561">
        <v>38860.299934951821</v>
      </c>
      <c r="N7307" s="561">
        <v>9720</v>
      </c>
      <c r="P7307" s="561">
        <v>29140.299934951821</v>
      </c>
    </row>
    <row r="7308" spans="1:16">
      <c r="A7308" s="561">
        <v>89</v>
      </c>
      <c r="B7308" s="561" t="s">
        <v>1928</v>
      </c>
      <c r="C7308" s="561" t="s">
        <v>1267</v>
      </c>
      <c r="D7308" s="561">
        <v>6224.9996546375005</v>
      </c>
      <c r="E7308" s="561">
        <v>1800</v>
      </c>
      <c r="F7308" s="561">
        <v>4425</v>
      </c>
      <c r="G7308" s="561">
        <v>473</v>
      </c>
      <c r="H7308" s="561">
        <v>7191.9772846375017</v>
      </c>
      <c r="I7308" s="561">
        <v>48</v>
      </c>
      <c r="J7308" s="561">
        <v>378.91798</v>
      </c>
      <c r="K7308" s="561">
        <v>473</v>
      </c>
      <c r="L7308" s="561">
        <v>6224.9996546375005</v>
      </c>
      <c r="M7308" s="561">
        <v>6224.9996546375005</v>
      </c>
      <c r="N7308" s="561">
        <v>1800</v>
      </c>
      <c r="O7308" s="561">
        <v>0</v>
      </c>
      <c r="P7308" s="561">
        <v>4424.9996546375005</v>
      </c>
    </row>
    <row r="7309" spans="1:16">
      <c r="C7309" s="561" t="s">
        <v>1199</v>
      </c>
      <c r="D7309" s="561">
        <v>6224.9996546375005</v>
      </c>
      <c r="E7309" s="561">
        <v>1800</v>
      </c>
      <c r="F7309" s="561">
        <v>4425</v>
      </c>
      <c r="G7309" s="561">
        <v>473</v>
      </c>
      <c r="H7309" s="561">
        <v>7191.9772846375017</v>
      </c>
      <c r="I7309" s="561">
        <v>48</v>
      </c>
      <c r="J7309" s="561">
        <v>378.91798</v>
      </c>
      <c r="K7309" s="561">
        <v>473</v>
      </c>
      <c r="L7309" s="561">
        <v>6224.9996546375005</v>
      </c>
      <c r="M7309" s="561">
        <v>6224.9996546375005</v>
      </c>
      <c r="N7309" s="561">
        <v>1800</v>
      </c>
      <c r="P7309" s="561">
        <v>4424.9996546375005</v>
      </c>
    </row>
    <row r="7310" spans="1:16">
      <c r="B7310" s="561" t="s">
        <v>1929</v>
      </c>
      <c r="D7310" s="561">
        <v>1700688.9574319767</v>
      </c>
      <c r="E7310" s="561">
        <v>410092.1999999999</v>
      </c>
      <c r="F7310" s="561">
        <v>1290596.7569944931</v>
      </c>
      <c r="G7310" s="561">
        <v>38352</v>
      </c>
      <c r="H7310" s="561">
        <v>1831215.4935890248</v>
      </c>
      <c r="I7310" s="561">
        <v>3024</v>
      </c>
      <c r="J7310" s="561">
        <v>138474.77435000002</v>
      </c>
      <c r="K7310" s="561">
        <v>37740</v>
      </c>
      <c r="L7310" s="561">
        <v>1700688.9574319767</v>
      </c>
      <c r="M7310" s="561">
        <v>1700688.9574319767</v>
      </c>
      <c r="N7310" s="561">
        <v>410092.1999999999</v>
      </c>
      <c r="O7310" s="561">
        <v>0</v>
      </c>
      <c r="P7310" s="561">
        <v>1290596.7574319767</v>
      </c>
    </row>
    <row r="7311" spans="1:16">
      <c r="A7311" s="561">
        <v>90</v>
      </c>
      <c r="B7311" s="561" t="s">
        <v>1930</v>
      </c>
      <c r="C7311" s="561" t="s">
        <v>1267</v>
      </c>
      <c r="D7311" s="561">
        <v>611275.96069535182</v>
      </c>
      <c r="E7311" s="561">
        <v>152039.39999999997</v>
      </c>
      <c r="F7311" s="561">
        <v>459236.56069535192</v>
      </c>
      <c r="G7311" s="561">
        <v>10589</v>
      </c>
      <c r="H7311" s="561">
        <v>640794.88241201837</v>
      </c>
      <c r="I7311" s="561">
        <v>922</v>
      </c>
      <c r="J7311" s="561">
        <v>32445.340359999998</v>
      </c>
      <c r="K7311" s="561">
        <v>10433</v>
      </c>
      <c r="L7311" s="561">
        <v>611275.96069535182</v>
      </c>
      <c r="M7311" s="561">
        <v>611275.96069535182</v>
      </c>
      <c r="N7311" s="561">
        <v>152039.39999999997</v>
      </c>
      <c r="O7311" s="561">
        <v>0</v>
      </c>
      <c r="P7311" s="561">
        <v>459236.56069535192</v>
      </c>
    </row>
    <row r="7312" spans="1:16">
      <c r="C7312" s="561" t="s">
        <v>1197</v>
      </c>
      <c r="D7312" s="561">
        <v>570485.53249000001</v>
      </c>
      <c r="E7312" s="561">
        <v>143759.39999999997</v>
      </c>
      <c r="F7312" s="561">
        <v>426726.13249000005</v>
      </c>
      <c r="G7312" s="561">
        <v>8243</v>
      </c>
      <c r="H7312" s="561">
        <v>599516.0229199999</v>
      </c>
      <c r="I7312" s="561">
        <v>868</v>
      </c>
      <c r="J7312" s="561">
        <v>32018.76874</v>
      </c>
      <c r="K7312" s="561">
        <v>8098</v>
      </c>
      <c r="L7312" s="561">
        <v>570485.53249000001</v>
      </c>
      <c r="M7312" s="561">
        <v>570485.53249000001</v>
      </c>
      <c r="N7312" s="561">
        <v>143759.39999999997</v>
      </c>
    </row>
    <row r="7313" spans="1:56">
      <c r="C7313" s="561" t="s">
        <v>1199</v>
      </c>
      <c r="D7313" s="561">
        <v>40790.428205351855</v>
      </c>
      <c r="E7313" s="561">
        <v>8280</v>
      </c>
      <c r="F7313" s="561">
        <v>32510.428205351855</v>
      </c>
      <c r="G7313" s="561">
        <v>2346</v>
      </c>
      <c r="H7313" s="561">
        <v>41278.859492018513</v>
      </c>
      <c r="I7313" s="561">
        <v>54</v>
      </c>
      <c r="J7313" s="561">
        <v>426.57162000000028</v>
      </c>
      <c r="K7313" s="561">
        <v>2335</v>
      </c>
      <c r="L7313" s="561">
        <v>40790.428205351855</v>
      </c>
      <c r="M7313" s="561">
        <v>40790.428205351855</v>
      </c>
      <c r="N7313" s="561">
        <v>8280</v>
      </c>
      <c r="P7313" s="561">
        <v>32510.428205351855</v>
      </c>
    </row>
    <row r="7314" spans="1:56">
      <c r="A7314" s="561">
        <v>91</v>
      </c>
      <c r="B7314" s="561" t="s">
        <v>1931</v>
      </c>
      <c r="C7314" s="561" t="s">
        <v>1267</v>
      </c>
      <c r="D7314" s="561">
        <v>68434.652280000009</v>
      </c>
      <c r="E7314" s="561">
        <v>16200</v>
      </c>
      <c r="F7314" s="561">
        <v>52234.652000000002</v>
      </c>
      <c r="G7314" s="561">
        <v>5174</v>
      </c>
      <c r="H7314" s="561">
        <v>71476.558059999996</v>
      </c>
      <c r="I7314" s="561">
        <v>258</v>
      </c>
      <c r="J7314" s="561">
        <v>3172.6226500000002</v>
      </c>
      <c r="K7314" s="561">
        <v>5013</v>
      </c>
      <c r="L7314" s="561">
        <v>68434.652280000009</v>
      </c>
      <c r="M7314" s="561">
        <v>68434.652280000009</v>
      </c>
      <c r="N7314" s="561">
        <v>16200</v>
      </c>
      <c r="O7314" s="561">
        <v>0</v>
      </c>
      <c r="P7314" s="561">
        <v>52234.652280000009</v>
      </c>
    </row>
    <row r="7315" spans="1:56">
      <c r="C7315" s="561" t="s">
        <v>1199</v>
      </c>
      <c r="D7315" s="561">
        <v>68434.652280000009</v>
      </c>
      <c r="E7315" s="561">
        <v>16200</v>
      </c>
      <c r="F7315" s="561">
        <v>52234.652000000002</v>
      </c>
      <c r="G7315" s="561">
        <v>5174</v>
      </c>
      <c r="H7315" s="561">
        <v>71476.558059999996</v>
      </c>
      <c r="I7315" s="561">
        <v>258</v>
      </c>
      <c r="J7315" s="561">
        <v>3172.6226500000002</v>
      </c>
      <c r="K7315" s="561">
        <v>5013</v>
      </c>
      <c r="L7315" s="561">
        <v>68434.652280000009</v>
      </c>
      <c r="M7315" s="561">
        <v>68434.652280000009</v>
      </c>
      <c r="N7315" s="561">
        <v>16200</v>
      </c>
      <c r="P7315" s="561">
        <v>52234.652280000009</v>
      </c>
    </row>
    <row r="7316" spans="1:56">
      <c r="A7316" s="561">
        <v>92</v>
      </c>
      <c r="B7316" s="561" t="s">
        <v>1932</v>
      </c>
      <c r="C7316" s="561" t="s">
        <v>1267</v>
      </c>
      <c r="D7316" s="561">
        <v>236451.59441735767</v>
      </c>
      <c r="E7316" s="561">
        <v>63236.399999999987</v>
      </c>
      <c r="F7316" s="561">
        <v>173215.19490735768</v>
      </c>
      <c r="G7316" s="561">
        <v>4536</v>
      </c>
      <c r="H7316" s="561">
        <v>261314.46883107262</v>
      </c>
      <c r="I7316" s="561">
        <v>469</v>
      </c>
      <c r="J7316" s="561">
        <v>25608.615690000002</v>
      </c>
      <c r="K7316" s="561">
        <v>4504</v>
      </c>
      <c r="L7316" s="561">
        <v>236451.59441735767</v>
      </c>
      <c r="M7316" s="561">
        <v>236451.59441735767</v>
      </c>
      <c r="N7316" s="561">
        <v>63236.399999999987</v>
      </c>
      <c r="O7316" s="561">
        <v>0</v>
      </c>
      <c r="P7316" s="561">
        <v>173215.19441735768</v>
      </c>
    </row>
    <row r="7317" spans="1:56">
      <c r="C7317" s="561" t="s">
        <v>1197</v>
      </c>
      <c r="D7317" s="561">
        <v>228081.73006735768</v>
      </c>
      <c r="E7317" s="561">
        <v>60896.399999999987</v>
      </c>
      <c r="F7317" s="561">
        <v>167185.33027735769</v>
      </c>
      <c r="G7317" s="561">
        <v>3903</v>
      </c>
      <c r="H7317" s="561">
        <v>252904.1778773577</v>
      </c>
      <c r="I7317" s="561">
        <v>459</v>
      </c>
      <c r="J7317" s="561">
        <v>25562.574090000002</v>
      </c>
      <c r="K7317" s="561">
        <v>3871</v>
      </c>
      <c r="L7317" s="561">
        <v>228081.73006735768</v>
      </c>
      <c r="M7317" s="561">
        <v>228081.73006735768</v>
      </c>
      <c r="N7317" s="561">
        <v>60896.399999999987</v>
      </c>
    </row>
    <row r="7318" spans="1:56">
      <c r="C7318" s="561" t="s">
        <v>1199</v>
      </c>
      <c r="D7318" s="561">
        <v>8369.8643500000017</v>
      </c>
      <c r="E7318" s="561">
        <v>2340</v>
      </c>
      <c r="F7318" s="561">
        <v>6029.86463</v>
      </c>
      <c r="G7318" s="561">
        <v>633</v>
      </c>
      <c r="H7318" s="561">
        <v>8410.2909537149153</v>
      </c>
      <c r="I7318" s="561">
        <v>10</v>
      </c>
      <c r="J7318" s="561">
        <v>46.041600000000003</v>
      </c>
      <c r="K7318" s="561">
        <v>633</v>
      </c>
      <c r="L7318" s="561">
        <v>8369.8643500000017</v>
      </c>
      <c r="M7318" s="561">
        <v>8369.8643500000017</v>
      </c>
      <c r="N7318" s="561">
        <v>2340</v>
      </c>
      <c r="P7318" s="561">
        <v>6029.8643500000017</v>
      </c>
    </row>
    <row r="7319" spans="1:56">
      <c r="A7319" s="561">
        <v>93</v>
      </c>
      <c r="B7319" s="561" t="s">
        <v>1933</v>
      </c>
      <c r="C7319" s="561" t="s">
        <v>1267</v>
      </c>
      <c r="D7319" s="561">
        <v>420781.30000666663</v>
      </c>
      <c r="E7319" s="561">
        <v>89295.599999999977</v>
      </c>
      <c r="F7319" s="561">
        <v>331485.70000666665</v>
      </c>
      <c r="G7319" s="561">
        <v>8824</v>
      </c>
      <c r="H7319" s="561">
        <v>463143.35200000001</v>
      </c>
      <c r="I7319" s="561">
        <v>800</v>
      </c>
      <c r="J7319" s="561">
        <v>46394.419310000005</v>
      </c>
      <c r="K7319" s="561">
        <v>8704</v>
      </c>
      <c r="L7319" s="561">
        <v>420781.30000666663</v>
      </c>
      <c r="M7319" s="561">
        <v>420781.30000666663</v>
      </c>
      <c r="N7319" s="561">
        <v>89295.599999999977</v>
      </c>
      <c r="O7319" s="561">
        <v>0</v>
      </c>
      <c r="P7319" s="561">
        <v>331485.70000666665</v>
      </c>
    </row>
    <row r="7320" spans="1:56">
      <c r="C7320" s="561" t="s">
        <v>1197</v>
      </c>
      <c r="D7320" s="561">
        <v>375797.65366999997</v>
      </c>
      <c r="E7320" s="561">
        <v>80835.599999999977</v>
      </c>
      <c r="F7320" s="561">
        <v>294962.05366999999</v>
      </c>
      <c r="G7320" s="561">
        <v>6005</v>
      </c>
      <c r="H7320" s="561">
        <v>417580.04511000001</v>
      </c>
      <c r="I7320" s="561">
        <v>705</v>
      </c>
      <c r="J7320" s="561">
        <v>45947.509090000007</v>
      </c>
      <c r="K7320" s="561">
        <v>5889</v>
      </c>
      <c r="L7320" s="561">
        <v>375797.65366999997</v>
      </c>
      <c r="M7320" s="561">
        <v>375797.65366999997</v>
      </c>
      <c r="N7320" s="561">
        <v>80835.599999999977</v>
      </c>
    </row>
    <row r="7321" spans="1:56">
      <c r="C7321" s="561" t="s">
        <v>1199</v>
      </c>
      <c r="D7321" s="561">
        <v>44983.646336666672</v>
      </c>
      <c r="E7321" s="561">
        <v>8459.9999999999982</v>
      </c>
      <c r="F7321" s="561">
        <v>36523.646336666672</v>
      </c>
      <c r="G7321" s="561">
        <v>2819</v>
      </c>
      <c r="H7321" s="561">
        <v>45563.30689</v>
      </c>
      <c r="I7321" s="561">
        <v>95</v>
      </c>
      <c r="J7321" s="561">
        <v>446.91021999999998</v>
      </c>
      <c r="K7321" s="561">
        <v>2815</v>
      </c>
      <c r="L7321" s="561">
        <v>44983.646336666672</v>
      </c>
      <c r="M7321" s="561">
        <v>44983.646336666672</v>
      </c>
      <c r="N7321" s="561">
        <v>8459.9999999999982</v>
      </c>
      <c r="P7321" s="561">
        <v>36523.646336666672</v>
      </c>
    </row>
    <row r="7322" spans="1:56">
      <c r="A7322" s="561">
        <v>94</v>
      </c>
      <c r="B7322" s="561" t="s">
        <v>1934</v>
      </c>
      <c r="C7322" s="561" t="s">
        <v>1267</v>
      </c>
      <c r="D7322" s="561">
        <v>162931.5996601177</v>
      </c>
      <c r="E7322" s="561">
        <v>43108.200000000004</v>
      </c>
      <c r="F7322" s="561">
        <v>119823.39939345107</v>
      </c>
      <c r="G7322" s="561">
        <v>5058</v>
      </c>
      <c r="H7322" s="561">
        <v>184351.38691345105</v>
      </c>
      <c r="I7322" s="561">
        <v>409</v>
      </c>
      <c r="J7322" s="561">
        <v>21481.809440000001</v>
      </c>
      <c r="K7322" s="561">
        <v>4939</v>
      </c>
      <c r="L7322" s="561">
        <v>162931.5996601177</v>
      </c>
      <c r="M7322" s="561">
        <v>162931.5996601177</v>
      </c>
      <c r="N7322" s="561">
        <v>43108.200000000004</v>
      </c>
      <c r="O7322" s="561">
        <v>0</v>
      </c>
      <c r="P7322" s="561">
        <v>119823.39966011769</v>
      </c>
    </row>
    <row r="7323" spans="1:56">
      <c r="C7323" s="561" t="s">
        <v>1197</v>
      </c>
      <c r="D7323" s="561">
        <v>118896.96434360149</v>
      </c>
      <c r="E7323" s="561">
        <v>32308.200000000004</v>
      </c>
      <c r="F7323" s="561">
        <v>86588.764073601516</v>
      </c>
      <c r="G7323" s="561">
        <v>2002</v>
      </c>
      <c r="H7323" s="561">
        <v>138499.88139360151</v>
      </c>
      <c r="I7323" s="561">
        <v>290</v>
      </c>
      <c r="J7323" s="561">
        <v>19646.0226</v>
      </c>
      <c r="K7323" s="561">
        <v>1922</v>
      </c>
      <c r="L7323" s="561">
        <v>118896.96434360149</v>
      </c>
      <c r="M7323" s="561">
        <v>118896.96434360149</v>
      </c>
      <c r="N7323" s="561">
        <v>32308.200000000004</v>
      </c>
      <c r="P7323" s="561">
        <v>86588.764343601477</v>
      </c>
    </row>
    <row r="7324" spans="1:56">
      <c r="C7324" s="561" t="s">
        <v>1199</v>
      </c>
      <c r="D7324" s="561">
        <v>44034.635316516222</v>
      </c>
      <c r="E7324" s="561">
        <v>10800</v>
      </c>
      <c r="F7324" s="561">
        <v>33234.635319849549</v>
      </c>
      <c r="G7324" s="561">
        <v>3056</v>
      </c>
      <c r="H7324" s="561">
        <v>45851.505519849547</v>
      </c>
      <c r="I7324" s="561">
        <v>119</v>
      </c>
      <c r="J7324" s="561">
        <v>1835.7868400000002</v>
      </c>
      <c r="K7324" s="561">
        <v>3017</v>
      </c>
      <c r="L7324" s="561">
        <v>44034.635316516222</v>
      </c>
      <c r="M7324" s="561">
        <v>44034.635316516222</v>
      </c>
      <c r="N7324" s="561">
        <v>10800</v>
      </c>
      <c r="P7324" s="561">
        <v>33234.635316516222</v>
      </c>
    </row>
    <row r="7325" spans="1:56">
      <c r="A7325" s="561">
        <v>95</v>
      </c>
      <c r="B7325" s="561" t="s">
        <v>1935</v>
      </c>
      <c r="C7325" s="561" t="s">
        <v>1267</v>
      </c>
      <c r="D7325" s="561">
        <v>188363.84999166566</v>
      </c>
      <c r="E7325" s="561">
        <v>42612.599999999991</v>
      </c>
      <c r="F7325" s="561">
        <v>145751.24999166565</v>
      </c>
      <c r="G7325" s="561">
        <v>3169</v>
      </c>
      <c r="H7325" s="561">
        <v>196768.85537166565</v>
      </c>
      <c r="I7325" s="561">
        <v>120</v>
      </c>
      <c r="J7325" s="561">
        <v>8465.963389999999</v>
      </c>
      <c r="K7325" s="561">
        <v>3150</v>
      </c>
      <c r="L7325" s="561">
        <v>188363.84999166566</v>
      </c>
      <c r="M7325" s="561">
        <v>188363.84999166566</v>
      </c>
      <c r="N7325" s="561">
        <v>42612.599999999991</v>
      </c>
      <c r="O7325" s="561">
        <v>0</v>
      </c>
      <c r="P7325" s="561">
        <v>145751.24999166565</v>
      </c>
    </row>
    <row r="7326" spans="1:56">
      <c r="C7326" s="561" t="s">
        <v>1197</v>
      </c>
      <c r="D7326" s="561">
        <v>163441.29587937458</v>
      </c>
      <c r="E7326" s="561">
        <v>32680.199999999993</v>
      </c>
      <c r="F7326" s="561">
        <v>130761.09587937458</v>
      </c>
      <c r="G7326" s="561">
        <v>2069</v>
      </c>
      <c r="H7326" s="561">
        <v>171708.99950937458</v>
      </c>
      <c r="I7326" s="561">
        <v>98</v>
      </c>
      <c r="J7326" s="561">
        <v>8328.6690299999991</v>
      </c>
      <c r="K7326" s="561">
        <v>2057</v>
      </c>
      <c r="L7326" s="561">
        <v>163441.29587937458</v>
      </c>
      <c r="M7326" s="561">
        <v>163441.29587937458</v>
      </c>
      <c r="N7326" s="561">
        <v>32680.199999999993</v>
      </c>
    </row>
    <row r="7327" spans="1:56">
      <c r="C7327" s="561" t="s">
        <v>1199</v>
      </c>
      <c r="D7327" s="561">
        <v>16360.196870858244</v>
      </c>
      <c r="E7327" s="561">
        <v>3704.3999999999996</v>
      </c>
      <c r="F7327" s="561">
        <v>12655.796870858245</v>
      </c>
      <c r="G7327" s="561">
        <v>1077</v>
      </c>
      <c r="H7327" s="561">
        <v>16497.498620858241</v>
      </c>
      <c r="I7327" s="561">
        <v>21</v>
      </c>
      <c r="J7327" s="561">
        <v>123.18822999999989</v>
      </c>
      <c r="K7327" s="561">
        <v>1070</v>
      </c>
      <c r="L7327" s="561">
        <v>16360.196870858244</v>
      </c>
      <c r="M7327" s="561">
        <v>16360.196870858244</v>
      </c>
      <c r="N7327" s="561">
        <v>3704.3999999999996</v>
      </c>
      <c r="P7327" s="561">
        <v>12655.796870858245</v>
      </c>
    </row>
    <row r="7328" spans="1:56">
      <c r="C7328" s="561" t="s">
        <v>1198</v>
      </c>
      <c r="D7328" s="561">
        <v>8562.3572414328337</v>
      </c>
      <c r="E7328" s="561">
        <v>6228</v>
      </c>
      <c r="F7328" s="561">
        <v>2334.3572414328337</v>
      </c>
      <c r="G7328" s="561">
        <v>23</v>
      </c>
      <c r="H7328" s="561">
        <v>8562.3572414328337</v>
      </c>
      <c r="I7328" s="561">
        <v>1</v>
      </c>
      <c r="J7328" s="561">
        <v>14.106129999999999</v>
      </c>
      <c r="K7328" s="561">
        <v>23</v>
      </c>
      <c r="L7328" s="561">
        <v>8562.3572414328337</v>
      </c>
      <c r="M7328" s="561">
        <v>8562.3572414328337</v>
      </c>
      <c r="N7328" s="561">
        <v>6228</v>
      </c>
      <c r="BD7328" s="561">
        <v>2334.3572414328337</v>
      </c>
    </row>
    <row r="7329" spans="1:111">
      <c r="A7329" s="561">
        <v>96</v>
      </c>
      <c r="B7329" s="561" t="s">
        <v>1936</v>
      </c>
      <c r="C7329" s="561" t="s">
        <v>1267</v>
      </c>
      <c r="D7329" s="561">
        <v>12450.000380817111</v>
      </c>
      <c r="E7329" s="561">
        <v>3599.9999999999995</v>
      </c>
      <c r="F7329" s="561">
        <v>8850</v>
      </c>
      <c r="G7329" s="561">
        <v>1002</v>
      </c>
      <c r="H7329" s="561">
        <v>13365.990000817108</v>
      </c>
      <c r="I7329" s="561">
        <v>46</v>
      </c>
      <c r="J7329" s="561">
        <v>906.00351000000001</v>
      </c>
      <c r="K7329" s="561">
        <v>997</v>
      </c>
      <c r="L7329" s="561">
        <v>12450.000380817111</v>
      </c>
      <c r="M7329" s="561">
        <v>12450.000380817111</v>
      </c>
      <c r="N7329" s="561">
        <v>3599.9999999999995</v>
      </c>
      <c r="O7329" s="561">
        <v>0</v>
      </c>
      <c r="P7329" s="561">
        <v>8850.0003808171114</v>
      </c>
    </row>
    <row r="7330" spans="1:111">
      <c r="C7330" s="561" t="s">
        <v>1199</v>
      </c>
      <c r="D7330" s="561">
        <v>12450.000380817111</v>
      </c>
      <c r="E7330" s="561">
        <v>3599.9999999999995</v>
      </c>
      <c r="F7330" s="561">
        <v>8850</v>
      </c>
      <c r="G7330" s="561">
        <v>1002</v>
      </c>
      <c r="H7330" s="561">
        <v>13365.990000817108</v>
      </c>
      <c r="I7330" s="561">
        <v>46</v>
      </c>
      <c r="J7330" s="561">
        <v>906.00351000000001</v>
      </c>
      <c r="K7330" s="561">
        <v>997</v>
      </c>
      <c r="L7330" s="561">
        <v>12450.000380817111</v>
      </c>
      <c r="M7330" s="561">
        <v>12450.000380817111</v>
      </c>
      <c r="N7330" s="561">
        <v>3599.9999999999995</v>
      </c>
      <c r="P7330" s="561">
        <v>8850.0003808171114</v>
      </c>
    </row>
    <row r="7331" spans="1:111">
      <c r="A7331" s="1735" t="s">
        <v>1199</v>
      </c>
      <c r="B7331" s="1735"/>
      <c r="C7331" s="1735"/>
      <c r="D7331" s="1735"/>
      <c r="E7331" s="1735"/>
      <c r="F7331" s="1735"/>
      <c r="G7331" s="1735"/>
      <c r="H7331" s="1735"/>
      <c r="I7331" s="1735"/>
      <c r="J7331" s="1735"/>
      <c r="K7331" s="1735"/>
      <c r="L7331" s="1735"/>
      <c r="M7331" s="1735"/>
      <c r="N7331" s="1735"/>
      <c r="O7331" s="1735"/>
      <c r="P7331" s="1735"/>
      <c r="AL7331" s="561">
        <f>SUM(AL7332:AL7582)</f>
        <v>798315.4393145903</v>
      </c>
      <c r="AM7331" s="561">
        <f t="shared" ref="AM7331:CX7331" si="154">SUM(AM7332:AM7582)</f>
        <v>0</v>
      </c>
      <c r="AN7331" s="561">
        <f t="shared" si="154"/>
        <v>0</v>
      </c>
      <c r="AO7331" s="561">
        <f t="shared" si="154"/>
        <v>0</v>
      </c>
      <c r="AP7331" s="561">
        <f t="shared" si="154"/>
        <v>0</v>
      </c>
      <c r="AQ7331" s="561">
        <f t="shared" si="154"/>
        <v>0</v>
      </c>
      <c r="AR7331" s="561">
        <f t="shared" si="154"/>
        <v>0</v>
      </c>
      <c r="AS7331" s="561">
        <f t="shared" si="154"/>
        <v>0</v>
      </c>
      <c r="AT7331" s="561">
        <f t="shared" si="154"/>
        <v>7081.960657506499</v>
      </c>
      <c r="AU7331" s="561">
        <f t="shared" si="154"/>
        <v>0</v>
      </c>
      <c r="AV7331" s="561">
        <f t="shared" si="154"/>
        <v>0</v>
      </c>
      <c r="AW7331" s="561">
        <f t="shared" si="154"/>
        <v>0</v>
      </c>
      <c r="AX7331" s="561">
        <f t="shared" si="154"/>
        <v>0</v>
      </c>
      <c r="AY7331" s="561">
        <f t="shared" si="154"/>
        <v>15434.827237529167</v>
      </c>
      <c r="AZ7331" s="561">
        <f t="shared" si="154"/>
        <v>0</v>
      </c>
      <c r="BA7331" s="561">
        <f t="shared" si="154"/>
        <v>19339.792490573331</v>
      </c>
      <c r="BB7331" s="561">
        <f t="shared" si="154"/>
        <v>0</v>
      </c>
      <c r="BC7331" s="561">
        <f t="shared" si="154"/>
        <v>0</v>
      </c>
      <c r="BD7331" s="561">
        <f t="shared" si="154"/>
        <v>415255.22304752492</v>
      </c>
      <c r="BE7331" s="561">
        <f t="shared" si="154"/>
        <v>0</v>
      </c>
      <c r="BF7331" s="561">
        <f t="shared" si="154"/>
        <v>0</v>
      </c>
      <c r="BG7331" s="561">
        <f t="shared" si="154"/>
        <v>0</v>
      </c>
      <c r="BH7331" s="561">
        <f t="shared" si="154"/>
        <v>0</v>
      </c>
      <c r="BI7331" s="561">
        <f t="shared" si="154"/>
        <v>0</v>
      </c>
      <c r="BJ7331" s="561">
        <f t="shared" si="154"/>
        <v>0</v>
      </c>
      <c r="BK7331" s="561">
        <f t="shared" si="154"/>
        <v>0</v>
      </c>
      <c r="BL7331" s="561">
        <f t="shared" si="154"/>
        <v>0</v>
      </c>
      <c r="BM7331" s="561">
        <f t="shared" si="154"/>
        <v>90415.088176029007</v>
      </c>
      <c r="BN7331" s="561">
        <f t="shared" si="154"/>
        <v>0</v>
      </c>
      <c r="BO7331" s="561">
        <f t="shared" si="154"/>
        <v>0</v>
      </c>
      <c r="BP7331" s="561">
        <f t="shared" si="154"/>
        <v>0</v>
      </c>
      <c r="BQ7331" s="561">
        <f t="shared" si="154"/>
        <v>0</v>
      </c>
      <c r="BR7331" s="561">
        <f t="shared" si="154"/>
        <v>0</v>
      </c>
      <c r="BS7331" s="561">
        <f t="shared" si="154"/>
        <v>0</v>
      </c>
      <c r="BT7331" s="561">
        <f t="shared" si="154"/>
        <v>0</v>
      </c>
      <c r="BU7331" s="561">
        <f t="shared" si="154"/>
        <v>0</v>
      </c>
      <c r="BV7331" s="561">
        <f t="shared" si="154"/>
        <v>0</v>
      </c>
      <c r="BW7331" s="561">
        <f t="shared" si="154"/>
        <v>0</v>
      </c>
      <c r="BX7331" s="561">
        <f t="shared" si="154"/>
        <v>0</v>
      </c>
      <c r="BY7331" s="561">
        <f t="shared" si="154"/>
        <v>0</v>
      </c>
      <c r="BZ7331" s="561">
        <f t="shared" si="154"/>
        <v>609864.01707441139</v>
      </c>
      <c r="CA7331" s="561">
        <f t="shared" si="154"/>
        <v>0</v>
      </c>
      <c r="CB7331" s="561">
        <f t="shared" si="154"/>
        <v>0</v>
      </c>
      <c r="CC7331" s="561">
        <f t="shared" si="154"/>
        <v>0</v>
      </c>
      <c r="CD7331" s="561">
        <f t="shared" si="154"/>
        <v>0</v>
      </c>
      <c r="CE7331" s="561">
        <f t="shared" si="154"/>
        <v>0</v>
      </c>
      <c r="CF7331" s="561">
        <f t="shared" si="154"/>
        <v>0</v>
      </c>
      <c r="CG7331" s="561">
        <f t="shared" si="154"/>
        <v>0</v>
      </c>
      <c r="CH7331" s="561">
        <f t="shared" si="154"/>
        <v>0</v>
      </c>
      <c r="CI7331" s="561">
        <f t="shared" si="154"/>
        <v>0</v>
      </c>
      <c r="CJ7331" s="561">
        <f t="shared" si="154"/>
        <v>0</v>
      </c>
      <c r="CK7331" s="561">
        <f t="shared" si="154"/>
        <v>0</v>
      </c>
      <c r="CL7331" s="561">
        <f t="shared" si="154"/>
        <v>0</v>
      </c>
      <c r="CM7331" s="561">
        <f t="shared" si="154"/>
        <v>0</v>
      </c>
      <c r="CN7331" s="561">
        <f t="shared" si="154"/>
        <v>0</v>
      </c>
      <c r="CO7331" s="561">
        <f t="shared" si="154"/>
        <v>0</v>
      </c>
      <c r="CP7331" s="561">
        <f t="shared" si="154"/>
        <v>0</v>
      </c>
      <c r="CQ7331" s="561">
        <f t="shared" si="154"/>
        <v>0</v>
      </c>
      <c r="CR7331" s="561">
        <f t="shared" si="154"/>
        <v>0</v>
      </c>
      <c r="CS7331" s="561">
        <f t="shared" si="154"/>
        <v>0</v>
      </c>
      <c r="CT7331" s="561">
        <f t="shared" si="154"/>
        <v>0</v>
      </c>
      <c r="CU7331" s="561">
        <f t="shared" si="154"/>
        <v>0</v>
      </c>
      <c r="CV7331" s="561">
        <f t="shared" si="154"/>
        <v>0</v>
      </c>
      <c r="CW7331" s="561">
        <f t="shared" si="154"/>
        <v>0</v>
      </c>
      <c r="CX7331" s="561">
        <f t="shared" si="154"/>
        <v>0</v>
      </c>
      <c r="CY7331" s="561">
        <f t="shared" ref="CY7331:DG7331" si="155">SUM(CY7332:CY7582)</f>
        <v>0</v>
      </c>
      <c r="CZ7331" s="561">
        <f t="shared" si="155"/>
        <v>0</v>
      </c>
      <c r="DA7331" s="561">
        <f t="shared" si="155"/>
        <v>0</v>
      </c>
      <c r="DB7331" s="561">
        <f t="shared" si="155"/>
        <v>0</v>
      </c>
      <c r="DC7331" s="561">
        <f t="shared" si="155"/>
        <v>0</v>
      </c>
      <c r="DD7331" s="561">
        <f t="shared" si="155"/>
        <v>0</v>
      </c>
      <c r="DE7331" s="561">
        <f t="shared" si="155"/>
        <v>0</v>
      </c>
      <c r="DF7331" s="561">
        <f t="shared" si="155"/>
        <v>0</v>
      </c>
      <c r="DG7331" s="561">
        <f t="shared" si="155"/>
        <v>0</v>
      </c>
    </row>
    <row r="7332" spans="1:111">
      <c r="A7332" s="561">
        <v>1</v>
      </c>
      <c r="B7332" s="561" t="s">
        <v>1826</v>
      </c>
      <c r="C7332" s="561" t="s">
        <v>1267</v>
      </c>
      <c r="D7332" s="561">
        <v>1644748.1912517359</v>
      </c>
      <c r="E7332" s="561">
        <v>316394.39999999991</v>
      </c>
      <c r="F7332" s="561">
        <v>1328353.791251736</v>
      </c>
      <c r="G7332" s="561">
        <v>4036</v>
      </c>
      <c r="H7332" s="561">
        <v>2151593.3647817359</v>
      </c>
      <c r="I7332" s="561">
        <v>396</v>
      </c>
      <c r="J7332" s="561">
        <v>506845.17352999997</v>
      </c>
      <c r="K7332" s="561">
        <v>4001</v>
      </c>
      <c r="L7332" s="561">
        <v>1644748.1912517359</v>
      </c>
      <c r="M7332" s="561">
        <v>1644748.1912517359</v>
      </c>
      <c r="N7332" s="561">
        <v>316394.39999999991</v>
      </c>
      <c r="O7332" s="561">
        <v>0</v>
      </c>
      <c r="P7332" s="561">
        <v>1328353.791251736</v>
      </c>
    </row>
    <row r="7333" spans="1:111">
      <c r="C7333" s="561" t="s">
        <v>1197</v>
      </c>
      <c r="D7333" s="561">
        <v>717950.61204999988</v>
      </c>
      <c r="E7333" s="561">
        <v>134198.99999999997</v>
      </c>
      <c r="F7333" s="561">
        <v>583751.61204999988</v>
      </c>
      <c r="G7333" s="561">
        <v>2848</v>
      </c>
      <c r="H7333" s="561">
        <v>729851.30004999985</v>
      </c>
      <c r="I7333" s="561">
        <v>229</v>
      </c>
      <c r="J7333" s="561">
        <v>11900.688000000002</v>
      </c>
      <c r="K7333" s="561">
        <v>2834</v>
      </c>
      <c r="L7333" s="561">
        <v>717950.61204999988</v>
      </c>
      <c r="M7333" s="561">
        <v>717950.61204999988</v>
      </c>
      <c r="N7333" s="561">
        <v>134198.99999999997</v>
      </c>
    </row>
    <row r="7334" spans="1:111">
      <c r="C7334" s="561" t="s">
        <v>1198</v>
      </c>
      <c r="D7334" s="561">
        <v>926797.57920173602</v>
      </c>
      <c r="E7334" s="561">
        <v>182195.39999999997</v>
      </c>
      <c r="F7334" s="561">
        <v>744602.17920173611</v>
      </c>
      <c r="G7334" s="561">
        <v>1188</v>
      </c>
      <c r="H7334" s="561">
        <v>1421742.064731736</v>
      </c>
      <c r="I7334" s="561">
        <v>167</v>
      </c>
      <c r="J7334" s="561">
        <v>494944.48552999995</v>
      </c>
      <c r="K7334" s="561">
        <v>1167</v>
      </c>
      <c r="L7334" s="561">
        <v>926797.57920173602</v>
      </c>
      <c r="M7334" s="561">
        <v>926797.57920173602</v>
      </c>
      <c r="N7334" s="561">
        <v>182195.39999999997</v>
      </c>
    </row>
    <row r="7335" spans="1:111">
      <c r="A7335" s="561">
        <v>2</v>
      </c>
      <c r="B7335" s="561" t="s">
        <v>1827</v>
      </c>
      <c r="C7335" s="561" t="s">
        <v>1267</v>
      </c>
      <c r="D7335" s="561">
        <v>163711</v>
      </c>
      <c r="E7335" s="561">
        <v>49113.299999999996</v>
      </c>
      <c r="F7335" s="561">
        <v>114597.70000000001</v>
      </c>
      <c r="G7335" s="561">
        <v>2953</v>
      </c>
      <c r="H7335" s="561">
        <v>172301.81106420397</v>
      </c>
      <c r="I7335" s="561">
        <v>444</v>
      </c>
      <c r="J7335" s="561">
        <v>9355.7704616119918</v>
      </c>
      <c r="K7335" s="561">
        <v>2888</v>
      </c>
      <c r="L7335" s="561">
        <v>163711</v>
      </c>
      <c r="M7335" s="561">
        <v>163711</v>
      </c>
      <c r="N7335" s="561">
        <v>49113.299999999996</v>
      </c>
      <c r="O7335" s="561">
        <v>0</v>
      </c>
      <c r="P7335" s="561">
        <v>114597.70000000001</v>
      </c>
    </row>
    <row r="7336" spans="1:111">
      <c r="C7336" s="561" t="s">
        <v>1197</v>
      </c>
      <c r="D7336" s="561">
        <v>163711</v>
      </c>
      <c r="E7336" s="561">
        <v>49113.299999999996</v>
      </c>
      <c r="F7336" s="561">
        <v>114597.70000000001</v>
      </c>
      <c r="G7336" s="561">
        <v>2953</v>
      </c>
      <c r="H7336" s="561">
        <v>172301.81106420397</v>
      </c>
      <c r="I7336" s="561">
        <v>444</v>
      </c>
      <c r="J7336" s="561">
        <v>9355.7704616119918</v>
      </c>
      <c r="K7336" s="561">
        <v>2888</v>
      </c>
      <c r="L7336" s="561">
        <v>163711</v>
      </c>
      <c r="M7336" s="561">
        <v>163711</v>
      </c>
      <c r="N7336" s="561">
        <v>49113.299999999996</v>
      </c>
    </row>
    <row r="7337" spans="1:111">
      <c r="A7337" s="561">
        <v>3</v>
      </c>
      <c r="B7337" s="561" t="s">
        <v>1828</v>
      </c>
      <c r="C7337" s="561" t="s">
        <v>1267</v>
      </c>
      <c r="D7337" s="561">
        <v>2509792.9875666671</v>
      </c>
      <c r="E7337" s="561">
        <v>516534.3</v>
      </c>
      <c r="F7337" s="561">
        <v>1993258.6873600003</v>
      </c>
      <c r="G7337" s="561">
        <v>25633</v>
      </c>
      <c r="H7337" s="561">
        <v>2610644.6015699999</v>
      </c>
      <c r="I7337" s="561">
        <v>2408</v>
      </c>
      <c r="J7337" s="561">
        <v>115255.59105105542</v>
      </c>
      <c r="K7337" s="561">
        <v>25333</v>
      </c>
      <c r="L7337" s="561">
        <v>2509792.9875666671</v>
      </c>
      <c r="M7337" s="561">
        <v>2509792.9875666671</v>
      </c>
      <c r="N7337" s="561">
        <v>516534.3</v>
      </c>
      <c r="O7337" s="561">
        <v>0</v>
      </c>
      <c r="P7337" s="561">
        <v>1993258.6875666669</v>
      </c>
    </row>
    <row r="7338" spans="1:111">
      <c r="C7338" s="561" t="s">
        <v>1197</v>
      </c>
      <c r="D7338" s="561">
        <v>1843150.2674600002</v>
      </c>
      <c r="E7338" s="561">
        <v>426606.3</v>
      </c>
      <c r="F7338" s="561">
        <v>1416543.9674600002</v>
      </c>
      <c r="G7338" s="561">
        <v>22643</v>
      </c>
      <c r="H7338" s="561">
        <v>1935320.5860799998</v>
      </c>
      <c r="I7338" s="561">
        <v>2307</v>
      </c>
      <c r="J7338" s="561">
        <v>105723.06001505542</v>
      </c>
      <c r="K7338" s="561">
        <v>22374</v>
      </c>
      <c r="L7338" s="561">
        <v>1843150.2674600002</v>
      </c>
      <c r="M7338" s="561">
        <v>1843150.2674600002</v>
      </c>
      <c r="N7338" s="561">
        <v>426606.3</v>
      </c>
    </row>
    <row r="7339" spans="1:111">
      <c r="C7339" s="561" t="s">
        <v>1198</v>
      </c>
      <c r="D7339" s="561">
        <v>363161.99627000006</v>
      </c>
      <c r="E7339" s="561">
        <v>54680.999999999993</v>
      </c>
      <c r="F7339" s="561">
        <v>308480.99627000006</v>
      </c>
      <c r="G7339" s="561">
        <v>874</v>
      </c>
      <c r="H7339" s="561">
        <v>370707.21187000006</v>
      </c>
      <c r="I7339" s="561">
        <v>40</v>
      </c>
      <c r="J7339" s="561">
        <v>8257.8953700000002</v>
      </c>
      <c r="K7339" s="561">
        <v>873</v>
      </c>
      <c r="L7339" s="561">
        <v>363161.99627000006</v>
      </c>
      <c r="M7339" s="561">
        <v>363161.99627000006</v>
      </c>
      <c r="N7339" s="561">
        <v>54680.999999999993</v>
      </c>
    </row>
    <row r="7340" spans="1:111">
      <c r="C7340" s="561" t="s">
        <v>1199</v>
      </c>
      <c r="D7340" s="561">
        <v>303480.72383666673</v>
      </c>
      <c r="E7340" s="561">
        <v>35247</v>
      </c>
      <c r="F7340" s="561">
        <v>268233.72363000002</v>
      </c>
      <c r="G7340" s="561">
        <v>2116</v>
      </c>
      <c r="H7340" s="561">
        <v>304616.80362000002</v>
      </c>
      <c r="I7340" s="561">
        <v>61</v>
      </c>
      <c r="J7340" s="561">
        <v>1274.6356659999985</v>
      </c>
      <c r="K7340" s="561">
        <v>2086</v>
      </c>
      <c r="L7340" s="561">
        <v>303480.72383666673</v>
      </c>
      <c r="M7340" s="561">
        <v>303480.72383666673</v>
      </c>
      <c r="N7340" s="561">
        <v>35247</v>
      </c>
      <c r="BD7340" s="561">
        <v>268233.72383666673</v>
      </c>
    </row>
    <row r="7341" spans="1:111">
      <c r="A7341" s="561">
        <v>4</v>
      </c>
      <c r="B7341" s="561" t="s">
        <v>1829</v>
      </c>
      <c r="C7341" s="561" t="s">
        <v>1267</v>
      </c>
      <c r="D7341" s="561">
        <v>1205968.0874805818</v>
      </c>
      <c r="E7341" s="561">
        <v>269205.3</v>
      </c>
      <c r="F7341" s="561">
        <v>936762.7899999998</v>
      </c>
      <c r="G7341" s="561">
        <v>14594</v>
      </c>
      <c r="H7341" s="561">
        <v>1257955.1458905817</v>
      </c>
      <c r="I7341" s="561">
        <v>1751</v>
      </c>
      <c r="J7341" s="561">
        <v>75843.657029410155</v>
      </c>
      <c r="K7341" s="561">
        <v>14583</v>
      </c>
      <c r="L7341" s="561">
        <v>1205968.0874805818</v>
      </c>
      <c r="M7341" s="561">
        <v>1205968.0874805818</v>
      </c>
      <c r="N7341" s="561">
        <v>269205.3</v>
      </c>
      <c r="O7341" s="561">
        <v>0</v>
      </c>
      <c r="P7341" s="561">
        <v>936762.7874805819</v>
      </c>
    </row>
    <row r="7342" spans="1:111">
      <c r="C7342" s="561" t="s">
        <v>1830</v>
      </c>
      <c r="D7342" s="561">
        <v>1176981.3889005859</v>
      </c>
      <c r="E7342" s="561">
        <v>264670.2</v>
      </c>
      <c r="F7342" s="561">
        <v>912311.18999999983</v>
      </c>
      <c r="G7342" s="561">
        <v>14408</v>
      </c>
      <c r="H7342" s="561">
        <v>1227854.7567905858</v>
      </c>
      <c r="I7342" s="561">
        <v>1735</v>
      </c>
      <c r="J7342" s="561">
        <v>70297.722180915749</v>
      </c>
      <c r="K7342" s="561">
        <v>14398</v>
      </c>
      <c r="L7342" s="561">
        <v>1176981.3889005859</v>
      </c>
      <c r="M7342" s="561">
        <v>1176981.3889005859</v>
      </c>
      <c r="N7342" s="561">
        <v>264670.2</v>
      </c>
    </row>
    <row r="7343" spans="1:111">
      <c r="C7343" s="561" t="s">
        <v>1198</v>
      </c>
      <c r="D7343" s="561">
        <v>28787.098079995998</v>
      </c>
      <c r="E7343" s="561">
        <v>4535.0999999999995</v>
      </c>
      <c r="F7343" s="561">
        <v>24252</v>
      </c>
      <c r="G7343" s="561">
        <v>74</v>
      </c>
      <c r="H7343" s="561">
        <v>29856.792849996007</v>
      </c>
      <c r="I7343" s="561">
        <v>16</v>
      </c>
      <c r="J7343" s="561">
        <v>5545.9348484943994</v>
      </c>
      <c r="K7343" s="561">
        <v>73</v>
      </c>
      <c r="L7343" s="561">
        <v>28787.098079995998</v>
      </c>
      <c r="M7343" s="561">
        <v>28787.098079995998</v>
      </c>
      <c r="N7343" s="561">
        <v>4535.0999999999995</v>
      </c>
    </row>
    <row r="7344" spans="1:111">
      <c r="C7344" s="561" t="s">
        <v>1202</v>
      </c>
      <c r="D7344" s="561">
        <v>199.60050000000001</v>
      </c>
      <c r="F7344" s="561">
        <v>199.6</v>
      </c>
      <c r="G7344" s="561">
        <v>112</v>
      </c>
      <c r="H7344" s="561">
        <v>243.59625</v>
      </c>
      <c r="I7344" s="561">
        <v>0</v>
      </c>
      <c r="J7344" s="561">
        <v>0</v>
      </c>
      <c r="K7344" s="561">
        <v>112</v>
      </c>
      <c r="L7344" s="561">
        <v>199.60050000000001</v>
      </c>
      <c r="M7344" s="561">
        <v>199.60050000000001</v>
      </c>
      <c r="P7344" s="561">
        <v>199.60050000000001</v>
      </c>
    </row>
    <row r="7345" spans="1:53">
      <c r="A7345" s="561">
        <v>5</v>
      </c>
      <c r="B7345" s="561" t="s">
        <v>1831</v>
      </c>
      <c r="C7345" s="561" t="s">
        <v>1267</v>
      </c>
      <c r="D7345" s="561">
        <v>255325.04948498119</v>
      </c>
      <c r="E7345" s="561">
        <v>84743.699999999983</v>
      </c>
      <c r="F7345" s="561">
        <v>170581.34948498121</v>
      </c>
      <c r="G7345" s="561">
        <v>4943</v>
      </c>
      <c r="H7345" s="561">
        <v>259024.78650831449</v>
      </c>
      <c r="I7345" s="561">
        <v>73</v>
      </c>
      <c r="J7345" s="561">
        <v>3571.4695600000005</v>
      </c>
      <c r="K7345" s="561">
        <v>4931</v>
      </c>
      <c r="L7345" s="561">
        <v>255325.04948498119</v>
      </c>
      <c r="M7345" s="561">
        <v>255325.04948498119</v>
      </c>
      <c r="N7345" s="561">
        <v>84743.699999999983</v>
      </c>
      <c r="O7345" s="561">
        <v>0</v>
      </c>
      <c r="P7345" s="561">
        <v>170581.34948498121</v>
      </c>
    </row>
    <row r="7346" spans="1:53">
      <c r="C7346" s="561" t="s">
        <v>1197</v>
      </c>
      <c r="D7346" s="561">
        <v>236135.42224745202</v>
      </c>
      <c r="E7346" s="561">
        <v>80988.89999999998</v>
      </c>
      <c r="F7346" s="561">
        <v>155146.52224745206</v>
      </c>
      <c r="G7346" s="561">
        <v>3650</v>
      </c>
      <c r="H7346" s="561">
        <v>239680.003037452</v>
      </c>
      <c r="I7346" s="561">
        <v>48</v>
      </c>
      <c r="J7346" s="561">
        <v>3394.2616600000006</v>
      </c>
      <c r="K7346" s="561">
        <v>3640</v>
      </c>
      <c r="L7346" s="561">
        <v>236135.42224745202</v>
      </c>
      <c r="M7346" s="561">
        <v>236135.42224745202</v>
      </c>
      <c r="N7346" s="561">
        <v>80988.89999999998</v>
      </c>
    </row>
    <row r="7347" spans="1:53">
      <c r="C7347" s="561" t="s">
        <v>1199</v>
      </c>
      <c r="D7347" s="561">
        <v>19189.627237529166</v>
      </c>
      <c r="E7347" s="561">
        <v>3754.7999999999993</v>
      </c>
      <c r="F7347" s="561">
        <v>15434.827237529167</v>
      </c>
      <c r="G7347" s="561">
        <v>1293</v>
      </c>
      <c r="H7347" s="561">
        <v>19344.783470862498</v>
      </c>
      <c r="I7347" s="561">
        <v>25</v>
      </c>
      <c r="J7347" s="561">
        <v>177.2079</v>
      </c>
      <c r="K7347" s="561">
        <v>1291</v>
      </c>
      <c r="L7347" s="561">
        <v>19189.627237529166</v>
      </c>
      <c r="M7347" s="561">
        <v>19189.627237529166</v>
      </c>
      <c r="N7347" s="561">
        <v>3754.7999999999993</v>
      </c>
      <c r="AY7347" s="561">
        <v>15434.827237529167</v>
      </c>
    </row>
    <row r="7348" spans="1:53">
      <c r="A7348" s="561">
        <v>6</v>
      </c>
      <c r="B7348" s="561" t="s">
        <v>1832</v>
      </c>
      <c r="C7348" s="561" t="s">
        <v>1267</v>
      </c>
      <c r="D7348" s="561">
        <v>273875.99932057335</v>
      </c>
      <c r="E7348" s="561">
        <v>74635.799999999988</v>
      </c>
      <c r="F7348" s="561">
        <v>199240.19932057339</v>
      </c>
      <c r="G7348" s="561">
        <v>4349</v>
      </c>
      <c r="H7348" s="561">
        <v>286447.13290724001</v>
      </c>
      <c r="I7348" s="561">
        <v>169</v>
      </c>
      <c r="J7348" s="561">
        <v>12705.438220000002</v>
      </c>
      <c r="K7348" s="561">
        <v>4289</v>
      </c>
      <c r="L7348" s="561">
        <v>273875.99932057335</v>
      </c>
      <c r="M7348" s="561">
        <v>273875.99932057335</v>
      </c>
      <c r="N7348" s="561">
        <v>74635.799999999988</v>
      </c>
      <c r="O7348" s="561">
        <v>0</v>
      </c>
      <c r="P7348" s="561">
        <v>199240.19932057339</v>
      </c>
    </row>
    <row r="7349" spans="1:53">
      <c r="C7349" s="561" t="s">
        <v>1197</v>
      </c>
      <c r="D7349" s="561">
        <v>250576.20683000004</v>
      </c>
      <c r="E7349" s="561">
        <v>70675.799999999988</v>
      </c>
      <c r="F7349" s="561">
        <v>179900.40683000005</v>
      </c>
      <c r="G7349" s="561">
        <v>3152</v>
      </c>
      <c r="H7349" s="561">
        <v>263086.98713999998</v>
      </c>
      <c r="I7349" s="561">
        <v>165</v>
      </c>
      <c r="J7349" s="561">
        <v>12645.119610000002</v>
      </c>
      <c r="K7349" s="561">
        <v>3093</v>
      </c>
      <c r="L7349" s="561">
        <v>250576.20683000004</v>
      </c>
      <c r="M7349" s="561">
        <v>250576.20683000004</v>
      </c>
      <c r="N7349" s="561">
        <v>70675.799999999988</v>
      </c>
    </row>
    <row r="7350" spans="1:53">
      <c r="C7350" s="561" t="s">
        <v>1199</v>
      </c>
      <c r="D7350" s="561">
        <v>23299.792490573331</v>
      </c>
      <c r="E7350" s="561">
        <v>3959.9999999999991</v>
      </c>
      <c r="F7350" s="561">
        <v>19339.792490573331</v>
      </c>
      <c r="G7350" s="561">
        <v>1197</v>
      </c>
      <c r="H7350" s="561">
        <v>23360.145767240003</v>
      </c>
      <c r="I7350" s="561">
        <v>4</v>
      </c>
      <c r="J7350" s="561">
        <v>60.31861</v>
      </c>
      <c r="K7350" s="561">
        <v>1196</v>
      </c>
      <c r="L7350" s="561">
        <v>23299.792490573331</v>
      </c>
      <c r="M7350" s="561">
        <v>23299.792490573331</v>
      </c>
      <c r="N7350" s="561">
        <v>3959.9999999999991</v>
      </c>
      <c r="BA7350" s="561">
        <v>19339.792490573331</v>
      </c>
    </row>
    <row r="7351" spans="1:53">
      <c r="A7351" s="561">
        <v>7</v>
      </c>
      <c r="B7351" s="561" t="s">
        <v>1833</v>
      </c>
      <c r="C7351" s="561" t="s">
        <v>1267</v>
      </c>
      <c r="D7351" s="561">
        <v>226139.89960260451</v>
      </c>
      <c r="E7351" s="561">
        <v>70257</v>
      </c>
      <c r="F7351" s="561">
        <v>155882.89960260451</v>
      </c>
      <c r="G7351" s="561">
        <v>3764</v>
      </c>
      <c r="H7351" s="561">
        <v>232442.88303260453</v>
      </c>
      <c r="I7351" s="561">
        <v>124</v>
      </c>
      <c r="J7351" s="561">
        <v>6312.1509341946048</v>
      </c>
      <c r="K7351" s="561">
        <v>3734</v>
      </c>
      <c r="L7351" s="561">
        <v>226139.89960260451</v>
      </c>
      <c r="M7351" s="561">
        <v>226139.89960260451</v>
      </c>
      <c r="N7351" s="561">
        <v>70257</v>
      </c>
      <c r="O7351" s="561">
        <v>0</v>
      </c>
      <c r="P7351" s="561">
        <v>155882.89960260451</v>
      </c>
    </row>
    <row r="7352" spans="1:53">
      <c r="C7352" s="561" t="s">
        <v>1197</v>
      </c>
      <c r="D7352" s="561">
        <v>217617.93894509799</v>
      </c>
      <c r="E7352" s="561">
        <v>68817</v>
      </c>
      <c r="F7352" s="561">
        <v>148800.93894509799</v>
      </c>
      <c r="G7352" s="561">
        <v>3326</v>
      </c>
      <c r="H7352" s="561">
        <v>223837.02964509802</v>
      </c>
      <c r="I7352" s="561">
        <v>113</v>
      </c>
      <c r="J7352" s="561">
        <v>6228.3446941946049</v>
      </c>
      <c r="K7352" s="561">
        <v>3300</v>
      </c>
      <c r="L7352" s="561">
        <v>217617.93894509799</v>
      </c>
      <c r="M7352" s="561">
        <v>217617.93894509799</v>
      </c>
      <c r="N7352" s="561">
        <v>68817</v>
      </c>
    </row>
    <row r="7353" spans="1:53">
      <c r="C7353" s="561" t="s">
        <v>1199</v>
      </c>
      <c r="D7353" s="561">
        <v>8521.960657506499</v>
      </c>
      <c r="E7353" s="561">
        <v>1440</v>
      </c>
      <c r="F7353" s="561">
        <v>7081.960657506499</v>
      </c>
      <c r="G7353" s="561">
        <v>438</v>
      </c>
      <c r="H7353" s="561">
        <v>8605.8533875065004</v>
      </c>
      <c r="I7353" s="561">
        <v>11</v>
      </c>
      <c r="J7353" s="561">
        <v>83.806240000000003</v>
      </c>
      <c r="K7353" s="561">
        <v>434</v>
      </c>
      <c r="L7353" s="561">
        <v>8521.960657506499</v>
      </c>
      <c r="M7353" s="561">
        <v>8521.960657506499</v>
      </c>
      <c r="N7353" s="561">
        <v>1440</v>
      </c>
      <c r="AT7353" s="880">
        <v>7081.960657506499</v>
      </c>
    </row>
    <row r="7354" spans="1:53">
      <c r="A7354" s="561">
        <v>8</v>
      </c>
      <c r="B7354" s="561" t="s">
        <v>1834</v>
      </c>
      <c r="C7354" s="561" t="s">
        <v>1267</v>
      </c>
      <c r="D7354" s="561">
        <v>974598.69987999997</v>
      </c>
      <c r="E7354" s="561">
        <v>224250</v>
      </c>
      <c r="F7354" s="561">
        <v>750348.69987999997</v>
      </c>
      <c r="G7354" s="561">
        <v>13503</v>
      </c>
      <c r="H7354" s="561">
        <v>1016065.3985100001</v>
      </c>
      <c r="I7354" s="561">
        <v>1906</v>
      </c>
      <c r="J7354" s="561">
        <v>67334.895626958591</v>
      </c>
      <c r="K7354" s="561">
        <v>13466</v>
      </c>
      <c r="L7354" s="561">
        <v>974598.69987999997</v>
      </c>
      <c r="M7354" s="561">
        <v>974598.69987999997</v>
      </c>
      <c r="N7354" s="561">
        <v>224250</v>
      </c>
      <c r="O7354" s="561">
        <v>0</v>
      </c>
      <c r="P7354" s="561">
        <v>750348.69987999997</v>
      </c>
    </row>
    <row r="7355" spans="1:53">
      <c r="C7355" s="561" t="s">
        <v>1197</v>
      </c>
      <c r="D7355" s="561">
        <v>974598.69987999997</v>
      </c>
      <c r="E7355" s="561">
        <v>224250</v>
      </c>
      <c r="F7355" s="561">
        <v>750348.69987999997</v>
      </c>
      <c r="G7355" s="561">
        <v>13503</v>
      </c>
      <c r="H7355" s="561">
        <v>1016065.3985100001</v>
      </c>
      <c r="I7355" s="561">
        <v>1906</v>
      </c>
      <c r="J7355" s="561">
        <v>67334.895626958591</v>
      </c>
      <c r="K7355" s="561">
        <v>13466</v>
      </c>
      <c r="L7355" s="561">
        <v>974598.69987999997</v>
      </c>
      <c r="M7355" s="561">
        <v>974598.69987999997</v>
      </c>
      <c r="N7355" s="561">
        <v>224250</v>
      </c>
    </row>
    <row r="7356" spans="1:53">
      <c r="A7356" s="561">
        <v>9</v>
      </c>
      <c r="B7356" s="561" t="s">
        <v>1835</v>
      </c>
      <c r="C7356" s="561" t="s">
        <v>1267</v>
      </c>
      <c r="D7356" s="561">
        <v>598778.00010999991</v>
      </c>
      <c r="E7356" s="561">
        <v>164033.39999999997</v>
      </c>
      <c r="F7356" s="561">
        <v>434744.60010999994</v>
      </c>
      <c r="G7356" s="561">
        <v>9381</v>
      </c>
      <c r="H7356" s="561">
        <v>618683.55981999997</v>
      </c>
      <c r="I7356" s="561">
        <v>1269</v>
      </c>
      <c r="J7356" s="561">
        <v>33990.537525274325</v>
      </c>
      <c r="K7356" s="561">
        <v>9370</v>
      </c>
      <c r="L7356" s="561">
        <v>598778.00010999991</v>
      </c>
      <c r="M7356" s="561">
        <v>598778.00010999991</v>
      </c>
      <c r="N7356" s="561">
        <v>164033.39999999997</v>
      </c>
      <c r="O7356" s="561">
        <v>0</v>
      </c>
      <c r="P7356" s="561">
        <v>434744.60010999994</v>
      </c>
    </row>
    <row r="7357" spans="1:53">
      <c r="C7357" s="561" t="s">
        <v>1197</v>
      </c>
      <c r="D7357" s="561">
        <v>598778.00010999991</v>
      </c>
      <c r="E7357" s="561">
        <v>164033.39999999997</v>
      </c>
      <c r="F7357" s="561">
        <v>434744.60010999994</v>
      </c>
      <c r="G7357" s="561">
        <v>9381</v>
      </c>
      <c r="H7357" s="561">
        <v>618683.55981999997</v>
      </c>
      <c r="I7357" s="561">
        <v>1269</v>
      </c>
      <c r="J7357" s="561">
        <v>33990.537525274325</v>
      </c>
      <c r="K7357" s="561">
        <v>9370</v>
      </c>
      <c r="L7357" s="561">
        <v>598778.00010999991</v>
      </c>
      <c r="M7357" s="561">
        <v>598778.00010999991</v>
      </c>
      <c r="N7357" s="561">
        <v>164033.39999999997</v>
      </c>
    </row>
    <row r="7358" spans="1:53">
      <c r="A7358" s="561">
        <v>10</v>
      </c>
      <c r="B7358" s="561" t="s">
        <v>1836</v>
      </c>
      <c r="C7358" s="561" t="s">
        <v>1267</v>
      </c>
      <c r="D7358" s="561">
        <v>691299.9999099999</v>
      </c>
      <c r="E7358" s="561">
        <v>190290</v>
      </c>
      <c r="F7358" s="561">
        <v>501009.9999099999</v>
      </c>
      <c r="G7358" s="561">
        <v>10649</v>
      </c>
      <c r="H7358" s="561">
        <v>788458.05380999984</v>
      </c>
      <c r="I7358" s="561">
        <v>2909</v>
      </c>
      <c r="J7358" s="561">
        <v>115916.9210721229</v>
      </c>
      <c r="K7358" s="561">
        <v>10521</v>
      </c>
      <c r="L7358" s="561">
        <v>691299.9999099999</v>
      </c>
      <c r="M7358" s="561">
        <v>691299.9999099999</v>
      </c>
      <c r="N7358" s="561">
        <v>190290</v>
      </c>
      <c r="O7358" s="561">
        <v>0</v>
      </c>
      <c r="P7358" s="561">
        <v>501009.9999099999</v>
      </c>
    </row>
    <row r="7359" spans="1:53">
      <c r="C7359" s="561" t="s">
        <v>1197</v>
      </c>
      <c r="D7359" s="561">
        <v>691299.9999099999</v>
      </c>
      <c r="E7359" s="561">
        <v>190290</v>
      </c>
      <c r="F7359" s="561">
        <v>501009.9999099999</v>
      </c>
      <c r="G7359" s="561">
        <v>10649</v>
      </c>
      <c r="H7359" s="561">
        <v>788458.05380999984</v>
      </c>
      <c r="I7359" s="561">
        <v>2909</v>
      </c>
      <c r="J7359" s="561">
        <v>115916.9210721229</v>
      </c>
      <c r="K7359" s="561">
        <v>10521</v>
      </c>
      <c r="L7359" s="561">
        <v>691299.9999099999</v>
      </c>
      <c r="M7359" s="561">
        <v>691299.9999099999</v>
      </c>
      <c r="N7359" s="561">
        <v>190290</v>
      </c>
    </row>
    <row r="7360" spans="1:53">
      <c r="A7360" s="561">
        <v>11</v>
      </c>
      <c r="B7360" s="561" t="s">
        <v>1837</v>
      </c>
      <c r="C7360" s="561" t="s">
        <v>1267</v>
      </c>
      <c r="D7360" s="561">
        <v>570697</v>
      </c>
      <c r="E7360" s="561">
        <v>146249.99999999997</v>
      </c>
      <c r="F7360" s="561">
        <v>424447</v>
      </c>
      <c r="G7360" s="561">
        <v>9723</v>
      </c>
      <c r="H7360" s="561">
        <v>585556.62882805313</v>
      </c>
      <c r="I7360" s="561">
        <v>1019</v>
      </c>
      <c r="J7360" s="561">
        <v>29283.432967877758</v>
      </c>
      <c r="K7360" s="561">
        <v>9718</v>
      </c>
      <c r="L7360" s="561">
        <v>570697</v>
      </c>
      <c r="M7360" s="561">
        <v>570697</v>
      </c>
      <c r="N7360" s="561">
        <v>146249.99999999997</v>
      </c>
      <c r="O7360" s="561">
        <v>0</v>
      </c>
      <c r="P7360" s="561">
        <v>424447</v>
      </c>
    </row>
    <row r="7361" spans="1:56">
      <c r="C7361" s="561" t="s">
        <v>1197</v>
      </c>
      <c r="D7361" s="561">
        <v>570697</v>
      </c>
      <c r="E7361" s="561">
        <v>146249.99999999997</v>
      </c>
      <c r="F7361" s="561">
        <v>424447</v>
      </c>
      <c r="G7361" s="561">
        <v>9723</v>
      </c>
      <c r="H7361" s="561">
        <v>585556.62882805313</v>
      </c>
      <c r="I7361" s="561">
        <v>1019</v>
      </c>
      <c r="J7361" s="561">
        <v>29283.432967877758</v>
      </c>
      <c r="K7361" s="561">
        <v>9718</v>
      </c>
      <c r="L7361" s="561">
        <v>570697</v>
      </c>
      <c r="M7361" s="561">
        <v>570697</v>
      </c>
      <c r="N7361" s="561">
        <v>146249.99999999997</v>
      </c>
    </row>
    <row r="7362" spans="1:56">
      <c r="B7362" s="561" t="s">
        <v>1838</v>
      </c>
      <c r="D7362" s="561">
        <v>3925613.2419308987</v>
      </c>
      <c r="E7362" s="561">
        <v>1085440.1999999997</v>
      </c>
      <c r="F7362" s="561">
        <v>2840173.069842746</v>
      </c>
      <c r="G7362" s="561">
        <v>75402</v>
      </c>
      <c r="H7362" s="561">
        <v>4121558.617450899</v>
      </c>
      <c r="I7362" s="561">
        <v>8244</v>
      </c>
      <c r="J7362" s="561">
        <v>215775.57821808162</v>
      </c>
      <c r="K7362" s="561">
        <v>74598</v>
      </c>
      <c r="L7362" s="561">
        <v>3925613.2419308987</v>
      </c>
      <c r="M7362" s="561">
        <v>3925613.2419308987</v>
      </c>
      <c r="N7362" s="561">
        <v>1085440.1999999997</v>
      </c>
      <c r="O7362" s="561">
        <v>0</v>
      </c>
      <c r="P7362" s="561">
        <v>2840173.0419308981</v>
      </c>
    </row>
    <row r="7363" spans="1:56">
      <c r="A7363" s="561">
        <v>12</v>
      </c>
      <c r="B7363" s="561" t="s">
        <v>1839</v>
      </c>
      <c r="C7363" s="561" t="s">
        <v>1267</v>
      </c>
      <c r="D7363" s="561">
        <v>1322310.2525217419</v>
      </c>
      <c r="E7363" s="561">
        <v>384929.1</v>
      </c>
      <c r="F7363" s="561">
        <v>937381.15252174193</v>
      </c>
      <c r="G7363" s="561">
        <v>19245</v>
      </c>
      <c r="H7363" s="561">
        <v>1399735.8335617422</v>
      </c>
      <c r="I7363" s="561">
        <v>3103</v>
      </c>
      <c r="J7363" s="561">
        <v>97995.120213646151</v>
      </c>
      <c r="K7363" s="561">
        <v>18968</v>
      </c>
      <c r="L7363" s="561">
        <v>1322310.2525217419</v>
      </c>
      <c r="M7363" s="561">
        <v>1322310.2525217419</v>
      </c>
      <c r="N7363" s="561">
        <v>384929.1</v>
      </c>
      <c r="O7363" s="561">
        <v>0</v>
      </c>
      <c r="P7363" s="561">
        <v>937381.15252174193</v>
      </c>
    </row>
    <row r="7364" spans="1:56">
      <c r="C7364" s="561" t="s">
        <v>1197</v>
      </c>
      <c r="D7364" s="561">
        <v>1265692.043632943</v>
      </c>
      <c r="E7364" s="561">
        <v>382950</v>
      </c>
      <c r="F7364" s="561">
        <v>882742.04363294295</v>
      </c>
      <c r="G7364" s="561">
        <v>19037</v>
      </c>
      <c r="H7364" s="561">
        <v>1338134.2597629433</v>
      </c>
      <c r="I7364" s="561">
        <v>3084</v>
      </c>
      <c r="J7364" s="561">
        <v>93396.223586625347</v>
      </c>
      <c r="K7364" s="561">
        <v>18762</v>
      </c>
      <c r="L7364" s="561">
        <v>1265692.043632943</v>
      </c>
      <c r="M7364" s="561">
        <v>1265692.043632943</v>
      </c>
      <c r="N7364" s="561">
        <v>382950</v>
      </c>
    </row>
    <row r="7365" spans="1:56">
      <c r="C7365" s="561" t="s">
        <v>1198</v>
      </c>
      <c r="D7365" s="561">
        <v>56618.208888798996</v>
      </c>
      <c r="E7365" s="561">
        <v>1979.1</v>
      </c>
      <c r="F7365" s="561">
        <v>54639.108888798997</v>
      </c>
      <c r="G7365" s="561">
        <v>208</v>
      </c>
      <c r="H7365" s="561">
        <v>61601.573798798992</v>
      </c>
      <c r="I7365" s="561">
        <v>19</v>
      </c>
      <c r="J7365" s="561">
        <v>4598.8966270208002</v>
      </c>
      <c r="K7365" s="561">
        <v>206</v>
      </c>
      <c r="L7365" s="561">
        <v>56618.208888798996</v>
      </c>
      <c r="M7365" s="561">
        <v>56618.208888798996</v>
      </c>
      <c r="N7365" s="561">
        <v>1979.1</v>
      </c>
    </row>
    <row r="7366" spans="1:56">
      <c r="A7366" s="561">
        <v>13</v>
      </c>
      <c r="B7366" s="561" t="s">
        <v>1840</v>
      </c>
      <c r="C7366" s="561" t="s">
        <v>1267</v>
      </c>
      <c r="D7366" s="561">
        <v>887196.35018999991</v>
      </c>
      <c r="E7366" s="561">
        <v>224363.99999999997</v>
      </c>
      <c r="F7366" s="561">
        <v>662832.35018999991</v>
      </c>
      <c r="G7366" s="561">
        <v>15413</v>
      </c>
      <c r="H7366" s="561">
        <v>912331.85354000016</v>
      </c>
      <c r="I7366" s="561">
        <v>1083</v>
      </c>
      <c r="J7366" s="561">
        <v>25922.016017140002</v>
      </c>
      <c r="K7366" s="561">
        <v>15332</v>
      </c>
      <c r="L7366" s="561">
        <v>887196.35018999991</v>
      </c>
      <c r="M7366" s="561">
        <v>887196.35018999991</v>
      </c>
      <c r="N7366" s="561">
        <v>224363.99999999997</v>
      </c>
      <c r="O7366" s="561">
        <v>0</v>
      </c>
      <c r="P7366" s="561">
        <v>662832.35018999991</v>
      </c>
    </row>
    <row r="7367" spans="1:56">
      <c r="C7367" s="561" t="s">
        <v>1197</v>
      </c>
      <c r="D7367" s="561">
        <v>724816.64784999995</v>
      </c>
      <c r="E7367" s="561">
        <v>196349.99999999997</v>
      </c>
      <c r="F7367" s="561">
        <v>528466.64784999995</v>
      </c>
      <c r="G7367" s="561">
        <v>12756</v>
      </c>
      <c r="H7367" s="561">
        <v>749351.0076400002</v>
      </c>
      <c r="I7367" s="561">
        <v>1061</v>
      </c>
      <c r="J7367" s="561">
        <v>25723.649287140001</v>
      </c>
      <c r="K7367" s="561">
        <v>12715</v>
      </c>
      <c r="L7367" s="561">
        <v>724816.64784999995</v>
      </c>
      <c r="M7367" s="561">
        <v>724816.64784999995</v>
      </c>
      <c r="N7367" s="561">
        <v>196349.99999999997</v>
      </c>
    </row>
    <row r="7368" spans="1:56">
      <c r="C7368" s="561" t="s">
        <v>1199</v>
      </c>
      <c r="D7368" s="561">
        <v>162379.70233999996</v>
      </c>
      <c r="E7368" s="561">
        <v>28014</v>
      </c>
      <c r="F7368" s="561">
        <v>134365.70233999996</v>
      </c>
      <c r="G7368" s="561">
        <v>2657</v>
      </c>
      <c r="H7368" s="561">
        <v>162980.84589999999</v>
      </c>
      <c r="I7368" s="561">
        <v>22</v>
      </c>
      <c r="J7368" s="561">
        <v>198.3667300000009</v>
      </c>
      <c r="K7368" s="561">
        <v>2617</v>
      </c>
      <c r="L7368" s="561">
        <v>162379.70233999996</v>
      </c>
      <c r="M7368" s="561">
        <v>162379.70233999996</v>
      </c>
      <c r="N7368" s="561">
        <v>28014</v>
      </c>
      <c r="BD7368" s="561">
        <v>134365.70233999996</v>
      </c>
    </row>
    <row r="7369" spans="1:56">
      <c r="A7369" s="561">
        <v>14</v>
      </c>
      <c r="B7369" s="561" t="s">
        <v>1841</v>
      </c>
      <c r="C7369" s="561" t="s">
        <v>1267</v>
      </c>
      <c r="D7369" s="561">
        <v>400578.00025860005</v>
      </c>
      <c r="E7369" s="561">
        <v>170247.6</v>
      </c>
      <c r="F7369" s="561">
        <v>230330.40025860004</v>
      </c>
      <c r="G7369" s="561">
        <v>7473</v>
      </c>
      <c r="H7369" s="561">
        <v>427110.00773859996</v>
      </c>
      <c r="I7369" s="561">
        <v>1090</v>
      </c>
      <c r="J7369" s="561">
        <v>26174.457789807002</v>
      </c>
      <c r="K7369" s="561">
        <v>7464</v>
      </c>
      <c r="L7369" s="561">
        <v>400578.00025860005</v>
      </c>
      <c r="M7369" s="561">
        <v>400578.00025860005</v>
      </c>
      <c r="N7369" s="561">
        <v>170247.6</v>
      </c>
      <c r="O7369" s="561">
        <v>0</v>
      </c>
      <c r="P7369" s="561">
        <v>230330.40025860004</v>
      </c>
    </row>
    <row r="7370" spans="1:56">
      <c r="C7370" s="561" t="s">
        <v>1197</v>
      </c>
      <c r="D7370" s="561">
        <v>400578.00025860005</v>
      </c>
      <c r="E7370" s="561">
        <v>170247.6</v>
      </c>
      <c r="F7370" s="561">
        <v>230330.40025860004</v>
      </c>
      <c r="G7370" s="561">
        <v>7473</v>
      </c>
      <c r="H7370" s="561">
        <v>427110.00773859996</v>
      </c>
      <c r="I7370" s="561">
        <v>1090</v>
      </c>
      <c r="J7370" s="561">
        <v>26174.457789807002</v>
      </c>
      <c r="K7370" s="561">
        <v>7464</v>
      </c>
      <c r="L7370" s="561">
        <v>400578.00025860005</v>
      </c>
      <c r="M7370" s="561">
        <v>400578.00025860005</v>
      </c>
      <c r="N7370" s="561">
        <v>170247.6</v>
      </c>
    </row>
    <row r="7371" spans="1:56">
      <c r="A7371" s="561">
        <v>15</v>
      </c>
      <c r="B7371" s="561" t="s">
        <v>1842</v>
      </c>
      <c r="C7371" s="561" t="s">
        <v>1267</v>
      </c>
      <c r="D7371" s="561">
        <v>529741.76623147202</v>
      </c>
      <c r="E7371" s="561">
        <v>114030</v>
      </c>
      <c r="F7371" s="561">
        <v>415711.76623147202</v>
      </c>
      <c r="G7371" s="561">
        <v>8186</v>
      </c>
      <c r="H7371" s="561">
        <v>566928.79296147206</v>
      </c>
      <c r="I7371" s="561">
        <v>1702</v>
      </c>
      <c r="J7371" s="561">
        <v>39069.992231976503</v>
      </c>
      <c r="K7371" s="561">
        <v>8151</v>
      </c>
      <c r="L7371" s="561">
        <v>529741.76623147202</v>
      </c>
      <c r="M7371" s="561">
        <v>529741.76623147202</v>
      </c>
      <c r="N7371" s="561">
        <v>114030</v>
      </c>
      <c r="O7371" s="561">
        <v>0</v>
      </c>
      <c r="P7371" s="561">
        <v>415711.76623147202</v>
      </c>
    </row>
    <row r="7372" spans="1:56">
      <c r="C7372" s="561" t="s">
        <v>1197</v>
      </c>
      <c r="D7372" s="561">
        <v>510075.44698657602</v>
      </c>
      <c r="E7372" s="561">
        <v>111150</v>
      </c>
      <c r="F7372" s="561">
        <v>398925.44698657602</v>
      </c>
      <c r="G7372" s="561">
        <v>7046</v>
      </c>
      <c r="H7372" s="561">
        <v>547048.78936657601</v>
      </c>
      <c r="I7372" s="561">
        <v>1582</v>
      </c>
      <c r="J7372" s="561">
        <v>38837.477191976504</v>
      </c>
      <c r="K7372" s="561">
        <v>7013</v>
      </c>
      <c r="L7372" s="561">
        <v>510075.44698657602</v>
      </c>
      <c r="M7372" s="561">
        <v>510075.44698657602</v>
      </c>
      <c r="N7372" s="561">
        <v>111150</v>
      </c>
    </row>
    <row r="7373" spans="1:56">
      <c r="C7373" s="561" t="s">
        <v>1199</v>
      </c>
      <c r="D7373" s="561">
        <v>19666.319244896</v>
      </c>
      <c r="E7373" s="561">
        <v>2880</v>
      </c>
      <c r="F7373" s="561">
        <v>16786.319244896</v>
      </c>
      <c r="G7373" s="561">
        <v>1140</v>
      </c>
      <c r="H7373" s="561">
        <v>19880.003594896003</v>
      </c>
      <c r="I7373" s="561">
        <v>120</v>
      </c>
      <c r="J7373" s="561">
        <v>232.51504000000011</v>
      </c>
      <c r="K7373" s="561">
        <v>1138</v>
      </c>
      <c r="L7373" s="561">
        <v>19666.319244896</v>
      </c>
      <c r="M7373" s="561">
        <v>19666.319244896</v>
      </c>
      <c r="N7373" s="561">
        <v>2880</v>
      </c>
      <c r="AL7373" s="561">
        <v>16786.319244896</v>
      </c>
    </row>
    <row r="7374" spans="1:56">
      <c r="A7374" s="561">
        <v>16</v>
      </c>
      <c r="B7374" s="561" t="s">
        <v>1843</v>
      </c>
      <c r="C7374" s="561" t="s">
        <v>1267</v>
      </c>
      <c r="D7374" s="561">
        <v>88684.499969679979</v>
      </c>
      <c r="E7374" s="561">
        <v>19681.5</v>
      </c>
      <c r="F7374" s="561">
        <v>69002.999969679979</v>
      </c>
      <c r="G7374" s="561">
        <v>2195</v>
      </c>
      <c r="H7374" s="561">
        <v>93259.332369680022</v>
      </c>
      <c r="I7374" s="561">
        <v>120</v>
      </c>
      <c r="J7374" s="561">
        <v>4595.3468900000007</v>
      </c>
      <c r="K7374" s="561">
        <v>2186</v>
      </c>
      <c r="L7374" s="561">
        <v>88684.499969679979</v>
      </c>
      <c r="M7374" s="561">
        <v>88684.499969679979</v>
      </c>
      <c r="N7374" s="561">
        <v>19681.5</v>
      </c>
      <c r="O7374" s="561">
        <v>0</v>
      </c>
      <c r="P7374" s="561">
        <v>69002.999969679979</v>
      </c>
    </row>
    <row r="7375" spans="1:56">
      <c r="C7375" s="561" t="s">
        <v>1197</v>
      </c>
      <c r="D7375" s="561">
        <v>74057.874932379986</v>
      </c>
      <c r="E7375" s="561">
        <v>15361.500000000002</v>
      </c>
      <c r="F7375" s="561">
        <v>58696.374932379986</v>
      </c>
      <c r="G7375" s="561">
        <v>1074</v>
      </c>
      <c r="H7375" s="561">
        <v>78499.195422380028</v>
      </c>
      <c r="I7375" s="561">
        <v>89</v>
      </c>
      <c r="J7375" s="561">
        <v>4441.3199700000005</v>
      </c>
      <c r="K7375" s="561">
        <v>1067</v>
      </c>
      <c r="L7375" s="561">
        <v>74057.874932379986</v>
      </c>
      <c r="M7375" s="561">
        <v>74057.874932379986</v>
      </c>
      <c r="N7375" s="561">
        <v>15361.500000000002</v>
      </c>
    </row>
    <row r="7376" spans="1:56">
      <c r="C7376" s="561" t="s">
        <v>1199</v>
      </c>
      <c r="D7376" s="561">
        <v>14626.6250373</v>
      </c>
      <c r="E7376" s="561">
        <v>4319.9999999999991</v>
      </c>
      <c r="F7376" s="561">
        <v>10306.6250373</v>
      </c>
      <c r="G7376" s="561">
        <v>1121</v>
      </c>
      <c r="H7376" s="561">
        <v>14760.1369473</v>
      </c>
      <c r="I7376" s="561">
        <v>31</v>
      </c>
      <c r="J7376" s="561">
        <v>154.0269199999999</v>
      </c>
      <c r="K7376" s="561">
        <v>1119</v>
      </c>
      <c r="L7376" s="561">
        <v>14626.6250373</v>
      </c>
      <c r="M7376" s="561">
        <v>14626.6250373</v>
      </c>
      <c r="N7376" s="561">
        <v>4319.9999999999991</v>
      </c>
      <c r="AL7376" s="561">
        <v>10306.6250373</v>
      </c>
    </row>
    <row r="7377" spans="1:78">
      <c r="A7377" s="561">
        <v>17</v>
      </c>
      <c r="B7377" s="561" t="s">
        <v>1844</v>
      </c>
      <c r="C7377" s="561" t="s">
        <v>1267</v>
      </c>
      <c r="D7377" s="561">
        <v>266777.94974000001</v>
      </c>
      <c r="E7377" s="561">
        <v>76609.199999999983</v>
      </c>
      <c r="F7377" s="561">
        <v>190168.74936000005</v>
      </c>
      <c r="G7377" s="561">
        <v>1203</v>
      </c>
      <c r="H7377" s="561">
        <v>269939.95752</v>
      </c>
      <c r="I7377" s="561">
        <v>51</v>
      </c>
      <c r="J7377" s="561">
        <v>3214.8523400000004</v>
      </c>
      <c r="K7377" s="561">
        <v>1188</v>
      </c>
      <c r="L7377" s="561">
        <v>266777.94974000001</v>
      </c>
      <c r="M7377" s="561">
        <v>266777.94974000001</v>
      </c>
      <c r="N7377" s="561">
        <v>76609.199999999983</v>
      </c>
      <c r="O7377" s="561">
        <v>0</v>
      </c>
      <c r="P7377" s="561">
        <v>190168.74974000006</v>
      </c>
    </row>
    <row r="7378" spans="1:78">
      <c r="C7378" s="561" t="s">
        <v>1197</v>
      </c>
      <c r="D7378" s="561">
        <v>27178.02721</v>
      </c>
      <c r="E7378" s="561">
        <v>5741.9999999999991</v>
      </c>
      <c r="F7378" s="561">
        <v>21436.02721</v>
      </c>
      <c r="G7378" s="561">
        <v>380</v>
      </c>
      <c r="H7378" s="561">
        <v>27897.107560000004</v>
      </c>
      <c r="I7378" s="561">
        <v>34</v>
      </c>
      <c r="J7378" s="561">
        <v>1041.60942</v>
      </c>
      <c r="K7378" s="561">
        <v>379</v>
      </c>
      <c r="L7378" s="561">
        <v>27178.02721</v>
      </c>
      <c r="M7378" s="561">
        <v>27178.02721</v>
      </c>
      <c r="N7378" s="561">
        <v>5741.9999999999991</v>
      </c>
    </row>
    <row r="7379" spans="1:78">
      <c r="C7379" s="561" t="s">
        <v>1199</v>
      </c>
      <c r="D7379" s="561">
        <v>218719.43315000003</v>
      </c>
      <c r="E7379" s="561">
        <v>60965.999999999985</v>
      </c>
      <c r="F7379" s="561">
        <v>157753.43315000006</v>
      </c>
      <c r="G7379" s="561">
        <v>768</v>
      </c>
      <c r="H7379" s="561">
        <v>220757.48816000001</v>
      </c>
      <c r="I7379" s="561">
        <v>14</v>
      </c>
      <c r="J7379" s="561">
        <v>2038.0550100000007</v>
      </c>
      <c r="K7379" s="561">
        <v>755</v>
      </c>
      <c r="L7379" s="561">
        <v>218719.43315000003</v>
      </c>
      <c r="M7379" s="561">
        <v>218719.43315000003</v>
      </c>
      <c r="N7379" s="561">
        <v>60965.999999999985</v>
      </c>
      <c r="AL7379" s="561">
        <v>157753.43315000006</v>
      </c>
    </row>
    <row r="7380" spans="1:78">
      <c r="C7380" s="561" t="s">
        <v>1198</v>
      </c>
      <c r="D7380" s="561">
        <v>20880.489380000003</v>
      </c>
      <c r="E7380" s="561">
        <v>9901.2000000000007</v>
      </c>
      <c r="F7380" s="561">
        <v>10979.289000000001</v>
      </c>
      <c r="G7380" s="561">
        <v>55</v>
      </c>
      <c r="H7380" s="561">
        <v>21285.361800000002</v>
      </c>
      <c r="I7380" s="561">
        <v>3</v>
      </c>
      <c r="J7380" s="561">
        <v>135.1879099999997</v>
      </c>
      <c r="K7380" s="561">
        <v>54</v>
      </c>
      <c r="L7380" s="561">
        <v>20880.489380000003</v>
      </c>
      <c r="M7380" s="561">
        <v>20880.489380000003</v>
      </c>
      <c r="N7380" s="561">
        <v>9901.2000000000007</v>
      </c>
    </row>
    <row r="7381" spans="1:78">
      <c r="A7381" s="561">
        <v>18</v>
      </c>
      <c r="B7381" s="561" t="s">
        <v>1845</v>
      </c>
      <c r="C7381" s="561" t="s">
        <v>1267</v>
      </c>
      <c r="D7381" s="561">
        <v>31144.999700646502</v>
      </c>
      <c r="E7381" s="561">
        <v>9343.4999999999982</v>
      </c>
      <c r="F7381" s="561">
        <v>21801.499840646502</v>
      </c>
      <c r="G7381" s="561">
        <v>1802</v>
      </c>
      <c r="H7381" s="561">
        <v>33679.476940646506</v>
      </c>
      <c r="I7381" s="561">
        <v>23</v>
      </c>
      <c r="J7381" s="561">
        <v>2534.47723</v>
      </c>
      <c r="K7381" s="561">
        <v>1798</v>
      </c>
      <c r="L7381" s="561">
        <v>31144.999700646502</v>
      </c>
      <c r="M7381" s="561">
        <v>31144.999700646502</v>
      </c>
      <c r="N7381" s="561">
        <v>9343.4999999999982</v>
      </c>
      <c r="O7381" s="561">
        <v>0</v>
      </c>
      <c r="P7381" s="561">
        <v>21801.499700646506</v>
      </c>
    </row>
    <row r="7382" spans="1:78">
      <c r="C7382" s="561" t="s">
        <v>1197</v>
      </c>
      <c r="D7382" s="561">
        <v>13020.131627266001</v>
      </c>
      <c r="E7382" s="561">
        <v>3943.4999999999986</v>
      </c>
      <c r="F7382" s="561">
        <v>9076.6316272660024</v>
      </c>
      <c r="G7382" s="561">
        <v>269</v>
      </c>
      <c r="H7382" s="561">
        <v>14845.900437266002</v>
      </c>
      <c r="I7382" s="561">
        <v>11</v>
      </c>
      <c r="J7382" s="561">
        <v>1825.7687999999998</v>
      </c>
      <c r="K7382" s="561">
        <v>267</v>
      </c>
      <c r="L7382" s="561">
        <v>13020.131627266001</v>
      </c>
      <c r="M7382" s="561">
        <v>13020.131627266001</v>
      </c>
      <c r="N7382" s="561">
        <v>3943.4999999999986</v>
      </c>
    </row>
    <row r="7383" spans="1:78">
      <c r="C7383" s="561" t="s">
        <v>1199</v>
      </c>
      <c r="D7383" s="561">
        <v>18124.868073380501</v>
      </c>
      <c r="E7383" s="561">
        <v>5399.9999999999991</v>
      </c>
      <c r="F7383" s="561">
        <v>12724.868213380498</v>
      </c>
      <c r="G7383" s="561">
        <v>1533</v>
      </c>
      <c r="H7383" s="561">
        <v>18833.5765033805</v>
      </c>
      <c r="I7383" s="561">
        <v>12</v>
      </c>
      <c r="J7383" s="561">
        <v>708.70843000000013</v>
      </c>
      <c r="K7383" s="561">
        <v>1531</v>
      </c>
      <c r="L7383" s="561">
        <v>18124.868073380501</v>
      </c>
      <c r="M7383" s="561">
        <v>18124.868073380501</v>
      </c>
      <c r="N7383" s="561">
        <v>5399.9999999999991</v>
      </c>
      <c r="AL7383" s="561">
        <v>12724.868073380501</v>
      </c>
    </row>
    <row r="7384" spans="1:78">
      <c r="A7384" s="561">
        <v>19</v>
      </c>
      <c r="B7384" s="561" t="s">
        <v>1846</v>
      </c>
      <c r="C7384" s="561" t="s">
        <v>1267</v>
      </c>
      <c r="D7384" s="561">
        <v>5499.9998536920002</v>
      </c>
      <c r="E7384" s="561">
        <v>1650</v>
      </c>
      <c r="F7384" s="561">
        <v>3850</v>
      </c>
      <c r="G7384" s="561">
        <v>84</v>
      </c>
      <c r="H7384" s="561">
        <v>5595.2658736920002</v>
      </c>
      <c r="I7384" s="561">
        <v>5</v>
      </c>
      <c r="J7384" s="561">
        <v>-67.027979999999928</v>
      </c>
      <c r="K7384" s="561">
        <v>84</v>
      </c>
      <c r="L7384" s="561">
        <v>5499.9998536920002</v>
      </c>
      <c r="M7384" s="561">
        <v>5499.9998536920002</v>
      </c>
      <c r="N7384" s="561">
        <v>1650</v>
      </c>
      <c r="O7384" s="561">
        <v>0</v>
      </c>
      <c r="P7384" s="561">
        <v>3849.9998536920002</v>
      </c>
    </row>
    <row r="7385" spans="1:78">
      <c r="C7385" s="561" t="s">
        <v>1197</v>
      </c>
      <c r="D7385" s="561">
        <v>5499.9998536920002</v>
      </c>
      <c r="E7385" s="561">
        <v>1650</v>
      </c>
      <c r="F7385" s="561">
        <v>3850</v>
      </c>
      <c r="G7385" s="561">
        <v>84</v>
      </c>
      <c r="H7385" s="561">
        <v>5595.2658736920002</v>
      </c>
      <c r="I7385" s="561">
        <v>5</v>
      </c>
      <c r="J7385" s="561">
        <v>-67.027979999999928</v>
      </c>
      <c r="K7385" s="561">
        <v>84</v>
      </c>
      <c r="L7385" s="561">
        <v>5499.9998536920002</v>
      </c>
      <c r="M7385" s="561">
        <v>5499.9998536920002</v>
      </c>
      <c r="N7385" s="561">
        <v>1650</v>
      </c>
    </row>
    <row r="7386" spans="1:78">
      <c r="A7386" s="561">
        <v>20</v>
      </c>
      <c r="B7386" s="561" t="s">
        <v>1847</v>
      </c>
      <c r="C7386" s="561" t="s">
        <v>1267</v>
      </c>
      <c r="D7386" s="561">
        <v>57827.800070605997</v>
      </c>
      <c r="E7386" s="561">
        <v>2175</v>
      </c>
      <c r="F7386" s="561">
        <v>55652.826470606</v>
      </c>
      <c r="G7386" s="561">
        <v>91</v>
      </c>
      <c r="H7386" s="561">
        <v>58369.518330605999</v>
      </c>
      <c r="I7386" s="561">
        <v>4</v>
      </c>
      <c r="J7386" s="561">
        <v>541.64348000000007</v>
      </c>
      <c r="K7386" s="561">
        <v>90</v>
      </c>
      <c r="L7386" s="561">
        <v>57827.800070605997</v>
      </c>
      <c r="M7386" s="561">
        <v>57827.800070605997</v>
      </c>
      <c r="N7386" s="561">
        <v>2175</v>
      </c>
      <c r="O7386" s="561">
        <v>0</v>
      </c>
      <c r="P7386" s="561">
        <v>55652.800070605997</v>
      </c>
    </row>
    <row r="7387" spans="1:78">
      <c r="C7387" s="561" t="s">
        <v>1197</v>
      </c>
      <c r="D7387" s="561">
        <v>1586.898850606</v>
      </c>
      <c r="E7387" s="561">
        <v>494.99999999999989</v>
      </c>
      <c r="F7387" s="561">
        <v>1091.9253806060001</v>
      </c>
      <c r="G7387" s="561">
        <v>15</v>
      </c>
      <c r="H7387" s="561">
        <v>1760.4511106060002</v>
      </c>
      <c r="I7387" s="561">
        <v>3</v>
      </c>
      <c r="J7387" s="561">
        <v>173.47797</v>
      </c>
      <c r="K7387" s="561">
        <v>14</v>
      </c>
      <c r="L7387" s="561">
        <v>1586.898850606</v>
      </c>
      <c r="M7387" s="561">
        <v>1586.898850606</v>
      </c>
      <c r="N7387" s="561">
        <v>494.99999999999989</v>
      </c>
    </row>
    <row r="7388" spans="1:78">
      <c r="C7388" s="561" t="s">
        <v>1198</v>
      </c>
      <c r="D7388" s="561">
        <v>56240.90122</v>
      </c>
      <c r="E7388" s="561">
        <v>1680</v>
      </c>
      <c r="F7388" s="561">
        <v>54560.901089999999</v>
      </c>
      <c r="G7388" s="561">
        <v>76</v>
      </c>
      <c r="H7388" s="561">
        <v>56609.067219999997</v>
      </c>
      <c r="I7388" s="561">
        <v>1</v>
      </c>
      <c r="J7388" s="561">
        <v>368.1655100000001</v>
      </c>
      <c r="K7388" s="561">
        <v>76</v>
      </c>
      <c r="L7388" s="561">
        <v>56240.90122</v>
      </c>
      <c r="M7388" s="561">
        <v>56240.90122</v>
      </c>
      <c r="N7388" s="561">
        <v>1680</v>
      </c>
    </row>
    <row r="7389" spans="1:78">
      <c r="A7389" s="561">
        <v>21</v>
      </c>
      <c r="B7389" s="561" t="s">
        <v>1848</v>
      </c>
      <c r="C7389" s="561" t="s">
        <v>1267</v>
      </c>
      <c r="D7389" s="561">
        <v>12609.999832705831</v>
      </c>
      <c r="E7389" s="561">
        <v>3239.9999999999986</v>
      </c>
      <c r="F7389" s="561">
        <v>9370.0000000000036</v>
      </c>
      <c r="G7389" s="561">
        <v>909</v>
      </c>
      <c r="H7389" s="561">
        <v>13072.479812705833</v>
      </c>
      <c r="I7389" s="561">
        <v>25</v>
      </c>
      <c r="J7389" s="561">
        <v>462.47976999999992</v>
      </c>
      <c r="K7389" s="561">
        <v>903</v>
      </c>
      <c r="L7389" s="561">
        <v>12609.999832705831</v>
      </c>
      <c r="M7389" s="561">
        <v>12609.999832705831</v>
      </c>
      <c r="N7389" s="561">
        <v>3239.9999999999986</v>
      </c>
      <c r="O7389" s="561">
        <v>0</v>
      </c>
      <c r="P7389" s="561">
        <v>9369.9998327058329</v>
      </c>
    </row>
    <row r="7390" spans="1:78">
      <c r="C7390" s="561" t="s">
        <v>1199</v>
      </c>
      <c r="D7390" s="561">
        <v>12609.999832705831</v>
      </c>
      <c r="E7390" s="561">
        <v>3239.9999999999986</v>
      </c>
      <c r="F7390" s="561">
        <v>9370.0000000000036</v>
      </c>
      <c r="G7390" s="561">
        <v>909</v>
      </c>
      <c r="H7390" s="561">
        <v>13072.479812705833</v>
      </c>
      <c r="I7390" s="561">
        <v>25</v>
      </c>
      <c r="J7390" s="561">
        <v>462.47976999999992</v>
      </c>
      <c r="K7390" s="561">
        <v>903</v>
      </c>
      <c r="L7390" s="561">
        <v>12609.999832705831</v>
      </c>
      <c r="M7390" s="561">
        <v>12609.999832705831</v>
      </c>
      <c r="N7390" s="561">
        <v>3239.9999999999986</v>
      </c>
      <c r="BZ7390" s="561">
        <v>9369.9998327058329</v>
      </c>
    </row>
    <row r="7391" spans="1:78">
      <c r="A7391" s="561">
        <v>22</v>
      </c>
      <c r="B7391" s="561" t="s">
        <v>1849</v>
      </c>
      <c r="C7391" s="561" t="s">
        <v>1267</v>
      </c>
      <c r="D7391" s="561">
        <v>10135.899853947501</v>
      </c>
      <c r="E7391" s="561">
        <v>2699.9999999999995</v>
      </c>
      <c r="F7391" s="561">
        <v>7435.9000000000005</v>
      </c>
      <c r="G7391" s="561">
        <v>749</v>
      </c>
      <c r="H7391" s="561">
        <v>11810.404973947499</v>
      </c>
      <c r="I7391" s="561">
        <v>60</v>
      </c>
      <c r="J7391" s="561">
        <v>1674.5050400000002</v>
      </c>
      <c r="K7391" s="561">
        <v>700</v>
      </c>
      <c r="L7391" s="561">
        <v>10135.899853947501</v>
      </c>
      <c r="M7391" s="561">
        <v>10135.899853947501</v>
      </c>
      <c r="N7391" s="561">
        <v>2699.9999999999995</v>
      </c>
      <c r="O7391" s="561">
        <v>0</v>
      </c>
      <c r="P7391" s="561">
        <v>7435.8998539475015</v>
      </c>
    </row>
    <row r="7392" spans="1:78">
      <c r="C7392" s="561" t="s">
        <v>1199</v>
      </c>
      <c r="D7392" s="561">
        <v>10135.899853947501</v>
      </c>
      <c r="E7392" s="561">
        <v>2699.9999999999995</v>
      </c>
      <c r="F7392" s="561">
        <v>7435.9000000000005</v>
      </c>
      <c r="G7392" s="561">
        <v>749</v>
      </c>
      <c r="H7392" s="561">
        <v>11810.404973947499</v>
      </c>
      <c r="I7392" s="561">
        <v>60</v>
      </c>
      <c r="J7392" s="561">
        <v>1674.5050400000002</v>
      </c>
      <c r="K7392" s="561">
        <v>700</v>
      </c>
      <c r="L7392" s="561">
        <v>10135.899853947501</v>
      </c>
      <c r="M7392" s="561">
        <v>10135.899853947501</v>
      </c>
      <c r="N7392" s="561">
        <v>2699.9999999999995</v>
      </c>
      <c r="BZ7392" s="561">
        <v>7435.8998539475015</v>
      </c>
    </row>
    <row r="7393" spans="1:78">
      <c r="A7393" s="561">
        <v>23</v>
      </c>
      <c r="B7393" s="561" t="s">
        <v>1850</v>
      </c>
      <c r="C7393" s="561" t="s">
        <v>1267</v>
      </c>
      <c r="D7393" s="561">
        <v>13545.000222427669</v>
      </c>
      <c r="E7393" s="561">
        <v>3779.9999999999991</v>
      </c>
      <c r="F7393" s="561">
        <v>9765</v>
      </c>
      <c r="G7393" s="561">
        <v>1050</v>
      </c>
      <c r="H7393" s="561">
        <v>13647.226102427669</v>
      </c>
      <c r="I7393" s="561">
        <v>9</v>
      </c>
      <c r="J7393" s="561">
        <v>102.22588000000002</v>
      </c>
      <c r="K7393" s="561">
        <v>1050</v>
      </c>
      <c r="L7393" s="561">
        <v>13545.000222427669</v>
      </c>
      <c r="M7393" s="561">
        <v>13545.000222427669</v>
      </c>
      <c r="N7393" s="561">
        <v>3779.9999999999991</v>
      </c>
      <c r="O7393" s="561">
        <v>0</v>
      </c>
      <c r="P7393" s="561">
        <v>9765.0002224276686</v>
      </c>
    </row>
    <row r="7394" spans="1:78">
      <c r="C7394" s="561" t="s">
        <v>1199</v>
      </c>
      <c r="D7394" s="561">
        <v>13545.000222427669</v>
      </c>
      <c r="E7394" s="561">
        <v>3779.9999999999991</v>
      </c>
      <c r="F7394" s="561">
        <v>9765</v>
      </c>
      <c r="G7394" s="561">
        <v>1050</v>
      </c>
      <c r="H7394" s="561">
        <v>13647.226102427669</v>
      </c>
      <c r="I7394" s="561">
        <v>9</v>
      </c>
      <c r="J7394" s="561">
        <v>102.22588000000002</v>
      </c>
      <c r="K7394" s="561">
        <v>1050</v>
      </c>
      <c r="L7394" s="561">
        <v>13545.000222427669</v>
      </c>
      <c r="M7394" s="561">
        <v>13545.000222427669</v>
      </c>
      <c r="N7394" s="561">
        <v>3779.9999999999991</v>
      </c>
      <c r="BZ7394" s="561">
        <v>9765.0002224276686</v>
      </c>
    </row>
    <row r="7395" spans="1:78">
      <c r="A7395" s="561">
        <v>24</v>
      </c>
      <c r="B7395" s="561" t="s">
        <v>1851</v>
      </c>
      <c r="C7395" s="561" t="s">
        <v>1267</v>
      </c>
      <c r="D7395" s="561">
        <v>11784.3004935545</v>
      </c>
      <c r="E7395" s="561">
        <v>2880</v>
      </c>
      <c r="F7395" s="561">
        <v>8904.2999999999993</v>
      </c>
      <c r="G7395" s="561">
        <v>820</v>
      </c>
      <c r="H7395" s="561">
        <v>12359.544823554499</v>
      </c>
      <c r="I7395" s="561">
        <v>5</v>
      </c>
      <c r="J7395" s="561">
        <v>43.949710000000039</v>
      </c>
      <c r="K7395" s="561">
        <v>817</v>
      </c>
      <c r="L7395" s="561">
        <v>11784.3004935545</v>
      </c>
      <c r="M7395" s="561">
        <v>11784.3004935545</v>
      </c>
      <c r="N7395" s="561">
        <v>2880</v>
      </c>
      <c r="O7395" s="561">
        <v>0</v>
      </c>
      <c r="P7395" s="561">
        <v>8904.3004935544996</v>
      </c>
    </row>
    <row r="7396" spans="1:78">
      <c r="C7396" s="561" t="s">
        <v>1199</v>
      </c>
      <c r="D7396" s="561">
        <v>11784.3004935545</v>
      </c>
      <c r="E7396" s="561">
        <v>2880</v>
      </c>
      <c r="F7396" s="561">
        <v>8904.2999999999993</v>
      </c>
      <c r="G7396" s="561">
        <v>820</v>
      </c>
      <c r="H7396" s="561">
        <v>12359.544823554499</v>
      </c>
      <c r="I7396" s="561">
        <v>5</v>
      </c>
      <c r="J7396" s="561">
        <v>43.949710000000039</v>
      </c>
      <c r="K7396" s="561">
        <v>817</v>
      </c>
      <c r="L7396" s="561">
        <v>11784.3004935545</v>
      </c>
      <c r="M7396" s="561">
        <v>11784.3004935545</v>
      </c>
      <c r="N7396" s="561">
        <v>2880</v>
      </c>
      <c r="BZ7396" s="561">
        <v>8904.3004935544996</v>
      </c>
    </row>
    <row r="7397" spans="1:78">
      <c r="A7397" s="561">
        <v>25</v>
      </c>
      <c r="B7397" s="561" t="s">
        <v>1852</v>
      </c>
      <c r="C7397" s="561" t="s">
        <v>1267</v>
      </c>
      <c r="D7397" s="561">
        <v>15899.999883820503</v>
      </c>
      <c r="E7397" s="561">
        <v>3600</v>
      </c>
      <c r="F7397" s="561">
        <v>12300</v>
      </c>
      <c r="G7397" s="561">
        <v>1293</v>
      </c>
      <c r="H7397" s="561">
        <v>18990.5812238205</v>
      </c>
      <c r="I7397" s="561">
        <v>124</v>
      </c>
      <c r="J7397" s="561">
        <v>3087.5617555559998</v>
      </c>
      <c r="K7397" s="561">
        <v>1256</v>
      </c>
      <c r="L7397" s="561">
        <v>15899.999883820503</v>
      </c>
      <c r="M7397" s="561">
        <v>15899.999883820503</v>
      </c>
      <c r="N7397" s="561">
        <v>3600</v>
      </c>
      <c r="O7397" s="561">
        <v>0</v>
      </c>
      <c r="P7397" s="561">
        <v>12299.999883820503</v>
      </c>
    </row>
    <row r="7398" spans="1:78">
      <c r="C7398" s="561" t="s">
        <v>1199</v>
      </c>
      <c r="D7398" s="561">
        <v>15899.999883820503</v>
      </c>
      <c r="E7398" s="561">
        <v>3600</v>
      </c>
      <c r="F7398" s="561">
        <v>12300</v>
      </c>
      <c r="G7398" s="561">
        <v>1293</v>
      </c>
      <c r="H7398" s="561">
        <v>18990.5812238205</v>
      </c>
      <c r="I7398" s="561">
        <v>124</v>
      </c>
      <c r="J7398" s="561">
        <v>3087.5617555559998</v>
      </c>
      <c r="K7398" s="561">
        <v>1256</v>
      </c>
      <c r="L7398" s="561">
        <v>15899.999883820503</v>
      </c>
      <c r="M7398" s="561">
        <v>15899.999883820503</v>
      </c>
      <c r="N7398" s="561">
        <v>3600</v>
      </c>
      <c r="BZ7398" s="561">
        <v>12299.999883820503</v>
      </c>
    </row>
    <row r="7399" spans="1:78">
      <c r="A7399" s="561">
        <v>26</v>
      </c>
      <c r="B7399" s="561" t="s">
        <v>1853</v>
      </c>
      <c r="C7399" s="561" t="s">
        <v>1267</v>
      </c>
      <c r="D7399" s="561">
        <v>16532.000482961001</v>
      </c>
      <c r="E7399" s="561">
        <v>3887.9999999999991</v>
      </c>
      <c r="F7399" s="561">
        <v>12644.000000000002</v>
      </c>
      <c r="G7399" s="561">
        <v>1097</v>
      </c>
      <c r="H7399" s="561">
        <v>17289.747312960997</v>
      </c>
      <c r="I7399" s="561">
        <v>42</v>
      </c>
      <c r="J7399" s="561">
        <v>805.36380999999994</v>
      </c>
      <c r="K7399" s="561">
        <v>1090</v>
      </c>
      <c r="L7399" s="561">
        <v>16532.000482961001</v>
      </c>
      <c r="M7399" s="561">
        <v>16532.000482961001</v>
      </c>
      <c r="N7399" s="561">
        <v>3887.9999999999991</v>
      </c>
      <c r="O7399" s="561">
        <v>0</v>
      </c>
      <c r="P7399" s="561">
        <v>12644.000482961001</v>
      </c>
    </row>
    <row r="7400" spans="1:78">
      <c r="C7400" s="561" t="s">
        <v>1199</v>
      </c>
      <c r="D7400" s="561">
        <v>16532.000482961001</v>
      </c>
      <c r="E7400" s="561">
        <v>3887.9999999999991</v>
      </c>
      <c r="F7400" s="561">
        <v>12644.000000000002</v>
      </c>
      <c r="G7400" s="561">
        <v>1097</v>
      </c>
      <c r="H7400" s="561">
        <v>17289.747312960997</v>
      </c>
      <c r="I7400" s="561">
        <v>42</v>
      </c>
      <c r="J7400" s="561">
        <v>805.36380999999994</v>
      </c>
      <c r="K7400" s="561">
        <v>1090</v>
      </c>
      <c r="L7400" s="561">
        <v>16532.000482961001</v>
      </c>
      <c r="M7400" s="561">
        <v>16532.000482961001</v>
      </c>
      <c r="N7400" s="561">
        <v>3887.9999999999991</v>
      </c>
      <c r="BZ7400" s="561">
        <v>12644.000482961001</v>
      </c>
    </row>
    <row r="7401" spans="1:78">
      <c r="A7401" s="561">
        <v>27</v>
      </c>
      <c r="B7401" s="561" t="s">
        <v>1854</v>
      </c>
      <c r="C7401" s="561" t="s">
        <v>1267</v>
      </c>
      <c r="D7401" s="561">
        <v>18568.950207012338</v>
      </c>
      <c r="E7401" s="561">
        <v>4935.5999999999995</v>
      </c>
      <c r="F7401" s="561">
        <v>13633.349999999999</v>
      </c>
      <c r="G7401" s="561">
        <v>1397</v>
      </c>
      <c r="H7401" s="561">
        <v>19476.076053679</v>
      </c>
      <c r="I7401" s="561">
        <v>43</v>
      </c>
      <c r="J7401" s="561">
        <v>906.78347000000008</v>
      </c>
      <c r="K7401" s="561">
        <v>1395</v>
      </c>
      <c r="L7401" s="561">
        <v>18568.950207012338</v>
      </c>
      <c r="M7401" s="561">
        <v>18568.950207012338</v>
      </c>
      <c r="N7401" s="561">
        <v>4935.5999999999995</v>
      </c>
      <c r="O7401" s="561">
        <v>0</v>
      </c>
      <c r="P7401" s="561">
        <v>13633.35020701234</v>
      </c>
    </row>
    <row r="7402" spans="1:78">
      <c r="C7402" s="561" t="s">
        <v>1199</v>
      </c>
      <c r="D7402" s="561">
        <v>18568.950207012338</v>
      </c>
      <c r="E7402" s="561">
        <v>4935.5999999999995</v>
      </c>
      <c r="F7402" s="561">
        <v>13633.349999999999</v>
      </c>
      <c r="G7402" s="561">
        <v>1397</v>
      </c>
      <c r="H7402" s="561">
        <v>19476.076053679</v>
      </c>
      <c r="I7402" s="561">
        <v>43</v>
      </c>
      <c r="J7402" s="561">
        <v>906.78347000000008</v>
      </c>
      <c r="K7402" s="561">
        <v>1395</v>
      </c>
      <c r="L7402" s="561">
        <v>18568.950207012338</v>
      </c>
      <c r="M7402" s="561">
        <v>18568.950207012338</v>
      </c>
      <c r="N7402" s="561">
        <v>4935.5999999999995</v>
      </c>
      <c r="BZ7402" s="561">
        <v>13633.35020701234</v>
      </c>
    </row>
    <row r="7403" spans="1:78">
      <c r="A7403" s="561">
        <v>28</v>
      </c>
      <c r="B7403" s="561" t="s">
        <v>1855</v>
      </c>
      <c r="C7403" s="561" t="s">
        <v>1267</v>
      </c>
      <c r="D7403" s="561">
        <v>8520.2999167196667</v>
      </c>
      <c r="E7403" s="561">
        <v>2159.9999999999995</v>
      </c>
      <c r="F7403" s="561">
        <v>6360.2999999999993</v>
      </c>
      <c r="G7403" s="561">
        <v>529</v>
      </c>
      <c r="H7403" s="561">
        <v>8729.5424733863329</v>
      </c>
      <c r="I7403" s="561">
        <v>5</v>
      </c>
      <c r="J7403" s="561">
        <v>209.40379999999999</v>
      </c>
      <c r="K7403" s="561">
        <v>529</v>
      </c>
      <c r="L7403" s="561">
        <v>8520.2999167196667</v>
      </c>
      <c r="M7403" s="561">
        <v>8520.2999167196667</v>
      </c>
      <c r="N7403" s="561">
        <v>2159.9999999999995</v>
      </c>
      <c r="O7403" s="561">
        <v>0</v>
      </c>
      <c r="P7403" s="561">
        <v>6360.2999167196667</v>
      </c>
    </row>
    <row r="7404" spans="1:78">
      <c r="C7404" s="561" t="s">
        <v>1199</v>
      </c>
      <c r="D7404" s="561">
        <v>8520.2999167196667</v>
      </c>
      <c r="E7404" s="561">
        <v>2159.9999999999995</v>
      </c>
      <c r="F7404" s="561">
        <v>6360.2999999999993</v>
      </c>
      <c r="G7404" s="561">
        <v>529</v>
      </c>
      <c r="H7404" s="561">
        <v>8729.5424733863329</v>
      </c>
      <c r="I7404" s="561">
        <v>5</v>
      </c>
      <c r="J7404" s="561">
        <v>209.40379999999999</v>
      </c>
      <c r="K7404" s="561">
        <v>529</v>
      </c>
      <c r="L7404" s="561">
        <v>8520.2999167196667</v>
      </c>
      <c r="M7404" s="561">
        <v>8520.2999167196667</v>
      </c>
      <c r="N7404" s="561">
        <v>2159.9999999999995</v>
      </c>
      <c r="BZ7404" s="561">
        <v>6360.2999167196667</v>
      </c>
    </row>
    <row r="7405" spans="1:78">
      <c r="A7405" s="561">
        <v>29</v>
      </c>
      <c r="B7405" s="561" t="s">
        <v>1856</v>
      </c>
      <c r="C7405" s="561" t="s">
        <v>1267</v>
      </c>
      <c r="D7405" s="561">
        <v>8714.9998321323328</v>
      </c>
      <c r="E7405" s="561">
        <v>2519.9999999999995</v>
      </c>
      <c r="F7405" s="561">
        <v>6195</v>
      </c>
      <c r="G7405" s="561">
        <v>720</v>
      </c>
      <c r="H7405" s="561">
        <v>9347.5544387989994</v>
      </c>
      <c r="I7405" s="561">
        <v>24</v>
      </c>
      <c r="J7405" s="561">
        <v>631.26382000000001</v>
      </c>
      <c r="K7405" s="561">
        <v>712</v>
      </c>
      <c r="L7405" s="561">
        <v>8714.9998321323328</v>
      </c>
      <c r="M7405" s="561">
        <v>8714.9998321323328</v>
      </c>
      <c r="N7405" s="561">
        <v>2519.9999999999995</v>
      </c>
      <c r="O7405" s="561">
        <v>0</v>
      </c>
      <c r="P7405" s="561">
        <v>6194.9998321323328</v>
      </c>
    </row>
    <row r="7406" spans="1:78">
      <c r="C7406" s="561" t="s">
        <v>1199</v>
      </c>
      <c r="D7406" s="561">
        <v>8714.9998321323328</v>
      </c>
      <c r="E7406" s="561">
        <v>2519.9999999999995</v>
      </c>
      <c r="F7406" s="561">
        <v>6195</v>
      </c>
      <c r="G7406" s="561">
        <v>720</v>
      </c>
      <c r="H7406" s="561">
        <v>9347.5544387989994</v>
      </c>
      <c r="I7406" s="561">
        <v>24</v>
      </c>
      <c r="J7406" s="561">
        <v>631.26382000000001</v>
      </c>
      <c r="K7406" s="561">
        <v>712</v>
      </c>
      <c r="L7406" s="561">
        <v>8714.9998321323328</v>
      </c>
      <c r="M7406" s="561">
        <v>8714.9998321323328</v>
      </c>
      <c r="N7406" s="561">
        <v>2519.9999999999995</v>
      </c>
      <c r="BZ7406" s="561">
        <v>6194.9998321323328</v>
      </c>
    </row>
    <row r="7407" spans="1:78">
      <c r="A7407" s="561">
        <v>30</v>
      </c>
      <c r="B7407" s="561" t="s">
        <v>1857</v>
      </c>
      <c r="C7407" s="561" t="s">
        <v>1267</v>
      </c>
      <c r="D7407" s="561">
        <v>7870.0001985336667</v>
      </c>
      <c r="E7407" s="561">
        <v>2159.9999999999995</v>
      </c>
      <c r="F7407" s="561">
        <v>5710</v>
      </c>
      <c r="G7407" s="561">
        <v>593</v>
      </c>
      <c r="H7407" s="561">
        <v>8176.8342918669996</v>
      </c>
      <c r="I7407" s="561">
        <v>17</v>
      </c>
      <c r="J7407" s="561">
        <v>297.11878999999993</v>
      </c>
      <c r="K7407" s="561">
        <v>591</v>
      </c>
      <c r="L7407" s="561">
        <v>7870.0001985336667</v>
      </c>
      <c r="M7407" s="561">
        <v>7870.0001985336667</v>
      </c>
      <c r="N7407" s="561">
        <v>2159.9999999999995</v>
      </c>
      <c r="O7407" s="561">
        <v>0</v>
      </c>
      <c r="P7407" s="561">
        <v>5710.0001985336676</v>
      </c>
    </row>
    <row r="7408" spans="1:78">
      <c r="C7408" s="561" t="s">
        <v>1199</v>
      </c>
      <c r="D7408" s="561">
        <v>7870.0001985336667</v>
      </c>
      <c r="E7408" s="561">
        <v>2159.9999999999995</v>
      </c>
      <c r="F7408" s="561">
        <v>5710</v>
      </c>
      <c r="G7408" s="561">
        <v>593</v>
      </c>
      <c r="H7408" s="561">
        <v>8176.8342918669996</v>
      </c>
      <c r="I7408" s="561">
        <v>17</v>
      </c>
      <c r="J7408" s="561">
        <v>297.11878999999993</v>
      </c>
      <c r="K7408" s="561">
        <v>591</v>
      </c>
      <c r="L7408" s="561">
        <v>7870.0001985336667</v>
      </c>
      <c r="M7408" s="561">
        <v>7870.0001985336667</v>
      </c>
      <c r="N7408" s="561">
        <v>2159.9999999999995</v>
      </c>
      <c r="BZ7408" s="561">
        <v>5710.0001985336676</v>
      </c>
    </row>
    <row r="7409" spans="1:65">
      <c r="A7409" s="561">
        <v>31</v>
      </c>
      <c r="B7409" s="561" t="s">
        <v>1858</v>
      </c>
      <c r="C7409" s="561" t="s">
        <v>1267</v>
      </c>
      <c r="D7409" s="561">
        <v>6224.9996212799997</v>
      </c>
      <c r="E7409" s="561">
        <v>1800</v>
      </c>
      <c r="F7409" s="561">
        <v>4425</v>
      </c>
      <c r="G7409" s="561">
        <v>546</v>
      </c>
      <c r="H7409" s="561">
        <v>7003.5245412800004</v>
      </c>
      <c r="I7409" s="561">
        <v>5</v>
      </c>
      <c r="J7409" s="561">
        <v>63.884070000000008</v>
      </c>
      <c r="K7409" s="561">
        <v>544</v>
      </c>
      <c r="L7409" s="561">
        <v>6224.9996212799997</v>
      </c>
      <c r="M7409" s="561">
        <v>6224.9996212799997</v>
      </c>
      <c r="N7409" s="561">
        <v>1800</v>
      </c>
      <c r="O7409" s="561">
        <v>0</v>
      </c>
      <c r="P7409" s="561">
        <v>4424.9996212799997</v>
      </c>
    </row>
    <row r="7410" spans="1:65">
      <c r="C7410" s="561" t="s">
        <v>1199</v>
      </c>
      <c r="D7410" s="561">
        <v>6224.9996212799997</v>
      </c>
      <c r="E7410" s="561">
        <v>1800</v>
      </c>
      <c r="F7410" s="561">
        <v>4425</v>
      </c>
      <c r="G7410" s="561">
        <v>546</v>
      </c>
      <c r="H7410" s="561">
        <v>7003.5245412800004</v>
      </c>
      <c r="I7410" s="561">
        <v>5</v>
      </c>
      <c r="J7410" s="561">
        <v>63.884070000000008</v>
      </c>
      <c r="K7410" s="561">
        <v>544</v>
      </c>
      <c r="L7410" s="561">
        <v>6224.9996212799997</v>
      </c>
      <c r="M7410" s="561">
        <v>6224.9996212799997</v>
      </c>
      <c r="N7410" s="561">
        <v>1800</v>
      </c>
      <c r="BM7410" s="561">
        <v>4424.9996212799997</v>
      </c>
    </row>
    <row r="7411" spans="1:65">
      <c r="A7411" s="561">
        <v>32</v>
      </c>
      <c r="B7411" s="561" t="s">
        <v>1859</v>
      </c>
      <c r="C7411" s="561" t="s">
        <v>1267</v>
      </c>
      <c r="D7411" s="561">
        <v>9144.9995995508325</v>
      </c>
      <c r="E7411" s="561">
        <v>2159.9999999999995</v>
      </c>
      <c r="F7411" s="561">
        <v>6985.0000000000009</v>
      </c>
      <c r="G7411" s="561">
        <v>739</v>
      </c>
      <c r="H7411" s="561">
        <v>10252.8088562175</v>
      </c>
      <c r="I7411" s="561">
        <v>35</v>
      </c>
      <c r="J7411" s="561">
        <v>539.4300300000001</v>
      </c>
      <c r="K7411" s="561">
        <v>717</v>
      </c>
      <c r="L7411" s="561">
        <v>9144.9995995508325</v>
      </c>
      <c r="M7411" s="561">
        <v>9144.9995995508325</v>
      </c>
      <c r="N7411" s="561">
        <v>2159.9999999999995</v>
      </c>
      <c r="O7411" s="561">
        <v>0</v>
      </c>
      <c r="P7411" s="561">
        <v>6984.9995995508325</v>
      </c>
    </row>
    <row r="7412" spans="1:65">
      <c r="C7412" s="561" t="s">
        <v>1199</v>
      </c>
      <c r="D7412" s="561">
        <v>9144.9995995508325</v>
      </c>
      <c r="E7412" s="561">
        <v>2159.9999999999995</v>
      </c>
      <c r="F7412" s="561">
        <v>6985.0000000000009</v>
      </c>
      <c r="G7412" s="561">
        <v>739</v>
      </c>
      <c r="H7412" s="561">
        <v>10252.8088562175</v>
      </c>
      <c r="I7412" s="561">
        <v>35</v>
      </c>
      <c r="J7412" s="561">
        <v>539.4300300000001</v>
      </c>
      <c r="K7412" s="561">
        <v>717</v>
      </c>
      <c r="L7412" s="561">
        <v>9144.9995995508325</v>
      </c>
      <c r="M7412" s="561">
        <v>9144.9995995508325</v>
      </c>
      <c r="N7412" s="561">
        <v>2159.9999999999995</v>
      </c>
      <c r="BM7412" s="561">
        <v>6984.9995995508325</v>
      </c>
    </row>
    <row r="7413" spans="1:65">
      <c r="A7413" s="561">
        <v>33</v>
      </c>
      <c r="B7413" s="561" t="s">
        <v>1860</v>
      </c>
      <c r="C7413" s="561" t="s">
        <v>1267</v>
      </c>
      <c r="D7413" s="561">
        <v>8714.9997899999998</v>
      </c>
      <c r="E7413" s="561">
        <v>2519.9999999999995</v>
      </c>
      <c r="F7413" s="561">
        <v>6195</v>
      </c>
      <c r="G7413" s="561">
        <v>783</v>
      </c>
      <c r="H7413" s="561">
        <v>10476.908530000001</v>
      </c>
      <c r="I7413" s="561">
        <v>104</v>
      </c>
      <c r="J7413" s="561">
        <v>1853.8060700000001</v>
      </c>
      <c r="K7413" s="561">
        <v>777</v>
      </c>
      <c r="L7413" s="561">
        <v>8714.9997899999998</v>
      </c>
      <c r="M7413" s="561">
        <v>8714.9997899999998</v>
      </c>
      <c r="N7413" s="561">
        <v>2519.9999999999995</v>
      </c>
      <c r="O7413" s="561">
        <v>0</v>
      </c>
      <c r="P7413" s="561">
        <v>6194.9997899999998</v>
      </c>
    </row>
    <row r="7414" spans="1:65">
      <c r="C7414" s="561" t="s">
        <v>1199</v>
      </c>
      <c r="D7414" s="561">
        <v>8714.9997899999998</v>
      </c>
      <c r="E7414" s="561">
        <v>2519.9999999999995</v>
      </c>
      <c r="F7414" s="561">
        <v>6195</v>
      </c>
      <c r="G7414" s="561">
        <v>783</v>
      </c>
      <c r="H7414" s="561">
        <v>10476.908530000001</v>
      </c>
      <c r="I7414" s="561">
        <v>104</v>
      </c>
      <c r="J7414" s="561">
        <v>1853.8060700000001</v>
      </c>
      <c r="K7414" s="561">
        <v>777</v>
      </c>
      <c r="L7414" s="561">
        <v>8714.9997899999998</v>
      </c>
      <c r="M7414" s="561">
        <v>8714.9997899999998</v>
      </c>
      <c r="N7414" s="561">
        <v>2519.9999999999995</v>
      </c>
      <c r="BM7414" s="561">
        <v>6194.9997899999998</v>
      </c>
    </row>
    <row r="7415" spans="1:65">
      <c r="A7415" s="561">
        <v>34</v>
      </c>
      <c r="B7415" s="561" t="s">
        <v>1861</v>
      </c>
      <c r="C7415" s="561" t="s">
        <v>1267</v>
      </c>
      <c r="D7415" s="561">
        <v>9337.4995978619991</v>
      </c>
      <c r="E7415" s="561">
        <v>2699.9999999999995</v>
      </c>
      <c r="F7415" s="561">
        <v>6637.5</v>
      </c>
      <c r="G7415" s="561">
        <v>701</v>
      </c>
      <c r="H7415" s="561">
        <v>9418.2689978620001</v>
      </c>
      <c r="I7415" s="561">
        <v>3</v>
      </c>
      <c r="J7415" s="561">
        <v>80.76944995599996</v>
      </c>
      <c r="K7415" s="561">
        <v>698</v>
      </c>
      <c r="L7415" s="561">
        <v>9337.4995978619991</v>
      </c>
      <c r="M7415" s="561">
        <v>9337.4995978619991</v>
      </c>
      <c r="N7415" s="561">
        <v>2699.9999999999995</v>
      </c>
      <c r="O7415" s="561">
        <v>0</v>
      </c>
      <c r="P7415" s="561">
        <v>6637.4995978619991</v>
      </c>
    </row>
    <row r="7416" spans="1:65">
      <c r="C7416" s="561" t="s">
        <v>1199</v>
      </c>
      <c r="D7416" s="561">
        <v>9337.4995978619991</v>
      </c>
      <c r="E7416" s="561">
        <v>2699.9999999999995</v>
      </c>
      <c r="F7416" s="561">
        <v>6637.5</v>
      </c>
      <c r="G7416" s="561">
        <v>701</v>
      </c>
      <c r="H7416" s="561">
        <v>9418.2689978620001</v>
      </c>
      <c r="I7416" s="561">
        <v>3</v>
      </c>
      <c r="J7416" s="561">
        <v>80.76944995599996</v>
      </c>
      <c r="K7416" s="561">
        <v>698</v>
      </c>
      <c r="L7416" s="561">
        <v>9337.4995978619991</v>
      </c>
      <c r="M7416" s="561">
        <v>9337.4995978619991</v>
      </c>
      <c r="N7416" s="561">
        <v>2699.9999999999995</v>
      </c>
      <c r="BM7416" s="561">
        <v>6637.4995978619991</v>
      </c>
    </row>
    <row r="7417" spans="1:65">
      <c r="A7417" s="561">
        <v>35</v>
      </c>
      <c r="B7417" s="561" t="s">
        <v>1862</v>
      </c>
      <c r="C7417" s="561" t="s">
        <v>1267</v>
      </c>
      <c r="D7417" s="561">
        <v>9215.0000740820014</v>
      </c>
      <c r="E7417" s="561">
        <v>2519.9999999999995</v>
      </c>
      <c r="F7417" s="561">
        <v>6695</v>
      </c>
      <c r="G7417" s="561">
        <v>743</v>
      </c>
      <c r="H7417" s="561">
        <v>9318.1369640820012</v>
      </c>
      <c r="I7417" s="561">
        <v>35</v>
      </c>
      <c r="J7417" s="561">
        <v>110.29823000000005</v>
      </c>
      <c r="K7417" s="561">
        <v>739</v>
      </c>
      <c r="L7417" s="561">
        <v>9215.0000740820014</v>
      </c>
      <c r="M7417" s="561">
        <v>9215.0000740820014</v>
      </c>
      <c r="N7417" s="561">
        <v>2519.9999999999995</v>
      </c>
      <c r="O7417" s="561">
        <v>0</v>
      </c>
      <c r="P7417" s="561">
        <v>6695.0000740820014</v>
      </c>
    </row>
    <row r="7418" spans="1:65">
      <c r="C7418" s="561" t="s">
        <v>1199</v>
      </c>
      <c r="D7418" s="561">
        <v>9215.0000740820014</v>
      </c>
      <c r="E7418" s="561">
        <v>2519.9999999999995</v>
      </c>
      <c r="F7418" s="561">
        <v>6695</v>
      </c>
      <c r="G7418" s="561">
        <v>743</v>
      </c>
      <c r="H7418" s="561">
        <v>9318.1369640820012</v>
      </c>
      <c r="I7418" s="561">
        <v>35</v>
      </c>
      <c r="J7418" s="561">
        <v>110.29823000000005</v>
      </c>
      <c r="K7418" s="561">
        <v>739</v>
      </c>
      <c r="L7418" s="561">
        <v>9215.0000740820014</v>
      </c>
      <c r="M7418" s="561">
        <v>9215.0000740820014</v>
      </c>
      <c r="N7418" s="561">
        <v>2519.9999999999995</v>
      </c>
      <c r="BM7418" s="561">
        <v>6695.0000740820014</v>
      </c>
    </row>
    <row r="7419" spans="1:65">
      <c r="A7419" s="561">
        <v>36</v>
      </c>
      <c r="B7419" s="561" t="s">
        <v>1863</v>
      </c>
      <c r="C7419" s="561" t="s">
        <v>1267</v>
      </c>
      <c r="D7419" s="561">
        <v>5018.9996921870006</v>
      </c>
      <c r="E7419" s="561">
        <v>1116</v>
      </c>
      <c r="F7419" s="561">
        <v>3902.9999999999995</v>
      </c>
      <c r="G7419" s="561">
        <v>439</v>
      </c>
      <c r="H7419" s="561">
        <v>6057.7567321870001</v>
      </c>
      <c r="I7419" s="561">
        <v>20</v>
      </c>
      <c r="J7419" s="561">
        <v>293.87073000000009</v>
      </c>
      <c r="K7419" s="561">
        <v>429</v>
      </c>
      <c r="L7419" s="561">
        <v>5018.9996921870006</v>
      </c>
      <c r="M7419" s="561">
        <v>5018.9996921870006</v>
      </c>
      <c r="N7419" s="561">
        <v>1116</v>
      </c>
      <c r="O7419" s="561">
        <v>0</v>
      </c>
      <c r="P7419" s="561">
        <v>3902.9996921870006</v>
      </c>
    </row>
    <row r="7420" spans="1:65">
      <c r="C7420" s="561" t="s">
        <v>1199</v>
      </c>
      <c r="D7420" s="561">
        <v>5018.9996921870006</v>
      </c>
      <c r="E7420" s="561">
        <v>1116</v>
      </c>
      <c r="F7420" s="561">
        <v>3902.9999999999995</v>
      </c>
      <c r="G7420" s="561">
        <v>439</v>
      </c>
      <c r="H7420" s="561">
        <v>6057.7567321870001</v>
      </c>
      <c r="I7420" s="561">
        <v>20</v>
      </c>
      <c r="J7420" s="561">
        <v>293.87073000000009</v>
      </c>
      <c r="K7420" s="561">
        <v>429</v>
      </c>
      <c r="L7420" s="561">
        <v>5018.9996921870006</v>
      </c>
      <c r="M7420" s="561">
        <v>5018.9996921870006</v>
      </c>
      <c r="N7420" s="561">
        <v>1116</v>
      </c>
      <c r="BM7420" s="561">
        <v>3902.9996921870006</v>
      </c>
    </row>
    <row r="7421" spans="1:65">
      <c r="A7421" s="561">
        <v>37</v>
      </c>
      <c r="B7421" s="561" t="s">
        <v>1864</v>
      </c>
      <c r="C7421" s="561" t="s">
        <v>1267</v>
      </c>
      <c r="D7421" s="561">
        <v>6669.9995168949999</v>
      </c>
      <c r="E7421" s="561">
        <v>2159.9999999999995</v>
      </c>
      <c r="F7421" s="561">
        <v>4510</v>
      </c>
      <c r="G7421" s="561">
        <v>545</v>
      </c>
      <c r="H7421" s="561">
        <v>7186.7609468949995</v>
      </c>
      <c r="I7421" s="561">
        <v>45</v>
      </c>
      <c r="J7421" s="561">
        <v>530.21024999999997</v>
      </c>
      <c r="K7421" s="561">
        <v>520</v>
      </c>
      <c r="L7421" s="561">
        <v>6669.9995168949999</v>
      </c>
      <c r="M7421" s="561">
        <v>6669.9995168949999</v>
      </c>
      <c r="N7421" s="561">
        <v>2159.9999999999995</v>
      </c>
      <c r="O7421" s="561">
        <v>0</v>
      </c>
      <c r="P7421" s="561">
        <v>4509.9995168950009</v>
      </c>
    </row>
    <row r="7422" spans="1:65">
      <c r="C7422" s="561" t="s">
        <v>1199</v>
      </c>
      <c r="D7422" s="561">
        <v>6669.9995168949999</v>
      </c>
      <c r="E7422" s="561">
        <v>2159.9999999999995</v>
      </c>
      <c r="F7422" s="561">
        <v>4510</v>
      </c>
      <c r="G7422" s="561">
        <v>545</v>
      </c>
      <c r="H7422" s="561">
        <v>7186.7609468949995</v>
      </c>
      <c r="I7422" s="561">
        <v>45</v>
      </c>
      <c r="J7422" s="561">
        <v>530.21024999999997</v>
      </c>
      <c r="K7422" s="561">
        <v>520</v>
      </c>
      <c r="L7422" s="561">
        <v>6669.9995168949999</v>
      </c>
      <c r="M7422" s="561">
        <v>6669.9995168949999</v>
      </c>
      <c r="N7422" s="561">
        <v>2159.9999999999995</v>
      </c>
      <c r="BM7422" s="561">
        <v>4509.9995168950009</v>
      </c>
    </row>
    <row r="7423" spans="1:65">
      <c r="A7423" s="561">
        <v>38</v>
      </c>
      <c r="B7423" s="561" t="s">
        <v>1865</v>
      </c>
      <c r="C7423" s="561" t="s">
        <v>1267</v>
      </c>
      <c r="D7423" s="561">
        <v>56240.000151762491</v>
      </c>
      <c r="E7423" s="561">
        <v>11520</v>
      </c>
      <c r="F7423" s="561">
        <v>44720</v>
      </c>
      <c r="G7423" s="561">
        <v>3218</v>
      </c>
      <c r="H7423" s="561">
        <v>57799.693291762494</v>
      </c>
      <c r="I7423" s="561">
        <v>382</v>
      </c>
      <c r="J7423" s="561">
        <v>1469.6055299999998</v>
      </c>
      <c r="K7423" s="561">
        <v>3080</v>
      </c>
      <c r="L7423" s="561">
        <v>56240.000151762491</v>
      </c>
      <c r="M7423" s="561">
        <v>56240.000151762491</v>
      </c>
      <c r="N7423" s="561">
        <v>11520</v>
      </c>
      <c r="O7423" s="561">
        <v>0</v>
      </c>
      <c r="P7423" s="561">
        <v>44720.000151762491</v>
      </c>
    </row>
    <row r="7424" spans="1:65">
      <c r="C7424" s="561" t="s">
        <v>1199</v>
      </c>
      <c r="D7424" s="561">
        <v>56240.000151762491</v>
      </c>
      <c r="E7424" s="561">
        <v>11520</v>
      </c>
      <c r="F7424" s="561">
        <v>44720</v>
      </c>
      <c r="G7424" s="561">
        <v>3218</v>
      </c>
      <c r="H7424" s="561">
        <v>57799.693291762494</v>
      </c>
      <c r="I7424" s="561">
        <v>382</v>
      </c>
      <c r="J7424" s="561">
        <v>1469.6055299999998</v>
      </c>
      <c r="K7424" s="561">
        <v>3080</v>
      </c>
      <c r="L7424" s="561">
        <v>56240.000151762491</v>
      </c>
      <c r="M7424" s="561">
        <v>56240.000151762491</v>
      </c>
      <c r="N7424" s="561">
        <v>11520</v>
      </c>
      <c r="BM7424" s="561">
        <v>44720.000151762491</v>
      </c>
    </row>
    <row r="7425" spans="1:38">
      <c r="A7425" s="561">
        <v>39</v>
      </c>
      <c r="B7425" s="561" t="s">
        <v>1866</v>
      </c>
      <c r="C7425" s="561" t="s">
        <v>1267</v>
      </c>
      <c r="D7425" s="561">
        <v>14683.699902639</v>
      </c>
      <c r="E7425" s="561">
        <v>3600</v>
      </c>
      <c r="F7425" s="561">
        <v>11083.7</v>
      </c>
      <c r="G7425" s="561">
        <v>996</v>
      </c>
      <c r="H7425" s="561">
        <v>14827.077132639</v>
      </c>
      <c r="I7425" s="561">
        <v>17</v>
      </c>
      <c r="J7425" s="561">
        <v>143.37732000000022</v>
      </c>
      <c r="K7425" s="561">
        <v>992</v>
      </c>
      <c r="L7425" s="561">
        <v>14683.699902639</v>
      </c>
      <c r="M7425" s="561">
        <v>14683.699902639</v>
      </c>
      <c r="N7425" s="561">
        <v>3600</v>
      </c>
      <c r="O7425" s="561">
        <v>0</v>
      </c>
      <c r="P7425" s="561">
        <v>11083.699902639</v>
      </c>
    </row>
    <row r="7426" spans="1:38">
      <c r="C7426" s="561" t="s">
        <v>1199</v>
      </c>
      <c r="D7426" s="561">
        <v>14683.699902639</v>
      </c>
      <c r="E7426" s="561">
        <v>3600</v>
      </c>
      <c r="F7426" s="561">
        <v>11083.7</v>
      </c>
      <c r="G7426" s="561">
        <v>996</v>
      </c>
      <c r="H7426" s="561">
        <v>14827.077132639</v>
      </c>
      <c r="I7426" s="561">
        <v>17</v>
      </c>
      <c r="J7426" s="561">
        <v>143.37732000000022</v>
      </c>
      <c r="K7426" s="561">
        <v>992</v>
      </c>
      <c r="L7426" s="561">
        <v>14683.699902639</v>
      </c>
      <c r="M7426" s="561">
        <v>14683.699902639</v>
      </c>
      <c r="N7426" s="561">
        <v>3600</v>
      </c>
      <c r="AL7426" s="561">
        <v>11083.699902639</v>
      </c>
    </row>
    <row r="7427" spans="1:38">
      <c r="A7427" s="561">
        <v>40</v>
      </c>
      <c r="B7427" s="561" t="s">
        <v>1867</v>
      </c>
      <c r="C7427" s="561" t="s">
        <v>1267</v>
      </c>
      <c r="D7427" s="561">
        <v>18033.999848924501</v>
      </c>
      <c r="E7427" s="561">
        <v>4050</v>
      </c>
      <c r="F7427" s="561">
        <v>13984</v>
      </c>
      <c r="G7427" s="561">
        <v>315</v>
      </c>
      <c r="H7427" s="561">
        <v>18053.340848924501</v>
      </c>
      <c r="I7427" s="561">
        <v>1</v>
      </c>
      <c r="J7427" s="561">
        <v>19.340969999999963</v>
      </c>
      <c r="K7427" s="561">
        <v>314</v>
      </c>
      <c r="L7427" s="561">
        <v>18033.999848924501</v>
      </c>
      <c r="M7427" s="561">
        <v>18033.999848924501</v>
      </c>
      <c r="N7427" s="561">
        <v>4050</v>
      </c>
      <c r="O7427" s="561">
        <v>0</v>
      </c>
      <c r="P7427" s="561">
        <v>13983.999848924501</v>
      </c>
    </row>
    <row r="7428" spans="1:38">
      <c r="C7428" s="561" t="s">
        <v>1199</v>
      </c>
      <c r="D7428" s="561">
        <v>18033.999848924501</v>
      </c>
      <c r="E7428" s="561">
        <v>4050</v>
      </c>
      <c r="F7428" s="561">
        <v>13984</v>
      </c>
      <c r="G7428" s="561">
        <v>315</v>
      </c>
      <c r="H7428" s="561">
        <v>18053.340848924501</v>
      </c>
      <c r="I7428" s="561">
        <v>1</v>
      </c>
      <c r="J7428" s="561">
        <v>19.340969999999963</v>
      </c>
      <c r="K7428" s="561">
        <v>314</v>
      </c>
      <c r="L7428" s="561">
        <v>18033.999848924501</v>
      </c>
      <c r="M7428" s="561">
        <v>18033.999848924501</v>
      </c>
      <c r="N7428" s="561">
        <v>4050</v>
      </c>
      <c r="AL7428" s="561">
        <v>13983.999848924501</v>
      </c>
    </row>
    <row r="7429" spans="1:38">
      <c r="A7429" s="561">
        <v>41</v>
      </c>
      <c r="B7429" s="561" t="s">
        <v>1868</v>
      </c>
      <c r="C7429" s="561" t="s">
        <v>1267</v>
      </c>
      <c r="D7429" s="561">
        <v>52787.074989999994</v>
      </c>
      <c r="E7429" s="561">
        <v>12260.699999999997</v>
      </c>
      <c r="F7429" s="561">
        <v>40526.375000000007</v>
      </c>
      <c r="G7429" s="561">
        <v>194</v>
      </c>
      <c r="H7429" s="561">
        <v>53168.949029999996</v>
      </c>
      <c r="I7429" s="561">
        <v>1</v>
      </c>
      <c r="J7429" s="561">
        <v>381.87399999999968</v>
      </c>
      <c r="K7429" s="561">
        <v>193</v>
      </c>
      <c r="L7429" s="561">
        <v>52787.074989999994</v>
      </c>
      <c r="M7429" s="561">
        <v>52787.074989999994</v>
      </c>
      <c r="N7429" s="561">
        <v>12260.699999999997</v>
      </c>
      <c r="O7429" s="561">
        <v>0</v>
      </c>
      <c r="P7429" s="561">
        <v>40526.374989999997</v>
      </c>
    </row>
    <row r="7430" spans="1:38">
      <c r="C7430" s="561" t="s">
        <v>1199</v>
      </c>
      <c r="D7430" s="561">
        <v>52787.074989999994</v>
      </c>
      <c r="E7430" s="561">
        <v>12260.699999999997</v>
      </c>
      <c r="F7430" s="561">
        <v>40526.375000000007</v>
      </c>
      <c r="G7430" s="561">
        <v>194</v>
      </c>
      <c r="H7430" s="561">
        <v>53168.949029999996</v>
      </c>
      <c r="I7430" s="561">
        <v>1</v>
      </c>
      <c r="J7430" s="561">
        <v>381.87399999999968</v>
      </c>
      <c r="K7430" s="561">
        <v>193</v>
      </c>
      <c r="L7430" s="561">
        <v>52787.074989999994</v>
      </c>
      <c r="M7430" s="561">
        <v>52787.074989999994</v>
      </c>
      <c r="N7430" s="561">
        <v>12260.699999999997</v>
      </c>
      <c r="AL7430" s="561">
        <v>40526.374989999997</v>
      </c>
    </row>
    <row r="7431" spans="1:38">
      <c r="A7431" s="561">
        <v>42</v>
      </c>
      <c r="B7431" s="561" t="s">
        <v>1869</v>
      </c>
      <c r="C7431" s="561" t="s">
        <v>1267</v>
      </c>
      <c r="D7431" s="561">
        <v>5154.7998178289999</v>
      </c>
      <c r="E7431" s="561">
        <v>1259.9999999999998</v>
      </c>
      <c r="F7431" s="561">
        <v>3894.8</v>
      </c>
      <c r="G7431" s="561">
        <v>386</v>
      </c>
      <c r="H7431" s="561">
        <v>6271.4789078290005</v>
      </c>
      <c r="I7431" s="561">
        <v>32</v>
      </c>
      <c r="J7431" s="561">
        <v>861.06573000000003</v>
      </c>
      <c r="K7431" s="561">
        <v>363</v>
      </c>
      <c r="L7431" s="561">
        <v>5154.7998178289999</v>
      </c>
      <c r="M7431" s="561">
        <v>5154.7998178289999</v>
      </c>
      <c r="N7431" s="561">
        <v>1259.9999999999998</v>
      </c>
      <c r="O7431" s="561">
        <v>0</v>
      </c>
      <c r="P7431" s="561">
        <v>3894.7998178289999</v>
      </c>
    </row>
    <row r="7432" spans="1:38">
      <c r="C7432" s="561" t="s">
        <v>1199</v>
      </c>
      <c r="D7432" s="561">
        <v>5154.7998178289999</v>
      </c>
      <c r="E7432" s="561">
        <v>1259.9999999999998</v>
      </c>
      <c r="F7432" s="561">
        <v>3894.8</v>
      </c>
      <c r="G7432" s="561">
        <v>386</v>
      </c>
      <c r="H7432" s="561">
        <v>6271.4789078290005</v>
      </c>
      <c r="I7432" s="561">
        <v>32</v>
      </c>
      <c r="J7432" s="561">
        <v>861.06573000000003</v>
      </c>
      <c r="K7432" s="561">
        <v>363</v>
      </c>
      <c r="L7432" s="561">
        <v>5154.7998178289999</v>
      </c>
      <c r="M7432" s="561">
        <v>5154.7998178289999</v>
      </c>
      <c r="N7432" s="561">
        <v>1259.9999999999998</v>
      </c>
      <c r="AL7432" s="561">
        <v>3894.7998178289999</v>
      </c>
    </row>
    <row r="7433" spans="1:38">
      <c r="A7433" s="561">
        <v>43</v>
      </c>
      <c r="B7433" s="561" t="s">
        <v>1870</v>
      </c>
      <c r="C7433" s="561" t="s">
        <v>1267</v>
      </c>
      <c r="D7433" s="561">
        <v>3734.999619417667</v>
      </c>
      <c r="E7433" s="561">
        <v>1079.9999999999998</v>
      </c>
      <c r="F7433" s="561">
        <v>2655</v>
      </c>
      <c r="G7433" s="561">
        <v>448</v>
      </c>
      <c r="H7433" s="561">
        <v>4628.362609417667</v>
      </c>
      <c r="I7433" s="561">
        <v>7</v>
      </c>
      <c r="J7433" s="561">
        <v>893.36339999999996</v>
      </c>
      <c r="K7433" s="561">
        <v>446</v>
      </c>
      <c r="L7433" s="561">
        <v>3734.999619417667</v>
      </c>
      <c r="M7433" s="561">
        <v>3734.999619417667</v>
      </c>
      <c r="N7433" s="561">
        <v>1079.9999999999998</v>
      </c>
      <c r="O7433" s="561">
        <v>0</v>
      </c>
      <c r="P7433" s="561">
        <v>2654.9996194176674</v>
      </c>
    </row>
    <row r="7434" spans="1:38">
      <c r="C7434" s="561" t="s">
        <v>1199</v>
      </c>
      <c r="D7434" s="561">
        <v>3734.999619417667</v>
      </c>
      <c r="E7434" s="561">
        <v>1079.9999999999998</v>
      </c>
      <c r="F7434" s="561">
        <v>2655</v>
      </c>
      <c r="G7434" s="561">
        <v>448</v>
      </c>
      <c r="H7434" s="561">
        <v>4628.362609417667</v>
      </c>
      <c r="I7434" s="561">
        <v>7</v>
      </c>
      <c r="J7434" s="561">
        <v>893.36339999999996</v>
      </c>
      <c r="K7434" s="561">
        <v>446</v>
      </c>
      <c r="L7434" s="561">
        <v>3734.999619417667</v>
      </c>
      <c r="M7434" s="561">
        <v>3734.999619417667</v>
      </c>
      <c r="N7434" s="561">
        <v>1079.9999999999998</v>
      </c>
      <c r="AL7434" s="561">
        <v>2654.9996194176674</v>
      </c>
    </row>
    <row r="7435" spans="1:38">
      <c r="A7435" s="561">
        <v>44</v>
      </c>
      <c r="B7435" s="561" t="s">
        <v>1871</v>
      </c>
      <c r="C7435" s="561" t="s">
        <v>1267</v>
      </c>
      <c r="D7435" s="561">
        <v>6709.1002482155</v>
      </c>
      <c r="E7435" s="561">
        <v>1800</v>
      </c>
      <c r="F7435" s="561">
        <v>4909.1000000000004</v>
      </c>
      <c r="G7435" s="561">
        <v>500</v>
      </c>
      <c r="H7435" s="561">
        <v>7245.5197182154989</v>
      </c>
      <c r="I7435" s="561">
        <v>22</v>
      </c>
      <c r="J7435" s="561">
        <v>333.14837999999997</v>
      </c>
      <c r="K7435" s="561">
        <v>482</v>
      </c>
      <c r="L7435" s="561">
        <v>6709.1002482155</v>
      </c>
      <c r="M7435" s="561">
        <v>6709.1002482155</v>
      </c>
      <c r="N7435" s="561">
        <v>1800</v>
      </c>
      <c r="O7435" s="561">
        <v>0</v>
      </c>
      <c r="P7435" s="561">
        <v>4909.1002482155</v>
      </c>
    </row>
    <row r="7436" spans="1:38">
      <c r="C7436" s="561" t="s">
        <v>1199</v>
      </c>
      <c r="D7436" s="561">
        <v>6709.1002482155</v>
      </c>
      <c r="E7436" s="561">
        <v>1800</v>
      </c>
      <c r="F7436" s="561">
        <v>4909.1000000000004</v>
      </c>
      <c r="G7436" s="561">
        <v>500</v>
      </c>
      <c r="H7436" s="561">
        <v>7245.5197182154989</v>
      </c>
      <c r="I7436" s="561">
        <v>22</v>
      </c>
      <c r="J7436" s="561">
        <v>333.14837999999997</v>
      </c>
      <c r="K7436" s="561">
        <v>482</v>
      </c>
      <c r="L7436" s="561">
        <v>6709.1002482155</v>
      </c>
      <c r="M7436" s="561">
        <v>6709.1002482155</v>
      </c>
      <c r="N7436" s="561">
        <v>1800</v>
      </c>
      <c r="AL7436" s="561">
        <v>4909.1002482155</v>
      </c>
    </row>
    <row r="7437" spans="1:38">
      <c r="B7437" s="561" t="s">
        <v>1872</v>
      </c>
      <c r="D7437" s="561">
        <v>625508.62330500165</v>
      </c>
      <c r="E7437" s="561">
        <v>154763.99999999997</v>
      </c>
      <c r="F7437" s="561">
        <v>470744.62319500174</v>
      </c>
      <c r="G7437" s="561">
        <v>14175</v>
      </c>
      <c r="H7437" s="561">
        <v>690184.68749500159</v>
      </c>
      <c r="I7437" s="561">
        <v>1595</v>
      </c>
      <c r="J7437" s="561">
        <v>67516.627189999999</v>
      </c>
      <c r="K7437" s="561">
        <v>13994</v>
      </c>
      <c r="L7437" s="561">
        <v>625508.62330500165</v>
      </c>
      <c r="M7437" s="561">
        <v>625508.62330500165</v>
      </c>
      <c r="N7437" s="561">
        <v>154763.99999999997</v>
      </c>
      <c r="O7437" s="561">
        <v>0</v>
      </c>
      <c r="P7437" s="561">
        <v>470744.6233050017</v>
      </c>
    </row>
    <row r="7438" spans="1:38">
      <c r="A7438" s="561">
        <v>45</v>
      </c>
      <c r="B7438" s="561" t="s">
        <v>1873</v>
      </c>
      <c r="C7438" s="561" t="s">
        <v>1267</v>
      </c>
      <c r="D7438" s="561">
        <v>511794.947278757</v>
      </c>
      <c r="E7438" s="561">
        <v>125993.99999999997</v>
      </c>
      <c r="F7438" s="561">
        <v>385800.94743875711</v>
      </c>
      <c r="G7438" s="561">
        <v>9469</v>
      </c>
      <c r="H7438" s="561">
        <v>565815.42485875706</v>
      </c>
      <c r="I7438" s="561">
        <v>1223</v>
      </c>
      <c r="J7438" s="561">
        <v>56762.05689</v>
      </c>
      <c r="K7438" s="561">
        <v>9405</v>
      </c>
      <c r="L7438" s="561">
        <v>511794.947278757</v>
      </c>
      <c r="M7438" s="561">
        <v>511794.947278757</v>
      </c>
      <c r="N7438" s="561">
        <v>125993.99999999997</v>
      </c>
      <c r="O7438" s="561">
        <v>0</v>
      </c>
      <c r="P7438" s="561">
        <v>385800.94727875706</v>
      </c>
    </row>
    <row r="7439" spans="1:38">
      <c r="C7439" s="561" t="s">
        <v>1197</v>
      </c>
      <c r="D7439" s="561">
        <v>470917.25238132873</v>
      </c>
      <c r="E7439" s="561">
        <v>119337.59999999998</v>
      </c>
      <c r="F7439" s="561">
        <v>351579.65276132879</v>
      </c>
      <c r="G7439" s="561">
        <v>6988</v>
      </c>
      <c r="H7439" s="561">
        <v>524048.22984132881</v>
      </c>
      <c r="I7439" s="561">
        <v>1140</v>
      </c>
      <c r="J7439" s="561">
        <v>56162.694880000003</v>
      </c>
      <c r="K7439" s="561">
        <v>6929</v>
      </c>
      <c r="L7439" s="561">
        <v>470917.25238132873</v>
      </c>
      <c r="M7439" s="561">
        <v>470917.25238132873</v>
      </c>
      <c r="N7439" s="561">
        <v>119337.59999999998</v>
      </c>
    </row>
    <row r="7440" spans="1:38">
      <c r="C7440" s="561" t="s">
        <v>1199</v>
      </c>
      <c r="D7440" s="561">
        <v>40877.6948974283</v>
      </c>
      <c r="E7440" s="561">
        <v>6656.4000000000005</v>
      </c>
      <c r="F7440" s="561">
        <v>34221.294677428305</v>
      </c>
      <c r="G7440" s="561">
        <v>2481</v>
      </c>
      <c r="H7440" s="561">
        <v>41767.195017428305</v>
      </c>
      <c r="I7440" s="561">
        <v>83</v>
      </c>
      <c r="J7440" s="561">
        <v>599.36201000000051</v>
      </c>
      <c r="K7440" s="561">
        <v>2476</v>
      </c>
      <c r="L7440" s="561">
        <v>40877.6948974283</v>
      </c>
      <c r="M7440" s="561">
        <v>40877.6948974283</v>
      </c>
      <c r="N7440" s="561">
        <v>6656.4000000000005</v>
      </c>
      <c r="AL7440" s="561">
        <v>34221.294897428299</v>
      </c>
    </row>
    <row r="7441" spans="1:78">
      <c r="A7441" s="561">
        <v>46</v>
      </c>
      <c r="B7441" s="561" t="s">
        <v>1874</v>
      </c>
      <c r="C7441" s="561" t="s">
        <v>1267</v>
      </c>
      <c r="D7441" s="561">
        <v>69723.976076244624</v>
      </c>
      <c r="E7441" s="561">
        <v>18232.799999999996</v>
      </c>
      <c r="F7441" s="561">
        <v>51491.175756244607</v>
      </c>
      <c r="G7441" s="561">
        <v>1701</v>
      </c>
      <c r="H7441" s="561">
        <v>75377.255196244601</v>
      </c>
      <c r="I7441" s="561">
        <v>165</v>
      </c>
      <c r="J7441" s="561">
        <v>5734.8821400000015</v>
      </c>
      <c r="K7441" s="561">
        <v>1657</v>
      </c>
      <c r="L7441" s="561">
        <v>69723.976076244624</v>
      </c>
      <c r="M7441" s="561">
        <v>69723.976076244624</v>
      </c>
      <c r="N7441" s="561">
        <v>18232.799999999996</v>
      </c>
      <c r="O7441" s="561">
        <v>0</v>
      </c>
      <c r="P7441" s="561">
        <v>51491.176076244628</v>
      </c>
    </row>
    <row r="7442" spans="1:78">
      <c r="C7442" s="561" t="s">
        <v>1197</v>
      </c>
      <c r="D7442" s="561">
        <v>59254.359573920046</v>
      </c>
      <c r="E7442" s="561">
        <v>15809.999999999995</v>
      </c>
      <c r="F7442" s="561">
        <v>43444.360023920039</v>
      </c>
      <c r="G7442" s="561">
        <v>970</v>
      </c>
      <c r="H7442" s="561">
        <v>64777.375763920034</v>
      </c>
      <c r="I7442" s="561">
        <v>125</v>
      </c>
      <c r="J7442" s="561">
        <v>5530.8241900000012</v>
      </c>
      <c r="K7442" s="561">
        <v>927</v>
      </c>
      <c r="L7442" s="561">
        <v>59254.359573920046</v>
      </c>
      <c r="M7442" s="561">
        <v>59254.359573920046</v>
      </c>
      <c r="N7442" s="561">
        <v>15809.999999999995</v>
      </c>
    </row>
    <row r="7443" spans="1:78">
      <c r="C7443" s="561" t="s">
        <v>1199</v>
      </c>
      <c r="D7443" s="561">
        <v>10469.616502324572</v>
      </c>
      <c r="E7443" s="561">
        <v>2422.7999999999997</v>
      </c>
      <c r="F7443" s="561">
        <v>8046.8157323245714</v>
      </c>
      <c r="G7443" s="561">
        <v>731</v>
      </c>
      <c r="H7443" s="561">
        <v>10599.879432324575</v>
      </c>
      <c r="I7443" s="561">
        <v>40</v>
      </c>
      <c r="J7443" s="561">
        <v>204.05794999999989</v>
      </c>
      <c r="K7443" s="561">
        <v>730</v>
      </c>
      <c r="L7443" s="561">
        <v>10469.616502324572</v>
      </c>
      <c r="M7443" s="561">
        <v>10469.616502324572</v>
      </c>
      <c r="N7443" s="561">
        <v>2422.7999999999997</v>
      </c>
      <c r="AL7443" s="561">
        <v>8046.8165023245729</v>
      </c>
    </row>
    <row r="7444" spans="1:78">
      <c r="A7444" s="561">
        <v>47</v>
      </c>
      <c r="B7444" s="561" t="s">
        <v>1875</v>
      </c>
      <c r="C7444" s="561" t="s">
        <v>1267</v>
      </c>
      <c r="D7444" s="561">
        <v>43989.699950000009</v>
      </c>
      <c r="E7444" s="561">
        <v>10537.199999999999</v>
      </c>
      <c r="F7444" s="561">
        <v>33452.500000000007</v>
      </c>
      <c r="G7444" s="561">
        <v>3005</v>
      </c>
      <c r="H7444" s="561">
        <v>48992.007439999994</v>
      </c>
      <c r="I7444" s="561">
        <v>207</v>
      </c>
      <c r="J7444" s="561">
        <v>5019.6881599999997</v>
      </c>
      <c r="K7444" s="561">
        <v>2932</v>
      </c>
      <c r="L7444" s="561">
        <v>43989.699950000009</v>
      </c>
      <c r="M7444" s="561">
        <v>43989.699950000009</v>
      </c>
      <c r="N7444" s="561">
        <v>10537.199999999999</v>
      </c>
      <c r="O7444" s="561">
        <v>0</v>
      </c>
      <c r="P7444" s="561">
        <v>33452.499950000012</v>
      </c>
    </row>
    <row r="7445" spans="1:78">
      <c r="C7445" s="561" t="s">
        <v>1199</v>
      </c>
      <c r="D7445" s="561">
        <v>43989.699950000009</v>
      </c>
      <c r="E7445" s="561">
        <v>10537.199999999999</v>
      </c>
      <c r="F7445" s="561">
        <v>33452.500000000007</v>
      </c>
      <c r="G7445" s="561">
        <v>3005</v>
      </c>
      <c r="H7445" s="561">
        <v>48992.007439999994</v>
      </c>
      <c r="I7445" s="561">
        <v>207</v>
      </c>
      <c r="J7445" s="561">
        <v>5019.6881599999997</v>
      </c>
      <c r="K7445" s="561">
        <v>2932</v>
      </c>
      <c r="L7445" s="561">
        <v>43989.699950000009</v>
      </c>
      <c r="M7445" s="561">
        <v>43989.699950000009</v>
      </c>
      <c r="N7445" s="561">
        <v>10537.199999999999</v>
      </c>
      <c r="BZ7445" s="561">
        <v>33452.499950000012</v>
      </c>
    </row>
    <row r="7446" spans="1:78">
      <c r="B7446" s="561" t="s">
        <v>1876</v>
      </c>
      <c r="D7446" s="561">
        <v>403099.60660308471</v>
      </c>
      <c r="E7446" s="561">
        <v>103705.19999999998</v>
      </c>
      <c r="F7446" s="561">
        <v>299394.40668052901</v>
      </c>
      <c r="G7446" s="561">
        <v>8945</v>
      </c>
      <c r="H7446" s="561">
        <v>433771.49604962143</v>
      </c>
      <c r="I7446" s="561">
        <v>740</v>
      </c>
      <c r="J7446" s="561">
        <v>31307.551309999999</v>
      </c>
      <c r="K7446" s="561">
        <v>8861</v>
      </c>
      <c r="L7446" s="561">
        <v>403099.60660308471</v>
      </c>
      <c r="M7446" s="561">
        <v>403099.60660308471</v>
      </c>
      <c r="N7446" s="561">
        <v>103705.19999999998</v>
      </c>
      <c r="O7446" s="561">
        <v>0</v>
      </c>
      <c r="P7446" s="561">
        <v>299394.4066030847</v>
      </c>
    </row>
    <row r="7447" spans="1:78">
      <c r="A7447" s="561">
        <v>48</v>
      </c>
      <c r="B7447" s="561" t="s">
        <v>1877</v>
      </c>
      <c r="C7447" s="561" t="s">
        <v>1267</v>
      </c>
      <c r="D7447" s="561">
        <v>384603.65368052904</v>
      </c>
      <c r="E7447" s="561">
        <v>98305.199999999983</v>
      </c>
      <c r="F7447" s="561">
        <v>286298.45368052903</v>
      </c>
      <c r="G7447" s="561">
        <v>7620</v>
      </c>
      <c r="H7447" s="561">
        <v>413981.24747706577</v>
      </c>
      <c r="I7447" s="561">
        <v>655</v>
      </c>
      <c r="J7447" s="561">
        <v>29914.496589999999</v>
      </c>
      <c r="K7447" s="561">
        <v>7554</v>
      </c>
      <c r="L7447" s="561">
        <v>384603.65368052904</v>
      </c>
      <c r="M7447" s="561">
        <v>384603.65368052904</v>
      </c>
      <c r="N7447" s="561">
        <v>98305.199999999983</v>
      </c>
      <c r="O7447" s="561">
        <v>0</v>
      </c>
      <c r="P7447" s="561">
        <v>286298.45368052903</v>
      </c>
    </row>
    <row r="7448" spans="1:78">
      <c r="C7448" s="561" t="s">
        <v>1197</v>
      </c>
      <c r="D7448" s="561">
        <v>355646.66685719573</v>
      </c>
      <c r="E7448" s="561">
        <v>92545.199999999983</v>
      </c>
      <c r="F7448" s="561">
        <v>263101.46685719572</v>
      </c>
      <c r="G7448" s="561">
        <v>5705</v>
      </c>
      <c r="H7448" s="561">
        <v>384320.89902719582</v>
      </c>
      <c r="I7448" s="561">
        <v>565</v>
      </c>
      <c r="J7448" s="561">
        <v>29278.515309999999</v>
      </c>
      <c r="K7448" s="561">
        <v>5649</v>
      </c>
      <c r="L7448" s="561">
        <v>355646.66685719573</v>
      </c>
      <c r="M7448" s="561">
        <v>355646.66685719573</v>
      </c>
      <c r="N7448" s="561">
        <v>92545.199999999983</v>
      </c>
    </row>
    <row r="7449" spans="1:78">
      <c r="C7449" s="561" t="s">
        <v>1199</v>
      </c>
      <c r="D7449" s="561">
        <v>28956.986823333333</v>
      </c>
      <c r="E7449" s="561">
        <v>5760</v>
      </c>
      <c r="F7449" s="561">
        <v>23196.986823333333</v>
      </c>
      <c r="G7449" s="561">
        <v>1915</v>
      </c>
      <c r="H7449" s="561">
        <v>29660.348449869925</v>
      </c>
      <c r="I7449" s="561">
        <v>90</v>
      </c>
      <c r="J7449" s="561">
        <v>635.98127999999951</v>
      </c>
      <c r="K7449" s="561">
        <v>1905</v>
      </c>
      <c r="L7449" s="561">
        <v>28956.986823333333</v>
      </c>
      <c r="M7449" s="561">
        <v>28956.986823333333</v>
      </c>
      <c r="N7449" s="561">
        <v>5760</v>
      </c>
      <c r="AL7449" s="561">
        <v>23196.986823333333</v>
      </c>
    </row>
    <row r="7450" spans="1:78">
      <c r="A7450" s="561">
        <v>49</v>
      </c>
      <c r="B7450" s="561" t="s">
        <v>1878</v>
      </c>
      <c r="C7450" s="561" t="s">
        <v>1267</v>
      </c>
      <c r="D7450" s="561">
        <v>18495.952922555673</v>
      </c>
      <c r="E7450" s="561">
        <v>5399.9999999999991</v>
      </c>
      <c r="F7450" s="561">
        <v>13095.953000000003</v>
      </c>
      <c r="G7450" s="561">
        <v>1325</v>
      </c>
      <c r="H7450" s="561">
        <v>19790.248572555676</v>
      </c>
      <c r="I7450" s="561">
        <v>85</v>
      </c>
      <c r="J7450" s="561">
        <v>1393.0547199999999</v>
      </c>
      <c r="K7450" s="561">
        <v>1307</v>
      </c>
      <c r="L7450" s="561">
        <v>18495.952922555673</v>
      </c>
      <c r="M7450" s="561">
        <v>18495.952922555673</v>
      </c>
      <c r="N7450" s="561">
        <v>5399.9999999999991</v>
      </c>
      <c r="O7450" s="561">
        <v>0</v>
      </c>
      <c r="P7450" s="561">
        <v>13095.952922555673</v>
      </c>
    </row>
    <row r="7451" spans="1:78">
      <c r="C7451" s="561" t="s">
        <v>1199</v>
      </c>
      <c r="D7451" s="561">
        <v>18495.952922555673</v>
      </c>
      <c r="E7451" s="561">
        <v>5399.9999999999991</v>
      </c>
      <c r="F7451" s="561">
        <v>13095.953000000003</v>
      </c>
      <c r="G7451" s="561">
        <v>1325</v>
      </c>
      <c r="H7451" s="561">
        <v>19790.248572555676</v>
      </c>
      <c r="I7451" s="561">
        <v>85</v>
      </c>
      <c r="J7451" s="561">
        <v>1393.0547199999999</v>
      </c>
      <c r="K7451" s="561">
        <v>1307</v>
      </c>
      <c r="L7451" s="561">
        <v>18495.952922555673</v>
      </c>
      <c r="M7451" s="561">
        <v>18495.952922555673</v>
      </c>
      <c r="N7451" s="561">
        <v>5399.9999999999991</v>
      </c>
      <c r="BZ7451" s="561">
        <v>13095.952922555673</v>
      </c>
    </row>
    <row r="7452" spans="1:78">
      <c r="B7452" s="561" t="s">
        <v>1879</v>
      </c>
      <c r="D7452" s="561">
        <v>536375.36543437548</v>
      </c>
      <c r="E7452" s="561">
        <v>158691.6</v>
      </c>
      <c r="F7452" s="561">
        <v>377683.76543433149</v>
      </c>
      <c r="G7452" s="561">
        <v>12778</v>
      </c>
      <c r="H7452" s="561">
        <v>595581.53658770875</v>
      </c>
      <c r="I7452" s="561">
        <v>1680</v>
      </c>
      <c r="J7452" s="561">
        <v>63119.813120000006</v>
      </c>
      <c r="K7452" s="561">
        <v>12662</v>
      </c>
      <c r="L7452" s="561">
        <v>536375.36543437548</v>
      </c>
      <c r="M7452" s="561">
        <v>536375.36543437548</v>
      </c>
      <c r="N7452" s="561">
        <v>158691.6</v>
      </c>
      <c r="O7452" s="561">
        <v>0</v>
      </c>
      <c r="P7452" s="561">
        <v>377683.76543437544</v>
      </c>
    </row>
    <row r="7453" spans="1:78">
      <c r="A7453" s="561">
        <v>50</v>
      </c>
      <c r="B7453" s="561" t="s">
        <v>1880</v>
      </c>
      <c r="C7453" s="561" t="s">
        <v>1267</v>
      </c>
      <c r="D7453" s="561">
        <v>503621.46509099816</v>
      </c>
      <c r="E7453" s="561">
        <v>149691.6</v>
      </c>
      <c r="F7453" s="561">
        <v>353929.86543433147</v>
      </c>
      <c r="G7453" s="561">
        <v>10255</v>
      </c>
      <c r="H7453" s="561">
        <v>561769.92022433144</v>
      </c>
      <c r="I7453" s="561">
        <v>1452</v>
      </c>
      <c r="J7453" s="561">
        <v>61880.017370000009</v>
      </c>
      <c r="K7453" s="561">
        <v>10150</v>
      </c>
      <c r="L7453" s="561">
        <v>503621.46509099816</v>
      </c>
      <c r="M7453" s="561">
        <v>503621.46509099816</v>
      </c>
      <c r="N7453" s="561">
        <v>149691.6</v>
      </c>
      <c r="O7453" s="561">
        <v>0</v>
      </c>
      <c r="P7453" s="561">
        <v>353929.86509099818</v>
      </c>
    </row>
    <row r="7454" spans="1:78">
      <c r="C7454" s="561" t="s">
        <v>1197</v>
      </c>
      <c r="D7454" s="561">
        <v>477042.10446256201</v>
      </c>
      <c r="E7454" s="561">
        <v>143571.6</v>
      </c>
      <c r="F7454" s="561">
        <v>333470.50439256197</v>
      </c>
      <c r="G7454" s="561">
        <v>8492</v>
      </c>
      <c r="H7454" s="561">
        <v>534536.44487256196</v>
      </c>
      <c r="I7454" s="561">
        <v>1367</v>
      </c>
      <c r="J7454" s="561">
        <v>61382.058540000005</v>
      </c>
      <c r="K7454" s="561">
        <v>8388</v>
      </c>
      <c r="L7454" s="561">
        <v>477042.10446256201</v>
      </c>
      <c r="M7454" s="561">
        <v>477042.10446256201</v>
      </c>
      <c r="N7454" s="561">
        <v>143571.6</v>
      </c>
    </row>
    <row r="7455" spans="1:78">
      <c r="C7455" s="561" t="s">
        <v>1199</v>
      </c>
      <c r="D7455" s="561">
        <v>26579.360628436159</v>
      </c>
      <c r="E7455" s="561">
        <v>6120</v>
      </c>
      <c r="F7455" s="561">
        <v>20459.361041769491</v>
      </c>
      <c r="G7455" s="561">
        <v>1763</v>
      </c>
      <c r="H7455" s="561">
        <v>27233.475351769495</v>
      </c>
      <c r="I7455" s="561">
        <v>85</v>
      </c>
      <c r="J7455" s="561">
        <v>497.95882999999998</v>
      </c>
      <c r="K7455" s="561">
        <v>1762</v>
      </c>
      <c r="L7455" s="561">
        <v>26579.360628436159</v>
      </c>
      <c r="M7455" s="561">
        <v>26579.360628436159</v>
      </c>
      <c r="N7455" s="561">
        <v>6120</v>
      </c>
      <c r="P7455" s="561">
        <v>20459.360628436159</v>
      </c>
    </row>
    <row r="7456" spans="1:78">
      <c r="A7456" s="561">
        <v>51</v>
      </c>
      <c r="B7456" s="561" t="s">
        <v>1881</v>
      </c>
      <c r="C7456" s="561" t="s">
        <v>1267</v>
      </c>
      <c r="D7456" s="561">
        <v>32753.900343377278</v>
      </c>
      <c r="E7456" s="561">
        <v>9000</v>
      </c>
      <c r="F7456" s="561">
        <v>23753.9</v>
      </c>
      <c r="G7456" s="561">
        <v>2523</v>
      </c>
      <c r="H7456" s="561">
        <v>33811.616363377274</v>
      </c>
      <c r="I7456" s="561">
        <v>228</v>
      </c>
      <c r="J7456" s="561">
        <v>1239.7957499999993</v>
      </c>
      <c r="K7456" s="561">
        <v>2512</v>
      </c>
      <c r="L7456" s="561">
        <v>32753.900343377278</v>
      </c>
      <c r="M7456" s="561">
        <v>32753.900343377278</v>
      </c>
      <c r="N7456" s="561">
        <v>9000</v>
      </c>
      <c r="O7456" s="561">
        <v>0</v>
      </c>
      <c r="P7456" s="561">
        <v>23753.900343377278</v>
      </c>
    </row>
    <row r="7457" spans="1:78">
      <c r="C7457" s="561" t="s">
        <v>1199</v>
      </c>
      <c r="D7457" s="561">
        <v>32753.900343377278</v>
      </c>
      <c r="E7457" s="561">
        <v>9000</v>
      </c>
      <c r="F7457" s="561">
        <v>23753.9</v>
      </c>
      <c r="G7457" s="561">
        <v>2523</v>
      </c>
      <c r="H7457" s="561">
        <v>33811.616363377274</v>
      </c>
      <c r="I7457" s="561">
        <v>228</v>
      </c>
      <c r="J7457" s="561">
        <v>1239.7957499999993</v>
      </c>
      <c r="K7457" s="561">
        <v>2512</v>
      </c>
      <c r="L7457" s="561">
        <v>32753.900343377278</v>
      </c>
      <c r="M7457" s="561">
        <v>32753.900343377278</v>
      </c>
      <c r="N7457" s="561">
        <v>9000</v>
      </c>
      <c r="BZ7457" s="561">
        <v>23753.900343377278</v>
      </c>
    </row>
    <row r="7458" spans="1:78">
      <c r="B7458" s="561" t="s">
        <v>1882</v>
      </c>
      <c r="D7458" s="561">
        <v>1800424.7548271937</v>
      </c>
      <c r="E7458" s="561">
        <v>466025.29999999993</v>
      </c>
      <c r="F7458" s="561">
        <v>1334399.4543298071</v>
      </c>
      <c r="G7458" s="561">
        <v>39015</v>
      </c>
      <c r="H7458" s="561">
        <v>1983399.8036062317</v>
      </c>
      <c r="I7458" s="561">
        <v>4307</v>
      </c>
      <c r="J7458" s="561">
        <v>192626.26978000003</v>
      </c>
      <c r="K7458" s="561">
        <v>38602</v>
      </c>
      <c r="L7458" s="561">
        <v>1800424.7548271937</v>
      </c>
      <c r="M7458" s="561">
        <v>1800424.7548271937</v>
      </c>
      <c r="N7458" s="561">
        <v>466025.29999999993</v>
      </c>
      <c r="O7458" s="561">
        <v>0</v>
      </c>
      <c r="P7458" s="561">
        <v>1334399.4548271934</v>
      </c>
    </row>
    <row r="7459" spans="1:78">
      <c r="A7459" s="561">
        <v>52</v>
      </c>
      <c r="B7459" s="561" t="s">
        <v>1883</v>
      </c>
      <c r="C7459" s="561" t="s">
        <v>1267</v>
      </c>
      <c r="D7459" s="561">
        <v>695509.41255152435</v>
      </c>
      <c r="E7459" s="561">
        <v>177766.99999999997</v>
      </c>
      <c r="F7459" s="561">
        <v>517742.41237485758</v>
      </c>
      <c r="G7459" s="561">
        <v>12738</v>
      </c>
      <c r="H7459" s="561">
        <v>757974.15579224762</v>
      </c>
      <c r="I7459" s="561">
        <v>1469</v>
      </c>
      <c r="J7459" s="561">
        <v>66865.110209999999</v>
      </c>
      <c r="K7459" s="561">
        <v>12671</v>
      </c>
      <c r="L7459" s="561">
        <v>695509.41255152435</v>
      </c>
      <c r="M7459" s="561">
        <v>695509.41255152435</v>
      </c>
      <c r="N7459" s="561">
        <v>177766.99999999997</v>
      </c>
      <c r="O7459" s="561">
        <v>0</v>
      </c>
      <c r="P7459" s="561">
        <v>517742.41255152435</v>
      </c>
    </row>
    <row r="7460" spans="1:78">
      <c r="C7460" s="561" t="s">
        <v>1197</v>
      </c>
      <c r="D7460" s="561">
        <v>611068.70663485769</v>
      </c>
      <c r="E7460" s="561">
        <v>171427.49999999997</v>
      </c>
      <c r="F7460" s="561">
        <v>439641.20629485761</v>
      </c>
      <c r="G7460" s="561">
        <v>10031</v>
      </c>
      <c r="H7460" s="561">
        <v>672650.89645485766</v>
      </c>
      <c r="I7460" s="561">
        <v>1284</v>
      </c>
      <c r="J7460" s="561">
        <v>65845.460319999998</v>
      </c>
      <c r="K7460" s="561">
        <v>9965</v>
      </c>
      <c r="L7460" s="561">
        <v>611068.70663485769</v>
      </c>
      <c r="M7460" s="561">
        <v>611068.70663485769</v>
      </c>
      <c r="N7460" s="561">
        <v>171427.49999999997</v>
      </c>
    </row>
    <row r="7461" spans="1:78">
      <c r="C7461" s="561" t="s">
        <v>1199</v>
      </c>
      <c r="D7461" s="561">
        <v>84440.705916666673</v>
      </c>
      <c r="E7461" s="561">
        <v>6339.5</v>
      </c>
      <c r="F7461" s="561">
        <v>78101.206080000004</v>
      </c>
      <c r="G7461" s="561">
        <v>2707</v>
      </c>
      <c r="H7461" s="561">
        <v>85323.259337389987</v>
      </c>
      <c r="I7461" s="561">
        <v>185</v>
      </c>
      <c r="J7461" s="561">
        <v>1019.6498899999999</v>
      </c>
      <c r="K7461" s="561">
        <v>2706</v>
      </c>
      <c r="L7461" s="561">
        <v>84440.705916666673</v>
      </c>
      <c r="M7461" s="561">
        <v>84440.705916666673</v>
      </c>
      <c r="N7461" s="561">
        <v>6339.5</v>
      </c>
      <c r="AL7461" s="561">
        <v>78101.205916666673</v>
      </c>
    </row>
    <row r="7462" spans="1:78">
      <c r="A7462" s="561">
        <v>53</v>
      </c>
      <c r="B7462" s="561" t="s">
        <v>1884</v>
      </c>
      <c r="C7462" s="561" t="s">
        <v>1267</v>
      </c>
      <c r="D7462" s="561">
        <v>459759.38433664263</v>
      </c>
      <c r="E7462" s="561">
        <v>115659.9</v>
      </c>
      <c r="F7462" s="561">
        <v>344099.48418664257</v>
      </c>
      <c r="G7462" s="561">
        <v>7955</v>
      </c>
      <c r="H7462" s="561">
        <v>494018.68016676552</v>
      </c>
      <c r="I7462" s="561">
        <v>884</v>
      </c>
      <c r="J7462" s="561">
        <v>38119.48621000001</v>
      </c>
      <c r="K7462" s="561">
        <v>7869</v>
      </c>
      <c r="L7462" s="561">
        <v>459759.38433664263</v>
      </c>
      <c r="M7462" s="561">
        <v>459759.38433664263</v>
      </c>
      <c r="N7462" s="561">
        <v>115659.9</v>
      </c>
      <c r="O7462" s="561">
        <v>0</v>
      </c>
      <c r="P7462" s="561">
        <v>344099.48433664261</v>
      </c>
    </row>
    <row r="7463" spans="1:78">
      <c r="C7463" s="561" t="s">
        <v>1197</v>
      </c>
      <c r="D7463" s="561">
        <v>443393.53154664265</v>
      </c>
      <c r="E7463" s="561">
        <v>110619.9</v>
      </c>
      <c r="F7463" s="561">
        <v>332773.63148664258</v>
      </c>
      <c r="G7463" s="561">
        <v>6960</v>
      </c>
      <c r="H7463" s="561">
        <v>477277.19971664267</v>
      </c>
      <c r="I7463" s="561">
        <v>862</v>
      </c>
      <c r="J7463" s="561">
        <v>37892.782690000007</v>
      </c>
      <c r="K7463" s="561">
        <v>6877</v>
      </c>
      <c r="L7463" s="561">
        <v>443393.53154664265</v>
      </c>
      <c r="M7463" s="561">
        <v>443393.53154664265</v>
      </c>
      <c r="N7463" s="561">
        <v>110619.9</v>
      </c>
    </row>
    <row r="7464" spans="1:78">
      <c r="C7464" s="561" t="s">
        <v>1199</v>
      </c>
      <c r="D7464" s="561">
        <v>16365.852789999999</v>
      </c>
      <c r="E7464" s="561">
        <v>5039.9999999999991</v>
      </c>
      <c r="F7464" s="561">
        <v>11325.852700000001</v>
      </c>
      <c r="G7464" s="561">
        <v>995</v>
      </c>
      <c r="H7464" s="561">
        <v>16741.480450122868</v>
      </c>
      <c r="I7464" s="561">
        <v>22</v>
      </c>
      <c r="J7464" s="561">
        <v>226.70351999999983</v>
      </c>
      <c r="K7464" s="561">
        <v>992</v>
      </c>
      <c r="L7464" s="561">
        <v>16365.852789999999</v>
      </c>
      <c r="M7464" s="561">
        <v>16365.852789999999</v>
      </c>
      <c r="N7464" s="561">
        <v>5039.9999999999991</v>
      </c>
      <c r="AL7464" s="561">
        <v>11325.852790000001</v>
      </c>
    </row>
    <row r="7465" spans="1:78">
      <c r="A7465" s="561">
        <v>54</v>
      </c>
      <c r="B7465" s="561" t="s">
        <v>1885</v>
      </c>
      <c r="C7465" s="561" t="s">
        <v>1267</v>
      </c>
      <c r="D7465" s="561">
        <v>237473.85380164013</v>
      </c>
      <c r="E7465" s="561">
        <v>69276.599999999991</v>
      </c>
      <c r="F7465" s="561">
        <v>168197.25384830681</v>
      </c>
      <c r="G7465" s="561">
        <v>4803</v>
      </c>
      <c r="H7465" s="561">
        <v>279680.25078312948</v>
      </c>
      <c r="I7465" s="561">
        <v>714</v>
      </c>
      <c r="J7465" s="561">
        <v>42883.732120000001</v>
      </c>
      <c r="K7465" s="561">
        <v>4728</v>
      </c>
      <c r="L7465" s="561">
        <v>237473.85380164013</v>
      </c>
      <c r="M7465" s="561">
        <v>237473.85380164013</v>
      </c>
      <c r="N7465" s="561">
        <v>69276.599999999991</v>
      </c>
      <c r="O7465" s="561">
        <v>0</v>
      </c>
      <c r="P7465" s="561">
        <v>168197.25380164012</v>
      </c>
    </row>
    <row r="7466" spans="1:78">
      <c r="C7466" s="561" t="s">
        <v>1197</v>
      </c>
      <c r="D7466" s="561">
        <v>230804.33853830679</v>
      </c>
      <c r="E7466" s="561">
        <v>67476.599999999991</v>
      </c>
      <c r="F7466" s="561">
        <v>163327.7388683068</v>
      </c>
      <c r="G7466" s="561">
        <v>4337</v>
      </c>
      <c r="H7466" s="561">
        <v>272901.72415830672</v>
      </c>
      <c r="I7466" s="561">
        <v>706</v>
      </c>
      <c r="J7466" s="561">
        <v>42841.225850000003</v>
      </c>
      <c r="K7466" s="561">
        <v>4262</v>
      </c>
      <c r="L7466" s="561">
        <v>230804.33853830679</v>
      </c>
      <c r="M7466" s="561">
        <v>230804.33853830679</v>
      </c>
      <c r="N7466" s="561">
        <v>67476.599999999991</v>
      </c>
    </row>
    <row r="7467" spans="1:78">
      <c r="C7467" s="561" t="s">
        <v>1199</v>
      </c>
      <c r="D7467" s="561">
        <v>6669.5152633333328</v>
      </c>
      <c r="E7467" s="561">
        <v>1799.9999999999998</v>
      </c>
      <c r="F7467" s="561">
        <v>4869.5149799999999</v>
      </c>
      <c r="G7467" s="561">
        <v>466</v>
      </c>
      <c r="H7467" s="561">
        <v>6778.5266248227817</v>
      </c>
      <c r="I7467" s="561">
        <v>8</v>
      </c>
      <c r="J7467" s="561">
        <v>42.506269999999979</v>
      </c>
      <c r="K7467" s="561">
        <v>466</v>
      </c>
      <c r="L7467" s="561">
        <v>6669.5152633333328</v>
      </c>
      <c r="M7467" s="561">
        <v>6669.5152633333328</v>
      </c>
      <c r="N7467" s="561">
        <v>1799.9999999999998</v>
      </c>
      <c r="AL7467" s="561">
        <v>4869.5152633333328</v>
      </c>
    </row>
    <row r="7468" spans="1:78">
      <c r="A7468" s="561">
        <v>55</v>
      </c>
      <c r="B7468" s="561" t="s">
        <v>1886</v>
      </c>
      <c r="C7468" s="561" t="s">
        <v>1267</v>
      </c>
      <c r="D7468" s="561">
        <v>289630.05381000001</v>
      </c>
      <c r="E7468" s="561">
        <v>76357.799999999988</v>
      </c>
      <c r="F7468" s="561">
        <v>213272.25392000005</v>
      </c>
      <c r="G7468" s="561">
        <v>5260</v>
      </c>
      <c r="H7468" s="561">
        <v>317907.6845867025</v>
      </c>
      <c r="I7468" s="561">
        <v>569</v>
      </c>
      <c r="J7468" s="561">
        <v>28880.721609999997</v>
      </c>
      <c r="K7468" s="561">
        <v>5205</v>
      </c>
      <c r="L7468" s="561">
        <v>289630.05381000001</v>
      </c>
      <c r="M7468" s="561">
        <v>289630.05381000001</v>
      </c>
      <c r="N7468" s="561">
        <v>76357.799999999988</v>
      </c>
      <c r="O7468" s="561">
        <v>0</v>
      </c>
      <c r="P7468" s="561">
        <v>213272.25381000002</v>
      </c>
    </row>
    <row r="7469" spans="1:78">
      <c r="C7469" s="561" t="s">
        <v>1197</v>
      </c>
      <c r="D7469" s="561">
        <v>276486.64924</v>
      </c>
      <c r="E7469" s="561">
        <v>73837.799999999988</v>
      </c>
      <c r="F7469" s="561">
        <v>202648.84948000003</v>
      </c>
      <c r="G7469" s="561">
        <v>4439</v>
      </c>
      <c r="H7469" s="561">
        <v>304538.97393000004</v>
      </c>
      <c r="I7469" s="561">
        <v>559</v>
      </c>
      <c r="J7469" s="561">
        <v>28787.586039999998</v>
      </c>
      <c r="K7469" s="561">
        <v>4388</v>
      </c>
      <c r="L7469" s="561">
        <v>276486.64924</v>
      </c>
      <c r="M7469" s="561">
        <v>276486.64924</v>
      </c>
      <c r="N7469" s="561">
        <v>73837.799999999988</v>
      </c>
    </row>
    <row r="7470" spans="1:78">
      <c r="C7470" s="561" t="s">
        <v>1199</v>
      </c>
      <c r="D7470" s="561">
        <v>13143.404569999999</v>
      </c>
      <c r="E7470" s="561">
        <v>2519.9999999999995</v>
      </c>
      <c r="F7470" s="561">
        <v>10623.40444</v>
      </c>
      <c r="G7470" s="561">
        <v>821</v>
      </c>
      <c r="H7470" s="561">
        <v>13368.710656702438</v>
      </c>
      <c r="I7470" s="561">
        <v>10</v>
      </c>
      <c r="J7470" s="561">
        <v>93.135569999999802</v>
      </c>
      <c r="K7470" s="561">
        <v>817</v>
      </c>
      <c r="L7470" s="561">
        <v>13143.404569999999</v>
      </c>
      <c r="M7470" s="561">
        <v>13143.404569999999</v>
      </c>
      <c r="N7470" s="561">
        <v>2519.9999999999995</v>
      </c>
      <c r="AL7470" s="561">
        <v>10623.404569999999</v>
      </c>
    </row>
    <row r="7471" spans="1:78">
      <c r="A7471" s="561">
        <v>56</v>
      </c>
      <c r="B7471" s="561" t="s">
        <v>1887</v>
      </c>
      <c r="C7471" s="561" t="s">
        <v>1267</v>
      </c>
      <c r="D7471" s="561">
        <v>54065.000265070812</v>
      </c>
      <c r="E7471" s="561">
        <v>13319.999999999998</v>
      </c>
      <c r="F7471" s="561">
        <v>40745</v>
      </c>
      <c r="G7471" s="561">
        <v>3616</v>
      </c>
      <c r="H7471" s="561">
        <v>58215.612215070811</v>
      </c>
      <c r="I7471" s="561">
        <v>315</v>
      </c>
      <c r="J7471" s="561">
        <v>4623.6017499999998</v>
      </c>
      <c r="K7471" s="561">
        <v>3584</v>
      </c>
      <c r="L7471" s="561">
        <v>54065.000265070812</v>
      </c>
      <c r="M7471" s="561">
        <v>54065.000265070812</v>
      </c>
      <c r="N7471" s="561">
        <v>13319.999999999998</v>
      </c>
      <c r="O7471" s="561">
        <v>0</v>
      </c>
      <c r="P7471" s="561">
        <v>40745.000265070812</v>
      </c>
    </row>
    <row r="7472" spans="1:78">
      <c r="C7472" s="561" t="s">
        <v>1199</v>
      </c>
      <c r="D7472" s="561">
        <v>54065.000265070812</v>
      </c>
      <c r="E7472" s="561">
        <v>13319.999999999998</v>
      </c>
      <c r="F7472" s="561">
        <v>40745</v>
      </c>
      <c r="G7472" s="561">
        <v>3616</v>
      </c>
      <c r="H7472" s="561">
        <v>58215.612215070811</v>
      </c>
      <c r="I7472" s="561">
        <v>315</v>
      </c>
      <c r="J7472" s="561">
        <v>4623.6017499999998</v>
      </c>
      <c r="K7472" s="561">
        <v>3584</v>
      </c>
      <c r="L7472" s="561">
        <v>54065.000265070812</v>
      </c>
      <c r="M7472" s="561">
        <v>54065.000265070812</v>
      </c>
      <c r="N7472" s="561">
        <v>13319.999999999998</v>
      </c>
      <c r="BZ7472" s="561">
        <v>40745.000265070812</v>
      </c>
    </row>
    <row r="7473" spans="1:78">
      <c r="A7473" s="561">
        <v>57</v>
      </c>
      <c r="B7473" s="561" t="s">
        <v>1888</v>
      </c>
      <c r="C7473" s="561" t="s">
        <v>1267</v>
      </c>
      <c r="D7473" s="561">
        <v>37800.00017808011</v>
      </c>
      <c r="E7473" s="561">
        <v>7200</v>
      </c>
      <c r="F7473" s="561">
        <v>30600</v>
      </c>
      <c r="G7473" s="561">
        <v>2697</v>
      </c>
      <c r="H7473" s="561">
        <v>44178.890408080115</v>
      </c>
      <c r="I7473" s="561">
        <v>236</v>
      </c>
      <c r="J7473" s="561">
        <v>6659.9141799999998</v>
      </c>
      <c r="K7473" s="561">
        <v>2627</v>
      </c>
      <c r="L7473" s="561">
        <v>37800.00017808011</v>
      </c>
      <c r="M7473" s="561">
        <v>37800.00017808011</v>
      </c>
      <c r="N7473" s="561">
        <v>7200</v>
      </c>
      <c r="O7473" s="561">
        <v>0</v>
      </c>
      <c r="P7473" s="561">
        <v>30600.00017808011</v>
      </c>
    </row>
    <row r="7474" spans="1:78">
      <c r="C7474" s="561" t="s">
        <v>1199</v>
      </c>
      <c r="D7474" s="561">
        <v>37800.00017808011</v>
      </c>
      <c r="E7474" s="561">
        <v>7200</v>
      </c>
      <c r="F7474" s="561">
        <v>30600</v>
      </c>
      <c r="G7474" s="561">
        <v>2697</v>
      </c>
      <c r="H7474" s="561">
        <v>44178.890408080115</v>
      </c>
      <c r="I7474" s="561">
        <v>236</v>
      </c>
      <c r="J7474" s="561">
        <v>6659.9141799999998</v>
      </c>
      <c r="K7474" s="561">
        <v>2627</v>
      </c>
      <c r="L7474" s="561">
        <v>37800.00017808011</v>
      </c>
      <c r="M7474" s="561">
        <v>37800.00017808011</v>
      </c>
      <c r="N7474" s="561">
        <v>7200</v>
      </c>
      <c r="BZ7474" s="561">
        <v>30600.00017808011</v>
      </c>
    </row>
    <row r="7475" spans="1:78">
      <c r="A7475" s="561">
        <v>58</v>
      </c>
      <c r="B7475" s="561" t="s">
        <v>1889</v>
      </c>
      <c r="C7475" s="561" t="s">
        <v>1267</v>
      </c>
      <c r="D7475" s="561">
        <v>17036.300029999999</v>
      </c>
      <c r="E7475" s="561">
        <v>3798</v>
      </c>
      <c r="F7475" s="561">
        <v>13238.300000000003</v>
      </c>
      <c r="G7475" s="561">
        <v>1078</v>
      </c>
      <c r="H7475" s="561">
        <v>18945.425629999998</v>
      </c>
      <c r="I7475" s="561">
        <v>90</v>
      </c>
      <c r="J7475" s="561">
        <v>1860.5497</v>
      </c>
      <c r="K7475" s="561">
        <v>1061</v>
      </c>
      <c r="L7475" s="561">
        <v>17036.300029999999</v>
      </c>
      <c r="M7475" s="561">
        <v>17036.300029999999</v>
      </c>
      <c r="N7475" s="561">
        <v>3798</v>
      </c>
      <c r="O7475" s="561">
        <v>0</v>
      </c>
      <c r="P7475" s="561">
        <v>13238.300029999999</v>
      </c>
    </row>
    <row r="7476" spans="1:78">
      <c r="C7476" s="561" t="s">
        <v>1199</v>
      </c>
      <c r="D7476" s="561">
        <v>17036.300029999999</v>
      </c>
      <c r="E7476" s="561">
        <v>3798</v>
      </c>
      <c r="F7476" s="561">
        <v>13238.300000000003</v>
      </c>
      <c r="G7476" s="561">
        <v>1078</v>
      </c>
      <c r="H7476" s="561">
        <v>18945.425629999998</v>
      </c>
      <c r="I7476" s="561">
        <v>90</v>
      </c>
      <c r="J7476" s="561">
        <v>1860.5497</v>
      </c>
      <c r="K7476" s="561">
        <v>1061</v>
      </c>
      <c r="L7476" s="561">
        <v>17036.300029999999</v>
      </c>
      <c r="M7476" s="561">
        <v>17036.300029999999</v>
      </c>
      <c r="N7476" s="561">
        <v>3798</v>
      </c>
      <c r="BZ7476" s="561">
        <v>13238.300029999999</v>
      </c>
    </row>
    <row r="7477" spans="1:78">
      <c r="A7477" s="561">
        <v>59</v>
      </c>
      <c r="B7477" s="561" t="s">
        <v>1890</v>
      </c>
      <c r="C7477" s="561" t="s">
        <v>1267</v>
      </c>
      <c r="D7477" s="561">
        <v>9150.7498542357571</v>
      </c>
      <c r="E7477" s="561">
        <v>2645.9999999999995</v>
      </c>
      <c r="F7477" s="561">
        <v>6504.75</v>
      </c>
      <c r="G7477" s="561">
        <v>868</v>
      </c>
      <c r="H7477" s="561">
        <v>12479.104024235758</v>
      </c>
      <c r="I7477" s="561">
        <v>30</v>
      </c>
      <c r="J7477" s="561">
        <v>2733.154</v>
      </c>
      <c r="K7477" s="561">
        <v>857</v>
      </c>
      <c r="L7477" s="561">
        <v>9150.7498542357571</v>
      </c>
      <c r="M7477" s="561">
        <v>9150.7498542357571</v>
      </c>
      <c r="N7477" s="561">
        <v>2645.9999999999995</v>
      </c>
      <c r="O7477" s="561">
        <v>0</v>
      </c>
      <c r="P7477" s="561">
        <v>6504.7498542357571</v>
      </c>
    </row>
    <row r="7478" spans="1:78">
      <c r="C7478" s="561" t="s">
        <v>1199</v>
      </c>
      <c r="D7478" s="561">
        <v>9150.7498542357571</v>
      </c>
      <c r="E7478" s="561">
        <v>2645.9999999999995</v>
      </c>
      <c r="F7478" s="561">
        <v>6504.75</v>
      </c>
      <c r="G7478" s="561">
        <v>868</v>
      </c>
      <c r="H7478" s="561">
        <v>12479.104024235758</v>
      </c>
      <c r="I7478" s="561">
        <v>30</v>
      </c>
      <c r="J7478" s="561">
        <v>2733.154</v>
      </c>
      <c r="K7478" s="561">
        <v>857</v>
      </c>
      <c r="L7478" s="561">
        <v>9150.7498542357571</v>
      </c>
      <c r="M7478" s="561">
        <v>9150.7498542357571</v>
      </c>
      <c r="N7478" s="561">
        <v>2645.9999999999995</v>
      </c>
      <c r="BZ7478" s="561">
        <v>6504.7498542357571</v>
      </c>
    </row>
    <row r="7479" spans="1:78">
      <c r="B7479" s="561" t="s">
        <v>1891</v>
      </c>
      <c r="D7479" s="561">
        <v>537064.5543872749</v>
      </c>
      <c r="E7479" s="561">
        <v>155056.49999999997</v>
      </c>
      <c r="F7479" s="561">
        <v>382008.05444727483</v>
      </c>
      <c r="G7479" s="561">
        <v>11621</v>
      </c>
      <c r="H7479" s="561">
        <v>579573.72317727492</v>
      </c>
      <c r="I7479" s="561">
        <v>1490</v>
      </c>
      <c r="J7479" s="561">
        <v>45197.085430000006</v>
      </c>
      <c r="K7479" s="561">
        <v>11528</v>
      </c>
      <c r="L7479" s="561">
        <v>537064.5543872749</v>
      </c>
      <c r="M7479" s="561">
        <v>537064.5543872749</v>
      </c>
      <c r="N7479" s="561">
        <v>155056.49999999997</v>
      </c>
      <c r="O7479" s="561">
        <v>0</v>
      </c>
      <c r="P7479" s="561">
        <v>382008.0543872749</v>
      </c>
    </row>
    <row r="7480" spans="1:78">
      <c r="A7480" s="561">
        <v>60</v>
      </c>
      <c r="B7480" s="561" t="s">
        <v>1892</v>
      </c>
      <c r="C7480" s="561" t="s">
        <v>1267</v>
      </c>
      <c r="D7480" s="561">
        <v>508193.55433727492</v>
      </c>
      <c r="E7480" s="561">
        <v>147496.49999999997</v>
      </c>
      <c r="F7480" s="561">
        <v>360697.05444727483</v>
      </c>
      <c r="G7480" s="561">
        <v>9552</v>
      </c>
      <c r="H7480" s="561">
        <v>548549.98276727495</v>
      </c>
      <c r="I7480" s="561">
        <v>1335</v>
      </c>
      <c r="J7480" s="561">
        <v>42929.970100000006</v>
      </c>
      <c r="K7480" s="561">
        <v>9475</v>
      </c>
      <c r="L7480" s="561">
        <v>508193.55433727492</v>
      </c>
      <c r="M7480" s="561">
        <v>508193.55433727492</v>
      </c>
      <c r="N7480" s="561">
        <v>147496.49999999997</v>
      </c>
      <c r="O7480" s="561">
        <v>0</v>
      </c>
      <c r="P7480" s="561">
        <v>360697.05433727492</v>
      </c>
    </row>
    <row r="7481" spans="1:78">
      <c r="C7481" s="561" t="s">
        <v>1197</v>
      </c>
      <c r="D7481" s="561">
        <v>489728.56154130748</v>
      </c>
      <c r="E7481" s="561">
        <v>143896.49999999997</v>
      </c>
      <c r="F7481" s="561">
        <v>345832.06122130743</v>
      </c>
      <c r="G7481" s="561">
        <v>8293</v>
      </c>
      <c r="H7481" s="561">
        <v>529942.46732130751</v>
      </c>
      <c r="I7481" s="561">
        <v>1303</v>
      </c>
      <c r="J7481" s="561">
        <v>42452.540460000004</v>
      </c>
      <c r="K7481" s="561">
        <v>8216</v>
      </c>
      <c r="L7481" s="561">
        <v>489728.56154130748</v>
      </c>
      <c r="M7481" s="561">
        <v>489728.56154130748</v>
      </c>
      <c r="N7481" s="561">
        <v>143896.49999999997</v>
      </c>
    </row>
    <row r="7482" spans="1:78">
      <c r="C7482" s="561" t="s">
        <v>1199</v>
      </c>
      <c r="D7482" s="561">
        <v>18464.992795967413</v>
      </c>
      <c r="E7482" s="561">
        <v>3600</v>
      </c>
      <c r="F7482" s="561">
        <v>14864.993225967415</v>
      </c>
      <c r="G7482" s="561">
        <v>1259</v>
      </c>
      <c r="H7482" s="561">
        <v>18607.515445967412</v>
      </c>
      <c r="I7482" s="561">
        <v>32</v>
      </c>
      <c r="J7482" s="561">
        <v>477.42964000000001</v>
      </c>
      <c r="K7482" s="561">
        <v>1259</v>
      </c>
      <c r="L7482" s="561">
        <v>18464.992795967413</v>
      </c>
      <c r="M7482" s="561">
        <v>18464.992795967413</v>
      </c>
      <c r="N7482" s="561">
        <v>3600</v>
      </c>
      <c r="AL7482" s="561">
        <v>14864.992795967413</v>
      </c>
    </row>
    <row r="7483" spans="1:78">
      <c r="A7483" s="561">
        <v>61</v>
      </c>
      <c r="B7483" s="561" t="s">
        <v>1893</v>
      </c>
      <c r="C7483" s="561" t="s">
        <v>1267</v>
      </c>
      <c r="D7483" s="561">
        <v>28871.000050000002</v>
      </c>
      <c r="E7483" s="561">
        <v>7559.9999999999982</v>
      </c>
      <c r="F7483" s="561">
        <v>21311</v>
      </c>
      <c r="G7483" s="561">
        <v>2069</v>
      </c>
      <c r="H7483" s="561">
        <v>31023.740410000002</v>
      </c>
      <c r="I7483" s="561">
        <v>155</v>
      </c>
      <c r="J7483" s="561">
        <v>2267.1153299999996</v>
      </c>
      <c r="K7483" s="561">
        <v>2053</v>
      </c>
      <c r="L7483" s="561">
        <v>28871.000050000002</v>
      </c>
      <c r="M7483" s="561">
        <v>28871.000050000002</v>
      </c>
      <c r="N7483" s="561">
        <v>7559.9999999999982</v>
      </c>
      <c r="O7483" s="561">
        <v>0</v>
      </c>
      <c r="P7483" s="561">
        <v>21311.000050000002</v>
      </c>
    </row>
    <row r="7484" spans="1:78">
      <c r="C7484" s="561" t="s">
        <v>1199</v>
      </c>
      <c r="D7484" s="561">
        <v>28871.000050000002</v>
      </c>
      <c r="E7484" s="561">
        <v>7559.9999999999982</v>
      </c>
      <c r="F7484" s="561">
        <v>21311</v>
      </c>
      <c r="G7484" s="561">
        <v>2069</v>
      </c>
      <c r="H7484" s="561">
        <v>31023.740410000002</v>
      </c>
      <c r="I7484" s="561">
        <v>155</v>
      </c>
      <c r="J7484" s="561">
        <v>2267.1153299999996</v>
      </c>
      <c r="K7484" s="561">
        <v>2053</v>
      </c>
      <c r="L7484" s="561">
        <v>28871.000050000002</v>
      </c>
      <c r="M7484" s="561">
        <v>28871.000050000002</v>
      </c>
      <c r="N7484" s="561">
        <v>7559.9999999999982</v>
      </c>
      <c r="BZ7484" s="561">
        <v>21311.000050000002</v>
      </c>
    </row>
    <row r="7485" spans="1:78">
      <c r="B7485" s="561" t="s">
        <v>1894</v>
      </c>
      <c r="D7485" s="561">
        <v>495549.57007215789</v>
      </c>
      <c r="E7485" s="561">
        <v>126260.39999999998</v>
      </c>
      <c r="F7485" s="561">
        <v>369289.16992049117</v>
      </c>
      <c r="G7485" s="561">
        <v>11051</v>
      </c>
      <c r="H7485" s="561">
        <v>526731.30477926391</v>
      </c>
      <c r="I7485" s="561">
        <v>847</v>
      </c>
      <c r="J7485" s="561">
        <v>33692.592389999998</v>
      </c>
      <c r="K7485" s="561">
        <v>10975</v>
      </c>
      <c r="L7485" s="561">
        <v>495549.57007215789</v>
      </c>
      <c r="M7485" s="561">
        <v>495549.57007215789</v>
      </c>
      <c r="N7485" s="561">
        <v>126260.39999999998</v>
      </c>
      <c r="O7485" s="561">
        <v>0</v>
      </c>
      <c r="P7485" s="561">
        <v>369289.17007215793</v>
      </c>
    </row>
    <row r="7486" spans="1:78">
      <c r="A7486" s="561">
        <v>62</v>
      </c>
      <c r="B7486" s="561" t="s">
        <v>1895</v>
      </c>
      <c r="C7486" s="561" t="s">
        <v>1267</v>
      </c>
      <c r="D7486" s="561">
        <v>442258.96980549122</v>
      </c>
      <c r="E7486" s="561">
        <v>113660.39999999998</v>
      </c>
      <c r="F7486" s="561">
        <v>328598.56992049119</v>
      </c>
      <c r="G7486" s="561">
        <v>7543</v>
      </c>
      <c r="H7486" s="561">
        <v>471002.85434926394</v>
      </c>
      <c r="I7486" s="561">
        <v>647</v>
      </c>
      <c r="J7486" s="561">
        <v>31041.979129999996</v>
      </c>
      <c r="K7486" s="561">
        <v>7481</v>
      </c>
      <c r="L7486" s="561">
        <v>442258.96980549122</v>
      </c>
      <c r="M7486" s="561">
        <v>442258.96980549122</v>
      </c>
      <c r="N7486" s="561">
        <v>113660.39999999998</v>
      </c>
      <c r="O7486" s="561">
        <v>0</v>
      </c>
      <c r="P7486" s="561">
        <v>328598.56980549125</v>
      </c>
    </row>
    <row r="7487" spans="1:78">
      <c r="C7487" s="561" t="s">
        <v>1197</v>
      </c>
      <c r="D7487" s="561">
        <v>424050.674665</v>
      </c>
      <c r="E7487" s="561">
        <v>109628.39999999998</v>
      </c>
      <c r="F7487" s="561">
        <v>314422.27499999997</v>
      </c>
      <c r="G7487" s="561">
        <v>6345</v>
      </c>
      <c r="H7487" s="561">
        <v>452598.53724877269</v>
      </c>
      <c r="I7487" s="561">
        <v>594</v>
      </c>
      <c r="J7487" s="561">
        <v>30714.722359999996</v>
      </c>
      <c r="K7487" s="561">
        <v>6288</v>
      </c>
      <c r="L7487" s="561">
        <v>424050.674665</v>
      </c>
      <c r="M7487" s="561">
        <v>424050.674665</v>
      </c>
      <c r="N7487" s="561">
        <v>109628.39999999998</v>
      </c>
    </row>
    <row r="7488" spans="1:78">
      <c r="C7488" s="561" t="s">
        <v>1199</v>
      </c>
      <c r="D7488" s="561">
        <v>18208.295140491242</v>
      </c>
      <c r="E7488" s="561">
        <v>4032</v>
      </c>
      <c r="F7488" s="561">
        <v>14176.29492049124</v>
      </c>
      <c r="G7488" s="561">
        <v>1198</v>
      </c>
      <c r="H7488" s="561">
        <v>18404.31710049124</v>
      </c>
      <c r="I7488" s="561">
        <v>53</v>
      </c>
      <c r="J7488" s="561">
        <v>327.25677000000019</v>
      </c>
      <c r="K7488" s="561">
        <v>1193</v>
      </c>
      <c r="L7488" s="561">
        <v>18208.295140491242</v>
      </c>
      <c r="M7488" s="561">
        <v>18208.295140491242</v>
      </c>
      <c r="N7488" s="561">
        <v>4032</v>
      </c>
      <c r="AL7488" s="561">
        <v>14176.295140491242</v>
      </c>
    </row>
    <row r="7489" spans="1:78">
      <c r="A7489" s="561">
        <v>63</v>
      </c>
      <c r="B7489" s="561" t="s">
        <v>1896</v>
      </c>
      <c r="C7489" s="561" t="s">
        <v>1267</v>
      </c>
      <c r="D7489" s="561">
        <v>53290.600266666675</v>
      </c>
      <c r="E7489" s="561">
        <v>12600.000000000004</v>
      </c>
      <c r="F7489" s="561">
        <v>40690.599999999991</v>
      </c>
      <c r="G7489" s="561">
        <v>3508</v>
      </c>
      <c r="H7489" s="561">
        <v>55728.450429999997</v>
      </c>
      <c r="I7489" s="561">
        <v>200</v>
      </c>
      <c r="J7489" s="561">
        <v>2650.613260000001</v>
      </c>
      <c r="K7489" s="561">
        <v>3494</v>
      </c>
      <c r="L7489" s="561">
        <v>53290.600266666675</v>
      </c>
      <c r="M7489" s="561">
        <v>53290.600266666675</v>
      </c>
      <c r="N7489" s="561">
        <v>12600.000000000004</v>
      </c>
      <c r="O7489" s="561">
        <v>0</v>
      </c>
      <c r="P7489" s="561">
        <v>40690.600266666675</v>
      </c>
    </row>
    <row r="7490" spans="1:78">
      <c r="C7490" s="561" t="s">
        <v>1199</v>
      </c>
      <c r="D7490" s="561">
        <v>53290.600266666675</v>
      </c>
      <c r="E7490" s="561">
        <v>12600.000000000004</v>
      </c>
      <c r="F7490" s="561">
        <v>40690.599999999991</v>
      </c>
      <c r="G7490" s="561">
        <v>3508</v>
      </c>
      <c r="H7490" s="561">
        <v>55728.450429999997</v>
      </c>
      <c r="I7490" s="561">
        <v>200</v>
      </c>
      <c r="J7490" s="561">
        <v>2650.613260000001</v>
      </c>
      <c r="K7490" s="561">
        <v>3494</v>
      </c>
      <c r="L7490" s="561">
        <v>53290.600266666675</v>
      </c>
      <c r="M7490" s="561">
        <v>53290.600266666675</v>
      </c>
      <c r="N7490" s="561">
        <v>12600.000000000004</v>
      </c>
      <c r="BZ7490" s="561">
        <v>40690.600266666675</v>
      </c>
    </row>
    <row r="7491" spans="1:78">
      <c r="B7491" s="561" t="s">
        <v>1897</v>
      </c>
      <c r="D7491" s="561">
        <v>1570914.7838727206</v>
      </c>
      <c r="E7491" s="561">
        <v>400029.29999999993</v>
      </c>
      <c r="F7491" s="561">
        <v>1170885.4819105128</v>
      </c>
      <c r="G7491" s="561">
        <v>33747</v>
      </c>
      <c r="H7491" s="561">
        <v>1698893.6756393875</v>
      </c>
      <c r="I7491" s="561">
        <v>3709</v>
      </c>
      <c r="J7491" s="561">
        <v>132550.34118000002</v>
      </c>
      <c r="K7491" s="561">
        <v>33425</v>
      </c>
      <c r="L7491" s="561">
        <v>1570914.7838727206</v>
      </c>
      <c r="M7491" s="561">
        <v>1570914.7838727206</v>
      </c>
      <c r="N7491" s="561">
        <v>400029.29999999993</v>
      </c>
      <c r="O7491" s="561">
        <v>0</v>
      </c>
      <c r="P7491" s="561">
        <v>1170885.4838727203</v>
      </c>
    </row>
    <row r="7492" spans="1:78">
      <c r="A7492" s="561">
        <v>64</v>
      </c>
      <c r="B7492" s="561" t="s">
        <v>1898</v>
      </c>
      <c r="C7492" s="561" t="s">
        <v>1267</v>
      </c>
      <c r="D7492" s="561">
        <v>850549.88632125803</v>
      </c>
      <c r="E7492" s="561">
        <v>216486.89999999997</v>
      </c>
      <c r="F7492" s="561">
        <v>634062.98507792491</v>
      </c>
      <c r="G7492" s="561">
        <v>14888</v>
      </c>
      <c r="H7492" s="561">
        <v>916126.19074792496</v>
      </c>
      <c r="I7492" s="561">
        <v>1404</v>
      </c>
      <c r="J7492" s="561">
        <v>66825.790970000002</v>
      </c>
      <c r="K7492" s="561">
        <v>14802</v>
      </c>
      <c r="L7492" s="561">
        <v>850549.88632125803</v>
      </c>
      <c r="M7492" s="561">
        <v>850549.88632125803</v>
      </c>
      <c r="N7492" s="561">
        <v>216486.89999999997</v>
      </c>
      <c r="O7492" s="561">
        <v>0</v>
      </c>
      <c r="P7492" s="561">
        <v>634062.98632125801</v>
      </c>
    </row>
    <row r="7493" spans="1:78">
      <c r="C7493" s="561" t="s">
        <v>1197</v>
      </c>
      <c r="D7493" s="561">
        <v>829570.86051100411</v>
      </c>
      <c r="E7493" s="561">
        <v>212706.89999999997</v>
      </c>
      <c r="F7493" s="561">
        <v>616863.95955100434</v>
      </c>
      <c r="G7493" s="561">
        <v>13615</v>
      </c>
      <c r="H7493" s="561">
        <v>894860.56076100434</v>
      </c>
      <c r="I7493" s="561">
        <v>1349</v>
      </c>
      <c r="J7493" s="561">
        <v>66511.898990000002</v>
      </c>
      <c r="K7493" s="561">
        <v>13532</v>
      </c>
      <c r="L7493" s="561">
        <v>829570.86051100411</v>
      </c>
      <c r="M7493" s="561">
        <v>829570.86051100411</v>
      </c>
      <c r="N7493" s="561">
        <v>212706.89999999997</v>
      </c>
    </row>
    <row r="7494" spans="1:78">
      <c r="C7494" s="561" t="s">
        <v>1199</v>
      </c>
      <c r="D7494" s="561">
        <v>20979.025810253912</v>
      </c>
      <c r="E7494" s="561">
        <v>3779.9999999999991</v>
      </c>
      <c r="F7494" s="561">
        <v>17199.025526920581</v>
      </c>
      <c r="G7494" s="561">
        <v>1273</v>
      </c>
      <c r="H7494" s="561">
        <v>21265.629986920583</v>
      </c>
      <c r="I7494" s="561">
        <v>55</v>
      </c>
      <c r="J7494" s="561">
        <v>313.89198000000005</v>
      </c>
      <c r="K7494" s="561">
        <v>1270</v>
      </c>
      <c r="L7494" s="561">
        <v>20979.025810253912</v>
      </c>
      <c r="M7494" s="561">
        <v>20979.025810253912</v>
      </c>
      <c r="N7494" s="561">
        <v>3779.9999999999991</v>
      </c>
      <c r="AL7494" s="561">
        <v>17199.025810253912</v>
      </c>
    </row>
    <row r="7495" spans="1:78">
      <c r="A7495" s="561">
        <v>65</v>
      </c>
      <c r="B7495" s="561" t="s">
        <v>1899</v>
      </c>
      <c r="C7495" s="561" t="s">
        <v>1267</v>
      </c>
      <c r="D7495" s="561">
        <v>289520.24281867553</v>
      </c>
      <c r="E7495" s="561">
        <v>71435.7</v>
      </c>
      <c r="F7495" s="561">
        <v>218084.54276200879</v>
      </c>
      <c r="G7495" s="561">
        <v>5462</v>
      </c>
      <c r="H7495" s="561">
        <v>308014.77421200881</v>
      </c>
      <c r="I7495" s="561">
        <v>503</v>
      </c>
      <c r="J7495" s="561">
        <v>19252.616569999998</v>
      </c>
      <c r="K7495" s="561">
        <v>5426</v>
      </c>
      <c r="L7495" s="561">
        <v>289520.24281867553</v>
      </c>
      <c r="M7495" s="561">
        <v>289520.24281867553</v>
      </c>
      <c r="N7495" s="561">
        <v>71435.7</v>
      </c>
      <c r="O7495" s="561">
        <v>0</v>
      </c>
      <c r="P7495" s="561">
        <v>218084.54281867552</v>
      </c>
    </row>
    <row r="7496" spans="1:78">
      <c r="C7496" s="561" t="s">
        <v>1197</v>
      </c>
      <c r="D7496" s="561">
        <v>268622.35113023431</v>
      </c>
      <c r="E7496" s="561">
        <v>67835.7</v>
      </c>
      <c r="F7496" s="561">
        <v>200786.65087023424</v>
      </c>
      <c r="G7496" s="561">
        <v>4195</v>
      </c>
      <c r="H7496" s="561">
        <v>286402.53191023425</v>
      </c>
      <c r="I7496" s="561">
        <v>417</v>
      </c>
      <c r="J7496" s="561">
        <v>18434.965469999999</v>
      </c>
      <c r="K7496" s="561">
        <v>4175</v>
      </c>
      <c r="L7496" s="561">
        <v>268622.35113023431</v>
      </c>
      <c r="M7496" s="561">
        <v>268622.35113023431</v>
      </c>
      <c r="N7496" s="561">
        <v>67835.7</v>
      </c>
    </row>
    <row r="7497" spans="1:78">
      <c r="C7497" s="561" t="s">
        <v>1199</v>
      </c>
      <c r="D7497" s="561">
        <v>20897.891688441206</v>
      </c>
      <c r="E7497" s="561">
        <v>3600</v>
      </c>
      <c r="F7497" s="561">
        <v>17297.891891774543</v>
      </c>
      <c r="G7497" s="561">
        <v>1267</v>
      </c>
      <c r="H7497" s="561">
        <v>21612.242301774535</v>
      </c>
      <c r="I7497" s="561">
        <v>86</v>
      </c>
      <c r="J7497" s="561">
        <v>817.65110000000004</v>
      </c>
      <c r="K7497" s="561">
        <v>1251</v>
      </c>
      <c r="L7497" s="561">
        <v>20897.891688441206</v>
      </c>
      <c r="M7497" s="561">
        <v>20897.891688441206</v>
      </c>
      <c r="N7497" s="561">
        <v>3600</v>
      </c>
      <c r="AL7497" s="561">
        <v>17297.891688441206</v>
      </c>
    </row>
    <row r="7498" spans="1:78">
      <c r="A7498" s="561">
        <v>66</v>
      </c>
      <c r="B7498" s="561" t="s">
        <v>1900</v>
      </c>
      <c r="C7498" s="561" t="s">
        <v>1267</v>
      </c>
      <c r="D7498" s="561">
        <v>319417.15432666673</v>
      </c>
      <c r="E7498" s="561">
        <v>82988.099999999977</v>
      </c>
      <c r="F7498" s="561">
        <v>236429.05432666672</v>
      </c>
      <c r="G7498" s="561">
        <v>5902</v>
      </c>
      <c r="H7498" s="561">
        <v>353540.20221000002</v>
      </c>
      <c r="I7498" s="561">
        <v>1049</v>
      </c>
      <c r="J7498" s="561">
        <v>36052.545770000004</v>
      </c>
      <c r="K7498" s="561">
        <v>5838</v>
      </c>
      <c r="L7498" s="561">
        <v>319417.15432666673</v>
      </c>
      <c r="M7498" s="561">
        <v>319417.15432666673</v>
      </c>
      <c r="N7498" s="561">
        <v>82988.099999999977</v>
      </c>
      <c r="O7498" s="561">
        <v>0</v>
      </c>
      <c r="P7498" s="561">
        <v>236429.05432666672</v>
      </c>
    </row>
    <row r="7499" spans="1:78">
      <c r="C7499" s="561" t="s">
        <v>1197</v>
      </c>
      <c r="D7499" s="561">
        <v>299539.59997000004</v>
      </c>
      <c r="E7499" s="561">
        <v>78848.099999999977</v>
      </c>
      <c r="F7499" s="561">
        <v>220691.49997000006</v>
      </c>
      <c r="G7499" s="561">
        <v>4753</v>
      </c>
      <c r="H7499" s="561">
        <v>332958.83269000001</v>
      </c>
      <c r="I7499" s="561">
        <v>949</v>
      </c>
      <c r="J7499" s="561">
        <v>35143.146930000003</v>
      </c>
      <c r="K7499" s="561">
        <v>4694</v>
      </c>
      <c r="L7499" s="561">
        <v>299539.59997000004</v>
      </c>
      <c r="M7499" s="561">
        <v>299539.59997000004</v>
      </c>
      <c r="N7499" s="561">
        <v>78848.099999999977</v>
      </c>
    </row>
    <row r="7500" spans="1:78">
      <c r="C7500" s="561" t="s">
        <v>1199</v>
      </c>
      <c r="D7500" s="561">
        <v>19877.554356666671</v>
      </c>
      <c r="E7500" s="561">
        <v>4140</v>
      </c>
      <c r="F7500" s="561">
        <v>15737.554356666671</v>
      </c>
      <c r="G7500" s="561">
        <v>1149</v>
      </c>
      <c r="H7500" s="561">
        <v>20581.36952</v>
      </c>
      <c r="I7500" s="561">
        <v>100</v>
      </c>
      <c r="J7500" s="561">
        <v>909.39884000000006</v>
      </c>
      <c r="K7500" s="561">
        <v>1144</v>
      </c>
      <c r="L7500" s="561">
        <v>19877.554356666671</v>
      </c>
      <c r="M7500" s="561">
        <v>19877.554356666671</v>
      </c>
      <c r="N7500" s="561">
        <v>4140</v>
      </c>
      <c r="AL7500" s="561">
        <v>15737.554356666671</v>
      </c>
    </row>
    <row r="7501" spans="1:78">
      <c r="A7501" s="561">
        <v>67</v>
      </c>
      <c r="B7501" s="561" t="s">
        <v>1901</v>
      </c>
      <c r="C7501" s="561" t="s">
        <v>1267</v>
      </c>
      <c r="D7501" s="561">
        <v>15861.000033912002</v>
      </c>
      <c r="E7501" s="561">
        <v>4278.5999999999995</v>
      </c>
      <c r="F7501" s="561">
        <v>11582.399743912001</v>
      </c>
      <c r="G7501" s="561">
        <v>577</v>
      </c>
      <c r="H7501" s="561">
        <v>16107.992623912</v>
      </c>
      <c r="I7501" s="561">
        <v>35</v>
      </c>
      <c r="J7501" s="561">
        <v>295.28270999999995</v>
      </c>
      <c r="K7501" s="561">
        <v>576</v>
      </c>
      <c r="L7501" s="561">
        <v>15861.000033912002</v>
      </c>
      <c r="M7501" s="561">
        <v>15861.000033912002</v>
      </c>
      <c r="N7501" s="561">
        <v>4278.5999999999995</v>
      </c>
      <c r="O7501" s="561">
        <v>0</v>
      </c>
      <c r="P7501" s="561">
        <v>11582.400033912001</v>
      </c>
    </row>
    <row r="7502" spans="1:78">
      <c r="C7502" s="561" t="s">
        <v>1197</v>
      </c>
      <c r="D7502" s="561">
        <v>10751.53090324</v>
      </c>
      <c r="E7502" s="561">
        <v>2838.5999999999995</v>
      </c>
      <c r="F7502" s="561">
        <v>7912.9309532400002</v>
      </c>
      <c r="G7502" s="561">
        <v>166</v>
      </c>
      <c r="H7502" s="561">
        <v>10934.30523324</v>
      </c>
      <c r="I7502" s="561">
        <v>5</v>
      </c>
      <c r="J7502" s="561">
        <v>182.77422999999999</v>
      </c>
      <c r="K7502" s="561">
        <v>166</v>
      </c>
      <c r="L7502" s="561">
        <v>10751.53090324</v>
      </c>
      <c r="M7502" s="561">
        <v>10751.53090324</v>
      </c>
      <c r="N7502" s="561">
        <v>2838.5999999999995</v>
      </c>
    </row>
    <row r="7503" spans="1:78">
      <c r="C7503" s="561" t="s">
        <v>1199</v>
      </c>
      <c r="D7503" s="561">
        <v>5109.4691306720006</v>
      </c>
      <c r="E7503" s="561">
        <v>1440</v>
      </c>
      <c r="F7503" s="561">
        <v>3669.4687906720005</v>
      </c>
      <c r="G7503" s="561">
        <v>411</v>
      </c>
      <c r="H7503" s="561">
        <v>5173.6873906720002</v>
      </c>
      <c r="I7503" s="561">
        <v>30</v>
      </c>
      <c r="J7503" s="561">
        <v>112.50847999999999</v>
      </c>
      <c r="K7503" s="561">
        <v>410</v>
      </c>
      <c r="L7503" s="561">
        <v>5109.4691306720006</v>
      </c>
      <c r="M7503" s="561">
        <v>5109.4691306720006</v>
      </c>
      <c r="N7503" s="561">
        <v>1440</v>
      </c>
      <c r="AL7503" s="561">
        <v>3669.4691306720006</v>
      </c>
    </row>
    <row r="7504" spans="1:78">
      <c r="A7504" s="561">
        <v>68</v>
      </c>
      <c r="B7504" s="561" t="s">
        <v>1902</v>
      </c>
      <c r="C7504" s="561" t="s">
        <v>1267</v>
      </c>
      <c r="D7504" s="561">
        <v>55947.80029554155</v>
      </c>
      <c r="E7504" s="561">
        <v>14399.999999999998</v>
      </c>
      <c r="F7504" s="561">
        <v>41547.800000000003</v>
      </c>
      <c r="G7504" s="561">
        <v>4020</v>
      </c>
      <c r="H7504" s="561">
        <v>57707.70366554155</v>
      </c>
      <c r="I7504" s="561">
        <v>271</v>
      </c>
      <c r="J7504" s="561">
        <v>1750.3067100000003</v>
      </c>
      <c r="K7504" s="561">
        <v>3980</v>
      </c>
      <c r="L7504" s="561">
        <v>55947.80029554155</v>
      </c>
      <c r="M7504" s="561">
        <v>55947.80029554155</v>
      </c>
      <c r="N7504" s="561">
        <v>14399.999999999998</v>
      </c>
      <c r="O7504" s="561">
        <v>0</v>
      </c>
      <c r="P7504" s="561">
        <v>41547.80029554155</v>
      </c>
      <c r="BZ7504" s="561">
        <v>41547.80029554155</v>
      </c>
    </row>
    <row r="7505" spans="1:78">
      <c r="C7505" s="561" t="s">
        <v>1199</v>
      </c>
      <c r="D7505" s="561">
        <v>55947.80029554155</v>
      </c>
      <c r="E7505" s="561">
        <v>14399.999999999998</v>
      </c>
      <c r="F7505" s="561">
        <v>41547.800000000003</v>
      </c>
      <c r="G7505" s="561">
        <v>4020</v>
      </c>
      <c r="H7505" s="561">
        <v>57707.70366554155</v>
      </c>
      <c r="I7505" s="561">
        <v>271</v>
      </c>
      <c r="J7505" s="561">
        <v>1750.3067100000003</v>
      </c>
      <c r="K7505" s="561">
        <v>3980</v>
      </c>
      <c r="L7505" s="561">
        <v>55947.80029554155</v>
      </c>
      <c r="M7505" s="561">
        <v>55947.80029554155</v>
      </c>
      <c r="N7505" s="561">
        <v>14399.999999999998</v>
      </c>
    </row>
    <row r="7506" spans="1:78">
      <c r="A7506" s="561">
        <v>69</v>
      </c>
      <c r="B7506" s="561" t="s">
        <v>1903</v>
      </c>
      <c r="C7506" s="561" t="s">
        <v>1267</v>
      </c>
      <c r="D7506" s="561">
        <v>19759.599846666668</v>
      </c>
      <c r="E7506" s="561">
        <v>5039.9999999999991</v>
      </c>
      <c r="F7506" s="561">
        <v>14719.6</v>
      </c>
      <c r="G7506" s="561">
        <v>1443</v>
      </c>
      <c r="H7506" s="561">
        <v>23618.691299999999</v>
      </c>
      <c r="I7506" s="561">
        <v>210</v>
      </c>
      <c r="J7506" s="561">
        <v>4123.5313400000005</v>
      </c>
      <c r="K7506" s="561">
        <v>1368</v>
      </c>
      <c r="L7506" s="561">
        <v>19759.599846666668</v>
      </c>
      <c r="M7506" s="561">
        <v>19759.599846666668</v>
      </c>
      <c r="N7506" s="561">
        <v>5039.9999999999991</v>
      </c>
      <c r="O7506" s="561">
        <v>0</v>
      </c>
      <c r="P7506" s="561">
        <v>14719.599846666668</v>
      </c>
    </row>
    <row r="7507" spans="1:78">
      <c r="C7507" s="561" t="s">
        <v>1199</v>
      </c>
      <c r="D7507" s="561">
        <v>19759.599846666668</v>
      </c>
      <c r="E7507" s="561">
        <v>5039.9999999999991</v>
      </c>
      <c r="F7507" s="561">
        <v>14719.6</v>
      </c>
      <c r="G7507" s="561">
        <v>1443</v>
      </c>
      <c r="H7507" s="561">
        <v>23618.691299999999</v>
      </c>
      <c r="I7507" s="561">
        <v>210</v>
      </c>
      <c r="J7507" s="561">
        <v>4123.5313400000005</v>
      </c>
      <c r="K7507" s="561">
        <v>1368</v>
      </c>
      <c r="L7507" s="561">
        <v>19759.599846666668</v>
      </c>
      <c r="M7507" s="561">
        <v>19759.599846666668</v>
      </c>
      <c r="N7507" s="561">
        <v>5039.9999999999991</v>
      </c>
      <c r="BZ7507" s="561">
        <v>14719.599846666668</v>
      </c>
    </row>
    <row r="7508" spans="1:78">
      <c r="A7508" s="561">
        <v>70</v>
      </c>
      <c r="B7508" s="561" t="s">
        <v>1904</v>
      </c>
      <c r="C7508" s="561" t="s">
        <v>1267</v>
      </c>
      <c r="D7508" s="561">
        <v>19859.100230000004</v>
      </c>
      <c r="E7508" s="561">
        <v>5399.9999999999991</v>
      </c>
      <c r="F7508" s="561">
        <v>14459.100000000004</v>
      </c>
      <c r="G7508" s="561">
        <v>1455</v>
      </c>
      <c r="H7508" s="561">
        <v>23778.120880000002</v>
      </c>
      <c r="I7508" s="561">
        <v>237</v>
      </c>
      <c r="J7508" s="561">
        <v>4250.2671099999998</v>
      </c>
      <c r="K7508" s="561">
        <v>1435</v>
      </c>
      <c r="L7508" s="561">
        <v>19859.100230000004</v>
      </c>
      <c r="M7508" s="561">
        <v>19859.100230000004</v>
      </c>
      <c r="N7508" s="561">
        <v>5399.9999999999991</v>
      </c>
      <c r="O7508" s="561">
        <v>0</v>
      </c>
      <c r="P7508" s="561">
        <v>14459.100230000004</v>
      </c>
    </row>
    <row r="7509" spans="1:78">
      <c r="C7509" s="561" t="s">
        <v>1199</v>
      </c>
      <c r="D7509" s="561">
        <v>19859.100230000004</v>
      </c>
      <c r="E7509" s="561">
        <v>5399.9999999999991</v>
      </c>
      <c r="F7509" s="561">
        <v>14459.100000000004</v>
      </c>
      <c r="G7509" s="561">
        <v>1455</v>
      </c>
      <c r="H7509" s="561">
        <v>23778.120880000002</v>
      </c>
      <c r="I7509" s="561">
        <v>237</v>
      </c>
      <c r="J7509" s="561">
        <v>4250.2671099999998</v>
      </c>
      <c r="K7509" s="561">
        <v>1435</v>
      </c>
      <c r="L7509" s="561">
        <v>19859.100230000004</v>
      </c>
      <c r="M7509" s="561">
        <v>19859.100230000004</v>
      </c>
      <c r="N7509" s="561">
        <v>5399.9999999999991</v>
      </c>
      <c r="BZ7509" s="561">
        <v>14459.100230000004</v>
      </c>
    </row>
    <row r="7510" spans="1:78">
      <c r="B7510" s="561" t="s">
        <v>1905</v>
      </c>
      <c r="D7510" s="561">
        <v>1527740.6411358675</v>
      </c>
      <c r="E7510" s="561">
        <v>460433.99999999988</v>
      </c>
      <c r="F7510" s="561">
        <v>1067306.6402132581</v>
      </c>
      <c r="G7510" s="561">
        <v>34058</v>
      </c>
      <c r="H7510" s="561">
        <v>1786479.6207308678</v>
      </c>
      <c r="I7510" s="561">
        <v>4702</v>
      </c>
      <c r="J7510" s="561">
        <v>267579.01659500005</v>
      </c>
      <c r="K7510" s="561">
        <v>32945</v>
      </c>
      <c r="L7510" s="561">
        <v>1527740.6411358675</v>
      </c>
      <c r="M7510" s="561">
        <v>1527740.6411358675</v>
      </c>
      <c r="N7510" s="561">
        <v>460433.99999999988</v>
      </c>
      <c r="O7510" s="561">
        <v>0</v>
      </c>
      <c r="P7510" s="561">
        <v>1067306.6411358677</v>
      </c>
    </row>
    <row r="7511" spans="1:78">
      <c r="A7511" s="561">
        <v>71</v>
      </c>
      <c r="B7511" s="561" t="s">
        <v>1906</v>
      </c>
      <c r="C7511" s="561" t="s">
        <v>1267</v>
      </c>
      <c r="D7511" s="561">
        <v>914468.47547000006</v>
      </c>
      <c r="E7511" s="561">
        <v>273462.29999999993</v>
      </c>
      <c r="F7511" s="561">
        <v>641006.17547000013</v>
      </c>
      <c r="G7511" s="561">
        <v>18001</v>
      </c>
      <c r="H7511" s="561">
        <v>1053107.94652</v>
      </c>
      <c r="I7511" s="561">
        <v>2077</v>
      </c>
      <c r="J7511" s="561">
        <v>144351.46797000003</v>
      </c>
      <c r="K7511" s="561">
        <v>17577</v>
      </c>
      <c r="L7511" s="561">
        <v>914468.47547000006</v>
      </c>
      <c r="M7511" s="561">
        <v>914468.47547000006</v>
      </c>
      <c r="N7511" s="561">
        <v>273462.29999999993</v>
      </c>
      <c r="O7511" s="561">
        <v>0</v>
      </c>
      <c r="P7511" s="561">
        <v>641006.17547000013</v>
      </c>
    </row>
    <row r="7512" spans="1:78">
      <c r="C7512" s="561" t="s">
        <v>1197</v>
      </c>
      <c r="D7512" s="561">
        <v>892935.64798000001</v>
      </c>
      <c r="E7512" s="561">
        <v>268350.29999999993</v>
      </c>
      <c r="F7512" s="561">
        <v>624585.34798000008</v>
      </c>
      <c r="G7512" s="561">
        <v>16621</v>
      </c>
      <c r="H7512" s="561">
        <v>1026463.9675800001</v>
      </c>
      <c r="I7512" s="561">
        <v>2023</v>
      </c>
      <c r="J7512" s="561">
        <v>139258.79285000003</v>
      </c>
      <c r="K7512" s="561">
        <v>16215</v>
      </c>
      <c r="L7512" s="561">
        <v>892935.64798000001</v>
      </c>
      <c r="M7512" s="561">
        <v>892935.64798000001</v>
      </c>
      <c r="N7512" s="561">
        <v>268350.29999999993</v>
      </c>
    </row>
    <row r="7513" spans="1:78">
      <c r="C7513" s="561" t="s">
        <v>1199</v>
      </c>
      <c r="D7513" s="561">
        <v>21532.82749</v>
      </c>
      <c r="E7513" s="561">
        <v>5112</v>
      </c>
      <c r="F7513" s="561">
        <v>16420.82749</v>
      </c>
      <c r="G7513" s="561">
        <v>1380</v>
      </c>
      <c r="H7513" s="561">
        <v>26643.978939999997</v>
      </c>
      <c r="I7513" s="561">
        <v>54</v>
      </c>
      <c r="J7513" s="561">
        <v>5092.6751200000008</v>
      </c>
      <c r="K7513" s="561">
        <v>1362</v>
      </c>
      <c r="L7513" s="561">
        <v>21532.82749</v>
      </c>
      <c r="M7513" s="561">
        <v>21532.82749</v>
      </c>
      <c r="N7513" s="561">
        <v>5112</v>
      </c>
      <c r="AL7513" s="561">
        <v>16420.82749</v>
      </c>
    </row>
    <row r="7514" spans="1:78">
      <c r="A7514" s="561">
        <v>72</v>
      </c>
      <c r="B7514" s="561" t="s">
        <v>1907</v>
      </c>
      <c r="C7514" s="561" t="s">
        <v>1267</v>
      </c>
      <c r="D7514" s="561">
        <v>478148.56474325794</v>
      </c>
      <c r="E7514" s="561">
        <v>151532.09999999998</v>
      </c>
      <c r="F7514" s="561">
        <v>326616.46474325797</v>
      </c>
      <c r="G7514" s="561">
        <v>9692</v>
      </c>
      <c r="H7514" s="561">
        <v>585886.841598258</v>
      </c>
      <c r="I7514" s="561">
        <v>1809</v>
      </c>
      <c r="J7514" s="561">
        <v>110642.030155</v>
      </c>
      <c r="K7514" s="561">
        <v>9483</v>
      </c>
      <c r="L7514" s="561">
        <v>478148.56474325794</v>
      </c>
      <c r="M7514" s="561">
        <v>478148.56474325794</v>
      </c>
      <c r="N7514" s="561">
        <v>151532.09999999998</v>
      </c>
      <c r="O7514" s="561">
        <v>0</v>
      </c>
      <c r="P7514" s="561">
        <v>326616.46474325797</v>
      </c>
    </row>
    <row r="7515" spans="1:78">
      <c r="C7515" s="561" t="s">
        <v>1197</v>
      </c>
      <c r="D7515" s="561">
        <v>468939.04721500009</v>
      </c>
      <c r="E7515" s="561">
        <v>147932.09999999998</v>
      </c>
      <c r="F7515" s="561">
        <v>321006.94721500011</v>
      </c>
      <c r="G7515" s="561">
        <v>9036</v>
      </c>
      <c r="H7515" s="561">
        <v>575916.28897000011</v>
      </c>
      <c r="I7515" s="561">
        <v>1768</v>
      </c>
      <c r="J7515" s="561">
        <v>109881.251325</v>
      </c>
      <c r="K7515" s="561">
        <v>8836</v>
      </c>
      <c r="L7515" s="561">
        <v>468939.04721500009</v>
      </c>
      <c r="M7515" s="561">
        <v>468939.04721500009</v>
      </c>
      <c r="N7515" s="561">
        <v>147932.09999999998</v>
      </c>
    </row>
    <row r="7516" spans="1:78">
      <c r="C7516" s="561" t="s">
        <v>1199</v>
      </c>
      <c r="D7516" s="561">
        <v>9209.5175282578439</v>
      </c>
      <c r="E7516" s="561">
        <v>3600</v>
      </c>
      <c r="F7516" s="561">
        <v>5609.5175282578439</v>
      </c>
      <c r="G7516" s="561">
        <v>656</v>
      </c>
      <c r="H7516" s="561">
        <v>9970.552628257843</v>
      </c>
      <c r="I7516" s="561">
        <v>41</v>
      </c>
      <c r="J7516" s="561">
        <v>760.77882999999997</v>
      </c>
      <c r="K7516" s="561">
        <v>647</v>
      </c>
      <c r="L7516" s="561">
        <v>9209.5175282578439</v>
      </c>
      <c r="M7516" s="561">
        <v>9209.5175282578439</v>
      </c>
      <c r="N7516" s="561">
        <v>3600</v>
      </c>
      <c r="AL7516" s="561">
        <v>5609.5175282578439</v>
      </c>
    </row>
    <row r="7517" spans="1:78">
      <c r="A7517" s="561">
        <v>73</v>
      </c>
      <c r="B7517" s="561" t="s">
        <v>1908</v>
      </c>
      <c r="C7517" s="561" t="s">
        <v>1267</v>
      </c>
      <c r="D7517" s="561">
        <v>41975.500336839854</v>
      </c>
      <c r="E7517" s="561">
        <v>11160</v>
      </c>
      <c r="F7517" s="561">
        <v>30815.500000000004</v>
      </c>
      <c r="G7517" s="561">
        <v>3137</v>
      </c>
      <c r="H7517" s="561">
        <v>47077.350503506539</v>
      </c>
      <c r="I7517" s="561">
        <v>410</v>
      </c>
      <c r="J7517" s="561">
        <v>5383.4803600000014</v>
      </c>
      <c r="K7517" s="561">
        <v>2972</v>
      </c>
      <c r="L7517" s="561">
        <v>41975.500336839854</v>
      </c>
      <c r="M7517" s="561">
        <v>41975.500336839854</v>
      </c>
      <c r="N7517" s="561">
        <v>11160</v>
      </c>
      <c r="O7517" s="561">
        <v>0</v>
      </c>
      <c r="P7517" s="561">
        <v>30815.500336839854</v>
      </c>
    </row>
    <row r="7518" spans="1:78">
      <c r="C7518" s="561" t="s">
        <v>1199</v>
      </c>
      <c r="D7518" s="561">
        <v>41975.500336839854</v>
      </c>
      <c r="E7518" s="561">
        <v>11160</v>
      </c>
      <c r="F7518" s="561">
        <v>30815.500000000004</v>
      </c>
      <c r="G7518" s="561">
        <v>3137</v>
      </c>
      <c r="H7518" s="561">
        <v>47077.350503506539</v>
      </c>
      <c r="I7518" s="561">
        <v>410</v>
      </c>
      <c r="J7518" s="561">
        <v>5383.4803600000014</v>
      </c>
      <c r="K7518" s="561">
        <v>2972</v>
      </c>
      <c r="L7518" s="561">
        <v>41975.500336839854</v>
      </c>
      <c r="M7518" s="561">
        <v>41975.500336839854</v>
      </c>
      <c r="N7518" s="561">
        <v>11160</v>
      </c>
      <c r="BZ7518" s="561">
        <v>30815.500336839854</v>
      </c>
    </row>
    <row r="7519" spans="1:78">
      <c r="A7519" s="561">
        <v>74</v>
      </c>
      <c r="B7519" s="561" t="s">
        <v>1909</v>
      </c>
      <c r="C7519" s="561" t="s">
        <v>1267</v>
      </c>
      <c r="D7519" s="561">
        <v>40714.70024576976</v>
      </c>
      <c r="E7519" s="561">
        <v>9360</v>
      </c>
      <c r="F7519" s="561">
        <v>31354.699999999997</v>
      </c>
      <c r="G7519" s="561">
        <v>3021</v>
      </c>
      <c r="H7519" s="561">
        <v>47414.433239103091</v>
      </c>
      <c r="I7519" s="561">
        <v>402</v>
      </c>
      <c r="J7519" s="561">
        <v>6642.3895800000009</v>
      </c>
      <c r="K7519" s="561">
        <v>2710</v>
      </c>
      <c r="L7519" s="561">
        <v>40714.70024576976</v>
      </c>
      <c r="M7519" s="561">
        <v>40714.70024576976</v>
      </c>
      <c r="N7519" s="561">
        <v>9360</v>
      </c>
      <c r="O7519" s="561">
        <v>0</v>
      </c>
      <c r="P7519" s="561">
        <v>31354.70024576976</v>
      </c>
    </row>
    <row r="7520" spans="1:78">
      <c r="C7520" s="561" t="s">
        <v>1199</v>
      </c>
      <c r="D7520" s="561">
        <v>40714.70024576976</v>
      </c>
      <c r="E7520" s="561">
        <v>9360</v>
      </c>
      <c r="F7520" s="561">
        <v>31354.699999999997</v>
      </c>
      <c r="G7520" s="561">
        <v>3021</v>
      </c>
      <c r="H7520" s="561">
        <v>47414.433239103091</v>
      </c>
      <c r="I7520" s="561">
        <v>402</v>
      </c>
      <c r="J7520" s="561">
        <v>6642.3895800000009</v>
      </c>
      <c r="K7520" s="561">
        <v>2710</v>
      </c>
      <c r="L7520" s="561">
        <v>40714.70024576976</v>
      </c>
      <c r="M7520" s="561">
        <v>40714.70024576976</v>
      </c>
      <c r="N7520" s="561">
        <v>9360</v>
      </c>
      <c r="BZ7520" s="561">
        <v>31354.70024576976</v>
      </c>
    </row>
    <row r="7521" spans="1:38">
      <c r="A7521" s="561">
        <v>75</v>
      </c>
      <c r="B7521" s="561" t="s">
        <v>1387</v>
      </c>
      <c r="C7521" s="561" t="s">
        <v>1267</v>
      </c>
      <c r="D7521" s="561">
        <v>52433.400339999986</v>
      </c>
      <c r="E7521" s="561">
        <v>14919.6</v>
      </c>
      <c r="F7521" s="561">
        <v>37513.800000000003</v>
      </c>
      <c r="G7521" s="561">
        <v>207</v>
      </c>
      <c r="H7521" s="561">
        <v>52993.048869999991</v>
      </c>
      <c r="I7521" s="561">
        <v>4</v>
      </c>
      <c r="J7521" s="561">
        <v>559.64853000000039</v>
      </c>
      <c r="K7521" s="561">
        <v>203</v>
      </c>
      <c r="L7521" s="561">
        <v>52433.400339999986</v>
      </c>
      <c r="M7521" s="561">
        <v>52433.400339999986</v>
      </c>
      <c r="N7521" s="561">
        <v>14919.6</v>
      </c>
      <c r="O7521" s="561">
        <v>0</v>
      </c>
      <c r="P7521" s="561">
        <v>37513.800339999987</v>
      </c>
    </row>
    <row r="7522" spans="1:38">
      <c r="C7522" s="561" t="s">
        <v>1199</v>
      </c>
      <c r="D7522" s="561">
        <v>52433.400339999986</v>
      </c>
      <c r="E7522" s="561">
        <v>14919.6</v>
      </c>
      <c r="F7522" s="561">
        <v>37513.800000000003</v>
      </c>
      <c r="G7522" s="561">
        <v>207</v>
      </c>
      <c r="H7522" s="561">
        <v>52993.048869999991</v>
      </c>
      <c r="I7522" s="561">
        <v>4</v>
      </c>
      <c r="J7522" s="561">
        <v>559.64853000000039</v>
      </c>
      <c r="K7522" s="561">
        <v>203</v>
      </c>
      <c r="L7522" s="561">
        <v>52433.400339999986</v>
      </c>
      <c r="M7522" s="561">
        <v>52433.400339999986</v>
      </c>
      <c r="N7522" s="561">
        <v>14919.6</v>
      </c>
      <c r="AL7522" s="561">
        <v>37513.800339999987</v>
      </c>
    </row>
    <row r="7523" spans="1:38">
      <c r="B7523" s="561" t="s">
        <v>1910</v>
      </c>
      <c r="D7523" s="561">
        <v>452462.55372695334</v>
      </c>
      <c r="E7523" s="561">
        <v>126571.79999999997</v>
      </c>
      <c r="F7523" s="561">
        <v>325890.7529809199</v>
      </c>
      <c r="G7523" s="561">
        <v>9222</v>
      </c>
      <c r="H7523" s="561">
        <v>480631.43448028673</v>
      </c>
      <c r="I7523" s="561">
        <v>725</v>
      </c>
      <c r="J7523" s="561">
        <v>29539.504690000002</v>
      </c>
      <c r="K7523" s="561">
        <v>9138</v>
      </c>
      <c r="L7523" s="561">
        <v>452462.55372695334</v>
      </c>
      <c r="M7523" s="561">
        <v>452462.55372695334</v>
      </c>
      <c r="N7523" s="561">
        <v>126571.79999999997</v>
      </c>
      <c r="O7523" s="561">
        <v>0</v>
      </c>
      <c r="P7523" s="561">
        <v>325890.75372695335</v>
      </c>
    </row>
    <row r="7524" spans="1:38">
      <c r="A7524" s="561">
        <v>76</v>
      </c>
      <c r="B7524" s="561" t="s">
        <v>1911</v>
      </c>
      <c r="C7524" s="561" t="s">
        <v>1267</v>
      </c>
      <c r="D7524" s="561">
        <v>432129.55357425328</v>
      </c>
      <c r="E7524" s="561">
        <v>121171.79999999997</v>
      </c>
      <c r="F7524" s="561">
        <v>310957.7529809199</v>
      </c>
      <c r="G7524" s="561">
        <v>7794</v>
      </c>
      <c r="H7524" s="561">
        <v>458807.84955091996</v>
      </c>
      <c r="I7524" s="561">
        <v>689</v>
      </c>
      <c r="J7524" s="561">
        <v>28166.82661</v>
      </c>
      <c r="K7524" s="561">
        <v>7710</v>
      </c>
      <c r="L7524" s="561">
        <v>432129.55357425328</v>
      </c>
      <c r="M7524" s="561">
        <v>432129.55357425328</v>
      </c>
      <c r="N7524" s="561">
        <v>121171.79999999997</v>
      </c>
      <c r="O7524" s="561">
        <v>0</v>
      </c>
      <c r="P7524" s="561">
        <v>310957.75357425329</v>
      </c>
    </row>
    <row r="7525" spans="1:38">
      <c r="C7525" s="561" t="s">
        <v>1197</v>
      </c>
      <c r="D7525" s="561">
        <v>415390.38251999998</v>
      </c>
      <c r="E7525" s="561">
        <v>116491.79999999997</v>
      </c>
      <c r="F7525" s="561">
        <v>298898.58240999992</v>
      </c>
      <c r="G7525" s="561">
        <v>6701</v>
      </c>
      <c r="H7525" s="561">
        <v>441862.50292</v>
      </c>
      <c r="I7525" s="561">
        <v>663</v>
      </c>
      <c r="J7525" s="561">
        <v>28009.181710000001</v>
      </c>
      <c r="K7525" s="561">
        <v>6619</v>
      </c>
      <c r="L7525" s="561">
        <v>415390.38251999998</v>
      </c>
      <c r="M7525" s="561">
        <v>415390.38251999998</v>
      </c>
      <c r="N7525" s="561">
        <v>116491.79999999997</v>
      </c>
    </row>
    <row r="7526" spans="1:38">
      <c r="C7526" s="561" t="s">
        <v>1199</v>
      </c>
      <c r="D7526" s="561">
        <v>16739.171054253315</v>
      </c>
      <c r="E7526" s="561">
        <v>4680</v>
      </c>
      <c r="F7526" s="561">
        <v>12059.170570919985</v>
      </c>
      <c r="G7526" s="561">
        <v>1093</v>
      </c>
      <c r="H7526" s="561">
        <v>16945.346630919983</v>
      </c>
      <c r="I7526" s="561">
        <v>26</v>
      </c>
      <c r="J7526" s="561">
        <v>157.64490000000009</v>
      </c>
      <c r="K7526" s="561">
        <v>1091</v>
      </c>
      <c r="L7526" s="561">
        <v>16739.171054253315</v>
      </c>
      <c r="M7526" s="561">
        <v>16739.171054253315</v>
      </c>
      <c r="N7526" s="561">
        <v>4680</v>
      </c>
      <c r="AL7526" s="561">
        <v>12059.171054253315</v>
      </c>
    </row>
    <row r="7527" spans="1:38">
      <c r="A7527" s="561">
        <v>77</v>
      </c>
      <c r="B7527" s="561" t="s">
        <v>1912</v>
      </c>
      <c r="C7527" s="561" t="s">
        <v>1267</v>
      </c>
      <c r="D7527" s="561">
        <v>20333.000152700082</v>
      </c>
      <c r="E7527" s="561">
        <v>5399.9999999999991</v>
      </c>
      <c r="F7527" s="561">
        <v>14933</v>
      </c>
      <c r="G7527" s="561">
        <v>1428</v>
      </c>
      <c r="H7527" s="561">
        <v>21823.584929366749</v>
      </c>
      <c r="I7527" s="561">
        <v>36</v>
      </c>
      <c r="J7527" s="561">
        <v>1372.6780799999997</v>
      </c>
      <c r="K7527" s="561">
        <v>1428</v>
      </c>
      <c r="L7527" s="561">
        <v>20333.000152700082</v>
      </c>
      <c r="M7527" s="561">
        <v>20333.000152700082</v>
      </c>
      <c r="N7527" s="561">
        <v>5399.9999999999991</v>
      </c>
      <c r="O7527" s="561">
        <v>0</v>
      </c>
      <c r="P7527" s="561">
        <v>14933.000152700082</v>
      </c>
    </row>
    <row r="7528" spans="1:38">
      <c r="C7528" s="561" t="s">
        <v>1199</v>
      </c>
      <c r="D7528" s="561">
        <v>20333.000152700082</v>
      </c>
      <c r="E7528" s="561">
        <v>5399.9999999999991</v>
      </c>
      <c r="F7528" s="561">
        <v>14933</v>
      </c>
      <c r="G7528" s="561">
        <v>1428</v>
      </c>
      <c r="H7528" s="561">
        <v>21823.584929366749</v>
      </c>
      <c r="I7528" s="561">
        <v>36</v>
      </c>
      <c r="J7528" s="561">
        <v>1372.6780799999997</v>
      </c>
      <c r="K7528" s="561">
        <v>1428</v>
      </c>
      <c r="L7528" s="561">
        <v>20333.000152700082</v>
      </c>
      <c r="M7528" s="561">
        <v>20333.000152700082</v>
      </c>
      <c r="N7528" s="561">
        <v>5399.9999999999991</v>
      </c>
      <c r="AL7528" s="561">
        <v>14933.000152700082</v>
      </c>
    </row>
    <row r="7529" spans="1:38">
      <c r="B7529" s="561" t="s">
        <v>1913</v>
      </c>
      <c r="D7529" s="561">
        <v>750269.21939704602</v>
      </c>
      <c r="E7529" s="561">
        <v>205955.09999999998</v>
      </c>
      <c r="F7529" s="561">
        <v>544314.11824600399</v>
      </c>
      <c r="G7529" s="561">
        <v>15900</v>
      </c>
      <c r="H7529" s="561">
        <v>804845.97699299059</v>
      </c>
      <c r="I7529" s="561">
        <v>1531</v>
      </c>
      <c r="J7529" s="561">
        <v>58995.719379999995</v>
      </c>
      <c r="K7529" s="561">
        <v>15684</v>
      </c>
      <c r="L7529" s="561">
        <v>750269.21939704602</v>
      </c>
      <c r="M7529" s="561">
        <v>750269.21939704602</v>
      </c>
      <c r="N7529" s="561">
        <v>205955.09999999998</v>
      </c>
      <c r="O7529" s="561">
        <v>0</v>
      </c>
      <c r="P7529" s="561">
        <v>544314.11939704604</v>
      </c>
    </row>
    <row r="7530" spans="1:38">
      <c r="A7530" s="561">
        <v>78</v>
      </c>
      <c r="B7530" s="561" t="s">
        <v>1914</v>
      </c>
      <c r="C7530" s="561" t="s">
        <v>1267</v>
      </c>
      <c r="D7530" s="561">
        <v>494190.88570933725</v>
      </c>
      <c r="E7530" s="561">
        <v>97160.39999999998</v>
      </c>
      <c r="F7530" s="561">
        <v>397030.48551600397</v>
      </c>
      <c r="G7530" s="561">
        <v>8754</v>
      </c>
      <c r="H7530" s="561">
        <v>531127.70966861513</v>
      </c>
      <c r="I7530" s="561">
        <v>895</v>
      </c>
      <c r="J7530" s="561">
        <v>39554.966319999992</v>
      </c>
      <c r="K7530" s="561">
        <v>8634</v>
      </c>
      <c r="L7530" s="561">
        <v>494190.88570933725</v>
      </c>
      <c r="M7530" s="561">
        <v>494190.88570933725</v>
      </c>
      <c r="N7530" s="561">
        <v>97160.39999999998</v>
      </c>
      <c r="O7530" s="561">
        <v>0</v>
      </c>
      <c r="P7530" s="561">
        <v>397030.48570933728</v>
      </c>
    </row>
    <row r="7531" spans="1:38">
      <c r="C7531" s="561" t="s">
        <v>1197</v>
      </c>
      <c r="D7531" s="561">
        <v>481347.97588600393</v>
      </c>
      <c r="E7531" s="561">
        <v>94460.39999999998</v>
      </c>
      <c r="F7531" s="561">
        <v>386887.57565600396</v>
      </c>
      <c r="G7531" s="561">
        <v>7997</v>
      </c>
      <c r="H7531" s="561">
        <v>518044.82686600398</v>
      </c>
      <c r="I7531" s="561">
        <v>846</v>
      </c>
      <c r="J7531" s="561">
        <v>39278.602579999992</v>
      </c>
      <c r="K7531" s="561">
        <v>7879</v>
      </c>
      <c r="L7531" s="561">
        <v>481347.97588600393</v>
      </c>
      <c r="M7531" s="561">
        <v>481347.97588600393</v>
      </c>
      <c r="N7531" s="561">
        <v>94460.39999999998</v>
      </c>
    </row>
    <row r="7532" spans="1:38">
      <c r="C7532" s="561" t="s">
        <v>1199</v>
      </c>
      <c r="D7532" s="561">
        <v>12842.909823333332</v>
      </c>
      <c r="E7532" s="561">
        <v>2699.9999999999995</v>
      </c>
      <c r="F7532" s="561">
        <v>10142.90986</v>
      </c>
      <c r="G7532" s="561">
        <v>757</v>
      </c>
      <c r="H7532" s="561">
        <v>13082.882802611199</v>
      </c>
      <c r="I7532" s="561">
        <v>49</v>
      </c>
      <c r="J7532" s="561">
        <v>276.36374000000001</v>
      </c>
      <c r="K7532" s="561">
        <v>755</v>
      </c>
      <c r="L7532" s="561">
        <v>12842.909823333332</v>
      </c>
      <c r="M7532" s="561">
        <v>12842.909823333332</v>
      </c>
      <c r="N7532" s="561">
        <v>2699.9999999999995</v>
      </c>
      <c r="AL7532" s="561">
        <v>10142.909823333332</v>
      </c>
    </row>
    <row r="7533" spans="1:38">
      <c r="A7533" s="561">
        <v>79</v>
      </c>
      <c r="B7533" s="561" t="s">
        <v>1915</v>
      </c>
      <c r="C7533" s="561" t="s">
        <v>1267</v>
      </c>
      <c r="D7533" s="561">
        <v>214650.83343666667</v>
      </c>
      <c r="E7533" s="561">
        <v>98534.7</v>
      </c>
      <c r="F7533" s="561">
        <v>116116.13273</v>
      </c>
      <c r="G7533" s="561">
        <v>4108</v>
      </c>
      <c r="H7533" s="561">
        <v>225032.05901999999</v>
      </c>
      <c r="I7533" s="561">
        <v>386</v>
      </c>
      <c r="J7533" s="561">
        <v>12045.634040000001</v>
      </c>
      <c r="K7533" s="561">
        <v>4081</v>
      </c>
      <c r="L7533" s="561">
        <v>214650.83343666667</v>
      </c>
      <c r="M7533" s="561">
        <v>214650.83343666667</v>
      </c>
      <c r="N7533" s="561">
        <v>98534.7</v>
      </c>
      <c r="O7533" s="561">
        <v>0</v>
      </c>
      <c r="P7533" s="561">
        <v>116116.13343666666</v>
      </c>
    </row>
    <row r="7534" spans="1:38">
      <c r="C7534" s="561" t="s">
        <v>1197</v>
      </c>
      <c r="D7534" s="561">
        <v>211910.35256999999</v>
      </c>
      <c r="E7534" s="561">
        <v>96734.7</v>
      </c>
      <c r="F7534" s="561">
        <v>115175.65225</v>
      </c>
      <c r="G7534" s="561">
        <v>3905</v>
      </c>
      <c r="H7534" s="561">
        <v>222188.69224999999</v>
      </c>
      <c r="I7534" s="561">
        <v>377</v>
      </c>
      <c r="J7534" s="561">
        <v>11945.554980000001</v>
      </c>
      <c r="K7534" s="561">
        <v>3883</v>
      </c>
      <c r="L7534" s="561">
        <v>211910.35256999999</v>
      </c>
      <c r="M7534" s="561">
        <v>211910.35256999999</v>
      </c>
      <c r="N7534" s="561">
        <v>96734.7</v>
      </c>
    </row>
    <row r="7535" spans="1:38">
      <c r="C7535" s="561" t="s">
        <v>1199</v>
      </c>
      <c r="D7535" s="561">
        <v>2740.4808666666668</v>
      </c>
      <c r="E7535" s="561">
        <v>1800</v>
      </c>
      <c r="F7535" s="561">
        <v>940.48048000000017</v>
      </c>
      <c r="G7535" s="561">
        <v>203</v>
      </c>
      <c r="H7535" s="561">
        <v>2843.3667699999996</v>
      </c>
      <c r="I7535" s="561">
        <v>9</v>
      </c>
      <c r="J7535" s="561">
        <v>100.07905999999998</v>
      </c>
      <c r="K7535" s="561">
        <v>198</v>
      </c>
      <c r="L7535" s="561">
        <v>2740.4808666666668</v>
      </c>
      <c r="M7535" s="561">
        <v>2740.4808666666668</v>
      </c>
      <c r="N7535" s="561">
        <v>1800</v>
      </c>
      <c r="AL7535" s="561">
        <v>940.48086666666677</v>
      </c>
    </row>
    <row r="7536" spans="1:38">
      <c r="A7536" s="561">
        <v>80</v>
      </c>
      <c r="B7536" s="561" t="s">
        <v>1916</v>
      </c>
      <c r="C7536" s="561" t="s">
        <v>1267</v>
      </c>
      <c r="D7536" s="561">
        <v>32089.999935010408</v>
      </c>
      <c r="E7536" s="561">
        <v>7559.9999999999982</v>
      </c>
      <c r="F7536" s="561">
        <v>24530.000000000004</v>
      </c>
      <c r="G7536" s="561">
        <v>2217</v>
      </c>
      <c r="H7536" s="561">
        <v>36092.044005010415</v>
      </c>
      <c r="I7536" s="561">
        <v>150</v>
      </c>
      <c r="J7536" s="561">
        <v>4044.2376000000004</v>
      </c>
      <c r="K7536" s="561">
        <v>2170</v>
      </c>
      <c r="L7536" s="561">
        <v>32089.999935010408</v>
      </c>
      <c r="M7536" s="561">
        <v>32089.999935010408</v>
      </c>
      <c r="N7536" s="561">
        <v>7559.9999999999982</v>
      </c>
      <c r="O7536" s="561">
        <v>0</v>
      </c>
      <c r="P7536" s="561">
        <v>24529.999935010412</v>
      </c>
    </row>
    <row r="7537" spans="1:78">
      <c r="C7537" s="561" t="s">
        <v>1199</v>
      </c>
      <c r="D7537" s="561">
        <v>32089.999935010408</v>
      </c>
      <c r="E7537" s="561">
        <v>7559.9999999999982</v>
      </c>
      <c r="F7537" s="561">
        <v>24530.000000000004</v>
      </c>
      <c r="G7537" s="561">
        <v>2217</v>
      </c>
      <c r="H7537" s="561">
        <v>36092.044005010415</v>
      </c>
      <c r="I7537" s="561">
        <v>150</v>
      </c>
      <c r="J7537" s="561">
        <v>4044.2376000000004</v>
      </c>
      <c r="K7537" s="561">
        <v>2170</v>
      </c>
      <c r="L7537" s="561">
        <v>32089.999935010408</v>
      </c>
      <c r="M7537" s="561">
        <v>32089.999935010408</v>
      </c>
      <c r="N7537" s="561">
        <v>7559.9999999999982</v>
      </c>
      <c r="BZ7537" s="561">
        <v>24529.999935010412</v>
      </c>
    </row>
    <row r="7538" spans="1:78">
      <c r="A7538" s="561">
        <v>81</v>
      </c>
      <c r="B7538" s="561" t="s">
        <v>1917</v>
      </c>
      <c r="C7538" s="561" t="s">
        <v>1267</v>
      </c>
      <c r="D7538" s="561">
        <v>9337.5003160316646</v>
      </c>
      <c r="E7538" s="561">
        <v>2699.9999999999995</v>
      </c>
      <c r="F7538" s="561">
        <v>6637.5</v>
      </c>
      <c r="G7538" s="561">
        <v>821</v>
      </c>
      <c r="H7538" s="561">
        <v>12594.164299364998</v>
      </c>
      <c r="I7538" s="561">
        <v>100</v>
      </c>
      <c r="J7538" s="561">
        <v>3350.8814200000002</v>
      </c>
      <c r="K7538" s="561">
        <v>799</v>
      </c>
      <c r="L7538" s="561">
        <v>9337.5003160316646</v>
      </c>
      <c r="M7538" s="561">
        <v>9337.5003160316646</v>
      </c>
      <c r="N7538" s="561">
        <v>2699.9999999999995</v>
      </c>
      <c r="O7538" s="561">
        <v>0</v>
      </c>
      <c r="P7538" s="561">
        <v>6637.5003160316646</v>
      </c>
    </row>
    <row r="7539" spans="1:78">
      <c r="C7539" s="561" t="s">
        <v>1199</v>
      </c>
      <c r="D7539" s="561">
        <v>9337.5003160316646</v>
      </c>
      <c r="E7539" s="561">
        <v>2699.9999999999995</v>
      </c>
      <c r="F7539" s="561">
        <v>6637.5</v>
      </c>
      <c r="G7539" s="561">
        <v>821</v>
      </c>
      <c r="H7539" s="561">
        <v>12594.164299364998</v>
      </c>
      <c r="I7539" s="561">
        <v>100</v>
      </c>
      <c r="J7539" s="561">
        <v>3350.8814200000002</v>
      </c>
      <c r="K7539" s="561">
        <v>799</v>
      </c>
      <c r="L7539" s="561">
        <v>9337.5003160316646</v>
      </c>
      <c r="M7539" s="561">
        <v>9337.5003160316646</v>
      </c>
      <c r="N7539" s="561">
        <v>2699.9999999999995</v>
      </c>
      <c r="BZ7539" s="561">
        <v>6637.5003160316646</v>
      </c>
    </row>
    <row r="7540" spans="1:78">
      <c r="B7540" s="561" t="s">
        <v>1918</v>
      </c>
      <c r="D7540" s="561">
        <v>718521.28606320766</v>
      </c>
      <c r="E7540" s="561">
        <v>172275.29999999996</v>
      </c>
      <c r="F7540" s="561">
        <v>546245.98649987439</v>
      </c>
      <c r="G7540" s="561">
        <v>13862</v>
      </c>
      <c r="H7540" s="561">
        <v>769157.22883987403</v>
      </c>
      <c r="I7540" s="561">
        <v>1493</v>
      </c>
      <c r="J7540" s="561">
        <v>56763.563470000001</v>
      </c>
      <c r="K7540" s="561">
        <v>13711</v>
      </c>
      <c r="L7540" s="561">
        <v>718521.28606320766</v>
      </c>
      <c r="M7540" s="561">
        <v>718521.28606320766</v>
      </c>
      <c r="N7540" s="561">
        <v>172275.29999999996</v>
      </c>
      <c r="O7540" s="561">
        <v>0</v>
      </c>
      <c r="P7540" s="561">
        <v>546245.98606320773</v>
      </c>
    </row>
    <row r="7541" spans="1:78">
      <c r="A7541" s="561">
        <v>82</v>
      </c>
      <c r="B7541" s="561" t="s">
        <v>1919</v>
      </c>
      <c r="C7541" s="561" t="s">
        <v>1267</v>
      </c>
      <c r="D7541" s="561">
        <v>698301.18649987434</v>
      </c>
      <c r="E7541" s="561">
        <v>166875.29999999996</v>
      </c>
      <c r="F7541" s="561">
        <v>531425.88649987441</v>
      </c>
      <c r="G7541" s="561">
        <v>12340</v>
      </c>
      <c r="H7541" s="561">
        <v>746601.31514987408</v>
      </c>
      <c r="I7541" s="561">
        <v>1401</v>
      </c>
      <c r="J7541" s="561">
        <v>54428.86909</v>
      </c>
      <c r="K7541" s="561">
        <v>12238</v>
      </c>
      <c r="L7541" s="561">
        <v>698301.18649987434</v>
      </c>
      <c r="M7541" s="561">
        <v>698301.18649987434</v>
      </c>
      <c r="N7541" s="561">
        <v>166875.29999999996</v>
      </c>
      <c r="O7541" s="561">
        <v>0</v>
      </c>
      <c r="P7541" s="561">
        <v>531425.88649987441</v>
      </c>
    </row>
    <row r="7542" spans="1:78">
      <c r="C7542" s="561" t="s">
        <v>1197</v>
      </c>
      <c r="D7542" s="561">
        <v>672852.05252000014</v>
      </c>
      <c r="E7542" s="561">
        <v>161475.29999999996</v>
      </c>
      <c r="F7542" s="561">
        <v>511376.75252000021</v>
      </c>
      <c r="G7542" s="561">
        <v>10725</v>
      </c>
      <c r="H7542" s="561">
        <v>720891.52203999995</v>
      </c>
      <c r="I7542" s="561">
        <v>1324</v>
      </c>
      <c r="J7542" s="561">
        <v>54047.35658</v>
      </c>
      <c r="K7542" s="561">
        <v>10625</v>
      </c>
      <c r="L7542" s="561">
        <v>672852.05252000014</v>
      </c>
      <c r="M7542" s="561">
        <v>672852.05252000014</v>
      </c>
      <c r="N7542" s="561">
        <v>161475.29999999996</v>
      </c>
    </row>
    <row r="7543" spans="1:78">
      <c r="C7543" s="561" t="s">
        <v>1199</v>
      </c>
      <c r="D7543" s="561">
        <v>25449.133979874176</v>
      </c>
      <c r="E7543" s="561">
        <v>5399.9999999999991</v>
      </c>
      <c r="F7543" s="561">
        <v>20049.133979874176</v>
      </c>
      <c r="G7543" s="561">
        <v>1615</v>
      </c>
      <c r="H7543" s="561">
        <v>25709.793109874172</v>
      </c>
      <c r="I7543" s="561">
        <v>77</v>
      </c>
      <c r="J7543" s="561">
        <v>381.51250999999991</v>
      </c>
      <c r="K7543" s="561">
        <v>1613</v>
      </c>
      <c r="L7543" s="561">
        <v>25449.133979874176</v>
      </c>
      <c r="M7543" s="561">
        <v>25449.133979874176</v>
      </c>
      <c r="N7543" s="561">
        <v>5399.9999999999991</v>
      </c>
      <c r="AL7543" s="561">
        <v>20049.133979874176</v>
      </c>
    </row>
    <row r="7544" spans="1:78">
      <c r="A7544" s="561">
        <v>83</v>
      </c>
      <c r="B7544" s="561" t="s">
        <v>1920</v>
      </c>
      <c r="C7544" s="561" t="s">
        <v>1267</v>
      </c>
      <c r="D7544" s="561">
        <v>20220.09956333333</v>
      </c>
      <c r="E7544" s="561">
        <v>5399.9999999999991</v>
      </c>
      <c r="F7544" s="561">
        <v>14820.1</v>
      </c>
      <c r="G7544" s="561">
        <v>1522</v>
      </c>
      <c r="H7544" s="561">
        <v>22555.913689999994</v>
      </c>
      <c r="I7544" s="561">
        <v>92</v>
      </c>
      <c r="J7544" s="561">
        <v>2334.6943799999999</v>
      </c>
      <c r="K7544" s="561">
        <v>1473</v>
      </c>
      <c r="L7544" s="561">
        <v>20220.09956333333</v>
      </c>
      <c r="M7544" s="561">
        <v>20220.09956333333</v>
      </c>
      <c r="N7544" s="561">
        <v>5399.9999999999991</v>
      </c>
      <c r="O7544" s="561">
        <v>0</v>
      </c>
      <c r="P7544" s="561">
        <v>14820.09956333333</v>
      </c>
    </row>
    <row r="7545" spans="1:78">
      <c r="C7545" s="561" t="s">
        <v>1199</v>
      </c>
      <c r="D7545" s="561">
        <v>20220.09956333333</v>
      </c>
      <c r="E7545" s="561">
        <v>5399.9999999999991</v>
      </c>
      <c r="F7545" s="561">
        <v>14820.1</v>
      </c>
      <c r="G7545" s="561">
        <v>1522</v>
      </c>
      <c r="H7545" s="561">
        <v>22555.913689999994</v>
      </c>
      <c r="I7545" s="561">
        <v>92</v>
      </c>
      <c r="J7545" s="561">
        <v>2334.6943799999999</v>
      </c>
      <c r="K7545" s="561">
        <v>1473</v>
      </c>
      <c r="L7545" s="561">
        <v>20220.09956333333</v>
      </c>
      <c r="M7545" s="561">
        <v>20220.09956333333</v>
      </c>
      <c r="N7545" s="561">
        <v>5399.9999999999991</v>
      </c>
      <c r="BZ7545" s="561">
        <v>14820.09956333333</v>
      </c>
    </row>
    <row r="7546" spans="1:78">
      <c r="B7546" s="561" t="s">
        <v>1921</v>
      </c>
      <c r="D7546" s="561">
        <v>470358.96065880603</v>
      </c>
      <c r="E7546" s="561">
        <v>128463.6</v>
      </c>
      <c r="F7546" s="561">
        <v>341895.36008993135</v>
      </c>
      <c r="G7546" s="561">
        <v>11026</v>
      </c>
      <c r="H7546" s="561">
        <v>501902.23090213927</v>
      </c>
      <c r="I7546" s="561">
        <v>1105</v>
      </c>
      <c r="J7546" s="561">
        <v>34435.936450000008</v>
      </c>
      <c r="K7546" s="561">
        <v>10856</v>
      </c>
      <c r="L7546" s="561">
        <v>470358.96065880603</v>
      </c>
      <c r="M7546" s="561">
        <v>470358.96065880603</v>
      </c>
      <c r="N7546" s="561">
        <v>128463.6</v>
      </c>
      <c r="O7546" s="561">
        <v>0</v>
      </c>
      <c r="P7546" s="561">
        <v>341895.36065880599</v>
      </c>
    </row>
    <row r="7547" spans="1:78">
      <c r="A7547" s="561">
        <v>84</v>
      </c>
      <c r="B7547" s="561" t="s">
        <v>1922</v>
      </c>
      <c r="C7547" s="561" t="s">
        <v>1267</v>
      </c>
      <c r="D7547" s="561">
        <v>416302.66121993138</v>
      </c>
      <c r="E7547" s="561">
        <v>114646.80000000002</v>
      </c>
      <c r="F7547" s="561">
        <v>301655.86108993134</v>
      </c>
      <c r="G7547" s="561">
        <v>6951</v>
      </c>
      <c r="H7547" s="561">
        <v>443802.69941993128</v>
      </c>
      <c r="I7547" s="561">
        <v>816</v>
      </c>
      <c r="J7547" s="561">
        <v>30336.656740000002</v>
      </c>
      <c r="K7547" s="561">
        <v>6878</v>
      </c>
      <c r="L7547" s="561">
        <v>416302.66121993138</v>
      </c>
      <c r="M7547" s="561">
        <v>416302.66121993138</v>
      </c>
      <c r="N7547" s="561">
        <v>114646.80000000002</v>
      </c>
      <c r="O7547" s="561">
        <v>0</v>
      </c>
      <c r="P7547" s="561">
        <v>301655.86121993134</v>
      </c>
    </row>
    <row r="7548" spans="1:78">
      <c r="C7548" s="561" t="s">
        <v>1197</v>
      </c>
      <c r="D7548" s="561">
        <v>406147.88376</v>
      </c>
      <c r="E7548" s="561">
        <v>112306.80000000002</v>
      </c>
      <c r="F7548" s="561">
        <v>293841.08376999997</v>
      </c>
      <c r="G7548" s="561">
        <v>6267</v>
      </c>
      <c r="H7548" s="561">
        <v>433368.83439999993</v>
      </c>
      <c r="I7548" s="561">
        <v>754</v>
      </c>
      <c r="J7548" s="561">
        <v>29988.960030000002</v>
      </c>
      <c r="K7548" s="561">
        <v>6198</v>
      </c>
      <c r="L7548" s="561">
        <v>406147.88376</v>
      </c>
      <c r="M7548" s="561">
        <v>406147.88376</v>
      </c>
      <c r="N7548" s="561">
        <v>112306.80000000002</v>
      </c>
    </row>
    <row r="7549" spans="1:78">
      <c r="C7549" s="561" t="s">
        <v>1199</v>
      </c>
      <c r="D7549" s="561">
        <v>10154.777459931362</v>
      </c>
      <c r="E7549" s="561">
        <v>2340</v>
      </c>
      <c r="F7549" s="561">
        <v>7814.7773199313588</v>
      </c>
      <c r="G7549" s="561">
        <v>684</v>
      </c>
      <c r="H7549" s="561">
        <v>10433.86501993136</v>
      </c>
      <c r="I7549" s="561">
        <v>62</v>
      </c>
      <c r="J7549" s="561">
        <v>347.69671</v>
      </c>
      <c r="K7549" s="561">
        <v>680</v>
      </c>
      <c r="L7549" s="561">
        <v>10154.777459931362</v>
      </c>
      <c r="M7549" s="561">
        <v>10154.777459931362</v>
      </c>
      <c r="N7549" s="561">
        <v>2340</v>
      </c>
      <c r="AL7549" s="561">
        <v>7814.7774599313616</v>
      </c>
    </row>
    <row r="7550" spans="1:78">
      <c r="A7550" s="561">
        <v>85</v>
      </c>
      <c r="B7550" s="561" t="s">
        <v>1923</v>
      </c>
      <c r="C7550" s="561" t="s">
        <v>1267</v>
      </c>
      <c r="D7550" s="561">
        <v>45551.709306464974</v>
      </c>
      <c r="E7550" s="561">
        <v>11656.799999999996</v>
      </c>
      <c r="F7550" s="561">
        <v>33894.909</v>
      </c>
      <c r="G7550" s="561">
        <v>3358</v>
      </c>
      <c r="H7550" s="561">
        <v>48491.032776464977</v>
      </c>
      <c r="I7550" s="561">
        <v>218</v>
      </c>
      <c r="J7550" s="561">
        <v>2943.69947</v>
      </c>
      <c r="K7550" s="561">
        <v>3263</v>
      </c>
      <c r="L7550" s="561">
        <v>45551.709306464974</v>
      </c>
      <c r="M7550" s="561">
        <v>45551.709306464974</v>
      </c>
      <c r="N7550" s="561">
        <v>11656.799999999996</v>
      </c>
      <c r="O7550" s="561">
        <v>0</v>
      </c>
      <c r="P7550" s="561">
        <v>33894.909306464979</v>
      </c>
    </row>
    <row r="7551" spans="1:78">
      <c r="C7551" s="561" t="s">
        <v>1199</v>
      </c>
      <c r="D7551" s="561">
        <v>45551.709306464974</v>
      </c>
      <c r="E7551" s="561">
        <v>11656.799999999996</v>
      </c>
      <c r="F7551" s="561">
        <v>33894.909</v>
      </c>
      <c r="G7551" s="561">
        <v>3358</v>
      </c>
      <c r="H7551" s="561">
        <v>48491.032776464977</v>
      </c>
      <c r="I7551" s="561">
        <v>218</v>
      </c>
      <c r="J7551" s="561">
        <v>2943.69947</v>
      </c>
      <c r="K7551" s="561">
        <v>3263</v>
      </c>
      <c r="L7551" s="561">
        <v>45551.709306464974</v>
      </c>
      <c r="M7551" s="561">
        <v>45551.709306464974</v>
      </c>
      <c r="N7551" s="561">
        <v>11656.799999999996</v>
      </c>
      <c r="BZ7551" s="561">
        <v>33894.909306464979</v>
      </c>
    </row>
    <row r="7552" spans="1:78">
      <c r="A7552" s="561">
        <v>86</v>
      </c>
      <c r="B7552" s="561" t="s">
        <v>1924</v>
      </c>
      <c r="C7552" s="561" t="s">
        <v>1267</v>
      </c>
      <c r="D7552" s="561">
        <v>8504.5901324096722</v>
      </c>
      <c r="E7552" s="561">
        <v>2159.9999999999995</v>
      </c>
      <c r="F7552" s="561">
        <v>6344.59</v>
      </c>
      <c r="G7552" s="561">
        <v>717</v>
      </c>
      <c r="H7552" s="561">
        <v>9608.4987057430044</v>
      </c>
      <c r="I7552" s="561">
        <v>71</v>
      </c>
      <c r="J7552" s="561">
        <v>1155.5802400000002</v>
      </c>
      <c r="K7552" s="561">
        <v>715</v>
      </c>
      <c r="L7552" s="561">
        <v>8504.5901324096722</v>
      </c>
      <c r="M7552" s="561">
        <v>8504.5901324096722</v>
      </c>
      <c r="N7552" s="561">
        <v>2159.9999999999995</v>
      </c>
      <c r="O7552" s="561">
        <v>0</v>
      </c>
      <c r="P7552" s="561">
        <v>6344.5901324096722</v>
      </c>
    </row>
    <row r="7553" spans="1:78">
      <c r="C7553" s="561" t="s">
        <v>1199</v>
      </c>
      <c r="D7553" s="561">
        <v>8504.5901324096722</v>
      </c>
      <c r="E7553" s="561">
        <v>2159.9999999999995</v>
      </c>
      <c r="F7553" s="561">
        <v>6344.59</v>
      </c>
      <c r="G7553" s="561">
        <v>717</v>
      </c>
      <c r="H7553" s="561">
        <v>9608.4987057430044</v>
      </c>
      <c r="I7553" s="561">
        <v>71</v>
      </c>
      <c r="J7553" s="561">
        <v>1155.5802400000002</v>
      </c>
      <c r="K7553" s="561">
        <v>715</v>
      </c>
      <c r="L7553" s="561">
        <v>8504.5901324096722</v>
      </c>
      <c r="M7553" s="561">
        <v>8504.5901324096722</v>
      </c>
      <c r="N7553" s="561">
        <v>2159.9999999999995</v>
      </c>
      <c r="BM7553" s="561">
        <v>6344.5901324096722</v>
      </c>
    </row>
    <row r="7554" spans="1:78">
      <c r="B7554" s="561" t="s">
        <v>1925</v>
      </c>
      <c r="D7554" s="561">
        <v>677480.56107198435</v>
      </c>
      <c r="E7554" s="561">
        <v>190625.4</v>
      </c>
      <c r="F7554" s="561">
        <v>486855.16148239496</v>
      </c>
      <c r="G7554" s="561">
        <v>16072</v>
      </c>
      <c r="H7554" s="561">
        <v>717028.75563531765</v>
      </c>
      <c r="I7554" s="561">
        <v>2095</v>
      </c>
      <c r="J7554" s="561">
        <v>43634.179269999986</v>
      </c>
      <c r="K7554" s="561">
        <v>15689</v>
      </c>
      <c r="L7554" s="561">
        <v>677480.56107198435</v>
      </c>
      <c r="M7554" s="561">
        <v>677480.56107198435</v>
      </c>
      <c r="N7554" s="561">
        <v>190625.4</v>
      </c>
      <c r="O7554" s="561">
        <v>0</v>
      </c>
      <c r="P7554" s="561">
        <v>486855.16107198427</v>
      </c>
    </row>
    <row r="7555" spans="1:78">
      <c r="A7555" s="561">
        <v>87</v>
      </c>
      <c r="B7555" s="561" t="s">
        <v>1926</v>
      </c>
      <c r="C7555" s="561" t="s">
        <v>1267</v>
      </c>
      <c r="D7555" s="561">
        <v>632395.261482395</v>
      </c>
      <c r="E7555" s="561">
        <v>179105.4</v>
      </c>
      <c r="F7555" s="561">
        <v>453289.86148239498</v>
      </c>
      <c r="G7555" s="561">
        <v>12383</v>
      </c>
      <c r="H7555" s="561">
        <v>664763.9266157283</v>
      </c>
      <c r="I7555" s="561">
        <v>1487</v>
      </c>
      <c r="J7555" s="561">
        <v>36714.921739999991</v>
      </c>
      <c r="K7555" s="561">
        <v>12286</v>
      </c>
      <c r="L7555" s="561">
        <v>632395.261482395</v>
      </c>
      <c r="M7555" s="561">
        <v>632395.261482395</v>
      </c>
      <c r="N7555" s="561">
        <v>179105.4</v>
      </c>
      <c r="O7555" s="561">
        <v>0</v>
      </c>
      <c r="P7555" s="561">
        <v>453289.86148239498</v>
      </c>
    </row>
    <row r="7556" spans="1:78">
      <c r="C7556" s="561" t="s">
        <v>1197</v>
      </c>
      <c r="D7556" s="561">
        <v>602251.54072499182</v>
      </c>
      <c r="E7556" s="561">
        <v>172265.4</v>
      </c>
      <c r="F7556" s="561">
        <v>429986.1407249918</v>
      </c>
      <c r="G7556" s="561">
        <v>10284</v>
      </c>
      <c r="H7556" s="561">
        <v>634412.44250499178</v>
      </c>
      <c r="I7556" s="561">
        <v>1456</v>
      </c>
      <c r="J7556" s="561">
        <v>36596.586809999993</v>
      </c>
      <c r="K7556" s="561">
        <v>10190</v>
      </c>
      <c r="L7556" s="561">
        <v>602251.54072499182</v>
      </c>
      <c r="M7556" s="561">
        <v>602251.54072499182</v>
      </c>
      <c r="N7556" s="561">
        <v>172265.4</v>
      </c>
    </row>
    <row r="7557" spans="1:78">
      <c r="C7557" s="561" t="s">
        <v>1199</v>
      </c>
      <c r="D7557" s="561">
        <v>30143.720757403171</v>
      </c>
      <c r="E7557" s="561">
        <v>6839.9999999999991</v>
      </c>
      <c r="F7557" s="561">
        <v>23303.720757403171</v>
      </c>
      <c r="G7557" s="561">
        <v>2099</v>
      </c>
      <c r="H7557" s="561">
        <v>30351.484110736503</v>
      </c>
      <c r="I7557" s="561">
        <v>31</v>
      </c>
      <c r="J7557" s="561">
        <v>118.33492999999983</v>
      </c>
      <c r="K7557" s="561">
        <v>2096</v>
      </c>
      <c r="L7557" s="561">
        <v>30143.720757403171</v>
      </c>
      <c r="M7557" s="561">
        <v>30143.720757403171</v>
      </c>
      <c r="N7557" s="561">
        <v>6839.9999999999991</v>
      </c>
      <c r="AL7557" s="561">
        <v>23303.720757403171</v>
      </c>
    </row>
    <row r="7558" spans="1:78">
      <c r="A7558" s="561">
        <v>88</v>
      </c>
      <c r="B7558" s="561" t="s">
        <v>1927</v>
      </c>
      <c r="C7558" s="561" t="s">
        <v>1267</v>
      </c>
      <c r="D7558" s="561">
        <v>38860.299934951821</v>
      </c>
      <c r="E7558" s="561">
        <v>9720</v>
      </c>
      <c r="F7558" s="561">
        <v>29140.3</v>
      </c>
      <c r="G7558" s="561">
        <v>3216</v>
      </c>
      <c r="H7558" s="561">
        <v>45072.851734951815</v>
      </c>
      <c r="I7558" s="561">
        <v>560</v>
      </c>
      <c r="J7558" s="561">
        <v>6540.3395499999997</v>
      </c>
      <c r="K7558" s="561">
        <v>2930</v>
      </c>
      <c r="L7558" s="561">
        <v>38860.299934951821</v>
      </c>
      <c r="M7558" s="561">
        <v>38860.299934951821</v>
      </c>
      <c r="N7558" s="561">
        <v>9720</v>
      </c>
      <c r="O7558" s="561">
        <v>0</v>
      </c>
      <c r="P7558" s="561">
        <v>29140.299934951821</v>
      </c>
    </row>
    <row r="7559" spans="1:78">
      <c r="C7559" s="561" t="s">
        <v>1199</v>
      </c>
      <c r="D7559" s="561">
        <v>38860.299934951821</v>
      </c>
      <c r="E7559" s="561">
        <v>9720</v>
      </c>
      <c r="F7559" s="561">
        <v>29140.3</v>
      </c>
      <c r="G7559" s="561">
        <v>3216</v>
      </c>
      <c r="H7559" s="561">
        <v>45072.851734951815</v>
      </c>
      <c r="I7559" s="561">
        <v>560</v>
      </c>
      <c r="J7559" s="561">
        <v>6540.3395499999997</v>
      </c>
      <c r="K7559" s="561">
        <v>2930</v>
      </c>
      <c r="L7559" s="561">
        <v>38860.299934951821</v>
      </c>
      <c r="M7559" s="561">
        <v>38860.299934951821</v>
      </c>
      <c r="N7559" s="561">
        <v>9720</v>
      </c>
      <c r="BZ7559" s="561">
        <v>29140.299934951821</v>
      </c>
    </row>
    <row r="7560" spans="1:78">
      <c r="A7560" s="561">
        <v>89</v>
      </c>
      <c r="B7560" s="561" t="s">
        <v>1928</v>
      </c>
      <c r="C7560" s="561" t="s">
        <v>1267</v>
      </c>
      <c r="D7560" s="561">
        <v>6224.9996546375005</v>
      </c>
      <c r="E7560" s="561">
        <v>1800</v>
      </c>
      <c r="F7560" s="561">
        <v>4425</v>
      </c>
      <c r="G7560" s="561">
        <v>473</v>
      </c>
      <c r="H7560" s="561">
        <v>7191.9772846375017</v>
      </c>
      <c r="I7560" s="561">
        <v>48</v>
      </c>
      <c r="J7560" s="561">
        <v>378.91798</v>
      </c>
      <c r="K7560" s="561">
        <v>473</v>
      </c>
      <c r="L7560" s="561">
        <v>6224.9996546375005</v>
      </c>
      <c r="M7560" s="561">
        <v>6224.9996546375005</v>
      </c>
      <c r="N7560" s="561">
        <v>1800</v>
      </c>
      <c r="O7560" s="561">
        <v>0</v>
      </c>
      <c r="P7560" s="561">
        <v>4424.9996546375005</v>
      </c>
    </row>
    <row r="7561" spans="1:78">
      <c r="C7561" s="561" t="s">
        <v>1199</v>
      </c>
      <c r="D7561" s="561">
        <v>6224.9996546375005</v>
      </c>
      <c r="E7561" s="561">
        <v>1800</v>
      </c>
      <c r="F7561" s="561">
        <v>4425</v>
      </c>
      <c r="G7561" s="561">
        <v>473</v>
      </c>
      <c r="H7561" s="561">
        <v>7191.9772846375017</v>
      </c>
      <c r="I7561" s="561">
        <v>48</v>
      </c>
      <c r="J7561" s="561">
        <v>378.91798</v>
      </c>
      <c r="K7561" s="561">
        <v>473</v>
      </c>
      <c r="L7561" s="561">
        <v>6224.9996546375005</v>
      </c>
      <c r="M7561" s="561">
        <v>6224.9996546375005</v>
      </c>
      <c r="N7561" s="561">
        <v>1800</v>
      </c>
      <c r="AL7561" s="561">
        <v>4424.9996546375005</v>
      </c>
    </row>
    <row r="7562" spans="1:78">
      <c r="B7562" s="561" t="s">
        <v>1929</v>
      </c>
      <c r="D7562" s="561">
        <v>1700688.9574319767</v>
      </c>
      <c r="E7562" s="561">
        <v>410092.1999999999</v>
      </c>
      <c r="F7562" s="561">
        <v>1290596.7569944931</v>
      </c>
      <c r="G7562" s="561">
        <v>38352</v>
      </c>
      <c r="H7562" s="561">
        <v>1831215.4935890248</v>
      </c>
      <c r="I7562" s="561">
        <v>3024</v>
      </c>
      <c r="J7562" s="561">
        <v>138474.77435000002</v>
      </c>
      <c r="K7562" s="561">
        <v>37740</v>
      </c>
      <c r="L7562" s="561">
        <v>1700688.9574319767</v>
      </c>
      <c r="M7562" s="561">
        <v>1700688.9574319767</v>
      </c>
      <c r="N7562" s="561">
        <v>410092.1999999999</v>
      </c>
      <c r="O7562" s="561">
        <v>0</v>
      </c>
      <c r="P7562" s="561">
        <v>1290596.7574319767</v>
      </c>
    </row>
    <row r="7563" spans="1:78">
      <c r="A7563" s="561">
        <v>90</v>
      </c>
      <c r="B7563" s="561" t="s">
        <v>1930</v>
      </c>
      <c r="C7563" s="561" t="s">
        <v>1267</v>
      </c>
      <c r="D7563" s="561">
        <v>611275.96069535182</v>
      </c>
      <c r="E7563" s="561">
        <v>152039.39999999997</v>
      </c>
      <c r="F7563" s="561">
        <v>459236.56069535192</v>
      </c>
      <c r="G7563" s="561">
        <v>10589</v>
      </c>
      <c r="H7563" s="561">
        <v>640794.88241201837</v>
      </c>
      <c r="I7563" s="561">
        <v>922</v>
      </c>
      <c r="J7563" s="561">
        <v>32445.340359999998</v>
      </c>
      <c r="K7563" s="561">
        <v>10433</v>
      </c>
      <c r="L7563" s="561">
        <v>611275.96069535182</v>
      </c>
      <c r="M7563" s="561">
        <v>611275.96069535182</v>
      </c>
      <c r="N7563" s="561">
        <v>152039.39999999997</v>
      </c>
      <c r="O7563" s="561">
        <v>0</v>
      </c>
      <c r="P7563" s="561">
        <v>459236.56069535192</v>
      </c>
    </row>
    <row r="7564" spans="1:78">
      <c r="C7564" s="561" t="s">
        <v>1197</v>
      </c>
      <c r="D7564" s="561">
        <v>570485.53249000001</v>
      </c>
      <c r="E7564" s="561">
        <v>143759.39999999997</v>
      </c>
      <c r="F7564" s="561">
        <v>426726.13249000005</v>
      </c>
      <c r="G7564" s="561">
        <v>8243</v>
      </c>
      <c r="H7564" s="561">
        <v>599516.0229199999</v>
      </c>
      <c r="I7564" s="561">
        <v>868</v>
      </c>
      <c r="J7564" s="561">
        <v>32018.76874</v>
      </c>
      <c r="K7564" s="561">
        <v>8098</v>
      </c>
      <c r="L7564" s="561">
        <v>570485.53249000001</v>
      </c>
      <c r="M7564" s="561">
        <v>570485.53249000001</v>
      </c>
      <c r="N7564" s="561">
        <v>143759.39999999997</v>
      </c>
    </row>
    <row r="7565" spans="1:78">
      <c r="C7565" s="561" t="s">
        <v>1199</v>
      </c>
      <c r="D7565" s="561">
        <v>40790.428205351855</v>
      </c>
      <c r="E7565" s="561">
        <v>8280</v>
      </c>
      <c r="F7565" s="561">
        <v>32510.428205351855</v>
      </c>
      <c r="G7565" s="561">
        <v>2346</v>
      </c>
      <c r="H7565" s="561">
        <v>41278.859492018513</v>
      </c>
      <c r="I7565" s="561">
        <v>54</v>
      </c>
      <c r="J7565" s="561">
        <v>426.57162000000028</v>
      </c>
      <c r="K7565" s="561">
        <v>2335</v>
      </c>
      <c r="L7565" s="561">
        <v>40790.428205351855</v>
      </c>
      <c r="M7565" s="561">
        <v>40790.428205351855</v>
      </c>
      <c r="N7565" s="561">
        <v>8280</v>
      </c>
      <c r="AL7565" s="561">
        <v>32510.428205351855</v>
      </c>
    </row>
    <row r="7566" spans="1:78">
      <c r="A7566" s="561">
        <v>91</v>
      </c>
      <c r="B7566" s="561" t="s">
        <v>1931</v>
      </c>
      <c r="C7566" s="561" t="s">
        <v>1267</v>
      </c>
      <c r="D7566" s="561">
        <v>68434.652280000009</v>
      </c>
      <c r="E7566" s="561">
        <v>16200</v>
      </c>
      <c r="F7566" s="561">
        <v>52234.652000000002</v>
      </c>
      <c r="G7566" s="561">
        <v>5174</v>
      </c>
      <c r="H7566" s="561">
        <v>71476.558059999996</v>
      </c>
      <c r="I7566" s="561">
        <v>258</v>
      </c>
      <c r="J7566" s="561">
        <v>3172.6226500000002</v>
      </c>
      <c r="K7566" s="561">
        <v>5013</v>
      </c>
      <c r="L7566" s="561">
        <v>68434.652280000009</v>
      </c>
      <c r="M7566" s="561">
        <v>68434.652280000009</v>
      </c>
      <c r="N7566" s="561">
        <v>16200</v>
      </c>
      <c r="O7566" s="561">
        <v>0</v>
      </c>
      <c r="P7566" s="561">
        <v>52234.652280000009</v>
      </c>
    </row>
    <row r="7567" spans="1:78">
      <c r="C7567" s="561" t="s">
        <v>1199</v>
      </c>
      <c r="D7567" s="561">
        <v>68434.652280000009</v>
      </c>
      <c r="E7567" s="561">
        <v>16200</v>
      </c>
      <c r="F7567" s="561">
        <v>52234.652000000002</v>
      </c>
      <c r="G7567" s="561">
        <v>5174</v>
      </c>
      <c r="H7567" s="561">
        <v>71476.558059999996</v>
      </c>
      <c r="I7567" s="561">
        <v>258</v>
      </c>
      <c r="J7567" s="561">
        <v>3172.6226500000002</v>
      </c>
      <c r="K7567" s="561">
        <v>5013</v>
      </c>
      <c r="L7567" s="561">
        <v>68434.652280000009</v>
      </c>
      <c r="M7567" s="561">
        <v>68434.652280000009</v>
      </c>
      <c r="N7567" s="561">
        <v>16200</v>
      </c>
      <c r="BZ7567" s="561">
        <v>52234.652280000009</v>
      </c>
    </row>
    <row r="7568" spans="1:78">
      <c r="A7568" s="561">
        <v>92</v>
      </c>
      <c r="B7568" s="561" t="s">
        <v>1932</v>
      </c>
      <c r="C7568" s="561" t="s">
        <v>1267</v>
      </c>
      <c r="D7568" s="561">
        <v>236451.59441735767</v>
      </c>
      <c r="E7568" s="561">
        <v>63236.399999999987</v>
      </c>
      <c r="F7568" s="561">
        <v>173215.19490735768</v>
      </c>
      <c r="G7568" s="561">
        <v>4536</v>
      </c>
      <c r="H7568" s="561">
        <v>261314.46883107262</v>
      </c>
      <c r="I7568" s="561">
        <v>469</v>
      </c>
      <c r="J7568" s="561">
        <v>25608.615690000002</v>
      </c>
      <c r="K7568" s="561">
        <v>4504</v>
      </c>
      <c r="L7568" s="561">
        <v>236451.59441735767</v>
      </c>
      <c r="M7568" s="561">
        <v>236451.59441735767</v>
      </c>
      <c r="N7568" s="561">
        <v>63236.399999999987</v>
      </c>
      <c r="O7568" s="561">
        <v>0</v>
      </c>
      <c r="P7568" s="561">
        <v>173215.19441735768</v>
      </c>
    </row>
    <row r="7569" spans="1:111">
      <c r="C7569" s="561" t="s">
        <v>1197</v>
      </c>
      <c r="D7569" s="561">
        <v>228081.73006735768</v>
      </c>
      <c r="E7569" s="561">
        <v>60896.399999999987</v>
      </c>
      <c r="F7569" s="561">
        <v>167185.33027735769</v>
      </c>
      <c r="G7569" s="561">
        <v>3903</v>
      </c>
      <c r="H7569" s="561">
        <v>252904.1778773577</v>
      </c>
      <c r="I7569" s="561">
        <v>459</v>
      </c>
      <c r="J7569" s="561">
        <v>25562.574090000002</v>
      </c>
      <c r="K7569" s="561">
        <v>3871</v>
      </c>
      <c r="L7569" s="561">
        <v>228081.73006735768</v>
      </c>
      <c r="M7569" s="561">
        <v>228081.73006735768</v>
      </c>
      <c r="N7569" s="561">
        <v>60896.399999999987</v>
      </c>
    </row>
    <row r="7570" spans="1:111">
      <c r="C7570" s="561" t="s">
        <v>1199</v>
      </c>
      <c r="D7570" s="561">
        <v>8369.8643500000017</v>
      </c>
      <c r="E7570" s="561">
        <v>2340</v>
      </c>
      <c r="F7570" s="561">
        <v>6029.86463</v>
      </c>
      <c r="G7570" s="561">
        <v>633</v>
      </c>
      <c r="H7570" s="561">
        <v>8410.2909537149153</v>
      </c>
      <c r="I7570" s="561">
        <v>10</v>
      </c>
      <c r="J7570" s="561">
        <v>46.041600000000003</v>
      </c>
      <c r="K7570" s="561">
        <v>633</v>
      </c>
      <c r="L7570" s="561">
        <v>8369.8643500000017</v>
      </c>
      <c r="M7570" s="561">
        <v>8369.8643500000017</v>
      </c>
      <c r="N7570" s="561">
        <v>2340</v>
      </c>
      <c r="AL7570" s="561">
        <v>6029.8643500000017</v>
      </c>
    </row>
    <row r="7571" spans="1:111">
      <c r="A7571" s="561">
        <v>93</v>
      </c>
      <c r="B7571" s="561" t="s">
        <v>1933</v>
      </c>
      <c r="C7571" s="561" t="s">
        <v>1267</v>
      </c>
      <c r="D7571" s="561">
        <v>420781.30000666663</v>
      </c>
      <c r="E7571" s="561">
        <v>89295.599999999977</v>
      </c>
      <c r="F7571" s="561">
        <v>331485.70000666665</v>
      </c>
      <c r="G7571" s="561">
        <v>8824</v>
      </c>
      <c r="H7571" s="561">
        <v>463143.35200000001</v>
      </c>
      <c r="I7571" s="561">
        <v>800</v>
      </c>
      <c r="J7571" s="561">
        <v>46394.419310000005</v>
      </c>
      <c r="K7571" s="561">
        <v>8704</v>
      </c>
      <c r="L7571" s="561">
        <v>420781.30000666663</v>
      </c>
      <c r="M7571" s="561">
        <v>420781.30000666663</v>
      </c>
      <c r="N7571" s="561">
        <v>89295.599999999977</v>
      </c>
      <c r="O7571" s="561">
        <v>0</v>
      </c>
      <c r="P7571" s="561">
        <v>331485.70000666665</v>
      </c>
    </row>
    <row r="7572" spans="1:111">
      <c r="C7572" s="561" t="s">
        <v>1197</v>
      </c>
      <c r="D7572" s="561">
        <v>375797.65366999997</v>
      </c>
      <c r="E7572" s="561">
        <v>80835.599999999977</v>
      </c>
      <c r="F7572" s="561">
        <v>294962.05366999999</v>
      </c>
      <c r="G7572" s="561">
        <v>6005</v>
      </c>
      <c r="H7572" s="561">
        <v>417580.04511000001</v>
      </c>
      <c r="I7572" s="561">
        <v>705</v>
      </c>
      <c r="J7572" s="561">
        <v>45947.509090000007</v>
      </c>
      <c r="K7572" s="561">
        <v>5889</v>
      </c>
      <c r="L7572" s="561">
        <v>375797.65366999997</v>
      </c>
      <c r="M7572" s="561">
        <v>375797.65366999997</v>
      </c>
      <c r="N7572" s="561">
        <v>80835.599999999977</v>
      </c>
    </row>
    <row r="7573" spans="1:111">
      <c r="C7573" s="561" t="s">
        <v>1199</v>
      </c>
      <c r="D7573" s="561">
        <v>44983.646336666672</v>
      </c>
      <c r="E7573" s="561">
        <v>8459.9999999999982</v>
      </c>
      <c r="F7573" s="561">
        <v>36523.646336666672</v>
      </c>
      <c r="G7573" s="561">
        <v>2819</v>
      </c>
      <c r="H7573" s="561">
        <v>45563.30689</v>
      </c>
      <c r="I7573" s="561">
        <v>95</v>
      </c>
      <c r="J7573" s="561">
        <v>446.91021999999998</v>
      </c>
      <c r="K7573" s="561">
        <v>2815</v>
      </c>
      <c r="L7573" s="561">
        <v>44983.646336666672</v>
      </c>
      <c r="M7573" s="561">
        <v>44983.646336666672</v>
      </c>
      <c r="N7573" s="561">
        <v>8459.9999999999982</v>
      </c>
      <c r="AL7573" s="561">
        <v>36523.646336666672</v>
      </c>
    </row>
    <row r="7574" spans="1:111">
      <c r="A7574" s="561">
        <v>94</v>
      </c>
      <c r="B7574" s="561" t="s">
        <v>1934</v>
      </c>
      <c r="C7574" s="561" t="s">
        <v>1267</v>
      </c>
      <c r="D7574" s="561">
        <v>162931.5996601177</v>
      </c>
      <c r="E7574" s="561">
        <v>43108.200000000004</v>
      </c>
      <c r="F7574" s="561">
        <v>119823.39939345107</v>
      </c>
      <c r="G7574" s="561">
        <v>5058</v>
      </c>
      <c r="H7574" s="561">
        <v>184351.38691345105</v>
      </c>
      <c r="I7574" s="561">
        <v>409</v>
      </c>
      <c r="J7574" s="561">
        <v>21481.809440000001</v>
      </c>
      <c r="K7574" s="561">
        <v>4939</v>
      </c>
      <c r="L7574" s="561">
        <v>162931.5996601177</v>
      </c>
      <c r="M7574" s="561">
        <v>162931.5996601177</v>
      </c>
      <c r="N7574" s="561">
        <v>43108.200000000004</v>
      </c>
      <c r="O7574" s="561">
        <v>0</v>
      </c>
      <c r="P7574" s="561">
        <v>119823.39966011769</v>
      </c>
    </row>
    <row r="7575" spans="1:111">
      <c r="C7575" s="561" t="s">
        <v>1197</v>
      </c>
      <c r="D7575" s="561">
        <v>118896.96434360149</v>
      </c>
      <c r="E7575" s="561">
        <v>32308.200000000004</v>
      </c>
      <c r="F7575" s="561">
        <v>86588.764073601516</v>
      </c>
      <c r="G7575" s="561">
        <v>2002</v>
      </c>
      <c r="H7575" s="561">
        <v>138499.88139360151</v>
      </c>
      <c r="I7575" s="561">
        <v>290</v>
      </c>
      <c r="J7575" s="561">
        <v>19646.0226</v>
      </c>
      <c r="K7575" s="561">
        <v>1922</v>
      </c>
      <c r="L7575" s="561">
        <v>118896.96434360149</v>
      </c>
      <c r="M7575" s="561">
        <v>118896.96434360149</v>
      </c>
      <c r="N7575" s="561">
        <v>32308.200000000004</v>
      </c>
      <c r="P7575" s="561">
        <v>86588.764343601477</v>
      </c>
    </row>
    <row r="7576" spans="1:111">
      <c r="C7576" s="561" t="s">
        <v>1199</v>
      </c>
      <c r="D7576" s="561">
        <v>44034.635316516222</v>
      </c>
      <c r="E7576" s="561">
        <v>10800</v>
      </c>
      <c r="F7576" s="561">
        <v>33234.635319849549</v>
      </c>
      <c r="G7576" s="561">
        <v>3056</v>
      </c>
      <c r="H7576" s="561">
        <v>45851.505519849547</v>
      </c>
      <c r="I7576" s="561">
        <v>119</v>
      </c>
      <c r="J7576" s="561">
        <v>1835.7868400000002</v>
      </c>
      <c r="K7576" s="561">
        <v>3017</v>
      </c>
      <c r="L7576" s="561">
        <v>44034.635316516222</v>
      </c>
      <c r="M7576" s="561">
        <v>44034.635316516222</v>
      </c>
      <c r="N7576" s="561">
        <v>10800</v>
      </c>
      <c r="AL7576" s="561">
        <v>33234.635316516222</v>
      </c>
    </row>
    <row r="7577" spans="1:111">
      <c r="A7577" s="561">
        <v>95</v>
      </c>
      <c r="B7577" s="561" t="s">
        <v>1935</v>
      </c>
      <c r="C7577" s="561" t="s">
        <v>1267</v>
      </c>
      <c r="D7577" s="561">
        <v>188363.84999166566</v>
      </c>
      <c r="E7577" s="561">
        <v>42612.599999999991</v>
      </c>
      <c r="F7577" s="561">
        <v>145751.24999166565</v>
      </c>
      <c r="G7577" s="561">
        <v>3169</v>
      </c>
      <c r="H7577" s="561">
        <v>196768.85537166565</v>
      </c>
      <c r="I7577" s="561">
        <v>120</v>
      </c>
      <c r="J7577" s="561">
        <v>8465.963389999999</v>
      </c>
      <c r="K7577" s="561">
        <v>3150</v>
      </c>
      <c r="L7577" s="561">
        <v>188363.84999166566</v>
      </c>
      <c r="M7577" s="561">
        <v>188363.84999166566</v>
      </c>
      <c r="N7577" s="561">
        <v>42612.599999999991</v>
      </c>
      <c r="O7577" s="561">
        <v>0</v>
      </c>
      <c r="P7577" s="561">
        <v>145751.24999166565</v>
      </c>
    </row>
    <row r="7578" spans="1:111">
      <c r="C7578" s="561" t="s">
        <v>1197</v>
      </c>
      <c r="D7578" s="561">
        <v>163441.29587937458</v>
      </c>
      <c r="E7578" s="561">
        <v>32680.199999999993</v>
      </c>
      <c r="F7578" s="561">
        <v>130761.09587937458</v>
      </c>
      <c r="G7578" s="561">
        <v>2069</v>
      </c>
      <c r="H7578" s="561">
        <v>171708.99950937458</v>
      </c>
      <c r="I7578" s="561">
        <v>98</v>
      </c>
      <c r="J7578" s="561">
        <v>8328.6690299999991</v>
      </c>
      <c r="K7578" s="561">
        <v>2057</v>
      </c>
      <c r="L7578" s="561">
        <v>163441.29587937458</v>
      </c>
      <c r="M7578" s="561">
        <v>163441.29587937458</v>
      </c>
      <c r="N7578" s="561">
        <v>32680.199999999993</v>
      </c>
    </row>
    <row r="7579" spans="1:111">
      <c r="C7579" s="561" t="s">
        <v>1199</v>
      </c>
      <c r="D7579" s="561">
        <v>16360.196870858244</v>
      </c>
      <c r="E7579" s="561">
        <v>3704.3999999999996</v>
      </c>
      <c r="F7579" s="561">
        <v>12655.796870858245</v>
      </c>
      <c r="G7579" s="561">
        <v>1077</v>
      </c>
      <c r="H7579" s="561">
        <v>16497.498620858241</v>
      </c>
      <c r="I7579" s="561">
        <v>21</v>
      </c>
      <c r="J7579" s="561">
        <v>123.18822999999989</v>
      </c>
      <c r="K7579" s="561">
        <v>1070</v>
      </c>
      <c r="L7579" s="561">
        <v>16360.196870858244</v>
      </c>
      <c r="M7579" s="561">
        <v>16360.196870858244</v>
      </c>
      <c r="N7579" s="561">
        <v>3704.3999999999996</v>
      </c>
      <c r="BD7579" s="561">
        <v>12655.796870858245</v>
      </c>
    </row>
    <row r="7580" spans="1:111">
      <c r="C7580" s="561" t="s">
        <v>1198</v>
      </c>
      <c r="D7580" s="561">
        <v>8562.3572414328337</v>
      </c>
      <c r="E7580" s="561">
        <v>6228</v>
      </c>
      <c r="F7580" s="561">
        <v>2334.3572414328337</v>
      </c>
      <c r="G7580" s="561">
        <v>23</v>
      </c>
      <c r="H7580" s="561">
        <v>8562.3572414328337</v>
      </c>
      <c r="I7580" s="561">
        <v>1</v>
      </c>
      <c r="J7580" s="561">
        <v>14.106129999999999</v>
      </c>
      <c r="K7580" s="561">
        <v>23</v>
      </c>
      <c r="L7580" s="561">
        <v>8562.3572414328337</v>
      </c>
      <c r="M7580" s="561">
        <v>8562.3572414328337</v>
      </c>
      <c r="N7580" s="561">
        <v>6228</v>
      </c>
    </row>
    <row r="7581" spans="1:111">
      <c r="A7581" s="561">
        <v>96</v>
      </c>
      <c r="B7581" s="561" t="s">
        <v>1936</v>
      </c>
      <c r="C7581" s="561" t="s">
        <v>1267</v>
      </c>
      <c r="D7581" s="561">
        <v>12450.000380817111</v>
      </c>
      <c r="E7581" s="561">
        <v>3599.9999999999995</v>
      </c>
      <c r="F7581" s="561">
        <v>8850</v>
      </c>
      <c r="G7581" s="561">
        <v>1002</v>
      </c>
      <c r="H7581" s="561">
        <v>13365.990000817108</v>
      </c>
      <c r="I7581" s="561">
        <v>46</v>
      </c>
      <c r="J7581" s="561">
        <v>906.00351000000001</v>
      </c>
      <c r="K7581" s="561">
        <v>997</v>
      </c>
      <c r="L7581" s="561">
        <v>12450.000380817111</v>
      </c>
      <c r="M7581" s="561">
        <v>12450.000380817111</v>
      </c>
      <c r="N7581" s="561">
        <v>3599.9999999999995</v>
      </c>
      <c r="O7581" s="561">
        <v>0</v>
      </c>
      <c r="P7581" s="561">
        <v>8850.0003808171114</v>
      </c>
    </row>
    <row r="7582" spans="1:111">
      <c r="C7582" s="561" t="s">
        <v>1199</v>
      </c>
      <c r="D7582" s="561">
        <v>12450.000380817111</v>
      </c>
      <c r="E7582" s="561">
        <v>3599.9999999999995</v>
      </c>
      <c r="F7582" s="561">
        <v>8850</v>
      </c>
      <c r="G7582" s="561">
        <v>1002</v>
      </c>
      <c r="H7582" s="561">
        <v>13365.990000817108</v>
      </c>
      <c r="I7582" s="561">
        <v>46</v>
      </c>
      <c r="J7582" s="561">
        <v>906.00351000000001</v>
      </c>
      <c r="K7582" s="561">
        <v>997</v>
      </c>
      <c r="L7582" s="561">
        <v>12450.000380817111</v>
      </c>
      <c r="M7582" s="561">
        <v>12450.000380817111</v>
      </c>
      <c r="N7582" s="561">
        <v>3599.9999999999995</v>
      </c>
      <c r="AL7582" s="561">
        <v>8850.0003808171114</v>
      </c>
    </row>
    <row r="7583" spans="1:111">
      <c r="A7583" s="1683" t="s">
        <v>1937</v>
      </c>
      <c r="B7583" s="1683"/>
      <c r="C7583" s="1683"/>
      <c r="D7583" s="1683"/>
      <c r="E7583" s="1683"/>
      <c r="F7583" s="1683"/>
      <c r="G7583" s="1683"/>
      <c r="H7583" s="1683"/>
      <c r="I7583" s="1683"/>
      <c r="J7583" s="1683"/>
      <c r="K7583" s="1683"/>
      <c r="L7583" s="1683"/>
      <c r="M7583" s="1683"/>
      <c r="N7583" s="1683"/>
      <c r="O7583" s="1683"/>
      <c r="P7583" s="1683"/>
    </row>
    <row r="7584" spans="1:111">
      <c r="A7584" s="1741" t="s">
        <v>1197</v>
      </c>
      <c r="B7584" s="1741"/>
      <c r="C7584" s="1741"/>
      <c r="D7584" s="1741"/>
      <c r="E7584" s="1741"/>
      <c r="F7584" s="1741"/>
      <c r="G7584" s="1741"/>
      <c r="H7584" s="1741"/>
      <c r="I7584" s="1741"/>
      <c r="J7584" s="1741"/>
      <c r="K7584" s="1741"/>
      <c r="L7584" s="1741"/>
      <c r="M7584" s="1741"/>
      <c r="N7584" s="1741"/>
      <c r="O7584" s="1741"/>
      <c r="P7584" s="1741"/>
      <c r="AL7584" s="561">
        <f>SUM(AL7585:AL7789)</f>
        <v>2096991.1873050001</v>
      </c>
      <c r="AM7584" s="561">
        <f t="shared" ref="AM7584:CX7584" si="156">SUM(AM7585:AM7789)</f>
        <v>0</v>
      </c>
      <c r="AN7584" s="561">
        <f t="shared" si="156"/>
        <v>143794.85041000001</v>
      </c>
      <c r="AO7584" s="561">
        <f t="shared" si="156"/>
        <v>0</v>
      </c>
      <c r="AP7584" s="561">
        <f t="shared" si="156"/>
        <v>0</v>
      </c>
      <c r="AQ7584" s="561">
        <f t="shared" si="156"/>
        <v>0</v>
      </c>
      <c r="AR7584" s="561">
        <f t="shared" si="156"/>
        <v>0</v>
      </c>
      <c r="AS7584" s="561">
        <f t="shared" si="156"/>
        <v>0</v>
      </c>
      <c r="AT7584" s="561">
        <f t="shared" si="156"/>
        <v>233871.15731500005</v>
      </c>
      <c r="AU7584" s="561">
        <f t="shared" si="156"/>
        <v>318156.48599999998</v>
      </c>
      <c r="AV7584" s="561">
        <f t="shared" si="156"/>
        <v>0</v>
      </c>
      <c r="AW7584" s="561">
        <f t="shared" si="156"/>
        <v>0</v>
      </c>
      <c r="AX7584" s="561">
        <f t="shared" si="156"/>
        <v>4845601.4382680003</v>
      </c>
      <c r="AY7584" s="561">
        <f t="shared" si="156"/>
        <v>31679.882109999999</v>
      </c>
      <c r="AZ7584" s="561">
        <f t="shared" si="156"/>
        <v>0</v>
      </c>
      <c r="BA7584" s="561">
        <f t="shared" si="156"/>
        <v>0</v>
      </c>
      <c r="BB7584" s="561">
        <f t="shared" si="156"/>
        <v>1505005.6651849998</v>
      </c>
      <c r="BC7584" s="561">
        <f t="shared" si="156"/>
        <v>0</v>
      </c>
      <c r="BD7584" s="561">
        <f t="shared" si="156"/>
        <v>4991909.3128500013</v>
      </c>
      <c r="BE7584" s="561">
        <f t="shared" si="156"/>
        <v>0</v>
      </c>
      <c r="BF7584" s="561">
        <f t="shared" si="156"/>
        <v>0</v>
      </c>
      <c r="BG7584" s="561">
        <f t="shared" si="156"/>
        <v>0</v>
      </c>
      <c r="BH7584" s="561">
        <f t="shared" si="156"/>
        <v>0</v>
      </c>
      <c r="BI7584" s="561">
        <f t="shared" si="156"/>
        <v>0</v>
      </c>
      <c r="BJ7584" s="561">
        <f t="shared" si="156"/>
        <v>0</v>
      </c>
      <c r="BK7584" s="561">
        <f t="shared" si="156"/>
        <v>0</v>
      </c>
      <c r="BL7584" s="561">
        <f t="shared" si="156"/>
        <v>0</v>
      </c>
      <c r="BM7584" s="561">
        <f t="shared" si="156"/>
        <v>0</v>
      </c>
      <c r="BN7584" s="561">
        <f t="shared" si="156"/>
        <v>0</v>
      </c>
      <c r="BO7584" s="561">
        <f t="shared" si="156"/>
        <v>0</v>
      </c>
      <c r="BP7584" s="561">
        <f t="shared" si="156"/>
        <v>0</v>
      </c>
      <c r="BQ7584" s="561">
        <f t="shared" si="156"/>
        <v>0</v>
      </c>
      <c r="BR7584" s="561">
        <f t="shared" si="156"/>
        <v>0</v>
      </c>
      <c r="BS7584" s="561">
        <f t="shared" si="156"/>
        <v>0</v>
      </c>
      <c r="BT7584" s="561">
        <f t="shared" si="156"/>
        <v>0</v>
      </c>
      <c r="BU7584" s="561">
        <f t="shared" si="156"/>
        <v>0</v>
      </c>
      <c r="BV7584" s="561">
        <f t="shared" si="156"/>
        <v>0</v>
      </c>
      <c r="BW7584" s="561">
        <f t="shared" si="156"/>
        <v>0</v>
      </c>
      <c r="BX7584" s="561">
        <f t="shared" si="156"/>
        <v>0</v>
      </c>
      <c r="BY7584" s="561">
        <f t="shared" si="156"/>
        <v>0</v>
      </c>
      <c r="BZ7584" s="561">
        <f t="shared" si="156"/>
        <v>0</v>
      </c>
      <c r="CA7584" s="561">
        <f t="shared" si="156"/>
        <v>0</v>
      </c>
      <c r="CB7584" s="561">
        <f t="shared" si="156"/>
        <v>0</v>
      </c>
      <c r="CC7584" s="561">
        <f t="shared" si="156"/>
        <v>0</v>
      </c>
      <c r="CD7584" s="561">
        <f t="shared" si="156"/>
        <v>0</v>
      </c>
      <c r="CE7584" s="561">
        <f t="shared" si="156"/>
        <v>0</v>
      </c>
      <c r="CF7584" s="561">
        <f t="shared" si="156"/>
        <v>0</v>
      </c>
      <c r="CG7584" s="561">
        <f t="shared" si="156"/>
        <v>0</v>
      </c>
      <c r="CH7584" s="561">
        <f t="shared" si="156"/>
        <v>0</v>
      </c>
      <c r="CI7584" s="561">
        <f t="shared" si="156"/>
        <v>0</v>
      </c>
      <c r="CJ7584" s="561">
        <f t="shared" si="156"/>
        <v>0</v>
      </c>
      <c r="CK7584" s="561">
        <f t="shared" si="156"/>
        <v>0</v>
      </c>
      <c r="CL7584" s="561">
        <f t="shared" si="156"/>
        <v>0</v>
      </c>
      <c r="CM7584" s="561">
        <f t="shared" si="156"/>
        <v>0</v>
      </c>
      <c r="CN7584" s="561">
        <f t="shared" si="156"/>
        <v>0</v>
      </c>
      <c r="CO7584" s="561">
        <f t="shared" si="156"/>
        <v>0</v>
      </c>
      <c r="CP7584" s="561">
        <f t="shared" si="156"/>
        <v>0</v>
      </c>
      <c r="CQ7584" s="561">
        <f t="shared" si="156"/>
        <v>0</v>
      </c>
      <c r="CR7584" s="561">
        <f t="shared" si="156"/>
        <v>0</v>
      </c>
      <c r="CS7584" s="561">
        <f t="shared" si="156"/>
        <v>0</v>
      </c>
      <c r="CT7584" s="561">
        <f t="shared" si="156"/>
        <v>0</v>
      </c>
      <c r="CU7584" s="561">
        <f t="shared" si="156"/>
        <v>0</v>
      </c>
      <c r="CV7584" s="561">
        <f t="shared" si="156"/>
        <v>0</v>
      </c>
      <c r="CW7584" s="561">
        <f t="shared" si="156"/>
        <v>0</v>
      </c>
      <c r="CX7584" s="561">
        <f t="shared" si="156"/>
        <v>0</v>
      </c>
      <c r="CY7584" s="561">
        <f t="shared" ref="CY7584:DG7584" si="157">SUM(CY7585:CY7789)</f>
        <v>0</v>
      </c>
      <c r="CZ7584" s="561">
        <f t="shared" si="157"/>
        <v>0</v>
      </c>
      <c r="DA7584" s="561">
        <f t="shared" si="157"/>
        <v>0</v>
      </c>
      <c r="DB7584" s="561">
        <f t="shared" si="157"/>
        <v>16371.035400000001</v>
      </c>
      <c r="DC7584" s="561">
        <f t="shared" si="157"/>
        <v>0</v>
      </c>
      <c r="DD7584" s="561">
        <f t="shared" si="157"/>
        <v>0</v>
      </c>
      <c r="DE7584" s="561">
        <f t="shared" si="157"/>
        <v>0</v>
      </c>
      <c r="DF7584" s="561">
        <f t="shared" si="157"/>
        <v>0</v>
      </c>
      <c r="DG7584" s="561">
        <f t="shared" si="157"/>
        <v>0</v>
      </c>
    </row>
    <row r="7585" spans="1:56">
      <c r="A7585" s="1736">
        <v>1</v>
      </c>
      <c r="B7585" s="1736" t="s">
        <v>1938</v>
      </c>
      <c r="C7585" s="587" t="s">
        <v>1196</v>
      </c>
      <c r="D7585" s="621">
        <f>D7586+D7587+D7588</f>
        <v>1190715.92221</v>
      </c>
      <c r="E7585" s="621">
        <f t="shared" ref="E7585:Q7585" si="158">E7586+E7587+E7588</f>
        <v>319536.59999999998</v>
      </c>
      <c r="F7585" s="621">
        <f t="shared" si="158"/>
        <v>871179.32221000001</v>
      </c>
      <c r="G7585" s="621">
        <f t="shared" si="158"/>
        <v>16312</v>
      </c>
      <c r="H7585" s="621">
        <f t="shared" si="158"/>
        <v>1289953.7517973888</v>
      </c>
      <c r="I7585" s="621">
        <f t="shared" si="158"/>
        <v>1999</v>
      </c>
      <c r="J7585" s="621">
        <f t="shared" si="158"/>
        <v>67702.17407539126</v>
      </c>
      <c r="K7585" s="621">
        <f t="shared" si="158"/>
        <v>15989</v>
      </c>
      <c r="L7585" s="621">
        <f t="shared" si="158"/>
        <v>1190715.92221</v>
      </c>
      <c r="M7585" s="621">
        <f t="shared" si="158"/>
        <v>1190715.92221</v>
      </c>
      <c r="N7585" s="621">
        <f t="shared" si="158"/>
        <v>319536.59999999998</v>
      </c>
      <c r="O7585" s="621">
        <f t="shared" si="158"/>
        <v>0</v>
      </c>
      <c r="P7585" s="621">
        <f>BD7586+P7587+P7588</f>
        <v>871179.32221000001</v>
      </c>
      <c r="Q7585" s="621">
        <f t="shared" si="158"/>
        <v>871179.32221000001</v>
      </c>
    </row>
    <row r="7586" spans="1:56">
      <c r="A7586" s="1738"/>
      <c r="B7586" s="1738"/>
      <c r="C7586" s="622" t="s">
        <v>1197</v>
      </c>
      <c r="D7586" s="623">
        <v>953773.35986999993</v>
      </c>
      <c r="E7586" s="623">
        <v>271865.75999999995</v>
      </c>
      <c r="F7586" s="623">
        <v>681907.59987000003</v>
      </c>
      <c r="G7586" s="623">
        <v>15042</v>
      </c>
      <c r="H7586" s="623">
        <v>1034405.0816175612</v>
      </c>
      <c r="I7586" s="623">
        <v>1951</v>
      </c>
      <c r="J7586" s="623">
        <v>59822.188870000005</v>
      </c>
      <c r="K7586" s="623">
        <v>14761</v>
      </c>
      <c r="L7586" s="623">
        <v>953773.35986999993</v>
      </c>
      <c r="M7586" s="623">
        <v>953773.35986999993</v>
      </c>
      <c r="N7586" s="623">
        <v>271865.75999999995</v>
      </c>
      <c r="O7586" s="624"/>
      <c r="Q7586" s="623">
        <v>681907.59987000003</v>
      </c>
      <c r="BD7586" s="623">
        <v>681907.59987000003</v>
      </c>
    </row>
    <row r="7587" spans="1:56">
      <c r="A7587" s="1738"/>
      <c r="B7587" s="1738"/>
      <c r="C7587" s="622" t="s">
        <v>1198</v>
      </c>
      <c r="D7587" s="623">
        <v>138229.22871</v>
      </c>
      <c r="E7587" s="623">
        <v>23392.83</v>
      </c>
      <c r="F7587" s="623">
        <v>114836.39870999999</v>
      </c>
      <c r="G7587" s="623">
        <v>256</v>
      </c>
      <c r="H7587" s="623">
        <v>145381.20120080299</v>
      </c>
      <c r="I7587" s="623">
        <v>29</v>
      </c>
      <c r="J7587" s="623">
        <v>7801.0828099999999</v>
      </c>
      <c r="K7587" s="623">
        <v>254</v>
      </c>
      <c r="L7587" s="623">
        <v>138229.22871</v>
      </c>
      <c r="M7587" s="623">
        <v>138229.22871</v>
      </c>
      <c r="N7587" s="623">
        <v>23392.83</v>
      </c>
      <c r="O7587" s="624"/>
      <c r="P7587" s="623">
        <v>114836.39870999999</v>
      </c>
      <c r="Q7587" s="623">
        <v>114836.39870999999</v>
      </c>
    </row>
    <row r="7588" spans="1:56">
      <c r="A7588" s="1737"/>
      <c r="B7588" s="1737"/>
      <c r="C7588" s="622" t="s">
        <v>1199</v>
      </c>
      <c r="D7588" s="623">
        <v>98713.333630000008</v>
      </c>
      <c r="E7588" s="623">
        <v>24278.01</v>
      </c>
      <c r="F7588" s="623">
        <v>74435.323630000014</v>
      </c>
      <c r="G7588" s="623">
        <v>1014</v>
      </c>
      <c r="H7588" s="623">
        <v>110167.46897902449</v>
      </c>
      <c r="I7588" s="623">
        <v>19</v>
      </c>
      <c r="J7588" s="623">
        <v>78.902395391249996</v>
      </c>
      <c r="K7588" s="623">
        <v>974</v>
      </c>
      <c r="L7588" s="623">
        <v>98713.333630000008</v>
      </c>
      <c r="M7588" s="623">
        <v>98713.333630000008</v>
      </c>
      <c r="N7588" s="623">
        <v>24278.01</v>
      </c>
      <c r="O7588" s="624"/>
      <c r="P7588" s="623">
        <v>74435.323630000014</v>
      </c>
      <c r="Q7588" s="623">
        <v>74435.323630000014</v>
      </c>
    </row>
    <row r="7589" spans="1:56">
      <c r="A7589" s="1736">
        <v>2</v>
      </c>
      <c r="B7589" s="1736" t="s">
        <v>1939</v>
      </c>
      <c r="C7589" s="587" t="s">
        <v>1196</v>
      </c>
      <c r="D7589" s="621">
        <f>D7590+D7591</f>
        <v>2696215.3697239999</v>
      </c>
      <c r="E7589" s="621">
        <f t="shared" ref="E7589:Q7589" si="159">E7590+E7591</f>
        <v>509514.6</v>
      </c>
      <c r="F7589" s="621">
        <f t="shared" si="159"/>
        <v>2186700.7697239998</v>
      </c>
      <c r="G7589" s="621">
        <f t="shared" si="159"/>
        <v>11315</v>
      </c>
      <c r="H7589" s="621">
        <f t="shared" si="159"/>
        <v>3033479.9900145363</v>
      </c>
      <c r="I7589" s="621">
        <f t="shared" si="159"/>
        <v>2275</v>
      </c>
      <c r="J7589" s="621">
        <f t="shared" si="159"/>
        <v>295006.57583000005</v>
      </c>
      <c r="K7589" s="621">
        <f t="shared" si="159"/>
        <v>10968</v>
      </c>
      <c r="L7589" s="621">
        <f t="shared" si="159"/>
        <v>2696215.3697239999</v>
      </c>
      <c r="M7589" s="621">
        <f t="shared" si="159"/>
        <v>2696215.3697239999</v>
      </c>
      <c r="N7589" s="621">
        <f t="shared" si="159"/>
        <v>509514.6</v>
      </c>
      <c r="O7589" s="621">
        <f t="shared" si="159"/>
        <v>0</v>
      </c>
      <c r="P7589" s="621">
        <f>AX7590+P7591</f>
        <v>2186700.7697239998</v>
      </c>
      <c r="Q7589" s="621">
        <f t="shared" si="159"/>
        <v>2186700.7697239998</v>
      </c>
    </row>
    <row r="7590" spans="1:56">
      <c r="A7590" s="1738"/>
      <c r="B7590" s="1738"/>
      <c r="C7590" s="622" t="s">
        <v>1197</v>
      </c>
      <c r="D7590" s="623">
        <v>1504832.2239669999</v>
      </c>
      <c r="E7590" s="623">
        <v>317586.84000000003</v>
      </c>
      <c r="F7590" s="623">
        <v>1187245.3839669998</v>
      </c>
      <c r="G7590" s="623">
        <v>10169</v>
      </c>
      <c r="H7590" s="623">
        <v>1707456.1280392602</v>
      </c>
      <c r="I7590" s="623">
        <v>2020</v>
      </c>
      <c r="J7590" s="623">
        <v>158750.38276000004</v>
      </c>
      <c r="K7590" s="623">
        <v>9878</v>
      </c>
      <c r="L7590" s="623">
        <v>1504832.2239669999</v>
      </c>
      <c r="M7590" s="623">
        <v>1504832.2239669999</v>
      </c>
      <c r="N7590" s="623">
        <v>317586.84000000003</v>
      </c>
      <c r="O7590" s="624"/>
      <c r="Q7590" s="623">
        <v>1187245.3839669998</v>
      </c>
      <c r="AX7590" s="623">
        <v>1187245.3839669998</v>
      </c>
    </row>
    <row r="7591" spans="1:56">
      <c r="A7591" s="1737"/>
      <c r="B7591" s="1737"/>
      <c r="C7591" s="622" t="s">
        <v>1198</v>
      </c>
      <c r="D7591" s="623">
        <v>1191383.145757</v>
      </c>
      <c r="E7591" s="623">
        <v>191927.75999999998</v>
      </c>
      <c r="F7591" s="623">
        <v>999455.38575699995</v>
      </c>
      <c r="G7591" s="623">
        <v>1146</v>
      </c>
      <c r="H7591" s="623">
        <v>1326023.8619752759</v>
      </c>
      <c r="I7591" s="623">
        <v>255</v>
      </c>
      <c r="J7591" s="623">
        <v>136256.19307000001</v>
      </c>
      <c r="K7591" s="623">
        <v>1090</v>
      </c>
      <c r="L7591" s="623">
        <v>1191383.145757</v>
      </c>
      <c r="M7591" s="623">
        <v>1191383.145757</v>
      </c>
      <c r="N7591" s="623">
        <v>191927.75999999998</v>
      </c>
      <c r="O7591" s="624"/>
      <c r="P7591" s="623">
        <v>999455.38575699995</v>
      </c>
      <c r="Q7591" s="623">
        <v>999455.38575699995</v>
      </c>
    </row>
    <row r="7592" spans="1:56">
      <c r="A7592" s="1736">
        <f>A7589+1</f>
        <v>3</v>
      </c>
      <c r="B7592" s="1736" t="s">
        <v>1940</v>
      </c>
      <c r="C7592" s="587" t="s">
        <v>1196</v>
      </c>
      <c r="D7592" s="621">
        <f>D7593+D7594</f>
        <v>1039277.27994</v>
      </c>
      <c r="E7592" s="621">
        <f t="shared" ref="E7592:Q7592" si="160">E7593+E7594</f>
        <v>283598.39999999997</v>
      </c>
      <c r="F7592" s="621">
        <f t="shared" si="160"/>
        <v>755678.87994000001</v>
      </c>
      <c r="G7592" s="621">
        <f t="shared" si="160"/>
        <v>18090</v>
      </c>
      <c r="H7592" s="621">
        <f t="shared" si="160"/>
        <v>1107334.1215353741</v>
      </c>
      <c r="I7592" s="621">
        <f t="shared" si="160"/>
        <v>2514</v>
      </c>
      <c r="J7592" s="621">
        <f t="shared" si="160"/>
        <v>60451.789429999997</v>
      </c>
      <c r="K7592" s="621">
        <f t="shared" si="160"/>
        <v>18086</v>
      </c>
      <c r="L7592" s="621">
        <f t="shared" si="160"/>
        <v>1039277.27994</v>
      </c>
      <c r="M7592" s="621">
        <f t="shared" si="160"/>
        <v>1039277.27994</v>
      </c>
      <c r="N7592" s="621">
        <f t="shared" si="160"/>
        <v>283598.39999999997</v>
      </c>
      <c r="O7592" s="621">
        <f t="shared" si="160"/>
        <v>0</v>
      </c>
      <c r="P7592" s="621">
        <f>AX7593+P7594</f>
        <v>755678.87994000001</v>
      </c>
      <c r="Q7592" s="621">
        <f t="shared" si="160"/>
        <v>755678.87994000001</v>
      </c>
    </row>
    <row r="7593" spans="1:56">
      <c r="A7593" s="1738"/>
      <c r="B7593" s="1738"/>
      <c r="C7593" s="622" t="s">
        <v>1197</v>
      </c>
      <c r="D7593" s="623">
        <v>1035569.17293</v>
      </c>
      <c r="E7593" s="623">
        <v>282518.39999999997</v>
      </c>
      <c r="F7593" s="623">
        <v>753050.77292999998</v>
      </c>
      <c r="G7593" s="623">
        <v>17761</v>
      </c>
      <c r="H7593" s="623">
        <v>1103590.7895753847</v>
      </c>
      <c r="I7593" s="623">
        <v>2504</v>
      </c>
      <c r="J7593" s="623">
        <v>60416.923129999996</v>
      </c>
      <c r="K7593" s="623">
        <v>17757</v>
      </c>
      <c r="L7593" s="623">
        <v>1035569.17293</v>
      </c>
      <c r="M7593" s="623">
        <v>1035569.17293</v>
      </c>
      <c r="N7593" s="623">
        <v>282518.39999999997</v>
      </c>
      <c r="O7593" s="624"/>
      <c r="Q7593" s="623">
        <v>753050.77292999998</v>
      </c>
      <c r="AX7593" s="623">
        <v>753050.77292999998</v>
      </c>
    </row>
    <row r="7594" spans="1:56">
      <c r="A7594" s="1737"/>
      <c r="B7594" s="1737"/>
      <c r="C7594" s="622" t="s">
        <v>1199</v>
      </c>
      <c r="D7594" s="623">
        <v>3708.1070099999997</v>
      </c>
      <c r="E7594" s="623">
        <v>1080</v>
      </c>
      <c r="F7594" s="623">
        <v>2628.1070099999997</v>
      </c>
      <c r="G7594" s="623">
        <v>329</v>
      </c>
      <c r="H7594" s="623">
        <v>3743.3319599895003</v>
      </c>
      <c r="I7594" s="623">
        <v>10</v>
      </c>
      <c r="J7594" s="623">
        <v>34.866300000000003</v>
      </c>
      <c r="K7594" s="623">
        <v>329</v>
      </c>
      <c r="L7594" s="623">
        <v>3708.1070099999997</v>
      </c>
      <c r="M7594" s="623">
        <v>3708.1070099999997</v>
      </c>
      <c r="N7594" s="623">
        <v>1080</v>
      </c>
      <c r="O7594" s="624"/>
      <c r="P7594" s="623">
        <v>2628.1070099999997</v>
      </c>
      <c r="Q7594" s="623">
        <v>2628.1070099999997</v>
      </c>
    </row>
    <row r="7595" spans="1:56">
      <c r="A7595" s="1736">
        <v>4</v>
      </c>
      <c r="B7595" s="1736" t="s">
        <v>1941</v>
      </c>
      <c r="C7595" s="587" t="s">
        <v>1196</v>
      </c>
      <c r="D7595" s="621">
        <f>D7596+D7597+D7598</f>
        <v>1891511.2618760001</v>
      </c>
      <c r="E7595" s="621">
        <f t="shared" ref="E7595:Q7595" si="161">E7596+E7597+E7598</f>
        <v>423764.4</v>
      </c>
      <c r="F7595" s="621">
        <f t="shared" si="161"/>
        <v>1467746.861876</v>
      </c>
      <c r="G7595" s="621">
        <f t="shared" si="161"/>
        <v>16470</v>
      </c>
      <c r="H7595" s="621">
        <f t="shared" si="161"/>
        <v>2037016.286848109</v>
      </c>
      <c r="I7595" s="621">
        <f t="shared" si="161"/>
        <v>2768</v>
      </c>
      <c r="J7595" s="621">
        <f t="shared" si="161"/>
        <v>103364.66861616817</v>
      </c>
      <c r="K7595" s="621">
        <f t="shared" si="161"/>
        <v>16088</v>
      </c>
      <c r="L7595" s="621">
        <f t="shared" si="161"/>
        <v>1891511.2618760001</v>
      </c>
      <c r="M7595" s="621">
        <f t="shared" si="161"/>
        <v>1891511.2618760001</v>
      </c>
      <c r="N7595" s="621">
        <f t="shared" si="161"/>
        <v>423764.4</v>
      </c>
      <c r="O7595" s="621">
        <f t="shared" si="161"/>
        <v>0</v>
      </c>
      <c r="P7595" s="621">
        <f>AX7596+P7597+P7598</f>
        <v>1467746.861876</v>
      </c>
      <c r="Q7595" s="621">
        <f t="shared" si="161"/>
        <v>1467746.861876</v>
      </c>
    </row>
    <row r="7596" spans="1:56">
      <c r="A7596" s="1738"/>
      <c r="B7596" s="1738"/>
      <c r="C7596" s="622" t="s">
        <v>1197</v>
      </c>
      <c r="D7596" s="623">
        <v>833701.58627600002</v>
      </c>
      <c r="E7596" s="623">
        <v>315951.69</v>
      </c>
      <c r="F7596" s="623">
        <v>517749.89627600001</v>
      </c>
      <c r="G7596" s="623">
        <v>13585</v>
      </c>
      <c r="H7596" s="623">
        <v>962344.70728999982</v>
      </c>
      <c r="I7596" s="623">
        <v>2599</v>
      </c>
      <c r="J7596" s="623">
        <v>86493.698499999999</v>
      </c>
      <c r="K7596" s="623">
        <v>13212</v>
      </c>
      <c r="L7596" s="623">
        <v>833701.58627600002</v>
      </c>
      <c r="M7596" s="623">
        <v>833701.58627600002</v>
      </c>
      <c r="N7596" s="623">
        <v>315951.69</v>
      </c>
      <c r="O7596" s="624"/>
      <c r="Q7596" s="623">
        <v>517749.89627600001</v>
      </c>
      <c r="AX7596" s="623">
        <v>517749.89627600001</v>
      </c>
    </row>
    <row r="7597" spans="1:56">
      <c r="A7597" s="1738"/>
      <c r="B7597" s="1738"/>
      <c r="C7597" s="622" t="s">
        <v>1198</v>
      </c>
      <c r="D7597" s="623">
        <v>1040600.52616</v>
      </c>
      <c r="E7597" s="623">
        <v>104295.81</v>
      </c>
      <c r="F7597" s="623">
        <v>936304.71616000007</v>
      </c>
      <c r="G7597" s="623">
        <v>1612</v>
      </c>
      <c r="H7597" s="623">
        <v>1057155.578661941</v>
      </c>
      <c r="I7597" s="623">
        <v>92</v>
      </c>
      <c r="J7597" s="623">
        <v>16564.11866</v>
      </c>
      <c r="K7597" s="623">
        <v>1603</v>
      </c>
      <c r="L7597" s="623">
        <v>1040600.52616</v>
      </c>
      <c r="M7597" s="623">
        <v>1040600.52616</v>
      </c>
      <c r="N7597" s="623">
        <v>104295.81</v>
      </c>
      <c r="O7597" s="624"/>
      <c r="P7597" s="623">
        <v>936304.71616000007</v>
      </c>
      <c r="Q7597" s="623">
        <v>936304.71616000007</v>
      </c>
    </row>
    <row r="7598" spans="1:56">
      <c r="A7598" s="1737"/>
      <c r="B7598" s="1737"/>
      <c r="C7598" s="622" t="s">
        <v>1199</v>
      </c>
      <c r="D7598" s="623">
        <v>17209.149440000001</v>
      </c>
      <c r="E7598" s="623">
        <v>3516.9</v>
      </c>
      <c r="F7598" s="623">
        <v>13692.249440000001</v>
      </c>
      <c r="G7598" s="623">
        <v>1273</v>
      </c>
      <c r="H7598" s="623">
        <v>17516.000896168167</v>
      </c>
      <c r="I7598" s="623">
        <v>77</v>
      </c>
      <c r="J7598" s="623">
        <v>306.8514561681659</v>
      </c>
      <c r="K7598" s="623">
        <v>1273</v>
      </c>
      <c r="L7598" s="623">
        <v>17209.149440000001</v>
      </c>
      <c r="M7598" s="623">
        <v>17209.149440000001</v>
      </c>
      <c r="N7598" s="623">
        <v>3516.9</v>
      </c>
      <c r="O7598" s="624"/>
      <c r="P7598" s="623">
        <v>13692.249440000001</v>
      </c>
      <c r="Q7598" s="623">
        <v>13692.249440000001</v>
      </c>
    </row>
    <row r="7599" spans="1:56">
      <c r="A7599" s="1736">
        <v>5</v>
      </c>
      <c r="B7599" s="1736" t="s">
        <v>1942</v>
      </c>
      <c r="C7599" s="587" t="s">
        <v>1196</v>
      </c>
      <c r="D7599" s="621">
        <f>D7600+D7601+D7602+D7603</f>
        <v>1033328.8001400002</v>
      </c>
      <c r="E7599" s="621">
        <f t="shared" ref="E7599:Q7599" si="162">E7600+E7601+E7602+E7603</f>
        <v>285213.3</v>
      </c>
      <c r="F7599" s="621">
        <f t="shared" si="162"/>
        <v>748115.50014000025</v>
      </c>
      <c r="G7599" s="621">
        <f t="shared" si="162"/>
        <v>12324</v>
      </c>
      <c r="H7599" s="621">
        <f t="shared" si="162"/>
        <v>1016201.7351387879</v>
      </c>
      <c r="I7599" s="621">
        <f t="shared" si="162"/>
        <v>979</v>
      </c>
      <c r="J7599" s="621">
        <f t="shared" si="162"/>
        <v>22889.506562427825</v>
      </c>
      <c r="K7599" s="621">
        <f t="shared" si="162"/>
        <v>12300</v>
      </c>
      <c r="L7599" s="621">
        <f t="shared" si="162"/>
        <v>1033328.8001400001</v>
      </c>
      <c r="M7599" s="621">
        <f t="shared" si="162"/>
        <v>1033328.8001400001</v>
      </c>
      <c r="N7599" s="621">
        <f t="shared" si="162"/>
        <v>285213.3</v>
      </c>
      <c r="O7599" s="621">
        <f t="shared" si="162"/>
        <v>0</v>
      </c>
      <c r="P7599" s="621">
        <f>AX7600+P7601+P7602+P7603</f>
        <v>748115.50014000013</v>
      </c>
      <c r="Q7599" s="621">
        <f t="shared" si="162"/>
        <v>748115.50014000013</v>
      </c>
    </row>
    <row r="7600" spans="1:56">
      <c r="A7600" s="1738"/>
      <c r="B7600" s="1738"/>
      <c r="C7600" s="622" t="s">
        <v>1197</v>
      </c>
      <c r="D7600" s="623">
        <v>577907.90060000005</v>
      </c>
      <c r="E7600" s="623">
        <v>173105.30999999997</v>
      </c>
      <c r="F7600" s="623">
        <v>404802.59060000011</v>
      </c>
      <c r="G7600" s="623">
        <v>10230</v>
      </c>
      <c r="H7600" s="623">
        <v>599425.70641635999</v>
      </c>
      <c r="I7600" s="623">
        <v>901</v>
      </c>
      <c r="J7600" s="623">
        <v>19962.274689999998</v>
      </c>
      <c r="K7600" s="623">
        <v>10207</v>
      </c>
      <c r="L7600" s="623">
        <v>578068.21314000001</v>
      </c>
      <c r="M7600" s="623">
        <v>578068.21314000001</v>
      </c>
      <c r="N7600" s="623">
        <v>173105.30999999997</v>
      </c>
      <c r="O7600" s="624"/>
      <c r="Q7600" s="623">
        <v>404962.90314000007</v>
      </c>
      <c r="AX7600" s="623">
        <v>404962.90314000007</v>
      </c>
    </row>
    <row r="7601" spans="1:50">
      <c r="A7601" s="1738"/>
      <c r="B7601" s="1738"/>
      <c r="C7601" s="622" t="s">
        <v>1198</v>
      </c>
      <c r="D7601" s="623">
        <v>424083.08628000011</v>
      </c>
      <c r="E7601" s="623">
        <v>104824.86</v>
      </c>
      <c r="F7601" s="623">
        <v>319258.22628000012</v>
      </c>
      <c r="G7601" s="623">
        <v>103</v>
      </c>
      <c r="H7601" s="623">
        <v>384761.57692000002</v>
      </c>
      <c r="I7601" s="623">
        <v>7</v>
      </c>
      <c r="J7601" s="623">
        <v>2638.2919999999999</v>
      </c>
      <c r="K7601" s="623">
        <v>103</v>
      </c>
      <c r="L7601" s="623">
        <v>424083.08628000011</v>
      </c>
      <c r="M7601" s="623">
        <v>424083.08628000011</v>
      </c>
      <c r="N7601" s="623">
        <v>104824.86</v>
      </c>
      <c r="O7601" s="624"/>
      <c r="P7601" s="623">
        <v>319258.22628000012</v>
      </c>
      <c r="Q7601" s="623">
        <v>319258.22628000012</v>
      </c>
    </row>
    <row r="7602" spans="1:50">
      <c r="A7602" s="1738"/>
      <c r="B7602" s="1738"/>
      <c r="C7602" s="622" t="s">
        <v>1199</v>
      </c>
      <c r="D7602" s="623">
        <v>28206.691600000002</v>
      </c>
      <c r="E7602" s="623">
        <v>7283.1299999999992</v>
      </c>
      <c r="F7602" s="623">
        <v>20923.561600000001</v>
      </c>
      <c r="G7602" s="623">
        <v>1991</v>
      </c>
      <c r="H7602" s="623">
        <v>28495.631472427827</v>
      </c>
      <c r="I7602" s="623">
        <v>71</v>
      </c>
      <c r="J7602" s="623">
        <v>288.93987242782532</v>
      </c>
      <c r="K7602" s="623">
        <v>1990</v>
      </c>
      <c r="L7602" s="623">
        <v>28206.691600000002</v>
      </c>
      <c r="M7602" s="623">
        <v>28206.691600000002</v>
      </c>
      <c r="N7602" s="623">
        <v>7283.1299999999992</v>
      </c>
      <c r="O7602" s="624"/>
      <c r="P7602" s="623">
        <v>20923.561600000001</v>
      </c>
      <c r="Q7602" s="623">
        <v>20923.561600000001</v>
      </c>
    </row>
    <row r="7603" spans="1:50">
      <c r="A7603" s="1737"/>
      <c r="B7603" s="1737"/>
      <c r="C7603" s="625" t="s">
        <v>1202</v>
      </c>
      <c r="D7603" s="623">
        <v>3131.1216599999998</v>
      </c>
      <c r="E7603" s="623"/>
      <c r="F7603" s="623">
        <v>3131.1216599999998</v>
      </c>
      <c r="G7603" s="623"/>
      <c r="H7603" s="623">
        <v>3518.82033</v>
      </c>
      <c r="I7603" s="623"/>
      <c r="J7603" s="623"/>
      <c r="K7603" s="623"/>
      <c r="L7603" s="623">
        <v>2970.8091199999999</v>
      </c>
      <c r="M7603" s="623">
        <v>2970.8091199999999</v>
      </c>
      <c r="N7603" s="623"/>
      <c r="O7603" s="624"/>
      <c r="P7603" s="623">
        <v>2970.8091199999999</v>
      </c>
      <c r="Q7603" s="623">
        <v>2970.8091199999999</v>
      </c>
    </row>
    <row r="7604" spans="1:50">
      <c r="A7604" s="1736">
        <v>6</v>
      </c>
      <c r="B7604" s="1736" t="s">
        <v>1943</v>
      </c>
      <c r="C7604" s="587" t="s">
        <v>1196</v>
      </c>
      <c r="D7604" s="621">
        <f>D7605+D7606+D7607+D7608</f>
        <v>2582783.2913100002</v>
      </c>
      <c r="E7604" s="621">
        <f t="shared" ref="E7604:Q7604" si="163">E7605+E7606+E7607+E7608</f>
        <v>572339.1</v>
      </c>
      <c r="F7604" s="621">
        <f t="shared" si="163"/>
        <v>2010444.1913100004</v>
      </c>
      <c r="G7604" s="621">
        <f t="shared" si="163"/>
        <v>23885</v>
      </c>
      <c r="H7604" s="621">
        <f t="shared" si="163"/>
        <v>2878819.0858847462</v>
      </c>
      <c r="I7604" s="621">
        <f t="shared" si="163"/>
        <v>4733</v>
      </c>
      <c r="J7604" s="621">
        <f t="shared" si="163"/>
        <v>253659.24473999999</v>
      </c>
      <c r="K7604" s="621">
        <f t="shared" si="163"/>
        <v>23184</v>
      </c>
      <c r="L7604" s="621">
        <f t="shared" si="163"/>
        <v>2582781.6727</v>
      </c>
      <c r="M7604" s="621">
        <f t="shared" si="163"/>
        <v>2582781.6727</v>
      </c>
      <c r="N7604" s="621">
        <f t="shared" si="163"/>
        <v>572339.1</v>
      </c>
      <c r="O7604" s="621">
        <f t="shared" si="163"/>
        <v>0</v>
      </c>
      <c r="P7604" s="621">
        <f>AX7605+P7606+P7607+P7608</f>
        <v>2010442.5727000001</v>
      </c>
      <c r="Q7604" s="621">
        <f t="shared" si="163"/>
        <v>2010442.5727000001</v>
      </c>
    </row>
    <row r="7605" spans="1:50">
      <c r="A7605" s="1738"/>
      <c r="B7605" s="1738"/>
      <c r="C7605" s="622" t="s">
        <v>1197</v>
      </c>
      <c r="D7605" s="623">
        <v>1956713.0873900002</v>
      </c>
      <c r="E7605" s="623">
        <v>443508.54000000004</v>
      </c>
      <c r="F7605" s="623">
        <v>1513204.5473900002</v>
      </c>
      <c r="G7605" s="623">
        <v>21670</v>
      </c>
      <c r="H7605" s="623">
        <v>2219927.56115</v>
      </c>
      <c r="I7605" s="623">
        <v>4563</v>
      </c>
      <c r="J7605" s="623">
        <v>217672.10449</v>
      </c>
      <c r="K7605" s="623">
        <v>20998</v>
      </c>
      <c r="L7605" s="623">
        <v>1956892.5581800002</v>
      </c>
      <c r="M7605" s="623">
        <v>1956892.5581800002</v>
      </c>
      <c r="N7605" s="623">
        <v>443508.54000000004</v>
      </c>
      <c r="O7605" s="624"/>
      <c r="Q7605" s="623">
        <v>1513384.0181800001</v>
      </c>
      <c r="AX7605" s="623">
        <v>1513384.0181800001</v>
      </c>
    </row>
    <row r="7606" spans="1:50">
      <c r="A7606" s="1738"/>
      <c r="B7606" s="1738"/>
      <c r="C7606" s="622" t="s">
        <v>1198</v>
      </c>
      <c r="D7606" s="623">
        <v>264465.18222000002</v>
      </c>
      <c r="E7606" s="623">
        <v>39168.54</v>
      </c>
      <c r="F7606" s="623">
        <v>225296.64222000001</v>
      </c>
      <c r="G7606" s="623">
        <v>619</v>
      </c>
      <c r="H7606" s="623">
        <v>281064.16614038404</v>
      </c>
      <c r="I7606" s="623">
        <v>116</v>
      </c>
      <c r="J7606" s="623">
        <v>18558.579429999998</v>
      </c>
      <c r="K7606" s="623">
        <v>605</v>
      </c>
      <c r="L7606" s="623">
        <v>264465.18222000002</v>
      </c>
      <c r="M7606" s="623">
        <v>264465.18222000002</v>
      </c>
      <c r="N7606" s="623">
        <v>39168.54</v>
      </c>
      <c r="O7606" s="624"/>
      <c r="P7606" s="623">
        <v>225296.64222000001</v>
      </c>
      <c r="Q7606" s="623">
        <v>225296.64222000001</v>
      </c>
    </row>
    <row r="7607" spans="1:50">
      <c r="A7607" s="1738"/>
      <c r="B7607" s="1738"/>
      <c r="C7607" s="622" t="s">
        <v>1199</v>
      </c>
      <c r="D7607" s="623">
        <v>358731.87030000001</v>
      </c>
      <c r="E7607" s="623">
        <v>89662.02</v>
      </c>
      <c r="F7607" s="623">
        <v>269069.85029999999</v>
      </c>
      <c r="G7607" s="623">
        <v>1596</v>
      </c>
      <c r="H7607" s="623">
        <v>375135.29659436201</v>
      </c>
      <c r="I7607" s="623">
        <v>54</v>
      </c>
      <c r="J7607" s="623">
        <v>17428.560819999999</v>
      </c>
      <c r="K7607" s="623">
        <v>1581</v>
      </c>
      <c r="L7607" s="623">
        <v>358731.87030000001</v>
      </c>
      <c r="M7607" s="623">
        <v>358731.87030000001</v>
      </c>
      <c r="N7607" s="623">
        <v>89662.02</v>
      </c>
      <c r="O7607" s="624"/>
      <c r="P7607" s="623">
        <v>269069.85029999999</v>
      </c>
      <c r="Q7607" s="623">
        <v>269069.85029999999</v>
      </c>
    </row>
    <row r="7608" spans="1:50">
      <c r="A7608" s="1737"/>
      <c r="B7608" s="1737"/>
      <c r="C7608" s="625" t="s">
        <v>1202</v>
      </c>
      <c r="D7608" s="623">
        <v>2873.1514000000002</v>
      </c>
      <c r="E7608" s="623"/>
      <c r="F7608" s="623">
        <v>2873.1514000000002</v>
      </c>
      <c r="G7608" s="623"/>
      <c r="H7608" s="623">
        <v>2692.0619999999999</v>
      </c>
      <c r="I7608" s="623"/>
      <c r="J7608" s="623"/>
      <c r="K7608" s="623"/>
      <c r="L7608" s="623">
        <v>2692.0619999999999</v>
      </c>
      <c r="M7608" s="623">
        <v>2692.0619999999999</v>
      </c>
      <c r="N7608" s="623"/>
      <c r="O7608" s="624"/>
      <c r="P7608" s="623">
        <v>2692.0619999999999</v>
      </c>
      <c r="Q7608" s="623">
        <v>2692.0619999999999</v>
      </c>
    </row>
    <row r="7609" spans="1:50">
      <c r="A7609" s="1736">
        <v>7</v>
      </c>
      <c r="B7609" s="1736" t="s">
        <v>1944</v>
      </c>
      <c r="C7609" s="587" t="s">
        <v>1196</v>
      </c>
      <c r="D7609" s="621">
        <f>D7610+D7611</f>
        <v>70498.453199999989</v>
      </c>
      <c r="E7609" s="621">
        <f t="shared" ref="E7609:Q7609" si="164">E7610+E7611</f>
        <v>17360.099999999999</v>
      </c>
      <c r="F7609" s="621">
        <f t="shared" si="164"/>
        <v>53138.353199999998</v>
      </c>
      <c r="G7609" s="621">
        <f t="shared" si="164"/>
        <v>1847</v>
      </c>
      <c r="H7609" s="621">
        <f t="shared" si="164"/>
        <v>81233.944456102006</v>
      </c>
      <c r="I7609" s="621">
        <f t="shared" si="164"/>
        <v>171</v>
      </c>
      <c r="J7609" s="621">
        <f t="shared" si="164"/>
        <v>4845.0725572580041</v>
      </c>
      <c r="K7609" s="621">
        <f t="shared" si="164"/>
        <v>1847</v>
      </c>
      <c r="L7609" s="621">
        <f t="shared" si="164"/>
        <v>70498.453199999989</v>
      </c>
      <c r="M7609" s="621">
        <f t="shared" si="164"/>
        <v>70498.453199999989</v>
      </c>
      <c r="N7609" s="621">
        <f t="shared" si="164"/>
        <v>17360.099999999999</v>
      </c>
      <c r="O7609" s="621">
        <f t="shared" si="164"/>
        <v>0</v>
      </c>
      <c r="P7609" s="621">
        <f>AL7610+P7611</f>
        <v>53138.353199999998</v>
      </c>
      <c r="Q7609" s="621">
        <f t="shared" si="164"/>
        <v>53138.353199999998</v>
      </c>
    </row>
    <row r="7610" spans="1:50">
      <c r="A7610" s="1738"/>
      <c r="B7610" s="1738"/>
      <c r="C7610" s="622" t="s">
        <v>1197</v>
      </c>
      <c r="D7610" s="623">
        <v>59630.222579999994</v>
      </c>
      <c r="E7610" s="623">
        <v>13569.21</v>
      </c>
      <c r="F7610" s="623">
        <v>46061.012579999995</v>
      </c>
      <c r="G7610" s="623">
        <v>953</v>
      </c>
      <c r="H7610" s="623">
        <v>70289.42124884401</v>
      </c>
      <c r="I7610" s="623">
        <v>153</v>
      </c>
      <c r="J7610" s="623">
        <v>4768.7799700000005</v>
      </c>
      <c r="K7610" s="623">
        <v>953</v>
      </c>
      <c r="L7610" s="623">
        <v>59630.222579999994</v>
      </c>
      <c r="M7610" s="623">
        <v>59630.222579999994</v>
      </c>
      <c r="N7610" s="623">
        <v>13569.21</v>
      </c>
      <c r="O7610" s="624"/>
      <c r="Q7610" s="623">
        <v>46061.012579999995</v>
      </c>
      <c r="AL7610" s="623">
        <v>46061.012579999995</v>
      </c>
    </row>
    <row r="7611" spans="1:50">
      <c r="A7611" s="1737"/>
      <c r="B7611" s="1737"/>
      <c r="C7611" s="622" t="s">
        <v>1199</v>
      </c>
      <c r="D7611" s="623">
        <v>10868.23062</v>
      </c>
      <c r="E7611" s="623">
        <v>3790.8899999999994</v>
      </c>
      <c r="F7611" s="623">
        <v>7077.3406200000009</v>
      </c>
      <c r="G7611" s="623">
        <v>894</v>
      </c>
      <c r="H7611" s="623">
        <v>10944.523207258004</v>
      </c>
      <c r="I7611" s="623">
        <v>18</v>
      </c>
      <c r="J7611" s="623">
        <v>76.29258725800355</v>
      </c>
      <c r="K7611" s="623">
        <v>894</v>
      </c>
      <c r="L7611" s="623">
        <v>10868.23062</v>
      </c>
      <c r="M7611" s="623">
        <v>10868.23062</v>
      </c>
      <c r="N7611" s="623">
        <v>3790.8899999999994</v>
      </c>
      <c r="O7611" s="624"/>
      <c r="P7611" s="623">
        <v>7077.3406200000009</v>
      </c>
      <c r="Q7611" s="623">
        <v>7077.3406200000009</v>
      </c>
    </row>
    <row r="7612" spans="1:50">
      <c r="A7612" s="1736">
        <v>8</v>
      </c>
      <c r="B7612" s="1736" t="s">
        <v>1945</v>
      </c>
      <c r="C7612" s="587" t="s">
        <v>1196</v>
      </c>
      <c r="D7612" s="621">
        <f>D7613+D7614</f>
        <v>91124.373240000001</v>
      </c>
      <c r="E7612" s="621">
        <f t="shared" ref="E7612:Q7612" si="165">E7613+E7614</f>
        <v>23187.9</v>
      </c>
      <c r="F7612" s="621">
        <f t="shared" si="165"/>
        <v>67936.473239999992</v>
      </c>
      <c r="G7612" s="621">
        <f t="shared" si="165"/>
        <v>2459</v>
      </c>
      <c r="H7612" s="621">
        <f t="shared" si="165"/>
        <v>115633.97008837135</v>
      </c>
      <c r="I7612" s="621">
        <f t="shared" si="165"/>
        <v>965</v>
      </c>
      <c r="J7612" s="621">
        <f t="shared" si="165"/>
        <v>24130.561597957352</v>
      </c>
      <c r="K7612" s="621">
        <f t="shared" si="165"/>
        <v>2453</v>
      </c>
      <c r="L7612" s="621">
        <f t="shared" si="165"/>
        <v>91124.373240000001</v>
      </c>
      <c r="M7612" s="621">
        <f t="shared" si="165"/>
        <v>91124.373240000001</v>
      </c>
      <c r="N7612" s="621">
        <f t="shared" si="165"/>
        <v>23187.9</v>
      </c>
      <c r="O7612" s="621">
        <f t="shared" si="165"/>
        <v>0</v>
      </c>
      <c r="P7612" s="621">
        <f>AL7613+P7614</f>
        <v>67936.473239999992</v>
      </c>
      <c r="Q7612" s="621">
        <f t="shared" si="165"/>
        <v>67936.473239999992</v>
      </c>
    </row>
    <row r="7613" spans="1:50">
      <c r="A7613" s="1738"/>
      <c r="B7613" s="1738"/>
      <c r="C7613" s="622" t="s">
        <v>1197</v>
      </c>
      <c r="D7613" s="623">
        <v>48108.302159999999</v>
      </c>
      <c r="E7613" s="623">
        <v>15755.4</v>
      </c>
      <c r="F7613" s="623">
        <v>32352.902159999998</v>
      </c>
      <c r="G7613" s="623">
        <v>882</v>
      </c>
      <c r="H7613" s="623">
        <v>52903.298860413997</v>
      </c>
      <c r="I7613" s="623">
        <v>193</v>
      </c>
      <c r="J7613" s="623">
        <v>4415.9614499999998</v>
      </c>
      <c r="K7613" s="623">
        <v>879</v>
      </c>
      <c r="L7613" s="623">
        <v>48108.302159999999</v>
      </c>
      <c r="M7613" s="623">
        <v>48108.302159999999</v>
      </c>
      <c r="N7613" s="623">
        <v>15755.4</v>
      </c>
      <c r="O7613" s="624"/>
      <c r="Q7613" s="623">
        <v>32352.902159999998</v>
      </c>
      <c r="AL7613" s="623">
        <v>32352.902159999998</v>
      </c>
    </row>
    <row r="7614" spans="1:50">
      <c r="A7614" s="1737"/>
      <c r="B7614" s="1737"/>
      <c r="C7614" s="622" t="s">
        <v>1199</v>
      </c>
      <c r="D7614" s="623">
        <v>43016.071080000002</v>
      </c>
      <c r="E7614" s="623">
        <v>7432.5</v>
      </c>
      <c r="F7614" s="623">
        <v>35583.571080000002</v>
      </c>
      <c r="G7614" s="623">
        <v>1577</v>
      </c>
      <c r="H7614" s="623">
        <v>62730.671227957355</v>
      </c>
      <c r="I7614" s="623">
        <v>772</v>
      </c>
      <c r="J7614" s="623">
        <v>19714.600147957353</v>
      </c>
      <c r="K7614" s="623">
        <v>1574</v>
      </c>
      <c r="L7614" s="623">
        <v>43016.071080000002</v>
      </c>
      <c r="M7614" s="623">
        <v>43016.071080000002</v>
      </c>
      <c r="N7614" s="623">
        <v>7432.5</v>
      </c>
      <c r="O7614" s="624"/>
      <c r="P7614" s="623">
        <v>35583.571080000002</v>
      </c>
      <c r="Q7614" s="623">
        <v>35583.571080000002</v>
      </c>
    </row>
    <row r="7615" spans="1:50">
      <c r="A7615" s="628">
        <v>9</v>
      </c>
      <c r="B7615" s="1736" t="s">
        <v>1946</v>
      </c>
      <c r="C7615" s="587" t="s">
        <v>1196</v>
      </c>
      <c r="D7615" s="621">
        <f>D7616+D7617</f>
        <v>883407.68201999995</v>
      </c>
      <c r="E7615" s="621">
        <f t="shared" ref="E7615:Q7615" si="166">E7616+E7617</f>
        <v>237130.19999999998</v>
      </c>
      <c r="F7615" s="621">
        <f t="shared" si="166"/>
        <v>646277.48202</v>
      </c>
      <c r="G7615" s="621">
        <f t="shared" si="166"/>
        <v>13970</v>
      </c>
      <c r="H7615" s="621">
        <f t="shared" si="166"/>
        <v>932831.44111859147</v>
      </c>
      <c r="I7615" s="621">
        <f t="shared" si="166"/>
        <v>2319</v>
      </c>
      <c r="J7615" s="621">
        <f t="shared" si="166"/>
        <v>41597.939199999993</v>
      </c>
      <c r="K7615" s="621">
        <f t="shared" si="166"/>
        <v>13975</v>
      </c>
      <c r="L7615" s="621">
        <f t="shared" si="166"/>
        <v>883407.68201999995</v>
      </c>
      <c r="M7615" s="621">
        <f t="shared" si="166"/>
        <v>883407.68201999995</v>
      </c>
      <c r="N7615" s="621">
        <f t="shared" si="166"/>
        <v>237130.19999999998</v>
      </c>
      <c r="O7615" s="621">
        <f t="shared" si="166"/>
        <v>0</v>
      </c>
      <c r="P7615" s="621">
        <f>AL7616+P7617</f>
        <v>646277.48202</v>
      </c>
      <c r="Q7615" s="621">
        <f t="shared" si="166"/>
        <v>646277.48202</v>
      </c>
    </row>
    <row r="7616" spans="1:50">
      <c r="A7616" s="630"/>
      <c r="B7616" s="1738"/>
      <c r="C7616" s="622" t="s">
        <v>1197</v>
      </c>
      <c r="D7616" s="623">
        <v>869745.19540999993</v>
      </c>
      <c r="E7616" s="623">
        <v>234455.61</v>
      </c>
      <c r="F7616" s="623">
        <v>635289.58540999994</v>
      </c>
      <c r="G7616" s="623">
        <v>13924</v>
      </c>
      <c r="H7616" s="623">
        <v>918379.10845632164</v>
      </c>
      <c r="I7616" s="623">
        <v>2312</v>
      </c>
      <c r="J7616" s="623">
        <v>39207.582449999994</v>
      </c>
      <c r="K7616" s="623">
        <v>13930</v>
      </c>
      <c r="L7616" s="623">
        <v>869745.19540999993</v>
      </c>
      <c r="M7616" s="623">
        <v>869745.19540999993</v>
      </c>
      <c r="N7616" s="623">
        <v>234455.61</v>
      </c>
      <c r="O7616" s="624"/>
      <c r="Q7616" s="623">
        <v>635289.58540999994</v>
      </c>
      <c r="AL7616" s="623">
        <v>635289.58540999994</v>
      </c>
    </row>
    <row r="7617" spans="1:54">
      <c r="A7617" s="629"/>
      <c r="B7617" s="1737"/>
      <c r="C7617" s="622" t="s">
        <v>1198</v>
      </c>
      <c r="D7617" s="623">
        <v>13662.486609999996</v>
      </c>
      <c r="E7617" s="623">
        <v>2674.5899999999997</v>
      </c>
      <c r="F7617" s="623">
        <v>10987.896609999996</v>
      </c>
      <c r="G7617" s="623">
        <v>46</v>
      </c>
      <c r="H7617" s="623">
        <v>14452.3326622698</v>
      </c>
      <c r="I7617" s="623">
        <v>7</v>
      </c>
      <c r="J7617" s="623">
        <v>2390.3567499999999</v>
      </c>
      <c r="K7617" s="623">
        <v>45</v>
      </c>
      <c r="L7617" s="623">
        <v>13662.486609999996</v>
      </c>
      <c r="M7617" s="623">
        <v>13662.486609999996</v>
      </c>
      <c r="N7617" s="623">
        <v>2674.5899999999997</v>
      </c>
      <c r="O7617" s="624"/>
      <c r="P7617" s="623">
        <v>10987.896609999996</v>
      </c>
      <c r="Q7617" s="623">
        <v>10987.896609999996</v>
      </c>
    </row>
    <row r="7618" spans="1:54">
      <c r="A7618" s="1736">
        <v>10</v>
      </c>
      <c r="B7618" s="1736" t="s">
        <v>1947</v>
      </c>
      <c r="C7618" s="587" t="s">
        <v>1196</v>
      </c>
      <c r="D7618" s="621">
        <f>D7619+D7620</f>
        <v>640382.65419000003</v>
      </c>
      <c r="E7618" s="621">
        <f t="shared" ref="E7618:Q7618" si="167">E7619+E7620</f>
        <v>168112.5</v>
      </c>
      <c r="F7618" s="621">
        <f t="shared" si="167"/>
        <v>472270.15419000003</v>
      </c>
      <c r="G7618" s="621">
        <f t="shared" si="167"/>
        <v>9393</v>
      </c>
      <c r="H7618" s="621">
        <f t="shared" si="167"/>
        <v>686753.90919298353</v>
      </c>
      <c r="I7618" s="621">
        <f t="shared" si="167"/>
        <v>1158</v>
      </c>
      <c r="J7618" s="621">
        <f t="shared" si="167"/>
        <v>47027.631118950325</v>
      </c>
      <c r="K7618" s="621">
        <f t="shared" si="167"/>
        <v>9385</v>
      </c>
      <c r="L7618" s="621">
        <f t="shared" si="167"/>
        <v>640382.65419000003</v>
      </c>
      <c r="M7618" s="621">
        <f t="shared" si="167"/>
        <v>640382.65419000003</v>
      </c>
      <c r="N7618" s="621">
        <f t="shared" si="167"/>
        <v>168112.5</v>
      </c>
      <c r="O7618" s="621">
        <f t="shared" si="167"/>
        <v>0</v>
      </c>
      <c r="P7618" s="621">
        <f>AX7619+P7620</f>
        <v>472270.15419000003</v>
      </c>
      <c r="Q7618" s="621">
        <f t="shared" si="167"/>
        <v>472270.15419000003</v>
      </c>
    </row>
    <row r="7619" spans="1:54">
      <c r="A7619" s="1738"/>
      <c r="B7619" s="1738"/>
      <c r="C7619" s="622" t="s">
        <v>1197</v>
      </c>
      <c r="D7619" s="623">
        <v>637049.763775</v>
      </c>
      <c r="E7619" s="623">
        <v>167841.3</v>
      </c>
      <c r="F7619" s="623">
        <v>469208.46377500001</v>
      </c>
      <c r="G7619" s="623">
        <v>9334</v>
      </c>
      <c r="H7619" s="623">
        <v>683242.01628903323</v>
      </c>
      <c r="I7619" s="623">
        <v>1154</v>
      </c>
      <c r="J7619" s="623">
        <v>46848.628629999992</v>
      </c>
      <c r="K7619" s="623">
        <v>9326</v>
      </c>
      <c r="L7619" s="623">
        <v>637049.763775</v>
      </c>
      <c r="M7619" s="623">
        <v>637049.763775</v>
      </c>
      <c r="N7619" s="623">
        <v>167841.3</v>
      </c>
      <c r="O7619" s="624"/>
      <c r="Q7619" s="623">
        <v>469208.46377500001</v>
      </c>
      <c r="AX7619" s="623">
        <v>469208.46377500001</v>
      </c>
    </row>
    <row r="7620" spans="1:54">
      <c r="A7620" s="1737"/>
      <c r="B7620" s="1737"/>
      <c r="C7620" s="622" t="s">
        <v>1199</v>
      </c>
      <c r="D7620" s="623">
        <v>3332.8904149999998</v>
      </c>
      <c r="E7620" s="623">
        <v>271.2</v>
      </c>
      <c r="F7620" s="623">
        <v>3061.690415</v>
      </c>
      <c r="G7620" s="623">
        <v>59</v>
      </c>
      <c r="H7620" s="623">
        <v>3511.8929039503328</v>
      </c>
      <c r="I7620" s="623">
        <v>4</v>
      </c>
      <c r="J7620" s="623">
        <v>179.00248895033292</v>
      </c>
      <c r="K7620" s="623">
        <v>59</v>
      </c>
      <c r="L7620" s="623">
        <v>3332.8904149999998</v>
      </c>
      <c r="M7620" s="623">
        <v>3332.8904149999998</v>
      </c>
      <c r="N7620" s="623">
        <v>271.2</v>
      </c>
      <c r="O7620" s="624"/>
      <c r="P7620" s="623">
        <v>3061.690415</v>
      </c>
      <c r="Q7620" s="623">
        <v>3061.690415</v>
      </c>
    </row>
    <row r="7621" spans="1:54">
      <c r="A7621" s="1736">
        <v>11</v>
      </c>
      <c r="B7621" s="1736" t="s">
        <v>1948</v>
      </c>
      <c r="C7621" s="587" t="s">
        <v>1196</v>
      </c>
      <c r="D7621" s="621">
        <f>D7622+D7623</f>
        <v>194366.00000000003</v>
      </c>
      <c r="E7621" s="621">
        <f t="shared" ref="E7621:Q7621" si="168">E7622+E7623</f>
        <v>53809.799999999996</v>
      </c>
      <c r="F7621" s="621">
        <f t="shared" si="168"/>
        <v>140556.20000000001</v>
      </c>
      <c r="G7621" s="621">
        <f t="shared" si="168"/>
        <v>3125</v>
      </c>
      <c r="H7621" s="621">
        <f t="shared" si="168"/>
        <v>231000.23217277837</v>
      </c>
      <c r="I7621" s="621">
        <f t="shared" si="168"/>
        <v>484</v>
      </c>
      <c r="J7621" s="621">
        <f t="shared" si="168"/>
        <v>22604.313041868329</v>
      </c>
      <c r="K7621" s="621">
        <f t="shared" si="168"/>
        <v>3121</v>
      </c>
      <c r="L7621" s="621">
        <f t="shared" si="168"/>
        <v>194366.00000000003</v>
      </c>
      <c r="M7621" s="621">
        <f t="shared" si="168"/>
        <v>194366.00000000003</v>
      </c>
      <c r="N7621" s="621">
        <f t="shared" si="168"/>
        <v>53809.799999999996</v>
      </c>
      <c r="O7621" s="621">
        <f t="shared" si="168"/>
        <v>0</v>
      </c>
      <c r="P7621" s="621">
        <f>AL7622+P7623</f>
        <v>140556.20000000001</v>
      </c>
      <c r="Q7621" s="621">
        <f t="shared" si="168"/>
        <v>140556.20000000001</v>
      </c>
    </row>
    <row r="7622" spans="1:54">
      <c r="A7622" s="1738"/>
      <c r="B7622" s="1738"/>
      <c r="C7622" s="622" t="s">
        <v>1197</v>
      </c>
      <c r="D7622" s="623">
        <v>189711.23476000002</v>
      </c>
      <c r="E7622" s="623">
        <v>52378.2</v>
      </c>
      <c r="F7622" s="623">
        <v>137333.03476000001</v>
      </c>
      <c r="G7622" s="623">
        <v>2816</v>
      </c>
      <c r="H7622" s="623">
        <v>226183.31464091004</v>
      </c>
      <c r="I7622" s="623">
        <v>456</v>
      </c>
      <c r="J7622" s="623">
        <v>22442.160749999995</v>
      </c>
      <c r="K7622" s="623">
        <v>2812</v>
      </c>
      <c r="L7622" s="623">
        <v>189711.23476000002</v>
      </c>
      <c r="M7622" s="623">
        <v>189711.23476000002</v>
      </c>
      <c r="N7622" s="623">
        <v>52378.2</v>
      </c>
      <c r="O7622" s="624"/>
      <c r="Q7622" s="623">
        <v>137333.03476000001</v>
      </c>
      <c r="AL7622" s="623">
        <v>137333.03476000001</v>
      </c>
    </row>
    <row r="7623" spans="1:54">
      <c r="A7623" s="1737"/>
      <c r="B7623" s="1737"/>
      <c r="C7623" s="622" t="s">
        <v>1199</v>
      </c>
      <c r="D7623" s="623">
        <v>4654.7652400000006</v>
      </c>
      <c r="E7623" s="623">
        <v>1431.6</v>
      </c>
      <c r="F7623" s="623">
        <v>3223.1652400000007</v>
      </c>
      <c r="G7623" s="623">
        <v>309</v>
      </c>
      <c r="H7623" s="623">
        <v>4816.9175318683328</v>
      </c>
      <c r="I7623" s="623">
        <v>28</v>
      </c>
      <c r="J7623" s="623">
        <v>162.15229186833221</v>
      </c>
      <c r="K7623" s="623">
        <v>309</v>
      </c>
      <c r="L7623" s="623">
        <v>4654.7652400000006</v>
      </c>
      <c r="M7623" s="623">
        <v>4654.7652400000006</v>
      </c>
      <c r="N7623" s="623">
        <v>1431.6</v>
      </c>
      <c r="O7623" s="624"/>
      <c r="P7623" s="623">
        <v>3223.1652400000007</v>
      </c>
      <c r="Q7623" s="623">
        <v>3223.1652400000007</v>
      </c>
    </row>
    <row r="7624" spans="1:54">
      <c r="A7624" s="1736">
        <v>12</v>
      </c>
      <c r="B7624" s="1736" t="s">
        <v>1949</v>
      </c>
      <c r="C7624" s="587" t="s">
        <v>1196</v>
      </c>
      <c r="D7624" s="621">
        <f>D7625+D7626</f>
        <v>49269.557069999995</v>
      </c>
      <c r="E7624" s="621">
        <f t="shared" ref="E7624:Q7624" si="169">E7625+E7626</f>
        <v>15144</v>
      </c>
      <c r="F7624" s="621">
        <f t="shared" si="169"/>
        <v>34125.557069999995</v>
      </c>
      <c r="G7624" s="621">
        <f t="shared" si="169"/>
        <v>949</v>
      </c>
      <c r="H7624" s="621">
        <f t="shared" si="169"/>
        <v>50063.012228180181</v>
      </c>
      <c r="I7624" s="621">
        <f t="shared" si="169"/>
        <v>47</v>
      </c>
      <c r="J7624" s="621">
        <f t="shared" si="169"/>
        <v>793.25189999999998</v>
      </c>
      <c r="K7624" s="621">
        <f t="shared" si="169"/>
        <v>949</v>
      </c>
      <c r="L7624" s="621">
        <f t="shared" si="169"/>
        <v>49269.557069999995</v>
      </c>
      <c r="M7624" s="621">
        <f t="shared" si="169"/>
        <v>49269.557069999995</v>
      </c>
      <c r="N7624" s="621">
        <f t="shared" si="169"/>
        <v>15144</v>
      </c>
      <c r="O7624" s="621">
        <f t="shared" si="169"/>
        <v>0</v>
      </c>
      <c r="P7624" s="621">
        <f>AY7625+P7626</f>
        <v>34125.557069999995</v>
      </c>
      <c r="Q7624" s="621">
        <f t="shared" si="169"/>
        <v>34125.557069999995</v>
      </c>
    </row>
    <row r="7625" spans="1:54">
      <c r="A7625" s="1738"/>
      <c r="B7625" s="1738"/>
      <c r="C7625" s="622" t="s">
        <v>1197</v>
      </c>
      <c r="D7625" s="623">
        <v>45851.342109999998</v>
      </c>
      <c r="E7625" s="623">
        <v>14171.46</v>
      </c>
      <c r="F7625" s="623">
        <v>31679.882109999999</v>
      </c>
      <c r="G7625" s="623">
        <v>700</v>
      </c>
      <c r="H7625" s="623">
        <v>46600.273538522182</v>
      </c>
      <c r="I7625" s="623">
        <v>38</v>
      </c>
      <c r="J7625" s="623">
        <v>748.59915000000001</v>
      </c>
      <c r="K7625" s="623">
        <v>700</v>
      </c>
      <c r="L7625" s="623">
        <v>45851.342109999998</v>
      </c>
      <c r="M7625" s="623">
        <v>45851.342109999998</v>
      </c>
      <c r="N7625" s="623">
        <v>14171.46</v>
      </c>
      <c r="O7625" s="624"/>
      <c r="Q7625" s="623">
        <v>31679.882109999999</v>
      </c>
      <c r="AY7625" s="623">
        <v>31679.882109999999</v>
      </c>
    </row>
    <row r="7626" spans="1:54">
      <c r="A7626" s="1737"/>
      <c r="B7626" s="1737"/>
      <c r="C7626" s="622" t="s">
        <v>1199</v>
      </c>
      <c r="D7626" s="623">
        <v>3418.2149600000002</v>
      </c>
      <c r="E7626" s="623">
        <v>972.54</v>
      </c>
      <c r="F7626" s="623">
        <v>2445.6749600000003</v>
      </c>
      <c r="G7626" s="623">
        <v>249</v>
      </c>
      <c r="H7626" s="623">
        <v>3462.7386896580006</v>
      </c>
      <c r="I7626" s="623">
        <v>9</v>
      </c>
      <c r="J7626" s="623">
        <v>44.652749999999997</v>
      </c>
      <c r="K7626" s="623">
        <v>249</v>
      </c>
      <c r="L7626" s="623">
        <v>3418.2149600000002</v>
      </c>
      <c r="M7626" s="623">
        <v>3418.2149600000002</v>
      </c>
      <c r="N7626" s="623">
        <v>972.54</v>
      </c>
      <c r="O7626" s="624"/>
      <c r="P7626" s="623">
        <v>2445.6749600000003</v>
      </c>
      <c r="Q7626" s="623">
        <v>2445.6749600000003</v>
      </c>
    </row>
    <row r="7627" spans="1:54">
      <c r="A7627" s="1736">
        <v>13</v>
      </c>
      <c r="B7627" s="1736" t="s">
        <v>1950</v>
      </c>
      <c r="C7627" s="587" t="s">
        <v>1196</v>
      </c>
      <c r="D7627" s="621">
        <f>D7628+D7629</f>
        <v>762603.58092999994</v>
      </c>
      <c r="E7627" s="621">
        <f t="shared" ref="E7627:Q7627" si="170">E7628+E7629</f>
        <v>218278.5</v>
      </c>
      <c r="F7627" s="621">
        <f t="shared" si="170"/>
        <v>544325.08093000005</v>
      </c>
      <c r="G7627" s="621">
        <f t="shared" si="170"/>
        <v>10118</v>
      </c>
      <c r="H7627" s="621">
        <f t="shared" si="170"/>
        <v>807741.65102689294</v>
      </c>
      <c r="I7627" s="621">
        <f t="shared" si="170"/>
        <v>1692</v>
      </c>
      <c r="J7627" s="621">
        <f t="shared" si="170"/>
        <v>72517.244019999998</v>
      </c>
      <c r="K7627" s="621">
        <f t="shared" si="170"/>
        <v>10090</v>
      </c>
      <c r="L7627" s="621">
        <f t="shared" si="170"/>
        <v>762603.58092999994</v>
      </c>
      <c r="M7627" s="621">
        <f t="shared" si="170"/>
        <v>762603.58092999994</v>
      </c>
      <c r="N7627" s="621">
        <f t="shared" si="170"/>
        <v>218278.5</v>
      </c>
      <c r="O7627" s="621">
        <f t="shared" si="170"/>
        <v>0</v>
      </c>
      <c r="P7627" s="621">
        <f>BB7628+P7629</f>
        <v>544325.08093000005</v>
      </c>
      <c r="Q7627" s="621">
        <f t="shared" si="170"/>
        <v>544325.08093000005</v>
      </c>
    </row>
    <row r="7628" spans="1:54">
      <c r="A7628" s="1738"/>
      <c r="B7628" s="1738"/>
      <c r="C7628" s="622" t="s">
        <v>1197</v>
      </c>
      <c r="D7628" s="623">
        <v>761301.14147999999</v>
      </c>
      <c r="E7628" s="623">
        <v>217978.35</v>
      </c>
      <c r="F7628" s="623">
        <v>543322.79148000001</v>
      </c>
      <c r="G7628" s="623">
        <v>10051</v>
      </c>
      <c r="H7628" s="623">
        <v>806422.03381018643</v>
      </c>
      <c r="I7628" s="623">
        <v>1689</v>
      </c>
      <c r="J7628" s="623">
        <v>72500.244019999998</v>
      </c>
      <c r="K7628" s="623">
        <v>10023</v>
      </c>
      <c r="L7628" s="623">
        <v>761301.14147999999</v>
      </c>
      <c r="M7628" s="623">
        <v>761301.14147999999</v>
      </c>
      <c r="N7628" s="623">
        <v>217978.35</v>
      </c>
      <c r="O7628" s="624"/>
      <c r="Q7628" s="623">
        <v>543322.79148000001</v>
      </c>
      <c r="BB7628" s="623">
        <v>543322.79148000001</v>
      </c>
    </row>
    <row r="7629" spans="1:54">
      <c r="A7629" s="1737"/>
      <c r="B7629" s="1737"/>
      <c r="C7629" s="622" t="s">
        <v>1199</v>
      </c>
      <c r="D7629" s="623">
        <v>1302.4394499999999</v>
      </c>
      <c r="E7629" s="623">
        <v>300.14999999999998</v>
      </c>
      <c r="F7629" s="623">
        <v>1002.2894499999999</v>
      </c>
      <c r="G7629" s="623">
        <v>67</v>
      </c>
      <c r="H7629" s="623">
        <v>1319.6172167064999</v>
      </c>
      <c r="I7629" s="623">
        <v>3</v>
      </c>
      <c r="J7629" s="623">
        <v>17</v>
      </c>
      <c r="K7629" s="623">
        <v>67</v>
      </c>
      <c r="L7629" s="623">
        <v>1302.4394499999999</v>
      </c>
      <c r="M7629" s="623">
        <v>1302.4394499999999</v>
      </c>
      <c r="N7629" s="623">
        <v>300.14999999999998</v>
      </c>
      <c r="O7629" s="624"/>
      <c r="P7629" s="623">
        <v>1002.2894499999999</v>
      </c>
      <c r="Q7629" s="623">
        <v>1002.2894499999999</v>
      </c>
    </row>
    <row r="7630" spans="1:54">
      <c r="A7630" s="1736">
        <v>14</v>
      </c>
      <c r="B7630" s="1736" t="s">
        <v>1951</v>
      </c>
      <c r="C7630" s="587" t="s">
        <v>1196</v>
      </c>
      <c r="D7630" s="621">
        <f>D7631+D7632</f>
        <v>386605.03003000002</v>
      </c>
      <c r="E7630" s="621">
        <f t="shared" ref="E7630:Q7630" si="171">E7631+E7632</f>
        <v>116164.2</v>
      </c>
      <c r="F7630" s="621">
        <f t="shared" si="171"/>
        <v>270440.83003000001</v>
      </c>
      <c r="G7630" s="621">
        <f t="shared" si="171"/>
        <v>8324</v>
      </c>
      <c r="H7630" s="621">
        <f t="shared" si="171"/>
        <v>437738.22208134487</v>
      </c>
      <c r="I7630" s="621">
        <f t="shared" si="171"/>
        <v>1679</v>
      </c>
      <c r="J7630" s="621">
        <f t="shared" si="171"/>
        <v>38890.439017292658</v>
      </c>
      <c r="K7630" s="621">
        <f t="shared" si="171"/>
        <v>8270</v>
      </c>
      <c r="L7630" s="621">
        <f t="shared" si="171"/>
        <v>386605.03003000002</v>
      </c>
      <c r="M7630" s="621">
        <f t="shared" si="171"/>
        <v>386605.03003000002</v>
      </c>
      <c r="N7630" s="621">
        <f t="shared" si="171"/>
        <v>116164.2</v>
      </c>
      <c r="O7630" s="621">
        <f t="shared" si="171"/>
        <v>0</v>
      </c>
      <c r="P7630" s="621">
        <f>BB7631+P7632</f>
        <v>270440.83003000001</v>
      </c>
      <c r="Q7630" s="621">
        <f t="shared" si="171"/>
        <v>270440.83003000001</v>
      </c>
    </row>
    <row r="7631" spans="1:54">
      <c r="A7631" s="1738"/>
      <c r="B7631" s="1738"/>
      <c r="C7631" s="622" t="s">
        <v>1197</v>
      </c>
      <c r="D7631" s="623">
        <v>384798.97161000001</v>
      </c>
      <c r="E7631" s="623">
        <v>115799.4</v>
      </c>
      <c r="F7631" s="623">
        <v>268999.57160999998</v>
      </c>
      <c r="G7631" s="623">
        <v>8223</v>
      </c>
      <c r="H7631" s="623">
        <v>435885.97337405221</v>
      </c>
      <c r="I7631" s="623">
        <v>1670</v>
      </c>
      <c r="J7631" s="623">
        <v>38844.248729999992</v>
      </c>
      <c r="K7631" s="623">
        <v>8169</v>
      </c>
      <c r="L7631" s="623">
        <v>384798.97161000001</v>
      </c>
      <c r="M7631" s="623">
        <v>384798.97161000001</v>
      </c>
      <c r="N7631" s="623">
        <v>115799.4</v>
      </c>
      <c r="O7631" s="624"/>
      <c r="Q7631" s="623">
        <v>268999.57160999998</v>
      </c>
      <c r="BB7631" s="623">
        <v>268999.57160999998</v>
      </c>
    </row>
    <row r="7632" spans="1:54">
      <c r="A7632" s="1737"/>
      <c r="B7632" s="1737"/>
      <c r="C7632" s="622" t="s">
        <v>1199</v>
      </c>
      <c r="D7632" s="623">
        <v>1806.0584200000001</v>
      </c>
      <c r="E7632" s="623">
        <v>364.8</v>
      </c>
      <c r="F7632" s="623">
        <v>1441.2584200000001</v>
      </c>
      <c r="G7632" s="623">
        <v>101</v>
      </c>
      <c r="H7632" s="623">
        <v>1852.2487072926665</v>
      </c>
      <c r="I7632" s="623">
        <v>9</v>
      </c>
      <c r="J7632" s="623">
        <v>46.190287292666426</v>
      </c>
      <c r="K7632" s="623">
        <v>101</v>
      </c>
      <c r="L7632" s="623">
        <v>1806.0584200000001</v>
      </c>
      <c r="M7632" s="623">
        <v>1806.0584200000001</v>
      </c>
      <c r="N7632" s="623">
        <v>364.8</v>
      </c>
      <c r="O7632" s="624"/>
      <c r="P7632" s="623">
        <v>1441.2584200000001</v>
      </c>
      <c r="Q7632" s="623">
        <v>1441.2584200000001</v>
      </c>
    </row>
    <row r="7633" spans="1:54">
      <c r="A7633" s="1736">
        <v>15</v>
      </c>
      <c r="B7633" s="1736" t="s">
        <v>1952</v>
      </c>
      <c r="C7633" s="587" t="s">
        <v>1196</v>
      </c>
      <c r="D7633" s="621">
        <f>D7634+D7635</f>
        <v>340795.77509000001</v>
      </c>
      <c r="E7633" s="621">
        <f t="shared" ref="E7633:Q7633" si="172">E7634+E7635</f>
        <v>108721.79999999999</v>
      </c>
      <c r="F7633" s="621">
        <f t="shared" si="172"/>
        <v>232073.97509000002</v>
      </c>
      <c r="G7633" s="621">
        <f t="shared" si="172"/>
        <v>7002</v>
      </c>
      <c r="H7633" s="621">
        <f t="shared" si="172"/>
        <v>373929.36173158116</v>
      </c>
      <c r="I7633" s="621">
        <f t="shared" si="172"/>
        <v>1034</v>
      </c>
      <c r="J7633" s="621">
        <f t="shared" si="172"/>
        <v>24953.997518579665</v>
      </c>
      <c r="K7633" s="621">
        <f t="shared" si="172"/>
        <v>6958</v>
      </c>
      <c r="L7633" s="621">
        <f t="shared" si="172"/>
        <v>340795.77509000001</v>
      </c>
      <c r="M7633" s="621">
        <f t="shared" si="172"/>
        <v>340795.77509000001</v>
      </c>
      <c r="N7633" s="621">
        <f t="shared" si="172"/>
        <v>108721.79999999999</v>
      </c>
      <c r="O7633" s="621">
        <f t="shared" si="172"/>
        <v>0</v>
      </c>
      <c r="P7633" s="621">
        <f>BB7634+P7635</f>
        <v>232073.97509000002</v>
      </c>
      <c r="Q7633" s="621">
        <f t="shared" si="172"/>
        <v>232073.97509000002</v>
      </c>
    </row>
    <row r="7634" spans="1:54">
      <c r="A7634" s="1738"/>
      <c r="B7634" s="1738"/>
      <c r="C7634" s="622" t="s">
        <v>1197</v>
      </c>
      <c r="D7634" s="623">
        <v>338274.58378500002</v>
      </c>
      <c r="E7634" s="623">
        <v>108234.9</v>
      </c>
      <c r="F7634" s="623">
        <v>230039.68378500003</v>
      </c>
      <c r="G7634" s="623">
        <v>6822</v>
      </c>
      <c r="H7634" s="623">
        <v>371372.62741800147</v>
      </c>
      <c r="I7634" s="623">
        <v>1027</v>
      </c>
      <c r="J7634" s="623">
        <v>24918.45451</v>
      </c>
      <c r="K7634" s="623">
        <v>6789</v>
      </c>
      <c r="L7634" s="623">
        <v>338274.58378500002</v>
      </c>
      <c r="M7634" s="623">
        <v>338274.58378500002</v>
      </c>
      <c r="N7634" s="623">
        <v>108234.9</v>
      </c>
      <c r="O7634" s="624"/>
      <c r="Q7634" s="623">
        <v>230039.68378500003</v>
      </c>
      <c r="BB7634" s="623">
        <v>230039.68378500003</v>
      </c>
    </row>
    <row r="7635" spans="1:54">
      <c r="A7635" s="1737"/>
      <c r="B7635" s="1737"/>
      <c r="C7635" s="622" t="s">
        <v>1199</v>
      </c>
      <c r="D7635" s="623">
        <v>2521.1913049999998</v>
      </c>
      <c r="E7635" s="623">
        <v>486.9</v>
      </c>
      <c r="F7635" s="623">
        <v>2034.2913049999997</v>
      </c>
      <c r="G7635" s="623">
        <v>180</v>
      </c>
      <c r="H7635" s="623">
        <v>2556.7343135796664</v>
      </c>
      <c r="I7635" s="623">
        <v>7</v>
      </c>
      <c r="J7635" s="623">
        <v>35.543008579666548</v>
      </c>
      <c r="K7635" s="623">
        <v>169</v>
      </c>
      <c r="L7635" s="623">
        <v>2521.1913049999998</v>
      </c>
      <c r="M7635" s="623">
        <v>2521.1913049999998</v>
      </c>
      <c r="N7635" s="623">
        <v>486.9</v>
      </c>
      <c r="O7635" s="624"/>
      <c r="P7635" s="623">
        <v>2034.2913049999997</v>
      </c>
      <c r="Q7635" s="623">
        <v>2034.2913049999997</v>
      </c>
    </row>
    <row r="7636" spans="1:54">
      <c r="A7636" s="1736">
        <v>16</v>
      </c>
      <c r="B7636" s="1736" t="s">
        <v>1953</v>
      </c>
      <c r="C7636" s="587" t="s">
        <v>1196</v>
      </c>
      <c r="D7636" s="621">
        <f>D7637+D7638</f>
        <v>312150.32000999997</v>
      </c>
      <c r="E7636" s="621">
        <f t="shared" ref="E7636:Q7636" si="173">E7637+E7638</f>
        <v>92493.299999999988</v>
      </c>
      <c r="F7636" s="621">
        <f t="shared" si="173"/>
        <v>219657.02000999998</v>
      </c>
      <c r="G7636" s="621">
        <f t="shared" si="173"/>
        <v>6440</v>
      </c>
      <c r="H7636" s="621">
        <f t="shared" si="173"/>
        <v>361786.05004484084</v>
      </c>
      <c r="I7636" s="621">
        <f t="shared" si="173"/>
        <v>826</v>
      </c>
      <c r="J7636" s="621">
        <f t="shared" si="173"/>
        <v>38716.098529999996</v>
      </c>
      <c r="K7636" s="621">
        <f t="shared" si="173"/>
        <v>6239</v>
      </c>
      <c r="L7636" s="621">
        <f t="shared" si="173"/>
        <v>312150.32000999997</v>
      </c>
      <c r="M7636" s="621">
        <f t="shared" si="173"/>
        <v>312150.32000999997</v>
      </c>
      <c r="N7636" s="621">
        <f t="shared" si="173"/>
        <v>92493.299999999988</v>
      </c>
      <c r="O7636" s="621">
        <f t="shared" si="173"/>
        <v>0</v>
      </c>
      <c r="P7636" s="621">
        <f>BB7637+P7638</f>
        <v>219657.02000999998</v>
      </c>
      <c r="Q7636" s="621">
        <f t="shared" si="173"/>
        <v>219657.02000999998</v>
      </c>
    </row>
    <row r="7637" spans="1:54">
      <c r="A7637" s="1738"/>
      <c r="B7637" s="1738"/>
      <c r="C7637" s="622" t="s">
        <v>1197</v>
      </c>
      <c r="D7637" s="623">
        <v>311067.59464999998</v>
      </c>
      <c r="E7637" s="623">
        <v>92220.9</v>
      </c>
      <c r="F7637" s="623">
        <v>218846.69464999999</v>
      </c>
      <c r="G7637" s="623">
        <v>6372</v>
      </c>
      <c r="H7637" s="623">
        <v>360249.96458484087</v>
      </c>
      <c r="I7637" s="623">
        <v>787</v>
      </c>
      <c r="J7637" s="623">
        <v>38262.738429999998</v>
      </c>
      <c r="K7637" s="623">
        <v>6171</v>
      </c>
      <c r="L7637" s="623">
        <v>311067.59464999998</v>
      </c>
      <c r="M7637" s="623">
        <v>311067.59464999998</v>
      </c>
      <c r="N7637" s="623">
        <v>92220.9</v>
      </c>
      <c r="O7637" s="624"/>
      <c r="Q7637" s="623">
        <v>218846.69464999999</v>
      </c>
      <c r="BB7637" s="623">
        <v>218846.69464999999</v>
      </c>
    </row>
    <row r="7638" spans="1:54">
      <c r="A7638" s="1737"/>
      <c r="B7638" s="1737"/>
      <c r="C7638" s="622" t="s">
        <v>1199</v>
      </c>
      <c r="D7638" s="623">
        <v>1082.7253599999999</v>
      </c>
      <c r="E7638" s="623">
        <v>272.39999999999998</v>
      </c>
      <c r="F7638" s="623">
        <v>810.32535999999993</v>
      </c>
      <c r="G7638" s="623">
        <v>68</v>
      </c>
      <c r="H7638" s="623">
        <v>1536.0854599999998</v>
      </c>
      <c r="I7638" s="623">
        <v>39</v>
      </c>
      <c r="J7638" s="623">
        <v>453.36009999999999</v>
      </c>
      <c r="K7638" s="623">
        <v>68</v>
      </c>
      <c r="L7638" s="623">
        <v>1082.7253599999999</v>
      </c>
      <c r="M7638" s="623">
        <v>1082.7253599999999</v>
      </c>
      <c r="N7638" s="623">
        <v>272.39999999999998</v>
      </c>
      <c r="O7638" s="624"/>
      <c r="P7638" s="623">
        <v>810.32535999999993</v>
      </c>
      <c r="Q7638" s="623">
        <v>810.32535999999993</v>
      </c>
    </row>
    <row r="7639" spans="1:54">
      <c r="A7639" s="1736">
        <v>17</v>
      </c>
      <c r="B7639" s="1736" t="s">
        <v>1954</v>
      </c>
      <c r="C7639" s="587" t="s">
        <v>1196</v>
      </c>
      <c r="D7639" s="621">
        <f>D7640+D7641</f>
        <v>348385.15057999996</v>
      </c>
      <c r="E7639" s="621">
        <f t="shared" ref="E7639:Q7639" si="174">E7640+E7641</f>
        <v>102525.6</v>
      </c>
      <c r="F7639" s="621">
        <f t="shared" si="174"/>
        <v>245859.55057999998</v>
      </c>
      <c r="G7639" s="621">
        <f t="shared" si="174"/>
        <v>7133</v>
      </c>
      <c r="H7639" s="621">
        <f t="shared" si="174"/>
        <v>379354.0262111093</v>
      </c>
      <c r="I7639" s="621">
        <f t="shared" si="174"/>
        <v>1329</v>
      </c>
      <c r="J7639" s="621">
        <f t="shared" si="174"/>
        <v>28545.858429999997</v>
      </c>
      <c r="K7639" s="621">
        <f t="shared" si="174"/>
        <v>7060</v>
      </c>
      <c r="L7639" s="621">
        <f t="shared" si="174"/>
        <v>348385.15057999996</v>
      </c>
      <c r="M7639" s="621">
        <f t="shared" si="174"/>
        <v>348385.15057999996</v>
      </c>
      <c r="N7639" s="621">
        <f t="shared" si="174"/>
        <v>102525.6</v>
      </c>
      <c r="O7639" s="621">
        <f t="shared" si="174"/>
        <v>0</v>
      </c>
      <c r="P7639" s="621">
        <f>BB7640+P7641</f>
        <v>245859.55057999998</v>
      </c>
      <c r="Q7639" s="621">
        <f t="shared" si="174"/>
        <v>245859.55057999998</v>
      </c>
    </row>
    <row r="7640" spans="1:54">
      <c r="A7640" s="1738"/>
      <c r="B7640" s="1738"/>
      <c r="C7640" s="622" t="s">
        <v>1197</v>
      </c>
      <c r="D7640" s="623">
        <v>345781.92365999997</v>
      </c>
      <c r="E7640" s="623">
        <v>101985</v>
      </c>
      <c r="F7640" s="623">
        <v>243796.92365999997</v>
      </c>
      <c r="G7640" s="623">
        <v>6948</v>
      </c>
      <c r="H7640" s="623">
        <v>376524.89030046045</v>
      </c>
      <c r="I7640" s="623">
        <v>1285</v>
      </c>
      <c r="J7640" s="623">
        <v>28320.069339999998</v>
      </c>
      <c r="K7640" s="623">
        <v>6876</v>
      </c>
      <c r="L7640" s="623">
        <v>345781.92365999997</v>
      </c>
      <c r="M7640" s="623">
        <v>345781.92365999997</v>
      </c>
      <c r="N7640" s="623">
        <v>101985</v>
      </c>
      <c r="O7640" s="624"/>
      <c r="Q7640" s="623">
        <v>243796.92365999997</v>
      </c>
      <c r="BB7640" s="623">
        <v>243796.92365999997</v>
      </c>
    </row>
    <row r="7641" spans="1:54">
      <c r="A7641" s="1737"/>
      <c r="B7641" s="1737"/>
      <c r="C7641" s="622" t="s">
        <v>1199</v>
      </c>
      <c r="D7641" s="623">
        <v>2603.2269200000001</v>
      </c>
      <c r="E7641" s="623">
        <v>540.6</v>
      </c>
      <c r="F7641" s="623">
        <v>2062.6269200000002</v>
      </c>
      <c r="G7641" s="623">
        <v>185</v>
      </c>
      <c r="H7641" s="623">
        <v>2829.1359106488335</v>
      </c>
      <c r="I7641" s="623">
        <v>44</v>
      </c>
      <c r="J7641" s="623">
        <v>225.78908999999999</v>
      </c>
      <c r="K7641" s="623">
        <v>184</v>
      </c>
      <c r="L7641" s="623">
        <v>2603.2269200000001</v>
      </c>
      <c r="M7641" s="623">
        <v>2603.2269200000001</v>
      </c>
      <c r="N7641" s="623">
        <v>540.6</v>
      </c>
      <c r="O7641" s="624"/>
      <c r="P7641" s="623">
        <v>2062.6269200000002</v>
      </c>
      <c r="Q7641" s="623">
        <v>2062.6269200000002</v>
      </c>
    </row>
    <row r="7642" spans="1:54">
      <c r="A7642" s="1736">
        <v>18</v>
      </c>
      <c r="B7642" s="1736" t="s">
        <v>1955</v>
      </c>
      <c r="C7642" s="587" t="s">
        <v>1196</v>
      </c>
      <c r="D7642" s="621">
        <f>D7643+D7644</f>
        <v>126428.06095000001</v>
      </c>
      <c r="E7642" s="621">
        <f t="shared" ref="E7642:Q7642" si="175">E7643+E7644</f>
        <v>33952.5</v>
      </c>
      <c r="F7642" s="621">
        <f t="shared" si="175"/>
        <v>92475.560950000028</v>
      </c>
      <c r="G7642" s="621">
        <f t="shared" si="175"/>
        <v>1635</v>
      </c>
      <c r="H7642" s="621">
        <f t="shared" si="175"/>
        <v>140160.0028234637</v>
      </c>
      <c r="I7642" s="621">
        <f t="shared" si="175"/>
        <v>353</v>
      </c>
      <c r="J7642" s="621">
        <f t="shared" si="175"/>
        <v>10754.285279999996</v>
      </c>
      <c r="K7642" s="621">
        <f t="shared" si="175"/>
        <v>1631</v>
      </c>
      <c r="L7642" s="621">
        <f t="shared" si="175"/>
        <v>126428.06095000001</v>
      </c>
      <c r="M7642" s="621">
        <f t="shared" si="175"/>
        <v>126428.06095000001</v>
      </c>
      <c r="N7642" s="621">
        <f t="shared" si="175"/>
        <v>33952.5</v>
      </c>
      <c r="O7642" s="621">
        <f t="shared" si="175"/>
        <v>0</v>
      </c>
      <c r="P7642" s="621">
        <f>AL7643+P7644</f>
        <v>92475.560950000028</v>
      </c>
      <c r="Q7642" s="621">
        <f t="shared" si="175"/>
        <v>92475.560950000028</v>
      </c>
    </row>
    <row r="7643" spans="1:54">
      <c r="A7643" s="1738"/>
      <c r="B7643" s="1738"/>
      <c r="C7643" s="622" t="s">
        <v>1197</v>
      </c>
      <c r="D7643" s="623">
        <v>121226.50247500002</v>
      </c>
      <c r="E7643" s="623">
        <v>32851.71</v>
      </c>
      <c r="F7643" s="623">
        <v>88374.792475000024</v>
      </c>
      <c r="G7643" s="623">
        <v>1618</v>
      </c>
      <c r="H7643" s="623">
        <v>134292.8547546145</v>
      </c>
      <c r="I7643" s="623">
        <v>348</v>
      </c>
      <c r="J7643" s="623">
        <v>10113.672699999997</v>
      </c>
      <c r="K7643" s="623">
        <v>1614</v>
      </c>
      <c r="L7643" s="623">
        <v>121226.50247500002</v>
      </c>
      <c r="M7643" s="623">
        <v>121226.50247500002</v>
      </c>
      <c r="N7643" s="623">
        <v>32851.71</v>
      </c>
      <c r="O7643" s="624"/>
      <c r="Q7643" s="623">
        <v>88374.792475000024</v>
      </c>
      <c r="AL7643" s="623">
        <v>88374.792475000024</v>
      </c>
    </row>
    <row r="7644" spans="1:54">
      <c r="A7644" s="1737"/>
      <c r="B7644" s="1737"/>
      <c r="C7644" s="622" t="s">
        <v>1198</v>
      </c>
      <c r="D7644" s="623">
        <v>5201.5584749999998</v>
      </c>
      <c r="E7644" s="623">
        <v>1100.79</v>
      </c>
      <c r="F7644" s="623">
        <v>4100.7684749999999</v>
      </c>
      <c r="G7644" s="623">
        <v>17</v>
      </c>
      <c r="H7644" s="623">
        <v>5867.1480688492002</v>
      </c>
      <c r="I7644" s="623">
        <v>5</v>
      </c>
      <c r="J7644" s="623">
        <v>640.61257999999998</v>
      </c>
      <c r="K7644" s="623">
        <v>17</v>
      </c>
      <c r="L7644" s="623">
        <v>5201.5584749999998</v>
      </c>
      <c r="M7644" s="623">
        <v>5201.5584749999998</v>
      </c>
      <c r="N7644" s="623">
        <v>1100.79</v>
      </c>
      <c r="O7644" s="624"/>
      <c r="P7644" s="623">
        <v>4100.7684749999999</v>
      </c>
      <c r="Q7644" s="623">
        <v>4100.7684749999999</v>
      </c>
    </row>
    <row r="7645" spans="1:54">
      <c r="A7645" s="1736">
        <v>19</v>
      </c>
      <c r="B7645" s="1736" t="s">
        <v>1956</v>
      </c>
      <c r="C7645" s="587" t="s">
        <v>1196</v>
      </c>
      <c r="D7645" s="621">
        <f>D7646+D7647</f>
        <v>123264.33646000001</v>
      </c>
      <c r="E7645" s="621">
        <f t="shared" ref="E7645:Q7645" si="176">E7646+E7647</f>
        <v>42323.7</v>
      </c>
      <c r="F7645" s="621">
        <f t="shared" si="176"/>
        <v>80940.636460000009</v>
      </c>
      <c r="G7645" s="621">
        <f t="shared" si="176"/>
        <v>826</v>
      </c>
      <c r="H7645" s="621">
        <f t="shared" si="176"/>
        <v>130502.1095632464</v>
      </c>
      <c r="I7645" s="621">
        <f t="shared" si="176"/>
        <v>157</v>
      </c>
      <c r="J7645" s="621">
        <f t="shared" si="176"/>
        <v>7218.2894400000005</v>
      </c>
      <c r="K7645" s="621">
        <f t="shared" si="176"/>
        <v>823</v>
      </c>
      <c r="L7645" s="621">
        <f t="shared" si="176"/>
        <v>123264.33646000001</v>
      </c>
      <c r="M7645" s="621">
        <f t="shared" si="176"/>
        <v>123264.33646000001</v>
      </c>
      <c r="N7645" s="621">
        <f t="shared" si="176"/>
        <v>42323.7</v>
      </c>
      <c r="O7645" s="621">
        <f t="shared" si="176"/>
        <v>0</v>
      </c>
      <c r="P7645" s="621">
        <f>AL7646+P7647</f>
        <v>80940.636460000009</v>
      </c>
      <c r="Q7645" s="621">
        <f t="shared" si="176"/>
        <v>80940.636460000009</v>
      </c>
    </row>
    <row r="7646" spans="1:54">
      <c r="A7646" s="1738"/>
      <c r="B7646" s="1738"/>
      <c r="C7646" s="622" t="s">
        <v>1197</v>
      </c>
      <c r="D7646" s="623">
        <v>57702.238060000003</v>
      </c>
      <c r="E7646" s="623">
        <v>19486.2</v>
      </c>
      <c r="F7646" s="623">
        <v>38216.038060000006</v>
      </c>
      <c r="G7646" s="623">
        <v>723</v>
      </c>
      <c r="H7646" s="623">
        <v>61444.112691518007</v>
      </c>
      <c r="I7646" s="623">
        <v>137</v>
      </c>
      <c r="J7646" s="623">
        <v>3722.5957599999997</v>
      </c>
      <c r="K7646" s="623">
        <v>720</v>
      </c>
      <c r="L7646" s="623">
        <v>57702.238060000003</v>
      </c>
      <c r="M7646" s="623">
        <v>57702.238060000003</v>
      </c>
      <c r="N7646" s="623">
        <v>19486.2</v>
      </c>
      <c r="O7646" s="624"/>
      <c r="Q7646" s="623">
        <v>38216.038060000006</v>
      </c>
      <c r="AL7646" s="623">
        <v>38216.038060000006</v>
      </c>
    </row>
    <row r="7647" spans="1:54">
      <c r="A7647" s="1737"/>
      <c r="B7647" s="1737"/>
      <c r="C7647" s="622" t="s">
        <v>1198</v>
      </c>
      <c r="D7647" s="623">
        <v>65562.098400000003</v>
      </c>
      <c r="E7647" s="623">
        <v>22837.5</v>
      </c>
      <c r="F7647" s="623">
        <v>42724.598400000003</v>
      </c>
      <c r="G7647" s="623">
        <v>103</v>
      </c>
      <c r="H7647" s="623">
        <v>69057.996871728392</v>
      </c>
      <c r="I7647" s="623">
        <v>20</v>
      </c>
      <c r="J7647" s="623">
        <v>3495.6936800000003</v>
      </c>
      <c r="K7647" s="623">
        <v>103</v>
      </c>
      <c r="L7647" s="623">
        <v>65562.098400000003</v>
      </c>
      <c r="M7647" s="623">
        <v>65562.098400000003</v>
      </c>
      <c r="N7647" s="623">
        <v>22837.5</v>
      </c>
      <c r="O7647" s="624"/>
      <c r="P7647" s="623">
        <v>42724.598400000003</v>
      </c>
      <c r="Q7647" s="623">
        <v>42724.598400000003</v>
      </c>
    </row>
    <row r="7648" spans="1:54">
      <c r="A7648" s="1736">
        <v>20</v>
      </c>
      <c r="B7648" s="1736" t="s">
        <v>1957</v>
      </c>
      <c r="C7648" s="587" t="s">
        <v>1196</v>
      </c>
      <c r="D7648" s="621">
        <f>D7649+D7650+D7651</f>
        <v>412094.2476</v>
      </c>
      <c r="E7648" s="621">
        <f t="shared" ref="E7648:Q7648" si="177">E7649+E7650+E7651</f>
        <v>108220.11</v>
      </c>
      <c r="F7648" s="621">
        <f t="shared" si="177"/>
        <v>303874.13759999996</v>
      </c>
      <c r="G7648" s="621">
        <f t="shared" si="177"/>
        <v>3240</v>
      </c>
      <c r="H7648" s="621">
        <f t="shared" si="177"/>
        <v>441708.16149213794</v>
      </c>
      <c r="I7648" s="621">
        <f t="shared" si="177"/>
        <v>524</v>
      </c>
      <c r="J7648" s="621">
        <f t="shared" si="177"/>
        <v>26567.565240000004</v>
      </c>
      <c r="K7648" s="621">
        <f t="shared" si="177"/>
        <v>3230</v>
      </c>
      <c r="L7648" s="621">
        <f t="shared" si="177"/>
        <v>412094.2476</v>
      </c>
      <c r="M7648" s="621">
        <f t="shared" si="177"/>
        <v>412094.2476</v>
      </c>
      <c r="N7648" s="621">
        <f t="shared" si="177"/>
        <v>108220.11</v>
      </c>
      <c r="O7648" s="621">
        <f t="shared" si="177"/>
        <v>0</v>
      </c>
      <c r="P7648" s="621">
        <f>AL7649+P7650+P7651</f>
        <v>303874.13759999996</v>
      </c>
      <c r="Q7648" s="621">
        <f t="shared" si="177"/>
        <v>303874.13759999996</v>
      </c>
    </row>
    <row r="7649" spans="1:56">
      <c r="A7649" s="1738"/>
      <c r="B7649" s="1738"/>
      <c r="C7649" s="622" t="s">
        <v>1197</v>
      </c>
      <c r="D7649" s="623">
        <v>251958.04316999999</v>
      </c>
      <c r="E7649" s="623">
        <v>75871.56</v>
      </c>
      <c r="F7649" s="623">
        <v>176086.48316999999</v>
      </c>
      <c r="G7649" s="623">
        <v>2567</v>
      </c>
      <c r="H7649" s="623">
        <v>270949.06504250504</v>
      </c>
      <c r="I7649" s="623">
        <v>422</v>
      </c>
      <c r="J7649" s="623">
        <v>15741.777510000002</v>
      </c>
      <c r="K7649" s="623">
        <v>2559</v>
      </c>
      <c r="L7649" s="623">
        <v>252114.53891999999</v>
      </c>
      <c r="M7649" s="623">
        <v>252114.53891999999</v>
      </c>
      <c r="N7649" s="623">
        <v>75871.56</v>
      </c>
      <c r="O7649" s="624"/>
      <c r="Q7649" s="623">
        <v>176242.97891999999</v>
      </c>
      <c r="AL7649" s="623">
        <v>176242.97891999999</v>
      </c>
    </row>
    <row r="7650" spans="1:56">
      <c r="A7650" s="1738"/>
      <c r="B7650" s="1738"/>
      <c r="C7650" s="622" t="s">
        <v>1198</v>
      </c>
      <c r="D7650" s="623">
        <v>159687.10443000001</v>
      </c>
      <c r="E7650" s="623">
        <v>32348.55</v>
      </c>
      <c r="F7650" s="623">
        <v>127338.55443</v>
      </c>
      <c r="G7650" s="623">
        <v>673</v>
      </c>
      <c r="H7650" s="623">
        <v>170466.49219963289</v>
      </c>
      <c r="I7650" s="623">
        <v>102</v>
      </c>
      <c r="J7650" s="623">
        <v>10825.78773</v>
      </c>
      <c r="K7650" s="623">
        <v>671</v>
      </c>
      <c r="L7650" s="623">
        <v>159687.10443000001</v>
      </c>
      <c r="M7650" s="623">
        <v>159687.10443000001</v>
      </c>
      <c r="N7650" s="623">
        <v>32348.55</v>
      </c>
      <c r="O7650" s="624"/>
      <c r="P7650" s="623">
        <v>127338.55443</v>
      </c>
      <c r="Q7650" s="623">
        <v>127338.55443</v>
      </c>
    </row>
    <row r="7651" spans="1:56">
      <c r="A7651" s="1737"/>
      <c r="B7651" s="1737"/>
      <c r="C7651" s="625" t="s">
        <v>1202</v>
      </c>
      <c r="D7651" s="623">
        <v>449.1</v>
      </c>
      <c r="E7651" s="623"/>
      <c r="F7651" s="623">
        <v>449.1</v>
      </c>
      <c r="G7651" s="623"/>
      <c r="H7651" s="623">
        <v>292.60424999999998</v>
      </c>
      <c r="I7651" s="623"/>
      <c r="J7651" s="623"/>
      <c r="K7651" s="623"/>
      <c r="L7651" s="623">
        <v>292.60424999999998</v>
      </c>
      <c r="M7651" s="623">
        <v>292.60424999999998</v>
      </c>
      <c r="N7651" s="623">
        <v>0</v>
      </c>
      <c r="O7651" s="623">
        <v>0</v>
      </c>
      <c r="P7651" s="623">
        <v>292.60424999999998</v>
      </c>
      <c r="Q7651" s="623">
        <v>292.60424999999998</v>
      </c>
    </row>
    <row r="7652" spans="1:56">
      <c r="A7652" s="1736">
        <v>21</v>
      </c>
      <c r="B7652" s="1736" t="s">
        <v>1958</v>
      </c>
      <c r="C7652" s="587" t="s">
        <v>1196</v>
      </c>
      <c r="D7652" s="621">
        <f>D7653+D7654+D7655</f>
        <v>773228.23822000006</v>
      </c>
      <c r="E7652" s="621">
        <f t="shared" ref="E7652:Q7652" si="178">E7653+E7654+E7655</f>
        <v>163913.69999999998</v>
      </c>
      <c r="F7652" s="621">
        <f t="shared" si="178"/>
        <v>609314.5382200001</v>
      </c>
      <c r="G7652" s="621">
        <f t="shared" si="178"/>
        <v>5795</v>
      </c>
      <c r="H7652" s="621">
        <f t="shared" si="178"/>
        <v>804187.8611101011</v>
      </c>
      <c r="I7652" s="621">
        <f t="shared" si="178"/>
        <v>599</v>
      </c>
      <c r="J7652" s="621">
        <f t="shared" si="178"/>
        <v>25234.832145915578</v>
      </c>
      <c r="K7652" s="621">
        <f t="shared" si="178"/>
        <v>5683</v>
      </c>
      <c r="L7652" s="621">
        <f t="shared" si="178"/>
        <v>773228.23822000006</v>
      </c>
      <c r="M7652" s="621">
        <f t="shared" si="178"/>
        <v>773228.23822000006</v>
      </c>
      <c r="N7652" s="621">
        <f t="shared" si="178"/>
        <v>163913.69999999998</v>
      </c>
      <c r="O7652" s="621">
        <f t="shared" si="178"/>
        <v>0</v>
      </c>
      <c r="P7652" s="621">
        <f>AT7653+P7654+P7655</f>
        <v>609314.5382200001</v>
      </c>
      <c r="Q7652" s="621">
        <f t="shared" si="178"/>
        <v>609314.5382200001</v>
      </c>
    </row>
    <row r="7653" spans="1:56">
      <c r="A7653" s="1738"/>
      <c r="B7653" s="1738"/>
      <c r="C7653" s="622" t="s">
        <v>1197</v>
      </c>
      <c r="D7653" s="623">
        <v>387006.60731500003</v>
      </c>
      <c r="E7653" s="623">
        <v>153135.44999999998</v>
      </c>
      <c r="F7653" s="623">
        <v>233871.15731500005</v>
      </c>
      <c r="G7653" s="623">
        <v>3245</v>
      </c>
      <c r="H7653" s="623">
        <v>401993.23207442998</v>
      </c>
      <c r="I7653" s="623">
        <v>358</v>
      </c>
      <c r="J7653" s="623">
        <v>12911.637324934445</v>
      </c>
      <c r="K7653" s="623">
        <v>3245</v>
      </c>
      <c r="L7653" s="623">
        <v>387006.60731500003</v>
      </c>
      <c r="M7653" s="623">
        <v>387006.60731500003</v>
      </c>
      <c r="N7653" s="623">
        <v>153135.44999999998</v>
      </c>
      <c r="O7653" s="624"/>
      <c r="Q7653" s="623">
        <v>233871.15731500005</v>
      </c>
      <c r="AT7653" s="623">
        <v>233871.15731500005</v>
      </c>
    </row>
    <row r="7654" spans="1:56">
      <c r="A7654" s="1738"/>
      <c r="B7654" s="1738"/>
      <c r="C7654" s="622" t="s">
        <v>1198</v>
      </c>
      <c r="D7654" s="623">
        <v>359841.64684499998</v>
      </c>
      <c r="E7654" s="623">
        <v>7500</v>
      </c>
      <c r="F7654" s="623">
        <v>352341.64684499998</v>
      </c>
      <c r="G7654" s="623">
        <v>1343</v>
      </c>
      <c r="H7654" s="623">
        <v>375182.75292469008</v>
      </c>
      <c r="I7654" s="623">
        <v>129</v>
      </c>
      <c r="J7654" s="623">
        <v>11691.30277</v>
      </c>
      <c r="K7654" s="623">
        <v>1341</v>
      </c>
      <c r="L7654" s="623">
        <v>359841.64684499998</v>
      </c>
      <c r="M7654" s="623">
        <v>359841.64684499998</v>
      </c>
      <c r="N7654" s="623">
        <v>7500</v>
      </c>
      <c r="O7654" s="624"/>
      <c r="P7654" s="623">
        <v>352341.64684499998</v>
      </c>
      <c r="Q7654" s="623">
        <v>352341.64684499998</v>
      </c>
    </row>
    <row r="7655" spans="1:56">
      <c r="A7655" s="1737"/>
      <c r="B7655" s="1737"/>
      <c r="C7655" s="622" t="s">
        <v>1199</v>
      </c>
      <c r="D7655" s="623">
        <v>26379.984059999999</v>
      </c>
      <c r="E7655" s="623">
        <v>3278.25</v>
      </c>
      <c r="F7655" s="623">
        <v>23101.734059999999</v>
      </c>
      <c r="G7655" s="623">
        <v>1207</v>
      </c>
      <c r="H7655" s="623">
        <v>27011.876110981131</v>
      </c>
      <c r="I7655" s="623">
        <v>112</v>
      </c>
      <c r="J7655" s="623">
        <v>631.89205098113234</v>
      </c>
      <c r="K7655" s="623">
        <v>1097</v>
      </c>
      <c r="L7655" s="623">
        <v>26379.984059999999</v>
      </c>
      <c r="M7655" s="623">
        <v>26379.984059999999</v>
      </c>
      <c r="N7655" s="623">
        <v>3278.25</v>
      </c>
      <c r="O7655" s="624"/>
      <c r="P7655" s="623">
        <v>23101.734059999999</v>
      </c>
      <c r="Q7655" s="623">
        <v>23101.734059999999</v>
      </c>
    </row>
    <row r="7656" spans="1:56">
      <c r="A7656" s="1736">
        <v>22</v>
      </c>
      <c r="B7656" s="1736" t="s">
        <v>1959</v>
      </c>
      <c r="C7656" s="587" t="s">
        <v>1196</v>
      </c>
      <c r="D7656" s="621">
        <f>D7657</f>
        <v>131588.98910999999</v>
      </c>
      <c r="E7656" s="621">
        <f t="shared" ref="E7656:Q7656" si="179">E7657</f>
        <v>39463.049999999996</v>
      </c>
      <c r="F7656" s="621">
        <f t="shared" si="179"/>
        <v>92125.939110000007</v>
      </c>
      <c r="G7656" s="621">
        <f t="shared" si="179"/>
        <v>1667</v>
      </c>
      <c r="H7656" s="621">
        <f t="shared" si="179"/>
        <v>134357.38037017419</v>
      </c>
      <c r="I7656" s="621">
        <f t="shared" si="179"/>
        <v>64</v>
      </c>
      <c r="J7656" s="621">
        <f t="shared" si="179"/>
        <v>2559.0933</v>
      </c>
      <c r="K7656" s="621">
        <f t="shared" si="179"/>
        <v>1666</v>
      </c>
      <c r="L7656" s="621">
        <f t="shared" si="179"/>
        <v>131588.98910999999</v>
      </c>
      <c r="M7656" s="621">
        <f t="shared" si="179"/>
        <v>131588.98910999999</v>
      </c>
      <c r="N7656" s="621">
        <f t="shared" si="179"/>
        <v>39463.049999999996</v>
      </c>
      <c r="O7656" s="621">
        <f t="shared" si="179"/>
        <v>0</v>
      </c>
      <c r="P7656" s="621">
        <f>BD7657</f>
        <v>92125.939110000007</v>
      </c>
      <c r="Q7656" s="621">
        <f t="shared" si="179"/>
        <v>92125.939110000007</v>
      </c>
    </row>
    <row r="7657" spans="1:56">
      <c r="A7657" s="1737"/>
      <c r="B7657" s="1737"/>
      <c r="C7657" s="622" t="s">
        <v>1197</v>
      </c>
      <c r="D7657" s="623">
        <v>131588.98910999999</v>
      </c>
      <c r="E7657" s="623">
        <v>39463.049999999996</v>
      </c>
      <c r="F7657" s="623">
        <v>92125.939110000007</v>
      </c>
      <c r="G7657" s="623">
        <v>1667</v>
      </c>
      <c r="H7657" s="623">
        <v>134357.38037017419</v>
      </c>
      <c r="I7657" s="623">
        <v>64</v>
      </c>
      <c r="J7657" s="623">
        <v>2559.0933</v>
      </c>
      <c r="K7657" s="623">
        <v>1666</v>
      </c>
      <c r="L7657" s="623">
        <v>131588.98910999999</v>
      </c>
      <c r="M7657" s="623">
        <v>131588.98910999999</v>
      </c>
      <c r="N7657" s="623">
        <v>39463.049999999996</v>
      </c>
      <c r="O7657" s="624"/>
      <c r="Q7657" s="623">
        <v>92125.939110000007</v>
      </c>
      <c r="BD7657" s="623">
        <v>92125.939110000007</v>
      </c>
    </row>
    <row r="7658" spans="1:56">
      <c r="A7658" s="1736">
        <v>23</v>
      </c>
      <c r="B7658" s="1736" t="s">
        <v>1960</v>
      </c>
      <c r="C7658" s="587" t="s">
        <v>1196</v>
      </c>
      <c r="D7658" s="621">
        <f>D7659+D7660</f>
        <v>19414.339959999998</v>
      </c>
      <c r="E7658" s="621">
        <f t="shared" ref="E7658:Q7658" si="180">E7659+E7660</f>
        <v>5854.95</v>
      </c>
      <c r="F7658" s="621">
        <f t="shared" si="180"/>
        <v>13559.389959999997</v>
      </c>
      <c r="G7658" s="621">
        <f t="shared" si="180"/>
        <v>509</v>
      </c>
      <c r="H7658" s="621">
        <f t="shared" si="180"/>
        <v>21757.466944327</v>
      </c>
      <c r="I7658" s="621">
        <f t="shared" si="180"/>
        <v>109</v>
      </c>
      <c r="J7658" s="621">
        <f t="shared" si="180"/>
        <v>2333.8446619352003</v>
      </c>
      <c r="K7658" s="621">
        <f t="shared" si="180"/>
        <v>504</v>
      </c>
      <c r="L7658" s="621">
        <f t="shared" si="180"/>
        <v>19414.339959999998</v>
      </c>
      <c r="M7658" s="621">
        <f t="shared" si="180"/>
        <v>19414.339959999998</v>
      </c>
      <c r="N7658" s="621">
        <f t="shared" si="180"/>
        <v>5854.95</v>
      </c>
      <c r="O7658" s="621">
        <f t="shared" si="180"/>
        <v>0</v>
      </c>
      <c r="P7658" s="621">
        <f>AL7659+P7660</f>
        <v>13559.389959999997</v>
      </c>
      <c r="Q7658" s="621">
        <f t="shared" si="180"/>
        <v>13559.389959999997</v>
      </c>
    </row>
    <row r="7659" spans="1:56">
      <c r="A7659" s="1738"/>
      <c r="B7659" s="1738"/>
      <c r="C7659" s="622" t="s">
        <v>1197</v>
      </c>
      <c r="D7659" s="623">
        <v>16946.419064999998</v>
      </c>
      <c r="E7659" s="623">
        <v>5207.7</v>
      </c>
      <c r="F7659" s="623">
        <v>11738.719064999997</v>
      </c>
      <c r="G7659" s="623">
        <v>315</v>
      </c>
      <c r="H7659" s="623">
        <v>19161.718136984</v>
      </c>
      <c r="I7659" s="623">
        <v>81</v>
      </c>
      <c r="J7659" s="623">
        <v>2206.3072419352002</v>
      </c>
      <c r="K7659" s="623">
        <v>312</v>
      </c>
      <c r="L7659" s="623">
        <v>16946.419064999998</v>
      </c>
      <c r="M7659" s="623">
        <v>16946.419064999998</v>
      </c>
      <c r="N7659" s="623">
        <v>5207.7</v>
      </c>
      <c r="O7659" s="624"/>
      <c r="Q7659" s="623">
        <v>11738.719064999997</v>
      </c>
      <c r="AL7659" s="623">
        <v>11738.719064999997</v>
      </c>
    </row>
    <row r="7660" spans="1:56">
      <c r="A7660" s="1737"/>
      <c r="B7660" s="1737"/>
      <c r="C7660" s="622" t="s">
        <v>1199</v>
      </c>
      <c r="D7660" s="623">
        <v>2467.9208950000002</v>
      </c>
      <c r="E7660" s="623">
        <v>647.25</v>
      </c>
      <c r="F7660" s="623">
        <v>1820.6708950000002</v>
      </c>
      <c r="G7660" s="623">
        <v>194</v>
      </c>
      <c r="H7660" s="623">
        <v>2595.7488073430004</v>
      </c>
      <c r="I7660" s="623">
        <v>28</v>
      </c>
      <c r="J7660" s="623">
        <v>127.53742</v>
      </c>
      <c r="K7660" s="623">
        <v>192</v>
      </c>
      <c r="L7660" s="623">
        <v>2467.9208950000002</v>
      </c>
      <c r="M7660" s="623">
        <v>2467.9208950000002</v>
      </c>
      <c r="N7660" s="623">
        <v>647.25</v>
      </c>
      <c r="O7660" s="624"/>
      <c r="P7660" s="623">
        <v>1820.6708950000002</v>
      </c>
      <c r="Q7660" s="623">
        <v>1820.6708950000002</v>
      </c>
    </row>
    <row r="7661" spans="1:56">
      <c r="A7661" s="1736">
        <v>24</v>
      </c>
      <c r="B7661" s="1736" t="s">
        <v>1961</v>
      </c>
      <c r="C7661" s="587" t="s">
        <v>1196</v>
      </c>
      <c r="D7661" s="621">
        <f>D7662+D7663+D7664</f>
        <v>3213286.9694600003</v>
      </c>
      <c r="E7661" s="621">
        <f t="shared" ref="E7661:Q7661" si="181">E7662+E7663+E7664</f>
        <v>750293.39999999991</v>
      </c>
      <c r="F7661" s="621">
        <f t="shared" si="181"/>
        <v>2462993.5694600004</v>
      </c>
      <c r="G7661" s="621">
        <f t="shared" si="181"/>
        <v>9417</v>
      </c>
      <c r="H7661" s="621">
        <f t="shared" si="181"/>
        <v>3238939.7926633339</v>
      </c>
      <c r="I7661" s="621">
        <f t="shared" si="181"/>
        <v>498</v>
      </c>
      <c r="J7661" s="621">
        <f t="shared" si="181"/>
        <v>28660.753120800888</v>
      </c>
      <c r="K7661" s="621">
        <f t="shared" si="181"/>
        <v>9402</v>
      </c>
      <c r="L7661" s="621">
        <f t="shared" si="181"/>
        <v>3213286.9694600003</v>
      </c>
      <c r="M7661" s="621">
        <f t="shared" si="181"/>
        <v>3213286.9694600003</v>
      </c>
      <c r="N7661" s="621">
        <f t="shared" si="181"/>
        <v>750293.39999999991</v>
      </c>
      <c r="O7661" s="621">
        <f t="shared" si="181"/>
        <v>0</v>
      </c>
      <c r="P7661" s="621">
        <f>BD7662+P7663+P7664</f>
        <v>2462993.5694600004</v>
      </c>
      <c r="Q7661" s="621">
        <f t="shared" si="181"/>
        <v>2462993.5694600004</v>
      </c>
    </row>
    <row r="7662" spans="1:56">
      <c r="A7662" s="1738"/>
      <c r="B7662" s="1738"/>
      <c r="C7662" s="622" t="s">
        <v>1197</v>
      </c>
      <c r="D7662" s="623">
        <v>2410180.3661100003</v>
      </c>
      <c r="E7662" s="623">
        <v>651668.18999999994</v>
      </c>
      <c r="F7662" s="623">
        <v>1758512.1761100003</v>
      </c>
      <c r="G7662" s="623">
        <v>7310</v>
      </c>
      <c r="H7662" s="623">
        <v>2431493.1084900005</v>
      </c>
      <c r="I7662" s="623">
        <v>458</v>
      </c>
      <c r="J7662" s="623">
        <v>21010.395599029751</v>
      </c>
      <c r="K7662" s="623">
        <v>7300</v>
      </c>
      <c r="L7662" s="623">
        <v>2410180.3661100003</v>
      </c>
      <c r="M7662" s="623">
        <v>2410180.3661100003</v>
      </c>
      <c r="N7662" s="623">
        <v>651668.18999999994</v>
      </c>
      <c r="O7662" s="624"/>
      <c r="Q7662" s="623">
        <v>1758512.1761100003</v>
      </c>
      <c r="BD7662" s="623">
        <v>1758512.1761100003</v>
      </c>
    </row>
    <row r="7663" spans="1:56">
      <c r="A7663" s="1738"/>
      <c r="B7663" s="1738"/>
      <c r="C7663" s="622" t="s">
        <v>1198</v>
      </c>
      <c r="D7663" s="623">
        <v>338857.05142999999</v>
      </c>
      <c r="E7663" s="623">
        <v>19092.75</v>
      </c>
      <c r="F7663" s="623">
        <v>319764.30142999999</v>
      </c>
      <c r="G7663" s="623">
        <v>519</v>
      </c>
      <c r="H7663" s="623">
        <v>341992.46585999994</v>
      </c>
      <c r="I7663" s="623">
        <v>25</v>
      </c>
      <c r="J7663" s="623">
        <v>5859.3591997711392</v>
      </c>
      <c r="K7663" s="623">
        <v>519</v>
      </c>
      <c r="L7663" s="623">
        <v>338857.05142999999</v>
      </c>
      <c r="M7663" s="623">
        <v>338857.05142999999</v>
      </c>
      <c r="N7663" s="623">
        <v>19092.75</v>
      </c>
      <c r="O7663" s="624"/>
      <c r="P7663" s="623">
        <v>319764.30142999999</v>
      </c>
      <c r="Q7663" s="623">
        <v>319764.30142999999</v>
      </c>
    </row>
    <row r="7664" spans="1:56">
      <c r="A7664" s="1737"/>
      <c r="B7664" s="1737"/>
      <c r="C7664" s="622" t="s">
        <v>1199</v>
      </c>
      <c r="D7664" s="623">
        <v>464249.55192</v>
      </c>
      <c r="E7664" s="623">
        <v>79532.460000000006</v>
      </c>
      <c r="F7664" s="623">
        <v>384717.09191999998</v>
      </c>
      <c r="G7664" s="623">
        <v>1588</v>
      </c>
      <c r="H7664" s="623">
        <v>465454.21831333335</v>
      </c>
      <c r="I7664" s="623">
        <v>15</v>
      </c>
      <c r="J7664" s="623">
        <v>1790.9983219999999</v>
      </c>
      <c r="K7664" s="623">
        <v>1583</v>
      </c>
      <c r="L7664" s="623">
        <v>464249.55192</v>
      </c>
      <c r="M7664" s="623">
        <v>464249.55192</v>
      </c>
      <c r="N7664" s="623">
        <v>79532.460000000006</v>
      </c>
      <c r="O7664" s="624"/>
      <c r="P7664" s="623">
        <v>384717.09191999998</v>
      </c>
      <c r="Q7664" s="623">
        <v>384717.09191999998</v>
      </c>
    </row>
    <row r="7665" spans="1:56">
      <c r="A7665" s="1736">
        <v>25</v>
      </c>
      <c r="B7665" s="1736" t="s">
        <v>1962</v>
      </c>
      <c r="C7665" s="587" t="s">
        <v>1196</v>
      </c>
      <c r="D7665" s="621">
        <f>D7666+D7667+D7668+D7669</f>
        <v>1072135.419644</v>
      </c>
      <c r="E7665" s="621">
        <f t="shared" ref="E7665:Q7665" si="182">E7666+E7667+E7668+E7669</f>
        <v>251876.1</v>
      </c>
      <c r="F7665" s="621">
        <f t="shared" si="182"/>
        <v>820259.31964400015</v>
      </c>
      <c r="G7665" s="621">
        <f t="shared" si="182"/>
        <v>4089</v>
      </c>
      <c r="H7665" s="621">
        <f t="shared" si="182"/>
        <v>1176090.5067722648</v>
      </c>
      <c r="I7665" s="621">
        <f t="shared" si="182"/>
        <v>773</v>
      </c>
      <c r="J7665" s="621">
        <f t="shared" si="182"/>
        <v>100849.05329000001</v>
      </c>
      <c r="K7665" s="621">
        <f t="shared" si="182"/>
        <v>4079</v>
      </c>
      <c r="L7665" s="621">
        <f t="shared" si="182"/>
        <v>1072135.41964</v>
      </c>
      <c r="M7665" s="621">
        <f t="shared" si="182"/>
        <v>1072135.41964</v>
      </c>
      <c r="N7665" s="621">
        <f t="shared" si="182"/>
        <v>251876.1</v>
      </c>
      <c r="O7665" s="621">
        <f t="shared" si="182"/>
        <v>0</v>
      </c>
      <c r="P7665" s="621">
        <f>BD7666+P7667+P7668+P7669</f>
        <v>820259.31964</v>
      </c>
      <c r="Q7665" s="621">
        <f t="shared" si="182"/>
        <v>820259.31964</v>
      </c>
    </row>
    <row r="7666" spans="1:56">
      <c r="A7666" s="1738"/>
      <c r="B7666" s="1738"/>
      <c r="C7666" s="622" t="s">
        <v>1197</v>
      </c>
      <c r="D7666" s="623">
        <v>417551.80504900002</v>
      </c>
      <c r="E7666" s="623">
        <v>130122</v>
      </c>
      <c r="F7666" s="623">
        <v>287429.80504900002</v>
      </c>
      <c r="G7666" s="623">
        <v>2976</v>
      </c>
      <c r="H7666" s="623">
        <v>461889.21353000001</v>
      </c>
      <c r="I7666" s="623">
        <v>642</v>
      </c>
      <c r="J7666" s="623">
        <v>41111.000620000006</v>
      </c>
      <c r="K7666" s="623">
        <v>2967</v>
      </c>
      <c r="L7666" s="623">
        <v>417605.77168000001</v>
      </c>
      <c r="M7666" s="623">
        <v>417605.77168000001</v>
      </c>
      <c r="N7666" s="623">
        <v>130122</v>
      </c>
      <c r="O7666" s="624"/>
      <c r="Q7666" s="623">
        <v>287483.77168000001</v>
      </c>
      <c r="BD7666" s="623">
        <v>287483.77168000001</v>
      </c>
    </row>
    <row r="7667" spans="1:56">
      <c r="A7667" s="1738"/>
      <c r="B7667" s="1738"/>
      <c r="C7667" s="622" t="s">
        <v>1198</v>
      </c>
      <c r="D7667" s="623">
        <v>646522.94327499997</v>
      </c>
      <c r="E7667" s="623">
        <v>119797.95</v>
      </c>
      <c r="F7667" s="623">
        <v>526724.99327500002</v>
      </c>
      <c r="G7667" s="623">
        <v>518</v>
      </c>
      <c r="H7667" s="623">
        <v>706014.9867386698</v>
      </c>
      <c r="I7667" s="623">
        <v>64</v>
      </c>
      <c r="J7667" s="623">
        <v>59560.653530000011</v>
      </c>
      <c r="K7667" s="623">
        <v>517</v>
      </c>
      <c r="L7667" s="623">
        <v>646522.94327499997</v>
      </c>
      <c r="M7667" s="623">
        <v>646522.94327499997</v>
      </c>
      <c r="N7667" s="623">
        <v>119797.95</v>
      </c>
      <c r="O7667" s="624"/>
      <c r="P7667" s="623">
        <v>526724.99327500002</v>
      </c>
      <c r="Q7667" s="623">
        <v>526724.99327500002</v>
      </c>
    </row>
    <row r="7668" spans="1:56">
      <c r="A7668" s="1738"/>
      <c r="B7668" s="1738"/>
      <c r="C7668" s="622" t="s">
        <v>1199</v>
      </c>
      <c r="D7668" s="623">
        <v>7784.2299600000006</v>
      </c>
      <c r="E7668" s="623">
        <v>1956.1499999999999</v>
      </c>
      <c r="F7668" s="623">
        <v>5828.0799600000009</v>
      </c>
      <c r="G7668" s="623">
        <v>595</v>
      </c>
      <c r="H7668" s="623">
        <v>7961.6290635950591</v>
      </c>
      <c r="I7668" s="623">
        <v>67</v>
      </c>
      <c r="J7668" s="623">
        <v>177.39913999999999</v>
      </c>
      <c r="K7668" s="623">
        <v>595</v>
      </c>
      <c r="L7668" s="623">
        <v>7784.2299600000006</v>
      </c>
      <c r="M7668" s="623">
        <v>7784.2299600000006</v>
      </c>
      <c r="N7668" s="623">
        <v>1956.1499999999999</v>
      </c>
      <c r="O7668" s="624"/>
      <c r="P7668" s="623">
        <v>5828.0799600000009</v>
      </c>
      <c r="Q7668" s="623">
        <v>5828.0799600000009</v>
      </c>
    </row>
    <row r="7669" spans="1:56">
      <c r="A7669" s="1737"/>
      <c r="B7669" s="1737"/>
      <c r="C7669" s="625" t="s">
        <v>1202</v>
      </c>
      <c r="D7669" s="623">
        <v>276.44135999999997</v>
      </c>
      <c r="E7669" s="623"/>
      <c r="F7669" s="623">
        <v>276.44135999999997</v>
      </c>
      <c r="G7669" s="623">
        <v>0</v>
      </c>
      <c r="H7669" s="623">
        <v>224.67743999999999</v>
      </c>
      <c r="I7669" s="623">
        <v>0</v>
      </c>
      <c r="J7669" s="623">
        <v>0</v>
      </c>
      <c r="K7669" s="623">
        <v>0</v>
      </c>
      <c r="L7669" s="623">
        <v>222.47472499999998</v>
      </c>
      <c r="M7669" s="623">
        <v>222.47472499999998</v>
      </c>
      <c r="N7669" s="623">
        <v>0</v>
      </c>
      <c r="O7669" s="624"/>
      <c r="P7669" s="623">
        <v>222.47472499999998</v>
      </c>
      <c r="Q7669" s="623">
        <v>222.47472499999998</v>
      </c>
    </row>
    <row r="7670" spans="1:56">
      <c r="A7670" s="1736">
        <v>26</v>
      </c>
      <c r="B7670" s="1736" t="s">
        <v>1963</v>
      </c>
      <c r="C7670" s="587" t="s">
        <v>1196</v>
      </c>
      <c r="D7670" s="621">
        <f>D7671+D7672+D7673</f>
        <v>668541.37566000002</v>
      </c>
      <c r="E7670" s="621">
        <f t="shared" ref="E7670:Q7670" si="183">E7671+E7672+E7673</f>
        <v>77071.05</v>
      </c>
      <c r="F7670" s="621">
        <f t="shared" si="183"/>
        <v>591470.32565999997</v>
      </c>
      <c r="G7670" s="621">
        <f t="shared" si="183"/>
        <v>1891</v>
      </c>
      <c r="H7670" s="621">
        <f t="shared" si="183"/>
        <v>692618.38294189866</v>
      </c>
      <c r="I7670" s="621">
        <f t="shared" si="183"/>
        <v>184</v>
      </c>
      <c r="J7670" s="621">
        <f t="shared" si="183"/>
        <v>24828.789499999999</v>
      </c>
      <c r="K7670" s="621">
        <f t="shared" si="183"/>
        <v>1849</v>
      </c>
      <c r="L7670" s="621">
        <f t="shared" si="183"/>
        <v>668541.37566000002</v>
      </c>
      <c r="M7670" s="621">
        <f t="shared" si="183"/>
        <v>668541.37566000002</v>
      </c>
      <c r="N7670" s="621">
        <f t="shared" si="183"/>
        <v>77071.05</v>
      </c>
      <c r="O7670" s="621">
        <f t="shared" si="183"/>
        <v>0</v>
      </c>
      <c r="P7670" s="621">
        <f>AL7671+P7672+P7673</f>
        <v>591470.32565999997</v>
      </c>
      <c r="Q7670" s="621">
        <f t="shared" si="183"/>
        <v>591470.32565999997</v>
      </c>
    </row>
    <row r="7671" spans="1:56">
      <c r="A7671" s="1738"/>
      <c r="B7671" s="1738"/>
      <c r="C7671" s="622" t="s">
        <v>1197</v>
      </c>
      <c r="D7671" s="623">
        <v>121235.75868499999</v>
      </c>
      <c r="E7671" s="623">
        <v>22259.25</v>
      </c>
      <c r="F7671" s="623">
        <v>98976.508684999993</v>
      </c>
      <c r="G7671" s="623">
        <v>763</v>
      </c>
      <c r="H7671" s="623">
        <v>128311.33574058798</v>
      </c>
      <c r="I7671" s="623">
        <v>121</v>
      </c>
      <c r="J7671" s="623">
        <v>5736.9606099999992</v>
      </c>
      <c r="K7671" s="623">
        <v>761</v>
      </c>
      <c r="L7671" s="623">
        <v>121235.75868499999</v>
      </c>
      <c r="M7671" s="623">
        <v>121235.75868499999</v>
      </c>
      <c r="N7671" s="623">
        <v>22259.25</v>
      </c>
      <c r="O7671" s="624"/>
      <c r="Q7671" s="623">
        <v>98976.508684999993</v>
      </c>
      <c r="AL7671" s="623">
        <v>98976.508684999993</v>
      </c>
    </row>
    <row r="7672" spans="1:56">
      <c r="A7672" s="1738"/>
      <c r="B7672" s="1738"/>
      <c r="C7672" s="622" t="s">
        <v>1198</v>
      </c>
      <c r="D7672" s="623">
        <v>480365.53455500002</v>
      </c>
      <c r="E7672" s="623">
        <v>39733.5</v>
      </c>
      <c r="F7672" s="623">
        <v>440632.03455500002</v>
      </c>
      <c r="G7672" s="623">
        <v>485</v>
      </c>
      <c r="H7672" s="623">
        <v>496146.77044901601</v>
      </c>
      <c r="I7672" s="623">
        <v>55</v>
      </c>
      <c r="J7672" s="623">
        <v>19033.44241</v>
      </c>
      <c r="K7672" s="623">
        <v>484</v>
      </c>
      <c r="L7672" s="623">
        <v>480365.53455500002</v>
      </c>
      <c r="M7672" s="623">
        <v>480365.53455500002</v>
      </c>
      <c r="N7672" s="623">
        <v>39733.5</v>
      </c>
      <c r="O7672" s="624"/>
      <c r="P7672" s="623">
        <v>440632.03455500002</v>
      </c>
      <c r="Q7672" s="623">
        <v>440632.03455500002</v>
      </c>
    </row>
    <row r="7673" spans="1:56">
      <c r="A7673" s="1737"/>
      <c r="B7673" s="1737"/>
      <c r="C7673" s="622" t="s">
        <v>1199</v>
      </c>
      <c r="D7673" s="623">
        <v>66940.082419999992</v>
      </c>
      <c r="E7673" s="623">
        <v>15078.3</v>
      </c>
      <c r="F7673" s="623">
        <v>51861.782419999989</v>
      </c>
      <c r="G7673" s="623">
        <v>643</v>
      </c>
      <c r="H7673" s="623">
        <v>68160.276752294667</v>
      </c>
      <c r="I7673" s="623">
        <v>8</v>
      </c>
      <c r="J7673" s="623">
        <v>58.386479999999999</v>
      </c>
      <c r="K7673" s="623">
        <v>604</v>
      </c>
      <c r="L7673" s="623">
        <v>66940.082419999992</v>
      </c>
      <c r="M7673" s="623">
        <v>66940.082419999992</v>
      </c>
      <c r="N7673" s="623">
        <v>15078.3</v>
      </c>
      <c r="O7673" s="624"/>
      <c r="P7673" s="623">
        <v>51861.782419999989</v>
      </c>
      <c r="Q7673" s="623">
        <v>51861.782419999989</v>
      </c>
    </row>
    <row r="7674" spans="1:56">
      <c r="A7674" s="1736">
        <v>27</v>
      </c>
      <c r="B7674" s="1736" t="s">
        <v>1964</v>
      </c>
      <c r="C7674" s="587" t="s">
        <v>1196</v>
      </c>
      <c r="D7674" s="621">
        <f>D7675+D7676+D7677</f>
        <v>2082110.9317800002</v>
      </c>
      <c r="E7674" s="621">
        <f t="shared" ref="E7674:Q7674" si="184">E7675+E7676+E7677</f>
        <v>482464.50000000006</v>
      </c>
      <c r="F7674" s="621">
        <f t="shared" si="184"/>
        <v>1599646.4317800002</v>
      </c>
      <c r="G7674" s="621">
        <f t="shared" si="184"/>
        <v>3231</v>
      </c>
      <c r="H7674" s="621">
        <f t="shared" si="184"/>
        <v>2108114.9511069325</v>
      </c>
      <c r="I7674" s="621">
        <f t="shared" si="184"/>
        <v>331</v>
      </c>
      <c r="J7674" s="621">
        <f t="shared" si="184"/>
        <v>101911.52387479959</v>
      </c>
      <c r="K7674" s="621">
        <f t="shared" si="184"/>
        <v>3246</v>
      </c>
      <c r="L7674" s="621">
        <f t="shared" si="184"/>
        <v>2082110.9317800002</v>
      </c>
      <c r="M7674" s="621">
        <f t="shared" si="184"/>
        <v>2082110.9317800002</v>
      </c>
      <c r="N7674" s="621">
        <f t="shared" si="184"/>
        <v>482464.50000000006</v>
      </c>
      <c r="O7674" s="621">
        <f t="shared" si="184"/>
        <v>0</v>
      </c>
      <c r="P7674" s="621">
        <f>BD7675+P7676+P7677</f>
        <v>1599646.4317800002</v>
      </c>
      <c r="Q7674" s="621">
        <f t="shared" si="184"/>
        <v>1599646.4317800002</v>
      </c>
    </row>
    <row r="7675" spans="1:56">
      <c r="A7675" s="1738"/>
      <c r="B7675" s="1738"/>
      <c r="C7675" s="622" t="s">
        <v>1197</v>
      </c>
      <c r="D7675" s="623">
        <v>370276.58256000001</v>
      </c>
      <c r="E7675" s="623">
        <v>75000.149999999994</v>
      </c>
      <c r="F7675" s="623">
        <v>295276.43255999999</v>
      </c>
      <c r="G7675" s="623">
        <v>1043</v>
      </c>
      <c r="H7675" s="623">
        <v>386195.59077051899</v>
      </c>
      <c r="I7675" s="623">
        <v>122</v>
      </c>
      <c r="J7675" s="623">
        <v>14765.530929999999</v>
      </c>
      <c r="K7675" s="623">
        <v>1047</v>
      </c>
      <c r="L7675" s="623">
        <v>370276.58256000001</v>
      </c>
      <c r="M7675" s="623">
        <v>370276.58256000001</v>
      </c>
      <c r="N7675" s="623">
        <v>75000.149999999994</v>
      </c>
      <c r="O7675" s="624"/>
      <c r="Q7675" s="623">
        <v>295276.43255999999</v>
      </c>
      <c r="BD7675" s="623">
        <v>295276.43255999999</v>
      </c>
    </row>
    <row r="7676" spans="1:56">
      <c r="A7676" s="1738"/>
      <c r="B7676" s="1738"/>
      <c r="C7676" s="622" t="s">
        <v>1198</v>
      </c>
      <c r="D7676" s="623">
        <v>1706591.9753400001</v>
      </c>
      <c r="E7676" s="623">
        <v>406159.53</v>
      </c>
      <c r="F7676" s="623">
        <v>1300432.4453400001</v>
      </c>
      <c r="G7676" s="623">
        <v>1993</v>
      </c>
      <c r="H7676" s="623">
        <v>1716732.648491614</v>
      </c>
      <c r="I7676" s="623">
        <v>173</v>
      </c>
      <c r="J7676" s="623">
        <v>87201.654980000007</v>
      </c>
      <c r="K7676" s="623">
        <v>2004</v>
      </c>
      <c r="L7676" s="623">
        <v>1706591.9753400001</v>
      </c>
      <c r="M7676" s="623">
        <v>1706591.9753400001</v>
      </c>
      <c r="N7676" s="623">
        <v>406159.53</v>
      </c>
      <c r="O7676" s="624"/>
      <c r="P7676" s="623">
        <v>1300432.4453400001</v>
      </c>
      <c r="Q7676" s="623">
        <v>1300432.4453400001</v>
      </c>
    </row>
    <row r="7677" spans="1:56">
      <c r="A7677" s="1737"/>
      <c r="B7677" s="1737"/>
      <c r="C7677" s="622" t="s">
        <v>1199</v>
      </c>
      <c r="D7677" s="623">
        <v>5242.3738800000001</v>
      </c>
      <c r="E7677" s="623">
        <v>1304.82</v>
      </c>
      <c r="F7677" s="623">
        <v>3937.5538800000004</v>
      </c>
      <c r="G7677" s="623">
        <v>195</v>
      </c>
      <c r="H7677" s="623">
        <v>5186.7118447995845</v>
      </c>
      <c r="I7677" s="623">
        <v>36</v>
      </c>
      <c r="J7677" s="623">
        <v>-55.66203520041563</v>
      </c>
      <c r="K7677" s="623">
        <v>195</v>
      </c>
      <c r="L7677" s="623">
        <v>5242.3738800000001</v>
      </c>
      <c r="M7677" s="623">
        <v>5242.3738800000001</v>
      </c>
      <c r="N7677" s="623">
        <v>1304.82</v>
      </c>
      <c r="O7677" s="624"/>
      <c r="P7677" s="623">
        <v>3937.5538800000004</v>
      </c>
      <c r="Q7677" s="623">
        <v>3937.5538800000004</v>
      </c>
    </row>
    <row r="7678" spans="1:56">
      <c r="A7678" s="1736">
        <v>28</v>
      </c>
      <c r="B7678" s="1736" t="s">
        <v>1386</v>
      </c>
      <c r="C7678" s="587" t="s">
        <v>1196</v>
      </c>
      <c r="D7678" s="621">
        <f>D7679+D7680+D7681</f>
        <v>246328.77926999997</v>
      </c>
      <c r="E7678" s="621">
        <f t="shared" ref="E7678:Q7678" si="185">E7679+E7680+E7681</f>
        <v>21516.6</v>
      </c>
      <c r="F7678" s="621">
        <f t="shared" si="185"/>
        <v>224812.17926999996</v>
      </c>
      <c r="G7678" s="621">
        <f t="shared" si="185"/>
        <v>963</v>
      </c>
      <c r="H7678" s="621">
        <f t="shared" si="185"/>
        <v>249388.91405530265</v>
      </c>
      <c r="I7678" s="621">
        <f t="shared" si="185"/>
        <v>30</v>
      </c>
      <c r="J7678" s="621">
        <f t="shared" si="185"/>
        <v>1878.8500600000002</v>
      </c>
      <c r="K7678" s="621">
        <f t="shared" si="185"/>
        <v>959</v>
      </c>
      <c r="L7678" s="621">
        <f t="shared" si="185"/>
        <v>246328.77926999997</v>
      </c>
      <c r="M7678" s="621">
        <f t="shared" si="185"/>
        <v>246328.77926999997</v>
      </c>
      <c r="N7678" s="621">
        <f t="shared" si="185"/>
        <v>21516.6</v>
      </c>
      <c r="O7678" s="621">
        <f t="shared" si="185"/>
        <v>0</v>
      </c>
      <c r="P7678" s="621">
        <f>AL7679+P7680+P7681</f>
        <v>224812.17926999996</v>
      </c>
      <c r="Q7678" s="621">
        <f t="shared" si="185"/>
        <v>224812.17926999996</v>
      </c>
    </row>
    <row r="7679" spans="1:56">
      <c r="A7679" s="1738"/>
      <c r="B7679" s="1738"/>
      <c r="C7679" s="622" t="s">
        <v>1197</v>
      </c>
      <c r="D7679" s="623">
        <v>7774.7040000000006</v>
      </c>
      <c r="E7679" s="623">
        <v>1970.9699999999998</v>
      </c>
      <c r="F7679" s="623">
        <v>5803.7340000000004</v>
      </c>
      <c r="G7679" s="623">
        <v>92</v>
      </c>
      <c r="H7679" s="623">
        <v>8363.410378636001</v>
      </c>
      <c r="I7679" s="623">
        <v>12</v>
      </c>
      <c r="J7679" s="623">
        <v>163.01931000000002</v>
      </c>
      <c r="K7679" s="623">
        <v>92</v>
      </c>
      <c r="L7679" s="623">
        <v>7774.7040000000006</v>
      </c>
      <c r="M7679" s="623">
        <v>7774.7040000000006</v>
      </c>
      <c r="N7679" s="623">
        <v>1970.9699999999998</v>
      </c>
      <c r="O7679" s="624"/>
      <c r="Q7679" s="623">
        <v>5803.7340000000004</v>
      </c>
      <c r="AL7679" s="623">
        <v>5803.7340000000004</v>
      </c>
    </row>
    <row r="7680" spans="1:56">
      <c r="A7680" s="1738"/>
      <c r="B7680" s="1738"/>
      <c r="C7680" s="622" t="s">
        <v>1198</v>
      </c>
      <c r="D7680" s="623">
        <v>0</v>
      </c>
      <c r="E7680" s="623">
        <v>0</v>
      </c>
      <c r="F7680" s="623">
        <v>0</v>
      </c>
      <c r="G7680" s="623">
        <v>0</v>
      </c>
      <c r="H7680" s="623">
        <v>0</v>
      </c>
      <c r="I7680" s="623">
        <v>0</v>
      </c>
      <c r="J7680" s="623">
        <v>0</v>
      </c>
      <c r="K7680" s="623">
        <v>0</v>
      </c>
      <c r="L7680" s="623">
        <v>0</v>
      </c>
      <c r="M7680" s="623">
        <v>0</v>
      </c>
      <c r="N7680" s="623">
        <v>0</v>
      </c>
      <c r="O7680" s="624"/>
      <c r="P7680" s="623">
        <v>0</v>
      </c>
      <c r="Q7680" s="623">
        <v>0</v>
      </c>
    </row>
    <row r="7681" spans="1:106">
      <c r="A7681" s="1737"/>
      <c r="B7681" s="1737"/>
      <c r="C7681" s="622" t="s">
        <v>1199</v>
      </c>
      <c r="D7681" s="623">
        <v>238554.07526999997</v>
      </c>
      <c r="E7681" s="623">
        <v>19545.629999999997</v>
      </c>
      <c r="F7681" s="623">
        <v>219008.44526999997</v>
      </c>
      <c r="G7681" s="623">
        <v>871</v>
      </c>
      <c r="H7681" s="623">
        <v>241025.50367666665</v>
      </c>
      <c r="I7681" s="623">
        <v>18</v>
      </c>
      <c r="J7681" s="623">
        <v>1715.8307500000001</v>
      </c>
      <c r="K7681" s="623">
        <v>867</v>
      </c>
      <c r="L7681" s="623">
        <v>238554.07526999997</v>
      </c>
      <c r="M7681" s="623">
        <v>238554.07526999997</v>
      </c>
      <c r="N7681" s="623">
        <v>19545.629999999997</v>
      </c>
      <c r="O7681" s="624"/>
      <c r="P7681" s="623">
        <v>219008.44526999997</v>
      </c>
      <c r="Q7681" s="623">
        <v>219008.44526999997</v>
      </c>
    </row>
    <row r="7682" spans="1:106">
      <c r="A7682" s="1736">
        <v>29</v>
      </c>
      <c r="B7682" s="1736" t="s">
        <v>1965</v>
      </c>
      <c r="C7682" s="587" t="s">
        <v>1196</v>
      </c>
      <c r="D7682" s="621">
        <f>D7683+D7684+D7685</f>
        <v>28627.44486</v>
      </c>
      <c r="E7682" s="621">
        <f t="shared" ref="E7682:Q7682" si="186">E7683+E7684+E7685</f>
        <v>9793.5</v>
      </c>
      <c r="F7682" s="621">
        <f t="shared" si="186"/>
        <v>18833.94486</v>
      </c>
      <c r="G7682" s="621">
        <f t="shared" si="186"/>
        <v>731</v>
      </c>
      <c r="H7682" s="621">
        <f t="shared" si="186"/>
        <v>29451.316128375998</v>
      </c>
      <c r="I7682" s="621">
        <f t="shared" si="186"/>
        <v>50</v>
      </c>
      <c r="J7682" s="621">
        <f t="shared" si="186"/>
        <v>823.72898000000009</v>
      </c>
      <c r="K7682" s="621">
        <f t="shared" si="186"/>
        <v>730</v>
      </c>
      <c r="L7682" s="621">
        <f t="shared" si="186"/>
        <v>28627.44486</v>
      </c>
      <c r="M7682" s="621">
        <f t="shared" si="186"/>
        <v>28627.44486</v>
      </c>
      <c r="N7682" s="621">
        <f t="shared" si="186"/>
        <v>9793.5</v>
      </c>
      <c r="O7682" s="621">
        <f t="shared" si="186"/>
        <v>0</v>
      </c>
      <c r="P7682" s="621">
        <f>DB7683+P7684+P7685</f>
        <v>18833.94486</v>
      </c>
      <c r="Q7682" s="621">
        <f t="shared" si="186"/>
        <v>18833.94486</v>
      </c>
    </row>
    <row r="7683" spans="1:106">
      <c r="A7683" s="1738"/>
      <c r="B7683" s="1738"/>
      <c r="C7683" s="622" t="s">
        <v>1197</v>
      </c>
      <c r="D7683" s="623">
        <v>24724.535400000001</v>
      </c>
      <c r="E7683" s="623">
        <v>8353.5</v>
      </c>
      <c r="F7683" s="623">
        <v>16371.035400000001</v>
      </c>
      <c r="G7683" s="623">
        <v>433</v>
      </c>
      <c r="H7683" s="623">
        <v>25480.163880145999</v>
      </c>
      <c r="I7683" s="623">
        <v>39</v>
      </c>
      <c r="J7683" s="623">
        <v>755.45181000000014</v>
      </c>
      <c r="K7683" s="623">
        <v>433</v>
      </c>
      <c r="L7683" s="623">
        <v>24724.535400000001</v>
      </c>
      <c r="M7683" s="623">
        <v>24724.535400000001</v>
      </c>
      <c r="N7683" s="623">
        <v>8353.5</v>
      </c>
      <c r="O7683" s="624"/>
      <c r="Q7683" s="623">
        <v>16371.035400000001</v>
      </c>
      <c r="DB7683" s="623">
        <v>16371.035400000001</v>
      </c>
    </row>
    <row r="7684" spans="1:106">
      <c r="A7684" s="1738"/>
      <c r="B7684" s="1738"/>
      <c r="C7684" s="622" t="s">
        <v>1198</v>
      </c>
      <c r="D7684" s="623">
        <v>0</v>
      </c>
      <c r="E7684" s="623">
        <v>0</v>
      </c>
      <c r="F7684" s="623">
        <v>0</v>
      </c>
      <c r="G7684" s="623">
        <v>0</v>
      </c>
      <c r="H7684" s="623">
        <v>0</v>
      </c>
      <c r="I7684" s="623">
        <v>0</v>
      </c>
      <c r="J7684" s="623">
        <v>0</v>
      </c>
      <c r="K7684" s="623">
        <v>0</v>
      </c>
      <c r="L7684" s="623">
        <v>0</v>
      </c>
      <c r="M7684" s="623">
        <v>0</v>
      </c>
      <c r="N7684" s="623">
        <v>0</v>
      </c>
      <c r="O7684" s="624"/>
      <c r="P7684" s="623">
        <v>0</v>
      </c>
      <c r="Q7684" s="623">
        <v>0</v>
      </c>
    </row>
    <row r="7685" spans="1:106">
      <c r="A7685" s="1737"/>
      <c r="B7685" s="1737"/>
      <c r="C7685" s="622" t="s">
        <v>1199</v>
      </c>
      <c r="D7685" s="623">
        <v>3902.9094599999999</v>
      </c>
      <c r="E7685" s="623">
        <v>1440</v>
      </c>
      <c r="F7685" s="623">
        <v>2462.9094599999999</v>
      </c>
      <c r="G7685" s="623">
        <v>298</v>
      </c>
      <c r="H7685" s="623">
        <v>3971.1522482300002</v>
      </c>
      <c r="I7685" s="623">
        <v>11</v>
      </c>
      <c r="J7685" s="623">
        <v>68.277169999999998</v>
      </c>
      <c r="K7685" s="623">
        <v>297</v>
      </c>
      <c r="L7685" s="623">
        <v>3902.9094599999999</v>
      </c>
      <c r="M7685" s="623">
        <v>3902.9094599999999</v>
      </c>
      <c r="N7685" s="623">
        <v>1440</v>
      </c>
      <c r="O7685" s="624"/>
      <c r="P7685" s="623">
        <v>2462.9094599999999</v>
      </c>
      <c r="Q7685" s="623">
        <v>2462.9094599999999</v>
      </c>
    </row>
    <row r="7686" spans="1:106">
      <c r="A7686" s="1736">
        <v>30</v>
      </c>
      <c r="B7686" s="1736" t="s">
        <v>1966</v>
      </c>
      <c r="C7686" s="587" t="s">
        <v>1196</v>
      </c>
      <c r="D7686" s="621">
        <f>D7687+D7688+D7689</f>
        <v>1154702.4600499999</v>
      </c>
      <c r="E7686" s="621">
        <f t="shared" ref="E7686:Q7686" si="187">E7687+E7688+E7689</f>
        <v>252933.30000000002</v>
      </c>
      <c r="F7686" s="621">
        <f t="shared" si="187"/>
        <v>901769.16005000006</v>
      </c>
      <c r="G7686" s="621">
        <f t="shared" si="187"/>
        <v>19636</v>
      </c>
      <c r="H7686" s="621">
        <f t="shared" si="187"/>
        <v>1299779.6067371625</v>
      </c>
      <c r="I7686" s="621">
        <f t="shared" si="187"/>
        <v>3764</v>
      </c>
      <c r="J7686" s="621">
        <f t="shared" si="187"/>
        <v>136874.04457</v>
      </c>
      <c r="K7686" s="621">
        <f t="shared" si="187"/>
        <v>19395</v>
      </c>
      <c r="L7686" s="621">
        <f t="shared" si="187"/>
        <v>1154702.4600499999</v>
      </c>
      <c r="M7686" s="621">
        <f t="shared" si="187"/>
        <v>1154702.4600499999</v>
      </c>
      <c r="N7686" s="621">
        <f t="shared" si="187"/>
        <v>252933.30000000002</v>
      </c>
      <c r="O7686" s="621">
        <f t="shared" si="187"/>
        <v>0</v>
      </c>
      <c r="P7686" s="621">
        <f>AL7687+P7688+P7689</f>
        <v>901769.16005000006</v>
      </c>
      <c r="Q7686" s="621">
        <f t="shared" si="187"/>
        <v>901769.16005000006</v>
      </c>
    </row>
    <row r="7687" spans="1:106">
      <c r="A7687" s="1738"/>
      <c r="B7687" s="1738"/>
      <c r="C7687" s="622" t="s">
        <v>1197</v>
      </c>
      <c r="D7687" s="623">
        <v>915819.71437000006</v>
      </c>
      <c r="E7687" s="623">
        <v>226570.62</v>
      </c>
      <c r="F7687" s="623">
        <v>689249.09437000006</v>
      </c>
      <c r="G7687" s="623">
        <v>18342</v>
      </c>
      <c r="H7687" s="623">
        <v>1044486.9215561545</v>
      </c>
      <c r="I7687" s="623">
        <v>3643</v>
      </c>
      <c r="J7687" s="623">
        <v>120215.59010999999</v>
      </c>
      <c r="K7687" s="623">
        <v>18103</v>
      </c>
      <c r="L7687" s="623">
        <v>915819.71437000006</v>
      </c>
      <c r="M7687" s="623">
        <v>915819.71437000006</v>
      </c>
      <c r="N7687" s="623">
        <v>226570.62</v>
      </c>
      <c r="O7687" s="624"/>
      <c r="Q7687" s="623">
        <v>689249.09437000006</v>
      </c>
      <c r="AL7687" s="623">
        <v>689249.09437000006</v>
      </c>
    </row>
    <row r="7688" spans="1:106">
      <c r="A7688" s="1738"/>
      <c r="B7688" s="1738"/>
      <c r="C7688" s="622" t="s">
        <v>1198</v>
      </c>
      <c r="D7688" s="623">
        <v>170233.91000999999</v>
      </c>
      <c r="E7688" s="623">
        <v>12616.17</v>
      </c>
      <c r="F7688" s="623">
        <v>157617.74000999998</v>
      </c>
      <c r="G7688" s="623">
        <v>468</v>
      </c>
      <c r="H7688" s="623">
        <v>184948.62171763519</v>
      </c>
      <c r="I7688" s="623">
        <v>107</v>
      </c>
      <c r="J7688" s="623">
        <v>16425.183410000001</v>
      </c>
      <c r="K7688" s="623">
        <v>468</v>
      </c>
      <c r="L7688" s="623">
        <v>170233.91000999999</v>
      </c>
      <c r="M7688" s="623">
        <v>170233.91000999999</v>
      </c>
      <c r="N7688" s="623">
        <v>12616.17</v>
      </c>
      <c r="O7688" s="624"/>
      <c r="P7688" s="623">
        <v>157617.74000999998</v>
      </c>
      <c r="Q7688" s="623">
        <v>157617.74000999998</v>
      </c>
    </row>
    <row r="7689" spans="1:106">
      <c r="A7689" s="1737"/>
      <c r="B7689" s="1737"/>
      <c r="C7689" s="622" t="s">
        <v>1199</v>
      </c>
      <c r="D7689" s="623">
        <v>68648.83567</v>
      </c>
      <c r="E7689" s="623">
        <v>13746.509999999998</v>
      </c>
      <c r="F7689" s="623">
        <v>54902.325670000006</v>
      </c>
      <c r="G7689" s="623">
        <v>826</v>
      </c>
      <c r="H7689" s="623">
        <v>70344.063463372659</v>
      </c>
      <c r="I7689" s="623">
        <v>14</v>
      </c>
      <c r="J7689" s="623">
        <v>233.27105</v>
      </c>
      <c r="K7689" s="623">
        <v>824</v>
      </c>
      <c r="L7689" s="623">
        <v>68648.83567</v>
      </c>
      <c r="M7689" s="623">
        <v>68648.83567</v>
      </c>
      <c r="N7689" s="623">
        <v>13746.509999999998</v>
      </c>
      <c r="O7689" s="624"/>
      <c r="P7689" s="623">
        <v>54902.325670000006</v>
      </c>
      <c r="Q7689" s="623">
        <v>54902.325670000006</v>
      </c>
    </row>
    <row r="7690" spans="1:106">
      <c r="A7690" s="1736">
        <v>31</v>
      </c>
      <c r="B7690" s="1739" t="s">
        <v>1967</v>
      </c>
      <c r="C7690" s="587" t="s">
        <v>1196</v>
      </c>
      <c r="D7690" s="621">
        <f>D7691</f>
        <v>1257132.9798999999</v>
      </c>
      <c r="E7690" s="621">
        <f t="shared" ref="E7690:Q7690" si="188">E7691</f>
        <v>392141.1</v>
      </c>
      <c r="F7690" s="621">
        <f t="shared" si="188"/>
        <v>864991.87989999994</v>
      </c>
      <c r="G7690" s="621">
        <f t="shared" si="188"/>
        <v>1276</v>
      </c>
      <c r="H7690" s="621">
        <f t="shared" si="188"/>
        <v>1275455.34173</v>
      </c>
      <c r="I7690" s="621">
        <f t="shared" si="188"/>
        <v>106</v>
      </c>
      <c r="J7690" s="621">
        <f t="shared" si="188"/>
        <v>20657.2323</v>
      </c>
      <c r="K7690" s="621">
        <f t="shared" si="188"/>
        <v>1266</v>
      </c>
      <c r="L7690" s="621">
        <f t="shared" si="188"/>
        <v>1257132.9798999999</v>
      </c>
      <c r="M7690" s="621">
        <f t="shared" si="188"/>
        <v>1257132.9798999999</v>
      </c>
      <c r="N7690" s="621">
        <f t="shared" si="188"/>
        <v>392141.1</v>
      </c>
      <c r="O7690" s="621">
        <f t="shared" si="188"/>
        <v>0</v>
      </c>
      <c r="P7690" s="621">
        <f>BD7691</f>
        <v>864991.87989999994</v>
      </c>
      <c r="Q7690" s="621">
        <f t="shared" si="188"/>
        <v>864991.87989999994</v>
      </c>
    </row>
    <row r="7691" spans="1:106">
      <c r="A7691" s="1737"/>
      <c r="B7691" s="1740"/>
      <c r="C7691" s="622" t="s">
        <v>1197</v>
      </c>
      <c r="D7691" s="623">
        <v>1257132.9798999999</v>
      </c>
      <c r="E7691" s="623">
        <v>392141.1</v>
      </c>
      <c r="F7691" s="623">
        <v>864991.87989999994</v>
      </c>
      <c r="G7691" s="623">
        <v>1276</v>
      </c>
      <c r="H7691" s="623">
        <v>1275455.34173</v>
      </c>
      <c r="I7691" s="623">
        <v>106</v>
      </c>
      <c r="J7691" s="623">
        <v>20657.2323</v>
      </c>
      <c r="K7691" s="623">
        <v>1266</v>
      </c>
      <c r="L7691" s="623">
        <v>1257132.9798999999</v>
      </c>
      <c r="M7691" s="623">
        <v>1257132.9798999999</v>
      </c>
      <c r="N7691" s="623">
        <v>392141.1</v>
      </c>
      <c r="O7691" s="624"/>
      <c r="Q7691" s="623">
        <v>864991.87989999994</v>
      </c>
      <c r="AU7691" s="623">
        <v>318156.48599999998</v>
      </c>
      <c r="BD7691" s="623">
        <v>864991.87989999994</v>
      </c>
    </row>
    <row r="7692" spans="1:106">
      <c r="A7692" s="1736">
        <v>32</v>
      </c>
      <c r="B7692" s="1736" t="s">
        <v>1968</v>
      </c>
      <c r="C7692" s="587" t="s">
        <v>1196</v>
      </c>
      <c r="D7692" s="621">
        <f>D7693</f>
        <v>445949.28599999996</v>
      </c>
      <c r="E7692" s="621">
        <f t="shared" ref="E7692:Q7692" si="189">E7693</f>
        <v>127792.79999999999</v>
      </c>
      <c r="F7692" s="621">
        <f t="shared" si="189"/>
        <v>318156.48599999998</v>
      </c>
      <c r="G7692" s="621">
        <f t="shared" si="189"/>
        <v>2551</v>
      </c>
      <c r="H7692" s="621">
        <f t="shared" si="189"/>
        <v>457140.22399999999</v>
      </c>
      <c r="I7692" s="621">
        <f t="shared" si="189"/>
        <v>95</v>
      </c>
      <c r="J7692" s="621">
        <f t="shared" si="189"/>
        <v>5805.4007499999998</v>
      </c>
      <c r="K7692" s="621">
        <f t="shared" si="189"/>
        <v>2547</v>
      </c>
      <c r="L7692" s="621">
        <f t="shared" si="189"/>
        <v>445949.28599999996</v>
      </c>
      <c r="M7692" s="621">
        <f t="shared" si="189"/>
        <v>445949.28599999996</v>
      </c>
      <c r="N7692" s="621">
        <f t="shared" si="189"/>
        <v>127792.79999999999</v>
      </c>
      <c r="O7692" s="621">
        <f t="shared" si="189"/>
        <v>0</v>
      </c>
      <c r="P7692" s="621">
        <f>AU7691</f>
        <v>318156.48599999998</v>
      </c>
      <c r="Q7692" s="621">
        <f t="shared" si="189"/>
        <v>318156.48599999998</v>
      </c>
    </row>
    <row r="7693" spans="1:106">
      <c r="A7693" s="1737"/>
      <c r="B7693" s="1737"/>
      <c r="C7693" s="622" t="s">
        <v>1197</v>
      </c>
      <c r="D7693" s="623">
        <v>445949.28599999996</v>
      </c>
      <c r="E7693" s="623">
        <v>127792.79999999999</v>
      </c>
      <c r="F7693" s="623">
        <v>318156.48599999998</v>
      </c>
      <c r="G7693" s="623">
        <v>2551</v>
      </c>
      <c r="H7693" s="623">
        <v>457140.22399999999</v>
      </c>
      <c r="I7693" s="623">
        <v>95</v>
      </c>
      <c r="J7693" s="623">
        <v>5805.4007499999998</v>
      </c>
      <c r="K7693" s="623">
        <v>2547</v>
      </c>
      <c r="L7693" s="623">
        <v>445949.28599999996</v>
      </c>
      <c r="M7693" s="623">
        <v>445949.28599999996</v>
      </c>
      <c r="N7693" s="623">
        <v>127792.79999999999</v>
      </c>
      <c r="O7693" s="624"/>
      <c r="Q7693" s="623">
        <v>318156.48599999998</v>
      </c>
    </row>
    <row r="7694" spans="1:106">
      <c r="A7694" s="1736">
        <v>33</v>
      </c>
      <c r="B7694" s="1736" t="s">
        <v>1969</v>
      </c>
      <c r="C7694" s="587" t="s">
        <v>1196</v>
      </c>
      <c r="D7694" s="621">
        <f>D7695</f>
        <v>139191.59</v>
      </c>
      <c r="E7694" s="621">
        <f t="shared" ref="E7694:Q7694" si="190">E7695</f>
        <v>42714.6</v>
      </c>
      <c r="F7694" s="621">
        <f t="shared" si="190"/>
        <v>96476.989999999991</v>
      </c>
      <c r="G7694" s="621">
        <f t="shared" si="190"/>
        <v>1512</v>
      </c>
      <c r="H7694" s="621">
        <f t="shared" si="190"/>
        <v>141260.13199999998</v>
      </c>
      <c r="I7694" s="621">
        <f t="shared" si="190"/>
        <v>51</v>
      </c>
      <c r="J7694" s="621">
        <f t="shared" si="190"/>
        <v>1521.5249999999999</v>
      </c>
      <c r="K7694" s="621">
        <f t="shared" si="190"/>
        <v>1510</v>
      </c>
      <c r="L7694" s="621">
        <f t="shared" si="190"/>
        <v>139191.59</v>
      </c>
      <c r="M7694" s="621">
        <f t="shared" si="190"/>
        <v>139191.59</v>
      </c>
      <c r="N7694" s="621">
        <f t="shared" si="190"/>
        <v>42714.6</v>
      </c>
      <c r="O7694" s="621">
        <f t="shared" si="190"/>
        <v>0</v>
      </c>
      <c r="P7694" s="621">
        <f t="shared" si="190"/>
        <v>96476.989999999991</v>
      </c>
      <c r="Q7694" s="621">
        <f t="shared" si="190"/>
        <v>96476.989999999991</v>
      </c>
    </row>
    <row r="7695" spans="1:106">
      <c r="A7695" s="1737"/>
      <c r="B7695" s="1737"/>
      <c r="C7695" s="622" t="s">
        <v>1197</v>
      </c>
      <c r="D7695" s="623">
        <v>139191.59</v>
      </c>
      <c r="E7695" s="623">
        <v>42714.6</v>
      </c>
      <c r="F7695" s="623">
        <v>96476.989999999991</v>
      </c>
      <c r="G7695" s="623">
        <v>1512</v>
      </c>
      <c r="H7695" s="623">
        <v>141260.13199999998</v>
      </c>
      <c r="I7695" s="623">
        <v>51</v>
      </c>
      <c r="J7695" s="623">
        <v>1521.5249999999999</v>
      </c>
      <c r="K7695" s="623">
        <v>1510</v>
      </c>
      <c r="L7695" s="623">
        <v>139191.59</v>
      </c>
      <c r="M7695" s="623">
        <v>139191.59</v>
      </c>
      <c r="N7695" s="623">
        <v>42714.6</v>
      </c>
      <c r="O7695" s="624"/>
      <c r="P7695" s="623">
        <v>96476.989999999991</v>
      </c>
      <c r="Q7695" s="623">
        <v>96476.989999999991</v>
      </c>
    </row>
    <row r="7696" spans="1:106">
      <c r="A7696" s="1736">
        <v>34</v>
      </c>
      <c r="B7696" s="1739" t="s">
        <v>1970</v>
      </c>
      <c r="C7696" s="587" t="s">
        <v>1196</v>
      </c>
      <c r="D7696" s="621">
        <f>D7697</f>
        <v>204909.35041000001</v>
      </c>
      <c r="E7696" s="621">
        <f t="shared" ref="E7696:Q7696" si="191">E7697</f>
        <v>61114.5</v>
      </c>
      <c r="F7696" s="621">
        <f t="shared" si="191"/>
        <v>143794.85041000001</v>
      </c>
      <c r="G7696" s="621">
        <f t="shared" si="191"/>
        <v>858</v>
      </c>
      <c r="H7696" s="621">
        <f t="shared" si="191"/>
        <v>205281.89812</v>
      </c>
      <c r="I7696" s="621">
        <f t="shared" si="191"/>
        <v>6</v>
      </c>
      <c r="J7696" s="621">
        <f t="shared" si="191"/>
        <v>232.27787000000001</v>
      </c>
      <c r="K7696" s="621">
        <f t="shared" si="191"/>
        <v>858</v>
      </c>
      <c r="L7696" s="621">
        <f t="shared" si="191"/>
        <v>204909.35041000001</v>
      </c>
      <c r="M7696" s="621">
        <f t="shared" si="191"/>
        <v>204909.35041000001</v>
      </c>
      <c r="N7696" s="621">
        <f t="shared" si="191"/>
        <v>61114.5</v>
      </c>
      <c r="O7696" s="621">
        <f t="shared" si="191"/>
        <v>0</v>
      </c>
      <c r="P7696" s="621">
        <f>AN7697</f>
        <v>143794.85041000001</v>
      </c>
      <c r="Q7696" s="621">
        <f t="shared" si="191"/>
        <v>143794.85041000001</v>
      </c>
    </row>
    <row r="7697" spans="1:56">
      <c r="A7697" s="1737"/>
      <c r="B7697" s="1740"/>
      <c r="C7697" s="622" t="s">
        <v>1197</v>
      </c>
      <c r="D7697" s="623">
        <v>204909.35041000001</v>
      </c>
      <c r="E7697" s="623">
        <v>61114.5</v>
      </c>
      <c r="F7697" s="623">
        <v>143794.85041000001</v>
      </c>
      <c r="G7697" s="623">
        <v>858</v>
      </c>
      <c r="H7697" s="623">
        <v>205281.89812</v>
      </c>
      <c r="I7697" s="623">
        <v>6</v>
      </c>
      <c r="J7697" s="623">
        <v>232.27787000000001</v>
      </c>
      <c r="K7697" s="623">
        <v>858</v>
      </c>
      <c r="L7697" s="623">
        <v>204909.35041000001</v>
      </c>
      <c r="M7697" s="623">
        <v>204909.35041000001</v>
      </c>
      <c r="N7697" s="623">
        <v>61114.5</v>
      </c>
      <c r="O7697" s="624"/>
      <c r="Q7697" s="623">
        <v>143794.85041000001</v>
      </c>
      <c r="AN7697" s="623">
        <v>143794.85041000001</v>
      </c>
    </row>
    <row r="7698" spans="1:56">
      <c r="A7698" s="1736">
        <v>35</v>
      </c>
      <c r="B7698" s="1736" t="s">
        <v>1971</v>
      </c>
      <c r="C7698" s="587" t="s">
        <v>1196</v>
      </c>
      <c r="D7698" s="621">
        <f>D7699+D7700</f>
        <v>563485.06462000008</v>
      </c>
      <c r="E7698" s="621">
        <f t="shared" ref="E7698:Q7698" si="192">E7699+E7700</f>
        <v>150903.29999999999</v>
      </c>
      <c r="F7698" s="621">
        <f t="shared" si="192"/>
        <v>412581.76462000003</v>
      </c>
      <c r="G7698" s="621">
        <f t="shared" si="192"/>
        <v>3291</v>
      </c>
      <c r="H7698" s="621">
        <f t="shared" si="192"/>
        <v>590702.07571298303</v>
      </c>
      <c r="I7698" s="621">
        <f t="shared" si="192"/>
        <v>603</v>
      </c>
      <c r="J7698" s="621">
        <f t="shared" si="192"/>
        <v>36291.505519999999</v>
      </c>
      <c r="K7698" s="621">
        <f t="shared" si="192"/>
        <v>3299</v>
      </c>
      <c r="L7698" s="621">
        <f t="shared" si="192"/>
        <v>563485.06462000008</v>
      </c>
      <c r="M7698" s="621">
        <f t="shared" si="192"/>
        <v>563485.06462000008</v>
      </c>
      <c r="N7698" s="621">
        <f t="shared" si="192"/>
        <v>150903.29999999999</v>
      </c>
      <c r="O7698" s="621">
        <f t="shared" si="192"/>
        <v>0</v>
      </c>
      <c r="P7698" s="621">
        <f>BD7699+P7700</f>
        <v>412581.76462000003</v>
      </c>
      <c r="Q7698" s="621">
        <f t="shared" si="192"/>
        <v>412581.76462000003</v>
      </c>
    </row>
    <row r="7699" spans="1:56">
      <c r="A7699" s="1738"/>
      <c r="B7699" s="1738"/>
      <c r="C7699" s="622" t="s">
        <v>1197</v>
      </c>
      <c r="D7699" s="623">
        <v>400483.95646000002</v>
      </c>
      <c r="E7699" s="623">
        <v>112892.93999999999</v>
      </c>
      <c r="F7699" s="623">
        <v>287591.01646000001</v>
      </c>
      <c r="G7699" s="623">
        <v>3086</v>
      </c>
      <c r="H7699" s="623">
        <v>419770.91210298304</v>
      </c>
      <c r="I7699" s="623">
        <v>565</v>
      </c>
      <c r="J7699" s="623">
        <v>27941.537220000002</v>
      </c>
      <c r="K7699" s="623">
        <v>3093</v>
      </c>
      <c r="L7699" s="623">
        <v>400483.95646000002</v>
      </c>
      <c r="M7699" s="623">
        <v>400483.95646000002</v>
      </c>
      <c r="N7699" s="623">
        <v>112892.93999999999</v>
      </c>
      <c r="O7699" s="624"/>
      <c r="Q7699" s="623">
        <v>287591.01646000001</v>
      </c>
      <c r="BD7699" s="623">
        <v>287591.01646000001</v>
      </c>
    </row>
    <row r="7700" spans="1:56">
      <c r="A7700" s="1737"/>
      <c r="B7700" s="1737"/>
      <c r="C7700" s="622" t="s">
        <v>1198</v>
      </c>
      <c r="D7700" s="623">
        <v>163001.10816</v>
      </c>
      <c r="E7700" s="623">
        <v>38010.36</v>
      </c>
      <c r="F7700" s="623">
        <v>124990.74816</v>
      </c>
      <c r="G7700" s="623">
        <v>205</v>
      </c>
      <c r="H7700" s="623">
        <v>170931.16360999999</v>
      </c>
      <c r="I7700" s="623">
        <v>38</v>
      </c>
      <c r="J7700" s="623">
        <v>8349.9682999999986</v>
      </c>
      <c r="K7700" s="623">
        <v>206</v>
      </c>
      <c r="L7700" s="623">
        <v>163001.10816</v>
      </c>
      <c r="M7700" s="623">
        <v>163001.10816</v>
      </c>
      <c r="N7700" s="623">
        <v>38010.36</v>
      </c>
      <c r="O7700" s="624"/>
      <c r="P7700" s="623">
        <v>124990.74816</v>
      </c>
      <c r="Q7700" s="623">
        <v>124990.74816</v>
      </c>
    </row>
    <row r="7701" spans="1:56">
      <c r="A7701" s="1736">
        <v>36</v>
      </c>
      <c r="B7701" s="1736" t="s">
        <v>1972</v>
      </c>
      <c r="C7701" s="587" t="s">
        <v>1196</v>
      </c>
      <c r="D7701" s="621">
        <f>D7702+D7703+D7704</f>
        <v>1552710.4014699999</v>
      </c>
      <c r="E7701" s="621">
        <f t="shared" ref="E7701:Q7701" si="193">E7702+E7703+E7704</f>
        <v>442904.64</v>
      </c>
      <c r="F7701" s="621">
        <f t="shared" si="193"/>
        <v>1109805.76147</v>
      </c>
      <c r="G7701" s="621">
        <f t="shared" si="193"/>
        <v>4685</v>
      </c>
      <c r="H7701" s="621">
        <f t="shared" si="193"/>
        <v>1596049.7832695411</v>
      </c>
      <c r="I7701" s="621">
        <f t="shared" si="193"/>
        <v>453</v>
      </c>
      <c r="J7701" s="621">
        <f t="shared" si="193"/>
        <v>90884.50894</v>
      </c>
      <c r="K7701" s="621">
        <f t="shared" si="193"/>
        <v>4636</v>
      </c>
      <c r="L7701" s="621">
        <f t="shared" si="193"/>
        <v>1552710.4014699999</v>
      </c>
      <c r="M7701" s="621">
        <f t="shared" si="193"/>
        <v>1552710.4014699999</v>
      </c>
      <c r="N7701" s="621">
        <f t="shared" si="193"/>
        <v>442904.64</v>
      </c>
      <c r="O7701" s="621">
        <f t="shared" si="193"/>
        <v>0</v>
      </c>
      <c r="P7701" s="621">
        <f>BD7702+P7703+P7704</f>
        <v>1109805.76147</v>
      </c>
      <c r="Q7701" s="621">
        <f t="shared" si="193"/>
        <v>1109805.76147</v>
      </c>
    </row>
    <row r="7702" spans="1:56">
      <c r="A7702" s="1738"/>
      <c r="B7702" s="1738"/>
      <c r="C7702" s="622" t="s">
        <v>1197</v>
      </c>
      <c r="D7702" s="623">
        <v>606162.74950999999</v>
      </c>
      <c r="E7702" s="623">
        <v>349532.04</v>
      </c>
      <c r="F7702" s="623">
        <v>256630.70951000002</v>
      </c>
      <c r="G7702" s="623">
        <v>3297</v>
      </c>
      <c r="H7702" s="623">
        <v>632356.62724205502</v>
      </c>
      <c r="I7702" s="623">
        <v>326</v>
      </c>
      <c r="J7702" s="623">
        <v>30532.154599999998</v>
      </c>
      <c r="K7702" s="623">
        <v>3297</v>
      </c>
      <c r="L7702" s="623">
        <v>606162.74950999999</v>
      </c>
      <c r="M7702" s="623">
        <v>606162.74950999999</v>
      </c>
      <c r="N7702" s="623">
        <v>349532.04</v>
      </c>
      <c r="O7702" s="624"/>
      <c r="Q7702" s="623">
        <v>256630.70951000002</v>
      </c>
      <c r="BD7702" s="623">
        <v>256630.70951000002</v>
      </c>
    </row>
    <row r="7703" spans="1:56">
      <c r="A7703" s="1738"/>
      <c r="B7703" s="1738"/>
      <c r="C7703" s="622" t="s">
        <v>1198</v>
      </c>
      <c r="D7703" s="623">
        <v>900990.29107000004</v>
      </c>
      <c r="E7703" s="623">
        <v>92652.6</v>
      </c>
      <c r="F7703" s="623">
        <v>808337.69107000006</v>
      </c>
      <c r="G7703" s="623">
        <v>847</v>
      </c>
      <c r="H7703" s="623">
        <v>913726.83519748598</v>
      </c>
      <c r="I7703" s="623">
        <v>97</v>
      </c>
      <c r="J7703" s="623">
        <v>55943.603920000001</v>
      </c>
      <c r="K7703" s="623">
        <v>798</v>
      </c>
      <c r="L7703" s="623">
        <v>900990.29107000004</v>
      </c>
      <c r="M7703" s="623">
        <v>900990.29107000004</v>
      </c>
      <c r="N7703" s="623">
        <v>92652.6</v>
      </c>
      <c r="O7703" s="624"/>
      <c r="P7703" s="623">
        <v>808337.69107000006</v>
      </c>
      <c r="Q7703" s="623">
        <v>808337.69107000006</v>
      </c>
    </row>
    <row r="7704" spans="1:56">
      <c r="A7704" s="1737"/>
      <c r="B7704" s="1737"/>
      <c r="C7704" s="622" t="s">
        <v>1199</v>
      </c>
      <c r="D7704" s="623">
        <v>45557.360890000004</v>
      </c>
      <c r="E7704" s="623">
        <v>720</v>
      </c>
      <c r="F7704" s="623">
        <v>44837.360890000004</v>
      </c>
      <c r="G7704" s="623">
        <v>541</v>
      </c>
      <c r="H7704" s="623">
        <v>49966.320829999997</v>
      </c>
      <c r="I7704" s="623">
        <v>30</v>
      </c>
      <c r="J7704" s="623">
        <v>4408.7504199999994</v>
      </c>
      <c r="K7704" s="623">
        <v>541</v>
      </c>
      <c r="L7704" s="623">
        <v>45557.360890000004</v>
      </c>
      <c r="M7704" s="623">
        <v>45557.360890000004</v>
      </c>
      <c r="N7704" s="623">
        <v>720</v>
      </c>
      <c r="O7704" s="624"/>
      <c r="P7704" s="623">
        <v>44837.360890000004</v>
      </c>
      <c r="Q7704" s="623">
        <v>44837.360890000004</v>
      </c>
    </row>
    <row r="7705" spans="1:56">
      <c r="A7705" s="1736">
        <v>37</v>
      </c>
      <c r="B7705" s="1736" t="s">
        <v>1973</v>
      </c>
      <c r="C7705" s="587" t="s">
        <v>1196</v>
      </c>
      <c r="D7705" s="621">
        <f>D7706</f>
        <v>127760.19892000001</v>
      </c>
      <c r="E7705" s="621">
        <f t="shared" ref="E7705:Q7705" si="194">E7706</f>
        <v>13269.3</v>
      </c>
      <c r="F7705" s="621">
        <f t="shared" si="194"/>
        <v>114490.89892000001</v>
      </c>
      <c r="G7705" s="621">
        <f t="shared" si="194"/>
        <v>160</v>
      </c>
      <c r="H7705" s="621">
        <f t="shared" si="194"/>
        <v>127760.22744</v>
      </c>
      <c r="I7705" s="621">
        <f t="shared" si="194"/>
        <v>0</v>
      </c>
      <c r="J7705" s="621">
        <f t="shared" si="194"/>
        <v>0</v>
      </c>
      <c r="K7705" s="621">
        <f t="shared" si="194"/>
        <v>160</v>
      </c>
      <c r="L7705" s="621">
        <f t="shared" si="194"/>
        <v>127760.19892000001</v>
      </c>
      <c r="M7705" s="621">
        <f t="shared" si="194"/>
        <v>127760.19892000001</v>
      </c>
      <c r="N7705" s="621">
        <f t="shared" si="194"/>
        <v>13269.3</v>
      </c>
      <c r="O7705" s="621">
        <f t="shared" si="194"/>
        <v>0</v>
      </c>
      <c r="P7705" s="621">
        <f t="shared" si="194"/>
        <v>114490.89892000001</v>
      </c>
      <c r="Q7705" s="621">
        <f t="shared" si="194"/>
        <v>114490.89892000001</v>
      </c>
    </row>
    <row r="7706" spans="1:56">
      <c r="A7706" s="1737"/>
      <c r="B7706" s="1737"/>
      <c r="C7706" s="622" t="s">
        <v>1198</v>
      </c>
      <c r="D7706" s="623">
        <v>127760.19892000001</v>
      </c>
      <c r="E7706" s="623">
        <v>13269.3</v>
      </c>
      <c r="F7706" s="623">
        <v>114490.89892000001</v>
      </c>
      <c r="G7706" s="623">
        <v>160</v>
      </c>
      <c r="H7706" s="623">
        <v>127760.22744</v>
      </c>
      <c r="I7706" s="623">
        <v>0</v>
      </c>
      <c r="J7706" s="623">
        <v>0</v>
      </c>
      <c r="K7706" s="623">
        <v>160</v>
      </c>
      <c r="L7706" s="623">
        <v>127760.19892000001</v>
      </c>
      <c r="M7706" s="623">
        <v>127760.19892000001</v>
      </c>
      <c r="N7706" s="623">
        <v>13269.3</v>
      </c>
      <c r="O7706" s="624"/>
      <c r="P7706" s="623">
        <v>114490.89892000001</v>
      </c>
      <c r="Q7706" s="623">
        <v>114490.89892000001</v>
      </c>
    </row>
    <row r="7707" spans="1:56">
      <c r="A7707" s="1736">
        <v>38</v>
      </c>
      <c r="B7707" s="1736" t="s">
        <v>1974</v>
      </c>
      <c r="C7707" s="587" t="s">
        <v>1196</v>
      </c>
      <c r="D7707" s="621">
        <f>D7708+D7709+D7710</f>
        <v>579680.90594000008</v>
      </c>
      <c r="E7707" s="621">
        <f t="shared" ref="E7707:Q7707" si="195">E7708+E7709+E7710</f>
        <v>182645.10000000003</v>
      </c>
      <c r="F7707" s="621">
        <f t="shared" si="195"/>
        <v>397035.80594000005</v>
      </c>
      <c r="G7707" s="621">
        <f t="shared" si="195"/>
        <v>6501</v>
      </c>
      <c r="H7707" s="621">
        <f t="shared" si="195"/>
        <v>611996.75842270919</v>
      </c>
      <c r="I7707" s="621">
        <f t="shared" si="195"/>
        <v>1245</v>
      </c>
      <c r="J7707" s="621">
        <f t="shared" si="195"/>
        <v>48106.895505492997</v>
      </c>
      <c r="K7707" s="621">
        <f t="shared" si="195"/>
        <v>6374</v>
      </c>
      <c r="L7707" s="621">
        <f t="shared" si="195"/>
        <v>579680.90594000008</v>
      </c>
      <c r="M7707" s="621">
        <f t="shared" si="195"/>
        <v>579680.90594000008</v>
      </c>
      <c r="N7707" s="621">
        <f t="shared" si="195"/>
        <v>182645.10000000003</v>
      </c>
      <c r="O7707" s="621">
        <f t="shared" si="195"/>
        <v>0</v>
      </c>
      <c r="P7707" s="621">
        <f>BD7708+P7709+P7710</f>
        <v>397035.80594000005</v>
      </c>
      <c r="Q7707" s="621">
        <f t="shared" si="195"/>
        <v>397035.80594000005</v>
      </c>
    </row>
    <row r="7708" spans="1:56">
      <c r="A7708" s="1738"/>
      <c r="B7708" s="1738"/>
      <c r="C7708" s="622" t="s">
        <v>1197</v>
      </c>
      <c r="D7708" s="623">
        <v>372291.56565</v>
      </c>
      <c r="E7708" s="623">
        <v>99579.3</v>
      </c>
      <c r="F7708" s="623">
        <v>272712.26565000002</v>
      </c>
      <c r="G7708" s="623">
        <v>6186</v>
      </c>
      <c r="H7708" s="623">
        <v>398525.74147850077</v>
      </c>
      <c r="I7708" s="623">
        <v>1218</v>
      </c>
      <c r="J7708" s="623">
        <v>35941.552319999995</v>
      </c>
      <c r="K7708" s="623">
        <v>6061</v>
      </c>
      <c r="L7708" s="623">
        <v>372291.56565</v>
      </c>
      <c r="M7708" s="623">
        <v>372291.56565</v>
      </c>
      <c r="N7708" s="623">
        <v>99579.3</v>
      </c>
      <c r="O7708" s="624"/>
      <c r="Q7708" s="623">
        <v>272712.26565000002</v>
      </c>
      <c r="BD7708" s="623">
        <v>272712.26565000002</v>
      </c>
    </row>
    <row r="7709" spans="1:56">
      <c r="A7709" s="1738"/>
      <c r="B7709" s="1738"/>
      <c r="C7709" s="622" t="s">
        <v>1198</v>
      </c>
      <c r="D7709" s="623">
        <v>205648.65465000001</v>
      </c>
      <c r="E7709" s="623">
        <v>82751.91</v>
      </c>
      <c r="F7709" s="623">
        <v>122896.74465000001</v>
      </c>
      <c r="G7709" s="623">
        <v>181</v>
      </c>
      <c r="H7709" s="623">
        <v>211706.21997871538</v>
      </c>
      <c r="I7709" s="623">
        <v>21</v>
      </c>
      <c r="J7709" s="623">
        <v>12141.23186</v>
      </c>
      <c r="K7709" s="623">
        <v>179</v>
      </c>
      <c r="L7709" s="623">
        <v>205648.65465000001</v>
      </c>
      <c r="M7709" s="623">
        <v>205648.65465000001</v>
      </c>
      <c r="N7709" s="623">
        <v>82751.91</v>
      </c>
      <c r="O7709" s="624"/>
      <c r="P7709" s="623">
        <v>122896.74465000001</v>
      </c>
      <c r="Q7709" s="623">
        <v>122896.74465000001</v>
      </c>
    </row>
    <row r="7710" spans="1:56">
      <c r="A7710" s="1737"/>
      <c r="B7710" s="1737"/>
      <c r="C7710" s="622" t="s">
        <v>1199</v>
      </c>
      <c r="D7710" s="623">
        <v>1740.6856399999999</v>
      </c>
      <c r="E7710" s="623">
        <v>313.89</v>
      </c>
      <c r="F7710" s="623">
        <v>1426.7956399999998</v>
      </c>
      <c r="G7710" s="623">
        <v>134</v>
      </c>
      <c r="H7710" s="623">
        <v>1764.7969654930002</v>
      </c>
      <c r="I7710" s="623">
        <v>6</v>
      </c>
      <c r="J7710" s="623">
        <v>24.111325493000322</v>
      </c>
      <c r="K7710" s="623">
        <v>134</v>
      </c>
      <c r="L7710" s="623">
        <v>1740.6856399999999</v>
      </c>
      <c r="M7710" s="623">
        <v>1740.6856399999999</v>
      </c>
      <c r="N7710" s="623">
        <v>313.89</v>
      </c>
      <c r="O7710" s="624"/>
      <c r="P7710" s="623">
        <v>1426.7956399999998</v>
      </c>
      <c r="Q7710" s="623">
        <v>1426.7956399999998</v>
      </c>
    </row>
    <row r="7711" spans="1:56">
      <c r="A7711" s="1736">
        <v>39</v>
      </c>
      <c r="B7711" s="1736" t="s">
        <v>1975</v>
      </c>
      <c r="C7711" s="587" t="s">
        <v>1196</v>
      </c>
      <c r="D7711" s="621">
        <f>D7712+D7713</f>
        <v>296668.30745000002</v>
      </c>
      <c r="E7711" s="621">
        <f t="shared" ref="E7711:Q7711" si="196">E7712+E7713</f>
        <v>89804.7</v>
      </c>
      <c r="F7711" s="621">
        <f t="shared" si="196"/>
        <v>206863.60745000001</v>
      </c>
      <c r="G7711" s="621">
        <f t="shared" si="196"/>
        <v>401</v>
      </c>
      <c r="H7711" s="621">
        <f t="shared" si="196"/>
        <v>315769.09781393042</v>
      </c>
      <c r="I7711" s="621">
        <f t="shared" si="196"/>
        <v>75</v>
      </c>
      <c r="J7711" s="621">
        <f t="shared" si="196"/>
        <v>18140.954921689819</v>
      </c>
      <c r="K7711" s="621">
        <f t="shared" si="196"/>
        <v>399</v>
      </c>
      <c r="L7711" s="621">
        <f t="shared" si="196"/>
        <v>296668.30745000002</v>
      </c>
      <c r="M7711" s="621">
        <f t="shared" si="196"/>
        <v>296668.30745000002</v>
      </c>
      <c r="N7711" s="621">
        <f t="shared" si="196"/>
        <v>89804.7</v>
      </c>
      <c r="O7711" s="621">
        <f t="shared" si="196"/>
        <v>0</v>
      </c>
      <c r="P7711" s="621">
        <f>AL7712+P7713</f>
        <v>206863.60745000001</v>
      </c>
      <c r="Q7711" s="621">
        <f t="shared" si="196"/>
        <v>206863.60745000001</v>
      </c>
    </row>
    <row r="7712" spans="1:56">
      <c r="A7712" s="1738"/>
      <c r="B7712" s="1738"/>
      <c r="C7712" s="622" t="s">
        <v>1197</v>
      </c>
      <c r="D7712" s="623">
        <v>80185.747440000006</v>
      </c>
      <c r="E7712" s="623">
        <v>2370</v>
      </c>
      <c r="F7712" s="623">
        <v>77815.747440000006</v>
      </c>
      <c r="G7712" s="623">
        <v>238</v>
      </c>
      <c r="H7712" s="623">
        <v>85781.489025638002</v>
      </c>
      <c r="I7712" s="623">
        <v>42</v>
      </c>
      <c r="J7712" s="623">
        <v>4081.1325585521995</v>
      </c>
      <c r="K7712" s="623">
        <v>237</v>
      </c>
      <c r="L7712" s="623">
        <v>80185.747440000006</v>
      </c>
      <c r="M7712" s="623">
        <v>80185.747440000006</v>
      </c>
      <c r="N7712" s="623">
        <v>2370</v>
      </c>
      <c r="O7712" s="624"/>
      <c r="Q7712" s="623">
        <v>77815.747440000006</v>
      </c>
      <c r="AL7712" s="623">
        <v>77815.747440000006</v>
      </c>
    </row>
    <row r="7713" spans="1:17">
      <c r="A7713" s="1737"/>
      <c r="B7713" s="1737"/>
      <c r="C7713" s="622" t="s">
        <v>1198</v>
      </c>
      <c r="D7713" s="623">
        <v>216482.56001000002</v>
      </c>
      <c r="E7713" s="623">
        <v>87434.7</v>
      </c>
      <c r="F7713" s="623">
        <v>129047.86001000002</v>
      </c>
      <c r="G7713" s="623">
        <v>163</v>
      </c>
      <c r="H7713" s="623">
        <v>229987.60878829242</v>
      </c>
      <c r="I7713" s="623">
        <v>33</v>
      </c>
      <c r="J7713" s="623">
        <v>14059.822363137619</v>
      </c>
      <c r="K7713" s="623">
        <v>162</v>
      </c>
      <c r="L7713" s="623">
        <v>216482.56001000002</v>
      </c>
      <c r="M7713" s="623">
        <v>216482.56001000002</v>
      </c>
      <c r="N7713" s="623">
        <v>87434.7</v>
      </c>
      <c r="O7713" s="624"/>
      <c r="P7713" s="623">
        <v>129047.86001000002</v>
      </c>
      <c r="Q7713" s="623">
        <v>129047.86001000002</v>
      </c>
    </row>
    <row r="7714" spans="1:17">
      <c r="A7714" s="1736">
        <v>40</v>
      </c>
      <c r="B7714" s="1736" t="s">
        <v>1976</v>
      </c>
      <c r="C7714" s="587" t="s">
        <v>1196</v>
      </c>
      <c r="D7714" s="621">
        <f>D7715</f>
        <v>12479.81163</v>
      </c>
      <c r="E7714" s="621">
        <f t="shared" ref="E7714:Q7714" si="197">E7715</f>
        <v>3375.2999999999997</v>
      </c>
      <c r="F7714" s="621">
        <f t="shared" si="197"/>
        <v>9104.5116300000009</v>
      </c>
      <c r="G7714" s="621">
        <f t="shared" si="197"/>
        <v>1141</v>
      </c>
      <c r="H7714" s="621">
        <f t="shared" si="197"/>
        <v>12891.100846369998</v>
      </c>
      <c r="I7714" s="621">
        <f t="shared" si="197"/>
        <v>65</v>
      </c>
      <c r="J7714" s="621">
        <f t="shared" si="197"/>
        <v>411.29021636999823</v>
      </c>
      <c r="K7714" s="621">
        <f t="shared" si="197"/>
        <v>1127</v>
      </c>
      <c r="L7714" s="621">
        <f t="shared" si="197"/>
        <v>12479.81163</v>
      </c>
      <c r="M7714" s="621">
        <f t="shared" si="197"/>
        <v>12479.81163</v>
      </c>
      <c r="N7714" s="621">
        <f t="shared" si="197"/>
        <v>3375.2999999999997</v>
      </c>
      <c r="O7714" s="621">
        <f t="shared" si="197"/>
        <v>0</v>
      </c>
      <c r="P7714" s="621">
        <f t="shared" si="197"/>
        <v>9104.5116300000009</v>
      </c>
      <c r="Q7714" s="621">
        <f t="shared" si="197"/>
        <v>9104.5116300000009</v>
      </c>
    </row>
    <row r="7715" spans="1:17">
      <c r="A7715" s="1737"/>
      <c r="B7715" s="1737"/>
      <c r="C7715" s="622" t="s">
        <v>1199</v>
      </c>
      <c r="D7715" s="623">
        <v>12479.81163</v>
      </c>
      <c r="E7715" s="623">
        <v>3375.2999999999997</v>
      </c>
      <c r="F7715" s="623">
        <v>9104.5116300000009</v>
      </c>
      <c r="G7715" s="623">
        <v>1141</v>
      </c>
      <c r="H7715" s="623">
        <v>12891.100846369998</v>
      </c>
      <c r="I7715" s="623">
        <v>65</v>
      </c>
      <c r="J7715" s="623">
        <v>411.29021636999823</v>
      </c>
      <c r="K7715" s="623">
        <v>1127</v>
      </c>
      <c r="L7715" s="623">
        <v>12479.81163</v>
      </c>
      <c r="M7715" s="623">
        <v>12479.81163</v>
      </c>
      <c r="N7715" s="623">
        <v>3375.2999999999997</v>
      </c>
      <c r="O7715" s="624"/>
      <c r="P7715" s="623">
        <v>9104.5116300000009</v>
      </c>
      <c r="Q7715" s="623">
        <v>9104.5116300000009</v>
      </c>
    </row>
    <row r="7716" spans="1:17">
      <c r="A7716" s="1736">
        <v>41</v>
      </c>
      <c r="B7716" s="1736" t="s">
        <v>1977</v>
      </c>
      <c r="C7716" s="587" t="s">
        <v>1196</v>
      </c>
      <c r="D7716" s="621">
        <f>D7717</f>
        <v>6548.2217999999993</v>
      </c>
      <c r="E7716" s="621">
        <f t="shared" ref="E7716:Q7716" si="198">E7717</f>
        <v>1954.5</v>
      </c>
      <c r="F7716" s="621">
        <f t="shared" si="198"/>
        <v>4593.7217999999993</v>
      </c>
      <c r="G7716" s="621">
        <f t="shared" si="198"/>
        <v>684</v>
      </c>
      <c r="H7716" s="621">
        <f t="shared" si="198"/>
        <v>6732.5791859861674</v>
      </c>
      <c r="I7716" s="621">
        <f t="shared" si="198"/>
        <v>37</v>
      </c>
      <c r="J7716" s="621">
        <f t="shared" si="198"/>
        <v>184.35738598616808</v>
      </c>
      <c r="K7716" s="621">
        <f t="shared" si="198"/>
        <v>673</v>
      </c>
      <c r="L7716" s="621">
        <f t="shared" si="198"/>
        <v>6548.2217999999993</v>
      </c>
      <c r="M7716" s="621">
        <f t="shared" si="198"/>
        <v>6548.2217999999993</v>
      </c>
      <c r="N7716" s="621">
        <f t="shared" si="198"/>
        <v>1954.5</v>
      </c>
      <c r="O7716" s="621">
        <f t="shared" si="198"/>
        <v>0</v>
      </c>
      <c r="P7716" s="621">
        <f t="shared" si="198"/>
        <v>4593.7217999999993</v>
      </c>
      <c r="Q7716" s="621">
        <f t="shared" si="198"/>
        <v>4593.7217999999993</v>
      </c>
    </row>
    <row r="7717" spans="1:17">
      <c r="A7717" s="1737"/>
      <c r="B7717" s="1737"/>
      <c r="C7717" s="622" t="s">
        <v>1199</v>
      </c>
      <c r="D7717" s="623">
        <v>6548.2217999999993</v>
      </c>
      <c r="E7717" s="623">
        <v>1954.5</v>
      </c>
      <c r="F7717" s="623">
        <v>4593.7217999999993</v>
      </c>
      <c r="G7717" s="623">
        <v>684</v>
      </c>
      <c r="H7717" s="623">
        <v>6732.5791859861674</v>
      </c>
      <c r="I7717" s="623">
        <v>37</v>
      </c>
      <c r="J7717" s="623">
        <v>184.35738598616808</v>
      </c>
      <c r="K7717" s="623">
        <v>673</v>
      </c>
      <c r="L7717" s="623">
        <v>6548.2217999999993</v>
      </c>
      <c r="M7717" s="623">
        <v>6548.2217999999993</v>
      </c>
      <c r="N7717" s="623">
        <v>1954.5</v>
      </c>
      <c r="O7717" s="624"/>
      <c r="P7717" s="623">
        <v>4593.7217999999993</v>
      </c>
      <c r="Q7717" s="623">
        <v>4593.7217999999993</v>
      </c>
    </row>
    <row r="7718" spans="1:17">
      <c r="A7718" s="1736">
        <v>42</v>
      </c>
      <c r="B7718" s="1736" t="s">
        <v>1978</v>
      </c>
      <c r="C7718" s="587" t="s">
        <v>1196</v>
      </c>
      <c r="D7718" s="621">
        <f>D7719</f>
        <v>25352.498630000002</v>
      </c>
      <c r="E7718" s="621">
        <f t="shared" ref="E7718:Q7718" si="199">E7719</f>
        <v>7563.9</v>
      </c>
      <c r="F7718" s="621">
        <f t="shared" si="199"/>
        <v>17788.59863</v>
      </c>
      <c r="G7718" s="621">
        <f t="shared" si="199"/>
        <v>2395</v>
      </c>
      <c r="H7718" s="621">
        <f t="shared" si="199"/>
        <v>26927.263345057501</v>
      </c>
      <c r="I7718" s="621">
        <f t="shared" si="199"/>
        <v>382</v>
      </c>
      <c r="J7718" s="621">
        <f t="shared" si="199"/>
        <v>1574.7647150574994</v>
      </c>
      <c r="K7718" s="621">
        <f t="shared" si="199"/>
        <v>2376</v>
      </c>
      <c r="L7718" s="621">
        <f t="shared" si="199"/>
        <v>25352.498630000002</v>
      </c>
      <c r="M7718" s="621">
        <f t="shared" si="199"/>
        <v>25352.498630000002</v>
      </c>
      <c r="N7718" s="621">
        <f t="shared" si="199"/>
        <v>7563.9</v>
      </c>
      <c r="O7718" s="621">
        <f t="shared" si="199"/>
        <v>0</v>
      </c>
      <c r="P7718" s="621">
        <f t="shared" si="199"/>
        <v>17788.59863</v>
      </c>
      <c r="Q7718" s="621">
        <f t="shared" si="199"/>
        <v>17788.59863</v>
      </c>
    </row>
    <row r="7719" spans="1:17">
      <c r="A7719" s="1737"/>
      <c r="B7719" s="1737"/>
      <c r="C7719" s="622" t="s">
        <v>1199</v>
      </c>
      <c r="D7719" s="623">
        <v>25352.498630000002</v>
      </c>
      <c r="E7719" s="623">
        <v>7563.9</v>
      </c>
      <c r="F7719" s="623">
        <v>17788.59863</v>
      </c>
      <c r="G7719" s="623">
        <v>2395</v>
      </c>
      <c r="H7719" s="623">
        <v>26927.263345057501</v>
      </c>
      <c r="I7719" s="623">
        <v>382</v>
      </c>
      <c r="J7719" s="623">
        <v>1574.7647150574994</v>
      </c>
      <c r="K7719" s="623">
        <v>2376</v>
      </c>
      <c r="L7719" s="623">
        <v>25352.498630000002</v>
      </c>
      <c r="M7719" s="623">
        <v>25352.498630000002</v>
      </c>
      <c r="N7719" s="623">
        <v>7563.9</v>
      </c>
      <c r="O7719" s="624"/>
      <c r="P7719" s="623">
        <v>17788.59863</v>
      </c>
      <c r="Q7719" s="623">
        <v>17788.59863</v>
      </c>
    </row>
    <row r="7720" spans="1:17">
      <c r="A7720" s="1736">
        <v>43</v>
      </c>
      <c r="B7720" s="1736" t="s">
        <v>1979</v>
      </c>
      <c r="C7720" s="587" t="s">
        <v>1196</v>
      </c>
      <c r="D7720" s="621">
        <f>D7721</f>
        <v>26118.879720000001</v>
      </c>
      <c r="E7720" s="621">
        <f t="shared" ref="E7720:Q7720" si="200">E7721</f>
        <v>6936.5999999999995</v>
      </c>
      <c r="F7720" s="621">
        <f t="shared" si="200"/>
        <v>19182.279720000002</v>
      </c>
      <c r="G7720" s="621">
        <f t="shared" si="200"/>
        <v>2456</v>
      </c>
      <c r="H7720" s="621">
        <f t="shared" si="200"/>
        <v>27089.175190886661</v>
      </c>
      <c r="I7720" s="621">
        <f t="shared" si="200"/>
        <v>223</v>
      </c>
      <c r="J7720" s="621">
        <f t="shared" si="200"/>
        <v>970.29547088666004</v>
      </c>
      <c r="K7720" s="621">
        <f t="shared" si="200"/>
        <v>2454</v>
      </c>
      <c r="L7720" s="621">
        <f t="shared" si="200"/>
        <v>26118.879720000001</v>
      </c>
      <c r="M7720" s="621">
        <f t="shared" si="200"/>
        <v>26118.879720000001</v>
      </c>
      <c r="N7720" s="621">
        <f t="shared" si="200"/>
        <v>6936.5999999999995</v>
      </c>
      <c r="O7720" s="621">
        <f t="shared" si="200"/>
        <v>0</v>
      </c>
      <c r="P7720" s="621">
        <f t="shared" si="200"/>
        <v>19182.279720000002</v>
      </c>
      <c r="Q7720" s="621">
        <f t="shared" si="200"/>
        <v>19182.279720000002</v>
      </c>
    </row>
    <row r="7721" spans="1:17">
      <c r="A7721" s="1737"/>
      <c r="B7721" s="1737"/>
      <c r="C7721" s="622" t="s">
        <v>1199</v>
      </c>
      <c r="D7721" s="623">
        <v>26118.879720000001</v>
      </c>
      <c r="E7721" s="623">
        <v>6936.5999999999995</v>
      </c>
      <c r="F7721" s="623">
        <v>19182.279720000002</v>
      </c>
      <c r="G7721" s="623">
        <v>2456</v>
      </c>
      <c r="H7721" s="623">
        <v>27089.175190886661</v>
      </c>
      <c r="I7721" s="623">
        <v>223</v>
      </c>
      <c r="J7721" s="623">
        <v>970.29547088666004</v>
      </c>
      <c r="K7721" s="623">
        <v>2454</v>
      </c>
      <c r="L7721" s="623">
        <v>26118.879720000001</v>
      </c>
      <c r="M7721" s="623">
        <v>26118.879720000001</v>
      </c>
      <c r="N7721" s="623">
        <v>6936.5999999999995</v>
      </c>
      <c r="O7721" s="624"/>
      <c r="P7721" s="623">
        <v>19182.279720000002</v>
      </c>
      <c r="Q7721" s="623">
        <v>19182.279720000002</v>
      </c>
    </row>
    <row r="7722" spans="1:17">
      <c r="A7722" s="1736">
        <v>44</v>
      </c>
      <c r="B7722" s="1736" t="s">
        <v>1980</v>
      </c>
      <c r="C7722" s="587" t="s">
        <v>1196</v>
      </c>
      <c r="D7722" s="621">
        <f>D7723</f>
        <v>17194.45205</v>
      </c>
      <c r="E7722" s="621">
        <f t="shared" ref="E7722:Q7722" si="201">E7723</f>
        <v>4301.3999999999996</v>
      </c>
      <c r="F7722" s="621">
        <f t="shared" si="201"/>
        <v>12893.05205</v>
      </c>
      <c r="G7722" s="621">
        <f t="shared" si="201"/>
        <v>1433</v>
      </c>
      <c r="H7722" s="621">
        <f t="shared" si="201"/>
        <v>18059.171347859665</v>
      </c>
      <c r="I7722" s="621">
        <f t="shared" si="201"/>
        <v>193</v>
      </c>
      <c r="J7722" s="621">
        <f t="shared" si="201"/>
        <v>864.71929785966495</v>
      </c>
      <c r="K7722" s="621">
        <f t="shared" si="201"/>
        <v>1429</v>
      </c>
      <c r="L7722" s="621">
        <f t="shared" si="201"/>
        <v>17194.45205</v>
      </c>
      <c r="M7722" s="621">
        <f t="shared" si="201"/>
        <v>17194.45205</v>
      </c>
      <c r="N7722" s="621">
        <f t="shared" si="201"/>
        <v>4301.3999999999996</v>
      </c>
      <c r="O7722" s="621">
        <f t="shared" si="201"/>
        <v>0</v>
      </c>
      <c r="P7722" s="621">
        <f t="shared" si="201"/>
        <v>12893.05205</v>
      </c>
      <c r="Q7722" s="621">
        <f t="shared" si="201"/>
        <v>12893.05205</v>
      </c>
    </row>
    <row r="7723" spans="1:17">
      <c r="A7723" s="1737"/>
      <c r="B7723" s="1737"/>
      <c r="C7723" s="622" t="s">
        <v>1199</v>
      </c>
      <c r="D7723" s="623">
        <v>17194.45205</v>
      </c>
      <c r="E7723" s="623">
        <v>4301.3999999999996</v>
      </c>
      <c r="F7723" s="623">
        <v>12893.05205</v>
      </c>
      <c r="G7723" s="623">
        <v>1433</v>
      </c>
      <c r="H7723" s="623">
        <v>18059.171347859665</v>
      </c>
      <c r="I7723" s="623">
        <v>193</v>
      </c>
      <c r="J7723" s="623">
        <v>864.71929785966495</v>
      </c>
      <c r="K7723" s="623">
        <v>1429</v>
      </c>
      <c r="L7723" s="623">
        <v>17194.45205</v>
      </c>
      <c r="M7723" s="623">
        <v>17194.45205</v>
      </c>
      <c r="N7723" s="623">
        <v>4301.3999999999996</v>
      </c>
      <c r="O7723" s="624"/>
      <c r="P7723" s="623">
        <v>12893.05205</v>
      </c>
      <c r="Q7723" s="623">
        <v>12893.05205</v>
      </c>
    </row>
    <row r="7724" spans="1:17">
      <c r="A7724" s="1736">
        <v>45</v>
      </c>
      <c r="B7724" s="1736" t="s">
        <v>1981</v>
      </c>
      <c r="C7724" s="587" t="s">
        <v>1196</v>
      </c>
      <c r="D7724" s="621">
        <f>D7725</f>
        <v>20366.887559999996</v>
      </c>
      <c r="E7724" s="621">
        <f t="shared" ref="E7724:Q7724" si="202">E7725</f>
        <v>5947.5</v>
      </c>
      <c r="F7724" s="621">
        <f t="shared" si="202"/>
        <v>14419.387559999996</v>
      </c>
      <c r="G7724" s="621">
        <f t="shared" si="202"/>
        <v>1450</v>
      </c>
      <c r="H7724" s="621">
        <f t="shared" si="202"/>
        <v>21168.055606203503</v>
      </c>
      <c r="I7724" s="621">
        <f t="shared" si="202"/>
        <v>158</v>
      </c>
      <c r="J7724" s="621">
        <f t="shared" si="202"/>
        <v>801.1680462035074</v>
      </c>
      <c r="K7724" s="621">
        <f t="shared" si="202"/>
        <v>1449</v>
      </c>
      <c r="L7724" s="621">
        <f t="shared" si="202"/>
        <v>20366.887559999996</v>
      </c>
      <c r="M7724" s="621">
        <f t="shared" si="202"/>
        <v>20366.887559999996</v>
      </c>
      <c r="N7724" s="621">
        <f t="shared" si="202"/>
        <v>5947.5</v>
      </c>
      <c r="O7724" s="621">
        <f t="shared" si="202"/>
        <v>0</v>
      </c>
      <c r="P7724" s="621">
        <f t="shared" si="202"/>
        <v>14419.387559999996</v>
      </c>
      <c r="Q7724" s="621">
        <f t="shared" si="202"/>
        <v>14419.387559999996</v>
      </c>
    </row>
    <row r="7725" spans="1:17">
      <c r="A7725" s="1737"/>
      <c r="B7725" s="1737"/>
      <c r="C7725" s="622" t="s">
        <v>1199</v>
      </c>
      <c r="D7725" s="623">
        <v>20366.887559999996</v>
      </c>
      <c r="E7725" s="623">
        <v>5947.5</v>
      </c>
      <c r="F7725" s="623">
        <v>14419.387559999996</v>
      </c>
      <c r="G7725" s="623">
        <v>1450</v>
      </c>
      <c r="H7725" s="623">
        <v>21168.055606203503</v>
      </c>
      <c r="I7725" s="623">
        <v>158</v>
      </c>
      <c r="J7725" s="623">
        <v>801.1680462035074</v>
      </c>
      <c r="K7725" s="623">
        <v>1449</v>
      </c>
      <c r="L7725" s="623">
        <v>20366.887559999996</v>
      </c>
      <c r="M7725" s="623">
        <v>20366.887559999996</v>
      </c>
      <c r="N7725" s="623">
        <v>5947.5</v>
      </c>
      <c r="O7725" s="624"/>
      <c r="P7725" s="623">
        <v>14419.387559999996</v>
      </c>
      <c r="Q7725" s="623">
        <v>14419.387559999996</v>
      </c>
    </row>
    <row r="7726" spans="1:17">
      <c r="A7726" s="1736">
        <v>46</v>
      </c>
      <c r="B7726" s="1736" t="s">
        <v>1982</v>
      </c>
      <c r="C7726" s="587" t="s">
        <v>1196</v>
      </c>
      <c r="D7726" s="621">
        <f>D7727</f>
        <v>18111.102760000002</v>
      </c>
      <c r="E7726" s="621">
        <f t="shared" ref="E7726:Q7726" si="203">E7727</f>
        <v>5229</v>
      </c>
      <c r="F7726" s="621">
        <f t="shared" si="203"/>
        <v>12882.102760000002</v>
      </c>
      <c r="G7726" s="621">
        <f t="shared" si="203"/>
        <v>1397</v>
      </c>
      <c r="H7726" s="621">
        <f t="shared" si="203"/>
        <v>18943.523693290339</v>
      </c>
      <c r="I7726" s="621">
        <f t="shared" si="203"/>
        <v>212</v>
      </c>
      <c r="J7726" s="621">
        <f t="shared" si="203"/>
        <v>832.42093329033742</v>
      </c>
      <c r="K7726" s="621">
        <f t="shared" si="203"/>
        <v>1397</v>
      </c>
      <c r="L7726" s="621">
        <f t="shared" si="203"/>
        <v>18111.102760000002</v>
      </c>
      <c r="M7726" s="621">
        <f t="shared" si="203"/>
        <v>18111.102760000002</v>
      </c>
      <c r="N7726" s="621">
        <f t="shared" si="203"/>
        <v>5229</v>
      </c>
      <c r="O7726" s="621">
        <f t="shared" si="203"/>
        <v>0</v>
      </c>
      <c r="P7726" s="621">
        <f t="shared" si="203"/>
        <v>12882.102760000002</v>
      </c>
      <c r="Q7726" s="621">
        <f t="shared" si="203"/>
        <v>12882.102760000002</v>
      </c>
    </row>
    <row r="7727" spans="1:17">
      <c r="A7727" s="1737"/>
      <c r="B7727" s="1737"/>
      <c r="C7727" s="622" t="s">
        <v>1199</v>
      </c>
      <c r="D7727" s="623">
        <v>18111.102760000002</v>
      </c>
      <c r="E7727" s="623">
        <v>5229</v>
      </c>
      <c r="F7727" s="623">
        <v>12882.102760000002</v>
      </c>
      <c r="G7727" s="623">
        <v>1397</v>
      </c>
      <c r="H7727" s="623">
        <v>18943.523693290339</v>
      </c>
      <c r="I7727" s="623">
        <v>212</v>
      </c>
      <c r="J7727" s="623">
        <v>832.42093329033742</v>
      </c>
      <c r="K7727" s="623">
        <v>1397</v>
      </c>
      <c r="L7727" s="623">
        <v>18111.102760000002</v>
      </c>
      <c r="M7727" s="623">
        <v>18111.102760000002</v>
      </c>
      <c r="N7727" s="623">
        <v>5229</v>
      </c>
      <c r="O7727" s="624"/>
      <c r="P7727" s="623">
        <v>12882.102760000002</v>
      </c>
      <c r="Q7727" s="623">
        <v>12882.102760000002</v>
      </c>
    </row>
    <row r="7728" spans="1:17">
      <c r="A7728" s="1736">
        <v>47</v>
      </c>
      <c r="B7728" s="1736" t="s">
        <v>1983</v>
      </c>
      <c r="C7728" s="587" t="s">
        <v>1196</v>
      </c>
      <c r="D7728" s="621">
        <f>D7729</f>
        <v>22461.459640000001</v>
      </c>
      <c r="E7728" s="621">
        <f t="shared" ref="E7728:Q7728" si="204">E7729</f>
        <v>5570.4</v>
      </c>
      <c r="F7728" s="621">
        <f t="shared" si="204"/>
        <v>16891.059639999999</v>
      </c>
      <c r="G7728" s="621">
        <f t="shared" si="204"/>
        <v>1675</v>
      </c>
      <c r="H7728" s="621">
        <f t="shared" si="204"/>
        <v>23333.478654777675</v>
      </c>
      <c r="I7728" s="621">
        <f t="shared" si="204"/>
        <v>110</v>
      </c>
      <c r="J7728" s="621">
        <f t="shared" si="204"/>
        <v>872.01901477767387</v>
      </c>
      <c r="K7728" s="621">
        <f t="shared" si="204"/>
        <v>1669</v>
      </c>
      <c r="L7728" s="621">
        <f t="shared" si="204"/>
        <v>22461.459640000001</v>
      </c>
      <c r="M7728" s="621">
        <f t="shared" si="204"/>
        <v>22461.459640000001</v>
      </c>
      <c r="N7728" s="621">
        <f t="shared" si="204"/>
        <v>5570.4</v>
      </c>
      <c r="O7728" s="621">
        <f t="shared" si="204"/>
        <v>0</v>
      </c>
      <c r="P7728" s="621">
        <f t="shared" si="204"/>
        <v>16891.059639999999</v>
      </c>
      <c r="Q7728" s="621">
        <f t="shared" si="204"/>
        <v>16891.059639999999</v>
      </c>
    </row>
    <row r="7729" spans="1:17">
      <c r="A7729" s="1737"/>
      <c r="B7729" s="1737"/>
      <c r="C7729" s="622" t="s">
        <v>1199</v>
      </c>
      <c r="D7729" s="623">
        <v>22461.459640000001</v>
      </c>
      <c r="E7729" s="623">
        <v>5570.4</v>
      </c>
      <c r="F7729" s="623">
        <v>16891.059639999999</v>
      </c>
      <c r="G7729" s="623">
        <v>1675</v>
      </c>
      <c r="H7729" s="623">
        <v>23333.478654777675</v>
      </c>
      <c r="I7729" s="623">
        <v>110</v>
      </c>
      <c r="J7729" s="623">
        <v>872.01901477767387</v>
      </c>
      <c r="K7729" s="623">
        <v>1669</v>
      </c>
      <c r="L7729" s="623">
        <v>22461.459640000001</v>
      </c>
      <c r="M7729" s="623">
        <v>22461.459640000001</v>
      </c>
      <c r="N7729" s="623">
        <v>5570.4</v>
      </c>
      <c r="O7729" s="624"/>
      <c r="P7729" s="623">
        <v>16891.059639999999</v>
      </c>
      <c r="Q7729" s="623">
        <v>16891.059639999999</v>
      </c>
    </row>
    <row r="7730" spans="1:17">
      <c r="A7730" s="1736">
        <v>48</v>
      </c>
      <c r="B7730" s="1736" t="s">
        <v>1984</v>
      </c>
      <c r="C7730" s="587" t="s">
        <v>1196</v>
      </c>
      <c r="D7730" s="621">
        <f>D7731</f>
        <v>26747.968900000003</v>
      </c>
      <c r="E7730" s="621">
        <f t="shared" ref="E7730:Q7730" si="205">E7731</f>
        <v>8007.2999999999993</v>
      </c>
      <c r="F7730" s="621">
        <f t="shared" si="205"/>
        <v>18740.668900000004</v>
      </c>
      <c r="G7730" s="621">
        <f t="shared" si="205"/>
        <v>2132</v>
      </c>
      <c r="H7730" s="621">
        <f t="shared" si="205"/>
        <v>28010.513729953665</v>
      </c>
      <c r="I7730" s="621">
        <f t="shared" si="205"/>
        <v>282</v>
      </c>
      <c r="J7730" s="621">
        <f t="shared" si="205"/>
        <v>1262.3450999999998</v>
      </c>
      <c r="K7730" s="621">
        <f t="shared" si="205"/>
        <v>2123</v>
      </c>
      <c r="L7730" s="621">
        <f t="shared" si="205"/>
        <v>26747.968900000003</v>
      </c>
      <c r="M7730" s="621">
        <f t="shared" si="205"/>
        <v>26747.968900000003</v>
      </c>
      <c r="N7730" s="621">
        <f t="shared" si="205"/>
        <v>8007.2999999999993</v>
      </c>
      <c r="O7730" s="621">
        <f t="shared" si="205"/>
        <v>0</v>
      </c>
      <c r="P7730" s="621">
        <f t="shared" si="205"/>
        <v>18740.668900000004</v>
      </c>
      <c r="Q7730" s="621">
        <f t="shared" si="205"/>
        <v>18740.668900000004</v>
      </c>
    </row>
    <row r="7731" spans="1:17">
      <c r="A7731" s="1737"/>
      <c r="B7731" s="1737"/>
      <c r="C7731" s="622" t="s">
        <v>1199</v>
      </c>
      <c r="D7731" s="623">
        <v>26747.968900000003</v>
      </c>
      <c r="E7731" s="623">
        <v>8007.2999999999993</v>
      </c>
      <c r="F7731" s="623">
        <v>18740.668900000004</v>
      </c>
      <c r="G7731" s="623">
        <v>2132</v>
      </c>
      <c r="H7731" s="623">
        <v>28010.513729953665</v>
      </c>
      <c r="I7731" s="623">
        <v>282</v>
      </c>
      <c r="J7731" s="623">
        <v>1262.3450999999998</v>
      </c>
      <c r="K7731" s="623">
        <v>2123</v>
      </c>
      <c r="L7731" s="623">
        <v>26747.968900000003</v>
      </c>
      <c r="M7731" s="623">
        <v>26747.968900000003</v>
      </c>
      <c r="N7731" s="623">
        <v>8007.2999999999993</v>
      </c>
      <c r="O7731" s="624"/>
      <c r="P7731" s="623">
        <v>18740.668900000004</v>
      </c>
      <c r="Q7731" s="623">
        <v>18740.668900000004</v>
      </c>
    </row>
    <row r="7732" spans="1:17">
      <c r="A7732" s="1736">
        <v>49</v>
      </c>
      <c r="B7732" s="1736" t="s">
        <v>1985</v>
      </c>
      <c r="C7732" s="587" t="s">
        <v>1196</v>
      </c>
      <c r="D7732" s="621">
        <f>D7733</f>
        <v>27881.569150000003</v>
      </c>
      <c r="E7732" s="621">
        <f t="shared" ref="E7732:Q7732" si="206">E7733</f>
        <v>8311.7999999999993</v>
      </c>
      <c r="F7732" s="621">
        <f t="shared" si="206"/>
        <v>19569.769150000004</v>
      </c>
      <c r="G7732" s="621">
        <f t="shared" si="206"/>
        <v>2023</v>
      </c>
      <c r="H7732" s="621">
        <f t="shared" si="206"/>
        <v>29191.688415610337</v>
      </c>
      <c r="I7732" s="621">
        <f t="shared" si="206"/>
        <v>215</v>
      </c>
      <c r="J7732" s="621">
        <f t="shared" si="206"/>
        <v>1310.119265610334</v>
      </c>
      <c r="K7732" s="621">
        <f t="shared" si="206"/>
        <v>1903</v>
      </c>
      <c r="L7732" s="621">
        <f t="shared" si="206"/>
        <v>27881.569150000003</v>
      </c>
      <c r="M7732" s="621">
        <f t="shared" si="206"/>
        <v>27881.569150000003</v>
      </c>
      <c r="N7732" s="621">
        <f t="shared" si="206"/>
        <v>8311.7999999999993</v>
      </c>
      <c r="O7732" s="621">
        <f t="shared" si="206"/>
        <v>0</v>
      </c>
      <c r="P7732" s="621">
        <f t="shared" si="206"/>
        <v>19569.769150000004</v>
      </c>
      <c r="Q7732" s="621">
        <f t="shared" si="206"/>
        <v>19569.769150000004</v>
      </c>
    </row>
    <row r="7733" spans="1:17">
      <c r="A7733" s="1737"/>
      <c r="B7733" s="1737"/>
      <c r="C7733" s="622" t="s">
        <v>1199</v>
      </c>
      <c r="D7733" s="623">
        <v>27881.569150000003</v>
      </c>
      <c r="E7733" s="623">
        <v>8311.7999999999993</v>
      </c>
      <c r="F7733" s="623">
        <v>19569.769150000004</v>
      </c>
      <c r="G7733" s="623">
        <v>2023</v>
      </c>
      <c r="H7733" s="623">
        <v>29191.688415610337</v>
      </c>
      <c r="I7733" s="623">
        <v>215</v>
      </c>
      <c r="J7733" s="623">
        <v>1310.119265610334</v>
      </c>
      <c r="K7733" s="623">
        <v>1903</v>
      </c>
      <c r="L7733" s="623">
        <v>27881.569150000003</v>
      </c>
      <c r="M7733" s="623">
        <v>27881.569150000003</v>
      </c>
      <c r="N7733" s="623">
        <v>8311.7999999999993</v>
      </c>
      <c r="O7733" s="624"/>
      <c r="P7733" s="623">
        <v>19569.769150000004</v>
      </c>
      <c r="Q7733" s="623">
        <v>19569.769150000004</v>
      </c>
    </row>
    <row r="7734" spans="1:17">
      <c r="A7734" s="1736">
        <v>50</v>
      </c>
      <c r="B7734" s="1736" t="s">
        <v>1986</v>
      </c>
      <c r="C7734" s="587" t="s">
        <v>1196</v>
      </c>
      <c r="D7734" s="621">
        <f>D7735</f>
        <v>31113.68259</v>
      </c>
      <c r="E7734" s="621">
        <f t="shared" ref="E7734:Q7734" si="207">E7735</f>
        <v>9207.9</v>
      </c>
      <c r="F7734" s="621">
        <f t="shared" si="207"/>
        <v>21905.782590000003</v>
      </c>
      <c r="G7734" s="621">
        <f t="shared" si="207"/>
        <v>2294</v>
      </c>
      <c r="H7734" s="621">
        <f t="shared" si="207"/>
        <v>32263.6716052915</v>
      </c>
      <c r="I7734" s="621">
        <f t="shared" si="207"/>
        <v>309</v>
      </c>
      <c r="J7734" s="621">
        <f t="shared" si="207"/>
        <v>1149.9890152914995</v>
      </c>
      <c r="K7734" s="621">
        <f t="shared" si="207"/>
        <v>2291</v>
      </c>
      <c r="L7734" s="621">
        <f t="shared" si="207"/>
        <v>31113.68259</v>
      </c>
      <c r="M7734" s="621">
        <f t="shared" si="207"/>
        <v>31113.68259</v>
      </c>
      <c r="N7734" s="621">
        <f t="shared" si="207"/>
        <v>9207.9</v>
      </c>
      <c r="O7734" s="621">
        <f t="shared" si="207"/>
        <v>0</v>
      </c>
      <c r="P7734" s="621">
        <f t="shared" si="207"/>
        <v>21905.782590000003</v>
      </c>
      <c r="Q7734" s="621">
        <f t="shared" si="207"/>
        <v>21905.782590000003</v>
      </c>
    </row>
    <row r="7735" spans="1:17">
      <c r="A7735" s="1737"/>
      <c r="B7735" s="1737"/>
      <c r="C7735" s="622" t="s">
        <v>1199</v>
      </c>
      <c r="D7735" s="623">
        <v>31113.68259</v>
      </c>
      <c r="E7735" s="623">
        <v>9207.9</v>
      </c>
      <c r="F7735" s="623">
        <v>21905.782590000003</v>
      </c>
      <c r="G7735" s="623">
        <v>2294</v>
      </c>
      <c r="H7735" s="623">
        <v>32263.6716052915</v>
      </c>
      <c r="I7735" s="623">
        <v>309</v>
      </c>
      <c r="J7735" s="623">
        <v>1149.9890152914995</v>
      </c>
      <c r="K7735" s="623">
        <v>2291</v>
      </c>
      <c r="L7735" s="623">
        <v>31113.68259</v>
      </c>
      <c r="M7735" s="623">
        <v>31113.68259</v>
      </c>
      <c r="N7735" s="623">
        <v>9207.9</v>
      </c>
      <c r="O7735" s="624"/>
      <c r="P7735" s="623">
        <v>21905.782590000003</v>
      </c>
      <c r="Q7735" s="623">
        <v>21905.782590000003</v>
      </c>
    </row>
    <row r="7736" spans="1:17">
      <c r="A7736" s="1736">
        <v>51</v>
      </c>
      <c r="B7736" s="1736" t="s">
        <v>1987</v>
      </c>
      <c r="C7736" s="587" t="s">
        <v>1196</v>
      </c>
      <c r="D7736" s="621">
        <f>D7737</f>
        <v>28624.669210000004</v>
      </c>
      <c r="E7736" s="621">
        <f t="shared" ref="E7736:Q7736" si="208">E7737</f>
        <v>8287.1999999999989</v>
      </c>
      <c r="F7736" s="621">
        <f t="shared" si="208"/>
        <v>20337.469210000003</v>
      </c>
      <c r="G7736" s="621">
        <f t="shared" si="208"/>
        <v>1924</v>
      </c>
      <c r="H7736" s="621">
        <f t="shared" si="208"/>
        <v>29231.655565166835</v>
      </c>
      <c r="I7736" s="621">
        <f t="shared" si="208"/>
        <v>166</v>
      </c>
      <c r="J7736" s="621">
        <f t="shared" si="208"/>
        <v>606.98635516683134</v>
      </c>
      <c r="K7736" s="621">
        <f t="shared" si="208"/>
        <v>1923</v>
      </c>
      <c r="L7736" s="621">
        <f t="shared" si="208"/>
        <v>28624.669210000004</v>
      </c>
      <c r="M7736" s="621">
        <f t="shared" si="208"/>
        <v>28624.669210000004</v>
      </c>
      <c r="N7736" s="621">
        <f t="shared" si="208"/>
        <v>8287.1999999999989</v>
      </c>
      <c r="O7736" s="621">
        <f t="shared" si="208"/>
        <v>0</v>
      </c>
      <c r="P7736" s="621">
        <f t="shared" si="208"/>
        <v>20337.469210000003</v>
      </c>
      <c r="Q7736" s="621">
        <f t="shared" si="208"/>
        <v>20337.469210000003</v>
      </c>
    </row>
    <row r="7737" spans="1:17">
      <c r="A7737" s="1737"/>
      <c r="B7737" s="1737"/>
      <c r="C7737" s="622" t="s">
        <v>1199</v>
      </c>
      <c r="D7737" s="623">
        <v>28624.669210000004</v>
      </c>
      <c r="E7737" s="623">
        <v>8287.1999999999989</v>
      </c>
      <c r="F7737" s="623">
        <v>20337.469210000003</v>
      </c>
      <c r="G7737" s="623">
        <v>1924</v>
      </c>
      <c r="H7737" s="623">
        <v>29231.655565166835</v>
      </c>
      <c r="I7737" s="623">
        <v>166</v>
      </c>
      <c r="J7737" s="623">
        <v>606.98635516683134</v>
      </c>
      <c r="K7737" s="623">
        <v>1923</v>
      </c>
      <c r="L7737" s="623">
        <v>28624.669210000004</v>
      </c>
      <c r="M7737" s="623">
        <v>28624.669210000004</v>
      </c>
      <c r="N7737" s="623">
        <v>8287.1999999999989</v>
      </c>
      <c r="O7737" s="624"/>
      <c r="P7737" s="623">
        <v>20337.469210000003</v>
      </c>
      <c r="Q7737" s="623">
        <v>20337.469210000003</v>
      </c>
    </row>
    <row r="7738" spans="1:17">
      <c r="A7738" s="1736">
        <v>52</v>
      </c>
      <c r="B7738" s="1736" t="s">
        <v>1988</v>
      </c>
      <c r="C7738" s="587" t="s">
        <v>1196</v>
      </c>
      <c r="D7738" s="621">
        <f>D7739</f>
        <v>35926.03839999999</v>
      </c>
      <c r="E7738" s="621">
        <f t="shared" ref="E7738:Q7738" si="209">E7739</f>
        <v>11610</v>
      </c>
      <c r="F7738" s="621">
        <f t="shared" si="209"/>
        <v>24316.03839999999</v>
      </c>
      <c r="G7738" s="621">
        <f t="shared" si="209"/>
        <v>2297</v>
      </c>
      <c r="H7738" s="621">
        <f t="shared" si="209"/>
        <v>37985.430358198988</v>
      </c>
      <c r="I7738" s="621">
        <f t="shared" si="209"/>
        <v>218</v>
      </c>
      <c r="J7738" s="621">
        <f t="shared" si="209"/>
        <v>2059.3919581989976</v>
      </c>
      <c r="K7738" s="621">
        <f t="shared" si="209"/>
        <v>2294</v>
      </c>
      <c r="L7738" s="621">
        <f t="shared" si="209"/>
        <v>35926.03839999999</v>
      </c>
      <c r="M7738" s="621">
        <f t="shared" si="209"/>
        <v>35926.03839999999</v>
      </c>
      <c r="N7738" s="621">
        <f t="shared" si="209"/>
        <v>11610</v>
      </c>
      <c r="O7738" s="621">
        <f t="shared" si="209"/>
        <v>0</v>
      </c>
      <c r="P7738" s="621">
        <f t="shared" si="209"/>
        <v>24316.03839999999</v>
      </c>
      <c r="Q7738" s="621">
        <f t="shared" si="209"/>
        <v>24316.03839999999</v>
      </c>
    </row>
    <row r="7739" spans="1:17">
      <c r="A7739" s="1737"/>
      <c r="B7739" s="1737"/>
      <c r="C7739" s="622" t="s">
        <v>1199</v>
      </c>
      <c r="D7739" s="623">
        <v>35926.03839999999</v>
      </c>
      <c r="E7739" s="623">
        <v>11610</v>
      </c>
      <c r="F7739" s="623">
        <v>24316.03839999999</v>
      </c>
      <c r="G7739" s="623">
        <v>2297</v>
      </c>
      <c r="H7739" s="623">
        <v>37985.430358198988</v>
      </c>
      <c r="I7739" s="623">
        <v>218</v>
      </c>
      <c r="J7739" s="623">
        <v>2059.3919581989976</v>
      </c>
      <c r="K7739" s="623">
        <v>2294</v>
      </c>
      <c r="L7739" s="623">
        <v>35926.03839999999</v>
      </c>
      <c r="M7739" s="623">
        <v>35926.03839999999</v>
      </c>
      <c r="N7739" s="623">
        <v>11610</v>
      </c>
      <c r="O7739" s="624"/>
      <c r="P7739" s="623">
        <v>24316.03839999999</v>
      </c>
      <c r="Q7739" s="623">
        <v>24316.03839999999</v>
      </c>
    </row>
    <row r="7740" spans="1:17">
      <c r="A7740" s="1736">
        <v>53</v>
      </c>
      <c r="B7740" s="1736" t="s">
        <v>1989</v>
      </c>
      <c r="C7740" s="587" t="s">
        <v>1196</v>
      </c>
      <c r="D7740" s="621">
        <f>D7741</f>
        <v>28479.778020000002</v>
      </c>
      <c r="E7740" s="621">
        <f t="shared" ref="E7740:Q7740" si="210">E7741</f>
        <v>8568</v>
      </c>
      <c r="F7740" s="621">
        <f t="shared" si="210"/>
        <v>19911.778020000002</v>
      </c>
      <c r="G7740" s="621">
        <f t="shared" si="210"/>
        <v>2271</v>
      </c>
      <c r="H7740" s="621">
        <f t="shared" si="210"/>
        <v>29438.23947546483</v>
      </c>
      <c r="I7740" s="621">
        <f t="shared" si="210"/>
        <v>224</v>
      </c>
      <c r="J7740" s="621">
        <f t="shared" si="210"/>
        <v>958.46145546482876</v>
      </c>
      <c r="K7740" s="621">
        <f t="shared" si="210"/>
        <v>2271</v>
      </c>
      <c r="L7740" s="621">
        <f t="shared" si="210"/>
        <v>28479.778020000002</v>
      </c>
      <c r="M7740" s="621">
        <f t="shared" si="210"/>
        <v>28479.778020000002</v>
      </c>
      <c r="N7740" s="621">
        <f t="shared" si="210"/>
        <v>8568</v>
      </c>
      <c r="O7740" s="621">
        <f t="shared" si="210"/>
        <v>0</v>
      </c>
      <c r="P7740" s="621">
        <f t="shared" si="210"/>
        <v>19911.778020000002</v>
      </c>
      <c r="Q7740" s="621">
        <f t="shared" si="210"/>
        <v>19911.778020000002</v>
      </c>
    </row>
    <row r="7741" spans="1:17">
      <c r="A7741" s="1737"/>
      <c r="B7741" s="1737"/>
      <c r="C7741" s="622" t="s">
        <v>1199</v>
      </c>
      <c r="D7741" s="623">
        <v>28479.778020000002</v>
      </c>
      <c r="E7741" s="623">
        <v>8568</v>
      </c>
      <c r="F7741" s="623">
        <v>19911.778020000002</v>
      </c>
      <c r="G7741" s="623">
        <v>2271</v>
      </c>
      <c r="H7741" s="623">
        <v>29438.23947546483</v>
      </c>
      <c r="I7741" s="623">
        <v>224</v>
      </c>
      <c r="J7741" s="623">
        <v>958.46145546482876</v>
      </c>
      <c r="K7741" s="623">
        <v>2271</v>
      </c>
      <c r="L7741" s="623">
        <v>28479.778020000002</v>
      </c>
      <c r="M7741" s="623">
        <v>28479.778020000002</v>
      </c>
      <c r="N7741" s="623">
        <v>8568</v>
      </c>
      <c r="O7741" s="624"/>
      <c r="P7741" s="623">
        <v>19911.778020000002</v>
      </c>
      <c r="Q7741" s="623">
        <v>19911.778020000002</v>
      </c>
    </row>
    <row r="7742" spans="1:17">
      <c r="A7742" s="1736">
        <v>54</v>
      </c>
      <c r="B7742" s="1736" t="s">
        <v>1990</v>
      </c>
      <c r="C7742" s="587" t="s">
        <v>1196</v>
      </c>
      <c r="D7742" s="621">
        <f>D7743</f>
        <v>37757.25202</v>
      </c>
      <c r="E7742" s="621">
        <f t="shared" ref="E7742:Q7742" si="211">E7743</f>
        <v>9806.4</v>
      </c>
      <c r="F7742" s="621">
        <f t="shared" si="211"/>
        <v>27950.852019999998</v>
      </c>
      <c r="G7742" s="621">
        <f t="shared" si="211"/>
        <v>3031</v>
      </c>
      <c r="H7742" s="621">
        <f t="shared" si="211"/>
        <v>39618.8206044295</v>
      </c>
      <c r="I7742" s="621">
        <f t="shared" si="211"/>
        <v>407</v>
      </c>
      <c r="J7742" s="621">
        <f t="shared" si="211"/>
        <v>1861.5685844295003</v>
      </c>
      <c r="K7742" s="621">
        <f t="shared" si="211"/>
        <v>3027</v>
      </c>
      <c r="L7742" s="621">
        <f t="shared" si="211"/>
        <v>37757.25202</v>
      </c>
      <c r="M7742" s="621">
        <f t="shared" si="211"/>
        <v>37757.25202</v>
      </c>
      <c r="N7742" s="621">
        <f t="shared" si="211"/>
        <v>9806.4</v>
      </c>
      <c r="O7742" s="621">
        <f t="shared" si="211"/>
        <v>0</v>
      </c>
      <c r="P7742" s="621">
        <f t="shared" si="211"/>
        <v>27950.852019999998</v>
      </c>
      <c r="Q7742" s="621">
        <f t="shared" si="211"/>
        <v>27950.852019999998</v>
      </c>
    </row>
    <row r="7743" spans="1:17">
      <c r="A7743" s="1737"/>
      <c r="B7743" s="1737"/>
      <c r="C7743" s="622" t="s">
        <v>1199</v>
      </c>
      <c r="D7743" s="623">
        <v>37757.25202</v>
      </c>
      <c r="E7743" s="623">
        <v>9806.4</v>
      </c>
      <c r="F7743" s="623">
        <v>27950.852019999998</v>
      </c>
      <c r="G7743" s="623">
        <v>3031</v>
      </c>
      <c r="H7743" s="623">
        <v>39618.8206044295</v>
      </c>
      <c r="I7743" s="623">
        <v>407</v>
      </c>
      <c r="J7743" s="623">
        <v>1861.5685844295003</v>
      </c>
      <c r="K7743" s="623">
        <v>3027</v>
      </c>
      <c r="L7743" s="623">
        <v>37757.25202</v>
      </c>
      <c r="M7743" s="623">
        <v>37757.25202</v>
      </c>
      <c r="N7743" s="623">
        <v>9806.4</v>
      </c>
      <c r="O7743" s="624"/>
      <c r="P7743" s="623">
        <v>27950.852019999998</v>
      </c>
      <c r="Q7743" s="623">
        <v>27950.852019999998</v>
      </c>
    </row>
    <row r="7744" spans="1:17">
      <c r="A7744" s="1736">
        <v>55</v>
      </c>
      <c r="B7744" s="1736" t="s">
        <v>1991</v>
      </c>
      <c r="C7744" s="587" t="s">
        <v>1196</v>
      </c>
      <c r="D7744" s="621">
        <f>D7745</f>
        <v>34172.948049999992</v>
      </c>
      <c r="E7744" s="621">
        <f t="shared" ref="E7744:Q7744" si="212">E7745</f>
        <v>9651.9</v>
      </c>
      <c r="F7744" s="621">
        <f t="shared" si="212"/>
        <v>24521.04804999999</v>
      </c>
      <c r="G7744" s="621">
        <f t="shared" si="212"/>
        <v>2579</v>
      </c>
      <c r="H7744" s="621">
        <f t="shared" si="212"/>
        <v>35657.761803531503</v>
      </c>
      <c r="I7744" s="621">
        <f t="shared" si="212"/>
        <v>247</v>
      </c>
      <c r="J7744" s="621">
        <f t="shared" si="212"/>
        <v>1484.8137535315109</v>
      </c>
      <c r="K7744" s="621">
        <f t="shared" si="212"/>
        <v>2531</v>
      </c>
      <c r="L7744" s="621">
        <f t="shared" si="212"/>
        <v>34172.948049999992</v>
      </c>
      <c r="M7744" s="621">
        <f t="shared" si="212"/>
        <v>34172.948049999992</v>
      </c>
      <c r="N7744" s="621">
        <f t="shared" si="212"/>
        <v>9651.9</v>
      </c>
      <c r="O7744" s="621">
        <f t="shared" si="212"/>
        <v>0</v>
      </c>
      <c r="P7744" s="621">
        <f t="shared" si="212"/>
        <v>24521.04804999999</v>
      </c>
      <c r="Q7744" s="621">
        <f t="shared" si="212"/>
        <v>24521.04804999999</v>
      </c>
    </row>
    <row r="7745" spans="1:17">
      <c r="A7745" s="1737"/>
      <c r="B7745" s="1737"/>
      <c r="C7745" s="622" t="s">
        <v>1199</v>
      </c>
      <c r="D7745" s="623">
        <v>34172.948049999992</v>
      </c>
      <c r="E7745" s="623">
        <v>9651.9</v>
      </c>
      <c r="F7745" s="623">
        <v>24521.04804999999</v>
      </c>
      <c r="G7745" s="623">
        <v>2579</v>
      </c>
      <c r="H7745" s="623">
        <v>35657.761803531503</v>
      </c>
      <c r="I7745" s="623">
        <v>247</v>
      </c>
      <c r="J7745" s="623">
        <v>1484.8137535315109</v>
      </c>
      <c r="K7745" s="623">
        <v>2531</v>
      </c>
      <c r="L7745" s="623">
        <v>34172.948049999992</v>
      </c>
      <c r="M7745" s="623">
        <v>34172.948049999992</v>
      </c>
      <c r="N7745" s="623">
        <v>9651.9</v>
      </c>
      <c r="O7745" s="624"/>
      <c r="P7745" s="623">
        <v>24521.04804999999</v>
      </c>
      <c r="Q7745" s="623">
        <v>24521.04804999999</v>
      </c>
    </row>
    <row r="7746" spans="1:17">
      <c r="A7746" s="1736">
        <v>56</v>
      </c>
      <c r="B7746" s="1736" t="s">
        <v>1992</v>
      </c>
      <c r="C7746" s="587" t="s">
        <v>1196</v>
      </c>
      <c r="D7746" s="621">
        <f>D7747</f>
        <v>23469.639449999999</v>
      </c>
      <c r="E7746" s="621">
        <f t="shared" ref="E7746:Q7746" si="213">E7747</f>
        <v>6896.4</v>
      </c>
      <c r="F7746" s="621">
        <f t="shared" si="213"/>
        <v>16573.239450000001</v>
      </c>
      <c r="G7746" s="621">
        <f t="shared" si="213"/>
        <v>1734</v>
      </c>
      <c r="H7746" s="621">
        <f t="shared" si="213"/>
        <v>25497.334016830497</v>
      </c>
      <c r="I7746" s="621">
        <f t="shared" si="213"/>
        <v>286</v>
      </c>
      <c r="J7746" s="621">
        <f t="shared" si="213"/>
        <v>2027.6945668304979</v>
      </c>
      <c r="K7746" s="621">
        <f t="shared" si="213"/>
        <v>1728</v>
      </c>
      <c r="L7746" s="621">
        <f t="shared" si="213"/>
        <v>23469.639449999999</v>
      </c>
      <c r="M7746" s="621">
        <f t="shared" si="213"/>
        <v>23469.639449999999</v>
      </c>
      <c r="N7746" s="621">
        <f t="shared" si="213"/>
        <v>6896.4</v>
      </c>
      <c r="O7746" s="621">
        <f t="shared" si="213"/>
        <v>0</v>
      </c>
      <c r="P7746" s="621">
        <f t="shared" si="213"/>
        <v>16573.239450000001</v>
      </c>
      <c r="Q7746" s="621">
        <f t="shared" si="213"/>
        <v>16573.239450000001</v>
      </c>
    </row>
    <row r="7747" spans="1:17">
      <c r="A7747" s="1737"/>
      <c r="B7747" s="1737"/>
      <c r="C7747" s="622" t="s">
        <v>1199</v>
      </c>
      <c r="D7747" s="623">
        <v>23469.639449999999</v>
      </c>
      <c r="E7747" s="623">
        <v>6896.4</v>
      </c>
      <c r="F7747" s="623">
        <v>16573.239450000001</v>
      </c>
      <c r="G7747" s="623">
        <v>1734</v>
      </c>
      <c r="H7747" s="623">
        <v>25497.334016830497</v>
      </c>
      <c r="I7747" s="623">
        <v>286</v>
      </c>
      <c r="J7747" s="623">
        <v>2027.6945668304979</v>
      </c>
      <c r="K7747" s="623">
        <v>1728</v>
      </c>
      <c r="L7747" s="623">
        <v>23469.639449999999</v>
      </c>
      <c r="M7747" s="623">
        <v>23469.639449999999</v>
      </c>
      <c r="N7747" s="623">
        <v>6896.4</v>
      </c>
      <c r="O7747" s="624"/>
      <c r="P7747" s="623">
        <v>16573.239450000001</v>
      </c>
      <c r="Q7747" s="623">
        <v>16573.239450000001</v>
      </c>
    </row>
    <row r="7748" spans="1:17">
      <c r="A7748" s="1736">
        <v>57</v>
      </c>
      <c r="B7748" s="1736" t="s">
        <v>1993</v>
      </c>
      <c r="C7748" s="587" t="s">
        <v>1196</v>
      </c>
      <c r="D7748" s="621">
        <f>D7749</f>
        <v>11096.0676</v>
      </c>
      <c r="E7748" s="621">
        <f t="shared" ref="E7748:Q7748" si="214">E7749</f>
        <v>3209.7</v>
      </c>
      <c r="F7748" s="621">
        <f t="shared" si="214"/>
        <v>7886.3676000000005</v>
      </c>
      <c r="G7748" s="621">
        <f t="shared" si="214"/>
        <v>1147</v>
      </c>
      <c r="H7748" s="621">
        <f t="shared" si="214"/>
        <v>14285.537707413501</v>
      </c>
      <c r="I7748" s="621">
        <f t="shared" si="214"/>
        <v>181</v>
      </c>
      <c r="J7748" s="621">
        <f t="shared" si="214"/>
        <v>1050.1221174135007</v>
      </c>
      <c r="K7748" s="621">
        <f t="shared" si="214"/>
        <v>1126</v>
      </c>
      <c r="L7748" s="621">
        <f t="shared" si="214"/>
        <v>11096.0676</v>
      </c>
      <c r="M7748" s="621">
        <f t="shared" si="214"/>
        <v>11096.0676</v>
      </c>
      <c r="N7748" s="621">
        <f t="shared" si="214"/>
        <v>3209.7</v>
      </c>
      <c r="O7748" s="621">
        <f t="shared" si="214"/>
        <v>0</v>
      </c>
      <c r="P7748" s="621">
        <f t="shared" si="214"/>
        <v>7886.3676000000005</v>
      </c>
      <c r="Q7748" s="621">
        <f t="shared" si="214"/>
        <v>7886.3676000000005</v>
      </c>
    </row>
    <row r="7749" spans="1:17">
      <c r="A7749" s="1737"/>
      <c r="B7749" s="1737"/>
      <c r="C7749" s="622" t="s">
        <v>1199</v>
      </c>
      <c r="D7749" s="623">
        <v>11096.0676</v>
      </c>
      <c r="E7749" s="623">
        <v>3209.7</v>
      </c>
      <c r="F7749" s="623">
        <v>7886.3676000000005</v>
      </c>
      <c r="G7749" s="623">
        <v>1147</v>
      </c>
      <c r="H7749" s="623">
        <v>14285.537707413501</v>
      </c>
      <c r="I7749" s="623">
        <v>181</v>
      </c>
      <c r="J7749" s="623">
        <v>1050.1221174135007</v>
      </c>
      <c r="K7749" s="623">
        <v>1126</v>
      </c>
      <c r="L7749" s="623">
        <v>11096.0676</v>
      </c>
      <c r="M7749" s="623">
        <v>11096.0676</v>
      </c>
      <c r="N7749" s="623">
        <v>3209.7</v>
      </c>
      <c r="O7749" s="624"/>
      <c r="P7749" s="623">
        <v>7886.3676000000005</v>
      </c>
      <c r="Q7749" s="623">
        <v>7886.3676000000005</v>
      </c>
    </row>
    <row r="7750" spans="1:17">
      <c r="A7750" s="1736">
        <v>58</v>
      </c>
      <c r="B7750" s="1736" t="s">
        <v>1994</v>
      </c>
      <c r="C7750" s="587" t="s">
        <v>1196</v>
      </c>
      <c r="D7750" s="621">
        <f>D7751</f>
        <v>16076.005969999998</v>
      </c>
      <c r="E7750" s="621">
        <f t="shared" ref="E7750:Q7750" si="215">E7751</f>
        <v>3983.3999999999996</v>
      </c>
      <c r="F7750" s="621">
        <f t="shared" si="215"/>
        <v>12092.605969999999</v>
      </c>
      <c r="G7750" s="621">
        <f t="shared" si="215"/>
        <v>1299</v>
      </c>
      <c r="H7750" s="621">
        <f t="shared" si="215"/>
        <v>19756.808918823663</v>
      </c>
      <c r="I7750" s="621">
        <f t="shared" si="215"/>
        <v>265</v>
      </c>
      <c r="J7750" s="621">
        <f t="shared" si="215"/>
        <v>1514.6205888236645</v>
      </c>
      <c r="K7750" s="621">
        <f t="shared" si="215"/>
        <v>1297</v>
      </c>
      <c r="L7750" s="621">
        <f t="shared" si="215"/>
        <v>16076.005969999998</v>
      </c>
      <c r="M7750" s="621">
        <f t="shared" si="215"/>
        <v>16076.005969999998</v>
      </c>
      <c r="N7750" s="621">
        <f t="shared" si="215"/>
        <v>3983.3999999999996</v>
      </c>
      <c r="O7750" s="621">
        <f t="shared" si="215"/>
        <v>0</v>
      </c>
      <c r="P7750" s="621">
        <f t="shared" si="215"/>
        <v>12092.605969999999</v>
      </c>
      <c r="Q7750" s="621">
        <f t="shared" si="215"/>
        <v>12092.605969999999</v>
      </c>
    </row>
    <row r="7751" spans="1:17">
      <c r="A7751" s="1737"/>
      <c r="B7751" s="1737"/>
      <c r="C7751" s="622" t="s">
        <v>1199</v>
      </c>
      <c r="D7751" s="623">
        <v>16076.005969999998</v>
      </c>
      <c r="E7751" s="623">
        <v>3983.3999999999996</v>
      </c>
      <c r="F7751" s="623">
        <v>12092.605969999999</v>
      </c>
      <c r="G7751" s="623">
        <v>1299</v>
      </c>
      <c r="H7751" s="623">
        <v>19756.808918823663</v>
      </c>
      <c r="I7751" s="623">
        <v>265</v>
      </c>
      <c r="J7751" s="623">
        <v>1514.6205888236645</v>
      </c>
      <c r="K7751" s="623">
        <v>1297</v>
      </c>
      <c r="L7751" s="623">
        <v>16076.005969999998</v>
      </c>
      <c r="M7751" s="623">
        <v>16076.005969999998</v>
      </c>
      <c r="N7751" s="623">
        <v>3983.3999999999996</v>
      </c>
      <c r="O7751" s="624"/>
      <c r="P7751" s="623">
        <v>12092.605969999999</v>
      </c>
      <c r="Q7751" s="623">
        <v>12092.605969999999</v>
      </c>
    </row>
    <row r="7752" spans="1:17">
      <c r="A7752" s="1736">
        <v>59</v>
      </c>
      <c r="B7752" s="1736" t="s">
        <v>1995</v>
      </c>
      <c r="C7752" s="587" t="s">
        <v>1196</v>
      </c>
      <c r="D7752" s="621">
        <f>D7753</f>
        <v>25864.30975</v>
      </c>
      <c r="E7752" s="621">
        <f t="shared" ref="E7752:Q7752" si="216">E7753</f>
        <v>6722.7</v>
      </c>
      <c r="F7752" s="621">
        <f t="shared" si="216"/>
        <v>19141.60975</v>
      </c>
      <c r="G7752" s="621">
        <f t="shared" si="216"/>
        <v>1981</v>
      </c>
      <c r="H7752" s="621">
        <f t="shared" si="216"/>
        <v>26873.229095496506</v>
      </c>
      <c r="I7752" s="621">
        <f t="shared" si="216"/>
        <v>157</v>
      </c>
      <c r="J7752" s="621">
        <f t="shared" si="216"/>
        <v>1008.9193454965061</v>
      </c>
      <c r="K7752" s="621">
        <f t="shared" si="216"/>
        <v>1980</v>
      </c>
      <c r="L7752" s="621">
        <f t="shared" si="216"/>
        <v>25864.30975</v>
      </c>
      <c r="M7752" s="621">
        <f t="shared" si="216"/>
        <v>25864.30975</v>
      </c>
      <c r="N7752" s="621">
        <f t="shared" si="216"/>
        <v>6722.7</v>
      </c>
      <c r="O7752" s="621">
        <f t="shared" si="216"/>
        <v>0</v>
      </c>
      <c r="P7752" s="621">
        <f t="shared" si="216"/>
        <v>19141.60975</v>
      </c>
      <c r="Q7752" s="621">
        <f t="shared" si="216"/>
        <v>19141.60975</v>
      </c>
    </row>
    <row r="7753" spans="1:17">
      <c r="A7753" s="1737"/>
      <c r="B7753" s="1737"/>
      <c r="C7753" s="622" t="s">
        <v>1199</v>
      </c>
      <c r="D7753" s="623">
        <v>25864.30975</v>
      </c>
      <c r="E7753" s="623">
        <v>6722.7</v>
      </c>
      <c r="F7753" s="623">
        <v>19141.60975</v>
      </c>
      <c r="G7753" s="623">
        <v>1981</v>
      </c>
      <c r="H7753" s="623">
        <v>26873.229095496506</v>
      </c>
      <c r="I7753" s="623">
        <v>157</v>
      </c>
      <c r="J7753" s="623">
        <v>1008.9193454965061</v>
      </c>
      <c r="K7753" s="623">
        <v>1980</v>
      </c>
      <c r="L7753" s="623">
        <v>25864.30975</v>
      </c>
      <c r="M7753" s="623">
        <v>25864.30975</v>
      </c>
      <c r="N7753" s="623">
        <v>6722.7</v>
      </c>
      <c r="O7753" s="624"/>
      <c r="P7753" s="623">
        <v>19141.60975</v>
      </c>
      <c r="Q7753" s="623">
        <v>19141.60975</v>
      </c>
    </row>
    <row r="7754" spans="1:17">
      <c r="A7754" s="1736">
        <v>60</v>
      </c>
      <c r="B7754" s="1736" t="s">
        <v>1996</v>
      </c>
      <c r="C7754" s="587" t="s">
        <v>1196</v>
      </c>
      <c r="D7754" s="621">
        <f>D7755</f>
        <v>21265.853700000003</v>
      </c>
      <c r="E7754" s="621">
        <f t="shared" ref="E7754:Q7754" si="217">E7755</f>
        <v>6051.9</v>
      </c>
      <c r="F7754" s="621">
        <f t="shared" si="217"/>
        <v>15213.953700000004</v>
      </c>
      <c r="G7754" s="621">
        <f t="shared" si="217"/>
        <v>1465</v>
      </c>
      <c r="H7754" s="621">
        <f t="shared" si="217"/>
        <v>22267.031277564492</v>
      </c>
      <c r="I7754" s="621">
        <f t="shared" si="217"/>
        <v>123</v>
      </c>
      <c r="J7754" s="621">
        <f t="shared" si="217"/>
        <v>1001.1775775644892</v>
      </c>
      <c r="K7754" s="621">
        <f t="shared" si="217"/>
        <v>1460</v>
      </c>
      <c r="L7754" s="621">
        <f t="shared" si="217"/>
        <v>21265.853700000003</v>
      </c>
      <c r="M7754" s="621">
        <f t="shared" si="217"/>
        <v>21265.853700000003</v>
      </c>
      <c r="N7754" s="621">
        <f t="shared" si="217"/>
        <v>6051.9</v>
      </c>
      <c r="O7754" s="621">
        <f t="shared" si="217"/>
        <v>0</v>
      </c>
      <c r="P7754" s="621">
        <f t="shared" si="217"/>
        <v>15213.953700000004</v>
      </c>
      <c r="Q7754" s="621">
        <f t="shared" si="217"/>
        <v>15213.953700000004</v>
      </c>
    </row>
    <row r="7755" spans="1:17">
      <c r="A7755" s="1737"/>
      <c r="B7755" s="1737"/>
      <c r="C7755" s="622" t="s">
        <v>1199</v>
      </c>
      <c r="D7755" s="623">
        <v>21265.853700000003</v>
      </c>
      <c r="E7755" s="623">
        <v>6051.9</v>
      </c>
      <c r="F7755" s="623">
        <v>15213.953700000004</v>
      </c>
      <c r="G7755" s="623">
        <v>1465</v>
      </c>
      <c r="H7755" s="623">
        <v>22267.031277564492</v>
      </c>
      <c r="I7755" s="623">
        <v>123</v>
      </c>
      <c r="J7755" s="623">
        <v>1001.1775775644892</v>
      </c>
      <c r="K7755" s="623">
        <v>1460</v>
      </c>
      <c r="L7755" s="623">
        <v>21265.853700000003</v>
      </c>
      <c r="M7755" s="623">
        <v>21265.853700000003</v>
      </c>
      <c r="N7755" s="623">
        <v>6051.9</v>
      </c>
      <c r="O7755" s="624"/>
      <c r="P7755" s="623">
        <v>15213.953700000004</v>
      </c>
      <c r="Q7755" s="623">
        <v>15213.953700000004</v>
      </c>
    </row>
    <row r="7756" spans="1:17">
      <c r="A7756" s="1736">
        <v>61</v>
      </c>
      <c r="B7756" s="1736" t="s">
        <v>1997</v>
      </c>
      <c r="C7756" s="587" t="s">
        <v>1196</v>
      </c>
      <c r="D7756" s="621">
        <f>D7757</f>
        <v>15219.54967</v>
      </c>
      <c r="E7756" s="621">
        <f t="shared" ref="E7756:Q7756" si="218">E7757</f>
        <v>4417.5</v>
      </c>
      <c r="F7756" s="621">
        <f t="shared" si="218"/>
        <v>10802.04967</v>
      </c>
      <c r="G7756" s="621">
        <f t="shared" si="218"/>
        <v>1543</v>
      </c>
      <c r="H7756" s="621">
        <f t="shared" si="218"/>
        <v>17977.764427711998</v>
      </c>
      <c r="I7756" s="621">
        <f t="shared" si="218"/>
        <v>109</v>
      </c>
      <c r="J7756" s="621">
        <f t="shared" si="218"/>
        <v>629.83539837590001</v>
      </c>
      <c r="K7756" s="621">
        <f t="shared" si="218"/>
        <v>1542</v>
      </c>
      <c r="L7756" s="621">
        <f t="shared" si="218"/>
        <v>15219.54967</v>
      </c>
      <c r="M7756" s="621">
        <f t="shared" si="218"/>
        <v>15219.54967</v>
      </c>
      <c r="N7756" s="621">
        <f t="shared" si="218"/>
        <v>4417.5</v>
      </c>
      <c r="O7756" s="621">
        <f t="shared" si="218"/>
        <v>0</v>
      </c>
      <c r="P7756" s="621">
        <f t="shared" si="218"/>
        <v>10802.04967</v>
      </c>
      <c r="Q7756" s="621">
        <f t="shared" si="218"/>
        <v>10802.04967</v>
      </c>
    </row>
    <row r="7757" spans="1:17">
      <c r="A7757" s="1737"/>
      <c r="B7757" s="1737"/>
      <c r="C7757" s="622" t="s">
        <v>1199</v>
      </c>
      <c r="D7757" s="623">
        <v>15219.54967</v>
      </c>
      <c r="E7757" s="623">
        <v>4417.5</v>
      </c>
      <c r="F7757" s="623">
        <v>10802.04967</v>
      </c>
      <c r="G7757" s="623">
        <v>1543</v>
      </c>
      <c r="H7757" s="623">
        <v>17977.764427711998</v>
      </c>
      <c r="I7757" s="623">
        <v>109</v>
      </c>
      <c r="J7757" s="623">
        <v>629.83539837590001</v>
      </c>
      <c r="K7757" s="623">
        <v>1542</v>
      </c>
      <c r="L7757" s="623">
        <v>15219.54967</v>
      </c>
      <c r="M7757" s="623">
        <v>15219.54967</v>
      </c>
      <c r="N7757" s="623">
        <v>4417.5</v>
      </c>
      <c r="O7757" s="624"/>
      <c r="P7757" s="623">
        <v>10802.04967</v>
      </c>
      <c r="Q7757" s="623">
        <v>10802.04967</v>
      </c>
    </row>
    <row r="7758" spans="1:17">
      <c r="A7758" s="1736">
        <v>62</v>
      </c>
      <c r="B7758" s="1736" t="s">
        <v>1998</v>
      </c>
      <c r="C7758" s="587" t="s">
        <v>1196</v>
      </c>
      <c r="D7758" s="621">
        <f>D7759</f>
        <v>32761.67193</v>
      </c>
      <c r="E7758" s="621">
        <f t="shared" ref="E7758:Q7758" si="219">E7759</f>
        <v>9139.7999999999993</v>
      </c>
      <c r="F7758" s="621">
        <f t="shared" si="219"/>
        <v>23621.871930000001</v>
      </c>
      <c r="G7758" s="621">
        <f t="shared" si="219"/>
        <v>2455</v>
      </c>
      <c r="H7758" s="621">
        <f t="shared" si="219"/>
        <v>35580.106991433669</v>
      </c>
      <c r="I7758" s="621">
        <f t="shared" si="219"/>
        <v>322</v>
      </c>
      <c r="J7758" s="621">
        <f t="shared" si="219"/>
        <v>2818.435061433669</v>
      </c>
      <c r="K7758" s="621">
        <f t="shared" si="219"/>
        <v>2448</v>
      </c>
      <c r="L7758" s="621">
        <f t="shared" si="219"/>
        <v>32761.67193</v>
      </c>
      <c r="M7758" s="621">
        <f t="shared" si="219"/>
        <v>32761.67193</v>
      </c>
      <c r="N7758" s="621">
        <f t="shared" si="219"/>
        <v>9139.7999999999993</v>
      </c>
      <c r="O7758" s="621">
        <f t="shared" si="219"/>
        <v>0</v>
      </c>
      <c r="P7758" s="621">
        <f t="shared" si="219"/>
        <v>23621.871930000001</v>
      </c>
      <c r="Q7758" s="621">
        <f t="shared" si="219"/>
        <v>23621.871930000001</v>
      </c>
    </row>
    <row r="7759" spans="1:17">
      <c r="A7759" s="1737"/>
      <c r="B7759" s="1737"/>
      <c r="C7759" s="622" t="s">
        <v>1199</v>
      </c>
      <c r="D7759" s="623">
        <v>32761.67193</v>
      </c>
      <c r="E7759" s="623">
        <v>9139.7999999999993</v>
      </c>
      <c r="F7759" s="623">
        <v>23621.871930000001</v>
      </c>
      <c r="G7759" s="623">
        <v>2455</v>
      </c>
      <c r="H7759" s="623">
        <v>35580.106991433669</v>
      </c>
      <c r="I7759" s="623">
        <v>322</v>
      </c>
      <c r="J7759" s="623">
        <v>2818.435061433669</v>
      </c>
      <c r="K7759" s="623">
        <v>2448</v>
      </c>
      <c r="L7759" s="623">
        <v>32761.67193</v>
      </c>
      <c r="M7759" s="623">
        <v>32761.67193</v>
      </c>
      <c r="N7759" s="623">
        <v>9139.7999999999993</v>
      </c>
      <c r="O7759" s="624"/>
      <c r="P7759" s="623">
        <v>23621.871930000001</v>
      </c>
      <c r="Q7759" s="623">
        <v>23621.871930000001</v>
      </c>
    </row>
    <row r="7760" spans="1:17">
      <c r="A7760" s="1736">
        <v>63</v>
      </c>
      <c r="B7760" s="1736" t="s">
        <v>1999</v>
      </c>
      <c r="C7760" s="587" t="s">
        <v>1196</v>
      </c>
      <c r="D7760" s="621">
        <f>D7761</f>
        <v>23880.351060000001</v>
      </c>
      <c r="E7760" s="621">
        <f t="shared" ref="E7760:Q7760" si="220">E7761</f>
        <v>6101.0999999999995</v>
      </c>
      <c r="F7760" s="621">
        <f t="shared" si="220"/>
        <v>17779.251060000002</v>
      </c>
      <c r="G7760" s="621">
        <f t="shared" si="220"/>
        <v>1770</v>
      </c>
      <c r="H7760" s="621">
        <f t="shared" si="220"/>
        <v>25179.079427514</v>
      </c>
      <c r="I7760" s="621">
        <f t="shared" si="220"/>
        <v>232</v>
      </c>
      <c r="J7760" s="621">
        <f t="shared" si="220"/>
        <v>1298.7283675139988</v>
      </c>
      <c r="K7760" s="621">
        <f t="shared" si="220"/>
        <v>1763</v>
      </c>
      <c r="L7760" s="621">
        <f t="shared" si="220"/>
        <v>23880.351060000001</v>
      </c>
      <c r="M7760" s="621">
        <f t="shared" si="220"/>
        <v>23880.351060000001</v>
      </c>
      <c r="N7760" s="621">
        <f t="shared" si="220"/>
        <v>6101.0999999999995</v>
      </c>
      <c r="O7760" s="621">
        <f t="shared" si="220"/>
        <v>0</v>
      </c>
      <c r="P7760" s="621">
        <f t="shared" si="220"/>
        <v>17779.251060000002</v>
      </c>
      <c r="Q7760" s="621">
        <f t="shared" si="220"/>
        <v>17779.251060000002</v>
      </c>
    </row>
    <row r="7761" spans="1:17">
      <c r="A7761" s="1737"/>
      <c r="B7761" s="1737"/>
      <c r="C7761" s="622" t="s">
        <v>1199</v>
      </c>
      <c r="D7761" s="623">
        <v>23880.351060000001</v>
      </c>
      <c r="E7761" s="623">
        <v>6101.0999999999995</v>
      </c>
      <c r="F7761" s="623">
        <v>17779.251060000002</v>
      </c>
      <c r="G7761" s="623">
        <v>1770</v>
      </c>
      <c r="H7761" s="623">
        <v>25179.079427514</v>
      </c>
      <c r="I7761" s="623">
        <v>232</v>
      </c>
      <c r="J7761" s="623">
        <v>1298.7283675139988</v>
      </c>
      <c r="K7761" s="623">
        <v>1763</v>
      </c>
      <c r="L7761" s="623">
        <v>23880.351060000001</v>
      </c>
      <c r="M7761" s="623">
        <v>23880.351060000001</v>
      </c>
      <c r="N7761" s="623">
        <v>6101.0999999999995</v>
      </c>
      <c r="O7761" s="624"/>
      <c r="P7761" s="623">
        <v>17779.251060000002</v>
      </c>
      <c r="Q7761" s="623">
        <v>17779.251060000002</v>
      </c>
    </row>
    <row r="7762" spans="1:17">
      <c r="A7762" s="1736">
        <v>64</v>
      </c>
      <c r="B7762" s="1736" t="s">
        <v>2000</v>
      </c>
      <c r="C7762" s="587" t="s">
        <v>1196</v>
      </c>
      <c r="D7762" s="621">
        <f>D7763</f>
        <v>13966.967100000002</v>
      </c>
      <c r="E7762" s="621">
        <f t="shared" ref="E7762:Q7762" si="221">E7763</f>
        <v>3429</v>
      </c>
      <c r="F7762" s="621">
        <f t="shared" si="221"/>
        <v>10537.967100000002</v>
      </c>
      <c r="G7762" s="621">
        <f t="shared" si="221"/>
        <v>1087</v>
      </c>
      <c r="H7762" s="621">
        <f t="shared" si="221"/>
        <v>14965.197105008829</v>
      </c>
      <c r="I7762" s="621">
        <f t="shared" si="221"/>
        <v>200</v>
      </c>
      <c r="J7762" s="621">
        <f t="shared" si="221"/>
        <v>998.23000500882699</v>
      </c>
      <c r="K7762" s="621">
        <f t="shared" si="221"/>
        <v>1086</v>
      </c>
      <c r="L7762" s="621">
        <f t="shared" si="221"/>
        <v>13966.967100000002</v>
      </c>
      <c r="M7762" s="621">
        <f t="shared" si="221"/>
        <v>13966.967100000002</v>
      </c>
      <c r="N7762" s="621">
        <f t="shared" si="221"/>
        <v>3429</v>
      </c>
      <c r="O7762" s="621">
        <f t="shared" si="221"/>
        <v>0</v>
      </c>
      <c r="P7762" s="621">
        <f t="shared" si="221"/>
        <v>10537.967100000002</v>
      </c>
      <c r="Q7762" s="621">
        <f t="shared" si="221"/>
        <v>10537.967100000002</v>
      </c>
    </row>
    <row r="7763" spans="1:17">
      <c r="A7763" s="1737"/>
      <c r="B7763" s="1737"/>
      <c r="C7763" s="622" t="s">
        <v>1199</v>
      </c>
      <c r="D7763" s="623">
        <v>13966.967100000002</v>
      </c>
      <c r="E7763" s="623">
        <v>3429</v>
      </c>
      <c r="F7763" s="623">
        <v>10537.967100000002</v>
      </c>
      <c r="G7763" s="623">
        <v>1087</v>
      </c>
      <c r="H7763" s="623">
        <v>14965.197105008829</v>
      </c>
      <c r="I7763" s="623">
        <v>200</v>
      </c>
      <c r="J7763" s="623">
        <v>998.23000500882699</v>
      </c>
      <c r="K7763" s="623">
        <v>1086</v>
      </c>
      <c r="L7763" s="623">
        <v>13966.967100000002</v>
      </c>
      <c r="M7763" s="623">
        <v>13966.967100000002</v>
      </c>
      <c r="N7763" s="623">
        <v>3429</v>
      </c>
      <c r="O7763" s="624"/>
      <c r="P7763" s="623">
        <v>10537.967100000002</v>
      </c>
      <c r="Q7763" s="623">
        <v>10537.967100000002</v>
      </c>
    </row>
    <row r="7764" spans="1:17">
      <c r="A7764" s="1736">
        <v>65</v>
      </c>
      <c r="B7764" s="1736" t="s">
        <v>2001</v>
      </c>
      <c r="C7764" s="587" t="s">
        <v>1196</v>
      </c>
      <c r="D7764" s="621">
        <f>D7765</f>
        <v>15760.710799999999</v>
      </c>
      <c r="E7764" s="621">
        <f t="shared" ref="E7764:Q7764" si="222">E7765</f>
        <v>3765.6</v>
      </c>
      <c r="F7764" s="621">
        <f t="shared" si="222"/>
        <v>11995.110799999999</v>
      </c>
      <c r="G7764" s="621">
        <f t="shared" si="222"/>
        <v>1508</v>
      </c>
      <c r="H7764" s="621">
        <f t="shared" si="222"/>
        <v>19104.930923987671</v>
      </c>
      <c r="I7764" s="621">
        <f t="shared" si="222"/>
        <v>203</v>
      </c>
      <c r="J7764" s="621">
        <f t="shared" si="222"/>
        <v>1083.2167339876723</v>
      </c>
      <c r="K7764" s="621">
        <f t="shared" si="222"/>
        <v>1500</v>
      </c>
      <c r="L7764" s="621">
        <f t="shared" si="222"/>
        <v>15760.710799999999</v>
      </c>
      <c r="M7764" s="621">
        <f t="shared" si="222"/>
        <v>15760.710799999999</v>
      </c>
      <c r="N7764" s="621">
        <f t="shared" si="222"/>
        <v>3765.6</v>
      </c>
      <c r="O7764" s="621">
        <f t="shared" si="222"/>
        <v>0</v>
      </c>
      <c r="P7764" s="621">
        <f t="shared" si="222"/>
        <v>11995.110799999999</v>
      </c>
      <c r="Q7764" s="621">
        <f t="shared" si="222"/>
        <v>11995.110799999999</v>
      </c>
    </row>
    <row r="7765" spans="1:17">
      <c r="A7765" s="1737"/>
      <c r="B7765" s="1737"/>
      <c r="C7765" s="622" t="s">
        <v>1199</v>
      </c>
      <c r="D7765" s="623">
        <v>15760.710799999999</v>
      </c>
      <c r="E7765" s="623">
        <v>3765.6</v>
      </c>
      <c r="F7765" s="623">
        <v>11995.110799999999</v>
      </c>
      <c r="G7765" s="623">
        <v>1508</v>
      </c>
      <c r="H7765" s="623">
        <v>19104.930923987671</v>
      </c>
      <c r="I7765" s="623">
        <v>203</v>
      </c>
      <c r="J7765" s="623">
        <v>1083.2167339876723</v>
      </c>
      <c r="K7765" s="623">
        <v>1500</v>
      </c>
      <c r="L7765" s="623">
        <v>15760.710799999999</v>
      </c>
      <c r="M7765" s="623">
        <v>15760.710799999999</v>
      </c>
      <c r="N7765" s="623">
        <v>3765.6</v>
      </c>
      <c r="O7765" s="624"/>
      <c r="P7765" s="623">
        <v>11995.110799999999</v>
      </c>
      <c r="Q7765" s="623">
        <v>11995.110799999999</v>
      </c>
    </row>
    <row r="7766" spans="1:17">
      <c r="A7766" s="1736">
        <v>66</v>
      </c>
      <c r="B7766" s="1736" t="s">
        <v>2002</v>
      </c>
      <c r="C7766" s="587" t="s">
        <v>1196</v>
      </c>
      <c r="D7766" s="621">
        <f>D7767</f>
        <v>27633.378120000001</v>
      </c>
      <c r="E7766" s="621">
        <f t="shared" ref="E7766:Q7766" si="223">E7767</f>
        <v>7276.2</v>
      </c>
      <c r="F7766" s="621">
        <f t="shared" si="223"/>
        <v>20357.17812</v>
      </c>
      <c r="G7766" s="621">
        <f t="shared" si="223"/>
        <v>1977</v>
      </c>
      <c r="H7766" s="621">
        <f t="shared" si="223"/>
        <v>28989.955625901664</v>
      </c>
      <c r="I7766" s="621">
        <f t="shared" si="223"/>
        <v>263</v>
      </c>
      <c r="J7766" s="621">
        <f t="shared" si="223"/>
        <v>1356.5775059016632</v>
      </c>
      <c r="K7766" s="621">
        <f t="shared" si="223"/>
        <v>1965</v>
      </c>
      <c r="L7766" s="621">
        <f t="shared" si="223"/>
        <v>27633.378120000001</v>
      </c>
      <c r="M7766" s="621">
        <f t="shared" si="223"/>
        <v>27633.378120000001</v>
      </c>
      <c r="N7766" s="621">
        <f t="shared" si="223"/>
        <v>7276.2</v>
      </c>
      <c r="O7766" s="621">
        <f t="shared" si="223"/>
        <v>0</v>
      </c>
      <c r="P7766" s="621">
        <f t="shared" si="223"/>
        <v>20357.17812</v>
      </c>
      <c r="Q7766" s="621">
        <f t="shared" si="223"/>
        <v>20357.17812</v>
      </c>
    </row>
    <row r="7767" spans="1:17">
      <c r="A7767" s="1737"/>
      <c r="B7767" s="1737"/>
      <c r="C7767" s="622" t="s">
        <v>1199</v>
      </c>
      <c r="D7767" s="623">
        <v>27633.378120000001</v>
      </c>
      <c r="E7767" s="623">
        <v>7276.2</v>
      </c>
      <c r="F7767" s="623">
        <v>20357.17812</v>
      </c>
      <c r="G7767" s="623">
        <v>1977</v>
      </c>
      <c r="H7767" s="623">
        <v>28989.955625901664</v>
      </c>
      <c r="I7767" s="623">
        <v>263</v>
      </c>
      <c r="J7767" s="623">
        <v>1356.5775059016632</v>
      </c>
      <c r="K7767" s="623">
        <v>1965</v>
      </c>
      <c r="L7767" s="623">
        <v>27633.378120000001</v>
      </c>
      <c r="M7767" s="623">
        <v>27633.378120000001</v>
      </c>
      <c r="N7767" s="623">
        <v>7276.2</v>
      </c>
      <c r="O7767" s="624"/>
      <c r="P7767" s="623">
        <v>20357.17812</v>
      </c>
      <c r="Q7767" s="623">
        <v>20357.17812</v>
      </c>
    </row>
    <row r="7768" spans="1:17">
      <c r="A7768" s="1736">
        <v>67</v>
      </c>
      <c r="B7768" s="1736" t="s">
        <v>2003</v>
      </c>
      <c r="C7768" s="587" t="s">
        <v>1196</v>
      </c>
      <c r="D7768" s="621">
        <f>D7769</f>
        <v>6301.0465300000005</v>
      </c>
      <c r="E7768" s="621">
        <f t="shared" ref="E7768:Q7768" si="224">E7769</f>
        <v>1896</v>
      </c>
      <c r="F7768" s="621">
        <f t="shared" si="224"/>
        <v>4405.0465300000005</v>
      </c>
      <c r="G7768" s="621">
        <f t="shared" si="224"/>
        <v>589</v>
      </c>
      <c r="H7768" s="621">
        <f t="shared" si="224"/>
        <v>6529.3691234921662</v>
      </c>
      <c r="I7768" s="621">
        <f t="shared" si="224"/>
        <v>59</v>
      </c>
      <c r="J7768" s="621">
        <f t="shared" si="224"/>
        <v>228.32259349216565</v>
      </c>
      <c r="K7768" s="621">
        <f t="shared" si="224"/>
        <v>588</v>
      </c>
      <c r="L7768" s="621">
        <f t="shared" si="224"/>
        <v>6301.0465300000005</v>
      </c>
      <c r="M7768" s="621">
        <f t="shared" si="224"/>
        <v>6301.0465300000005</v>
      </c>
      <c r="N7768" s="621">
        <f t="shared" si="224"/>
        <v>1896</v>
      </c>
      <c r="O7768" s="621">
        <f t="shared" si="224"/>
        <v>0</v>
      </c>
      <c r="P7768" s="621">
        <f t="shared" si="224"/>
        <v>4405.0465300000005</v>
      </c>
      <c r="Q7768" s="621">
        <f t="shared" si="224"/>
        <v>4405.0465300000005</v>
      </c>
    </row>
    <row r="7769" spans="1:17">
      <c r="A7769" s="1737"/>
      <c r="B7769" s="1737"/>
      <c r="C7769" s="622" t="s">
        <v>1199</v>
      </c>
      <c r="D7769" s="623">
        <v>6301.0465300000005</v>
      </c>
      <c r="E7769" s="623">
        <v>1896</v>
      </c>
      <c r="F7769" s="623">
        <v>4405.0465300000005</v>
      </c>
      <c r="G7769" s="623">
        <v>589</v>
      </c>
      <c r="H7769" s="623">
        <v>6529.3691234921662</v>
      </c>
      <c r="I7769" s="623">
        <v>59</v>
      </c>
      <c r="J7769" s="623">
        <v>228.32259349216565</v>
      </c>
      <c r="K7769" s="623">
        <v>588</v>
      </c>
      <c r="L7769" s="623">
        <v>6301.0465300000005</v>
      </c>
      <c r="M7769" s="623">
        <v>6301.0465300000005</v>
      </c>
      <c r="N7769" s="623">
        <v>1896</v>
      </c>
      <c r="O7769" s="624"/>
      <c r="P7769" s="623">
        <v>4405.0465300000005</v>
      </c>
      <c r="Q7769" s="623">
        <v>4405.0465300000005</v>
      </c>
    </row>
    <row r="7770" spans="1:17">
      <c r="A7770" s="1736">
        <v>68</v>
      </c>
      <c r="B7770" s="1736" t="s">
        <v>2004</v>
      </c>
      <c r="C7770" s="587" t="s">
        <v>1196</v>
      </c>
      <c r="D7770" s="621">
        <f>D7771</f>
        <v>12318.03441</v>
      </c>
      <c r="E7770" s="621">
        <f t="shared" ref="E7770:Q7770" si="225">E7771</f>
        <v>3577.7999999999997</v>
      </c>
      <c r="F7770" s="621">
        <f t="shared" si="225"/>
        <v>8740.2344100000009</v>
      </c>
      <c r="G7770" s="621">
        <f t="shared" si="225"/>
        <v>995</v>
      </c>
      <c r="H7770" s="621">
        <f t="shared" si="225"/>
        <v>13099.491974166496</v>
      </c>
      <c r="I7770" s="621">
        <f t="shared" si="225"/>
        <v>147</v>
      </c>
      <c r="J7770" s="621">
        <f t="shared" si="225"/>
        <v>781.45856416649622</v>
      </c>
      <c r="K7770" s="621">
        <f t="shared" si="225"/>
        <v>994</v>
      </c>
      <c r="L7770" s="621">
        <f t="shared" si="225"/>
        <v>12318.03441</v>
      </c>
      <c r="M7770" s="621">
        <f t="shared" si="225"/>
        <v>12318.03441</v>
      </c>
      <c r="N7770" s="621">
        <f t="shared" si="225"/>
        <v>3577.7999999999997</v>
      </c>
      <c r="O7770" s="621">
        <f t="shared" si="225"/>
        <v>0</v>
      </c>
      <c r="P7770" s="621">
        <f t="shared" si="225"/>
        <v>8740.2344100000009</v>
      </c>
      <c r="Q7770" s="621">
        <f t="shared" si="225"/>
        <v>8740.2344100000009</v>
      </c>
    </row>
    <row r="7771" spans="1:17">
      <c r="A7771" s="1737"/>
      <c r="B7771" s="1737"/>
      <c r="C7771" s="622" t="s">
        <v>1199</v>
      </c>
      <c r="D7771" s="623">
        <v>12318.03441</v>
      </c>
      <c r="E7771" s="623">
        <v>3577.7999999999997</v>
      </c>
      <c r="F7771" s="623">
        <v>8740.2344100000009</v>
      </c>
      <c r="G7771" s="623">
        <v>995</v>
      </c>
      <c r="H7771" s="623">
        <v>13099.491974166496</v>
      </c>
      <c r="I7771" s="623">
        <v>147</v>
      </c>
      <c r="J7771" s="623">
        <v>781.45856416649622</v>
      </c>
      <c r="K7771" s="623">
        <v>994</v>
      </c>
      <c r="L7771" s="623">
        <v>12318.03441</v>
      </c>
      <c r="M7771" s="623">
        <v>12318.03441</v>
      </c>
      <c r="N7771" s="623">
        <v>3577.7999999999997</v>
      </c>
      <c r="O7771" s="624"/>
      <c r="P7771" s="623">
        <v>8740.2344100000009</v>
      </c>
      <c r="Q7771" s="623">
        <v>8740.2344100000009</v>
      </c>
    </row>
    <row r="7772" spans="1:17">
      <c r="A7772" s="1736">
        <v>69</v>
      </c>
      <c r="B7772" s="1736" t="s">
        <v>2005</v>
      </c>
      <c r="C7772" s="587" t="s">
        <v>1196</v>
      </c>
      <c r="D7772" s="621">
        <f>D7773</f>
        <v>8552.2172599999994</v>
      </c>
      <c r="E7772" s="621">
        <f t="shared" ref="E7772:Q7772" si="226">E7773</f>
        <v>2297.4</v>
      </c>
      <c r="F7772" s="621">
        <f t="shared" si="226"/>
        <v>6254.8172599999998</v>
      </c>
      <c r="G7772" s="621">
        <f t="shared" si="226"/>
        <v>640</v>
      </c>
      <c r="H7772" s="621">
        <f t="shared" si="226"/>
        <v>9443.6768733753343</v>
      </c>
      <c r="I7772" s="621">
        <f t="shared" si="226"/>
        <v>157</v>
      </c>
      <c r="J7772" s="621">
        <f t="shared" si="226"/>
        <v>891.45961337533481</v>
      </c>
      <c r="K7772" s="621">
        <f t="shared" si="226"/>
        <v>628</v>
      </c>
      <c r="L7772" s="621">
        <f t="shared" si="226"/>
        <v>8552.2172599999994</v>
      </c>
      <c r="M7772" s="621">
        <f t="shared" si="226"/>
        <v>8552.2172599999994</v>
      </c>
      <c r="N7772" s="621">
        <f t="shared" si="226"/>
        <v>2297.4</v>
      </c>
      <c r="O7772" s="621">
        <f t="shared" si="226"/>
        <v>0</v>
      </c>
      <c r="P7772" s="621">
        <f t="shared" si="226"/>
        <v>6254.8172599999998</v>
      </c>
      <c r="Q7772" s="621">
        <f t="shared" si="226"/>
        <v>6254.8172599999998</v>
      </c>
    </row>
    <row r="7773" spans="1:17">
      <c r="A7773" s="1737"/>
      <c r="B7773" s="1737"/>
      <c r="C7773" s="622" t="s">
        <v>1199</v>
      </c>
      <c r="D7773" s="623">
        <v>8552.2172599999994</v>
      </c>
      <c r="E7773" s="623">
        <v>2297.4</v>
      </c>
      <c r="F7773" s="623">
        <v>6254.8172599999998</v>
      </c>
      <c r="G7773" s="623">
        <v>640</v>
      </c>
      <c r="H7773" s="623">
        <v>9443.6768733753343</v>
      </c>
      <c r="I7773" s="623">
        <v>157</v>
      </c>
      <c r="J7773" s="623">
        <v>891.45961337533481</v>
      </c>
      <c r="K7773" s="623">
        <v>628</v>
      </c>
      <c r="L7773" s="623">
        <v>8552.2172599999994</v>
      </c>
      <c r="M7773" s="623">
        <v>8552.2172599999994</v>
      </c>
      <c r="N7773" s="623">
        <v>2297.4</v>
      </c>
      <c r="O7773" s="624"/>
      <c r="P7773" s="623">
        <v>6254.8172599999998</v>
      </c>
      <c r="Q7773" s="623">
        <v>6254.8172599999998</v>
      </c>
    </row>
    <row r="7774" spans="1:17">
      <c r="A7774" s="1736">
        <v>70</v>
      </c>
      <c r="B7774" s="1736" t="s">
        <v>2006</v>
      </c>
      <c r="C7774" s="587" t="s">
        <v>1196</v>
      </c>
      <c r="D7774" s="621">
        <f>D7775</f>
        <v>169378.65304</v>
      </c>
      <c r="E7774" s="621">
        <f t="shared" ref="E7774:Q7774" si="227">E7775</f>
        <v>55421.1</v>
      </c>
      <c r="F7774" s="621">
        <f t="shared" si="227"/>
        <v>113957.55304</v>
      </c>
      <c r="G7774" s="621">
        <f t="shared" si="227"/>
        <v>601</v>
      </c>
      <c r="H7774" s="621">
        <f t="shared" si="227"/>
        <v>169747.07441333332</v>
      </c>
      <c r="I7774" s="621">
        <f t="shared" si="227"/>
        <v>2</v>
      </c>
      <c r="J7774" s="621">
        <f t="shared" si="227"/>
        <v>368.4213733333163</v>
      </c>
      <c r="K7774" s="621">
        <f t="shared" si="227"/>
        <v>600</v>
      </c>
      <c r="L7774" s="621">
        <f t="shared" si="227"/>
        <v>169378.65304</v>
      </c>
      <c r="M7774" s="621">
        <f t="shared" si="227"/>
        <v>169378.65304</v>
      </c>
      <c r="N7774" s="621">
        <f t="shared" si="227"/>
        <v>55421.1</v>
      </c>
      <c r="O7774" s="621">
        <f t="shared" si="227"/>
        <v>0</v>
      </c>
      <c r="P7774" s="621">
        <f t="shared" si="227"/>
        <v>113957.55304</v>
      </c>
      <c r="Q7774" s="621">
        <f t="shared" si="227"/>
        <v>113957.55304</v>
      </c>
    </row>
    <row r="7775" spans="1:17">
      <c r="A7775" s="1737"/>
      <c r="B7775" s="1737"/>
      <c r="C7775" s="622" t="s">
        <v>1199</v>
      </c>
      <c r="D7775" s="623">
        <v>169378.65304</v>
      </c>
      <c r="E7775" s="623">
        <v>55421.1</v>
      </c>
      <c r="F7775" s="623">
        <v>113957.55304</v>
      </c>
      <c r="G7775" s="623">
        <v>601</v>
      </c>
      <c r="H7775" s="623">
        <v>169747.07441333332</v>
      </c>
      <c r="I7775" s="623">
        <v>2</v>
      </c>
      <c r="J7775" s="623">
        <v>368.4213733333163</v>
      </c>
      <c r="K7775" s="623">
        <v>600</v>
      </c>
      <c r="L7775" s="623">
        <v>169378.65304</v>
      </c>
      <c r="M7775" s="623">
        <v>169378.65304</v>
      </c>
      <c r="N7775" s="623">
        <v>55421.1</v>
      </c>
      <c r="O7775" s="624"/>
      <c r="P7775" s="623">
        <v>113957.55304</v>
      </c>
      <c r="Q7775" s="623">
        <v>113957.55304</v>
      </c>
    </row>
    <row r="7776" spans="1:17">
      <c r="A7776" s="1736">
        <v>71</v>
      </c>
      <c r="B7776" s="1736" t="s">
        <v>2007</v>
      </c>
      <c r="C7776" s="587" t="s">
        <v>1196</v>
      </c>
      <c r="D7776" s="624">
        <v>5458.4970400000002</v>
      </c>
      <c r="E7776" s="621">
        <v>1939.5</v>
      </c>
      <c r="F7776" s="624">
        <v>3518.9970400000002</v>
      </c>
      <c r="G7776" s="624">
        <v>307</v>
      </c>
      <c r="H7776" s="624">
        <v>5630.7489870075005</v>
      </c>
      <c r="I7776" s="624">
        <v>27</v>
      </c>
      <c r="J7776" s="624">
        <v>172.25194700750035</v>
      </c>
      <c r="K7776" s="624">
        <v>306</v>
      </c>
      <c r="L7776" s="626">
        <v>5458.4970400000002</v>
      </c>
      <c r="M7776" s="623">
        <v>5458.4970400000002</v>
      </c>
      <c r="N7776" s="624">
        <v>1939.5</v>
      </c>
      <c r="O7776" s="624">
        <v>0</v>
      </c>
      <c r="P7776" s="624">
        <v>3518.9970400000002</v>
      </c>
      <c r="Q7776" s="624">
        <v>3518.9974099999999</v>
      </c>
    </row>
    <row r="7777" spans="1:111">
      <c r="A7777" s="1737"/>
      <c r="B7777" s="1737"/>
      <c r="C7777" s="622" t="s">
        <v>1199</v>
      </c>
      <c r="D7777" s="623">
        <v>5458.4970400000002</v>
      </c>
      <c r="E7777" s="623">
        <v>1939.5</v>
      </c>
      <c r="F7777" s="623">
        <v>3518.9970400000002</v>
      </c>
      <c r="G7777" s="623">
        <v>307</v>
      </c>
      <c r="H7777" s="623">
        <v>5630.7489870075005</v>
      </c>
      <c r="I7777" s="623">
        <v>27</v>
      </c>
      <c r="J7777" s="623">
        <v>172.25194700750035</v>
      </c>
      <c r="K7777" s="623">
        <v>306</v>
      </c>
      <c r="L7777" s="623">
        <v>5458.4970400000002</v>
      </c>
      <c r="M7777" s="623">
        <v>5458.4970400000002</v>
      </c>
      <c r="N7777" s="623">
        <v>1939.5</v>
      </c>
      <c r="O7777" s="624"/>
      <c r="P7777" s="623">
        <v>3518.9970400000002</v>
      </c>
      <c r="Q7777" s="623">
        <v>3518.9970400000002</v>
      </c>
    </row>
    <row r="7778" spans="1:111">
      <c r="A7778" s="1736">
        <v>72</v>
      </c>
      <c r="B7778" s="1736" t="s">
        <v>2008</v>
      </c>
      <c r="C7778" s="587" t="s">
        <v>1196</v>
      </c>
      <c r="D7778" s="621">
        <f>D7779+D7780</f>
        <v>193954.97664000001</v>
      </c>
      <c r="E7778" s="621">
        <f t="shared" ref="E7778:Q7778" si="228">E7779+E7780</f>
        <v>97770</v>
      </c>
      <c r="F7778" s="621">
        <f t="shared" si="228"/>
        <v>96184.976639999993</v>
      </c>
      <c r="G7778" s="621">
        <f t="shared" si="228"/>
        <v>1902</v>
      </c>
      <c r="H7778" s="621">
        <f t="shared" si="228"/>
        <v>197364.10114452068</v>
      </c>
      <c r="I7778" s="621">
        <f t="shared" si="228"/>
        <v>135</v>
      </c>
      <c r="J7778" s="621">
        <f t="shared" si="228"/>
        <v>1870.6735845206726</v>
      </c>
      <c r="K7778" s="621">
        <f t="shared" si="228"/>
        <v>1902</v>
      </c>
      <c r="L7778" s="621">
        <f t="shared" si="228"/>
        <v>193954.97664000001</v>
      </c>
      <c r="M7778" s="621">
        <f t="shared" si="228"/>
        <v>193954.97664000001</v>
      </c>
      <c r="N7778" s="621">
        <f t="shared" si="228"/>
        <v>97770</v>
      </c>
      <c r="O7778" s="621">
        <f t="shared" si="228"/>
        <v>0</v>
      </c>
      <c r="P7778" s="621">
        <f t="shared" si="228"/>
        <v>96184.976639999993</v>
      </c>
      <c r="Q7778" s="621">
        <f t="shared" si="228"/>
        <v>96184.976639999993</v>
      </c>
    </row>
    <row r="7779" spans="1:111">
      <c r="A7779" s="1738"/>
      <c r="B7779" s="1738"/>
      <c r="C7779" s="622" t="s">
        <v>1199</v>
      </c>
      <c r="D7779" s="623">
        <v>149863.90831999999</v>
      </c>
      <c r="E7779" s="623">
        <v>83370</v>
      </c>
      <c r="F7779" s="623">
        <v>66493.908319999988</v>
      </c>
      <c r="G7779" s="623">
        <v>1411</v>
      </c>
      <c r="H7779" s="623">
        <v>152070.62975666666</v>
      </c>
      <c r="I7779" s="623">
        <v>75</v>
      </c>
      <c r="J7779" s="623">
        <v>668.27051666667239</v>
      </c>
      <c r="K7779" s="623">
        <v>1411</v>
      </c>
      <c r="L7779" s="623">
        <v>149863.90831999999</v>
      </c>
      <c r="M7779" s="623">
        <v>149863.90831999999</v>
      </c>
      <c r="N7779" s="623">
        <v>83370</v>
      </c>
      <c r="O7779" s="624"/>
      <c r="P7779" s="623">
        <v>66493.908319999988</v>
      </c>
      <c r="Q7779" s="623">
        <v>66493.908319999988</v>
      </c>
    </row>
    <row r="7780" spans="1:111">
      <c r="A7780" s="1737"/>
      <c r="B7780" s="1737"/>
      <c r="C7780" s="622" t="s">
        <v>1197</v>
      </c>
      <c r="D7780" s="623">
        <v>44091.068320000006</v>
      </c>
      <c r="E7780" s="623">
        <v>14400</v>
      </c>
      <c r="F7780" s="623">
        <v>29691.068320000006</v>
      </c>
      <c r="G7780" s="623">
        <v>491</v>
      </c>
      <c r="H7780" s="623">
        <v>45293.471387854006</v>
      </c>
      <c r="I7780" s="623">
        <v>60</v>
      </c>
      <c r="J7780" s="623">
        <v>1202.4030678540003</v>
      </c>
      <c r="K7780" s="623">
        <v>491</v>
      </c>
      <c r="L7780" s="623">
        <v>44091.068320000006</v>
      </c>
      <c r="M7780" s="623">
        <v>44091.068320000006</v>
      </c>
      <c r="N7780" s="623">
        <v>14400</v>
      </c>
      <c r="O7780" s="624"/>
      <c r="P7780" s="623">
        <v>29691.068320000006</v>
      </c>
      <c r="Q7780" s="623">
        <v>29691.068320000006</v>
      </c>
    </row>
    <row r="7781" spans="1:111">
      <c r="A7781" s="1736">
        <v>73</v>
      </c>
      <c r="B7781" s="1736" t="s">
        <v>2009</v>
      </c>
      <c r="C7781" s="587" t="s">
        <v>1196</v>
      </c>
      <c r="D7781" s="621">
        <f>D7782</f>
        <v>58296.990401999996</v>
      </c>
      <c r="E7781" s="621">
        <f t="shared" ref="E7781:Q7781" si="229">E7782</f>
        <v>17489.099999999999</v>
      </c>
      <c r="F7781" s="621">
        <f t="shared" si="229"/>
        <v>40807.890401999997</v>
      </c>
      <c r="G7781" s="621">
        <f t="shared" si="229"/>
        <v>130311</v>
      </c>
      <c r="H7781" s="621">
        <f t="shared" si="229"/>
        <v>60135.42525</v>
      </c>
      <c r="I7781" s="621">
        <f t="shared" si="229"/>
        <v>0</v>
      </c>
      <c r="J7781" s="621">
        <f t="shared" si="229"/>
        <v>0</v>
      </c>
      <c r="K7781" s="621">
        <f t="shared" si="229"/>
        <v>130311</v>
      </c>
      <c r="L7781" s="621">
        <f t="shared" si="229"/>
        <v>58296.990401999996</v>
      </c>
      <c r="M7781" s="621">
        <f t="shared" si="229"/>
        <v>58296.990401999996</v>
      </c>
      <c r="N7781" s="621">
        <f t="shared" si="229"/>
        <v>17489.099999999999</v>
      </c>
      <c r="O7781" s="621">
        <f t="shared" si="229"/>
        <v>0</v>
      </c>
      <c r="P7781" s="621">
        <f t="shared" si="229"/>
        <v>40807.890401999997</v>
      </c>
      <c r="Q7781" s="621">
        <f t="shared" si="229"/>
        <v>40807.890401999997</v>
      </c>
    </row>
    <row r="7782" spans="1:111">
      <c r="A7782" s="1737"/>
      <c r="B7782" s="1737"/>
      <c r="C7782" s="622" t="s">
        <v>1200</v>
      </c>
      <c r="D7782" s="623">
        <v>58296.990401999996</v>
      </c>
      <c r="E7782" s="623">
        <v>17489.099999999999</v>
      </c>
      <c r="F7782" s="623">
        <v>40807.890401999997</v>
      </c>
      <c r="G7782" s="623">
        <v>130311</v>
      </c>
      <c r="H7782" s="623">
        <v>60135.42525</v>
      </c>
      <c r="I7782" s="623">
        <v>0</v>
      </c>
      <c r="J7782" s="623">
        <v>0</v>
      </c>
      <c r="K7782" s="623">
        <v>130311</v>
      </c>
      <c r="L7782" s="623">
        <v>58296.990401999996</v>
      </c>
      <c r="M7782" s="623">
        <v>58296.990401999996</v>
      </c>
      <c r="N7782" s="623">
        <v>17489.099999999999</v>
      </c>
      <c r="O7782" s="624"/>
      <c r="P7782" s="623">
        <v>40807.890401999997</v>
      </c>
      <c r="Q7782" s="623">
        <v>40807.890401999997</v>
      </c>
    </row>
    <row r="7783" spans="1:111">
      <c r="A7783" s="1736">
        <v>74</v>
      </c>
      <c r="B7783" s="1736" t="s">
        <v>1381</v>
      </c>
      <c r="C7783" s="587" t="s">
        <v>1196</v>
      </c>
      <c r="D7783" s="621">
        <f>D7784</f>
        <v>95087.039380000002</v>
      </c>
      <c r="E7783" s="621">
        <f t="shared" ref="E7783:Q7783" si="230">E7784</f>
        <v>35550</v>
      </c>
      <c r="F7783" s="621">
        <f t="shared" si="230"/>
        <v>59537.039380000002</v>
      </c>
      <c r="G7783" s="621">
        <f t="shared" si="230"/>
        <v>1229</v>
      </c>
      <c r="H7783" s="621">
        <f t="shared" si="230"/>
        <v>99012.422470578022</v>
      </c>
      <c r="I7783" s="621">
        <f t="shared" si="230"/>
        <v>126</v>
      </c>
      <c r="J7783" s="621">
        <f t="shared" si="230"/>
        <v>3925.7190399999999</v>
      </c>
      <c r="K7783" s="621">
        <f t="shared" si="230"/>
        <v>1228</v>
      </c>
      <c r="L7783" s="621">
        <f t="shared" si="230"/>
        <v>95087.039380000002</v>
      </c>
      <c r="M7783" s="621">
        <f t="shared" si="230"/>
        <v>95087.039380000002</v>
      </c>
      <c r="N7783" s="621">
        <f t="shared" si="230"/>
        <v>35550</v>
      </c>
      <c r="O7783" s="621">
        <f t="shared" si="230"/>
        <v>0</v>
      </c>
      <c r="P7783" s="621">
        <f>AL7784</f>
        <v>59537.039380000002</v>
      </c>
      <c r="Q7783" s="621">
        <f t="shared" si="230"/>
        <v>59537.039380000002</v>
      </c>
    </row>
    <row r="7784" spans="1:111">
      <c r="A7784" s="1737"/>
      <c r="B7784" s="1737"/>
      <c r="C7784" s="622" t="s">
        <v>1197</v>
      </c>
      <c r="D7784" s="623">
        <v>95087.039380000002</v>
      </c>
      <c r="E7784" s="627">
        <v>35550</v>
      </c>
      <c r="F7784" s="623">
        <v>59537.039380000002</v>
      </c>
      <c r="G7784" s="623">
        <v>1229</v>
      </c>
      <c r="H7784" s="623">
        <v>99012.422470578022</v>
      </c>
      <c r="I7784" s="623">
        <v>126</v>
      </c>
      <c r="J7784" s="623">
        <v>3925.7190399999999</v>
      </c>
      <c r="K7784" s="623">
        <v>1228</v>
      </c>
      <c r="L7784" s="623">
        <v>95087.039380000002</v>
      </c>
      <c r="M7784" s="623">
        <v>95087.039380000002</v>
      </c>
      <c r="N7784" s="623">
        <v>35550</v>
      </c>
      <c r="O7784" s="624"/>
      <c r="Q7784" s="623">
        <v>59537.039380000002</v>
      </c>
      <c r="AL7784" s="623">
        <v>59537.039380000002</v>
      </c>
    </row>
    <row r="7785" spans="1:111">
      <c r="A7785" s="1736">
        <v>75</v>
      </c>
      <c r="B7785" s="1736" t="s">
        <v>2010</v>
      </c>
      <c r="C7785" s="587" t="s">
        <v>1196</v>
      </c>
      <c r="D7785" s="621">
        <f>D7786+D7787</f>
        <v>48310.118270000006</v>
      </c>
      <c r="E7785" s="621">
        <f t="shared" ref="E7785:Q7785" si="231">E7786+E7787</f>
        <v>13968</v>
      </c>
      <c r="F7785" s="621">
        <f t="shared" si="231"/>
        <v>34342.118270000006</v>
      </c>
      <c r="G7785" s="621">
        <f t="shared" si="231"/>
        <v>1102</v>
      </c>
      <c r="H7785" s="621">
        <f t="shared" si="231"/>
        <v>53884.982121272493</v>
      </c>
      <c r="I7785" s="621">
        <f t="shared" si="231"/>
        <v>108</v>
      </c>
      <c r="J7785" s="621">
        <f t="shared" si="231"/>
        <v>1778.5392247275006</v>
      </c>
      <c r="K7785" s="621">
        <f t="shared" si="231"/>
        <v>1101</v>
      </c>
      <c r="L7785" s="621">
        <f t="shared" si="231"/>
        <v>48310.118270000006</v>
      </c>
      <c r="M7785" s="621">
        <f t="shared" si="231"/>
        <v>48310.118270000006</v>
      </c>
      <c r="N7785" s="621">
        <f t="shared" si="231"/>
        <v>13968</v>
      </c>
      <c r="O7785" s="621">
        <f t="shared" si="231"/>
        <v>0</v>
      </c>
      <c r="P7785" s="621">
        <f t="shared" si="231"/>
        <v>34342.118270000006</v>
      </c>
      <c r="Q7785" s="621">
        <f t="shared" si="231"/>
        <v>34342.118270000006</v>
      </c>
    </row>
    <row r="7786" spans="1:111">
      <c r="A7786" s="1738"/>
      <c r="B7786" s="1738"/>
      <c r="C7786" s="622" t="s">
        <v>1197</v>
      </c>
      <c r="D7786" s="623">
        <v>43471.907340000005</v>
      </c>
      <c r="E7786" s="623">
        <v>12600</v>
      </c>
      <c r="F7786" s="623">
        <v>30871.907340000005</v>
      </c>
      <c r="G7786" s="623">
        <v>716</v>
      </c>
      <c r="H7786" s="623">
        <v>48877.458936544994</v>
      </c>
      <c r="I7786" s="623">
        <v>68</v>
      </c>
      <c r="J7786" s="623">
        <v>1609.2269699999999</v>
      </c>
      <c r="K7786" s="623">
        <v>716</v>
      </c>
      <c r="L7786" s="623">
        <v>43471.907340000005</v>
      </c>
      <c r="M7786" s="623">
        <v>43471.907340000005</v>
      </c>
      <c r="N7786" s="623">
        <v>12600</v>
      </c>
      <c r="O7786" s="624"/>
      <c r="P7786" s="623">
        <v>30871.907340000005</v>
      </c>
      <c r="Q7786" s="623">
        <v>30871.907340000005</v>
      </c>
    </row>
    <row r="7787" spans="1:111">
      <c r="A7787" s="1737"/>
      <c r="B7787" s="1737"/>
      <c r="C7787" s="622" t="s">
        <v>1199</v>
      </c>
      <c r="D7787" s="623">
        <v>4838.2109299999993</v>
      </c>
      <c r="E7787" s="623">
        <v>1368</v>
      </c>
      <c r="F7787" s="623">
        <v>3470.2109299999993</v>
      </c>
      <c r="G7787" s="623">
        <v>386</v>
      </c>
      <c r="H7787" s="623">
        <v>5007.5231847274999</v>
      </c>
      <c r="I7787" s="623">
        <v>40</v>
      </c>
      <c r="J7787" s="623">
        <v>169.31225472750066</v>
      </c>
      <c r="K7787" s="623">
        <v>385</v>
      </c>
      <c r="L7787" s="623">
        <v>4838.2109299999993</v>
      </c>
      <c r="M7787" s="623">
        <v>4838.2109299999993</v>
      </c>
      <c r="N7787" s="623">
        <v>1368</v>
      </c>
      <c r="O7787" s="624"/>
      <c r="P7787" s="623">
        <v>3470.2109299999993</v>
      </c>
      <c r="Q7787" s="623">
        <v>3470.2109299999993</v>
      </c>
    </row>
    <row r="7788" spans="1:111">
      <c r="A7788" s="1736">
        <v>76</v>
      </c>
      <c r="B7788" s="1739" t="s">
        <v>2011</v>
      </c>
      <c r="C7788" s="587" t="s">
        <v>1196</v>
      </c>
      <c r="D7788" s="621">
        <f>D7789</f>
        <v>275951.42199999996</v>
      </c>
      <c r="E7788" s="621">
        <f t="shared" ref="E7788:Q7788" si="232">E7789</f>
        <v>81273.900000000009</v>
      </c>
      <c r="F7788" s="621">
        <f t="shared" si="232"/>
        <v>194677.52199999994</v>
      </c>
      <c r="G7788" s="621">
        <f t="shared" si="232"/>
        <v>2466</v>
      </c>
      <c r="H7788" s="621">
        <f t="shared" si="232"/>
        <v>279879.64500000002</v>
      </c>
      <c r="I7788" s="621">
        <f t="shared" si="232"/>
        <v>68</v>
      </c>
      <c r="J7788" s="621">
        <f t="shared" si="232"/>
        <v>2776.8480000000454</v>
      </c>
      <c r="K7788" s="621">
        <f t="shared" si="232"/>
        <v>2462</v>
      </c>
      <c r="L7788" s="621">
        <f t="shared" si="232"/>
        <v>275951.42199999996</v>
      </c>
      <c r="M7788" s="621">
        <f t="shared" si="232"/>
        <v>275951.42199999996</v>
      </c>
      <c r="N7788" s="621">
        <f t="shared" si="232"/>
        <v>81273.900000000009</v>
      </c>
      <c r="O7788" s="621">
        <f t="shared" si="232"/>
        <v>0</v>
      </c>
      <c r="P7788" s="621">
        <f>BD7789</f>
        <v>194677.52199999994</v>
      </c>
      <c r="Q7788" s="621">
        <f t="shared" si="232"/>
        <v>194677.52199999994</v>
      </c>
    </row>
    <row r="7789" spans="1:111">
      <c r="A7789" s="1737"/>
      <c r="B7789" s="1740"/>
      <c r="C7789" s="622" t="s">
        <v>1197</v>
      </c>
      <c r="D7789" s="623">
        <v>275951.42199999996</v>
      </c>
      <c r="E7789" s="623">
        <v>81273.900000000009</v>
      </c>
      <c r="F7789" s="623">
        <v>194677.52199999994</v>
      </c>
      <c r="G7789" s="623">
        <v>2466</v>
      </c>
      <c r="H7789" s="623">
        <v>279879.64500000002</v>
      </c>
      <c r="I7789" s="623">
        <v>68</v>
      </c>
      <c r="J7789" s="623">
        <v>2776.8480000000454</v>
      </c>
      <c r="K7789" s="623">
        <v>2462</v>
      </c>
      <c r="L7789" s="623">
        <v>275951.42199999996</v>
      </c>
      <c r="M7789" s="623">
        <v>275951.42199999996</v>
      </c>
      <c r="N7789" s="623">
        <v>81273.900000000009</v>
      </c>
      <c r="O7789" s="624"/>
      <c r="Q7789" s="623">
        <v>194677.52199999994</v>
      </c>
      <c r="BD7789" s="623">
        <v>194677.52199999994</v>
      </c>
    </row>
    <row r="7790" spans="1:111">
      <c r="A7790" s="1741" t="s">
        <v>1198</v>
      </c>
      <c r="B7790" s="1741"/>
      <c r="C7790" s="1741"/>
      <c r="D7790" s="1741"/>
      <c r="E7790" s="1741"/>
      <c r="F7790" s="1741"/>
      <c r="G7790" s="1741"/>
      <c r="H7790" s="1741"/>
      <c r="I7790" s="1741"/>
      <c r="J7790" s="1741"/>
      <c r="K7790" s="1741"/>
      <c r="L7790" s="1741"/>
      <c r="M7790" s="1741"/>
      <c r="N7790" s="1741"/>
      <c r="O7790" s="1741"/>
      <c r="P7790" s="1741"/>
      <c r="AL7790" s="561">
        <f>SUM(AL7791:AL7995)</f>
        <v>2177562.4904450006</v>
      </c>
      <c r="AM7790" s="561">
        <f t="shared" ref="AM7790:CX7790" si="233">SUM(AM7791:AM7995)</f>
        <v>0</v>
      </c>
      <c r="AN7790" s="561">
        <f t="shared" si="233"/>
        <v>0</v>
      </c>
      <c r="AO7790" s="561">
        <f t="shared" si="233"/>
        <v>0</v>
      </c>
      <c r="AP7790" s="561">
        <f t="shared" si="233"/>
        <v>0</v>
      </c>
      <c r="AQ7790" s="561">
        <f t="shared" si="233"/>
        <v>0</v>
      </c>
      <c r="AR7790" s="561">
        <f t="shared" si="233"/>
        <v>0</v>
      </c>
      <c r="AS7790" s="561">
        <f t="shared" si="233"/>
        <v>0</v>
      </c>
      <c r="AT7790" s="561">
        <f t="shared" si="233"/>
        <v>0</v>
      </c>
      <c r="AU7790" s="561">
        <f t="shared" si="233"/>
        <v>0</v>
      </c>
      <c r="AV7790" s="561">
        <f t="shared" si="233"/>
        <v>0</v>
      </c>
      <c r="AW7790" s="561">
        <f t="shared" si="233"/>
        <v>0</v>
      </c>
      <c r="AX7790" s="561">
        <f t="shared" si="233"/>
        <v>999455.38575699995</v>
      </c>
      <c r="AY7790" s="561">
        <f t="shared" si="233"/>
        <v>0</v>
      </c>
      <c r="AZ7790" s="561">
        <f t="shared" si="233"/>
        <v>0</v>
      </c>
      <c r="BA7790" s="561">
        <f t="shared" si="233"/>
        <v>0</v>
      </c>
      <c r="BB7790" s="561">
        <f t="shared" si="233"/>
        <v>0</v>
      </c>
      <c r="BC7790" s="561">
        <f t="shared" si="233"/>
        <v>0</v>
      </c>
      <c r="BD7790" s="561">
        <f t="shared" si="233"/>
        <v>4000562.4151050006</v>
      </c>
      <c r="BE7790" s="561">
        <f t="shared" si="233"/>
        <v>0</v>
      </c>
      <c r="BF7790" s="561">
        <f t="shared" si="233"/>
        <v>0</v>
      </c>
      <c r="BG7790" s="561">
        <f t="shared" si="233"/>
        <v>0</v>
      </c>
      <c r="BH7790" s="561">
        <f t="shared" si="233"/>
        <v>0</v>
      </c>
      <c r="BI7790" s="561">
        <f t="shared" si="233"/>
        <v>0</v>
      </c>
      <c r="BJ7790" s="561">
        <f t="shared" si="233"/>
        <v>0</v>
      </c>
      <c r="BK7790" s="561">
        <f t="shared" si="233"/>
        <v>0</v>
      </c>
      <c r="BL7790" s="561">
        <f t="shared" si="233"/>
        <v>0</v>
      </c>
      <c r="BM7790" s="561">
        <f t="shared" si="233"/>
        <v>0</v>
      </c>
      <c r="BN7790" s="561">
        <f t="shared" si="233"/>
        <v>0</v>
      </c>
      <c r="BO7790" s="561">
        <f t="shared" si="233"/>
        <v>0</v>
      </c>
      <c r="BP7790" s="561">
        <f t="shared" si="233"/>
        <v>0</v>
      </c>
      <c r="BQ7790" s="561">
        <f t="shared" si="233"/>
        <v>0</v>
      </c>
      <c r="BR7790" s="561">
        <f t="shared" si="233"/>
        <v>0</v>
      </c>
      <c r="BS7790" s="561">
        <f t="shared" si="233"/>
        <v>0</v>
      </c>
      <c r="BT7790" s="561">
        <f t="shared" si="233"/>
        <v>0</v>
      </c>
      <c r="BU7790" s="561">
        <f t="shared" si="233"/>
        <v>0</v>
      </c>
      <c r="BV7790" s="561">
        <f t="shared" si="233"/>
        <v>0</v>
      </c>
      <c r="BW7790" s="561">
        <f t="shared" si="233"/>
        <v>0</v>
      </c>
      <c r="BX7790" s="561">
        <f t="shared" si="233"/>
        <v>0</v>
      </c>
      <c r="BY7790" s="561">
        <f t="shared" si="233"/>
        <v>0</v>
      </c>
      <c r="BZ7790" s="561">
        <f t="shared" si="233"/>
        <v>0</v>
      </c>
      <c r="CA7790" s="561">
        <f t="shared" si="233"/>
        <v>0</v>
      </c>
      <c r="CB7790" s="561">
        <f t="shared" si="233"/>
        <v>0</v>
      </c>
      <c r="CC7790" s="561">
        <f t="shared" si="233"/>
        <v>0</v>
      </c>
      <c r="CD7790" s="561">
        <f t="shared" si="233"/>
        <v>0</v>
      </c>
      <c r="CE7790" s="561">
        <f t="shared" si="233"/>
        <v>0</v>
      </c>
      <c r="CF7790" s="561">
        <f t="shared" si="233"/>
        <v>0</v>
      </c>
      <c r="CG7790" s="561">
        <f t="shared" si="233"/>
        <v>0</v>
      </c>
      <c r="CH7790" s="561">
        <f t="shared" si="233"/>
        <v>0</v>
      </c>
      <c r="CI7790" s="561">
        <f t="shared" si="233"/>
        <v>0</v>
      </c>
      <c r="CJ7790" s="561">
        <f t="shared" si="233"/>
        <v>0</v>
      </c>
      <c r="CK7790" s="561">
        <f t="shared" si="233"/>
        <v>0</v>
      </c>
      <c r="CL7790" s="561">
        <f t="shared" si="233"/>
        <v>0</v>
      </c>
      <c r="CM7790" s="561">
        <f t="shared" si="233"/>
        <v>0</v>
      </c>
      <c r="CN7790" s="561">
        <f t="shared" si="233"/>
        <v>0</v>
      </c>
      <c r="CO7790" s="561">
        <f t="shared" si="233"/>
        <v>0</v>
      </c>
      <c r="CP7790" s="561">
        <f t="shared" si="233"/>
        <v>0</v>
      </c>
      <c r="CQ7790" s="561">
        <f t="shared" si="233"/>
        <v>0</v>
      </c>
      <c r="CR7790" s="561">
        <f t="shared" si="233"/>
        <v>0</v>
      </c>
      <c r="CS7790" s="561">
        <f t="shared" si="233"/>
        <v>0</v>
      </c>
      <c r="CT7790" s="561">
        <f t="shared" si="233"/>
        <v>0</v>
      </c>
      <c r="CU7790" s="561">
        <f t="shared" si="233"/>
        <v>0</v>
      </c>
      <c r="CV7790" s="561">
        <f t="shared" si="233"/>
        <v>0</v>
      </c>
      <c r="CW7790" s="561">
        <f t="shared" si="233"/>
        <v>0</v>
      </c>
      <c r="CX7790" s="561">
        <f t="shared" si="233"/>
        <v>0</v>
      </c>
      <c r="CY7790" s="561">
        <f t="shared" ref="CY7790:DG7790" si="234">SUM(CY7791:CY7995)</f>
        <v>0</v>
      </c>
      <c r="CZ7790" s="561">
        <f t="shared" si="234"/>
        <v>0</v>
      </c>
      <c r="DA7790" s="561">
        <f t="shared" si="234"/>
        <v>0</v>
      </c>
      <c r="DB7790" s="561">
        <f t="shared" si="234"/>
        <v>0</v>
      </c>
      <c r="DC7790" s="561">
        <f t="shared" si="234"/>
        <v>0</v>
      </c>
      <c r="DD7790" s="561">
        <f t="shared" si="234"/>
        <v>0</v>
      </c>
      <c r="DE7790" s="561">
        <f t="shared" si="234"/>
        <v>0</v>
      </c>
      <c r="DF7790" s="561">
        <f t="shared" si="234"/>
        <v>0</v>
      </c>
      <c r="DG7790" s="561">
        <f t="shared" si="234"/>
        <v>0</v>
      </c>
    </row>
    <row r="7791" spans="1:111">
      <c r="A7791" s="1736">
        <v>1</v>
      </c>
      <c r="B7791" s="1736" t="s">
        <v>1938</v>
      </c>
      <c r="C7791" s="587" t="s">
        <v>1196</v>
      </c>
      <c r="D7791" s="621">
        <f>D7792+D7793+D7794</f>
        <v>1190715.92221</v>
      </c>
      <c r="E7791" s="621">
        <f t="shared" ref="E7791:O7791" si="235">E7792+E7793+E7794</f>
        <v>319536.59999999998</v>
      </c>
      <c r="F7791" s="621">
        <f t="shared" si="235"/>
        <v>871179.32221000001</v>
      </c>
      <c r="G7791" s="621">
        <f t="shared" si="235"/>
        <v>16312</v>
      </c>
      <c r="H7791" s="621">
        <f t="shared" si="235"/>
        <v>1289953.7517973888</v>
      </c>
      <c r="I7791" s="621">
        <f t="shared" si="235"/>
        <v>1999</v>
      </c>
      <c r="J7791" s="621">
        <f t="shared" si="235"/>
        <v>67702.17407539126</v>
      </c>
      <c r="K7791" s="621">
        <f t="shared" si="235"/>
        <v>15989</v>
      </c>
      <c r="L7791" s="621">
        <f t="shared" si="235"/>
        <v>1190715.92221</v>
      </c>
      <c r="M7791" s="621">
        <f t="shared" si="235"/>
        <v>1190715.92221</v>
      </c>
      <c r="N7791" s="621">
        <f t="shared" si="235"/>
        <v>319536.59999999998</v>
      </c>
      <c r="O7791" s="621">
        <f t="shared" si="235"/>
        <v>0</v>
      </c>
      <c r="P7791" s="621">
        <f>BD7792+AL7793+P7794</f>
        <v>189271.72234000001</v>
      </c>
    </row>
    <row r="7792" spans="1:111">
      <c r="A7792" s="1738"/>
      <c r="B7792" s="1738"/>
      <c r="C7792" s="622" t="s">
        <v>1197</v>
      </c>
      <c r="D7792" s="623">
        <v>953773.35986999993</v>
      </c>
      <c r="E7792" s="623">
        <v>271865.75999999995</v>
      </c>
      <c r="F7792" s="623">
        <v>681907.59987000003</v>
      </c>
      <c r="G7792" s="623">
        <v>15042</v>
      </c>
      <c r="H7792" s="623">
        <v>1034405.0816175612</v>
      </c>
      <c r="I7792" s="623">
        <v>1951</v>
      </c>
      <c r="J7792" s="623">
        <v>59822.188870000005</v>
      </c>
      <c r="K7792" s="623">
        <v>14761</v>
      </c>
      <c r="L7792" s="623">
        <v>953773.35986999993</v>
      </c>
      <c r="M7792" s="623">
        <v>953773.35986999993</v>
      </c>
      <c r="N7792" s="623">
        <v>271865.75999999995</v>
      </c>
      <c r="O7792" s="624"/>
    </row>
    <row r="7793" spans="1:50">
      <c r="A7793" s="1738"/>
      <c r="B7793" s="1738"/>
      <c r="C7793" s="622" t="s">
        <v>1198</v>
      </c>
      <c r="D7793" s="623">
        <v>138229.22871</v>
      </c>
      <c r="E7793" s="623">
        <v>23392.83</v>
      </c>
      <c r="F7793" s="623">
        <v>114836.39870999999</v>
      </c>
      <c r="G7793" s="623">
        <v>256</v>
      </c>
      <c r="H7793" s="623">
        <v>145381.20120080299</v>
      </c>
      <c r="I7793" s="623">
        <v>29</v>
      </c>
      <c r="J7793" s="623">
        <v>7801.0828099999999</v>
      </c>
      <c r="K7793" s="623">
        <v>254</v>
      </c>
      <c r="L7793" s="623">
        <v>138229.22871</v>
      </c>
      <c r="M7793" s="623">
        <v>138229.22871</v>
      </c>
      <c r="N7793" s="623">
        <v>23392.83</v>
      </c>
      <c r="O7793" s="624"/>
      <c r="AL7793" s="623">
        <v>114836.39870999999</v>
      </c>
    </row>
    <row r="7794" spans="1:50">
      <c r="A7794" s="1737"/>
      <c r="B7794" s="1737"/>
      <c r="C7794" s="622" t="s">
        <v>1199</v>
      </c>
      <c r="D7794" s="623">
        <v>98713.333630000008</v>
      </c>
      <c r="E7794" s="623">
        <v>24278.01</v>
      </c>
      <c r="F7794" s="623">
        <v>74435.323630000014</v>
      </c>
      <c r="G7794" s="623">
        <v>1014</v>
      </c>
      <c r="H7794" s="623">
        <v>110167.46897902449</v>
      </c>
      <c r="I7794" s="623">
        <v>19</v>
      </c>
      <c r="J7794" s="623">
        <v>78.902395391249996</v>
      </c>
      <c r="K7794" s="623">
        <v>974</v>
      </c>
      <c r="L7794" s="623">
        <v>98713.333630000008</v>
      </c>
      <c r="M7794" s="623">
        <v>98713.333630000008</v>
      </c>
      <c r="N7794" s="623">
        <v>24278.01</v>
      </c>
      <c r="O7794" s="624"/>
      <c r="P7794" s="623">
        <v>74435.323630000014</v>
      </c>
    </row>
    <row r="7795" spans="1:50">
      <c r="A7795" s="1736">
        <v>2</v>
      </c>
      <c r="B7795" s="1736" t="s">
        <v>1939</v>
      </c>
      <c r="C7795" s="587" t="s">
        <v>1196</v>
      </c>
      <c r="D7795" s="621">
        <f>D7796+D7797</f>
        <v>2696215.3697239999</v>
      </c>
      <c r="E7795" s="621">
        <f t="shared" ref="E7795:O7795" si="236">E7796+E7797</f>
        <v>509514.6</v>
      </c>
      <c r="F7795" s="621">
        <f t="shared" si="236"/>
        <v>2186700.7697239998</v>
      </c>
      <c r="G7795" s="621">
        <f t="shared" si="236"/>
        <v>11315</v>
      </c>
      <c r="H7795" s="621">
        <f t="shared" si="236"/>
        <v>3033479.9900145363</v>
      </c>
      <c r="I7795" s="621">
        <f t="shared" si="236"/>
        <v>2275</v>
      </c>
      <c r="J7795" s="621">
        <f t="shared" si="236"/>
        <v>295006.57583000005</v>
      </c>
      <c r="K7795" s="621">
        <f t="shared" si="236"/>
        <v>10968</v>
      </c>
      <c r="L7795" s="621">
        <f t="shared" si="236"/>
        <v>2696215.3697239999</v>
      </c>
      <c r="M7795" s="621">
        <f t="shared" si="236"/>
        <v>2696215.3697239999</v>
      </c>
      <c r="N7795" s="621">
        <f t="shared" si="236"/>
        <v>509514.6</v>
      </c>
      <c r="O7795" s="621">
        <f t="shared" si="236"/>
        <v>0</v>
      </c>
      <c r="P7795" s="621">
        <f>AX7796+AX7797</f>
        <v>999455.38575699995</v>
      </c>
    </row>
    <row r="7796" spans="1:50">
      <c r="A7796" s="1738"/>
      <c r="B7796" s="1738"/>
      <c r="C7796" s="622" t="s">
        <v>1197</v>
      </c>
      <c r="D7796" s="623">
        <v>1504832.2239669999</v>
      </c>
      <c r="E7796" s="623">
        <v>317586.84000000003</v>
      </c>
      <c r="F7796" s="623">
        <v>1187245.3839669998</v>
      </c>
      <c r="G7796" s="623">
        <v>10169</v>
      </c>
      <c r="H7796" s="623">
        <v>1707456.1280392602</v>
      </c>
      <c r="I7796" s="623">
        <v>2020</v>
      </c>
      <c r="J7796" s="623">
        <v>158750.38276000004</v>
      </c>
      <c r="K7796" s="623">
        <v>9878</v>
      </c>
      <c r="L7796" s="623">
        <v>1504832.2239669999</v>
      </c>
      <c r="M7796" s="623">
        <v>1504832.2239669999</v>
      </c>
      <c r="N7796" s="623">
        <v>317586.84000000003</v>
      </c>
      <c r="O7796" s="624"/>
    </row>
    <row r="7797" spans="1:50">
      <c r="A7797" s="1737"/>
      <c r="B7797" s="1737"/>
      <c r="C7797" s="622" t="s">
        <v>1198</v>
      </c>
      <c r="D7797" s="623">
        <v>1191383.145757</v>
      </c>
      <c r="E7797" s="623">
        <v>191927.75999999998</v>
      </c>
      <c r="F7797" s="623">
        <v>999455.38575699995</v>
      </c>
      <c r="G7797" s="623">
        <v>1146</v>
      </c>
      <c r="H7797" s="623">
        <v>1326023.8619752759</v>
      </c>
      <c r="I7797" s="623">
        <v>255</v>
      </c>
      <c r="J7797" s="623">
        <v>136256.19307000001</v>
      </c>
      <c r="K7797" s="623">
        <v>1090</v>
      </c>
      <c r="L7797" s="623">
        <v>1191383.145757</v>
      </c>
      <c r="M7797" s="623">
        <v>1191383.145757</v>
      </c>
      <c r="N7797" s="623">
        <v>191927.75999999998</v>
      </c>
      <c r="O7797" s="624"/>
      <c r="AX7797" s="623">
        <v>999455.38575699995</v>
      </c>
    </row>
    <row r="7798" spans="1:50">
      <c r="A7798" s="1736">
        <f>A7795+1</f>
        <v>3</v>
      </c>
      <c r="B7798" s="1736" t="s">
        <v>1940</v>
      </c>
      <c r="C7798" s="587" t="s">
        <v>1196</v>
      </c>
      <c r="D7798" s="621">
        <f>D7799+D7800</f>
        <v>1039277.27994</v>
      </c>
      <c r="E7798" s="621">
        <f t="shared" ref="E7798:O7798" si="237">E7799+E7800</f>
        <v>283598.39999999997</v>
      </c>
      <c r="F7798" s="621">
        <f t="shared" si="237"/>
        <v>755678.87994000001</v>
      </c>
      <c r="G7798" s="621">
        <f t="shared" si="237"/>
        <v>18090</v>
      </c>
      <c r="H7798" s="621">
        <f t="shared" si="237"/>
        <v>1107334.1215353741</v>
      </c>
      <c r="I7798" s="621">
        <f t="shared" si="237"/>
        <v>2514</v>
      </c>
      <c r="J7798" s="621">
        <f t="shared" si="237"/>
        <v>60451.789429999997</v>
      </c>
      <c r="K7798" s="621">
        <f t="shared" si="237"/>
        <v>18086</v>
      </c>
      <c r="L7798" s="621">
        <f t="shared" si="237"/>
        <v>1039277.27994</v>
      </c>
      <c r="M7798" s="621">
        <f t="shared" si="237"/>
        <v>1039277.27994</v>
      </c>
      <c r="N7798" s="621">
        <f t="shared" si="237"/>
        <v>283598.39999999997</v>
      </c>
      <c r="O7798" s="621">
        <f t="shared" si="237"/>
        <v>0</v>
      </c>
      <c r="P7798" s="621">
        <f>AX7799+P7800</f>
        <v>2628.1070099999997</v>
      </c>
    </row>
    <row r="7799" spans="1:50">
      <c r="A7799" s="1738"/>
      <c r="B7799" s="1738"/>
      <c r="C7799" s="622" t="s">
        <v>1197</v>
      </c>
      <c r="D7799" s="623">
        <v>1035569.17293</v>
      </c>
      <c r="E7799" s="623">
        <v>282518.39999999997</v>
      </c>
      <c r="F7799" s="623">
        <v>753050.77292999998</v>
      </c>
      <c r="G7799" s="623">
        <v>17761</v>
      </c>
      <c r="H7799" s="623">
        <v>1103590.7895753847</v>
      </c>
      <c r="I7799" s="623">
        <v>2504</v>
      </c>
      <c r="J7799" s="623">
        <v>60416.923129999996</v>
      </c>
      <c r="K7799" s="623">
        <v>17757</v>
      </c>
      <c r="L7799" s="623">
        <v>1035569.17293</v>
      </c>
      <c r="M7799" s="623">
        <v>1035569.17293</v>
      </c>
      <c r="N7799" s="623">
        <v>282518.39999999997</v>
      </c>
      <c r="O7799" s="624"/>
      <c r="AJ7799" s="561" t="s">
        <v>846</v>
      </c>
    </row>
    <row r="7800" spans="1:50">
      <c r="A7800" s="1737"/>
      <c r="B7800" s="1737"/>
      <c r="C7800" s="622" t="s">
        <v>1199</v>
      </c>
      <c r="D7800" s="623">
        <v>3708.1070099999997</v>
      </c>
      <c r="E7800" s="623">
        <v>1080</v>
      </c>
      <c r="F7800" s="623">
        <v>2628.1070099999997</v>
      </c>
      <c r="G7800" s="623">
        <v>329</v>
      </c>
      <c r="H7800" s="623">
        <v>3743.3319599895003</v>
      </c>
      <c r="I7800" s="623">
        <v>10</v>
      </c>
      <c r="J7800" s="623">
        <v>34.866300000000003</v>
      </c>
      <c r="K7800" s="623">
        <v>329</v>
      </c>
      <c r="L7800" s="623">
        <v>3708.1070099999997</v>
      </c>
      <c r="M7800" s="623">
        <v>3708.1070099999997</v>
      </c>
      <c r="N7800" s="623">
        <v>1080</v>
      </c>
      <c r="O7800" s="624"/>
      <c r="P7800" s="623">
        <v>2628.1070099999997</v>
      </c>
    </row>
    <row r="7801" spans="1:50">
      <c r="A7801" s="1736">
        <v>4</v>
      </c>
      <c r="B7801" s="1736" t="s">
        <v>1941</v>
      </c>
      <c r="C7801" s="587" t="s">
        <v>1196</v>
      </c>
      <c r="D7801" s="621">
        <f>D7802+D7803+D7804</f>
        <v>1891511.2618760001</v>
      </c>
      <c r="E7801" s="621">
        <f t="shared" ref="E7801:O7801" si="238">E7802+E7803+E7804</f>
        <v>423764.4</v>
      </c>
      <c r="F7801" s="621">
        <f t="shared" si="238"/>
        <v>1467746.861876</v>
      </c>
      <c r="G7801" s="621">
        <f t="shared" si="238"/>
        <v>16470</v>
      </c>
      <c r="H7801" s="621">
        <f t="shared" si="238"/>
        <v>2037016.286848109</v>
      </c>
      <c r="I7801" s="621">
        <f t="shared" si="238"/>
        <v>2768</v>
      </c>
      <c r="J7801" s="621">
        <f t="shared" si="238"/>
        <v>103364.66861616817</v>
      </c>
      <c r="K7801" s="621">
        <f t="shared" si="238"/>
        <v>16088</v>
      </c>
      <c r="L7801" s="621">
        <f t="shared" si="238"/>
        <v>1891511.2618760001</v>
      </c>
      <c r="M7801" s="621">
        <f t="shared" si="238"/>
        <v>1891511.2618760001</v>
      </c>
      <c r="N7801" s="621">
        <f t="shared" si="238"/>
        <v>423764.4</v>
      </c>
      <c r="O7801" s="621">
        <f t="shared" si="238"/>
        <v>0</v>
      </c>
      <c r="P7801" s="621">
        <f>AX7802+AL7803+P7804</f>
        <v>949996.96560000011</v>
      </c>
    </row>
    <row r="7802" spans="1:50">
      <c r="A7802" s="1738"/>
      <c r="B7802" s="1738"/>
      <c r="C7802" s="622" t="s">
        <v>1197</v>
      </c>
      <c r="D7802" s="623">
        <v>833701.58627600002</v>
      </c>
      <c r="E7802" s="623">
        <v>315951.69</v>
      </c>
      <c r="F7802" s="623">
        <v>517749.89627600001</v>
      </c>
      <c r="G7802" s="623">
        <v>13585</v>
      </c>
      <c r="H7802" s="623">
        <v>962344.70728999982</v>
      </c>
      <c r="I7802" s="623">
        <v>2599</v>
      </c>
      <c r="J7802" s="623">
        <v>86493.698499999999</v>
      </c>
      <c r="K7802" s="623">
        <v>13212</v>
      </c>
      <c r="L7802" s="623">
        <v>833701.58627600002</v>
      </c>
      <c r="M7802" s="623">
        <v>833701.58627600002</v>
      </c>
      <c r="N7802" s="623">
        <v>315951.69</v>
      </c>
      <c r="O7802" s="624"/>
    </row>
    <row r="7803" spans="1:50">
      <c r="A7803" s="1738"/>
      <c r="B7803" s="1738"/>
      <c r="C7803" s="622" t="s">
        <v>1198</v>
      </c>
      <c r="D7803" s="623">
        <v>1040600.52616</v>
      </c>
      <c r="E7803" s="623">
        <v>104295.81</v>
      </c>
      <c r="F7803" s="623">
        <v>936304.71616000007</v>
      </c>
      <c r="G7803" s="623">
        <v>1612</v>
      </c>
      <c r="H7803" s="623">
        <v>1057155.578661941</v>
      </c>
      <c r="I7803" s="623">
        <v>92</v>
      </c>
      <c r="J7803" s="623">
        <v>16564.11866</v>
      </c>
      <c r="K7803" s="623">
        <v>1603</v>
      </c>
      <c r="L7803" s="623">
        <v>1040600.52616</v>
      </c>
      <c r="M7803" s="623">
        <v>1040600.52616</v>
      </c>
      <c r="N7803" s="623">
        <v>104295.81</v>
      </c>
      <c r="O7803" s="624"/>
      <c r="AL7803" s="623">
        <v>936304.71616000007</v>
      </c>
    </row>
    <row r="7804" spans="1:50">
      <c r="A7804" s="1737"/>
      <c r="B7804" s="1737"/>
      <c r="C7804" s="622" t="s">
        <v>1199</v>
      </c>
      <c r="D7804" s="623">
        <v>17209.149440000001</v>
      </c>
      <c r="E7804" s="623">
        <v>3516.9</v>
      </c>
      <c r="F7804" s="623">
        <v>13692.249440000001</v>
      </c>
      <c r="G7804" s="623">
        <v>1273</v>
      </c>
      <c r="H7804" s="623">
        <v>17516.000896168167</v>
      </c>
      <c r="I7804" s="623">
        <v>77</v>
      </c>
      <c r="J7804" s="623">
        <v>306.8514561681659</v>
      </c>
      <c r="K7804" s="623">
        <v>1273</v>
      </c>
      <c r="L7804" s="623">
        <v>17209.149440000001</v>
      </c>
      <c r="M7804" s="623">
        <v>17209.149440000001</v>
      </c>
      <c r="N7804" s="623">
        <v>3516.9</v>
      </c>
      <c r="O7804" s="624"/>
      <c r="P7804" s="623">
        <v>13692.249440000001</v>
      </c>
    </row>
    <row r="7805" spans="1:50">
      <c r="A7805" s="1736">
        <v>5</v>
      </c>
      <c r="B7805" s="1736" t="s">
        <v>1942</v>
      </c>
      <c r="C7805" s="587" t="s">
        <v>1196</v>
      </c>
      <c r="D7805" s="621">
        <f>D7806+D7807+D7808+D7809</f>
        <v>1033328.8001400002</v>
      </c>
      <c r="E7805" s="621">
        <f t="shared" ref="E7805:O7805" si="239">E7806+E7807+E7808+E7809</f>
        <v>285213.3</v>
      </c>
      <c r="F7805" s="621">
        <f t="shared" si="239"/>
        <v>748115.50014000025</v>
      </c>
      <c r="G7805" s="621">
        <f t="shared" si="239"/>
        <v>12324</v>
      </c>
      <c r="H7805" s="621">
        <f t="shared" si="239"/>
        <v>1016201.7351387879</v>
      </c>
      <c r="I7805" s="621">
        <f t="shared" si="239"/>
        <v>979</v>
      </c>
      <c r="J7805" s="621">
        <f t="shared" si="239"/>
        <v>22889.506562427825</v>
      </c>
      <c r="K7805" s="621">
        <f t="shared" si="239"/>
        <v>12300</v>
      </c>
      <c r="L7805" s="621">
        <f t="shared" si="239"/>
        <v>1033328.8001400001</v>
      </c>
      <c r="M7805" s="621">
        <f t="shared" si="239"/>
        <v>1033328.8001400001</v>
      </c>
      <c r="N7805" s="621">
        <f t="shared" si="239"/>
        <v>285213.3</v>
      </c>
      <c r="O7805" s="621">
        <f t="shared" si="239"/>
        <v>0</v>
      </c>
      <c r="P7805" s="621">
        <f>AX7806+AL7807+P7808+P7809</f>
        <v>343152.59700000013</v>
      </c>
    </row>
    <row r="7806" spans="1:50">
      <c r="A7806" s="1738"/>
      <c r="B7806" s="1738"/>
      <c r="C7806" s="622" t="s">
        <v>1197</v>
      </c>
      <c r="D7806" s="623">
        <v>577907.90060000005</v>
      </c>
      <c r="E7806" s="623">
        <v>173105.30999999997</v>
      </c>
      <c r="F7806" s="623">
        <v>404802.59060000011</v>
      </c>
      <c r="G7806" s="623">
        <v>10230</v>
      </c>
      <c r="H7806" s="623">
        <v>599425.70641635999</v>
      </c>
      <c r="I7806" s="623">
        <v>901</v>
      </c>
      <c r="J7806" s="623">
        <v>19962.274689999998</v>
      </c>
      <c r="K7806" s="623">
        <v>10207</v>
      </c>
      <c r="L7806" s="623">
        <v>578068.21314000001</v>
      </c>
      <c r="M7806" s="623">
        <v>578068.21314000001</v>
      </c>
      <c r="N7806" s="623">
        <v>173105.30999999997</v>
      </c>
      <c r="O7806" s="624"/>
    </row>
    <row r="7807" spans="1:50">
      <c r="A7807" s="1738"/>
      <c r="B7807" s="1738"/>
      <c r="C7807" s="622" t="s">
        <v>1198</v>
      </c>
      <c r="D7807" s="623">
        <v>424083.08628000011</v>
      </c>
      <c r="E7807" s="623">
        <v>104824.86</v>
      </c>
      <c r="F7807" s="623">
        <v>319258.22628000012</v>
      </c>
      <c r="G7807" s="623">
        <v>103</v>
      </c>
      <c r="H7807" s="623">
        <v>384761.57692000002</v>
      </c>
      <c r="I7807" s="623">
        <v>7</v>
      </c>
      <c r="J7807" s="623">
        <v>2638.2919999999999</v>
      </c>
      <c r="K7807" s="623">
        <v>103</v>
      </c>
      <c r="L7807" s="623">
        <v>424083.08628000011</v>
      </c>
      <c r="M7807" s="623">
        <v>424083.08628000011</v>
      </c>
      <c r="N7807" s="623">
        <v>104824.86</v>
      </c>
      <c r="O7807" s="624"/>
      <c r="AL7807" s="623">
        <v>319258.22628000012</v>
      </c>
    </row>
    <row r="7808" spans="1:50">
      <c r="A7808" s="1738"/>
      <c r="B7808" s="1738"/>
      <c r="C7808" s="622" t="s">
        <v>1199</v>
      </c>
      <c r="D7808" s="623">
        <v>28206.691600000002</v>
      </c>
      <c r="E7808" s="623">
        <v>7283.1299999999992</v>
      </c>
      <c r="F7808" s="623">
        <v>20923.561600000001</v>
      </c>
      <c r="G7808" s="623">
        <v>1991</v>
      </c>
      <c r="H7808" s="623">
        <v>28495.631472427827</v>
      </c>
      <c r="I7808" s="623">
        <v>71</v>
      </c>
      <c r="J7808" s="623">
        <v>288.93987242782532</v>
      </c>
      <c r="K7808" s="623">
        <v>1990</v>
      </c>
      <c r="L7808" s="623">
        <v>28206.691600000002</v>
      </c>
      <c r="M7808" s="623">
        <v>28206.691600000002</v>
      </c>
      <c r="N7808" s="623">
        <v>7283.1299999999992</v>
      </c>
      <c r="O7808" s="624"/>
      <c r="P7808" s="623">
        <v>20923.561600000001</v>
      </c>
    </row>
    <row r="7809" spans="1:38">
      <c r="A7809" s="1737"/>
      <c r="B7809" s="1737"/>
      <c r="C7809" s="625" t="s">
        <v>1202</v>
      </c>
      <c r="D7809" s="623">
        <v>3131.1216599999998</v>
      </c>
      <c r="E7809" s="623"/>
      <c r="F7809" s="623">
        <v>3131.1216599999998</v>
      </c>
      <c r="G7809" s="623"/>
      <c r="H7809" s="623">
        <v>3518.82033</v>
      </c>
      <c r="I7809" s="623"/>
      <c r="J7809" s="623"/>
      <c r="K7809" s="623"/>
      <c r="L7809" s="623">
        <v>2970.8091199999999</v>
      </c>
      <c r="M7809" s="623">
        <v>2970.8091199999999</v>
      </c>
      <c r="N7809" s="623"/>
      <c r="O7809" s="624"/>
      <c r="P7809" s="623">
        <v>2970.8091199999999</v>
      </c>
    </row>
    <row r="7810" spans="1:38">
      <c r="A7810" s="1736">
        <v>6</v>
      </c>
      <c r="B7810" s="1736" t="s">
        <v>1943</v>
      </c>
      <c r="C7810" s="587" t="s">
        <v>1196</v>
      </c>
      <c r="D7810" s="621">
        <f>D7811+D7812+D7813+D7814</f>
        <v>2582783.2913100002</v>
      </c>
      <c r="E7810" s="621">
        <f t="shared" ref="E7810:O7810" si="240">E7811+E7812+E7813+E7814</f>
        <v>572339.1</v>
      </c>
      <c r="F7810" s="621">
        <f t="shared" si="240"/>
        <v>2010444.1913100004</v>
      </c>
      <c r="G7810" s="621">
        <f t="shared" si="240"/>
        <v>23885</v>
      </c>
      <c r="H7810" s="621">
        <f t="shared" si="240"/>
        <v>2878819.0858847462</v>
      </c>
      <c r="I7810" s="621">
        <f t="shared" si="240"/>
        <v>4733</v>
      </c>
      <c r="J7810" s="621">
        <f t="shared" si="240"/>
        <v>253659.24473999999</v>
      </c>
      <c r="K7810" s="621">
        <f t="shared" si="240"/>
        <v>23184</v>
      </c>
      <c r="L7810" s="621">
        <f t="shared" si="240"/>
        <v>2582781.6727</v>
      </c>
      <c r="M7810" s="621">
        <f t="shared" si="240"/>
        <v>2582781.6727</v>
      </c>
      <c r="N7810" s="621">
        <f t="shared" si="240"/>
        <v>572339.1</v>
      </c>
      <c r="O7810" s="621">
        <f t="shared" si="240"/>
        <v>0</v>
      </c>
      <c r="P7810" s="621">
        <f>AX7811+AL7812+P7813+P7814</f>
        <v>497058.55451999995</v>
      </c>
    </row>
    <row r="7811" spans="1:38">
      <c r="A7811" s="1738"/>
      <c r="B7811" s="1738"/>
      <c r="C7811" s="622" t="s">
        <v>1197</v>
      </c>
      <c r="D7811" s="623">
        <v>1956713.0873900002</v>
      </c>
      <c r="E7811" s="623">
        <v>443508.54000000004</v>
      </c>
      <c r="F7811" s="623">
        <v>1513204.5473900002</v>
      </c>
      <c r="G7811" s="623">
        <v>21670</v>
      </c>
      <c r="H7811" s="623">
        <v>2219927.56115</v>
      </c>
      <c r="I7811" s="623">
        <v>4563</v>
      </c>
      <c r="J7811" s="623">
        <v>217672.10449</v>
      </c>
      <c r="K7811" s="623">
        <v>20998</v>
      </c>
      <c r="L7811" s="623">
        <v>1956892.5581800002</v>
      </c>
      <c r="M7811" s="623">
        <v>1956892.5581800002</v>
      </c>
      <c r="N7811" s="623">
        <v>443508.54000000004</v>
      </c>
      <c r="O7811" s="624"/>
    </row>
    <row r="7812" spans="1:38">
      <c r="A7812" s="1738"/>
      <c r="B7812" s="1738"/>
      <c r="C7812" s="622" t="s">
        <v>1198</v>
      </c>
      <c r="D7812" s="623">
        <v>264465.18222000002</v>
      </c>
      <c r="E7812" s="623">
        <v>39168.54</v>
      </c>
      <c r="F7812" s="623">
        <v>225296.64222000001</v>
      </c>
      <c r="G7812" s="623">
        <v>619</v>
      </c>
      <c r="H7812" s="623">
        <v>281064.16614038404</v>
      </c>
      <c r="I7812" s="623">
        <v>116</v>
      </c>
      <c r="J7812" s="623">
        <v>18558.579429999998</v>
      </c>
      <c r="K7812" s="623">
        <v>605</v>
      </c>
      <c r="L7812" s="623">
        <v>264465.18222000002</v>
      </c>
      <c r="M7812" s="623">
        <v>264465.18222000002</v>
      </c>
      <c r="N7812" s="623">
        <v>39168.54</v>
      </c>
      <c r="O7812" s="624"/>
      <c r="AL7812" s="623">
        <v>225296.64222000001</v>
      </c>
    </row>
    <row r="7813" spans="1:38">
      <c r="A7813" s="1738"/>
      <c r="B7813" s="1738"/>
      <c r="C7813" s="622" t="s">
        <v>1199</v>
      </c>
      <c r="D7813" s="623">
        <v>358731.87030000001</v>
      </c>
      <c r="E7813" s="623">
        <v>89662.02</v>
      </c>
      <c r="F7813" s="623">
        <v>269069.85029999999</v>
      </c>
      <c r="G7813" s="623">
        <v>1596</v>
      </c>
      <c r="H7813" s="623">
        <v>375135.29659436201</v>
      </c>
      <c r="I7813" s="623">
        <v>54</v>
      </c>
      <c r="J7813" s="623">
        <v>17428.560819999999</v>
      </c>
      <c r="K7813" s="623">
        <v>1581</v>
      </c>
      <c r="L7813" s="623">
        <v>358731.87030000001</v>
      </c>
      <c r="M7813" s="623">
        <v>358731.87030000001</v>
      </c>
      <c r="N7813" s="623">
        <v>89662.02</v>
      </c>
      <c r="O7813" s="624"/>
      <c r="P7813" s="623">
        <v>269069.85029999999</v>
      </c>
    </row>
    <row r="7814" spans="1:38">
      <c r="A7814" s="1737"/>
      <c r="B7814" s="1737"/>
      <c r="C7814" s="625" t="s">
        <v>1202</v>
      </c>
      <c r="D7814" s="623">
        <v>2873.1514000000002</v>
      </c>
      <c r="E7814" s="623"/>
      <c r="F7814" s="623">
        <v>2873.1514000000002</v>
      </c>
      <c r="G7814" s="623"/>
      <c r="H7814" s="623">
        <v>2692.0619999999999</v>
      </c>
      <c r="I7814" s="623"/>
      <c r="J7814" s="623"/>
      <c r="K7814" s="623"/>
      <c r="L7814" s="623">
        <v>2692.0619999999999</v>
      </c>
      <c r="M7814" s="623">
        <v>2692.0619999999999</v>
      </c>
      <c r="N7814" s="623"/>
      <c r="O7814" s="624"/>
      <c r="P7814" s="623">
        <v>2692.0619999999999</v>
      </c>
    </row>
    <row r="7815" spans="1:38">
      <c r="A7815" s="1736">
        <v>7</v>
      </c>
      <c r="B7815" s="1736" t="s">
        <v>1944</v>
      </c>
      <c r="C7815" s="587" t="s">
        <v>1196</v>
      </c>
      <c r="D7815" s="621">
        <f>D7816+D7817</f>
        <v>70498.453199999989</v>
      </c>
      <c r="E7815" s="621">
        <f t="shared" ref="E7815:O7815" si="241">E7816+E7817</f>
        <v>17360.099999999999</v>
      </c>
      <c r="F7815" s="621">
        <f t="shared" si="241"/>
        <v>53138.353199999998</v>
      </c>
      <c r="G7815" s="621">
        <f t="shared" si="241"/>
        <v>1847</v>
      </c>
      <c r="H7815" s="621">
        <f t="shared" si="241"/>
        <v>81233.944456102006</v>
      </c>
      <c r="I7815" s="621">
        <f t="shared" si="241"/>
        <v>171</v>
      </c>
      <c r="J7815" s="621">
        <f t="shared" si="241"/>
        <v>4845.0725572580041</v>
      </c>
      <c r="K7815" s="621">
        <f t="shared" si="241"/>
        <v>1847</v>
      </c>
      <c r="L7815" s="621">
        <f t="shared" si="241"/>
        <v>70498.453199999989</v>
      </c>
      <c r="M7815" s="621">
        <f t="shared" si="241"/>
        <v>70498.453199999989</v>
      </c>
      <c r="N7815" s="621">
        <f t="shared" si="241"/>
        <v>17360.099999999999</v>
      </c>
      <c r="O7815" s="621">
        <f t="shared" si="241"/>
        <v>0</v>
      </c>
      <c r="P7815" s="621">
        <f>AL7816+P7817</f>
        <v>7077.3406200000009</v>
      </c>
    </row>
    <row r="7816" spans="1:38">
      <c r="A7816" s="1738"/>
      <c r="B7816" s="1738"/>
      <c r="C7816" s="622" t="s">
        <v>1197</v>
      </c>
      <c r="D7816" s="623">
        <v>59630.222579999994</v>
      </c>
      <c r="E7816" s="623">
        <v>13569.21</v>
      </c>
      <c r="F7816" s="623">
        <v>46061.012579999995</v>
      </c>
      <c r="G7816" s="623">
        <v>953</v>
      </c>
      <c r="H7816" s="623">
        <v>70289.42124884401</v>
      </c>
      <c r="I7816" s="623">
        <v>153</v>
      </c>
      <c r="J7816" s="623">
        <v>4768.7799700000005</v>
      </c>
      <c r="K7816" s="623">
        <v>953</v>
      </c>
      <c r="L7816" s="623">
        <v>59630.222579999994</v>
      </c>
      <c r="M7816" s="623">
        <v>59630.222579999994</v>
      </c>
      <c r="N7816" s="623">
        <v>13569.21</v>
      </c>
      <c r="O7816" s="624"/>
    </row>
    <row r="7817" spans="1:38">
      <c r="A7817" s="1737"/>
      <c r="B7817" s="1737"/>
      <c r="C7817" s="622" t="s">
        <v>1199</v>
      </c>
      <c r="D7817" s="623">
        <v>10868.23062</v>
      </c>
      <c r="E7817" s="623">
        <v>3790.8899999999994</v>
      </c>
      <c r="F7817" s="623">
        <v>7077.3406200000009</v>
      </c>
      <c r="G7817" s="623">
        <v>894</v>
      </c>
      <c r="H7817" s="623">
        <v>10944.523207258004</v>
      </c>
      <c r="I7817" s="623">
        <v>18</v>
      </c>
      <c r="J7817" s="623">
        <v>76.29258725800355</v>
      </c>
      <c r="K7817" s="623">
        <v>894</v>
      </c>
      <c r="L7817" s="623">
        <v>10868.23062</v>
      </c>
      <c r="M7817" s="623">
        <v>10868.23062</v>
      </c>
      <c r="N7817" s="623">
        <v>3790.8899999999994</v>
      </c>
      <c r="O7817" s="624"/>
      <c r="P7817" s="623">
        <v>7077.3406200000009</v>
      </c>
    </row>
    <row r="7818" spans="1:38">
      <c r="A7818" s="1736">
        <v>8</v>
      </c>
      <c r="B7818" s="1736" t="s">
        <v>1945</v>
      </c>
      <c r="C7818" s="587" t="s">
        <v>1196</v>
      </c>
      <c r="D7818" s="621">
        <f>D7819+D7820</f>
        <v>91124.373240000001</v>
      </c>
      <c r="E7818" s="621">
        <f t="shared" ref="E7818:O7818" si="242">E7819+E7820</f>
        <v>23187.9</v>
      </c>
      <c r="F7818" s="621">
        <f t="shared" si="242"/>
        <v>67936.473239999992</v>
      </c>
      <c r="G7818" s="621">
        <f t="shared" si="242"/>
        <v>2459</v>
      </c>
      <c r="H7818" s="621">
        <f t="shared" si="242"/>
        <v>115633.97008837135</v>
      </c>
      <c r="I7818" s="621">
        <f t="shared" si="242"/>
        <v>965</v>
      </c>
      <c r="J7818" s="621">
        <f t="shared" si="242"/>
        <v>24130.561597957352</v>
      </c>
      <c r="K7818" s="621">
        <f t="shared" si="242"/>
        <v>2453</v>
      </c>
      <c r="L7818" s="621">
        <f t="shared" si="242"/>
        <v>91124.373240000001</v>
      </c>
      <c r="M7818" s="621">
        <f t="shared" si="242"/>
        <v>91124.373240000001</v>
      </c>
      <c r="N7818" s="621">
        <f t="shared" si="242"/>
        <v>23187.9</v>
      </c>
      <c r="O7818" s="621">
        <f t="shared" si="242"/>
        <v>0</v>
      </c>
      <c r="P7818" s="621">
        <f>AL7819+P7820</f>
        <v>35583.571080000002</v>
      </c>
    </row>
    <row r="7819" spans="1:38">
      <c r="A7819" s="1738"/>
      <c r="B7819" s="1738"/>
      <c r="C7819" s="622" t="s">
        <v>1197</v>
      </c>
      <c r="D7819" s="623">
        <v>48108.302159999999</v>
      </c>
      <c r="E7819" s="623">
        <v>15755.4</v>
      </c>
      <c r="F7819" s="623">
        <v>32352.902159999998</v>
      </c>
      <c r="G7819" s="623">
        <v>882</v>
      </c>
      <c r="H7819" s="623">
        <v>52903.298860413997</v>
      </c>
      <c r="I7819" s="623">
        <v>193</v>
      </c>
      <c r="J7819" s="623">
        <v>4415.9614499999998</v>
      </c>
      <c r="K7819" s="623">
        <v>879</v>
      </c>
      <c r="L7819" s="623">
        <v>48108.302159999999</v>
      </c>
      <c r="M7819" s="623">
        <v>48108.302159999999</v>
      </c>
      <c r="N7819" s="623">
        <v>15755.4</v>
      </c>
      <c r="O7819" s="624"/>
    </row>
    <row r="7820" spans="1:38">
      <c r="A7820" s="1737"/>
      <c r="B7820" s="1737"/>
      <c r="C7820" s="622" t="s">
        <v>1199</v>
      </c>
      <c r="D7820" s="623">
        <v>43016.071080000002</v>
      </c>
      <c r="E7820" s="623">
        <v>7432.5</v>
      </c>
      <c r="F7820" s="623">
        <v>35583.571080000002</v>
      </c>
      <c r="G7820" s="623">
        <v>1577</v>
      </c>
      <c r="H7820" s="623">
        <v>62730.671227957355</v>
      </c>
      <c r="I7820" s="623">
        <v>772</v>
      </c>
      <c r="J7820" s="623">
        <v>19714.600147957353</v>
      </c>
      <c r="K7820" s="623">
        <v>1574</v>
      </c>
      <c r="L7820" s="623">
        <v>43016.071080000002</v>
      </c>
      <c r="M7820" s="623">
        <v>43016.071080000002</v>
      </c>
      <c r="N7820" s="623">
        <v>7432.5</v>
      </c>
      <c r="O7820" s="624"/>
      <c r="P7820" s="623">
        <v>35583.571080000002</v>
      </c>
    </row>
    <row r="7821" spans="1:38">
      <c r="A7821" s="628">
        <v>9</v>
      </c>
      <c r="B7821" s="1736" t="s">
        <v>1946</v>
      </c>
      <c r="C7821" s="587" t="s">
        <v>1196</v>
      </c>
      <c r="D7821" s="621">
        <f>D7822+D7823</f>
        <v>883407.68201999995</v>
      </c>
      <c r="E7821" s="621">
        <f t="shared" ref="E7821:O7821" si="243">E7822+E7823</f>
        <v>237130.19999999998</v>
      </c>
      <c r="F7821" s="621">
        <f t="shared" si="243"/>
        <v>646277.48202</v>
      </c>
      <c r="G7821" s="621">
        <f t="shared" si="243"/>
        <v>13970</v>
      </c>
      <c r="H7821" s="621">
        <f t="shared" si="243"/>
        <v>932831.44111859147</v>
      </c>
      <c r="I7821" s="621">
        <f t="shared" si="243"/>
        <v>2319</v>
      </c>
      <c r="J7821" s="621">
        <f t="shared" si="243"/>
        <v>41597.939199999993</v>
      </c>
      <c r="K7821" s="621">
        <f t="shared" si="243"/>
        <v>13975</v>
      </c>
      <c r="L7821" s="621">
        <f t="shared" si="243"/>
        <v>883407.68201999995</v>
      </c>
      <c r="M7821" s="621">
        <f t="shared" si="243"/>
        <v>883407.68201999995</v>
      </c>
      <c r="N7821" s="621">
        <f t="shared" si="243"/>
        <v>237130.19999999998</v>
      </c>
      <c r="O7821" s="621">
        <f t="shared" si="243"/>
        <v>0</v>
      </c>
      <c r="P7821" s="621">
        <f>AL7822+AL7823</f>
        <v>10987.896609999996</v>
      </c>
    </row>
    <row r="7822" spans="1:38">
      <c r="A7822" s="630"/>
      <c r="B7822" s="1738"/>
      <c r="C7822" s="622" t="s">
        <v>1197</v>
      </c>
      <c r="D7822" s="623">
        <v>869745.19540999993</v>
      </c>
      <c r="E7822" s="623">
        <v>234455.61</v>
      </c>
      <c r="F7822" s="623">
        <v>635289.58540999994</v>
      </c>
      <c r="G7822" s="623">
        <v>13924</v>
      </c>
      <c r="H7822" s="623">
        <v>918379.10845632164</v>
      </c>
      <c r="I7822" s="623">
        <v>2312</v>
      </c>
      <c r="J7822" s="623">
        <v>39207.582449999994</v>
      </c>
      <c r="K7822" s="623">
        <v>13930</v>
      </c>
      <c r="L7822" s="623">
        <v>869745.19540999993</v>
      </c>
      <c r="M7822" s="623">
        <v>869745.19540999993</v>
      </c>
      <c r="N7822" s="623">
        <v>234455.61</v>
      </c>
      <c r="O7822" s="624"/>
    </row>
    <row r="7823" spans="1:38">
      <c r="A7823" s="629"/>
      <c r="B7823" s="1737"/>
      <c r="C7823" s="622" t="s">
        <v>1198</v>
      </c>
      <c r="D7823" s="623">
        <v>13662.486609999996</v>
      </c>
      <c r="E7823" s="623">
        <v>2674.5899999999997</v>
      </c>
      <c r="F7823" s="623">
        <v>10987.896609999996</v>
      </c>
      <c r="G7823" s="623">
        <v>46</v>
      </c>
      <c r="H7823" s="623">
        <v>14452.3326622698</v>
      </c>
      <c r="I7823" s="623">
        <v>7</v>
      </c>
      <c r="J7823" s="623">
        <v>2390.3567499999999</v>
      </c>
      <c r="K7823" s="623">
        <v>45</v>
      </c>
      <c r="L7823" s="623">
        <v>13662.486609999996</v>
      </c>
      <c r="M7823" s="623">
        <v>13662.486609999996</v>
      </c>
      <c r="N7823" s="623">
        <v>2674.5899999999997</v>
      </c>
      <c r="O7823" s="624"/>
      <c r="AL7823" s="623">
        <v>10987.896609999996</v>
      </c>
    </row>
    <row r="7824" spans="1:38">
      <c r="A7824" s="1736">
        <v>10</v>
      </c>
      <c r="B7824" s="1736" t="s">
        <v>1947</v>
      </c>
      <c r="C7824" s="587" t="s">
        <v>1196</v>
      </c>
      <c r="D7824" s="621">
        <f>D7825+D7826</f>
        <v>640382.65419000003</v>
      </c>
      <c r="E7824" s="621">
        <f t="shared" ref="E7824:O7824" si="244">E7825+E7826</f>
        <v>168112.5</v>
      </c>
      <c r="F7824" s="621">
        <f t="shared" si="244"/>
        <v>472270.15419000003</v>
      </c>
      <c r="G7824" s="621">
        <f t="shared" si="244"/>
        <v>9393</v>
      </c>
      <c r="H7824" s="621">
        <f t="shared" si="244"/>
        <v>686753.90919298353</v>
      </c>
      <c r="I7824" s="621">
        <f t="shared" si="244"/>
        <v>1158</v>
      </c>
      <c r="J7824" s="621">
        <f t="shared" si="244"/>
        <v>47027.631118950325</v>
      </c>
      <c r="K7824" s="621">
        <f t="shared" si="244"/>
        <v>9385</v>
      </c>
      <c r="L7824" s="621">
        <f t="shared" si="244"/>
        <v>640382.65419000003</v>
      </c>
      <c r="M7824" s="621">
        <f t="shared" si="244"/>
        <v>640382.65419000003</v>
      </c>
      <c r="N7824" s="621">
        <f t="shared" si="244"/>
        <v>168112.5</v>
      </c>
      <c r="O7824" s="621">
        <f t="shared" si="244"/>
        <v>0</v>
      </c>
      <c r="P7824" s="621">
        <f>AX7825+P7826</f>
        <v>3061.690415</v>
      </c>
    </row>
    <row r="7825" spans="1:16">
      <c r="A7825" s="1738"/>
      <c r="B7825" s="1738"/>
      <c r="C7825" s="622" t="s">
        <v>1197</v>
      </c>
      <c r="D7825" s="623">
        <v>637049.763775</v>
      </c>
      <c r="E7825" s="623">
        <v>167841.3</v>
      </c>
      <c r="F7825" s="623">
        <v>469208.46377500001</v>
      </c>
      <c r="G7825" s="623">
        <v>9334</v>
      </c>
      <c r="H7825" s="623">
        <v>683242.01628903323</v>
      </c>
      <c r="I7825" s="623">
        <v>1154</v>
      </c>
      <c r="J7825" s="623">
        <v>46848.628629999992</v>
      </c>
      <c r="K7825" s="623">
        <v>9326</v>
      </c>
      <c r="L7825" s="623">
        <v>637049.763775</v>
      </c>
      <c r="M7825" s="623">
        <v>637049.763775</v>
      </c>
      <c r="N7825" s="623">
        <v>167841.3</v>
      </c>
      <c r="O7825" s="624"/>
    </row>
    <row r="7826" spans="1:16">
      <c r="A7826" s="1737"/>
      <c r="B7826" s="1737"/>
      <c r="C7826" s="622" t="s">
        <v>1199</v>
      </c>
      <c r="D7826" s="623">
        <v>3332.8904149999998</v>
      </c>
      <c r="E7826" s="623">
        <v>271.2</v>
      </c>
      <c r="F7826" s="623">
        <v>3061.690415</v>
      </c>
      <c r="G7826" s="623">
        <v>59</v>
      </c>
      <c r="H7826" s="623">
        <v>3511.8929039503328</v>
      </c>
      <c r="I7826" s="623">
        <v>4</v>
      </c>
      <c r="J7826" s="623">
        <v>179.00248895033292</v>
      </c>
      <c r="K7826" s="623">
        <v>59</v>
      </c>
      <c r="L7826" s="623">
        <v>3332.8904149999998</v>
      </c>
      <c r="M7826" s="623">
        <v>3332.8904149999998</v>
      </c>
      <c r="N7826" s="623">
        <v>271.2</v>
      </c>
      <c r="O7826" s="624"/>
      <c r="P7826" s="623">
        <v>3061.690415</v>
      </c>
    </row>
    <row r="7827" spans="1:16">
      <c r="A7827" s="1736">
        <v>11</v>
      </c>
      <c r="B7827" s="1736" t="s">
        <v>1948</v>
      </c>
      <c r="C7827" s="587" t="s">
        <v>1196</v>
      </c>
      <c r="D7827" s="621">
        <f>D7828+D7829</f>
        <v>194366.00000000003</v>
      </c>
      <c r="E7827" s="621">
        <f t="shared" ref="E7827:O7827" si="245">E7828+E7829</f>
        <v>53809.799999999996</v>
      </c>
      <c r="F7827" s="621">
        <f t="shared" si="245"/>
        <v>140556.20000000001</v>
      </c>
      <c r="G7827" s="621">
        <f t="shared" si="245"/>
        <v>3125</v>
      </c>
      <c r="H7827" s="621">
        <f t="shared" si="245"/>
        <v>231000.23217277837</v>
      </c>
      <c r="I7827" s="621">
        <f t="shared" si="245"/>
        <v>484</v>
      </c>
      <c r="J7827" s="621">
        <f t="shared" si="245"/>
        <v>22604.313041868329</v>
      </c>
      <c r="K7827" s="621">
        <f t="shared" si="245"/>
        <v>3121</v>
      </c>
      <c r="L7827" s="621">
        <f t="shared" si="245"/>
        <v>194366.00000000003</v>
      </c>
      <c r="M7827" s="621">
        <f t="shared" si="245"/>
        <v>194366.00000000003</v>
      </c>
      <c r="N7827" s="621">
        <f t="shared" si="245"/>
        <v>53809.799999999996</v>
      </c>
      <c r="O7827" s="621">
        <f t="shared" si="245"/>
        <v>0</v>
      </c>
      <c r="P7827" s="621">
        <f>AL7828+P7829</f>
        <v>3223.1652400000007</v>
      </c>
    </row>
    <row r="7828" spans="1:16">
      <c r="A7828" s="1738"/>
      <c r="B7828" s="1738"/>
      <c r="C7828" s="622" t="s">
        <v>1197</v>
      </c>
      <c r="D7828" s="623">
        <v>189711.23476000002</v>
      </c>
      <c r="E7828" s="623">
        <v>52378.2</v>
      </c>
      <c r="F7828" s="623">
        <v>137333.03476000001</v>
      </c>
      <c r="G7828" s="623">
        <v>2816</v>
      </c>
      <c r="H7828" s="623">
        <v>226183.31464091004</v>
      </c>
      <c r="I7828" s="623">
        <v>456</v>
      </c>
      <c r="J7828" s="623">
        <v>22442.160749999995</v>
      </c>
      <c r="K7828" s="623">
        <v>2812</v>
      </c>
      <c r="L7828" s="623">
        <v>189711.23476000002</v>
      </c>
      <c r="M7828" s="623">
        <v>189711.23476000002</v>
      </c>
      <c r="N7828" s="623">
        <v>52378.2</v>
      </c>
      <c r="O7828" s="624"/>
    </row>
    <row r="7829" spans="1:16">
      <c r="A7829" s="1737"/>
      <c r="B7829" s="1737"/>
      <c r="C7829" s="622" t="s">
        <v>1199</v>
      </c>
      <c r="D7829" s="623">
        <v>4654.7652400000006</v>
      </c>
      <c r="E7829" s="623">
        <v>1431.6</v>
      </c>
      <c r="F7829" s="623">
        <v>3223.1652400000007</v>
      </c>
      <c r="G7829" s="623">
        <v>309</v>
      </c>
      <c r="H7829" s="623">
        <v>4816.9175318683328</v>
      </c>
      <c r="I7829" s="623">
        <v>28</v>
      </c>
      <c r="J7829" s="623">
        <v>162.15229186833221</v>
      </c>
      <c r="K7829" s="623">
        <v>309</v>
      </c>
      <c r="L7829" s="623">
        <v>4654.7652400000006</v>
      </c>
      <c r="M7829" s="623">
        <v>4654.7652400000006</v>
      </c>
      <c r="N7829" s="623">
        <v>1431.6</v>
      </c>
      <c r="O7829" s="624"/>
      <c r="P7829" s="623">
        <v>3223.1652400000007</v>
      </c>
    </row>
    <row r="7830" spans="1:16">
      <c r="A7830" s="1736">
        <v>12</v>
      </c>
      <c r="B7830" s="1736" t="s">
        <v>1949</v>
      </c>
      <c r="C7830" s="587" t="s">
        <v>1196</v>
      </c>
      <c r="D7830" s="621">
        <f>D7831+D7832</f>
        <v>49269.557069999995</v>
      </c>
      <c r="E7830" s="621">
        <f t="shared" ref="E7830:O7830" si="246">E7831+E7832</f>
        <v>15144</v>
      </c>
      <c r="F7830" s="621">
        <f t="shared" si="246"/>
        <v>34125.557069999995</v>
      </c>
      <c r="G7830" s="621">
        <f t="shared" si="246"/>
        <v>949</v>
      </c>
      <c r="H7830" s="621">
        <f t="shared" si="246"/>
        <v>50063.012228180181</v>
      </c>
      <c r="I7830" s="621">
        <f t="shared" si="246"/>
        <v>47</v>
      </c>
      <c r="J7830" s="621">
        <f t="shared" si="246"/>
        <v>793.25189999999998</v>
      </c>
      <c r="K7830" s="621">
        <f t="shared" si="246"/>
        <v>949</v>
      </c>
      <c r="L7830" s="621">
        <f t="shared" si="246"/>
        <v>49269.557069999995</v>
      </c>
      <c r="M7830" s="621">
        <f t="shared" si="246"/>
        <v>49269.557069999995</v>
      </c>
      <c r="N7830" s="621">
        <f t="shared" si="246"/>
        <v>15144</v>
      </c>
      <c r="O7830" s="621">
        <f t="shared" si="246"/>
        <v>0</v>
      </c>
      <c r="P7830" s="621">
        <f>AY7831+P7832</f>
        <v>2445.6749600000003</v>
      </c>
    </row>
    <row r="7831" spans="1:16">
      <c r="A7831" s="1738"/>
      <c r="B7831" s="1738"/>
      <c r="C7831" s="622" t="s">
        <v>1197</v>
      </c>
      <c r="D7831" s="623">
        <v>45851.342109999998</v>
      </c>
      <c r="E7831" s="623">
        <v>14171.46</v>
      </c>
      <c r="F7831" s="623">
        <v>31679.882109999999</v>
      </c>
      <c r="G7831" s="623">
        <v>700</v>
      </c>
      <c r="H7831" s="623">
        <v>46600.273538522182</v>
      </c>
      <c r="I7831" s="623">
        <v>38</v>
      </c>
      <c r="J7831" s="623">
        <v>748.59915000000001</v>
      </c>
      <c r="K7831" s="623">
        <v>700</v>
      </c>
      <c r="L7831" s="623">
        <v>45851.342109999998</v>
      </c>
      <c r="M7831" s="623">
        <v>45851.342109999998</v>
      </c>
      <c r="N7831" s="623">
        <v>14171.46</v>
      </c>
      <c r="O7831" s="624"/>
    </row>
    <row r="7832" spans="1:16">
      <c r="A7832" s="1737"/>
      <c r="B7832" s="1737"/>
      <c r="C7832" s="622" t="s">
        <v>1199</v>
      </c>
      <c r="D7832" s="623">
        <v>3418.2149600000002</v>
      </c>
      <c r="E7832" s="623">
        <v>972.54</v>
      </c>
      <c r="F7832" s="623">
        <v>2445.6749600000003</v>
      </c>
      <c r="G7832" s="623">
        <v>249</v>
      </c>
      <c r="H7832" s="623">
        <v>3462.7386896580006</v>
      </c>
      <c r="I7832" s="623">
        <v>9</v>
      </c>
      <c r="J7832" s="623">
        <v>44.652749999999997</v>
      </c>
      <c r="K7832" s="623">
        <v>249</v>
      </c>
      <c r="L7832" s="623">
        <v>3418.2149600000002</v>
      </c>
      <c r="M7832" s="623">
        <v>3418.2149600000002</v>
      </c>
      <c r="N7832" s="623">
        <v>972.54</v>
      </c>
      <c r="O7832" s="624"/>
      <c r="P7832" s="623">
        <v>2445.6749600000003</v>
      </c>
    </row>
    <row r="7833" spans="1:16">
      <c r="A7833" s="1736">
        <v>13</v>
      </c>
      <c r="B7833" s="1736" t="s">
        <v>1950</v>
      </c>
      <c r="C7833" s="587" t="s">
        <v>1196</v>
      </c>
      <c r="D7833" s="621">
        <f>D7834+D7835</f>
        <v>762603.58092999994</v>
      </c>
      <c r="E7833" s="621">
        <f t="shared" ref="E7833:O7833" si="247">E7834+E7835</f>
        <v>218278.5</v>
      </c>
      <c r="F7833" s="621">
        <f t="shared" si="247"/>
        <v>544325.08093000005</v>
      </c>
      <c r="G7833" s="621">
        <f t="shared" si="247"/>
        <v>10118</v>
      </c>
      <c r="H7833" s="621">
        <f t="shared" si="247"/>
        <v>807741.65102689294</v>
      </c>
      <c r="I7833" s="621">
        <f t="shared" si="247"/>
        <v>1692</v>
      </c>
      <c r="J7833" s="621">
        <f t="shared" si="247"/>
        <v>72517.244019999998</v>
      </c>
      <c r="K7833" s="621">
        <f t="shared" si="247"/>
        <v>10090</v>
      </c>
      <c r="L7833" s="621">
        <f t="shared" si="247"/>
        <v>762603.58092999994</v>
      </c>
      <c r="M7833" s="621">
        <f t="shared" si="247"/>
        <v>762603.58092999994</v>
      </c>
      <c r="N7833" s="621">
        <f t="shared" si="247"/>
        <v>218278.5</v>
      </c>
      <c r="O7833" s="621">
        <f t="shared" si="247"/>
        <v>0</v>
      </c>
      <c r="P7833" s="621">
        <f>BB7834+P7835</f>
        <v>1002.2894499999999</v>
      </c>
    </row>
    <row r="7834" spans="1:16">
      <c r="A7834" s="1738"/>
      <c r="B7834" s="1738"/>
      <c r="C7834" s="622" t="s">
        <v>1197</v>
      </c>
      <c r="D7834" s="623">
        <v>761301.14147999999</v>
      </c>
      <c r="E7834" s="623">
        <v>217978.35</v>
      </c>
      <c r="F7834" s="623">
        <v>543322.79148000001</v>
      </c>
      <c r="G7834" s="623">
        <v>10051</v>
      </c>
      <c r="H7834" s="623">
        <v>806422.03381018643</v>
      </c>
      <c r="I7834" s="623">
        <v>1689</v>
      </c>
      <c r="J7834" s="623">
        <v>72500.244019999998</v>
      </c>
      <c r="K7834" s="623">
        <v>10023</v>
      </c>
      <c r="L7834" s="623">
        <v>761301.14147999999</v>
      </c>
      <c r="M7834" s="623">
        <v>761301.14147999999</v>
      </c>
      <c r="N7834" s="623">
        <v>217978.35</v>
      </c>
      <c r="O7834" s="624"/>
    </row>
    <row r="7835" spans="1:16">
      <c r="A7835" s="1737"/>
      <c r="B7835" s="1737"/>
      <c r="C7835" s="622" t="s">
        <v>1199</v>
      </c>
      <c r="D7835" s="623">
        <v>1302.4394499999999</v>
      </c>
      <c r="E7835" s="623">
        <v>300.14999999999998</v>
      </c>
      <c r="F7835" s="623">
        <v>1002.2894499999999</v>
      </c>
      <c r="G7835" s="623">
        <v>67</v>
      </c>
      <c r="H7835" s="623">
        <v>1319.6172167064999</v>
      </c>
      <c r="I7835" s="623">
        <v>3</v>
      </c>
      <c r="J7835" s="623">
        <v>17</v>
      </c>
      <c r="K7835" s="623">
        <v>67</v>
      </c>
      <c r="L7835" s="623">
        <v>1302.4394499999999</v>
      </c>
      <c r="M7835" s="623">
        <v>1302.4394499999999</v>
      </c>
      <c r="N7835" s="623">
        <v>300.14999999999998</v>
      </c>
      <c r="O7835" s="624"/>
      <c r="P7835" s="623">
        <v>1002.2894499999999</v>
      </c>
    </row>
    <row r="7836" spans="1:16">
      <c r="A7836" s="1736">
        <v>14</v>
      </c>
      <c r="B7836" s="1736" t="s">
        <v>1951</v>
      </c>
      <c r="C7836" s="587" t="s">
        <v>1196</v>
      </c>
      <c r="D7836" s="621">
        <f>D7837+D7838</f>
        <v>386605.03003000002</v>
      </c>
      <c r="E7836" s="621">
        <f t="shared" ref="E7836:O7836" si="248">E7837+E7838</f>
        <v>116164.2</v>
      </c>
      <c r="F7836" s="621">
        <f t="shared" si="248"/>
        <v>270440.83003000001</v>
      </c>
      <c r="G7836" s="621">
        <f t="shared" si="248"/>
        <v>8324</v>
      </c>
      <c r="H7836" s="621">
        <f t="shared" si="248"/>
        <v>437738.22208134487</v>
      </c>
      <c r="I7836" s="621">
        <f t="shared" si="248"/>
        <v>1679</v>
      </c>
      <c r="J7836" s="621">
        <f t="shared" si="248"/>
        <v>38890.439017292658</v>
      </c>
      <c r="K7836" s="621">
        <f t="shared" si="248"/>
        <v>8270</v>
      </c>
      <c r="L7836" s="621">
        <f t="shared" si="248"/>
        <v>386605.03003000002</v>
      </c>
      <c r="M7836" s="621">
        <f t="shared" si="248"/>
        <v>386605.03003000002</v>
      </c>
      <c r="N7836" s="621">
        <f t="shared" si="248"/>
        <v>116164.2</v>
      </c>
      <c r="O7836" s="621">
        <f t="shared" si="248"/>
        <v>0</v>
      </c>
      <c r="P7836" s="621">
        <f>BB7837+P7838</f>
        <v>1441.2584200000001</v>
      </c>
    </row>
    <row r="7837" spans="1:16">
      <c r="A7837" s="1738"/>
      <c r="B7837" s="1738"/>
      <c r="C7837" s="622" t="s">
        <v>1197</v>
      </c>
      <c r="D7837" s="623">
        <v>384798.97161000001</v>
      </c>
      <c r="E7837" s="623">
        <v>115799.4</v>
      </c>
      <c r="F7837" s="623">
        <v>268999.57160999998</v>
      </c>
      <c r="G7837" s="623">
        <v>8223</v>
      </c>
      <c r="H7837" s="623">
        <v>435885.97337405221</v>
      </c>
      <c r="I7837" s="623">
        <v>1670</v>
      </c>
      <c r="J7837" s="623">
        <v>38844.248729999992</v>
      </c>
      <c r="K7837" s="623">
        <v>8169</v>
      </c>
      <c r="L7837" s="623">
        <v>384798.97161000001</v>
      </c>
      <c r="M7837" s="623">
        <v>384798.97161000001</v>
      </c>
      <c r="N7837" s="623">
        <v>115799.4</v>
      </c>
      <c r="O7837" s="624"/>
    </row>
    <row r="7838" spans="1:16">
      <c r="A7838" s="1737"/>
      <c r="B7838" s="1737"/>
      <c r="C7838" s="622" t="s">
        <v>1199</v>
      </c>
      <c r="D7838" s="623">
        <v>1806.0584200000001</v>
      </c>
      <c r="E7838" s="623">
        <v>364.8</v>
      </c>
      <c r="F7838" s="623">
        <v>1441.2584200000001</v>
      </c>
      <c r="G7838" s="623">
        <v>101</v>
      </c>
      <c r="H7838" s="623">
        <v>1852.2487072926665</v>
      </c>
      <c r="I7838" s="623">
        <v>9</v>
      </c>
      <c r="J7838" s="623">
        <v>46.190287292666426</v>
      </c>
      <c r="K7838" s="623">
        <v>101</v>
      </c>
      <c r="L7838" s="623">
        <v>1806.0584200000001</v>
      </c>
      <c r="M7838" s="623">
        <v>1806.0584200000001</v>
      </c>
      <c r="N7838" s="623">
        <v>364.8</v>
      </c>
      <c r="O7838" s="624"/>
      <c r="P7838" s="623">
        <v>1441.2584200000001</v>
      </c>
    </row>
    <row r="7839" spans="1:16">
      <c r="A7839" s="1736">
        <v>15</v>
      </c>
      <c r="B7839" s="1736" t="s">
        <v>1952</v>
      </c>
      <c r="C7839" s="587" t="s">
        <v>1196</v>
      </c>
      <c r="D7839" s="621">
        <f>D7840+D7841</f>
        <v>340795.77509000001</v>
      </c>
      <c r="E7839" s="621">
        <f t="shared" ref="E7839:O7839" si="249">E7840+E7841</f>
        <v>108721.79999999999</v>
      </c>
      <c r="F7839" s="621">
        <f t="shared" si="249"/>
        <v>232073.97509000002</v>
      </c>
      <c r="G7839" s="621">
        <f t="shared" si="249"/>
        <v>7002</v>
      </c>
      <c r="H7839" s="621">
        <f t="shared" si="249"/>
        <v>373929.36173158116</v>
      </c>
      <c r="I7839" s="621">
        <f t="shared" si="249"/>
        <v>1034</v>
      </c>
      <c r="J7839" s="621">
        <f t="shared" si="249"/>
        <v>24953.997518579665</v>
      </c>
      <c r="K7839" s="621">
        <f t="shared" si="249"/>
        <v>6958</v>
      </c>
      <c r="L7839" s="621">
        <f t="shared" si="249"/>
        <v>340795.77509000001</v>
      </c>
      <c r="M7839" s="621">
        <f t="shared" si="249"/>
        <v>340795.77509000001</v>
      </c>
      <c r="N7839" s="621">
        <f t="shared" si="249"/>
        <v>108721.79999999999</v>
      </c>
      <c r="O7839" s="621">
        <f t="shared" si="249"/>
        <v>0</v>
      </c>
      <c r="P7839" s="621">
        <f>BB7840+P7841</f>
        <v>2034.2913049999997</v>
      </c>
    </row>
    <row r="7840" spans="1:16">
      <c r="A7840" s="1738"/>
      <c r="B7840" s="1738"/>
      <c r="C7840" s="622" t="s">
        <v>1197</v>
      </c>
      <c r="D7840" s="623">
        <v>338274.58378500002</v>
      </c>
      <c r="E7840" s="623">
        <v>108234.9</v>
      </c>
      <c r="F7840" s="623">
        <v>230039.68378500003</v>
      </c>
      <c r="G7840" s="623">
        <v>6822</v>
      </c>
      <c r="H7840" s="623">
        <v>371372.62741800147</v>
      </c>
      <c r="I7840" s="623">
        <v>1027</v>
      </c>
      <c r="J7840" s="623">
        <v>24918.45451</v>
      </c>
      <c r="K7840" s="623">
        <v>6789</v>
      </c>
      <c r="L7840" s="623">
        <v>338274.58378500002</v>
      </c>
      <c r="M7840" s="623">
        <v>338274.58378500002</v>
      </c>
      <c r="N7840" s="623">
        <v>108234.9</v>
      </c>
      <c r="O7840" s="624"/>
    </row>
    <row r="7841" spans="1:56">
      <c r="A7841" s="1737"/>
      <c r="B7841" s="1737"/>
      <c r="C7841" s="622" t="s">
        <v>1199</v>
      </c>
      <c r="D7841" s="623">
        <v>2521.1913049999998</v>
      </c>
      <c r="E7841" s="623">
        <v>486.9</v>
      </c>
      <c r="F7841" s="623">
        <v>2034.2913049999997</v>
      </c>
      <c r="G7841" s="623">
        <v>180</v>
      </c>
      <c r="H7841" s="623">
        <v>2556.7343135796664</v>
      </c>
      <c r="I7841" s="623">
        <v>7</v>
      </c>
      <c r="J7841" s="623">
        <v>35.543008579666548</v>
      </c>
      <c r="K7841" s="623">
        <v>169</v>
      </c>
      <c r="L7841" s="623">
        <v>2521.1913049999998</v>
      </c>
      <c r="M7841" s="623">
        <v>2521.1913049999998</v>
      </c>
      <c r="N7841" s="623">
        <v>486.9</v>
      </c>
      <c r="O7841" s="624"/>
      <c r="P7841" s="623">
        <v>2034.2913049999997</v>
      </c>
    </row>
    <row r="7842" spans="1:56">
      <c r="A7842" s="1736">
        <v>16</v>
      </c>
      <c r="B7842" s="1736" t="s">
        <v>1953</v>
      </c>
      <c r="C7842" s="587" t="s">
        <v>1196</v>
      </c>
      <c r="D7842" s="621">
        <f>D7843+D7844</f>
        <v>312150.32000999997</v>
      </c>
      <c r="E7842" s="621">
        <f t="shared" ref="E7842:O7842" si="250">E7843+E7844</f>
        <v>92493.299999999988</v>
      </c>
      <c r="F7842" s="621">
        <f t="shared" si="250"/>
        <v>219657.02000999998</v>
      </c>
      <c r="G7842" s="621">
        <f t="shared" si="250"/>
        <v>6440</v>
      </c>
      <c r="H7842" s="621">
        <f t="shared" si="250"/>
        <v>361786.05004484084</v>
      </c>
      <c r="I7842" s="621">
        <f t="shared" si="250"/>
        <v>826</v>
      </c>
      <c r="J7842" s="621">
        <f t="shared" si="250"/>
        <v>38716.098529999996</v>
      </c>
      <c r="K7842" s="621">
        <f t="shared" si="250"/>
        <v>6239</v>
      </c>
      <c r="L7842" s="621">
        <f t="shared" si="250"/>
        <v>312150.32000999997</v>
      </c>
      <c r="M7842" s="621">
        <f t="shared" si="250"/>
        <v>312150.32000999997</v>
      </c>
      <c r="N7842" s="621">
        <f t="shared" si="250"/>
        <v>92493.299999999988</v>
      </c>
      <c r="O7842" s="621">
        <f t="shared" si="250"/>
        <v>0</v>
      </c>
      <c r="P7842" s="621">
        <f>BB7843+P7844</f>
        <v>810.32535999999993</v>
      </c>
    </row>
    <row r="7843" spans="1:56">
      <c r="A7843" s="1738"/>
      <c r="B7843" s="1738"/>
      <c r="C7843" s="622" t="s">
        <v>1197</v>
      </c>
      <c r="D7843" s="623">
        <v>311067.59464999998</v>
      </c>
      <c r="E7843" s="623">
        <v>92220.9</v>
      </c>
      <c r="F7843" s="623">
        <v>218846.69464999999</v>
      </c>
      <c r="G7843" s="623">
        <v>6372</v>
      </c>
      <c r="H7843" s="623">
        <v>360249.96458484087</v>
      </c>
      <c r="I7843" s="623">
        <v>787</v>
      </c>
      <c r="J7843" s="623">
        <v>38262.738429999998</v>
      </c>
      <c r="K7843" s="623">
        <v>6171</v>
      </c>
      <c r="L7843" s="623">
        <v>311067.59464999998</v>
      </c>
      <c r="M7843" s="623">
        <v>311067.59464999998</v>
      </c>
      <c r="N7843" s="623">
        <v>92220.9</v>
      </c>
      <c r="O7843" s="624"/>
    </row>
    <row r="7844" spans="1:56">
      <c r="A7844" s="1737"/>
      <c r="B7844" s="1737"/>
      <c r="C7844" s="622" t="s">
        <v>1199</v>
      </c>
      <c r="D7844" s="623">
        <v>1082.7253599999999</v>
      </c>
      <c r="E7844" s="623">
        <v>272.39999999999998</v>
      </c>
      <c r="F7844" s="623">
        <v>810.32535999999993</v>
      </c>
      <c r="G7844" s="623">
        <v>68</v>
      </c>
      <c r="H7844" s="623">
        <v>1536.0854599999998</v>
      </c>
      <c r="I7844" s="623">
        <v>39</v>
      </c>
      <c r="J7844" s="623">
        <v>453.36009999999999</v>
      </c>
      <c r="K7844" s="623">
        <v>68</v>
      </c>
      <c r="L7844" s="623">
        <v>1082.7253599999999</v>
      </c>
      <c r="M7844" s="623">
        <v>1082.7253599999999</v>
      </c>
      <c r="N7844" s="623">
        <v>272.39999999999998</v>
      </c>
      <c r="O7844" s="624"/>
      <c r="P7844" s="623">
        <v>810.32535999999993</v>
      </c>
    </row>
    <row r="7845" spans="1:56">
      <c r="A7845" s="1736">
        <v>17</v>
      </c>
      <c r="B7845" s="1736" t="s">
        <v>1954</v>
      </c>
      <c r="C7845" s="587" t="s">
        <v>1196</v>
      </c>
      <c r="D7845" s="621">
        <f>D7846+D7847</f>
        <v>348385.15057999996</v>
      </c>
      <c r="E7845" s="621">
        <f t="shared" ref="E7845:O7845" si="251">E7846+E7847</f>
        <v>102525.6</v>
      </c>
      <c r="F7845" s="621">
        <f t="shared" si="251"/>
        <v>245859.55057999998</v>
      </c>
      <c r="G7845" s="621">
        <f t="shared" si="251"/>
        <v>7133</v>
      </c>
      <c r="H7845" s="621">
        <f t="shared" si="251"/>
        <v>379354.0262111093</v>
      </c>
      <c r="I7845" s="621">
        <f t="shared" si="251"/>
        <v>1329</v>
      </c>
      <c r="J7845" s="621">
        <f t="shared" si="251"/>
        <v>28545.858429999997</v>
      </c>
      <c r="K7845" s="621">
        <f t="shared" si="251"/>
        <v>7060</v>
      </c>
      <c r="L7845" s="621">
        <f t="shared" si="251"/>
        <v>348385.15057999996</v>
      </c>
      <c r="M7845" s="621">
        <f t="shared" si="251"/>
        <v>348385.15057999996</v>
      </c>
      <c r="N7845" s="621">
        <f t="shared" si="251"/>
        <v>102525.6</v>
      </c>
      <c r="O7845" s="621">
        <f t="shared" si="251"/>
        <v>0</v>
      </c>
      <c r="P7845" s="621">
        <f>BB7846+P7847</f>
        <v>2062.6269200000002</v>
      </c>
    </row>
    <row r="7846" spans="1:56">
      <c r="A7846" s="1738"/>
      <c r="B7846" s="1738"/>
      <c r="C7846" s="622" t="s">
        <v>1197</v>
      </c>
      <c r="D7846" s="623">
        <v>345781.92365999997</v>
      </c>
      <c r="E7846" s="623">
        <v>101985</v>
      </c>
      <c r="F7846" s="623">
        <v>243796.92365999997</v>
      </c>
      <c r="G7846" s="623">
        <v>6948</v>
      </c>
      <c r="H7846" s="623">
        <v>376524.89030046045</v>
      </c>
      <c r="I7846" s="623">
        <v>1285</v>
      </c>
      <c r="J7846" s="623">
        <v>28320.069339999998</v>
      </c>
      <c r="K7846" s="623">
        <v>6876</v>
      </c>
      <c r="L7846" s="623">
        <v>345781.92365999997</v>
      </c>
      <c r="M7846" s="623">
        <v>345781.92365999997</v>
      </c>
      <c r="N7846" s="623">
        <v>101985</v>
      </c>
      <c r="O7846" s="624"/>
    </row>
    <row r="7847" spans="1:56">
      <c r="A7847" s="1737"/>
      <c r="B7847" s="1737"/>
      <c r="C7847" s="622" t="s">
        <v>1199</v>
      </c>
      <c r="D7847" s="623">
        <v>2603.2269200000001</v>
      </c>
      <c r="E7847" s="623">
        <v>540.6</v>
      </c>
      <c r="F7847" s="623">
        <v>2062.6269200000002</v>
      </c>
      <c r="G7847" s="623">
        <v>185</v>
      </c>
      <c r="H7847" s="623">
        <v>2829.1359106488335</v>
      </c>
      <c r="I7847" s="623">
        <v>44</v>
      </c>
      <c r="J7847" s="623">
        <v>225.78908999999999</v>
      </c>
      <c r="K7847" s="623">
        <v>184</v>
      </c>
      <c r="L7847" s="623">
        <v>2603.2269200000001</v>
      </c>
      <c r="M7847" s="623">
        <v>2603.2269200000001</v>
      </c>
      <c r="N7847" s="623">
        <v>540.6</v>
      </c>
      <c r="O7847" s="624"/>
      <c r="P7847" s="623">
        <v>2062.6269200000002</v>
      </c>
    </row>
    <row r="7848" spans="1:56">
      <c r="A7848" s="1736">
        <v>18</v>
      </c>
      <c r="B7848" s="1736" t="s">
        <v>1955</v>
      </c>
      <c r="C7848" s="587" t="s">
        <v>1196</v>
      </c>
      <c r="D7848" s="621">
        <f>D7849+D7850</f>
        <v>126428.06095000001</v>
      </c>
      <c r="E7848" s="621">
        <f t="shared" ref="E7848:O7848" si="252">E7849+E7850</f>
        <v>33952.5</v>
      </c>
      <c r="F7848" s="621">
        <f t="shared" si="252"/>
        <v>92475.560950000028</v>
      </c>
      <c r="G7848" s="621">
        <f t="shared" si="252"/>
        <v>1635</v>
      </c>
      <c r="H7848" s="621">
        <f t="shared" si="252"/>
        <v>140160.0028234637</v>
      </c>
      <c r="I7848" s="621">
        <f t="shared" si="252"/>
        <v>353</v>
      </c>
      <c r="J7848" s="621">
        <f t="shared" si="252"/>
        <v>10754.285279999996</v>
      </c>
      <c r="K7848" s="621">
        <f t="shared" si="252"/>
        <v>1631</v>
      </c>
      <c r="L7848" s="621">
        <f t="shared" si="252"/>
        <v>126428.06095000001</v>
      </c>
      <c r="M7848" s="621">
        <f t="shared" si="252"/>
        <v>126428.06095000001</v>
      </c>
      <c r="N7848" s="621">
        <f t="shared" si="252"/>
        <v>33952.5</v>
      </c>
      <c r="O7848" s="621">
        <f t="shared" si="252"/>
        <v>0</v>
      </c>
      <c r="P7848" s="621">
        <f>AL7849+AL7850</f>
        <v>4100.7684749999999</v>
      </c>
    </row>
    <row r="7849" spans="1:56">
      <c r="A7849" s="1738"/>
      <c r="B7849" s="1738"/>
      <c r="C7849" s="622" t="s">
        <v>1197</v>
      </c>
      <c r="D7849" s="623">
        <v>121226.50247500002</v>
      </c>
      <c r="E7849" s="623">
        <v>32851.71</v>
      </c>
      <c r="F7849" s="623">
        <v>88374.792475000024</v>
      </c>
      <c r="G7849" s="623">
        <v>1618</v>
      </c>
      <c r="H7849" s="623">
        <v>134292.8547546145</v>
      </c>
      <c r="I7849" s="623">
        <v>348</v>
      </c>
      <c r="J7849" s="623">
        <v>10113.672699999997</v>
      </c>
      <c r="K7849" s="623">
        <v>1614</v>
      </c>
      <c r="L7849" s="623">
        <v>121226.50247500002</v>
      </c>
      <c r="M7849" s="623">
        <v>121226.50247500002</v>
      </c>
      <c r="N7849" s="623">
        <v>32851.71</v>
      </c>
      <c r="O7849" s="624"/>
    </row>
    <row r="7850" spans="1:56">
      <c r="A7850" s="1737"/>
      <c r="B7850" s="1737"/>
      <c r="C7850" s="622" t="s">
        <v>1198</v>
      </c>
      <c r="D7850" s="623">
        <v>5201.5584749999998</v>
      </c>
      <c r="E7850" s="623">
        <v>1100.79</v>
      </c>
      <c r="F7850" s="623">
        <v>4100.7684749999999</v>
      </c>
      <c r="G7850" s="623">
        <v>17</v>
      </c>
      <c r="H7850" s="623">
        <v>5867.1480688492002</v>
      </c>
      <c r="I7850" s="623">
        <v>5</v>
      </c>
      <c r="J7850" s="623">
        <v>640.61257999999998</v>
      </c>
      <c r="K7850" s="623">
        <v>17</v>
      </c>
      <c r="L7850" s="623">
        <v>5201.5584749999998</v>
      </c>
      <c r="M7850" s="623">
        <v>5201.5584749999998</v>
      </c>
      <c r="N7850" s="623">
        <v>1100.79</v>
      </c>
      <c r="O7850" s="624"/>
      <c r="AL7850" s="623">
        <v>4100.7684749999999</v>
      </c>
    </row>
    <row r="7851" spans="1:56">
      <c r="A7851" s="1736">
        <v>19</v>
      </c>
      <c r="B7851" s="1736" t="s">
        <v>1956</v>
      </c>
      <c r="C7851" s="587" t="s">
        <v>1196</v>
      </c>
      <c r="D7851" s="621">
        <f>D7852+D7853</f>
        <v>123264.33646000001</v>
      </c>
      <c r="E7851" s="621">
        <f t="shared" ref="E7851:O7851" si="253">E7852+E7853</f>
        <v>42323.7</v>
      </c>
      <c r="F7851" s="621">
        <f t="shared" si="253"/>
        <v>80940.636460000009</v>
      </c>
      <c r="G7851" s="621">
        <f t="shared" si="253"/>
        <v>826</v>
      </c>
      <c r="H7851" s="621">
        <f t="shared" si="253"/>
        <v>130502.1095632464</v>
      </c>
      <c r="I7851" s="621">
        <f t="shared" si="253"/>
        <v>157</v>
      </c>
      <c r="J7851" s="621">
        <f t="shared" si="253"/>
        <v>7218.2894400000005</v>
      </c>
      <c r="K7851" s="621">
        <f t="shared" si="253"/>
        <v>823</v>
      </c>
      <c r="L7851" s="621">
        <f t="shared" si="253"/>
        <v>123264.33646000001</v>
      </c>
      <c r="M7851" s="621">
        <f t="shared" si="253"/>
        <v>123264.33646000001</v>
      </c>
      <c r="N7851" s="621">
        <f t="shared" si="253"/>
        <v>42323.7</v>
      </c>
      <c r="O7851" s="621">
        <f t="shared" si="253"/>
        <v>0</v>
      </c>
      <c r="P7851" s="621">
        <f>AL7852+AL7853</f>
        <v>42724.598400000003</v>
      </c>
    </row>
    <row r="7852" spans="1:56">
      <c r="A7852" s="1738"/>
      <c r="B7852" s="1738"/>
      <c r="C7852" s="622" t="s">
        <v>1197</v>
      </c>
      <c r="D7852" s="623">
        <v>57702.238060000003</v>
      </c>
      <c r="E7852" s="623">
        <v>19486.2</v>
      </c>
      <c r="F7852" s="623">
        <v>38216.038060000006</v>
      </c>
      <c r="G7852" s="623">
        <v>723</v>
      </c>
      <c r="H7852" s="623">
        <v>61444.112691518007</v>
      </c>
      <c r="I7852" s="623">
        <v>137</v>
      </c>
      <c r="J7852" s="623">
        <v>3722.5957599999997</v>
      </c>
      <c r="K7852" s="623">
        <v>720</v>
      </c>
      <c r="L7852" s="623">
        <v>57702.238060000003</v>
      </c>
      <c r="M7852" s="623">
        <v>57702.238060000003</v>
      </c>
      <c r="N7852" s="623">
        <v>19486.2</v>
      </c>
      <c r="O7852" s="624"/>
    </row>
    <row r="7853" spans="1:56">
      <c r="A7853" s="1737"/>
      <c r="B7853" s="1737"/>
      <c r="C7853" s="622" t="s">
        <v>1198</v>
      </c>
      <c r="D7853" s="623">
        <v>65562.098400000003</v>
      </c>
      <c r="E7853" s="623">
        <v>22837.5</v>
      </c>
      <c r="F7853" s="623">
        <v>42724.598400000003</v>
      </c>
      <c r="G7853" s="623">
        <v>103</v>
      </c>
      <c r="H7853" s="623">
        <v>69057.996871728392</v>
      </c>
      <c r="I7853" s="623">
        <v>20</v>
      </c>
      <c r="J7853" s="623">
        <v>3495.6936800000003</v>
      </c>
      <c r="K7853" s="623">
        <v>103</v>
      </c>
      <c r="L7853" s="623">
        <v>65562.098400000003</v>
      </c>
      <c r="M7853" s="623">
        <v>65562.098400000003</v>
      </c>
      <c r="N7853" s="623">
        <v>22837.5</v>
      </c>
      <c r="O7853" s="624"/>
      <c r="AL7853" s="623">
        <v>42724.598400000003</v>
      </c>
    </row>
    <row r="7854" spans="1:56">
      <c r="A7854" s="1736">
        <v>20</v>
      </c>
      <c r="B7854" s="1736" t="s">
        <v>1957</v>
      </c>
      <c r="C7854" s="587" t="s">
        <v>1196</v>
      </c>
      <c r="D7854" s="621">
        <f>D7855+D7856+D7857</f>
        <v>412094.2476</v>
      </c>
      <c r="E7854" s="621">
        <f t="shared" ref="E7854:O7854" si="254">E7855+E7856+E7857</f>
        <v>108220.11</v>
      </c>
      <c r="F7854" s="621">
        <f t="shared" si="254"/>
        <v>303874.13759999996</v>
      </c>
      <c r="G7854" s="621">
        <f t="shared" si="254"/>
        <v>3240</v>
      </c>
      <c r="H7854" s="621">
        <f t="shared" si="254"/>
        <v>441708.16149213794</v>
      </c>
      <c r="I7854" s="621">
        <f t="shared" si="254"/>
        <v>524</v>
      </c>
      <c r="J7854" s="621">
        <f t="shared" si="254"/>
        <v>26567.565240000004</v>
      </c>
      <c r="K7854" s="621">
        <f t="shared" si="254"/>
        <v>3230</v>
      </c>
      <c r="L7854" s="621">
        <f t="shared" si="254"/>
        <v>412094.2476</v>
      </c>
      <c r="M7854" s="621">
        <f t="shared" si="254"/>
        <v>412094.2476</v>
      </c>
      <c r="N7854" s="621">
        <f t="shared" si="254"/>
        <v>108220.11</v>
      </c>
      <c r="O7854" s="621">
        <f t="shared" si="254"/>
        <v>0</v>
      </c>
      <c r="P7854" s="621">
        <f>AL7855+BD7856+P7857</f>
        <v>127631.15868000001</v>
      </c>
    </row>
    <row r="7855" spans="1:56">
      <c r="A7855" s="1738"/>
      <c r="B7855" s="1738"/>
      <c r="C7855" s="622" t="s">
        <v>1197</v>
      </c>
      <c r="D7855" s="623">
        <v>251958.04316999999</v>
      </c>
      <c r="E7855" s="623">
        <v>75871.56</v>
      </c>
      <c r="F7855" s="623">
        <v>176086.48316999999</v>
      </c>
      <c r="G7855" s="623">
        <v>2567</v>
      </c>
      <c r="H7855" s="623">
        <v>270949.06504250504</v>
      </c>
      <c r="I7855" s="623">
        <v>422</v>
      </c>
      <c r="J7855" s="623">
        <v>15741.777510000002</v>
      </c>
      <c r="K7855" s="623">
        <v>2559</v>
      </c>
      <c r="L7855" s="623">
        <v>252114.53891999999</v>
      </c>
      <c r="M7855" s="623">
        <v>252114.53891999999</v>
      </c>
      <c r="N7855" s="623">
        <v>75871.56</v>
      </c>
      <c r="O7855" s="624"/>
    </row>
    <row r="7856" spans="1:56">
      <c r="A7856" s="1738"/>
      <c r="B7856" s="1738"/>
      <c r="C7856" s="622" t="s">
        <v>1198</v>
      </c>
      <c r="D7856" s="623">
        <v>159687.10443000001</v>
      </c>
      <c r="E7856" s="623">
        <v>32348.55</v>
      </c>
      <c r="F7856" s="623">
        <v>127338.55443</v>
      </c>
      <c r="G7856" s="623">
        <v>673</v>
      </c>
      <c r="H7856" s="623">
        <v>170466.49219963289</v>
      </c>
      <c r="I7856" s="623">
        <v>102</v>
      </c>
      <c r="J7856" s="623">
        <v>10825.78773</v>
      </c>
      <c r="K7856" s="623">
        <v>671</v>
      </c>
      <c r="L7856" s="623">
        <v>159687.10443000001</v>
      </c>
      <c r="M7856" s="623">
        <v>159687.10443000001</v>
      </c>
      <c r="N7856" s="623">
        <v>32348.55</v>
      </c>
      <c r="O7856" s="624"/>
      <c r="BD7856" s="623">
        <v>127338.55443</v>
      </c>
    </row>
    <row r="7857" spans="1:56">
      <c r="A7857" s="1737"/>
      <c r="B7857" s="1737"/>
      <c r="C7857" s="625" t="s">
        <v>1202</v>
      </c>
      <c r="D7857" s="623">
        <v>449.1</v>
      </c>
      <c r="E7857" s="623"/>
      <c r="F7857" s="623">
        <v>449.1</v>
      </c>
      <c r="G7857" s="623"/>
      <c r="H7857" s="623">
        <v>292.60424999999998</v>
      </c>
      <c r="I7857" s="623"/>
      <c r="J7857" s="623"/>
      <c r="K7857" s="623"/>
      <c r="L7857" s="623">
        <v>292.60424999999998</v>
      </c>
      <c r="M7857" s="623">
        <v>292.60424999999998</v>
      </c>
      <c r="N7857" s="623">
        <v>0</v>
      </c>
      <c r="O7857" s="623">
        <v>0</v>
      </c>
      <c r="P7857" s="623">
        <v>292.60424999999998</v>
      </c>
    </row>
    <row r="7858" spans="1:56">
      <c r="A7858" s="1736">
        <v>21</v>
      </c>
      <c r="B7858" s="1736" t="s">
        <v>1958</v>
      </c>
      <c r="C7858" s="587" t="s">
        <v>1196</v>
      </c>
      <c r="D7858" s="621">
        <f>D7859+D7860+D7861</f>
        <v>773228.23822000006</v>
      </c>
      <c r="E7858" s="621">
        <f t="shared" ref="E7858:O7858" si="255">E7859+E7860+E7861</f>
        <v>163913.69999999998</v>
      </c>
      <c r="F7858" s="621">
        <f t="shared" si="255"/>
        <v>609314.5382200001</v>
      </c>
      <c r="G7858" s="621">
        <f t="shared" si="255"/>
        <v>5795</v>
      </c>
      <c r="H7858" s="621">
        <f t="shared" si="255"/>
        <v>804187.8611101011</v>
      </c>
      <c r="I7858" s="621">
        <f t="shared" si="255"/>
        <v>599</v>
      </c>
      <c r="J7858" s="621">
        <f t="shared" si="255"/>
        <v>25234.832145915578</v>
      </c>
      <c r="K7858" s="621">
        <f t="shared" si="255"/>
        <v>5683</v>
      </c>
      <c r="L7858" s="621">
        <f t="shared" si="255"/>
        <v>773228.23822000006</v>
      </c>
      <c r="M7858" s="621">
        <f t="shared" si="255"/>
        <v>773228.23822000006</v>
      </c>
      <c r="N7858" s="621">
        <f t="shared" si="255"/>
        <v>163913.69999999998</v>
      </c>
      <c r="O7858" s="621">
        <f t="shared" si="255"/>
        <v>0</v>
      </c>
      <c r="P7858" s="621">
        <f>AT7859+BD7860+P7861</f>
        <v>375443.38090499997</v>
      </c>
    </row>
    <row r="7859" spans="1:56">
      <c r="A7859" s="1738"/>
      <c r="B7859" s="1738"/>
      <c r="C7859" s="622" t="s">
        <v>1197</v>
      </c>
      <c r="D7859" s="623">
        <v>387006.60731500003</v>
      </c>
      <c r="E7859" s="623">
        <v>153135.44999999998</v>
      </c>
      <c r="F7859" s="623">
        <v>233871.15731500005</v>
      </c>
      <c r="G7859" s="623">
        <v>3245</v>
      </c>
      <c r="H7859" s="623">
        <v>401993.23207442998</v>
      </c>
      <c r="I7859" s="623">
        <v>358</v>
      </c>
      <c r="J7859" s="623">
        <v>12911.637324934445</v>
      </c>
      <c r="K7859" s="623">
        <v>3245</v>
      </c>
      <c r="L7859" s="623">
        <v>387006.60731500003</v>
      </c>
      <c r="M7859" s="623">
        <v>387006.60731500003</v>
      </c>
      <c r="N7859" s="623">
        <v>153135.44999999998</v>
      </c>
      <c r="O7859" s="624"/>
    </row>
    <row r="7860" spans="1:56">
      <c r="A7860" s="1738"/>
      <c r="B7860" s="1738"/>
      <c r="C7860" s="622" t="s">
        <v>1198</v>
      </c>
      <c r="D7860" s="623">
        <v>359841.64684499998</v>
      </c>
      <c r="E7860" s="623">
        <v>7500</v>
      </c>
      <c r="F7860" s="623">
        <v>352341.64684499998</v>
      </c>
      <c r="G7860" s="623">
        <v>1343</v>
      </c>
      <c r="H7860" s="623">
        <v>375182.75292469008</v>
      </c>
      <c r="I7860" s="623">
        <v>129</v>
      </c>
      <c r="J7860" s="623">
        <v>11691.30277</v>
      </c>
      <c r="K7860" s="623">
        <v>1341</v>
      </c>
      <c r="L7860" s="623">
        <v>359841.64684499998</v>
      </c>
      <c r="M7860" s="623">
        <v>359841.64684499998</v>
      </c>
      <c r="N7860" s="623">
        <v>7500</v>
      </c>
      <c r="O7860" s="624"/>
      <c r="BD7860" s="623">
        <v>352341.64684499998</v>
      </c>
    </row>
    <row r="7861" spans="1:56">
      <c r="A7861" s="1737"/>
      <c r="B7861" s="1737"/>
      <c r="C7861" s="622" t="s">
        <v>1199</v>
      </c>
      <c r="D7861" s="623">
        <v>26379.984059999999</v>
      </c>
      <c r="E7861" s="623">
        <v>3278.25</v>
      </c>
      <c r="F7861" s="623">
        <v>23101.734059999999</v>
      </c>
      <c r="G7861" s="623">
        <v>1207</v>
      </c>
      <c r="H7861" s="623">
        <v>27011.876110981131</v>
      </c>
      <c r="I7861" s="623">
        <v>112</v>
      </c>
      <c r="J7861" s="623">
        <v>631.89205098113234</v>
      </c>
      <c r="K7861" s="623">
        <v>1097</v>
      </c>
      <c r="L7861" s="623">
        <v>26379.984059999999</v>
      </c>
      <c r="M7861" s="623">
        <v>26379.984059999999</v>
      </c>
      <c r="N7861" s="623">
        <v>3278.25</v>
      </c>
      <c r="O7861" s="624"/>
      <c r="P7861" s="623">
        <v>23101.734059999999</v>
      </c>
    </row>
    <row r="7862" spans="1:56">
      <c r="A7862" s="1736">
        <v>22</v>
      </c>
      <c r="B7862" s="1736" t="s">
        <v>1959</v>
      </c>
      <c r="C7862" s="587" t="s">
        <v>1196</v>
      </c>
      <c r="D7862" s="621">
        <f>D7863</f>
        <v>131588.98910999999</v>
      </c>
      <c r="E7862" s="621">
        <f t="shared" ref="E7862:O7862" si="256">E7863</f>
        <v>39463.049999999996</v>
      </c>
      <c r="F7862" s="621">
        <f t="shared" si="256"/>
        <v>92125.939110000007</v>
      </c>
      <c r="G7862" s="621">
        <f t="shared" si="256"/>
        <v>1667</v>
      </c>
      <c r="H7862" s="621">
        <f t="shared" si="256"/>
        <v>134357.38037017419</v>
      </c>
      <c r="I7862" s="621">
        <f t="shared" si="256"/>
        <v>64</v>
      </c>
      <c r="J7862" s="621">
        <f t="shared" si="256"/>
        <v>2559.0933</v>
      </c>
      <c r="K7862" s="621">
        <f t="shared" si="256"/>
        <v>1666</v>
      </c>
      <c r="L7862" s="621">
        <f t="shared" si="256"/>
        <v>131588.98910999999</v>
      </c>
      <c r="M7862" s="621">
        <f t="shared" si="256"/>
        <v>131588.98910999999</v>
      </c>
      <c r="N7862" s="621">
        <f t="shared" si="256"/>
        <v>39463.049999999996</v>
      </c>
      <c r="O7862" s="621">
        <f t="shared" si="256"/>
        <v>0</v>
      </c>
      <c r="P7862" s="621">
        <f>BD7863</f>
        <v>0</v>
      </c>
    </row>
    <row r="7863" spans="1:56">
      <c r="A7863" s="1737"/>
      <c r="B7863" s="1737"/>
      <c r="C7863" s="622" t="s">
        <v>1197</v>
      </c>
      <c r="D7863" s="623">
        <v>131588.98910999999</v>
      </c>
      <c r="E7863" s="623">
        <v>39463.049999999996</v>
      </c>
      <c r="F7863" s="623">
        <v>92125.939110000007</v>
      </c>
      <c r="G7863" s="623">
        <v>1667</v>
      </c>
      <c r="H7863" s="623">
        <v>134357.38037017419</v>
      </c>
      <c r="I7863" s="623">
        <v>64</v>
      </c>
      <c r="J7863" s="623">
        <v>2559.0933</v>
      </c>
      <c r="K7863" s="623">
        <v>1666</v>
      </c>
      <c r="L7863" s="623">
        <v>131588.98910999999</v>
      </c>
      <c r="M7863" s="623">
        <v>131588.98910999999</v>
      </c>
      <c r="N7863" s="623">
        <v>39463.049999999996</v>
      </c>
      <c r="O7863" s="624"/>
    </row>
    <row r="7864" spans="1:56">
      <c r="A7864" s="1736">
        <v>23</v>
      </c>
      <c r="B7864" s="1736" t="s">
        <v>1960</v>
      </c>
      <c r="C7864" s="587" t="s">
        <v>1196</v>
      </c>
      <c r="D7864" s="621">
        <f>D7865+D7866</f>
        <v>19414.339959999998</v>
      </c>
      <c r="E7864" s="621">
        <f t="shared" ref="E7864:O7864" si="257">E7865+E7866</f>
        <v>5854.95</v>
      </c>
      <c r="F7864" s="621">
        <f t="shared" si="257"/>
        <v>13559.389959999997</v>
      </c>
      <c r="G7864" s="621">
        <f t="shared" si="257"/>
        <v>509</v>
      </c>
      <c r="H7864" s="621">
        <f t="shared" si="257"/>
        <v>21757.466944327</v>
      </c>
      <c r="I7864" s="621">
        <f t="shared" si="257"/>
        <v>109</v>
      </c>
      <c r="J7864" s="621">
        <f t="shared" si="257"/>
        <v>2333.8446619352003</v>
      </c>
      <c r="K7864" s="621">
        <f t="shared" si="257"/>
        <v>504</v>
      </c>
      <c r="L7864" s="621">
        <f t="shared" si="257"/>
        <v>19414.339959999998</v>
      </c>
      <c r="M7864" s="621">
        <f t="shared" si="257"/>
        <v>19414.339959999998</v>
      </c>
      <c r="N7864" s="621">
        <f t="shared" si="257"/>
        <v>5854.95</v>
      </c>
      <c r="O7864" s="621">
        <f t="shared" si="257"/>
        <v>0</v>
      </c>
      <c r="P7864" s="621">
        <f>AL7865+P7866</f>
        <v>1820.6708950000002</v>
      </c>
    </row>
    <row r="7865" spans="1:56">
      <c r="A7865" s="1738"/>
      <c r="B7865" s="1738"/>
      <c r="C7865" s="622" t="s">
        <v>1197</v>
      </c>
      <c r="D7865" s="623">
        <v>16946.419064999998</v>
      </c>
      <c r="E7865" s="623">
        <v>5207.7</v>
      </c>
      <c r="F7865" s="623">
        <v>11738.719064999997</v>
      </c>
      <c r="G7865" s="623">
        <v>315</v>
      </c>
      <c r="H7865" s="623">
        <v>19161.718136984</v>
      </c>
      <c r="I7865" s="623">
        <v>81</v>
      </c>
      <c r="J7865" s="623">
        <v>2206.3072419352002</v>
      </c>
      <c r="K7865" s="623">
        <v>312</v>
      </c>
      <c r="L7865" s="623">
        <v>16946.419064999998</v>
      </c>
      <c r="M7865" s="623">
        <v>16946.419064999998</v>
      </c>
      <c r="N7865" s="623">
        <v>5207.7</v>
      </c>
      <c r="O7865" s="624"/>
    </row>
    <row r="7866" spans="1:56">
      <c r="A7866" s="1737"/>
      <c r="B7866" s="1737"/>
      <c r="C7866" s="622" t="s">
        <v>1199</v>
      </c>
      <c r="D7866" s="623">
        <v>2467.9208950000002</v>
      </c>
      <c r="E7866" s="623">
        <v>647.25</v>
      </c>
      <c r="F7866" s="623">
        <v>1820.6708950000002</v>
      </c>
      <c r="G7866" s="623">
        <v>194</v>
      </c>
      <c r="H7866" s="623">
        <v>2595.7488073430004</v>
      </c>
      <c r="I7866" s="623">
        <v>28</v>
      </c>
      <c r="J7866" s="623">
        <v>127.53742</v>
      </c>
      <c r="K7866" s="623">
        <v>192</v>
      </c>
      <c r="L7866" s="623">
        <v>2467.9208950000002</v>
      </c>
      <c r="M7866" s="623">
        <v>2467.9208950000002</v>
      </c>
      <c r="N7866" s="623">
        <v>647.25</v>
      </c>
      <c r="O7866" s="624"/>
      <c r="P7866" s="623">
        <v>1820.6708950000002</v>
      </c>
    </row>
    <row r="7867" spans="1:56">
      <c r="A7867" s="1736">
        <v>24</v>
      </c>
      <c r="B7867" s="1736" t="s">
        <v>1961</v>
      </c>
      <c r="C7867" s="587" t="s">
        <v>1196</v>
      </c>
      <c r="D7867" s="621">
        <f>D7868+D7869+D7870</f>
        <v>3213286.9694600003</v>
      </c>
      <c r="E7867" s="621">
        <f t="shared" ref="E7867:O7867" si="258">E7868+E7869+E7870</f>
        <v>750293.39999999991</v>
      </c>
      <c r="F7867" s="621">
        <f t="shared" si="258"/>
        <v>2462993.5694600004</v>
      </c>
      <c r="G7867" s="621">
        <f t="shared" si="258"/>
        <v>9417</v>
      </c>
      <c r="H7867" s="621">
        <f t="shared" si="258"/>
        <v>3238939.7926633339</v>
      </c>
      <c r="I7867" s="621">
        <f t="shared" si="258"/>
        <v>498</v>
      </c>
      <c r="J7867" s="621">
        <f t="shared" si="258"/>
        <v>28660.753120800888</v>
      </c>
      <c r="K7867" s="621">
        <f t="shared" si="258"/>
        <v>9402</v>
      </c>
      <c r="L7867" s="621">
        <f t="shared" si="258"/>
        <v>3213286.9694600003</v>
      </c>
      <c r="M7867" s="621">
        <f t="shared" si="258"/>
        <v>3213286.9694600003</v>
      </c>
      <c r="N7867" s="621">
        <f t="shared" si="258"/>
        <v>750293.39999999991</v>
      </c>
      <c r="O7867" s="621">
        <f t="shared" si="258"/>
        <v>0</v>
      </c>
      <c r="P7867" s="621">
        <f>BD7868+BD7869+P7870</f>
        <v>704481.39335000003</v>
      </c>
    </row>
    <row r="7868" spans="1:56">
      <c r="A7868" s="1738"/>
      <c r="B7868" s="1738"/>
      <c r="C7868" s="622" t="s">
        <v>1197</v>
      </c>
      <c r="D7868" s="623">
        <v>2410180.3661100003</v>
      </c>
      <c r="E7868" s="623">
        <v>651668.18999999994</v>
      </c>
      <c r="F7868" s="623">
        <v>1758512.1761100003</v>
      </c>
      <c r="G7868" s="623">
        <v>7310</v>
      </c>
      <c r="H7868" s="623">
        <v>2431493.1084900005</v>
      </c>
      <c r="I7868" s="623">
        <v>458</v>
      </c>
      <c r="J7868" s="623">
        <v>21010.395599029751</v>
      </c>
      <c r="K7868" s="623">
        <v>7300</v>
      </c>
      <c r="L7868" s="623">
        <v>2410180.3661100003</v>
      </c>
      <c r="M7868" s="623">
        <v>2410180.3661100003</v>
      </c>
      <c r="N7868" s="623">
        <v>651668.18999999994</v>
      </c>
      <c r="O7868" s="624"/>
    </row>
    <row r="7869" spans="1:56">
      <c r="A7869" s="1738"/>
      <c r="B7869" s="1738"/>
      <c r="C7869" s="622" t="s">
        <v>1198</v>
      </c>
      <c r="D7869" s="623">
        <v>338857.05142999999</v>
      </c>
      <c r="E7869" s="623">
        <v>19092.75</v>
      </c>
      <c r="F7869" s="623">
        <v>319764.30142999999</v>
      </c>
      <c r="G7869" s="623">
        <v>519</v>
      </c>
      <c r="H7869" s="623">
        <v>341992.46585999994</v>
      </c>
      <c r="I7869" s="623">
        <v>25</v>
      </c>
      <c r="J7869" s="623">
        <v>5859.3591997711392</v>
      </c>
      <c r="K7869" s="623">
        <v>519</v>
      </c>
      <c r="L7869" s="623">
        <v>338857.05142999999</v>
      </c>
      <c r="M7869" s="623">
        <v>338857.05142999999</v>
      </c>
      <c r="N7869" s="623">
        <v>19092.75</v>
      </c>
      <c r="O7869" s="624"/>
      <c r="BD7869" s="623">
        <v>319764.30142999999</v>
      </c>
    </row>
    <row r="7870" spans="1:56">
      <c r="A7870" s="1737"/>
      <c r="B7870" s="1737"/>
      <c r="C7870" s="622" t="s">
        <v>1199</v>
      </c>
      <c r="D7870" s="623">
        <v>464249.55192</v>
      </c>
      <c r="E7870" s="623">
        <v>79532.460000000006</v>
      </c>
      <c r="F7870" s="623">
        <v>384717.09191999998</v>
      </c>
      <c r="G7870" s="623">
        <v>1588</v>
      </c>
      <c r="H7870" s="623">
        <v>465454.21831333335</v>
      </c>
      <c r="I7870" s="623">
        <v>15</v>
      </c>
      <c r="J7870" s="623">
        <v>1790.9983219999999</v>
      </c>
      <c r="K7870" s="623">
        <v>1583</v>
      </c>
      <c r="L7870" s="623">
        <v>464249.55192</v>
      </c>
      <c r="M7870" s="623">
        <v>464249.55192</v>
      </c>
      <c r="N7870" s="623">
        <v>79532.460000000006</v>
      </c>
      <c r="O7870" s="624"/>
      <c r="P7870" s="623">
        <v>384717.09191999998</v>
      </c>
    </row>
    <row r="7871" spans="1:56">
      <c r="A7871" s="1736">
        <v>25</v>
      </c>
      <c r="B7871" s="1736" t="s">
        <v>1962</v>
      </c>
      <c r="C7871" s="587" t="s">
        <v>1196</v>
      </c>
      <c r="D7871" s="621">
        <f>D7872+D7873+D7874+D7875</f>
        <v>1072135.419644</v>
      </c>
      <c r="E7871" s="621">
        <f t="shared" ref="E7871:O7871" si="259">E7872+E7873+E7874+E7875</f>
        <v>251876.1</v>
      </c>
      <c r="F7871" s="621">
        <f t="shared" si="259"/>
        <v>820259.31964400015</v>
      </c>
      <c r="G7871" s="621">
        <f t="shared" si="259"/>
        <v>4089</v>
      </c>
      <c r="H7871" s="621">
        <f t="shared" si="259"/>
        <v>1176090.5067722648</v>
      </c>
      <c r="I7871" s="621">
        <f t="shared" si="259"/>
        <v>773</v>
      </c>
      <c r="J7871" s="621">
        <f t="shared" si="259"/>
        <v>100849.05329000001</v>
      </c>
      <c r="K7871" s="621">
        <f t="shared" si="259"/>
        <v>4079</v>
      </c>
      <c r="L7871" s="621">
        <f t="shared" si="259"/>
        <v>1072135.41964</v>
      </c>
      <c r="M7871" s="621">
        <f t="shared" si="259"/>
        <v>1072135.41964</v>
      </c>
      <c r="N7871" s="621">
        <f t="shared" si="259"/>
        <v>251876.1</v>
      </c>
      <c r="O7871" s="621">
        <f t="shared" si="259"/>
        <v>0</v>
      </c>
      <c r="P7871" s="621">
        <f>BD7872+BD7873+P7874+P7875</f>
        <v>532775.54796</v>
      </c>
    </row>
    <row r="7872" spans="1:56">
      <c r="A7872" s="1738"/>
      <c r="B7872" s="1738"/>
      <c r="C7872" s="622" t="s">
        <v>1197</v>
      </c>
      <c r="D7872" s="623">
        <v>417551.80504900002</v>
      </c>
      <c r="E7872" s="623">
        <v>130122</v>
      </c>
      <c r="F7872" s="623">
        <v>287429.80504900002</v>
      </c>
      <c r="G7872" s="623">
        <v>2976</v>
      </c>
      <c r="H7872" s="623">
        <v>461889.21353000001</v>
      </c>
      <c r="I7872" s="623">
        <v>642</v>
      </c>
      <c r="J7872" s="623">
        <v>41111.000620000006</v>
      </c>
      <c r="K7872" s="623">
        <v>2967</v>
      </c>
      <c r="L7872" s="623">
        <v>417605.77168000001</v>
      </c>
      <c r="M7872" s="623">
        <v>417605.77168000001</v>
      </c>
      <c r="N7872" s="623">
        <v>130122</v>
      </c>
      <c r="O7872" s="624"/>
    </row>
    <row r="7873" spans="1:56">
      <c r="A7873" s="1738"/>
      <c r="B7873" s="1738"/>
      <c r="C7873" s="622" t="s">
        <v>1198</v>
      </c>
      <c r="D7873" s="623">
        <v>646522.94327499997</v>
      </c>
      <c r="E7873" s="623">
        <v>119797.95</v>
      </c>
      <c r="F7873" s="623">
        <v>526724.99327500002</v>
      </c>
      <c r="G7873" s="623">
        <v>518</v>
      </c>
      <c r="H7873" s="623">
        <v>706014.9867386698</v>
      </c>
      <c r="I7873" s="623">
        <v>64</v>
      </c>
      <c r="J7873" s="623">
        <v>59560.653530000011</v>
      </c>
      <c r="K7873" s="623">
        <v>517</v>
      </c>
      <c r="L7873" s="623">
        <v>646522.94327499997</v>
      </c>
      <c r="M7873" s="623">
        <v>646522.94327499997</v>
      </c>
      <c r="N7873" s="623">
        <v>119797.95</v>
      </c>
      <c r="O7873" s="624"/>
      <c r="BD7873" s="623">
        <v>526724.99327500002</v>
      </c>
    </row>
    <row r="7874" spans="1:56">
      <c r="A7874" s="1738"/>
      <c r="B7874" s="1738"/>
      <c r="C7874" s="622" t="s">
        <v>1199</v>
      </c>
      <c r="D7874" s="623">
        <v>7784.2299600000006</v>
      </c>
      <c r="E7874" s="623">
        <v>1956.1499999999999</v>
      </c>
      <c r="F7874" s="623">
        <v>5828.0799600000009</v>
      </c>
      <c r="G7874" s="623">
        <v>595</v>
      </c>
      <c r="H7874" s="623">
        <v>7961.6290635950591</v>
      </c>
      <c r="I7874" s="623">
        <v>67</v>
      </c>
      <c r="J7874" s="623">
        <v>177.39913999999999</v>
      </c>
      <c r="K7874" s="623">
        <v>595</v>
      </c>
      <c r="L7874" s="623">
        <v>7784.2299600000006</v>
      </c>
      <c r="M7874" s="623">
        <v>7784.2299600000006</v>
      </c>
      <c r="N7874" s="623">
        <v>1956.1499999999999</v>
      </c>
      <c r="O7874" s="624"/>
      <c r="P7874" s="623">
        <v>5828.0799600000009</v>
      </c>
    </row>
    <row r="7875" spans="1:56">
      <c r="A7875" s="1737"/>
      <c r="B7875" s="1737"/>
      <c r="C7875" s="625" t="s">
        <v>1202</v>
      </c>
      <c r="D7875" s="623">
        <v>276.44135999999997</v>
      </c>
      <c r="E7875" s="623"/>
      <c r="F7875" s="623">
        <v>276.44135999999997</v>
      </c>
      <c r="G7875" s="623">
        <v>0</v>
      </c>
      <c r="H7875" s="623">
        <v>224.67743999999999</v>
      </c>
      <c r="I7875" s="623">
        <v>0</v>
      </c>
      <c r="J7875" s="623">
        <v>0</v>
      </c>
      <c r="K7875" s="623">
        <v>0</v>
      </c>
      <c r="L7875" s="623">
        <v>222.47472499999998</v>
      </c>
      <c r="M7875" s="623">
        <v>222.47472499999998</v>
      </c>
      <c r="N7875" s="623">
        <v>0</v>
      </c>
      <c r="O7875" s="624"/>
      <c r="P7875" s="623">
        <v>222.47472499999998</v>
      </c>
    </row>
    <row r="7876" spans="1:56">
      <c r="A7876" s="1736">
        <v>26</v>
      </c>
      <c r="B7876" s="1736" t="s">
        <v>1963</v>
      </c>
      <c r="C7876" s="587" t="s">
        <v>1196</v>
      </c>
      <c r="D7876" s="621">
        <f>D7877+D7878+D7879</f>
        <v>668541.37566000002</v>
      </c>
      <c r="E7876" s="621">
        <f t="shared" ref="E7876:O7876" si="260">E7877+E7878+E7879</f>
        <v>77071.05</v>
      </c>
      <c r="F7876" s="621">
        <f t="shared" si="260"/>
        <v>591470.32565999997</v>
      </c>
      <c r="G7876" s="621">
        <f t="shared" si="260"/>
        <v>1891</v>
      </c>
      <c r="H7876" s="621">
        <f t="shared" si="260"/>
        <v>692618.38294189866</v>
      </c>
      <c r="I7876" s="621">
        <f t="shared" si="260"/>
        <v>184</v>
      </c>
      <c r="J7876" s="621">
        <f t="shared" si="260"/>
        <v>24828.789499999999</v>
      </c>
      <c r="K7876" s="621">
        <f t="shared" si="260"/>
        <v>1849</v>
      </c>
      <c r="L7876" s="621">
        <f t="shared" si="260"/>
        <v>668541.37566000002</v>
      </c>
      <c r="M7876" s="621">
        <f t="shared" si="260"/>
        <v>668541.37566000002</v>
      </c>
      <c r="N7876" s="621">
        <f t="shared" si="260"/>
        <v>77071.05</v>
      </c>
      <c r="O7876" s="621">
        <f t="shared" si="260"/>
        <v>0</v>
      </c>
      <c r="P7876" s="621">
        <f>AL7877+BD7878+P7879</f>
        <v>492493.81697500002</v>
      </c>
    </row>
    <row r="7877" spans="1:56">
      <c r="A7877" s="1738"/>
      <c r="B7877" s="1738"/>
      <c r="C7877" s="622" t="s">
        <v>1197</v>
      </c>
      <c r="D7877" s="623">
        <v>121235.75868499999</v>
      </c>
      <c r="E7877" s="623">
        <v>22259.25</v>
      </c>
      <c r="F7877" s="623">
        <v>98976.508684999993</v>
      </c>
      <c r="G7877" s="623">
        <v>763</v>
      </c>
      <c r="H7877" s="623">
        <v>128311.33574058798</v>
      </c>
      <c r="I7877" s="623">
        <v>121</v>
      </c>
      <c r="J7877" s="623">
        <v>5736.9606099999992</v>
      </c>
      <c r="K7877" s="623">
        <v>761</v>
      </c>
      <c r="L7877" s="623">
        <v>121235.75868499999</v>
      </c>
      <c r="M7877" s="623">
        <v>121235.75868499999</v>
      </c>
      <c r="N7877" s="623">
        <v>22259.25</v>
      </c>
      <c r="O7877" s="624"/>
    </row>
    <row r="7878" spans="1:56">
      <c r="A7878" s="1738"/>
      <c r="B7878" s="1738"/>
      <c r="C7878" s="622" t="s">
        <v>1198</v>
      </c>
      <c r="D7878" s="623">
        <v>480365.53455500002</v>
      </c>
      <c r="E7878" s="623">
        <v>39733.5</v>
      </c>
      <c r="F7878" s="623">
        <v>440632.03455500002</v>
      </c>
      <c r="G7878" s="623">
        <v>485</v>
      </c>
      <c r="H7878" s="623">
        <v>496146.77044901601</v>
      </c>
      <c r="I7878" s="623">
        <v>55</v>
      </c>
      <c r="J7878" s="623">
        <v>19033.44241</v>
      </c>
      <c r="K7878" s="623">
        <v>484</v>
      </c>
      <c r="L7878" s="623">
        <v>480365.53455500002</v>
      </c>
      <c r="M7878" s="623">
        <v>480365.53455500002</v>
      </c>
      <c r="N7878" s="623">
        <v>39733.5</v>
      </c>
      <c r="O7878" s="624"/>
      <c r="BD7878" s="623">
        <v>440632.03455500002</v>
      </c>
    </row>
    <row r="7879" spans="1:56">
      <c r="A7879" s="1737"/>
      <c r="B7879" s="1737"/>
      <c r="C7879" s="622" t="s">
        <v>1199</v>
      </c>
      <c r="D7879" s="623">
        <v>66940.082419999992</v>
      </c>
      <c r="E7879" s="623">
        <v>15078.3</v>
      </c>
      <c r="F7879" s="623">
        <v>51861.782419999989</v>
      </c>
      <c r="G7879" s="623">
        <v>643</v>
      </c>
      <c r="H7879" s="623">
        <v>68160.276752294667</v>
      </c>
      <c r="I7879" s="623">
        <v>8</v>
      </c>
      <c r="J7879" s="623">
        <v>58.386479999999999</v>
      </c>
      <c r="K7879" s="623">
        <v>604</v>
      </c>
      <c r="L7879" s="623">
        <v>66940.082419999992</v>
      </c>
      <c r="M7879" s="623">
        <v>66940.082419999992</v>
      </c>
      <c r="N7879" s="623">
        <v>15078.3</v>
      </c>
      <c r="O7879" s="624"/>
      <c r="P7879" s="623">
        <v>51861.782419999989</v>
      </c>
    </row>
    <row r="7880" spans="1:56">
      <c r="A7880" s="1736">
        <v>27</v>
      </c>
      <c r="B7880" s="1736" t="s">
        <v>1964</v>
      </c>
      <c r="C7880" s="587" t="s">
        <v>1196</v>
      </c>
      <c r="D7880" s="621">
        <f>D7881+D7882+D7883</f>
        <v>2082110.9317800002</v>
      </c>
      <c r="E7880" s="621">
        <f t="shared" ref="E7880:O7880" si="261">E7881+E7882+E7883</f>
        <v>482464.50000000006</v>
      </c>
      <c r="F7880" s="621">
        <f t="shared" si="261"/>
        <v>1599646.4317800002</v>
      </c>
      <c r="G7880" s="621">
        <f t="shared" si="261"/>
        <v>3231</v>
      </c>
      <c r="H7880" s="621">
        <f t="shared" si="261"/>
        <v>2108114.9511069325</v>
      </c>
      <c r="I7880" s="621">
        <f t="shared" si="261"/>
        <v>331</v>
      </c>
      <c r="J7880" s="621">
        <f t="shared" si="261"/>
        <v>101911.52387479959</v>
      </c>
      <c r="K7880" s="621">
        <f t="shared" si="261"/>
        <v>3246</v>
      </c>
      <c r="L7880" s="621">
        <f t="shared" si="261"/>
        <v>2082110.9317800002</v>
      </c>
      <c r="M7880" s="621">
        <f t="shared" si="261"/>
        <v>2082110.9317800002</v>
      </c>
      <c r="N7880" s="621">
        <f t="shared" si="261"/>
        <v>482464.50000000006</v>
      </c>
      <c r="O7880" s="621">
        <f t="shared" si="261"/>
        <v>0</v>
      </c>
      <c r="P7880" s="621">
        <f>BD7881+BD7882+P7883</f>
        <v>1304369.9992200001</v>
      </c>
    </row>
    <row r="7881" spans="1:56">
      <c r="A7881" s="1738"/>
      <c r="B7881" s="1738"/>
      <c r="C7881" s="622" t="s">
        <v>1197</v>
      </c>
      <c r="D7881" s="623">
        <v>370276.58256000001</v>
      </c>
      <c r="E7881" s="623">
        <v>75000.149999999994</v>
      </c>
      <c r="F7881" s="623">
        <v>295276.43255999999</v>
      </c>
      <c r="G7881" s="623">
        <v>1043</v>
      </c>
      <c r="H7881" s="623">
        <v>386195.59077051899</v>
      </c>
      <c r="I7881" s="623">
        <v>122</v>
      </c>
      <c r="J7881" s="623">
        <v>14765.530929999999</v>
      </c>
      <c r="K7881" s="623">
        <v>1047</v>
      </c>
      <c r="L7881" s="623">
        <v>370276.58256000001</v>
      </c>
      <c r="M7881" s="623">
        <v>370276.58256000001</v>
      </c>
      <c r="N7881" s="623">
        <v>75000.149999999994</v>
      </c>
      <c r="O7881" s="624"/>
    </row>
    <row r="7882" spans="1:56">
      <c r="A7882" s="1738"/>
      <c r="B7882" s="1738"/>
      <c r="C7882" s="622" t="s">
        <v>1198</v>
      </c>
      <c r="D7882" s="623">
        <v>1706591.9753400001</v>
      </c>
      <c r="E7882" s="623">
        <v>406159.53</v>
      </c>
      <c r="F7882" s="623">
        <v>1300432.4453400001</v>
      </c>
      <c r="G7882" s="623">
        <v>1993</v>
      </c>
      <c r="H7882" s="623">
        <v>1716732.648491614</v>
      </c>
      <c r="I7882" s="623">
        <v>173</v>
      </c>
      <c r="J7882" s="623">
        <v>87201.654980000007</v>
      </c>
      <c r="K7882" s="623">
        <v>2004</v>
      </c>
      <c r="L7882" s="623">
        <v>1706591.9753400001</v>
      </c>
      <c r="M7882" s="623">
        <v>1706591.9753400001</v>
      </c>
      <c r="N7882" s="623">
        <v>406159.53</v>
      </c>
      <c r="O7882" s="624"/>
      <c r="BD7882" s="623">
        <v>1300432.4453400001</v>
      </c>
    </row>
    <row r="7883" spans="1:56">
      <c r="A7883" s="1737"/>
      <c r="B7883" s="1737"/>
      <c r="C7883" s="622" t="s">
        <v>1199</v>
      </c>
      <c r="D7883" s="623">
        <v>5242.3738800000001</v>
      </c>
      <c r="E7883" s="623">
        <v>1304.82</v>
      </c>
      <c r="F7883" s="623">
        <v>3937.5538800000004</v>
      </c>
      <c r="G7883" s="623">
        <v>195</v>
      </c>
      <c r="H7883" s="623">
        <v>5186.7118447995845</v>
      </c>
      <c r="I7883" s="623">
        <v>36</v>
      </c>
      <c r="J7883" s="623">
        <v>-55.66203520041563</v>
      </c>
      <c r="K7883" s="623">
        <v>195</v>
      </c>
      <c r="L7883" s="623">
        <v>5242.3738800000001</v>
      </c>
      <c r="M7883" s="623">
        <v>5242.3738800000001</v>
      </c>
      <c r="N7883" s="623">
        <v>1304.82</v>
      </c>
      <c r="O7883" s="624"/>
      <c r="P7883" s="623">
        <v>3937.5538800000004</v>
      </c>
    </row>
    <row r="7884" spans="1:56">
      <c r="A7884" s="1736">
        <v>28</v>
      </c>
      <c r="B7884" s="1736" t="s">
        <v>1386</v>
      </c>
      <c r="C7884" s="587" t="s">
        <v>1196</v>
      </c>
      <c r="D7884" s="621">
        <f>D7885+D7886+D7887</f>
        <v>246328.77926999997</v>
      </c>
      <c r="E7884" s="621">
        <f t="shared" ref="E7884:O7884" si="262">E7885+E7886+E7887</f>
        <v>21516.6</v>
      </c>
      <c r="F7884" s="621">
        <f t="shared" si="262"/>
        <v>224812.17926999996</v>
      </c>
      <c r="G7884" s="621">
        <f t="shared" si="262"/>
        <v>963</v>
      </c>
      <c r="H7884" s="621">
        <f t="shared" si="262"/>
        <v>249388.91405530265</v>
      </c>
      <c r="I7884" s="621">
        <f t="shared" si="262"/>
        <v>30</v>
      </c>
      <c r="J7884" s="621">
        <f t="shared" si="262"/>
        <v>1878.8500600000002</v>
      </c>
      <c r="K7884" s="621">
        <f t="shared" si="262"/>
        <v>959</v>
      </c>
      <c r="L7884" s="621">
        <f t="shared" si="262"/>
        <v>246328.77926999997</v>
      </c>
      <c r="M7884" s="621">
        <f t="shared" si="262"/>
        <v>246328.77926999997</v>
      </c>
      <c r="N7884" s="621">
        <f t="shared" si="262"/>
        <v>21516.6</v>
      </c>
      <c r="O7884" s="621">
        <f t="shared" si="262"/>
        <v>0</v>
      </c>
      <c r="P7884" s="621">
        <f>AL7885+P7886+P7887</f>
        <v>219008.44526999997</v>
      </c>
    </row>
    <row r="7885" spans="1:56">
      <c r="A7885" s="1738"/>
      <c r="B7885" s="1738"/>
      <c r="C7885" s="622" t="s">
        <v>1197</v>
      </c>
      <c r="D7885" s="623">
        <v>7774.7040000000006</v>
      </c>
      <c r="E7885" s="623">
        <v>1970.9699999999998</v>
      </c>
      <c r="F7885" s="623">
        <v>5803.7340000000004</v>
      </c>
      <c r="G7885" s="623">
        <v>92</v>
      </c>
      <c r="H7885" s="623">
        <v>8363.410378636001</v>
      </c>
      <c r="I7885" s="623">
        <v>12</v>
      </c>
      <c r="J7885" s="623">
        <v>163.01931000000002</v>
      </c>
      <c r="K7885" s="623">
        <v>92</v>
      </c>
      <c r="L7885" s="623">
        <v>7774.7040000000006</v>
      </c>
      <c r="M7885" s="623">
        <v>7774.7040000000006</v>
      </c>
      <c r="N7885" s="623">
        <v>1970.9699999999998</v>
      </c>
      <c r="O7885" s="624"/>
    </row>
    <row r="7886" spans="1:56">
      <c r="A7886" s="1738"/>
      <c r="B7886" s="1738"/>
      <c r="C7886" s="622" t="s">
        <v>1198</v>
      </c>
      <c r="D7886" s="623">
        <v>0</v>
      </c>
      <c r="E7886" s="623">
        <v>0</v>
      </c>
      <c r="F7886" s="623">
        <v>0</v>
      </c>
      <c r="G7886" s="623">
        <v>0</v>
      </c>
      <c r="H7886" s="623">
        <v>0</v>
      </c>
      <c r="I7886" s="623">
        <v>0</v>
      </c>
      <c r="J7886" s="623">
        <v>0</v>
      </c>
      <c r="K7886" s="623">
        <v>0</v>
      </c>
      <c r="L7886" s="623">
        <v>0</v>
      </c>
      <c r="M7886" s="623">
        <v>0</v>
      </c>
      <c r="N7886" s="623">
        <v>0</v>
      </c>
      <c r="O7886" s="624"/>
      <c r="P7886" s="623">
        <v>0</v>
      </c>
    </row>
    <row r="7887" spans="1:56">
      <c r="A7887" s="1737"/>
      <c r="B7887" s="1737"/>
      <c r="C7887" s="622" t="s">
        <v>1199</v>
      </c>
      <c r="D7887" s="623">
        <v>238554.07526999997</v>
      </c>
      <c r="E7887" s="623">
        <v>19545.629999999997</v>
      </c>
      <c r="F7887" s="623">
        <v>219008.44526999997</v>
      </c>
      <c r="G7887" s="623">
        <v>871</v>
      </c>
      <c r="H7887" s="623">
        <v>241025.50367666665</v>
      </c>
      <c r="I7887" s="623">
        <v>18</v>
      </c>
      <c r="J7887" s="623">
        <v>1715.8307500000001</v>
      </c>
      <c r="K7887" s="623">
        <v>867</v>
      </c>
      <c r="L7887" s="623">
        <v>238554.07526999997</v>
      </c>
      <c r="M7887" s="623">
        <v>238554.07526999997</v>
      </c>
      <c r="N7887" s="623">
        <v>19545.629999999997</v>
      </c>
      <c r="O7887" s="624"/>
      <c r="P7887" s="623">
        <v>219008.44526999997</v>
      </c>
    </row>
    <row r="7888" spans="1:56">
      <c r="A7888" s="1736">
        <v>29</v>
      </c>
      <c r="B7888" s="1736" t="s">
        <v>1965</v>
      </c>
      <c r="C7888" s="587" t="s">
        <v>1196</v>
      </c>
      <c r="D7888" s="621">
        <f>D7889+D7890+D7891</f>
        <v>28627.44486</v>
      </c>
      <c r="E7888" s="621">
        <f t="shared" ref="E7888:O7888" si="263">E7889+E7890+E7891</f>
        <v>9793.5</v>
      </c>
      <c r="F7888" s="621">
        <f t="shared" si="263"/>
        <v>18833.94486</v>
      </c>
      <c r="G7888" s="621">
        <f t="shared" si="263"/>
        <v>731</v>
      </c>
      <c r="H7888" s="621">
        <f t="shared" si="263"/>
        <v>29451.316128375998</v>
      </c>
      <c r="I7888" s="621">
        <f t="shared" si="263"/>
        <v>50</v>
      </c>
      <c r="J7888" s="621">
        <f t="shared" si="263"/>
        <v>823.72898000000009</v>
      </c>
      <c r="K7888" s="621">
        <f t="shared" si="263"/>
        <v>730</v>
      </c>
      <c r="L7888" s="621">
        <f t="shared" si="263"/>
        <v>28627.44486</v>
      </c>
      <c r="M7888" s="621">
        <f t="shared" si="263"/>
        <v>28627.44486</v>
      </c>
      <c r="N7888" s="621">
        <f t="shared" si="263"/>
        <v>9793.5</v>
      </c>
      <c r="O7888" s="621">
        <f t="shared" si="263"/>
        <v>0</v>
      </c>
      <c r="P7888" s="621">
        <f>DB7889+P7890+P7891</f>
        <v>2462.9094599999999</v>
      </c>
    </row>
    <row r="7889" spans="1:38">
      <c r="A7889" s="1738"/>
      <c r="B7889" s="1738"/>
      <c r="C7889" s="622" t="s">
        <v>1197</v>
      </c>
      <c r="D7889" s="623">
        <v>24724.535400000001</v>
      </c>
      <c r="E7889" s="623">
        <v>8353.5</v>
      </c>
      <c r="F7889" s="623">
        <v>16371.035400000001</v>
      </c>
      <c r="G7889" s="623">
        <v>433</v>
      </c>
      <c r="H7889" s="623">
        <v>25480.163880145999</v>
      </c>
      <c r="I7889" s="623">
        <v>39</v>
      </c>
      <c r="J7889" s="623">
        <v>755.45181000000014</v>
      </c>
      <c r="K7889" s="623">
        <v>433</v>
      </c>
      <c r="L7889" s="623">
        <v>24724.535400000001</v>
      </c>
      <c r="M7889" s="623">
        <v>24724.535400000001</v>
      </c>
      <c r="N7889" s="623">
        <v>8353.5</v>
      </c>
      <c r="O7889" s="624"/>
    </row>
    <row r="7890" spans="1:38">
      <c r="A7890" s="1738"/>
      <c r="B7890" s="1738"/>
      <c r="C7890" s="622" t="s">
        <v>1198</v>
      </c>
      <c r="D7890" s="623">
        <v>0</v>
      </c>
      <c r="E7890" s="623">
        <v>0</v>
      </c>
      <c r="F7890" s="623">
        <v>0</v>
      </c>
      <c r="G7890" s="623">
        <v>0</v>
      </c>
      <c r="H7890" s="623">
        <v>0</v>
      </c>
      <c r="I7890" s="623">
        <v>0</v>
      </c>
      <c r="J7890" s="623">
        <v>0</v>
      </c>
      <c r="K7890" s="623">
        <v>0</v>
      </c>
      <c r="L7890" s="623">
        <v>0</v>
      </c>
      <c r="M7890" s="623">
        <v>0</v>
      </c>
      <c r="N7890" s="623">
        <v>0</v>
      </c>
      <c r="O7890" s="624"/>
      <c r="P7890" s="623">
        <v>0</v>
      </c>
    </row>
    <row r="7891" spans="1:38">
      <c r="A7891" s="1737"/>
      <c r="B7891" s="1737"/>
      <c r="C7891" s="622" t="s">
        <v>1199</v>
      </c>
      <c r="D7891" s="623">
        <v>3902.9094599999999</v>
      </c>
      <c r="E7891" s="623">
        <v>1440</v>
      </c>
      <c r="F7891" s="623">
        <v>2462.9094599999999</v>
      </c>
      <c r="G7891" s="623">
        <v>298</v>
      </c>
      <c r="H7891" s="623">
        <v>3971.1522482300002</v>
      </c>
      <c r="I7891" s="623">
        <v>11</v>
      </c>
      <c r="J7891" s="623">
        <v>68.277169999999998</v>
      </c>
      <c r="K7891" s="623">
        <v>297</v>
      </c>
      <c r="L7891" s="623">
        <v>3902.9094599999999</v>
      </c>
      <c r="M7891" s="623">
        <v>3902.9094599999999</v>
      </c>
      <c r="N7891" s="623">
        <v>1440</v>
      </c>
      <c r="O7891" s="624"/>
      <c r="P7891" s="623">
        <v>2462.9094599999999</v>
      </c>
    </row>
    <row r="7892" spans="1:38">
      <c r="A7892" s="1736">
        <v>30</v>
      </c>
      <c r="B7892" s="1736" t="s">
        <v>1966</v>
      </c>
      <c r="C7892" s="587" t="s">
        <v>1196</v>
      </c>
      <c r="D7892" s="621">
        <f>D7893+D7894+D7895</f>
        <v>1154702.4600499999</v>
      </c>
      <c r="E7892" s="621">
        <f t="shared" ref="E7892:O7892" si="264">E7893+E7894+E7895</f>
        <v>252933.30000000002</v>
      </c>
      <c r="F7892" s="621">
        <f t="shared" si="264"/>
        <v>901769.16005000006</v>
      </c>
      <c r="G7892" s="621">
        <f t="shared" si="264"/>
        <v>19636</v>
      </c>
      <c r="H7892" s="621">
        <f t="shared" si="264"/>
        <v>1299779.6067371625</v>
      </c>
      <c r="I7892" s="621">
        <f t="shared" si="264"/>
        <v>3764</v>
      </c>
      <c r="J7892" s="621">
        <f t="shared" si="264"/>
        <v>136874.04457</v>
      </c>
      <c r="K7892" s="621">
        <f t="shared" si="264"/>
        <v>19395</v>
      </c>
      <c r="L7892" s="621">
        <f t="shared" si="264"/>
        <v>1154702.4600499999</v>
      </c>
      <c r="M7892" s="621">
        <f t="shared" si="264"/>
        <v>1154702.4600499999</v>
      </c>
      <c r="N7892" s="621">
        <f t="shared" si="264"/>
        <v>252933.30000000002</v>
      </c>
      <c r="O7892" s="621">
        <f t="shared" si="264"/>
        <v>0</v>
      </c>
      <c r="P7892" s="621">
        <f>AL7893+AL7894+P7895</f>
        <v>212520.06568</v>
      </c>
    </row>
    <row r="7893" spans="1:38">
      <c r="A7893" s="1738"/>
      <c r="B7893" s="1738"/>
      <c r="C7893" s="622" t="s">
        <v>1197</v>
      </c>
      <c r="D7893" s="623">
        <v>915819.71437000006</v>
      </c>
      <c r="E7893" s="623">
        <v>226570.62</v>
      </c>
      <c r="F7893" s="623">
        <v>689249.09437000006</v>
      </c>
      <c r="G7893" s="623">
        <v>18342</v>
      </c>
      <c r="H7893" s="623">
        <v>1044486.9215561545</v>
      </c>
      <c r="I7893" s="623">
        <v>3643</v>
      </c>
      <c r="J7893" s="623">
        <v>120215.59010999999</v>
      </c>
      <c r="K7893" s="623">
        <v>18103</v>
      </c>
      <c r="L7893" s="623">
        <v>915819.71437000006</v>
      </c>
      <c r="M7893" s="623">
        <v>915819.71437000006</v>
      </c>
      <c r="N7893" s="623">
        <v>226570.62</v>
      </c>
      <c r="O7893" s="624"/>
    </row>
    <row r="7894" spans="1:38">
      <c r="A7894" s="1738"/>
      <c r="B7894" s="1738"/>
      <c r="C7894" s="622" t="s">
        <v>1198</v>
      </c>
      <c r="D7894" s="623">
        <v>170233.91000999999</v>
      </c>
      <c r="E7894" s="623">
        <v>12616.17</v>
      </c>
      <c r="F7894" s="623">
        <v>157617.74000999998</v>
      </c>
      <c r="G7894" s="623">
        <v>468</v>
      </c>
      <c r="H7894" s="623">
        <v>184948.62171763519</v>
      </c>
      <c r="I7894" s="623">
        <v>107</v>
      </c>
      <c r="J7894" s="623">
        <v>16425.183410000001</v>
      </c>
      <c r="K7894" s="623">
        <v>468</v>
      </c>
      <c r="L7894" s="623">
        <v>170233.91000999999</v>
      </c>
      <c r="M7894" s="623">
        <v>170233.91000999999</v>
      </c>
      <c r="N7894" s="623">
        <v>12616.17</v>
      </c>
      <c r="O7894" s="624"/>
      <c r="AL7894" s="623">
        <v>157617.74000999998</v>
      </c>
    </row>
    <row r="7895" spans="1:38">
      <c r="A7895" s="1737"/>
      <c r="B7895" s="1737"/>
      <c r="C7895" s="622" t="s">
        <v>1199</v>
      </c>
      <c r="D7895" s="623">
        <v>68648.83567</v>
      </c>
      <c r="E7895" s="623">
        <v>13746.509999999998</v>
      </c>
      <c r="F7895" s="623">
        <v>54902.325670000006</v>
      </c>
      <c r="G7895" s="623">
        <v>826</v>
      </c>
      <c r="H7895" s="623">
        <v>70344.063463372659</v>
      </c>
      <c r="I7895" s="623">
        <v>14</v>
      </c>
      <c r="J7895" s="623">
        <v>233.27105</v>
      </c>
      <c r="K7895" s="623">
        <v>824</v>
      </c>
      <c r="L7895" s="623">
        <v>68648.83567</v>
      </c>
      <c r="M7895" s="623">
        <v>68648.83567</v>
      </c>
      <c r="N7895" s="623">
        <v>13746.509999999998</v>
      </c>
      <c r="O7895" s="624"/>
      <c r="P7895" s="623">
        <v>54902.325670000006</v>
      </c>
    </row>
    <row r="7896" spans="1:38">
      <c r="A7896" s="1736">
        <v>31</v>
      </c>
      <c r="B7896" s="1739" t="s">
        <v>1967</v>
      </c>
      <c r="C7896" s="587" t="s">
        <v>1196</v>
      </c>
      <c r="D7896" s="621">
        <f>D7897</f>
        <v>1257132.9798999999</v>
      </c>
      <c r="E7896" s="621">
        <f t="shared" ref="E7896:O7896" si="265">E7897</f>
        <v>392141.1</v>
      </c>
      <c r="F7896" s="621">
        <f t="shared" si="265"/>
        <v>864991.87989999994</v>
      </c>
      <c r="G7896" s="621">
        <f t="shared" si="265"/>
        <v>1276</v>
      </c>
      <c r="H7896" s="621">
        <f t="shared" si="265"/>
        <v>1275455.34173</v>
      </c>
      <c r="I7896" s="621">
        <f t="shared" si="265"/>
        <v>106</v>
      </c>
      <c r="J7896" s="621">
        <f t="shared" si="265"/>
        <v>20657.2323</v>
      </c>
      <c r="K7896" s="621">
        <f t="shared" si="265"/>
        <v>1266</v>
      </c>
      <c r="L7896" s="621">
        <f t="shared" si="265"/>
        <v>1257132.9798999999</v>
      </c>
      <c r="M7896" s="621">
        <f t="shared" si="265"/>
        <v>1257132.9798999999</v>
      </c>
      <c r="N7896" s="621">
        <f t="shared" si="265"/>
        <v>392141.1</v>
      </c>
      <c r="O7896" s="621">
        <f t="shared" si="265"/>
        <v>0</v>
      </c>
      <c r="P7896" s="621">
        <f>BD7897</f>
        <v>0</v>
      </c>
    </row>
    <row r="7897" spans="1:38">
      <c r="A7897" s="1737"/>
      <c r="B7897" s="1740"/>
      <c r="C7897" s="622" t="s">
        <v>1197</v>
      </c>
      <c r="D7897" s="623">
        <v>1257132.9798999999</v>
      </c>
      <c r="E7897" s="623">
        <v>392141.1</v>
      </c>
      <c r="F7897" s="623">
        <v>864991.87989999994</v>
      </c>
      <c r="G7897" s="623">
        <v>1276</v>
      </c>
      <c r="H7897" s="623">
        <v>1275455.34173</v>
      </c>
      <c r="I7897" s="623">
        <v>106</v>
      </c>
      <c r="J7897" s="623">
        <v>20657.2323</v>
      </c>
      <c r="K7897" s="623">
        <v>1266</v>
      </c>
      <c r="L7897" s="623">
        <v>1257132.9798999999</v>
      </c>
      <c r="M7897" s="623">
        <v>1257132.9798999999</v>
      </c>
      <c r="N7897" s="623">
        <v>392141.1</v>
      </c>
      <c r="O7897" s="624"/>
    </row>
    <row r="7898" spans="1:38">
      <c r="A7898" s="1736">
        <v>32</v>
      </c>
      <c r="B7898" s="1736" t="s">
        <v>1968</v>
      </c>
      <c r="C7898" s="587" t="s">
        <v>1196</v>
      </c>
      <c r="D7898" s="621">
        <f>D7899</f>
        <v>445949.28599999996</v>
      </c>
      <c r="E7898" s="621">
        <f t="shared" ref="E7898:O7898" si="266">E7899</f>
        <v>127792.79999999999</v>
      </c>
      <c r="F7898" s="621">
        <f t="shared" si="266"/>
        <v>318156.48599999998</v>
      </c>
      <c r="G7898" s="621">
        <f t="shared" si="266"/>
        <v>2551</v>
      </c>
      <c r="H7898" s="621">
        <f t="shared" si="266"/>
        <v>457140.22399999999</v>
      </c>
      <c r="I7898" s="621">
        <f t="shared" si="266"/>
        <v>95</v>
      </c>
      <c r="J7898" s="621">
        <f t="shared" si="266"/>
        <v>5805.4007499999998</v>
      </c>
      <c r="K7898" s="621">
        <f t="shared" si="266"/>
        <v>2547</v>
      </c>
      <c r="L7898" s="621">
        <f t="shared" si="266"/>
        <v>445949.28599999996</v>
      </c>
      <c r="M7898" s="621">
        <f t="shared" si="266"/>
        <v>445949.28599999996</v>
      </c>
      <c r="N7898" s="621">
        <f t="shared" si="266"/>
        <v>127792.79999999999</v>
      </c>
      <c r="O7898" s="621">
        <f t="shared" si="266"/>
        <v>0</v>
      </c>
      <c r="P7898" s="621">
        <f>AO7897</f>
        <v>0</v>
      </c>
    </row>
    <row r="7899" spans="1:38">
      <c r="A7899" s="1737"/>
      <c r="B7899" s="1737"/>
      <c r="C7899" s="622" t="s">
        <v>1197</v>
      </c>
      <c r="D7899" s="623">
        <v>445949.28599999996</v>
      </c>
      <c r="E7899" s="623">
        <v>127792.79999999999</v>
      </c>
      <c r="F7899" s="623">
        <v>318156.48599999998</v>
      </c>
      <c r="G7899" s="623">
        <v>2551</v>
      </c>
      <c r="H7899" s="623">
        <v>457140.22399999999</v>
      </c>
      <c r="I7899" s="623">
        <v>95</v>
      </c>
      <c r="J7899" s="623">
        <v>5805.4007499999998</v>
      </c>
      <c r="K7899" s="623">
        <v>2547</v>
      </c>
      <c r="L7899" s="623">
        <v>445949.28599999996</v>
      </c>
      <c r="M7899" s="623">
        <v>445949.28599999996</v>
      </c>
      <c r="N7899" s="623">
        <v>127792.79999999999</v>
      </c>
      <c r="O7899" s="624"/>
    </row>
    <row r="7900" spans="1:38">
      <c r="A7900" s="1736">
        <v>33</v>
      </c>
      <c r="B7900" s="1736" t="s">
        <v>1969</v>
      </c>
      <c r="C7900" s="587" t="s">
        <v>1196</v>
      </c>
      <c r="D7900" s="621">
        <f>D7901</f>
        <v>139191.59</v>
      </c>
      <c r="E7900" s="621">
        <f t="shared" ref="E7900:P7900" si="267">E7901</f>
        <v>42714.6</v>
      </c>
      <c r="F7900" s="621">
        <f t="shared" si="267"/>
        <v>96476.989999999991</v>
      </c>
      <c r="G7900" s="621">
        <f t="shared" si="267"/>
        <v>1512</v>
      </c>
      <c r="H7900" s="621">
        <f t="shared" si="267"/>
        <v>141260.13199999998</v>
      </c>
      <c r="I7900" s="621">
        <f t="shared" si="267"/>
        <v>51</v>
      </c>
      <c r="J7900" s="621">
        <f t="shared" si="267"/>
        <v>1521.5249999999999</v>
      </c>
      <c r="K7900" s="621">
        <f t="shared" si="267"/>
        <v>1510</v>
      </c>
      <c r="L7900" s="621">
        <f t="shared" si="267"/>
        <v>139191.59</v>
      </c>
      <c r="M7900" s="621">
        <f t="shared" si="267"/>
        <v>139191.59</v>
      </c>
      <c r="N7900" s="621">
        <f t="shared" si="267"/>
        <v>42714.6</v>
      </c>
      <c r="O7900" s="621">
        <f t="shared" si="267"/>
        <v>0</v>
      </c>
      <c r="P7900" s="621">
        <f t="shared" si="267"/>
        <v>96476.989999999991</v>
      </c>
    </row>
    <row r="7901" spans="1:38">
      <c r="A7901" s="1737"/>
      <c r="B7901" s="1737"/>
      <c r="C7901" s="622" t="s">
        <v>1197</v>
      </c>
      <c r="D7901" s="623">
        <v>139191.59</v>
      </c>
      <c r="E7901" s="623">
        <v>42714.6</v>
      </c>
      <c r="F7901" s="623">
        <v>96476.989999999991</v>
      </c>
      <c r="G7901" s="623">
        <v>1512</v>
      </c>
      <c r="H7901" s="623">
        <v>141260.13199999998</v>
      </c>
      <c r="I7901" s="623">
        <v>51</v>
      </c>
      <c r="J7901" s="623">
        <v>1521.5249999999999</v>
      </c>
      <c r="K7901" s="623">
        <v>1510</v>
      </c>
      <c r="L7901" s="623">
        <v>139191.59</v>
      </c>
      <c r="M7901" s="623">
        <v>139191.59</v>
      </c>
      <c r="N7901" s="623">
        <v>42714.6</v>
      </c>
      <c r="O7901" s="624"/>
      <c r="P7901" s="623">
        <v>96476.989999999991</v>
      </c>
    </row>
    <row r="7902" spans="1:38">
      <c r="A7902" s="1736">
        <v>34</v>
      </c>
      <c r="B7902" s="1739" t="s">
        <v>1970</v>
      </c>
      <c r="C7902" s="587" t="s">
        <v>1196</v>
      </c>
      <c r="D7902" s="621">
        <f>D7903</f>
        <v>204909.35041000001</v>
      </c>
      <c r="E7902" s="621">
        <f t="shared" ref="E7902:O7902" si="268">E7903</f>
        <v>61114.5</v>
      </c>
      <c r="F7902" s="621">
        <f t="shared" si="268"/>
        <v>143794.85041000001</v>
      </c>
      <c r="G7902" s="621">
        <f t="shared" si="268"/>
        <v>858</v>
      </c>
      <c r="H7902" s="621">
        <f t="shared" si="268"/>
        <v>205281.89812</v>
      </c>
      <c r="I7902" s="621">
        <f t="shared" si="268"/>
        <v>6</v>
      </c>
      <c r="J7902" s="621">
        <f t="shared" si="268"/>
        <v>232.27787000000001</v>
      </c>
      <c r="K7902" s="621">
        <f t="shared" si="268"/>
        <v>858</v>
      </c>
      <c r="L7902" s="621">
        <f t="shared" si="268"/>
        <v>204909.35041000001</v>
      </c>
      <c r="M7902" s="621">
        <f t="shared" si="268"/>
        <v>204909.35041000001</v>
      </c>
      <c r="N7902" s="621">
        <f t="shared" si="268"/>
        <v>61114.5</v>
      </c>
      <c r="O7902" s="621">
        <f t="shared" si="268"/>
        <v>0</v>
      </c>
      <c r="P7902" s="621">
        <f>AN7903</f>
        <v>0</v>
      </c>
    </row>
    <row r="7903" spans="1:38">
      <c r="A7903" s="1737"/>
      <c r="B7903" s="1740"/>
      <c r="C7903" s="622" t="s">
        <v>1197</v>
      </c>
      <c r="D7903" s="623">
        <v>204909.35041000001</v>
      </c>
      <c r="E7903" s="623">
        <v>61114.5</v>
      </c>
      <c r="F7903" s="623">
        <v>143794.85041000001</v>
      </c>
      <c r="G7903" s="623">
        <v>858</v>
      </c>
      <c r="H7903" s="623">
        <v>205281.89812</v>
      </c>
      <c r="I7903" s="623">
        <v>6</v>
      </c>
      <c r="J7903" s="623">
        <v>232.27787000000001</v>
      </c>
      <c r="K7903" s="623">
        <v>858</v>
      </c>
      <c r="L7903" s="623">
        <v>204909.35041000001</v>
      </c>
      <c r="M7903" s="623">
        <v>204909.35041000001</v>
      </c>
      <c r="N7903" s="623">
        <v>61114.5</v>
      </c>
      <c r="O7903" s="624"/>
    </row>
    <row r="7904" spans="1:38">
      <c r="A7904" s="1736">
        <v>35</v>
      </c>
      <c r="B7904" s="1736" t="s">
        <v>1971</v>
      </c>
      <c r="C7904" s="587" t="s">
        <v>1196</v>
      </c>
      <c r="D7904" s="621">
        <f>D7905+D7906</f>
        <v>563485.06462000008</v>
      </c>
      <c r="E7904" s="621">
        <f t="shared" ref="E7904:O7904" si="269">E7905+E7906</f>
        <v>150903.29999999999</v>
      </c>
      <c r="F7904" s="621">
        <f t="shared" si="269"/>
        <v>412581.76462000003</v>
      </c>
      <c r="G7904" s="621">
        <f t="shared" si="269"/>
        <v>3291</v>
      </c>
      <c r="H7904" s="621">
        <f t="shared" si="269"/>
        <v>590702.07571298303</v>
      </c>
      <c r="I7904" s="621">
        <f t="shared" si="269"/>
        <v>603</v>
      </c>
      <c r="J7904" s="621">
        <f t="shared" si="269"/>
        <v>36291.505519999999</v>
      </c>
      <c r="K7904" s="621">
        <f t="shared" si="269"/>
        <v>3299</v>
      </c>
      <c r="L7904" s="621">
        <f t="shared" si="269"/>
        <v>563485.06462000008</v>
      </c>
      <c r="M7904" s="621">
        <f t="shared" si="269"/>
        <v>563485.06462000008</v>
      </c>
      <c r="N7904" s="621">
        <f t="shared" si="269"/>
        <v>150903.29999999999</v>
      </c>
      <c r="O7904" s="621">
        <f t="shared" si="269"/>
        <v>0</v>
      </c>
      <c r="P7904" s="621">
        <f>BD7905+BD7906</f>
        <v>124990.74816</v>
      </c>
    </row>
    <row r="7905" spans="1:56">
      <c r="A7905" s="1738"/>
      <c r="B7905" s="1738"/>
      <c r="C7905" s="622" t="s">
        <v>1197</v>
      </c>
      <c r="D7905" s="623">
        <v>400483.95646000002</v>
      </c>
      <c r="E7905" s="623">
        <v>112892.93999999999</v>
      </c>
      <c r="F7905" s="623">
        <v>287591.01646000001</v>
      </c>
      <c r="G7905" s="623">
        <v>3086</v>
      </c>
      <c r="H7905" s="623">
        <v>419770.91210298304</v>
      </c>
      <c r="I7905" s="623">
        <v>565</v>
      </c>
      <c r="J7905" s="623">
        <v>27941.537220000002</v>
      </c>
      <c r="K7905" s="623">
        <v>3093</v>
      </c>
      <c r="L7905" s="623">
        <v>400483.95646000002</v>
      </c>
      <c r="M7905" s="623">
        <v>400483.95646000002</v>
      </c>
      <c r="N7905" s="623">
        <v>112892.93999999999</v>
      </c>
      <c r="O7905" s="624"/>
    </row>
    <row r="7906" spans="1:56">
      <c r="A7906" s="1737"/>
      <c r="B7906" s="1737"/>
      <c r="C7906" s="622" t="s">
        <v>1198</v>
      </c>
      <c r="D7906" s="623">
        <v>163001.10816</v>
      </c>
      <c r="E7906" s="623">
        <v>38010.36</v>
      </c>
      <c r="F7906" s="623">
        <v>124990.74816</v>
      </c>
      <c r="G7906" s="623">
        <v>205</v>
      </c>
      <c r="H7906" s="623">
        <v>170931.16360999999</v>
      </c>
      <c r="I7906" s="623">
        <v>38</v>
      </c>
      <c r="J7906" s="623">
        <v>8349.9682999999986</v>
      </c>
      <c r="K7906" s="623">
        <v>206</v>
      </c>
      <c r="L7906" s="623">
        <v>163001.10816</v>
      </c>
      <c r="M7906" s="623">
        <v>163001.10816</v>
      </c>
      <c r="N7906" s="623">
        <v>38010.36</v>
      </c>
      <c r="O7906" s="624"/>
      <c r="BD7906" s="623">
        <v>124990.74816</v>
      </c>
    </row>
    <row r="7907" spans="1:56">
      <c r="A7907" s="1736">
        <v>36</v>
      </c>
      <c r="B7907" s="1736" t="s">
        <v>1972</v>
      </c>
      <c r="C7907" s="587" t="s">
        <v>1196</v>
      </c>
      <c r="D7907" s="621">
        <f>D7908+D7909+D7910</f>
        <v>1552710.4014699999</v>
      </c>
      <c r="E7907" s="621">
        <f t="shared" ref="E7907:O7907" si="270">E7908+E7909+E7910</f>
        <v>442904.64</v>
      </c>
      <c r="F7907" s="621">
        <f t="shared" si="270"/>
        <v>1109805.76147</v>
      </c>
      <c r="G7907" s="621">
        <f t="shared" si="270"/>
        <v>4685</v>
      </c>
      <c r="H7907" s="621">
        <f t="shared" si="270"/>
        <v>1596049.7832695411</v>
      </c>
      <c r="I7907" s="621">
        <f t="shared" si="270"/>
        <v>453</v>
      </c>
      <c r="J7907" s="621">
        <f t="shared" si="270"/>
        <v>90884.50894</v>
      </c>
      <c r="K7907" s="621">
        <f t="shared" si="270"/>
        <v>4636</v>
      </c>
      <c r="L7907" s="621">
        <f t="shared" si="270"/>
        <v>1552710.4014699999</v>
      </c>
      <c r="M7907" s="621">
        <f t="shared" si="270"/>
        <v>1552710.4014699999</v>
      </c>
      <c r="N7907" s="621">
        <f t="shared" si="270"/>
        <v>442904.64</v>
      </c>
      <c r="O7907" s="621">
        <f t="shared" si="270"/>
        <v>0</v>
      </c>
      <c r="P7907" s="621">
        <f>BD7908+BD7909+P7910</f>
        <v>853175.05196000007</v>
      </c>
    </row>
    <row r="7908" spans="1:56">
      <c r="A7908" s="1738"/>
      <c r="B7908" s="1738"/>
      <c r="C7908" s="622" t="s">
        <v>1197</v>
      </c>
      <c r="D7908" s="623">
        <v>606162.74950999999</v>
      </c>
      <c r="E7908" s="623">
        <v>349532.04</v>
      </c>
      <c r="F7908" s="623">
        <v>256630.70951000002</v>
      </c>
      <c r="G7908" s="623">
        <v>3297</v>
      </c>
      <c r="H7908" s="623">
        <v>632356.62724205502</v>
      </c>
      <c r="I7908" s="623">
        <v>326</v>
      </c>
      <c r="J7908" s="623">
        <v>30532.154599999998</v>
      </c>
      <c r="K7908" s="623">
        <v>3297</v>
      </c>
      <c r="L7908" s="623">
        <v>606162.74950999999</v>
      </c>
      <c r="M7908" s="623">
        <v>606162.74950999999</v>
      </c>
      <c r="N7908" s="623">
        <v>349532.04</v>
      </c>
      <c r="O7908" s="624"/>
    </row>
    <row r="7909" spans="1:56">
      <c r="A7909" s="1738"/>
      <c r="B7909" s="1738"/>
      <c r="C7909" s="622" t="s">
        <v>1198</v>
      </c>
      <c r="D7909" s="623">
        <v>900990.29107000004</v>
      </c>
      <c r="E7909" s="623">
        <v>92652.6</v>
      </c>
      <c r="F7909" s="623">
        <v>808337.69107000006</v>
      </c>
      <c r="G7909" s="623">
        <v>847</v>
      </c>
      <c r="H7909" s="623">
        <v>913726.83519748598</v>
      </c>
      <c r="I7909" s="623">
        <v>97</v>
      </c>
      <c r="J7909" s="623">
        <v>55943.603920000001</v>
      </c>
      <c r="K7909" s="623">
        <v>798</v>
      </c>
      <c r="L7909" s="623">
        <v>900990.29107000004</v>
      </c>
      <c r="M7909" s="623">
        <v>900990.29107000004</v>
      </c>
      <c r="N7909" s="623">
        <v>92652.6</v>
      </c>
      <c r="O7909" s="624"/>
      <c r="BD7909" s="623">
        <v>808337.69107000006</v>
      </c>
    </row>
    <row r="7910" spans="1:56">
      <c r="A7910" s="1737"/>
      <c r="B7910" s="1737"/>
      <c r="C7910" s="622" t="s">
        <v>1199</v>
      </c>
      <c r="D7910" s="623">
        <v>45557.360890000004</v>
      </c>
      <c r="E7910" s="623">
        <v>720</v>
      </c>
      <c r="F7910" s="623">
        <v>44837.360890000004</v>
      </c>
      <c r="G7910" s="623">
        <v>541</v>
      </c>
      <c r="H7910" s="623">
        <v>49966.320829999997</v>
      </c>
      <c r="I7910" s="623">
        <v>30</v>
      </c>
      <c r="J7910" s="623">
        <v>4408.7504199999994</v>
      </c>
      <c r="K7910" s="623">
        <v>541</v>
      </c>
      <c r="L7910" s="623">
        <v>45557.360890000004</v>
      </c>
      <c r="M7910" s="623">
        <v>45557.360890000004</v>
      </c>
      <c r="N7910" s="623">
        <v>720</v>
      </c>
      <c r="O7910" s="624"/>
      <c r="P7910" s="623">
        <v>44837.360890000004</v>
      </c>
    </row>
    <row r="7911" spans="1:56">
      <c r="A7911" s="1736">
        <v>37</v>
      </c>
      <c r="B7911" s="1736" t="s">
        <v>1973</v>
      </c>
      <c r="C7911" s="587" t="s">
        <v>1196</v>
      </c>
      <c r="D7911" s="621">
        <f>D7912</f>
        <v>127760.19892000001</v>
      </c>
      <c r="E7911" s="621">
        <f t="shared" ref="E7911:O7911" si="271">E7912</f>
        <v>13269.3</v>
      </c>
      <c r="F7911" s="621">
        <f t="shared" si="271"/>
        <v>114490.89892000001</v>
      </c>
      <c r="G7911" s="621">
        <f t="shared" si="271"/>
        <v>160</v>
      </c>
      <c r="H7911" s="621">
        <f t="shared" si="271"/>
        <v>127760.22744</v>
      </c>
      <c r="I7911" s="621">
        <f t="shared" si="271"/>
        <v>0</v>
      </c>
      <c r="J7911" s="621">
        <f t="shared" si="271"/>
        <v>0</v>
      </c>
      <c r="K7911" s="621">
        <f t="shared" si="271"/>
        <v>160</v>
      </c>
      <c r="L7911" s="621">
        <f t="shared" si="271"/>
        <v>127760.19892000001</v>
      </c>
      <c r="M7911" s="621">
        <f t="shared" si="271"/>
        <v>127760.19892000001</v>
      </c>
      <c r="N7911" s="621">
        <f t="shared" si="271"/>
        <v>13269.3</v>
      </c>
      <c r="O7911" s="621">
        <f t="shared" si="271"/>
        <v>0</v>
      </c>
      <c r="P7911" s="621">
        <f>AL7912</f>
        <v>114490.89892000001</v>
      </c>
    </row>
    <row r="7912" spans="1:56">
      <c r="A7912" s="1737"/>
      <c r="B7912" s="1737"/>
      <c r="C7912" s="622" t="s">
        <v>1198</v>
      </c>
      <c r="D7912" s="623">
        <v>127760.19892000001</v>
      </c>
      <c r="E7912" s="623">
        <v>13269.3</v>
      </c>
      <c r="F7912" s="623">
        <v>114490.89892000001</v>
      </c>
      <c r="G7912" s="623">
        <v>160</v>
      </c>
      <c r="H7912" s="623">
        <v>127760.22744</v>
      </c>
      <c r="I7912" s="623">
        <v>0</v>
      </c>
      <c r="J7912" s="623">
        <v>0</v>
      </c>
      <c r="K7912" s="623">
        <v>160</v>
      </c>
      <c r="L7912" s="623">
        <v>127760.19892000001</v>
      </c>
      <c r="M7912" s="623">
        <v>127760.19892000001</v>
      </c>
      <c r="N7912" s="623">
        <v>13269.3</v>
      </c>
      <c r="O7912" s="624"/>
      <c r="AL7912" s="623">
        <v>114490.89892000001</v>
      </c>
    </row>
    <row r="7913" spans="1:56">
      <c r="A7913" s="1736">
        <v>38</v>
      </c>
      <c r="B7913" s="1736" t="s">
        <v>1974</v>
      </c>
      <c r="C7913" s="587" t="s">
        <v>1196</v>
      </c>
      <c r="D7913" s="621">
        <f>D7914+D7915+D7916</f>
        <v>579680.90594000008</v>
      </c>
      <c r="E7913" s="621">
        <f t="shared" ref="E7913:O7913" si="272">E7914+E7915+E7916</f>
        <v>182645.10000000003</v>
      </c>
      <c r="F7913" s="621">
        <f t="shared" si="272"/>
        <v>397035.80594000005</v>
      </c>
      <c r="G7913" s="621">
        <f t="shared" si="272"/>
        <v>6501</v>
      </c>
      <c r="H7913" s="621">
        <f t="shared" si="272"/>
        <v>611996.75842270919</v>
      </c>
      <c r="I7913" s="621">
        <f t="shared" si="272"/>
        <v>1245</v>
      </c>
      <c r="J7913" s="621">
        <f t="shared" si="272"/>
        <v>48106.895505492997</v>
      </c>
      <c r="K7913" s="621">
        <f t="shared" si="272"/>
        <v>6374</v>
      </c>
      <c r="L7913" s="621">
        <f t="shared" si="272"/>
        <v>579680.90594000008</v>
      </c>
      <c r="M7913" s="621">
        <f t="shared" si="272"/>
        <v>579680.90594000008</v>
      </c>
      <c r="N7913" s="621">
        <f t="shared" si="272"/>
        <v>182645.10000000003</v>
      </c>
      <c r="O7913" s="621">
        <f t="shared" si="272"/>
        <v>0</v>
      </c>
      <c r="P7913" s="621">
        <f>BD7914+AL7915+P7916</f>
        <v>124323.54029</v>
      </c>
    </row>
    <row r="7914" spans="1:56">
      <c r="A7914" s="1738"/>
      <c r="B7914" s="1738"/>
      <c r="C7914" s="622" t="s">
        <v>1197</v>
      </c>
      <c r="D7914" s="623">
        <v>372291.56565</v>
      </c>
      <c r="E7914" s="623">
        <v>99579.3</v>
      </c>
      <c r="F7914" s="623">
        <v>272712.26565000002</v>
      </c>
      <c r="G7914" s="623">
        <v>6186</v>
      </c>
      <c r="H7914" s="623">
        <v>398525.74147850077</v>
      </c>
      <c r="I7914" s="623">
        <v>1218</v>
      </c>
      <c r="J7914" s="623">
        <v>35941.552319999995</v>
      </c>
      <c r="K7914" s="623">
        <v>6061</v>
      </c>
      <c r="L7914" s="623">
        <v>372291.56565</v>
      </c>
      <c r="M7914" s="623">
        <v>372291.56565</v>
      </c>
      <c r="N7914" s="623">
        <v>99579.3</v>
      </c>
      <c r="O7914" s="624"/>
    </row>
    <row r="7915" spans="1:56">
      <c r="A7915" s="1738"/>
      <c r="B7915" s="1738"/>
      <c r="C7915" s="622" t="s">
        <v>1198</v>
      </c>
      <c r="D7915" s="623">
        <v>205648.65465000001</v>
      </c>
      <c r="E7915" s="623">
        <v>82751.91</v>
      </c>
      <c r="F7915" s="623">
        <v>122896.74465000001</v>
      </c>
      <c r="G7915" s="623">
        <v>181</v>
      </c>
      <c r="H7915" s="623">
        <v>211706.21997871538</v>
      </c>
      <c r="I7915" s="623">
        <v>21</v>
      </c>
      <c r="J7915" s="623">
        <v>12141.23186</v>
      </c>
      <c r="K7915" s="623">
        <v>179</v>
      </c>
      <c r="L7915" s="623">
        <v>205648.65465000001</v>
      </c>
      <c r="M7915" s="623">
        <v>205648.65465000001</v>
      </c>
      <c r="N7915" s="623">
        <v>82751.91</v>
      </c>
      <c r="O7915" s="624"/>
      <c r="AL7915" s="623">
        <v>122896.74465000001</v>
      </c>
    </row>
    <row r="7916" spans="1:56">
      <c r="A7916" s="1737"/>
      <c r="B7916" s="1737"/>
      <c r="C7916" s="622" t="s">
        <v>1199</v>
      </c>
      <c r="D7916" s="623">
        <v>1740.6856399999999</v>
      </c>
      <c r="E7916" s="623">
        <v>313.89</v>
      </c>
      <c r="F7916" s="623">
        <v>1426.7956399999998</v>
      </c>
      <c r="G7916" s="623">
        <v>134</v>
      </c>
      <c r="H7916" s="623">
        <v>1764.7969654930002</v>
      </c>
      <c r="I7916" s="623">
        <v>6</v>
      </c>
      <c r="J7916" s="623">
        <v>24.111325493000322</v>
      </c>
      <c r="K7916" s="623">
        <v>134</v>
      </c>
      <c r="L7916" s="623">
        <v>1740.6856399999999</v>
      </c>
      <c r="M7916" s="623">
        <v>1740.6856399999999</v>
      </c>
      <c r="N7916" s="623">
        <v>313.89</v>
      </c>
      <c r="O7916" s="624"/>
      <c r="P7916" s="623">
        <v>1426.7956399999998</v>
      </c>
    </row>
    <row r="7917" spans="1:56">
      <c r="A7917" s="1736">
        <v>39</v>
      </c>
      <c r="B7917" s="1736" t="s">
        <v>1975</v>
      </c>
      <c r="C7917" s="587" t="s">
        <v>1196</v>
      </c>
      <c r="D7917" s="621">
        <f>D7918+D7919</f>
        <v>296668.30745000002</v>
      </c>
      <c r="E7917" s="621">
        <f t="shared" ref="E7917:O7917" si="273">E7918+E7919</f>
        <v>89804.7</v>
      </c>
      <c r="F7917" s="621">
        <f t="shared" si="273"/>
        <v>206863.60745000001</v>
      </c>
      <c r="G7917" s="621">
        <f t="shared" si="273"/>
        <v>401</v>
      </c>
      <c r="H7917" s="621">
        <f t="shared" si="273"/>
        <v>315769.09781393042</v>
      </c>
      <c r="I7917" s="621">
        <f t="shared" si="273"/>
        <v>75</v>
      </c>
      <c r="J7917" s="621">
        <f t="shared" si="273"/>
        <v>18140.954921689819</v>
      </c>
      <c r="K7917" s="621">
        <f t="shared" si="273"/>
        <v>399</v>
      </c>
      <c r="L7917" s="621">
        <f t="shared" si="273"/>
        <v>296668.30745000002</v>
      </c>
      <c r="M7917" s="621">
        <f t="shared" si="273"/>
        <v>296668.30745000002</v>
      </c>
      <c r="N7917" s="621">
        <f t="shared" si="273"/>
        <v>89804.7</v>
      </c>
      <c r="O7917" s="621">
        <f t="shared" si="273"/>
        <v>0</v>
      </c>
      <c r="P7917" s="621">
        <f>AL7918+AL7919</f>
        <v>129047.86001000002</v>
      </c>
    </row>
    <row r="7918" spans="1:56">
      <c r="A7918" s="1738"/>
      <c r="B7918" s="1738"/>
      <c r="C7918" s="622" t="s">
        <v>1197</v>
      </c>
      <c r="D7918" s="623">
        <v>80185.747440000006</v>
      </c>
      <c r="E7918" s="623">
        <v>2370</v>
      </c>
      <c r="F7918" s="623">
        <v>77815.747440000006</v>
      </c>
      <c r="G7918" s="623">
        <v>238</v>
      </c>
      <c r="H7918" s="623">
        <v>85781.489025638002</v>
      </c>
      <c r="I7918" s="623">
        <v>42</v>
      </c>
      <c r="J7918" s="623">
        <v>4081.1325585521995</v>
      </c>
      <c r="K7918" s="623">
        <v>237</v>
      </c>
      <c r="L7918" s="623">
        <v>80185.747440000006</v>
      </c>
      <c r="M7918" s="623">
        <v>80185.747440000006</v>
      </c>
      <c r="N7918" s="623">
        <v>2370</v>
      </c>
      <c r="O7918" s="624"/>
    </row>
    <row r="7919" spans="1:56">
      <c r="A7919" s="1737"/>
      <c r="B7919" s="1737"/>
      <c r="C7919" s="622" t="s">
        <v>1198</v>
      </c>
      <c r="D7919" s="623">
        <v>216482.56001000002</v>
      </c>
      <c r="E7919" s="623">
        <v>87434.7</v>
      </c>
      <c r="F7919" s="623">
        <v>129047.86001000002</v>
      </c>
      <c r="G7919" s="623">
        <v>163</v>
      </c>
      <c r="H7919" s="623">
        <v>229987.60878829242</v>
      </c>
      <c r="I7919" s="623">
        <v>33</v>
      </c>
      <c r="J7919" s="623">
        <v>14059.822363137619</v>
      </c>
      <c r="K7919" s="623">
        <v>162</v>
      </c>
      <c r="L7919" s="623">
        <v>216482.56001000002</v>
      </c>
      <c r="M7919" s="623">
        <v>216482.56001000002</v>
      </c>
      <c r="N7919" s="623">
        <v>87434.7</v>
      </c>
      <c r="O7919" s="624"/>
      <c r="AL7919" s="623">
        <v>129047.86001000002</v>
      </c>
    </row>
    <row r="7920" spans="1:56">
      <c r="A7920" s="1736">
        <v>40</v>
      </c>
      <c r="B7920" s="1736" t="s">
        <v>1976</v>
      </c>
      <c r="C7920" s="587" t="s">
        <v>1196</v>
      </c>
      <c r="D7920" s="621">
        <f>D7921</f>
        <v>12479.81163</v>
      </c>
      <c r="E7920" s="621">
        <f t="shared" ref="E7920:P7920" si="274">E7921</f>
        <v>3375.2999999999997</v>
      </c>
      <c r="F7920" s="621">
        <f t="shared" si="274"/>
        <v>9104.5116300000009</v>
      </c>
      <c r="G7920" s="621">
        <f t="shared" si="274"/>
        <v>1141</v>
      </c>
      <c r="H7920" s="621">
        <f t="shared" si="274"/>
        <v>12891.100846369998</v>
      </c>
      <c r="I7920" s="621">
        <f t="shared" si="274"/>
        <v>65</v>
      </c>
      <c r="J7920" s="621">
        <f t="shared" si="274"/>
        <v>411.29021636999823</v>
      </c>
      <c r="K7920" s="621">
        <f t="shared" si="274"/>
        <v>1127</v>
      </c>
      <c r="L7920" s="621">
        <f t="shared" si="274"/>
        <v>12479.81163</v>
      </c>
      <c r="M7920" s="621">
        <f t="shared" si="274"/>
        <v>12479.81163</v>
      </c>
      <c r="N7920" s="621">
        <f t="shared" si="274"/>
        <v>3375.2999999999997</v>
      </c>
      <c r="O7920" s="621">
        <f t="shared" si="274"/>
        <v>0</v>
      </c>
      <c r="P7920" s="621">
        <f t="shared" si="274"/>
        <v>9104.5116300000009</v>
      </c>
    </row>
    <row r="7921" spans="1:16">
      <c r="A7921" s="1737"/>
      <c r="B7921" s="1737"/>
      <c r="C7921" s="622" t="s">
        <v>1199</v>
      </c>
      <c r="D7921" s="623">
        <v>12479.81163</v>
      </c>
      <c r="E7921" s="623">
        <v>3375.2999999999997</v>
      </c>
      <c r="F7921" s="623">
        <v>9104.5116300000009</v>
      </c>
      <c r="G7921" s="623">
        <v>1141</v>
      </c>
      <c r="H7921" s="623">
        <v>12891.100846369998</v>
      </c>
      <c r="I7921" s="623">
        <v>65</v>
      </c>
      <c r="J7921" s="623">
        <v>411.29021636999823</v>
      </c>
      <c r="K7921" s="623">
        <v>1127</v>
      </c>
      <c r="L7921" s="623">
        <v>12479.81163</v>
      </c>
      <c r="M7921" s="623">
        <v>12479.81163</v>
      </c>
      <c r="N7921" s="623">
        <v>3375.2999999999997</v>
      </c>
      <c r="O7921" s="624"/>
      <c r="P7921" s="623">
        <v>9104.5116300000009</v>
      </c>
    </row>
    <row r="7922" spans="1:16">
      <c r="A7922" s="1736">
        <v>41</v>
      </c>
      <c r="B7922" s="1736" t="s">
        <v>1977</v>
      </c>
      <c r="C7922" s="587" t="s">
        <v>1196</v>
      </c>
      <c r="D7922" s="621">
        <f>D7923</f>
        <v>6548.2217999999993</v>
      </c>
      <c r="E7922" s="621">
        <f t="shared" ref="E7922:P7922" si="275">E7923</f>
        <v>1954.5</v>
      </c>
      <c r="F7922" s="621">
        <f t="shared" si="275"/>
        <v>4593.7217999999993</v>
      </c>
      <c r="G7922" s="621">
        <f t="shared" si="275"/>
        <v>684</v>
      </c>
      <c r="H7922" s="621">
        <f t="shared" si="275"/>
        <v>6732.5791859861674</v>
      </c>
      <c r="I7922" s="621">
        <f t="shared" si="275"/>
        <v>37</v>
      </c>
      <c r="J7922" s="621">
        <f t="shared" si="275"/>
        <v>184.35738598616808</v>
      </c>
      <c r="K7922" s="621">
        <f t="shared" si="275"/>
        <v>673</v>
      </c>
      <c r="L7922" s="621">
        <f t="shared" si="275"/>
        <v>6548.2217999999993</v>
      </c>
      <c r="M7922" s="621">
        <f t="shared" si="275"/>
        <v>6548.2217999999993</v>
      </c>
      <c r="N7922" s="621">
        <f t="shared" si="275"/>
        <v>1954.5</v>
      </c>
      <c r="O7922" s="621">
        <f t="shared" si="275"/>
        <v>0</v>
      </c>
      <c r="P7922" s="621">
        <f t="shared" si="275"/>
        <v>4593.7217999999993</v>
      </c>
    </row>
    <row r="7923" spans="1:16">
      <c r="A7923" s="1737"/>
      <c r="B7923" s="1737"/>
      <c r="C7923" s="622" t="s">
        <v>1199</v>
      </c>
      <c r="D7923" s="623">
        <v>6548.2217999999993</v>
      </c>
      <c r="E7923" s="623">
        <v>1954.5</v>
      </c>
      <c r="F7923" s="623">
        <v>4593.7217999999993</v>
      </c>
      <c r="G7923" s="623">
        <v>684</v>
      </c>
      <c r="H7923" s="623">
        <v>6732.5791859861674</v>
      </c>
      <c r="I7923" s="623">
        <v>37</v>
      </c>
      <c r="J7923" s="623">
        <v>184.35738598616808</v>
      </c>
      <c r="K7923" s="623">
        <v>673</v>
      </c>
      <c r="L7923" s="623">
        <v>6548.2217999999993</v>
      </c>
      <c r="M7923" s="623">
        <v>6548.2217999999993</v>
      </c>
      <c r="N7923" s="623">
        <v>1954.5</v>
      </c>
      <c r="O7923" s="624"/>
      <c r="P7923" s="623">
        <v>4593.7217999999993</v>
      </c>
    </row>
    <row r="7924" spans="1:16">
      <c r="A7924" s="1736">
        <v>42</v>
      </c>
      <c r="B7924" s="1736" t="s">
        <v>1978</v>
      </c>
      <c r="C7924" s="587" t="s">
        <v>1196</v>
      </c>
      <c r="D7924" s="621">
        <f>D7925</f>
        <v>25352.498630000002</v>
      </c>
      <c r="E7924" s="621">
        <f t="shared" ref="E7924:P7924" si="276">E7925</f>
        <v>7563.9</v>
      </c>
      <c r="F7924" s="621">
        <f t="shared" si="276"/>
        <v>17788.59863</v>
      </c>
      <c r="G7924" s="621">
        <f t="shared" si="276"/>
        <v>2395</v>
      </c>
      <c r="H7924" s="621">
        <f t="shared" si="276"/>
        <v>26927.263345057501</v>
      </c>
      <c r="I7924" s="621">
        <f t="shared" si="276"/>
        <v>382</v>
      </c>
      <c r="J7924" s="621">
        <f t="shared" si="276"/>
        <v>1574.7647150574994</v>
      </c>
      <c r="K7924" s="621">
        <f t="shared" si="276"/>
        <v>2376</v>
      </c>
      <c r="L7924" s="621">
        <f t="shared" si="276"/>
        <v>25352.498630000002</v>
      </c>
      <c r="M7924" s="621">
        <f t="shared" si="276"/>
        <v>25352.498630000002</v>
      </c>
      <c r="N7924" s="621">
        <f t="shared" si="276"/>
        <v>7563.9</v>
      </c>
      <c r="O7924" s="621">
        <f t="shared" si="276"/>
        <v>0</v>
      </c>
      <c r="P7924" s="621">
        <f t="shared" si="276"/>
        <v>17788.59863</v>
      </c>
    </row>
    <row r="7925" spans="1:16">
      <c r="A7925" s="1737"/>
      <c r="B7925" s="1737"/>
      <c r="C7925" s="622" t="s">
        <v>1199</v>
      </c>
      <c r="D7925" s="623">
        <v>25352.498630000002</v>
      </c>
      <c r="E7925" s="623">
        <v>7563.9</v>
      </c>
      <c r="F7925" s="623">
        <v>17788.59863</v>
      </c>
      <c r="G7925" s="623">
        <v>2395</v>
      </c>
      <c r="H7925" s="623">
        <v>26927.263345057501</v>
      </c>
      <c r="I7925" s="623">
        <v>382</v>
      </c>
      <c r="J7925" s="623">
        <v>1574.7647150574994</v>
      </c>
      <c r="K7925" s="623">
        <v>2376</v>
      </c>
      <c r="L7925" s="623">
        <v>25352.498630000002</v>
      </c>
      <c r="M7925" s="623">
        <v>25352.498630000002</v>
      </c>
      <c r="N7925" s="623">
        <v>7563.9</v>
      </c>
      <c r="O7925" s="624"/>
      <c r="P7925" s="623">
        <v>17788.59863</v>
      </c>
    </row>
    <row r="7926" spans="1:16">
      <c r="A7926" s="1736">
        <v>43</v>
      </c>
      <c r="B7926" s="1736" t="s">
        <v>1979</v>
      </c>
      <c r="C7926" s="587" t="s">
        <v>1196</v>
      </c>
      <c r="D7926" s="621">
        <f>D7927</f>
        <v>26118.879720000001</v>
      </c>
      <c r="E7926" s="621">
        <f t="shared" ref="E7926:P7926" si="277">E7927</f>
        <v>6936.5999999999995</v>
      </c>
      <c r="F7926" s="621">
        <f t="shared" si="277"/>
        <v>19182.279720000002</v>
      </c>
      <c r="G7926" s="621">
        <f t="shared" si="277"/>
        <v>2456</v>
      </c>
      <c r="H7926" s="621">
        <f t="shared" si="277"/>
        <v>27089.175190886661</v>
      </c>
      <c r="I7926" s="621">
        <f t="shared" si="277"/>
        <v>223</v>
      </c>
      <c r="J7926" s="621">
        <f t="shared" si="277"/>
        <v>970.29547088666004</v>
      </c>
      <c r="K7926" s="621">
        <f t="shared" si="277"/>
        <v>2454</v>
      </c>
      <c r="L7926" s="621">
        <f t="shared" si="277"/>
        <v>26118.879720000001</v>
      </c>
      <c r="M7926" s="621">
        <f t="shared" si="277"/>
        <v>26118.879720000001</v>
      </c>
      <c r="N7926" s="621">
        <f t="shared" si="277"/>
        <v>6936.5999999999995</v>
      </c>
      <c r="O7926" s="621">
        <f t="shared" si="277"/>
        <v>0</v>
      </c>
      <c r="P7926" s="621">
        <f t="shared" si="277"/>
        <v>19182.279720000002</v>
      </c>
    </row>
    <row r="7927" spans="1:16">
      <c r="A7927" s="1737"/>
      <c r="B7927" s="1737"/>
      <c r="C7927" s="622" t="s">
        <v>1199</v>
      </c>
      <c r="D7927" s="623">
        <v>26118.879720000001</v>
      </c>
      <c r="E7927" s="623">
        <v>6936.5999999999995</v>
      </c>
      <c r="F7927" s="623">
        <v>19182.279720000002</v>
      </c>
      <c r="G7927" s="623">
        <v>2456</v>
      </c>
      <c r="H7927" s="623">
        <v>27089.175190886661</v>
      </c>
      <c r="I7927" s="623">
        <v>223</v>
      </c>
      <c r="J7927" s="623">
        <v>970.29547088666004</v>
      </c>
      <c r="K7927" s="623">
        <v>2454</v>
      </c>
      <c r="L7927" s="623">
        <v>26118.879720000001</v>
      </c>
      <c r="M7927" s="623">
        <v>26118.879720000001</v>
      </c>
      <c r="N7927" s="623">
        <v>6936.5999999999995</v>
      </c>
      <c r="O7927" s="624"/>
      <c r="P7927" s="623">
        <v>19182.279720000002</v>
      </c>
    </row>
    <row r="7928" spans="1:16">
      <c r="A7928" s="1736">
        <v>44</v>
      </c>
      <c r="B7928" s="1736" t="s">
        <v>1980</v>
      </c>
      <c r="C7928" s="587" t="s">
        <v>1196</v>
      </c>
      <c r="D7928" s="621">
        <f>D7929</f>
        <v>17194.45205</v>
      </c>
      <c r="E7928" s="621">
        <f t="shared" ref="E7928:P7928" si="278">E7929</f>
        <v>4301.3999999999996</v>
      </c>
      <c r="F7928" s="621">
        <f t="shared" si="278"/>
        <v>12893.05205</v>
      </c>
      <c r="G7928" s="621">
        <f t="shared" si="278"/>
        <v>1433</v>
      </c>
      <c r="H7928" s="621">
        <f t="shared" si="278"/>
        <v>18059.171347859665</v>
      </c>
      <c r="I7928" s="621">
        <f t="shared" si="278"/>
        <v>193</v>
      </c>
      <c r="J7928" s="621">
        <f t="shared" si="278"/>
        <v>864.71929785966495</v>
      </c>
      <c r="K7928" s="621">
        <f t="shared" si="278"/>
        <v>1429</v>
      </c>
      <c r="L7928" s="621">
        <f t="shared" si="278"/>
        <v>17194.45205</v>
      </c>
      <c r="M7928" s="621">
        <f t="shared" si="278"/>
        <v>17194.45205</v>
      </c>
      <c r="N7928" s="621">
        <f t="shared" si="278"/>
        <v>4301.3999999999996</v>
      </c>
      <c r="O7928" s="621">
        <f t="shared" si="278"/>
        <v>0</v>
      </c>
      <c r="P7928" s="621">
        <f t="shared" si="278"/>
        <v>12893.05205</v>
      </c>
    </row>
    <row r="7929" spans="1:16">
      <c r="A7929" s="1737"/>
      <c r="B7929" s="1737"/>
      <c r="C7929" s="622" t="s">
        <v>1199</v>
      </c>
      <c r="D7929" s="623">
        <v>17194.45205</v>
      </c>
      <c r="E7929" s="623">
        <v>4301.3999999999996</v>
      </c>
      <c r="F7929" s="623">
        <v>12893.05205</v>
      </c>
      <c r="G7929" s="623">
        <v>1433</v>
      </c>
      <c r="H7929" s="623">
        <v>18059.171347859665</v>
      </c>
      <c r="I7929" s="623">
        <v>193</v>
      </c>
      <c r="J7929" s="623">
        <v>864.71929785966495</v>
      </c>
      <c r="K7929" s="623">
        <v>1429</v>
      </c>
      <c r="L7929" s="623">
        <v>17194.45205</v>
      </c>
      <c r="M7929" s="623">
        <v>17194.45205</v>
      </c>
      <c r="N7929" s="623">
        <v>4301.3999999999996</v>
      </c>
      <c r="O7929" s="624"/>
      <c r="P7929" s="623">
        <v>12893.05205</v>
      </c>
    </row>
    <row r="7930" spans="1:16">
      <c r="A7930" s="1736">
        <v>45</v>
      </c>
      <c r="B7930" s="1736" t="s">
        <v>1981</v>
      </c>
      <c r="C7930" s="587" t="s">
        <v>1196</v>
      </c>
      <c r="D7930" s="621">
        <f>D7931</f>
        <v>20366.887559999996</v>
      </c>
      <c r="E7930" s="621">
        <f t="shared" ref="E7930:P7930" si="279">E7931</f>
        <v>5947.5</v>
      </c>
      <c r="F7930" s="621">
        <f t="shared" si="279"/>
        <v>14419.387559999996</v>
      </c>
      <c r="G7930" s="621">
        <f t="shared" si="279"/>
        <v>1450</v>
      </c>
      <c r="H7930" s="621">
        <f t="shared" si="279"/>
        <v>21168.055606203503</v>
      </c>
      <c r="I7930" s="621">
        <f t="shared" si="279"/>
        <v>158</v>
      </c>
      <c r="J7930" s="621">
        <f t="shared" si="279"/>
        <v>801.1680462035074</v>
      </c>
      <c r="K7930" s="621">
        <f t="shared" si="279"/>
        <v>1449</v>
      </c>
      <c r="L7930" s="621">
        <f t="shared" si="279"/>
        <v>20366.887559999996</v>
      </c>
      <c r="M7930" s="621">
        <f t="shared" si="279"/>
        <v>20366.887559999996</v>
      </c>
      <c r="N7930" s="621">
        <f t="shared" si="279"/>
        <v>5947.5</v>
      </c>
      <c r="O7930" s="621">
        <f t="shared" si="279"/>
        <v>0</v>
      </c>
      <c r="P7930" s="621">
        <f t="shared" si="279"/>
        <v>14419.387559999996</v>
      </c>
    </row>
    <row r="7931" spans="1:16">
      <c r="A7931" s="1737"/>
      <c r="B7931" s="1737"/>
      <c r="C7931" s="622" t="s">
        <v>1199</v>
      </c>
      <c r="D7931" s="623">
        <v>20366.887559999996</v>
      </c>
      <c r="E7931" s="623">
        <v>5947.5</v>
      </c>
      <c r="F7931" s="623">
        <v>14419.387559999996</v>
      </c>
      <c r="G7931" s="623">
        <v>1450</v>
      </c>
      <c r="H7931" s="623">
        <v>21168.055606203503</v>
      </c>
      <c r="I7931" s="623">
        <v>158</v>
      </c>
      <c r="J7931" s="623">
        <v>801.1680462035074</v>
      </c>
      <c r="K7931" s="623">
        <v>1449</v>
      </c>
      <c r="L7931" s="623">
        <v>20366.887559999996</v>
      </c>
      <c r="M7931" s="623">
        <v>20366.887559999996</v>
      </c>
      <c r="N7931" s="623">
        <v>5947.5</v>
      </c>
      <c r="O7931" s="624"/>
      <c r="P7931" s="623">
        <v>14419.387559999996</v>
      </c>
    </row>
    <row r="7932" spans="1:16">
      <c r="A7932" s="1736">
        <v>46</v>
      </c>
      <c r="B7932" s="1736" t="s">
        <v>1982</v>
      </c>
      <c r="C7932" s="587" t="s">
        <v>1196</v>
      </c>
      <c r="D7932" s="621">
        <f>D7933</f>
        <v>18111.102760000002</v>
      </c>
      <c r="E7932" s="621">
        <f t="shared" ref="E7932:P7932" si="280">E7933</f>
        <v>5229</v>
      </c>
      <c r="F7932" s="621">
        <f t="shared" si="280"/>
        <v>12882.102760000002</v>
      </c>
      <c r="G7932" s="621">
        <f t="shared" si="280"/>
        <v>1397</v>
      </c>
      <c r="H7932" s="621">
        <f t="shared" si="280"/>
        <v>18943.523693290339</v>
      </c>
      <c r="I7932" s="621">
        <f t="shared" si="280"/>
        <v>212</v>
      </c>
      <c r="J7932" s="621">
        <f t="shared" si="280"/>
        <v>832.42093329033742</v>
      </c>
      <c r="K7932" s="621">
        <f t="shared" si="280"/>
        <v>1397</v>
      </c>
      <c r="L7932" s="621">
        <f t="shared" si="280"/>
        <v>18111.102760000002</v>
      </c>
      <c r="M7932" s="621">
        <f t="shared" si="280"/>
        <v>18111.102760000002</v>
      </c>
      <c r="N7932" s="621">
        <f t="shared" si="280"/>
        <v>5229</v>
      </c>
      <c r="O7932" s="621">
        <f t="shared" si="280"/>
        <v>0</v>
      </c>
      <c r="P7932" s="621">
        <f t="shared" si="280"/>
        <v>12882.102760000002</v>
      </c>
    </row>
    <row r="7933" spans="1:16">
      <c r="A7933" s="1737"/>
      <c r="B7933" s="1737"/>
      <c r="C7933" s="622" t="s">
        <v>1199</v>
      </c>
      <c r="D7933" s="623">
        <v>18111.102760000002</v>
      </c>
      <c r="E7933" s="623">
        <v>5229</v>
      </c>
      <c r="F7933" s="623">
        <v>12882.102760000002</v>
      </c>
      <c r="G7933" s="623">
        <v>1397</v>
      </c>
      <c r="H7933" s="623">
        <v>18943.523693290339</v>
      </c>
      <c r="I7933" s="623">
        <v>212</v>
      </c>
      <c r="J7933" s="623">
        <v>832.42093329033742</v>
      </c>
      <c r="K7933" s="623">
        <v>1397</v>
      </c>
      <c r="L7933" s="623">
        <v>18111.102760000002</v>
      </c>
      <c r="M7933" s="623">
        <v>18111.102760000002</v>
      </c>
      <c r="N7933" s="623">
        <v>5229</v>
      </c>
      <c r="O7933" s="624"/>
      <c r="P7933" s="623">
        <v>12882.102760000002</v>
      </c>
    </row>
    <row r="7934" spans="1:16">
      <c r="A7934" s="1736">
        <v>47</v>
      </c>
      <c r="B7934" s="1736" t="s">
        <v>1983</v>
      </c>
      <c r="C7934" s="587" t="s">
        <v>1196</v>
      </c>
      <c r="D7934" s="621">
        <f>D7935</f>
        <v>22461.459640000001</v>
      </c>
      <c r="E7934" s="621">
        <f t="shared" ref="E7934:P7934" si="281">E7935</f>
        <v>5570.4</v>
      </c>
      <c r="F7934" s="621">
        <f t="shared" si="281"/>
        <v>16891.059639999999</v>
      </c>
      <c r="G7934" s="621">
        <f t="shared" si="281"/>
        <v>1675</v>
      </c>
      <c r="H7934" s="621">
        <f t="shared" si="281"/>
        <v>23333.478654777675</v>
      </c>
      <c r="I7934" s="621">
        <f t="shared" si="281"/>
        <v>110</v>
      </c>
      <c r="J7934" s="621">
        <f t="shared" si="281"/>
        <v>872.01901477767387</v>
      </c>
      <c r="K7934" s="621">
        <f t="shared" si="281"/>
        <v>1669</v>
      </c>
      <c r="L7934" s="621">
        <f t="shared" si="281"/>
        <v>22461.459640000001</v>
      </c>
      <c r="M7934" s="621">
        <f t="shared" si="281"/>
        <v>22461.459640000001</v>
      </c>
      <c r="N7934" s="621">
        <f t="shared" si="281"/>
        <v>5570.4</v>
      </c>
      <c r="O7934" s="621">
        <f t="shared" si="281"/>
        <v>0</v>
      </c>
      <c r="P7934" s="621">
        <f t="shared" si="281"/>
        <v>16891.059639999999</v>
      </c>
    </row>
    <row r="7935" spans="1:16">
      <c r="A7935" s="1737"/>
      <c r="B7935" s="1737"/>
      <c r="C7935" s="622" t="s">
        <v>1199</v>
      </c>
      <c r="D7935" s="623">
        <v>22461.459640000001</v>
      </c>
      <c r="E7935" s="623">
        <v>5570.4</v>
      </c>
      <c r="F7935" s="623">
        <v>16891.059639999999</v>
      </c>
      <c r="G7935" s="623">
        <v>1675</v>
      </c>
      <c r="H7935" s="623">
        <v>23333.478654777675</v>
      </c>
      <c r="I7935" s="623">
        <v>110</v>
      </c>
      <c r="J7935" s="623">
        <v>872.01901477767387</v>
      </c>
      <c r="K7935" s="623">
        <v>1669</v>
      </c>
      <c r="L7935" s="623">
        <v>22461.459640000001</v>
      </c>
      <c r="M7935" s="623">
        <v>22461.459640000001</v>
      </c>
      <c r="N7935" s="623">
        <v>5570.4</v>
      </c>
      <c r="O7935" s="624"/>
      <c r="P7935" s="623">
        <v>16891.059639999999</v>
      </c>
    </row>
    <row r="7936" spans="1:16">
      <c r="A7936" s="1736">
        <v>48</v>
      </c>
      <c r="B7936" s="1736" t="s">
        <v>1984</v>
      </c>
      <c r="C7936" s="587" t="s">
        <v>1196</v>
      </c>
      <c r="D7936" s="621">
        <f>D7937</f>
        <v>26747.968900000003</v>
      </c>
      <c r="E7936" s="621">
        <f t="shared" ref="E7936:P7936" si="282">E7937</f>
        <v>8007.2999999999993</v>
      </c>
      <c r="F7936" s="621">
        <f t="shared" si="282"/>
        <v>18740.668900000004</v>
      </c>
      <c r="G7936" s="621">
        <f t="shared" si="282"/>
        <v>2132</v>
      </c>
      <c r="H7936" s="621">
        <f t="shared" si="282"/>
        <v>28010.513729953665</v>
      </c>
      <c r="I7936" s="621">
        <f t="shared" si="282"/>
        <v>282</v>
      </c>
      <c r="J7936" s="621">
        <f t="shared" si="282"/>
        <v>1262.3450999999998</v>
      </c>
      <c r="K7936" s="621">
        <f t="shared" si="282"/>
        <v>2123</v>
      </c>
      <c r="L7936" s="621">
        <f t="shared" si="282"/>
        <v>26747.968900000003</v>
      </c>
      <c r="M7936" s="621">
        <f t="shared" si="282"/>
        <v>26747.968900000003</v>
      </c>
      <c r="N7936" s="621">
        <f t="shared" si="282"/>
        <v>8007.2999999999993</v>
      </c>
      <c r="O7936" s="621">
        <f t="shared" si="282"/>
        <v>0</v>
      </c>
      <c r="P7936" s="621">
        <f t="shared" si="282"/>
        <v>18740.668900000004</v>
      </c>
    </row>
    <row r="7937" spans="1:16">
      <c r="A7937" s="1737"/>
      <c r="B7937" s="1737"/>
      <c r="C7937" s="622" t="s">
        <v>1199</v>
      </c>
      <c r="D7937" s="623">
        <v>26747.968900000003</v>
      </c>
      <c r="E7937" s="623">
        <v>8007.2999999999993</v>
      </c>
      <c r="F7937" s="623">
        <v>18740.668900000004</v>
      </c>
      <c r="G7937" s="623">
        <v>2132</v>
      </c>
      <c r="H7937" s="623">
        <v>28010.513729953665</v>
      </c>
      <c r="I7937" s="623">
        <v>282</v>
      </c>
      <c r="J7937" s="623">
        <v>1262.3450999999998</v>
      </c>
      <c r="K7937" s="623">
        <v>2123</v>
      </c>
      <c r="L7937" s="623">
        <v>26747.968900000003</v>
      </c>
      <c r="M7937" s="623">
        <v>26747.968900000003</v>
      </c>
      <c r="N7937" s="623">
        <v>8007.2999999999993</v>
      </c>
      <c r="O7937" s="624"/>
      <c r="P7937" s="623">
        <v>18740.668900000004</v>
      </c>
    </row>
    <row r="7938" spans="1:16">
      <c r="A7938" s="1736">
        <v>49</v>
      </c>
      <c r="B7938" s="1736" t="s">
        <v>1985</v>
      </c>
      <c r="C7938" s="587" t="s">
        <v>1196</v>
      </c>
      <c r="D7938" s="621">
        <f>D7939</f>
        <v>27881.569150000003</v>
      </c>
      <c r="E7938" s="621">
        <f t="shared" ref="E7938:P7938" si="283">E7939</f>
        <v>8311.7999999999993</v>
      </c>
      <c r="F7938" s="621">
        <f t="shared" si="283"/>
        <v>19569.769150000004</v>
      </c>
      <c r="G7938" s="621">
        <f t="shared" si="283"/>
        <v>2023</v>
      </c>
      <c r="H7938" s="621">
        <f t="shared" si="283"/>
        <v>29191.688415610337</v>
      </c>
      <c r="I7938" s="621">
        <f t="shared" si="283"/>
        <v>215</v>
      </c>
      <c r="J7938" s="621">
        <f t="shared" si="283"/>
        <v>1310.119265610334</v>
      </c>
      <c r="K7938" s="621">
        <f t="shared" si="283"/>
        <v>1903</v>
      </c>
      <c r="L7938" s="621">
        <f t="shared" si="283"/>
        <v>27881.569150000003</v>
      </c>
      <c r="M7938" s="621">
        <f t="shared" si="283"/>
        <v>27881.569150000003</v>
      </c>
      <c r="N7938" s="621">
        <f t="shared" si="283"/>
        <v>8311.7999999999993</v>
      </c>
      <c r="O7938" s="621">
        <f t="shared" si="283"/>
        <v>0</v>
      </c>
      <c r="P7938" s="621">
        <f t="shared" si="283"/>
        <v>19569.769150000004</v>
      </c>
    </row>
    <row r="7939" spans="1:16">
      <c r="A7939" s="1737"/>
      <c r="B7939" s="1737"/>
      <c r="C7939" s="622" t="s">
        <v>1199</v>
      </c>
      <c r="D7939" s="623">
        <v>27881.569150000003</v>
      </c>
      <c r="E7939" s="623">
        <v>8311.7999999999993</v>
      </c>
      <c r="F7939" s="623">
        <v>19569.769150000004</v>
      </c>
      <c r="G7939" s="623">
        <v>2023</v>
      </c>
      <c r="H7939" s="623">
        <v>29191.688415610337</v>
      </c>
      <c r="I7939" s="623">
        <v>215</v>
      </c>
      <c r="J7939" s="623">
        <v>1310.119265610334</v>
      </c>
      <c r="K7939" s="623">
        <v>1903</v>
      </c>
      <c r="L7939" s="623">
        <v>27881.569150000003</v>
      </c>
      <c r="M7939" s="623">
        <v>27881.569150000003</v>
      </c>
      <c r="N7939" s="623">
        <v>8311.7999999999993</v>
      </c>
      <c r="O7939" s="624"/>
      <c r="P7939" s="623">
        <v>19569.769150000004</v>
      </c>
    </row>
    <row r="7940" spans="1:16">
      <c r="A7940" s="1736">
        <v>50</v>
      </c>
      <c r="B7940" s="1736" t="s">
        <v>1986</v>
      </c>
      <c r="C7940" s="587" t="s">
        <v>1196</v>
      </c>
      <c r="D7940" s="621">
        <f>D7941</f>
        <v>31113.68259</v>
      </c>
      <c r="E7940" s="621">
        <f t="shared" ref="E7940:P7940" si="284">E7941</f>
        <v>9207.9</v>
      </c>
      <c r="F7940" s="621">
        <f t="shared" si="284"/>
        <v>21905.782590000003</v>
      </c>
      <c r="G7940" s="621">
        <f t="shared" si="284"/>
        <v>2294</v>
      </c>
      <c r="H7940" s="621">
        <f t="shared" si="284"/>
        <v>32263.6716052915</v>
      </c>
      <c r="I7940" s="621">
        <f t="shared" si="284"/>
        <v>309</v>
      </c>
      <c r="J7940" s="621">
        <f t="shared" si="284"/>
        <v>1149.9890152914995</v>
      </c>
      <c r="K7940" s="621">
        <f t="shared" si="284"/>
        <v>2291</v>
      </c>
      <c r="L7940" s="621">
        <f t="shared" si="284"/>
        <v>31113.68259</v>
      </c>
      <c r="M7940" s="621">
        <f t="shared" si="284"/>
        <v>31113.68259</v>
      </c>
      <c r="N7940" s="621">
        <f t="shared" si="284"/>
        <v>9207.9</v>
      </c>
      <c r="O7940" s="621">
        <f t="shared" si="284"/>
        <v>0</v>
      </c>
      <c r="P7940" s="621">
        <f t="shared" si="284"/>
        <v>21905.782590000003</v>
      </c>
    </row>
    <row r="7941" spans="1:16">
      <c r="A7941" s="1737"/>
      <c r="B7941" s="1737"/>
      <c r="C7941" s="622" t="s">
        <v>1199</v>
      </c>
      <c r="D7941" s="623">
        <v>31113.68259</v>
      </c>
      <c r="E7941" s="623">
        <v>9207.9</v>
      </c>
      <c r="F7941" s="623">
        <v>21905.782590000003</v>
      </c>
      <c r="G7941" s="623">
        <v>2294</v>
      </c>
      <c r="H7941" s="623">
        <v>32263.6716052915</v>
      </c>
      <c r="I7941" s="623">
        <v>309</v>
      </c>
      <c r="J7941" s="623">
        <v>1149.9890152914995</v>
      </c>
      <c r="K7941" s="623">
        <v>2291</v>
      </c>
      <c r="L7941" s="623">
        <v>31113.68259</v>
      </c>
      <c r="M7941" s="623">
        <v>31113.68259</v>
      </c>
      <c r="N7941" s="623">
        <v>9207.9</v>
      </c>
      <c r="O7941" s="624"/>
      <c r="P7941" s="623">
        <v>21905.782590000003</v>
      </c>
    </row>
    <row r="7942" spans="1:16">
      <c r="A7942" s="1736">
        <v>51</v>
      </c>
      <c r="B7942" s="1736" t="s">
        <v>1987</v>
      </c>
      <c r="C7942" s="587" t="s">
        <v>1196</v>
      </c>
      <c r="D7942" s="621">
        <f>D7943</f>
        <v>28624.669210000004</v>
      </c>
      <c r="E7942" s="621">
        <f t="shared" ref="E7942:P7942" si="285">E7943</f>
        <v>8287.1999999999989</v>
      </c>
      <c r="F7942" s="621">
        <f t="shared" si="285"/>
        <v>20337.469210000003</v>
      </c>
      <c r="G7942" s="621">
        <f t="shared" si="285"/>
        <v>1924</v>
      </c>
      <c r="H7942" s="621">
        <f t="shared" si="285"/>
        <v>29231.655565166835</v>
      </c>
      <c r="I7942" s="621">
        <f t="shared" si="285"/>
        <v>166</v>
      </c>
      <c r="J7942" s="621">
        <f t="shared" si="285"/>
        <v>606.98635516683134</v>
      </c>
      <c r="K7942" s="621">
        <f t="shared" si="285"/>
        <v>1923</v>
      </c>
      <c r="L7942" s="621">
        <f t="shared" si="285"/>
        <v>28624.669210000004</v>
      </c>
      <c r="M7942" s="621">
        <f t="shared" si="285"/>
        <v>28624.669210000004</v>
      </c>
      <c r="N7942" s="621">
        <f t="shared" si="285"/>
        <v>8287.1999999999989</v>
      </c>
      <c r="O7942" s="621">
        <f t="shared" si="285"/>
        <v>0</v>
      </c>
      <c r="P7942" s="621">
        <f t="shared" si="285"/>
        <v>20337.469210000003</v>
      </c>
    </row>
    <row r="7943" spans="1:16">
      <c r="A7943" s="1737"/>
      <c r="B7943" s="1737"/>
      <c r="C7943" s="622" t="s">
        <v>1199</v>
      </c>
      <c r="D7943" s="623">
        <v>28624.669210000004</v>
      </c>
      <c r="E7943" s="623">
        <v>8287.1999999999989</v>
      </c>
      <c r="F7943" s="623">
        <v>20337.469210000003</v>
      </c>
      <c r="G7943" s="623">
        <v>1924</v>
      </c>
      <c r="H7943" s="623">
        <v>29231.655565166835</v>
      </c>
      <c r="I7943" s="623">
        <v>166</v>
      </c>
      <c r="J7943" s="623">
        <v>606.98635516683134</v>
      </c>
      <c r="K7943" s="623">
        <v>1923</v>
      </c>
      <c r="L7943" s="623">
        <v>28624.669210000004</v>
      </c>
      <c r="M7943" s="623">
        <v>28624.669210000004</v>
      </c>
      <c r="N7943" s="623">
        <v>8287.1999999999989</v>
      </c>
      <c r="O7943" s="624"/>
      <c r="P7943" s="623">
        <v>20337.469210000003</v>
      </c>
    </row>
    <row r="7944" spans="1:16">
      <c r="A7944" s="1736">
        <v>52</v>
      </c>
      <c r="B7944" s="1736" t="s">
        <v>1988</v>
      </c>
      <c r="C7944" s="587" t="s">
        <v>1196</v>
      </c>
      <c r="D7944" s="621">
        <f>D7945</f>
        <v>35926.03839999999</v>
      </c>
      <c r="E7944" s="621">
        <f t="shared" ref="E7944:P7944" si="286">E7945</f>
        <v>11610</v>
      </c>
      <c r="F7944" s="621">
        <f t="shared" si="286"/>
        <v>24316.03839999999</v>
      </c>
      <c r="G7944" s="621">
        <f t="shared" si="286"/>
        <v>2297</v>
      </c>
      <c r="H7944" s="621">
        <f t="shared" si="286"/>
        <v>37985.430358198988</v>
      </c>
      <c r="I7944" s="621">
        <f t="shared" si="286"/>
        <v>218</v>
      </c>
      <c r="J7944" s="621">
        <f t="shared" si="286"/>
        <v>2059.3919581989976</v>
      </c>
      <c r="K7944" s="621">
        <f t="shared" si="286"/>
        <v>2294</v>
      </c>
      <c r="L7944" s="621">
        <f t="shared" si="286"/>
        <v>35926.03839999999</v>
      </c>
      <c r="M7944" s="621">
        <f t="shared" si="286"/>
        <v>35926.03839999999</v>
      </c>
      <c r="N7944" s="621">
        <f t="shared" si="286"/>
        <v>11610</v>
      </c>
      <c r="O7944" s="621">
        <f t="shared" si="286"/>
        <v>0</v>
      </c>
      <c r="P7944" s="621">
        <f t="shared" si="286"/>
        <v>24316.03839999999</v>
      </c>
    </row>
    <row r="7945" spans="1:16">
      <c r="A7945" s="1737"/>
      <c r="B7945" s="1737"/>
      <c r="C7945" s="622" t="s">
        <v>1199</v>
      </c>
      <c r="D7945" s="623">
        <v>35926.03839999999</v>
      </c>
      <c r="E7945" s="623">
        <v>11610</v>
      </c>
      <c r="F7945" s="623">
        <v>24316.03839999999</v>
      </c>
      <c r="G7945" s="623">
        <v>2297</v>
      </c>
      <c r="H7945" s="623">
        <v>37985.430358198988</v>
      </c>
      <c r="I7945" s="623">
        <v>218</v>
      </c>
      <c r="J7945" s="623">
        <v>2059.3919581989976</v>
      </c>
      <c r="K7945" s="623">
        <v>2294</v>
      </c>
      <c r="L7945" s="623">
        <v>35926.03839999999</v>
      </c>
      <c r="M7945" s="623">
        <v>35926.03839999999</v>
      </c>
      <c r="N7945" s="623">
        <v>11610</v>
      </c>
      <c r="O7945" s="624"/>
      <c r="P7945" s="623">
        <v>24316.03839999999</v>
      </c>
    </row>
    <row r="7946" spans="1:16">
      <c r="A7946" s="1736">
        <v>53</v>
      </c>
      <c r="B7946" s="1736" t="s">
        <v>1989</v>
      </c>
      <c r="C7946" s="587" t="s">
        <v>1196</v>
      </c>
      <c r="D7946" s="621">
        <f>D7947</f>
        <v>28479.778020000002</v>
      </c>
      <c r="E7946" s="621">
        <f t="shared" ref="E7946:P7946" si="287">E7947</f>
        <v>8568</v>
      </c>
      <c r="F7946" s="621">
        <f t="shared" si="287"/>
        <v>19911.778020000002</v>
      </c>
      <c r="G7946" s="621">
        <f t="shared" si="287"/>
        <v>2271</v>
      </c>
      <c r="H7946" s="621">
        <f t="shared" si="287"/>
        <v>29438.23947546483</v>
      </c>
      <c r="I7946" s="621">
        <f t="shared" si="287"/>
        <v>224</v>
      </c>
      <c r="J7946" s="621">
        <f t="shared" si="287"/>
        <v>958.46145546482876</v>
      </c>
      <c r="K7946" s="621">
        <f t="shared" si="287"/>
        <v>2271</v>
      </c>
      <c r="L7946" s="621">
        <f t="shared" si="287"/>
        <v>28479.778020000002</v>
      </c>
      <c r="M7946" s="621">
        <f t="shared" si="287"/>
        <v>28479.778020000002</v>
      </c>
      <c r="N7946" s="621">
        <f t="shared" si="287"/>
        <v>8568</v>
      </c>
      <c r="O7946" s="621">
        <f t="shared" si="287"/>
        <v>0</v>
      </c>
      <c r="P7946" s="621">
        <f t="shared" si="287"/>
        <v>19911.778020000002</v>
      </c>
    </row>
    <row r="7947" spans="1:16">
      <c r="A7947" s="1737"/>
      <c r="B7947" s="1737"/>
      <c r="C7947" s="622" t="s">
        <v>1199</v>
      </c>
      <c r="D7947" s="623">
        <v>28479.778020000002</v>
      </c>
      <c r="E7947" s="623">
        <v>8568</v>
      </c>
      <c r="F7947" s="623">
        <v>19911.778020000002</v>
      </c>
      <c r="G7947" s="623">
        <v>2271</v>
      </c>
      <c r="H7947" s="623">
        <v>29438.23947546483</v>
      </c>
      <c r="I7947" s="623">
        <v>224</v>
      </c>
      <c r="J7947" s="623">
        <v>958.46145546482876</v>
      </c>
      <c r="K7947" s="623">
        <v>2271</v>
      </c>
      <c r="L7947" s="623">
        <v>28479.778020000002</v>
      </c>
      <c r="M7947" s="623">
        <v>28479.778020000002</v>
      </c>
      <c r="N7947" s="623">
        <v>8568</v>
      </c>
      <c r="O7947" s="624"/>
      <c r="P7947" s="623">
        <v>19911.778020000002</v>
      </c>
    </row>
    <row r="7948" spans="1:16">
      <c r="A7948" s="1736">
        <v>54</v>
      </c>
      <c r="B7948" s="1736" t="s">
        <v>1990</v>
      </c>
      <c r="C7948" s="587" t="s">
        <v>1196</v>
      </c>
      <c r="D7948" s="621">
        <f>D7949</f>
        <v>37757.25202</v>
      </c>
      <c r="E7948" s="621">
        <f t="shared" ref="E7948:P7948" si="288">E7949</f>
        <v>9806.4</v>
      </c>
      <c r="F7948" s="621">
        <f t="shared" si="288"/>
        <v>27950.852019999998</v>
      </c>
      <c r="G7948" s="621">
        <f t="shared" si="288"/>
        <v>3031</v>
      </c>
      <c r="H7948" s="621">
        <f t="shared" si="288"/>
        <v>39618.8206044295</v>
      </c>
      <c r="I7948" s="621">
        <f t="shared" si="288"/>
        <v>407</v>
      </c>
      <c r="J7948" s="621">
        <f t="shared" si="288"/>
        <v>1861.5685844295003</v>
      </c>
      <c r="K7948" s="621">
        <f t="shared" si="288"/>
        <v>3027</v>
      </c>
      <c r="L7948" s="621">
        <f t="shared" si="288"/>
        <v>37757.25202</v>
      </c>
      <c r="M7948" s="621">
        <f t="shared" si="288"/>
        <v>37757.25202</v>
      </c>
      <c r="N7948" s="621">
        <f t="shared" si="288"/>
        <v>9806.4</v>
      </c>
      <c r="O7948" s="621">
        <f t="shared" si="288"/>
        <v>0</v>
      </c>
      <c r="P7948" s="621">
        <f t="shared" si="288"/>
        <v>27950.852019999998</v>
      </c>
    </row>
    <row r="7949" spans="1:16">
      <c r="A7949" s="1737"/>
      <c r="B7949" s="1737"/>
      <c r="C7949" s="622" t="s">
        <v>1199</v>
      </c>
      <c r="D7949" s="623">
        <v>37757.25202</v>
      </c>
      <c r="E7949" s="623">
        <v>9806.4</v>
      </c>
      <c r="F7949" s="623">
        <v>27950.852019999998</v>
      </c>
      <c r="G7949" s="623">
        <v>3031</v>
      </c>
      <c r="H7949" s="623">
        <v>39618.8206044295</v>
      </c>
      <c r="I7949" s="623">
        <v>407</v>
      </c>
      <c r="J7949" s="623">
        <v>1861.5685844295003</v>
      </c>
      <c r="K7949" s="623">
        <v>3027</v>
      </c>
      <c r="L7949" s="623">
        <v>37757.25202</v>
      </c>
      <c r="M7949" s="623">
        <v>37757.25202</v>
      </c>
      <c r="N7949" s="623">
        <v>9806.4</v>
      </c>
      <c r="O7949" s="624"/>
      <c r="P7949" s="623">
        <v>27950.852019999998</v>
      </c>
    </row>
    <row r="7950" spans="1:16">
      <c r="A7950" s="1736">
        <v>55</v>
      </c>
      <c r="B7950" s="1736" t="s">
        <v>1991</v>
      </c>
      <c r="C7950" s="587" t="s">
        <v>1196</v>
      </c>
      <c r="D7950" s="621">
        <f>D7951</f>
        <v>34172.948049999992</v>
      </c>
      <c r="E7950" s="621">
        <f t="shared" ref="E7950:P7950" si="289">E7951</f>
        <v>9651.9</v>
      </c>
      <c r="F7950" s="621">
        <f t="shared" si="289"/>
        <v>24521.04804999999</v>
      </c>
      <c r="G7950" s="621">
        <f t="shared" si="289"/>
        <v>2579</v>
      </c>
      <c r="H7950" s="621">
        <f t="shared" si="289"/>
        <v>35657.761803531503</v>
      </c>
      <c r="I7950" s="621">
        <f t="shared" si="289"/>
        <v>247</v>
      </c>
      <c r="J7950" s="621">
        <f t="shared" si="289"/>
        <v>1484.8137535315109</v>
      </c>
      <c r="K7950" s="621">
        <f t="shared" si="289"/>
        <v>2531</v>
      </c>
      <c r="L7950" s="621">
        <f t="shared" si="289"/>
        <v>34172.948049999992</v>
      </c>
      <c r="M7950" s="621">
        <f t="shared" si="289"/>
        <v>34172.948049999992</v>
      </c>
      <c r="N7950" s="621">
        <f t="shared" si="289"/>
        <v>9651.9</v>
      </c>
      <c r="O7950" s="621">
        <f t="shared" si="289"/>
        <v>0</v>
      </c>
      <c r="P7950" s="621">
        <f t="shared" si="289"/>
        <v>24521.04804999999</v>
      </c>
    </row>
    <row r="7951" spans="1:16">
      <c r="A7951" s="1737"/>
      <c r="B7951" s="1737"/>
      <c r="C7951" s="622" t="s">
        <v>1199</v>
      </c>
      <c r="D7951" s="623">
        <v>34172.948049999992</v>
      </c>
      <c r="E7951" s="623">
        <v>9651.9</v>
      </c>
      <c r="F7951" s="623">
        <v>24521.04804999999</v>
      </c>
      <c r="G7951" s="623">
        <v>2579</v>
      </c>
      <c r="H7951" s="623">
        <v>35657.761803531503</v>
      </c>
      <c r="I7951" s="623">
        <v>247</v>
      </c>
      <c r="J7951" s="623">
        <v>1484.8137535315109</v>
      </c>
      <c r="K7951" s="623">
        <v>2531</v>
      </c>
      <c r="L7951" s="623">
        <v>34172.948049999992</v>
      </c>
      <c r="M7951" s="623">
        <v>34172.948049999992</v>
      </c>
      <c r="N7951" s="623">
        <v>9651.9</v>
      </c>
      <c r="O7951" s="624"/>
      <c r="P7951" s="623">
        <v>24521.04804999999</v>
      </c>
    </row>
    <row r="7952" spans="1:16">
      <c r="A7952" s="1736">
        <v>56</v>
      </c>
      <c r="B7952" s="1736" t="s">
        <v>1992</v>
      </c>
      <c r="C7952" s="587" t="s">
        <v>1196</v>
      </c>
      <c r="D7952" s="621">
        <f>D7953</f>
        <v>23469.639449999999</v>
      </c>
      <c r="E7952" s="621">
        <f t="shared" ref="E7952:P7952" si="290">E7953</f>
        <v>6896.4</v>
      </c>
      <c r="F7952" s="621">
        <f t="shared" si="290"/>
        <v>16573.239450000001</v>
      </c>
      <c r="G7952" s="621">
        <f t="shared" si="290"/>
        <v>1734</v>
      </c>
      <c r="H7952" s="621">
        <f t="shared" si="290"/>
        <v>25497.334016830497</v>
      </c>
      <c r="I7952" s="621">
        <f t="shared" si="290"/>
        <v>286</v>
      </c>
      <c r="J7952" s="621">
        <f t="shared" si="290"/>
        <v>2027.6945668304979</v>
      </c>
      <c r="K7952" s="621">
        <f t="shared" si="290"/>
        <v>1728</v>
      </c>
      <c r="L7952" s="621">
        <f t="shared" si="290"/>
        <v>23469.639449999999</v>
      </c>
      <c r="M7952" s="621">
        <f t="shared" si="290"/>
        <v>23469.639449999999</v>
      </c>
      <c r="N7952" s="621">
        <f t="shared" si="290"/>
        <v>6896.4</v>
      </c>
      <c r="O7952" s="621">
        <f t="shared" si="290"/>
        <v>0</v>
      </c>
      <c r="P7952" s="621">
        <f t="shared" si="290"/>
        <v>16573.239450000001</v>
      </c>
    </row>
    <row r="7953" spans="1:16">
      <c r="A7953" s="1737"/>
      <c r="B7953" s="1737"/>
      <c r="C7953" s="622" t="s">
        <v>1199</v>
      </c>
      <c r="D7953" s="623">
        <v>23469.639449999999</v>
      </c>
      <c r="E7953" s="623">
        <v>6896.4</v>
      </c>
      <c r="F7953" s="623">
        <v>16573.239450000001</v>
      </c>
      <c r="G7953" s="623">
        <v>1734</v>
      </c>
      <c r="H7953" s="623">
        <v>25497.334016830497</v>
      </c>
      <c r="I7953" s="623">
        <v>286</v>
      </c>
      <c r="J7953" s="623">
        <v>2027.6945668304979</v>
      </c>
      <c r="K7953" s="623">
        <v>1728</v>
      </c>
      <c r="L7953" s="623">
        <v>23469.639449999999</v>
      </c>
      <c r="M7953" s="623">
        <v>23469.639449999999</v>
      </c>
      <c r="N7953" s="623">
        <v>6896.4</v>
      </c>
      <c r="O7953" s="624"/>
      <c r="P7953" s="623">
        <v>16573.239450000001</v>
      </c>
    </row>
    <row r="7954" spans="1:16">
      <c r="A7954" s="1736">
        <v>57</v>
      </c>
      <c r="B7954" s="1736" t="s">
        <v>1993</v>
      </c>
      <c r="C7954" s="587" t="s">
        <v>1196</v>
      </c>
      <c r="D7954" s="621">
        <f>D7955</f>
        <v>11096.0676</v>
      </c>
      <c r="E7954" s="621">
        <f t="shared" ref="E7954:P7954" si="291">E7955</f>
        <v>3209.7</v>
      </c>
      <c r="F7954" s="621">
        <f t="shared" si="291"/>
        <v>7886.3676000000005</v>
      </c>
      <c r="G7954" s="621">
        <f t="shared" si="291"/>
        <v>1147</v>
      </c>
      <c r="H7954" s="621">
        <f t="shared" si="291"/>
        <v>14285.537707413501</v>
      </c>
      <c r="I7954" s="621">
        <f t="shared" si="291"/>
        <v>181</v>
      </c>
      <c r="J7954" s="621">
        <f t="shared" si="291"/>
        <v>1050.1221174135007</v>
      </c>
      <c r="K7954" s="621">
        <f t="shared" si="291"/>
        <v>1126</v>
      </c>
      <c r="L7954" s="621">
        <f t="shared" si="291"/>
        <v>11096.0676</v>
      </c>
      <c r="M7954" s="621">
        <f t="shared" si="291"/>
        <v>11096.0676</v>
      </c>
      <c r="N7954" s="621">
        <f t="shared" si="291"/>
        <v>3209.7</v>
      </c>
      <c r="O7954" s="621">
        <f t="shared" si="291"/>
        <v>0</v>
      </c>
      <c r="P7954" s="621">
        <f t="shared" si="291"/>
        <v>7886.3676000000005</v>
      </c>
    </row>
    <row r="7955" spans="1:16">
      <c r="A7955" s="1737"/>
      <c r="B7955" s="1737"/>
      <c r="C7955" s="622" t="s">
        <v>1199</v>
      </c>
      <c r="D7955" s="623">
        <v>11096.0676</v>
      </c>
      <c r="E7955" s="623">
        <v>3209.7</v>
      </c>
      <c r="F7955" s="623">
        <v>7886.3676000000005</v>
      </c>
      <c r="G7955" s="623">
        <v>1147</v>
      </c>
      <c r="H7955" s="623">
        <v>14285.537707413501</v>
      </c>
      <c r="I7955" s="623">
        <v>181</v>
      </c>
      <c r="J7955" s="623">
        <v>1050.1221174135007</v>
      </c>
      <c r="K7955" s="623">
        <v>1126</v>
      </c>
      <c r="L7955" s="623">
        <v>11096.0676</v>
      </c>
      <c r="M7955" s="623">
        <v>11096.0676</v>
      </c>
      <c r="N7955" s="623">
        <v>3209.7</v>
      </c>
      <c r="O7955" s="624"/>
      <c r="P7955" s="623">
        <v>7886.3676000000005</v>
      </c>
    </row>
    <row r="7956" spans="1:16">
      <c r="A7956" s="1736">
        <v>58</v>
      </c>
      <c r="B7956" s="1736" t="s">
        <v>1994</v>
      </c>
      <c r="C7956" s="587" t="s">
        <v>1196</v>
      </c>
      <c r="D7956" s="621">
        <f>D7957</f>
        <v>16076.005969999998</v>
      </c>
      <c r="E7956" s="621">
        <f t="shared" ref="E7956:P7956" si="292">E7957</f>
        <v>3983.3999999999996</v>
      </c>
      <c r="F7956" s="621">
        <f t="shared" si="292"/>
        <v>12092.605969999999</v>
      </c>
      <c r="G7956" s="621">
        <f t="shared" si="292"/>
        <v>1299</v>
      </c>
      <c r="H7956" s="621">
        <f t="shared" si="292"/>
        <v>19756.808918823663</v>
      </c>
      <c r="I7956" s="621">
        <f t="shared" si="292"/>
        <v>265</v>
      </c>
      <c r="J7956" s="621">
        <f t="shared" si="292"/>
        <v>1514.6205888236645</v>
      </c>
      <c r="K7956" s="621">
        <f t="shared" si="292"/>
        <v>1297</v>
      </c>
      <c r="L7956" s="621">
        <f t="shared" si="292"/>
        <v>16076.005969999998</v>
      </c>
      <c r="M7956" s="621">
        <f t="shared" si="292"/>
        <v>16076.005969999998</v>
      </c>
      <c r="N7956" s="621">
        <f t="shared" si="292"/>
        <v>3983.3999999999996</v>
      </c>
      <c r="O7956" s="621">
        <f t="shared" si="292"/>
        <v>0</v>
      </c>
      <c r="P7956" s="621">
        <f t="shared" si="292"/>
        <v>12092.605969999999</v>
      </c>
    </row>
    <row r="7957" spans="1:16">
      <c r="A7957" s="1737"/>
      <c r="B7957" s="1737"/>
      <c r="C7957" s="622" t="s">
        <v>1199</v>
      </c>
      <c r="D7957" s="623">
        <v>16076.005969999998</v>
      </c>
      <c r="E7957" s="623">
        <v>3983.3999999999996</v>
      </c>
      <c r="F7957" s="623">
        <v>12092.605969999999</v>
      </c>
      <c r="G7957" s="623">
        <v>1299</v>
      </c>
      <c r="H7957" s="623">
        <v>19756.808918823663</v>
      </c>
      <c r="I7957" s="623">
        <v>265</v>
      </c>
      <c r="J7957" s="623">
        <v>1514.6205888236645</v>
      </c>
      <c r="K7957" s="623">
        <v>1297</v>
      </c>
      <c r="L7957" s="623">
        <v>16076.005969999998</v>
      </c>
      <c r="M7957" s="623">
        <v>16076.005969999998</v>
      </c>
      <c r="N7957" s="623">
        <v>3983.3999999999996</v>
      </c>
      <c r="O7957" s="624"/>
      <c r="P7957" s="623">
        <v>12092.605969999999</v>
      </c>
    </row>
    <row r="7958" spans="1:16">
      <c r="A7958" s="1736">
        <v>59</v>
      </c>
      <c r="B7958" s="1736" t="s">
        <v>1995</v>
      </c>
      <c r="C7958" s="587" t="s">
        <v>1196</v>
      </c>
      <c r="D7958" s="621">
        <f>D7959</f>
        <v>25864.30975</v>
      </c>
      <c r="E7958" s="621">
        <f t="shared" ref="E7958:P7958" si="293">E7959</f>
        <v>6722.7</v>
      </c>
      <c r="F7958" s="621">
        <f t="shared" si="293"/>
        <v>19141.60975</v>
      </c>
      <c r="G7958" s="621">
        <f t="shared" si="293"/>
        <v>1981</v>
      </c>
      <c r="H7958" s="621">
        <f t="shared" si="293"/>
        <v>26873.229095496506</v>
      </c>
      <c r="I7958" s="621">
        <f t="shared" si="293"/>
        <v>157</v>
      </c>
      <c r="J7958" s="621">
        <f t="shared" si="293"/>
        <v>1008.9193454965061</v>
      </c>
      <c r="K7958" s="621">
        <f t="shared" si="293"/>
        <v>1980</v>
      </c>
      <c r="L7958" s="621">
        <f t="shared" si="293"/>
        <v>25864.30975</v>
      </c>
      <c r="M7958" s="621">
        <f t="shared" si="293"/>
        <v>25864.30975</v>
      </c>
      <c r="N7958" s="621">
        <f t="shared" si="293"/>
        <v>6722.7</v>
      </c>
      <c r="O7958" s="621">
        <f t="shared" si="293"/>
        <v>0</v>
      </c>
      <c r="P7958" s="621">
        <f t="shared" si="293"/>
        <v>19141.60975</v>
      </c>
    </row>
    <row r="7959" spans="1:16">
      <c r="A7959" s="1737"/>
      <c r="B7959" s="1737"/>
      <c r="C7959" s="622" t="s">
        <v>1199</v>
      </c>
      <c r="D7959" s="623">
        <v>25864.30975</v>
      </c>
      <c r="E7959" s="623">
        <v>6722.7</v>
      </c>
      <c r="F7959" s="623">
        <v>19141.60975</v>
      </c>
      <c r="G7959" s="623">
        <v>1981</v>
      </c>
      <c r="H7959" s="623">
        <v>26873.229095496506</v>
      </c>
      <c r="I7959" s="623">
        <v>157</v>
      </c>
      <c r="J7959" s="623">
        <v>1008.9193454965061</v>
      </c>
      <c r="K7959" s="623">
        <v>1980</v>
      </c>
      <c r="L7959" s="623">
        <v>25864.30975</v>
      </c>
      <c r="M7959" s="623">
        <v>25864.30975</v>
      </c>
      <c r="N7959" s="623">
        <v>6722.7</v>
      </c>
      <c r="O7959" s="624"/>
      <c r="P7959" s="623">
        <v>19141.60975</v>
      </c>
    </row>
    <row r="7960" spans="1:16">
      <c r="A7960" s="1736">
        <v>60</v>
      </c>
      <c r="B7960" s="1736" t="s">
        <v>1996</v>
      </c>
      <c r="C7960" s="587" t="s">
        <v>1196</v>
      </c>
      <c r="D7960" s="621">
        <f>D7961</f>
        <v>21265.853700000003</v>
      </c>
      <c r="E7960" s="621">
        <f t="shared" ref="E7960:P7960" si="294">E7961</f>
        <v>6051.9</v>
      </c>
      <c r="F7960" s="621">
        <f t="shared" si="294"/>
        <v>15213.953700000004</v>
      </c>
      <c r="G7960" s="621">
        <f t="shared" si="294"/>
        <v>1465</v>
      </c>
      <c r="H7960" s="621">
        <f t="shared" si="294"/>
        <v>22267.031277564492</v>
      </c>
      <c r="I7960" s="621">
        <f t="shared" si="294"/>
        <v>123</v>
      </c>
      <c r="J7960" s="621">
        <f t="shared" si="294"/>
        <v>1001.1775775644892</v>
      </c>
      <c r="K7960" s="621">
        <f t="shared" si="294"/>
        <v>1460</v>
      </c>
      <c r="L7960" s="621">
        <f t="shared" si="294"/>
        <v>21265.853700000003</v>
      </c>
      <c r="M7960" s="621">
        <f t="shared" si="294"/>
        <v>21265.853700000003</v>
      </c>
      <c r="N7960" s="621">
        <f t="shared" si="294"/>
        <v>6051.9</v>
      </c>
      <c r="O7960" s="621">
        <f t="shared" si="294"/>
        <v>0</v>
      </c>
      <c r="P7960" s="621">
        <f t="shared" si="294"/>
        <v>15213.953700000004</v>
      </c>
    </row>
    <row r="7961" spans="1:16">
      <c r="A7961" s="1737"/>
      <c r="B7961" s="1737"/>
      <c r="C7961" s="622" t="s">
        <v>1199</v>
      </c>
      <c r="D7961" s="623">
        <v>21265.853700000003</v>
      </c>
      <c r="E7961" s="623">
        <v>6051.9</v>
      </c>
      <c r="F7961" s="623">
        <v>15213.953700000004</v>
      </c>
      <c r="G7961" s="623">
        <v>1465</v>
      </c>
      <c r="H7961" s="623">
        <v>22267.031277564492</v>
      </c>
      <c r="I7961" s="623">
        <v>123</v>
      </c>
      <c r="J7961" s="623">
        <v>1001.1775775644892</v>
      </c>
      <c r="K7961" s="623">
        <v>1460</v>
      </c>
      <c r="L7961" s="623">
        <v>21265.853700000003</v>
      </c>
      <c r="M7961" s="623">
        <v>21265.853700000003</v>
      </c>
      <c r="N7961" s="623">
        <v>6051.9</v>
      </c>
      <c r="O7961" s="624"/>
      <c r="P7961" s="623">
        <v>15213.953700000004</v>
      </c>
    </row>
    <row r="7962" spans="1:16">
      <c r="A7962" s="1736">
        <v>61</v>
      </c>
      <c r="B7962" s="1736" t="s">
        <v>1997</v>
      </c>
      <c r="C7962" s="587" t="s">
        <v>1196</v>
      </c>
      <c r="D7962" s="621">
        <f>D7963</f>
        <v>15219.54967</v>
      </c>
      <c r="E7962" s="621">
        <f t="shared" ref="E7962:P7962" si="295">E7963</f>
        <v>4417.5</v>
      </c>
      <c r="F7962" s="621">
        <f t="shared" si="295"/>
        <v>10802.04967</v>
      </c>
      <c r="G7962" s="621">
        <f t="shared" si="295"/>
        <v>1543</v>
      </c>
      <c r="H7962" s="621">
        <f t="shared" si="295"/>
        <v>17977.764427711998</v>
      </c>
      <c r="I7962" s="621">
        <f t="shared" si="295"/>
        <v>109</v>
      </c>
      <c r="J7962" s="621">
        <f t="shared" si="295"/>
        <v>629.83539837590001</v>
      </c>
      <c r="K7962" s="621">
        <f t="shared" si="295"/>
        <v>1542</v>
      </c>
      <c r="L7962" s="621">
        <f t="shared" si="295"/>
        <v>15219.54967</v>
      </c>
      <c r="M7962" s="621">
        <f t="shared" si="295"/>
        <v>15219.54967</v>
      </c>
      <c r="N7962" s="621">
        <f t="shared" si="295"/>
        <v>4417.5</v>
      </c>
      <c r="O7962" s="621">
        <f t="shared" si="295"/>
        <v>0</v>
      </c>
      <c r="P7962" s="621">
        <f t="shared" si="295"/>
        <v>10802.04967</v>
      </c>
    </row>
    <row r="7963" spans="1:16">
      <c r="A7963" s="1737"/>
      <c r="B7963" s="1737"/>
      <c r="C7963" s="622" t="s">
        <v>1199</v>
      </c>
      <c r="D7963" s="623">
        <v>15219.54967</v>
      </c>
      <c r="E7963" s="623">
        <v>4417.5</v>
      </c>
      <c r="F7963" s="623">
        <v>10802.04967</v>
      </c>
      <c r="G7963" s="623">
        <v>1543</v>
      </c>
      <c r="H7963" s="623">
        <v>17977.764427711998</v>
      </c>
      <c r="I7963" s="623">
        <v>109</v>
      </c>
      <c r="J7963" s="623">
        <v>629.83539837590001</v>
      </c>
      <c r="K7963" s="623">
        <v>1542</v>
      </c>
      <c r="L7963" s="623">
        <v>15219.54967</v>
      </c>
      <c r="M7963" s="623">
        <v>15219.54967</v>
      </c>
      <c r="N7963" s="623">
        <v>4417.5</v>
      </c>
      <c r="O7963" s="624"/>
      <c r="P7963" s="623">
        <v>10802.04967</v>
      </c>
    </row>
    <row r="7964" spans="1:16">
      <c r="A7964" s="1736">
        <v>62</v>
      </c>
      <c r="B7964" s="1736" t="s">
        <v>1998</v>
      </c>
      <c r="C7964" s="587" t="s">
        <v>1196</v>
      </c>
      <c r="D7964" s="621">
        <f>D7965</f>
        <v>32761.67193</v>
      </c>
      <c r="E7964" s="621">
        <f t="shared" ref="E7964:P7964" si="296">E7965</f>
        <v>9139.7999999999993</v>
      </c>
      <c r="F7964" s="621">
        <f t="shared" si="296"/>
        <v>23621.871930000001</v>
      </c>
      <c r="G7964" s="621">
        <f t="shared" si="296"/>
        <v>2455</v>
      </c>
      <c r="H7964" s="621">
        <f t="shared" si="296"/>
        <v>35580.106991433669</v>
      </c>
      <c r="I7964" s="621">
        <f t="shared" si="296"/>
        <v>322</v>
      </c>
      <c r="J7964" s="621">
        <f t="shared" si="296"/>
        <v>2818.435061433669</v>
      </c>
      <c r="K7964" s="621">
        <f t="shared" si="296"/>
        <v>2448</v>
      </c>
      <c r="L7964" s="621">
        <f t="shared" si="296"/>
        <v>32761.67193</v>
      </c>
      <c r="M7964" s="621">
        <f t="shared" si="296"/>
        <v>32761.67193</v>
      </c>
      <c r="N7964" s="621">
        <f t="shared" si="296"/>
        <v>9139.7999999999993</v>
      </c>
      <c r="O7964" s="621">
        <f t="shared" si="296"/>
        <v>0</v>
      </c>
      <c r="P7964" s="621">
        <f t="shared" si="296"/>
        <v>23621.871930000001</v>
      </c>
    </row>
    <row r="7965" spans="1:16">
      <c r="A7965" s="1737"/>
      <c r="B7965" s="1737"/>
      <c r="C7965" s="622" t="s">
        <v>1199</v>
      </c>
      <c r="D7965" s="623">
        <v>32761.67193</v>
      </c>
      <c r="E7965" s="623">
        <v>9139.7999999999993</v>
      </c>
      <c r="F7965" s="623">
        <v>23621.871930000001</v>
      </c>
      <c r="G7965" s="623">
        <v>2455</v>
      </c>
      <c r="H7965" s="623">
        <v>35580.106991433669</v>
      </c>
      <c r="I7965" s="623">
        <v>322</v>
      </c>
      <c r="J7965" s="623">
        <v>2818.435061433669</v>
      </c>
      <c r="K7965" s="623">
        <v>2448</v>
      </c>
      <c r="L7965" s="623">
        <v>32761.67193</v>
      </c>
      <c r="M7965" s="623">
        <v>32761.67193</v>
      </c>
      <c r="N7965" s="623">
        <v>9139.7999999999993</v>
      </c>
      <c r="O7965" s="624"/>
      <c r="P7965" s="623">
        <v>23621.871930000001</v>
      </c>
    </row>
    <row r="7966" spans="1:16">
      <c r="A7966" s="1736">
        <v>63</v>
      </c>
      <c r="B7966" s="1736" t="s">
        <v>1999</v>
      </c>
      <c r="C7966" s="587" t="s">
        <v>1196</v>
      </c>
      <c r="D7966" s="621">
        <f>D7967</f>
        <v>23880.351060000001</v>
      </c>
      <c r="E7966" s="621">
        <f t="shared" ref="E7966:P7966" si="297">E7967</f>
        <v>6101.0999999999995</v>
      </c>
      <c r="F7966" s="621">
        <f t="shared" si="297"/>
        <v>17779.251060000002</v>
      </c>
      <c r="G7966" s="621">
        <f t="shared" si="297"/>
        <v>1770</v>
      </c>
      <c r="H7966" s="621">
        <f t="shared" si="297"/>
        <v>25179.079427514</v>
      </c>
      <c r="I7966" s="621">
        <f t="shared" si="297"/>
        <v>232</v>
      </c>
      <c r="J7966" s="621">
        <f t="shared" si="297"/>
        <v>1298.7283675139988</v>
      </c>
      <c r="K7966" s="621">
        <f t="shared" si="297"/>
        <v>1763</v>
      </c>
      <c r="L7966" s="621">
        <f t="shared" si="297"/>
        <v>23880.351060000001</v>
      </c>
      <c r="M7966" s="621">
        <f t="shared" si="297"/>
        <v>23880.351060000001</v>
      </c>
      <c r="N7966" s="621">
        <f t="shared" si="297"/>
        <v>6101.0999999999995</v>
      </c>
      <c r="O7966" s="621">
        <f t="shared" si="297"/>
        <v>0</v>
      </c>
      <c r="P7966" s="621">
        <f t="shared" si="297"/>
        <v>17779.251060000002</v>
      </c>
    </row>
    <row r="7967" spans="1:16">
      <c r="A7967" s="1737"/>
      <c r="B7967" s="1737"/>
      <c r="C7967" s="622" t="s">
        <v>1199</v>
      </c>
      <c r="D7967" s="623">
        <v>23880.351060000001</v>
      </c>
      <c r="E7967" s="623">
        <v>6101.0999999999995</v>
      </c>
      <c r="F7967" s="623">
        <v>17779.251060000002</v>
      </c>
      <c r="G7967" s="623">
        <v>1770</v>
      </c>
      <c r="H7967" s="623">
        <v>25179.079427514</v>
      </c>
      <c r="I7967" s="623">
        <v>232</v>
      </c>
      <c r="J7967" s="623">
        <v>1298.7283675139988</v>
      </c>
      <c r="K7967" s="623">
        <v>1763</v>
      </c>
      <c r="L7967" s="623">
        <v>23880.351060000001</v>
      </c>
      <c r="M7967" s="623">
        <v>23880.351060000001</v>
      </c>
      <c r="N7967" s="623">
        <v>6101.0999999999995</v>
      </c>
      <c r="O7967" s="624"/>
      <c r="P7967" s="623">
        <v>17779.251060000002</v>
      </c>
    </row>
    <row r="7968" spans="1:16">
      <c r="A7968" s="1736">
        <v>64</v>
      </c>
      <c r="B7968" s="1736" t="s">
        <v>2000</v>
      </c>
      <c r="C7968" s="587" t="s">
        <v>1196</v>
      </c>
      <c r="D7968" s="621">
        <f>D7969</f>
        <v>13966.967100000002</v>
      </c>
      <c r="E7968" s="621">
        <f t="shared" ref="E7968:P7968" si="298">E7969</f>
        <v>3429</v>
      </c>
      <c r="F7968" s="621">
        <f t="shared" si="298"/>
        <v>10537.967100000002</v>
      </c>
      <c r="G7968" s="621">
        <f t="shared" si="298"/>
        <v>1087</v>
      </c>
      <c r="H7968" s="621">
        <f t="shared" si="298"/>
        <v>14965.197105008829</v>
      </c>
      <c r="I7968" s="621">
        <f t="shared" si="298"/>
        <v>200</v>
      </c>
      <c r="J7968" s="621">
        <f t="shared" si="298"/>
        <v>998.23000500882699</v>
      </c>
      <c r="K7968" s="621">
        <f t="shared" si="298"/>
        <v>1086</v>
      </c>
      <c r="L7968" s="621">
        <f t="shared" si="298"/>
        <v>13966.967100000002</v>
      </c>
      <c r="M7968" s="621">
        <f t="shared" si="298"/>
        <v>13966.967100000002</v>
      </c>
      <c r="N7968" s="621">
        <f t="shared" si="298"/>
        <v>3429</v>
      </c>
      <c r="O7968" s="621">
        <f t="shared" si="298"/>
        <v>0</v>
      </c>
      <c r="P7968" s="621">
        <f t="shared" si="298"/>
        <v>10537.967100000002</v>
      </c>
    </row>
    <row r="7969" spans="1:16">
      <c r="A7969" s="1737"/>
      <c r="B7969" s="1737"/>
      <c r="C7969" s="622" t="s">
        <v>1199</v>
      </c>
      <c r="D7969" s="623">
        <v>13966.967100000002</v>
      </c>
      <c r="E7969" s="623">
        <v>3429</v>
      </c>
      <c r="F7969" s="623">
        <v>10537.967100000002</v>
      </c>
      <c r="G7969" s="623">
        <v>1087</v>
      </c>
      <c r="H7969" s="623">
        <v>14965.197105008829</v>
      </c>
      <c r="I7969" s="623">
        <v>200</v>
      </c>
      <c r="J7969" s="623">
        <v>998.23000500882699</v>
      </c>
      <c r="K7969" s="623">
        <v>1086</v>
      </c>
      <c r="L7969" s="623">
        <v>13966.967100000002</v>
      </c>
      <c r="M7969" s="623">
        <v>13966.967100000002</v>
      </c>
      <c r="N7969" s="623">
        <v>3429</v>
      </c>
      <c r="O7969" s="624"/>
      <c r="P7969" s="623">
        <v>10537.967100000002</v>
      </c>
    </row>
    <row r="7970" spans="1:16">
      <c r="A7970" s="1736">
        <v>65</v>
      </c>
      <c r="B7970" s="1736" t="s">
        <v>2001</v>
      </c>
      <c r="C7970" s="587" t="s">
        <v>1196</v>
      </c>
      <c r="D7970" s="621">
        <f>D7971</f>
        <v>15760.710799999999</v>
      </c>
      <c r="E7970" s="621">
        <f t="shared" ref="E7970:P7970" si="299">E7971</f>
        <v>3765.6</v>
      </c>
      <c r="F7970" s="621">
        <f t="shared" si="299"/>
        <v>11995.110799999999</v>
      </c>
      <c r="G7970" s="621">
        <f t="shared" si="299"/>
        <v>1508</v>
      </c>
      <c r="H7970" s="621">
        <f t="shared" si="299"/>
        <v>19104.930923987671</v>
      </c>
      <c r="I7970" s="621">
        <f t="shared" si="299"/>
        <v>203</v>
      </c>
      <c r="J7970" s="621">
        <f t="shared" si="299"/>
        <v>1083.2167339876723</v>
      </c>
      <c r="K7970" s="621">
        <f t="shared" si="299"/>
        <v>1500</v>
      </c>
      <c r="L7970" s="621">
        <f t="shared" si="299"/>
        <v>15760.710799999999</v>
      </c>
      <c r="M7970" s="621">
        <f t="shared" si="299"/>
        <v>15760.710799999999</v>
      </c>
      <c r="N7970" s="621">
        <f t="shared" si="299"/>
        <v>3765.6</v>
      </c>
      <c r="O7970" s="621">
        <f t="shared" si="299"/>
        <v>0</v>
      </c>
      <c r="P7970" s="621">
        <f t="shared" si="299"/>
        <v>11995.110799999999</v>
      </c>
    </row>
    <row r="7971" spans="1:16">
      <c r="A7971" s="1737"/>
      <c r="B7971" s="1737"/>
      <c r="C7971" s="622" t="s">
        <v>1199</v>
      </c>
      <c r="D7971" s="623">
        <v>15760.710799999999</v>
      </c>
      <c r="E7971" s="623">
        <v>3765.6</v>
      </c>
      <c r="F7971" s="623">
        <v>11995.110799999999</v>
      </c>
      <c r="G7971" s="623">
        <v>1508</v>
      </c>
      <c r="H7971" s="623">
        <v>19104.930923987671</v>
      </c>
      <c r="I7971" s="623">
        <v>203</v>
      </c>
      <c r="J7971" s="623">
        <v>1083.2167339876723</v>
      </c>
      <c r="K7971" s="623">
        <v>1500</v>
      </c>
      <c r="L7971" s="623">
        <v>15760.710799999999</v>
      </c>
      <c r="M7971" s="623">
        <v>15760.710799999999</v>
      </c>
      <c r="N7971" s="623">
        <v>3765.6</v>
      </c>
      <c r="O7971" s="624"/>
      <c r="P7971" s="623">
        <v>11995.110799999999</v>
      </c>
    </row>
    <row r="7972" spans="1:16">
      <c r="A7972" s="1736">
        <v>66</v>
      </c>
      <c r="B7972" s="1736" t="s">
        <v>2002</v>
      </c>
      <c r="C7972" s="587" t="s">
        <v>1196</v>
      </c>
      <c r="D7972" s="621">
        <f>D7973</f>
        <v>27633.378120000001</v>
      </c>
      <c r="E7972" s="621">
        <f t="shared" ref="E7972:P7972" si="300">E7973</f>
        <v>7276.2</v>
      </c>
      <c r="F7972" s="621">
        <f t="shared" si="300"/>
        <v>20357.17812</v>
      </c>
      <c r="G7972" s="621">
        <f t="shared" si="300"/>
        <v>1977</v>
      </c>
      <c r="H7972" s="621">
        <f t="shared" si="300"/>
        <v>28989.955625901664</v>
      </c>
      <c r="I7972" s="621">
        <f t="shared" si="300"/>
        <v>263</v>
      </c>
      <c r="J7972" s="621">
        <f t="shared" si="300"/>
        <v>1356.5775059016632</v>
      </c>
      <c r="K7972" s="621">
        <f t="shared" si="300"/>
        <v>1965</v>
      </c>
      <c r="L7972" s="621">
        <f t="shared" si="300"/>
        <v>27633.378120000001</v>
      </c>
      <c r="M7972" s="621">
        <f t="shared" si="300"/>
        <v>27633.378120000001</v>
      </c>
      <c r="N7972" s="621">
        <f t="shared" si="300"/>
        <v>7276.2</v>
      </c>
      <c r="O7972" s="621">
        <f t="shared" si="300"/>
        <v>0</v>
      </c>
      <c r="P7972" s="621">
        <f t="shared" si="300"/>
        <v>20357.17812</v>
      </c>
    </row>
    <row r="7973" spans="1:16">
      <c r="A7973" s="1737"/>
      <c r="B7973" s="1737"/>
      <c r="C7973" s="622" t="s">
        <v>1199</v>
      </c>
      <c r="D7973" s="623">
        <v>27633.378120000001</v>
      </c>
      <c r="E7973" s="623">
        <v>7276.2</v>
      </c>
      <c r="F7973" s="623">
        <v>20357.17812</v>
      </c>
      <c r="G7973" s="623">
        <v>1977</v>
      </c>
      <c r="H7973" s="623">
        <v>28989.955625901664</v>
      </c>
      <c r="I7973" s="623">
        <v>263</v>
      </c>
      <c r="J7973" s="623">
        <v>1356.5775059016632</v>
      </c>
      <c r="K7973" s="623">
        <v>1965</v>
      </c>
      <c r="L7973" s="623">
        <v>27633.378120000001</v>
      </c>
      <c r="M7973" s="623">
        <v>27633.378120000001</v>
      </c>
      <c r="N7973" s="623">
        <v>7276.2</v>
      </c>
      <c r="O7973" s="624"/>
      <c r="P7973" s="623">
        <v>20357.17812</v>
      </c>
    </row>
    <row r="7974" spans="1:16">
      <c r="A7974" s="1736">
        <v>67</v>
      </c>
      <c r="B7974" s="1736" t="s">
        <v>2003</v>
      </c>
      <c r="C7974" s="587" t="s">
        <v>1196</v>
      </c>
      <c r="D7974" s="621">
        <f>D7975</f>
        <v>6301.0465300000005</v>
      </c>
      <c r="E7974" s="621">
        <f t="shared" ref="E7974:P7974" si="301">E7975</f>
        <v>1896</v>
      </c>
      <c r="F7974" s="621">
        <f t="shared" si="301"/>
        <v>4405.0465300000005</v>
      </c>
      <c r="G7974" s="621">
        <f t="shared" si="301"/>
        <v>589</v>
      </c>
      <c r="H7974" s="621">
        <f t="shared" si="301"/>
        <v>6529.3691234921662</v>
      </c>
      <c r="I7974" s="621">
        <f t="shared" si="301"/>
        <v>59</v>
      </c>
      <c r="J7974" s="621">
        <f t="shared" si="301"/>
        <v>228.32259349216565</v>
      </c>
      <c r="K7974" s="621">
        <f t="shared" si="301"/>
        <v>588</v>
      </c>
      <c r="L7974" s="621">
        <f t="shared" si="301"/>
        <v>6301.0465300000005</v>
      </c>
      <c r="M7974" s="621">
        <f t="shared" si="301"/>
        <v>6301.0465300000005</v>
      </c>
      <c r="N7974" s="621">
        <f t="shared" si="301"/>
        <v>1896</v>
      </c>
      <c r="O7974" s="621">
        <f t="shared" si="301"/>
        <v>0</v>
      </c>
      <c r="P7974" s="621">
        <f t="shared" si="301"/>
        <v>4405.0465300000005</v>
      </c>
    </row>
    <row r="7975" spans="1:16">
      <c r="A7975" s="1737"/>
      <c r="B7975" s="1737"/>
      <c r="C7975" s="622" t="s">
        <v>1199</v>
      </c>
      <c r="D7975" s="623">
        <v>6301.0465300000005</v>
      </c>
      <c r="E7975" s="623">
        <v>1896</v>
      </c>
      <c r="F7975" s="623">
        <v>4405.0465300000005</v>
      </c>
      <c r="G7975" s="623">
        <v>589</v>
      </c>
      <c r="H7975" s="623">
        <v>6529.3691234921662</v>
      </c>
      <c r="I7975" s="623">
        <v>59</v>
      </c>
      <c r="J7975" s="623">
        <v>228.32259349216565</v>
      </c>
      <c r="K7975" s="623">
        <v>588</v>
      </c>
      <c r="L7975" s="623">
        <v>6301.0465300000005</v>
      </c>
      <c r="M7975" s="623">
        <v>6301.0465300000005</v>
      </c>
      <c r="N7975" s="623">
        <v>1896</v>
      </c>
      <c r="O7975" s="624"/>
      <c r="P7975" s="623">
        <v>4405.0465300000005</v>
      </c>
    </row>
    <row r="7976" spans="1:16">
      <c r="A7976" s="1736">
        <v>68</v>
      </c>
      <c r="B7976" s="1736" t="s">
        <v>2004</v>
      </c>
      <c r="C7976" s="587" t="s">
        <v>1196</v>
      </c>
      <c r="D7976" s="621">
        <f>D7977</f>
        <v>12318.03441</v>
      </c>
      <c r="E7976" s="621">
        <f t="shared" ref="E7976:P7976" si="302">E7977</f>
        <v>3577.7999999999997</v>
      </c>
      <c r="F7976" s="621">
        <f t="shared" si="302"/>
        <v>8740.2344100000009</v>
      </c>
      <c r="G7976" s="621">
        <f t="shared" si="302"/>
        <v>995</v>
      </c>
      <c r="H7976" s="621">
        <f t="shared" si="302"/>
        <v>13099.491974166496</v>
      </c>
      <c r="I7976" s="621">
        <f t="shared" si="302"/>
        <v>147</v>
      </c>
      <c r="J7976" s="621">
        <f t="shared" si="302"/>
        <v>781.45856416649622</v>
      </c>
      <c r="K7976" s="621">
        <f t="shared" si="302"/>
        <v>994</v>
      </c>
      <c r="L7976" s="621">
        <f t="shared" si="302"/>
        <v>12318.03441</v>
      </c>
      <c r="M7976" s="621">
        <f t="shared" si="302"/>
        <v>12318.03441</v>
      </c>
      <c r="N7976" s="621">
        <f t="shared" si="302"/>
        <v>3577.7999999999997</v>
      </c>
      <c r="O7976" s="621">
        <f t="shared" si="302"/>
        <v>0</v>
      </c>
      <c r="P7976" s="621">
        <f t="shared" si="302"/>
        <v>8740.2344100000009</v>
      </c>
    </row>
    <row r="7977" spans="1:16">
      <c r="A7977" s="1737"/>
      <c r="B7977" s="1737"/>
      <c r="C7977" s="622" t="s">
        <v>1199</v>
      </c>
      <c r="D7977" s="623">
        <v>12318.03441</v>
      </c>
      <c r="E7977" s="623">
        <v>3577.7999999999997</v>
      </c>
      <c r="F7977" s="623">
        <v>8740.2344100000009</v>
      </c>
      <c r="G7977" s="623">
        <v>995</v>
      </c>
      <c r="H7977" s="623">
        <v>13099.491974166496</v>
      </c>
      <c r="I7977" s="623">
        <v>147</v>
      </c>
      <c r="J7977" s="623">
        <v>781.45856416649622</v>
      </c>
      <c r="K7977" s="623">
        <v>994</v>
      </c>
      <c r="L7977" s="623">
        <v>12318.03441</v>
      </c>
      <c r="M7977" s="623">
        <v>12318.03441</v>
      </c>
      <c r="N7977" s="623">
        <v>3577.7999999999997</v>
      </c>
      <c r="O7977" s="624"/>
      <c r="P7977" s="623">
        <v>8740.2344100000009</v>
      </c>
    </row>
    <row r="7978" spans="1:16">
      <c r="A7978" s="1736">
        <v>69</v>
      </c>
      <c r="B7978" s="1736" t="s">
        <v>2005</v>
      </c>
      <c r="C7978" s="587" t="s">
        <v>1196</v>
      </c>
      <c r="D7978" s="621">
        <f>D7979</f>
        <v>8552.2172599999994</v>
      </c>
      <c r="E7978" s="621">
        <f t="shared" ref="E7978:P7978" si="303">E7979</f>
        <v>2297.4</v>
      </c>
      <c r="F7978" s="621">
        <f t="shared" si="303"/>
        <v>6254.8172599999998</v>
      </c>
      <c r="G7978" s="621">
        <f t="shared" si="303"/>
        <v>640</v>
      </c>
      <c r="H7978" s="621">
        <f t="shared" si="303"/>
        <v>9443.6768733753343</v>
      </c>
      <c r="I7978" s="621">
        <f t="shared" si="303"/>
        <v>157</v>
      </c>
      <c r="J7978" s="621">
        <f t="shared" si="303"/>
        <v>891.45961337533481</v>
      </c>
      <c r="K7978" s="621">
        <f t="shared" si="303"/>
        <v>628</v>
      </c>
      <c r="L7978" s="621">
        <f t="shared" si="303"/>
        <v>8552.2172599999994</v>
      </c>
      <c r="M7978" s="621">
        <f t="shared" si="303"/>
        <v>8552.2172599999994</v>
      </c>
      <c r="N7978" s="621">
        <f t="shared" si="303"/>
        <v>2297.4</v>
      </c>
      <c r="O7978" s="621">
        <f t="shared" si="303"/>
        <v>0</v>
      </c>
      <c r="P7978" s="621">
        <f t="shared" si="303"/>
        <v>6254.8172599999998</v>
      </c>
    </row>
    <row r="7979" spans="1:16">
      <c r="A7979" s="1737"/>
      <c r="B7979" s="1737"/>
      <c r="C7979" s="622" t="s">
        <v>1199</v>
      </c>
      <c r="D7979" s="623">
        <v>8552.2172599999994</v>
      </c>
      <c r="E7979" s="623">
        <v>2297.4</v>
      </c>
      <c r="F7979" s="623">
        <v>6254.8172599999998</v>
      </c>
      <c r="G7979" s="623">
        <v>640</v>
      </c>
      <c r="H7979" s="623">
        <v>9443.6768733753343</v>
      </c>
      <c r="I7979" s="623">
        <v>157</v>
      </c>
      <c r="J7979" s="623">
        <v>891.45961337533481</v>
      </c>
      <c r="K7979" s="623">
        <v>628</v>
      </c>
      <c r="L7979" s="623">
        <v>8552.2172599999994</v>
      </c>
      <c r="M7979" s="623">
        <v>8552.2172599999994</v>
      </c>
      <c r="N7979" s="623">
        <v>2297.4</v>
      </c>
      <c r="O7979" s="624"/>
      <c r="P7979" s="623">
        <v>6254.8172599999998</v>
      </c>
    </row>
    <row r="7980" spans="1:16">
      <c r="A7980" s="1736">
        <v>70</v>
      </c>
      <c r="B7980" s="1736" t="s">
        <v>2006</v>
      </c>
      <c r="C7980" s="587" t="s">
        <v>1196</v>
      </c>
      <c r="D7980" s="621">
        <f>D7981</f>
        <v>169378.65304</v>
      </c>
      <c r="E7980" s="621">
        <f t="shared" ref="E7980:P7980" si="304">E7981</f>
        <v>55421.1</v>
      </c>
      <c r="F7980" s="621">
        <f t="shared" si="304"/>
        <v>113957.55304</v>
      </c>
      <c r="G7980" s="621">
        <f t="shared" si="304"/>
        <v>601</v>
      </c>
      <c r="H7980" s="621">
        <f t="shared" si="304"/>
        <v>169747.07441333332</v>
      </c>
      <c r="I7980" s="621">
        <f t="shared" si="304"/>
        <v>2</v>
      </c>
      <c r="J7980" s="621">
        <f t="shared" si="304"/>
        <v>368.4213733333163</v>
      </c>
      <c r="K7980" s="621">
        <f t="shared" si="304"/>
        <v>600</v>
      </c>
      <c r="L7980" s="621">
        <f t="shared" si="304"/>
        <v>169378.65304</v>
      </c>
      <c r="M7980" s="621">
        <f t="shared" si="304"/>
        <v>169378.65304</v>
      </c>
      <c r="N7980" s="621">
        <f t="shared" si="304"/>
        <v>55421.1</v>
      </c>
      <c r="O7980" s="621">
        <f t="shared" si="304"/>
        <v>0</v>
      </c>
      <c r="P7980" s="621">
        <f t="shared" si="304"/>
        <v>113957.55304</v>
      </c>
    </row>
    <row r="7981" spans="1:16">
      <c r="A7981" s="1737"/>
      <c r="B7981" s="1737"/>
      <c r="C7981" s="622" t="s">
        <v>1199</v>
      </c>
      <c r="D7981" s="623">
        <v>169378.65304</v>
      </c>
      <c r="E7981" s="623">
        <v>55421.1</v>
      </c>
      <c r="F7981" s="623">
        <v>113957.55304</v>
      </c>
      <c r="G7981" s="623">
        <v>601</v>
      </c>
      <c r="H7981" s="623">
        <v>169747.07441333332</v>
      </c>
      <c r="I7981" s="623">
        <v>2</v>
      </c>
      <c r="J7981" s="623">
        <v>368.4213733333163</v>
      </c>
      <c r="K7981" s="623">
        <v>600</v>
      </c>
      <c r="L7981" s="623">
        <v>169378.65304</v>
      </c>
      <c r="M7981" s="623">
        <v>169378.65304</v>
      </c>
      <c r="N7981" s="623">
        <v>55421.1</v>
      </c>
      <c r="O7981" s="624"/>
      <c r="P7981" s="623">
        <v>113957.55304</v>
      </c>
    </row>
    <row r="7982" spans="1:16">
      <c r="A7982" s="1736">
        <v>71</v>
      </c>
      <c r="B7982" s="1736" t="s">
        <v>2007</v>
      </c>
      <c r="C7982" s="587" t="s">
        <v>1196</v>
      </c>
      <c r="D7982" s="624">
        <v>5458.4970400000002</v>
      </c>
      <c r="E7982" s="621">
        <v>1939.5</v>
      </c>
      <c r="F7982" s="624">
        <v>3518.9970400000002</v>
      </c>
      <c r="G7982" s="624">
        <v>307</v>
      </c>
      <c r="H7982" s="624">
        <v>5630.7489870075005</v>
      </c>
      <c r="I7982" s="624">
        <v>27</v>
      </c>
      <c r="J7982" s="624">
        <v>172.25194700750035</v>
      </c>
      <c r="K7982" s="624">
        <v>306</v>
      </c>
      <c r="L7982" s="626">
        <v>5458.4970400000002</v>
      </c>
      <c r="M7982" s="623">
        <v>5458.4970400000002</v>
      </c>
      <c r="N7982" s="624">
        <v>1939.5</v>
      </c>
      <c r="O7982" s="624">
        <v>0</v>
      </c>
      <c r="P7982" s="624">
        <v>3518.9970400000002</v>
      </c>
    </row>
    <row r="7983" spans="1:16">
      <c r="A7983" s="1737"/>
      <c r="B7983" s="1737"/>
      <c r="C7983" s="622" t="s">
        <v>1199</v>
      </c>
      <c r="D7983" s="623">
        <v>5458.4970400000002</v>
      </c>
      <c r="E7983" s="623">
        <v>1939.5</v>
      </c>
      <c r="F7983" s="623">
        <v>3518.9970400000002</v>
      </c>
      <c r="G7983" s="623">
        <v>307</v>
      </c>
      <c r="H7983" s="623">
        <v>5630.7489870075005</v>
      </c>
      <c r="I7983" s="623">
        <v>27</v>
      </c>
      <c r="J7983" s="623">
        <v>172.25194700750035</v>
      </c>
      <c r="K7983" s="623">
        <v>306</v>
      </c>
      <c r="L7983" s="623">
        <v>5458.4970400000002</v>
      </c>
      <c r="M7983" s="623">
        <v>5458.4970400000002</v>
      </c>
      <c r="N7983" s="623">
        <v>1939.5</v>
      </c>
      <c r="O7983" s="624"/>
      <c r="P7983" s="623">
        <v>3518.9970400000002</v>
      </c>
    </row>
    <row r="7984" spans="1:16">
      <c r="A7984" s="1736">
        <v>72</v>
      </c>
      <c r="B7984" s="1736" t="s">
        <v>2008</v>
      </c>
      <c r="C7984" s="587" t="s">
        <v>1196</v>
      </c>
      <c r="D7984" s="621">
        <f>D7985+D7986</f>
        <v>193954.97664000001</v>
      </c>
      <c r="E7984" s="621">
        <f t="shared" ref="E7984:P7984" si="305">E7985+E7986</f>
        <v>97770</v>
      </c>
      <c r="F7984" s="621">
        <f t="shared" si="305"/>
        <v>96184.976639999993</v>
      </c>
      <c r="G7984" s="621">
        <f t="shared" si="305"/>
        <v>1902</v>
      </c>
      <c r="H7984" s="621">
        <f t="shared" si="305"/>
        <v>197364.10114452068</v>
      </c>
      <c r="I7984" s="621">
        <f t="shared" si="305"/>
        <v>135</v>
      </c>
      <c r="J7984" s="621">
        <f t="shared" si="305"/>
        <v>1870.6735845206726</v>
      </c>
      <c r="K7984" s="621">
        <f t="shared" si="305"/>
        <v>1902</v>
      </c>
      <c r="L7984" s="621">
        <f t="shared" si="305"/>
        <v>193954.97664000001</v>
      </c>
      <c r="M7984" s="621">
        <f t="shared" si="305"/>
        <v>193954.97664000001</v>
      </c>
      <c r="N7984" s="621">
        <f t="shared" si="305"/>
        <v>97770</v>
      </c>
      <c r="O7984" s="621">
        <f t="shared" si="305"/>
        <v>0</v>
      </c>
      <c r="P7984" s="621">
        <f t="shared" si="305"/>
        <v>96184.976639999993</v>
      </c>
    </row>
    <row r="7985" spans="1:111">
      <c r="A7985" s="1738"/>
      <c r="B7985" s="1738"/>
      <c r="C7985" s="622" t="s">
        <v>1199</v>
      </c>
      <c r="D7985" s="623">
        <v>149863.90831999999</v>
      </c>
      <c r="E7985" s="623">
        <v>83370</v>
      </c>
      <c r="F7985" s="623">
        <v>66493.908319999988</v>
      </c>
      <c r="G7985" s="623">
        <v>1411</v>
      </c>
      <c r="H7985" s="623">
        <v>152070.62975666666</v>
      </c>
      <c r="I7985" s="623">
        <v>75</v>
      </c>
      <c r="J7985" s="623">
        <v>668.27051666667239</v>
      </c>
      <c r="K7985" s="623">
        <v>1411</v>
      </c>
      <c r="L7985" s="623">
        <v>149863.90831999999</v>
      </c>
      <c r="M7985" s="623">
        <v>149863.90831999999</v>
      </c>
      <c r="N7985" s="623">
        <v>83370</v>
      </c>
      <c r="O7985" s="624"/>
      <c r="P7985" s="623">
        <v>66493.908319999988</v>
      </c>
    </row>
    <row r="7986" spans="1:111">
      <c r="A7986" s="1737"/>
      <c r="B7986" s="1737"/>
      <c r="C7986" s="622" t="s">
        <v>1197</v>
      </c>
      <c r="D7986" s="623">
        <v>44091.068320000006</v>
      </c>
      <c r="E7986" s="623">
        <v>14400</v>
      </c>
      <c r="F7986" s="623">
        <v>29691.068320000006</v>
      </c>
      <c r="G7986" s="623">
        <v>491</v>
      </c>
      <c r="H7986" s="623">
        <v>45293.471387854006</v>
      </c>
      <c r="I7986" s="623">
        <v>60</v>
      </c>
      <c r="J7986" s="623">
        <v>1202.4030678540003</v>
      </c>
      <c r="K7986" s="623">
        <v>491</v>
      </c>
      <c r="L7986" s="623">
        <v>44091.068320000006</v>
      </c>
      <c r="M7986" s="623">
        <v>44091.068320000006</v>
      </c>
      <c r="N7986" s="623">
        <v>14400</v>
      </c>
      <c r="O7986" s="624"/>
      <c r="P7986" s="623">
        <v>29691.068320000006</v>
      </c>
    </row>
    <row r="7987" spans="1:111">
      <c r="A7987" s="1736">
        <v>73</v>
      </c>
      <c r="B7987" s="1736" t="s">
        <v>2009</v>
      </c>
      <c r="C7987" s="587" t="s">
        <v>1196</v>
      </c>
      <c r="D7987" s="621">
        <f>D7988</f>
        <v>58296.990401999996</v>
      </c>
      <c r="E7987" s="621">
        <f t="shared" ref="E7987:P7987" si="306">E7988</f>
        <v>17489.099999999999</v>
      </c>
      <c r="F7987" s="621">
        <f t="shared" si="306"/>
        <v>40807.890401999997</v>
      </c>
      <c r="G7987" s="621">
        <f t="shared" si="306"/>
        <v>130311</v>
      </c>
      <c r="H7987" s="621">
        <f t="shared" si="306"/>
        <v>60135.42525</v>
      </c>
      <c r="I7987" s="621">
        <f t="shared" si="306"/>
        <v>0</v>
      </c>
      <c r="J7987" s="621">
        <f t="shared" si="306"/>
        <v>0</v>
      </c>
      <c r="K7987" s="621">
        <f t="shared" si="306"/>
        <v>130311</v>
      </c>
      <c r="L7987" s="621">
        <f t="shared" si="306"/>
        <v>58296.990401999996</v>
      </c>
      <c r="M7987" s="621">
        <f t="shared" si="306"/>
        <v>58296.990401999996</v>
      </c>
      <c r="N7987" s="621">
        <f t="shared" si="306"/>
        <v>17489.099999999999</v>
      </c>
      <c r="O7987" s="621">
        <f t="shared" si="306"/>
        <v>0</v>
      </c>
      <c r="P7987" s="621">
        <f t="shared" si="306"/>
        <v>40807.890401999997</v>
      </c>
    </row>
    <row r="7988" spans="1:111">
      <c r="A7988" s="1737"/>
      <c r="B7988" s="1737"/>
      <c r="C7988" s="622" t="s">
        <v>1200</v>
      </c>
      <c r="D7988" s="623">
        <v>58296.990401999996</v>
      </c>
      <c r="E7988" s="623">
        <v>17489.099999999999</v>
      </c>
      <c r="F7988" s="623">
        <v>40807.890401999997</v>
      </c>
      <c r="G7988" s="623">
        <v>130311</v>
      </c>
      <c r="H7988" s="623">
        <v>60135.42525</v>
      </c>
      <c r="I7988" s="623">
        <v>0</v>
      </c>
      <c r="J7988" s="623">
        <v>0</v>
      </c>
      <c r="K7988" s="623">
        <v>130311</v>
      </c>
      <c r="L7988" s="623">
        <v>58296.990401999996</v>
      </c>
      <c r="M7988" s="623">
        <v>58296.990401999996</v>
      </c>
      <c r="N7988" s="623">
        <v>17489.099999999999</v>
      </c>
      <c r="O7988" s="624"/>
      <c r="P7988" s="623">
        <v>40807.890401999997</v>
      </c>
    </row>
    <row r="7989" spans="1:111">
      <c r="A7989" s="1736">
        <v>74</v>
      </c>
      <c r="B7989" s="1736" t="s">
        <v>1381</v>
      </c>
      <c r="C7989" s="587" t="s">
        <v>1196</v>
      </c>
      <c r="D7989" s="621">
        <f>D7990</f>
        <v>95087.039380000002</v>
      </c>
      <c r="E7989" s="621">
        <f t="shared" ref="E7989:O7989" si="307">E7990</f>
        <v>35550</v>
      </c>
      <c r="F7989" s="621">
        <f t="shared" si="307"/>
        <v>59537.039380000002</v>
      </c>
      <c r="G7989" s="621">
        <f t="shared" si="307"/>
        <v>1229</v>
      </c>
      <c r="H7989" s="621">
        <f t="shared" si="307"/>
        <v>99012.422470578022</v>
      </c>
      <c r="I7989" s="621">
        <f t="shared" si="307"/>
        <v>126</v>
      </c>
      <c r="J7989" s="621">
        <f t="shared" si="307"/>
        <v>3925.7190399999999</v>
      </c>
      <c r="K7989" s="621">
        <f t="shared" si="307"/>
        <v>1228</v>
      </c>
      <c r="L7989" s="621">
        <f t="shared" si="307"/>
        <v>95087.039380000002</v>
      </c>
      <c r="M7989" s="621">
        <f t="shared" si="307"/>
        <v>95087.039380000002</v>
      </c>
      <c r="N7989" s="621">
        <f t="shared" si="307"/>
        <v>35550</v>
      </c>
      <c r="O7989" s="621">
        <f t="shared" si="307"/>
        <v>0</v>
      </c>
      <c r="P7989" s="621">
        <f>AL7990</f>
        <v>0</v>
      </c>
    </row>
    <row r="7990" spans="1:111">
      <c r="A7990" s="1737"/>
      <c r="B7990" s="1737"/>
      <c r="C7990" s="622" t="s">
        <v>1197</v>
      </c>
      <c r="D7990" s="623">
        <v>95087.039380000002</v>
      </c>
      <c r="E7990" s="627">
        <v>35550</v>
      </c>
      <c r="F7990" s="623">
        <v>59537.039380000002</v>
      </c>
      <c r="G7990" s="623">
        <v>1229</v>
      </c>
      <c r="H7990" s="623">
        <v>99012.422470578022</v>
      </c>
      <c r="I7990" s="623">
        <v>126</v>
      </c>
      <c r="J7990" s="623">
        <v>3925.7190399999999</v>
      </c>
      <c r="K7990" s="623">
        <v>1228</v>
      </c>
      <c r="L7990" s="623">
        <v>95087.039380000002</v>
      </c>
      <c r="M7990" s="623">
        <v>95087.039380000002</v>
      </c>
      <c r="N7990" s="623">
        <v>35550</v>
      </c>
      <c r="O7990" s="624"/>
    </row>
    <row r="7991" spans="1:111">
      <c r="A7991" s="1736">
        <v>75</v>
      </c>
      <c r="B7991" s="1736" t="s">
        <v>2010</v>
      </c>
      <c r="C7991" s="587" t="s">
        <v>1196</v>
      </c>
      <c r="D7991" s="621">
        <f>D7992+D7993</f>
        <v>48310.118270000006</v>
      </c>
      <c r="E7991" s="621">
        <f t="shared" ref="E7991:P7991" si="308">E7992+E7993</f>
        <v>13968</v>
      </c>
      <c r="F7991" s="621">
        <f t="shared" si="308"/>
        <v>34342.118270000006</v>
      </c>
      <c r="G7991" s="621">
        <f t="shared" si="308"/>
        <v>1102</v>
      </c>
      <c r="H7991" s="621">
        <f t="shared" si="308"/>
        <v>53884.982121272493</v>
      </c>
      <c r="I7991" s="621">
        <f t="shared" si="308"/>
        <v>108</v>
      </c>
      <c r="J7991" s="621">
        <f t="shared" si="308"/>
        <v>1778.5392247275006</v>
      </c>
      <c r="K7991" s="621">
        <f t="shared" si="308"/>
        <v>1101</v>
      </c>
      <c r="L7991" s="621">
        <f t="shared" si="308"/>
        <v>48310.118270000006</v>
      </c>
      <c r="M7991" s="621">
        <f t="shared" si="308"/>
        <v>48310.118270000006</v>
      </c>
      <c r="N7991" s="621">
        <f t="shared" si="308"/>
        <v>13968</v>
      </c>
      <c r="O7991" s="621">
        <f t="shared" si="308"/>
        <v>0</v>
      </c>
      <c r="P7991" s="621">
        <f t="shared" si="308"/>
        <v>34342.118270000006</v>
      </c>
    </row>
    <row r="7992" spans="1:111">
      <c r="A7992" s="1738"/>
      <c r="B7992" s="1738"/>
      <c r="C7992" s="622" t="s">
        <v>1197</v>
      </c>
      <c r="D7992" s="623">
        <v>43471.907340000005</v>
      </c>
      <c r="E7992" s="623">
        <v>12600</v>
      </c>
      <c r="F7992" s="623">
        <v>30871.907340000005</v>
      </c>
      <c r="G7992" s="623">
        <v>716</v>
      </c>
      <c r="H7992" s="623">
        <v>48877.458936544994</v>
      </c>
      <c r="I7992" s="623">
        <v>68</v>
      </c>
      <c r="J7992" s="623">
        <v>1609.2269699999999</v>
      </c>
      <c r="K7992" s="623">
        <v>716</v>
      </c>
      <c r="L7992" s="623">
        <v>43471.907340000005</v>
      </c>
      <c r="M7992" s="623">
        <v>43471.907340000005</v>
      </c>
      <c r="N7992" s="623">
        <v>12600</v>
      </c>
      <c r="O7992" s="624"/>
      <c r="P7992" s="623">
        <v>30871.907340000005</v>
      </c>
    </row>
    <row r="7993" spans="1:111">
      <c r="A7993" s="1737"/>
      <c r="B7993" s="1737"/>
      <c r="C7993" s="622" t="s">
        <v>1199</v>
      </c>
      <c r="D7993" s="623">
        <v>4838.2109299999993</v>
      </c>
      <c r="E7993" s="623">
        <v>1368</v>
      </c>
      <c r="F7993" s="623">
        <v>3470.2109299999993</v>
      </c>
      <c r="G7993" s="623">
        <v>386</v>
      </c>
      <c r="H7993" s="623">
        <v>5007.5231847274999</v>
      </c>
      <c r="I7993" s="623">
        <v>40</v>
      </c>
      <c r="J7993" s="623">
        <v>169.31225472750066</v>
      </c>
      <c r="K7993" s="623">
        <v>385</v>
      </c>
      <c r="L7993" s="623">
        <v>4838.2109299999993</v>
      </c>
      <c r="M7993" s="623">
        <v>4838.2109299999993</v>
      </c>
      <c r="N7993" s="623">
        <v>1368</v>
      </c>
      <c r="O7993" s="624"/>
      <c r="P7993" s="623">
        <v>3470.2109299999993</v>
      </c>
    </row>
    <row r="7994" spans="1:111">
      <c r="A7994" s="1736">
        <v>76</v>
      </c>
      <c r="B7994" s="1739" t="s">
        <v>2011</v>
      </c>
      <c r="C7994" s="587" t="s">
        <v>1196</v>
      </c>
      <c r="D7994" s="621">
        <f>D7995</f>
        <v>275951.42199999996</v>
      </c>
      <c r="E7994" s="621">
        <f t="shared" ref="E7994:O7994" si="309">E7995</f>
        <v>81273.900000000009</v>
      </c>
      <c r="F7994" s="621">
        <f t="shared" si="309"/>
        <v>194677.52199999994</v>
      </c>
      <c r="G7994" s="621">
        <f t="shared" si="309"/>
        <v>2466</v>
      </c>
      <c r="H7994" s="621">
        <f t="shared" si="309"/>
        <v>279879.64500000002</v>
      </c>
      <c r="I7994" s="621">
        <f t="shared" si="309"/>
        <v>68</v>
      </c>
      <c r="J7994" s="621">
        <f t="shared" si="309"/>
        <v>2776.8480000000454</v>
      </c>
      <c r="K7994" s="621">
        <f t="shared" si="309"/>
        <v>2462</v>
      </c>
      <c r="L7994" s="621">
        <f t="shared" si="309"/>
        <v>275951.42199999996</v>
      </c>
      <c r="M7994" s="621">
        <f t="shared" si="309"/>
        <v>275951.42199999996</v>
      </c>
      <c r="N7994" s="621">
        <f t="shared" si="309"/>
        <v>81273.900000000009</v>
      </c>
      <c r="O7994" s="621">
        <f t="shared" si="309"/>
        <v>0</v>
      </c>
      <c r="P7994" s="621">
        <f>BD7995</f>
        <v>0</v>
      </c>
    </row>
    <row r="7995" spans="1:111">
      <c r="A7995" s="1737"/>
      <c r="B7995" s="1740"/>
      <c r="C7995" s="622" t="s">
        <v>1197</v>
      </c>
      <c r="D7995" s="623">
        <v>275951.42199999996</v>
      </c>
      <c r="E7995" s="623">
        <v>81273.900000000009</v>
      </c>
      <c r="F7995" s="623">
        <v>194677.52199999994</v>
      </c>
      <c r="G7995" s="623">
        <v>2466</v>
      </c>
      <c r="H7995" s="623">
        <v>279879.64500000002</v>
      </c>
      <c r="I7995" s="623">
        <v>68</v>
      </c>
      <c r="J7995" s="623">
        <v>2776.8480000000454</v>
      </c>
      <c r="K7995" s="623">
        <v>2462</v>
      </c>
      <c r="L7995" s="623">
        <v>275951.42199999996</v>
      </c>
      <c r="M7995" s="623">
        <v>275951.42199999996</v>
      </c>
      <c r="N7995" s="623">
        <v>81273.900000000009</v>
      </c>
      <c r="O7995" s="624"/>
    </row>
    <row r="7996" spans="1:111">
      <c r="A7996" s="1741" t="s">
        <v>1199</v>
      </c>
      <c r="B7996" s="1741"/>
      <c r="C7996" s="1741"/>
      <c r="D7996" s="1741"/>
      <c r="E7996" s="1741"/>
      <c r="F7996" s="1741"/>
      <c r="G7996" s="1741"/>
      <c r="H7996" s="1741"/>
      <c r="I7996" s="1741"/>
      <c r="J7996" s="1741"/>
      <c r="K7996" s="1741"/>
      <c r="L7996" s="1741"/>
      <c r="M7996" s="1741"/>
      <c r="N7996" s="1741"/>
      <c r="O7996" s="1741"/>
      <c r="P7996" s="1741"/>
      <c r="AL7996" s="561">
        <f>SUM(AL7997:AL8201)</f>
        <v>848473.52055500005</v>
      </c>
      <c r="AM7996" s="561">
        <f t="shared" ref="AM7996:CX7996" si="310">SUM(AM7997:AM8201)</f>
        <v>0</v>
      </c>
      <c r="AN7996" s="561">
        <f t="shared" si="310"/>
        <v>0</v>
      </c>
      <c r="AO7996" s="561">
        <f t="shared" si="310"/>
        <v>0</v>
      </c>
      <c r="AP7996" s="561">
        <f t="shared" si="310"/>
        <v>0</v>
      </c>
      <c r="AQ7996" s="561">
        <f t="shared" si="310"/>
        <v>0</v>
      </c>
      <c r="AR7996" s="561">
        <f t="shared" si="310"/>
        <v>0</v>
      </c>
      <c r="AS7996" s="561">
        <f t="shared" si="310"/>
        <v>0</v>
      </c>
      <c r="AT7996" s="561">
        <f t="shared" si="310"/>
        <v>0</v>
      </c>
      <c r="AU7996" s="561">
        <f t="shared" si="310"/>
        <v>0</v>
      </c>
      <c r="AV7996" s="561">
        <f t="shared" si="310"/>
        <v>0</v>
      </c>
      <c r="AW7996" s="561">
        <f t="shared" si="310"/>
        <v>0</v>
      </c>
      <c r="AX7996" s="561">
        <f t="shared" si="310"/>
        <v>0</v>
      </c>
      <c r="AY7996" s="561">
        <f t="shared" si="310"/>
        <v>2445.6749600000003</v>
      </c>
      <c r="AZ7996" s="561">
        <f t="shared" si="310"/>
        <v>0</v>
      </c>
      <c r="BA7996" s="561">
        <f t="shared" si="310"/>
        <v>0</v>
      </c>
      <c r="BB7996" s="561">
        <f t="shared" si="310"/>
        <v>7350.7914549999987</v>
      </c>
      <c r="BC7996" s="561">
        <f t="shared" si="310"/>
        <v>0</v>
      </c>
      <c r="BD7996" s="561">
        <f t="shared" si="310"/>
        <v>519180.60970000003</v>
      </c>
      <c r="BE7996" s="561">
        <f t="shared" si="310"/>
        <v>0</v>
      </c>
      <c r="BF7996" s="561">
        <f t="shared" si="310"/>
        <v>0</v>
      </c>
      <c r="BG7996" s="561">
        <f t="shared" si="310"/>
        <v>0</v>
      </c>
      <c r="BH7996" s="561">
        <f t="shared" si="310"/>
        <v>0</v>
      </c>
      <c r="BI7996" s="561">
        <f t="shared" si="310"/>
        <v>0</v>
      </c>
      <c r="BJ7996" s="561">
        <f t="shared" si="310"/>
        <v>0</v>
      </c>
      <c r="BK7996" s="561">
        <f t="shared" si="310"/>
        <v>0</v>
      </c>
      <c r="BL7996" s="561">
        <f t="shared" si="310"/>
        <v>0</v>
      </c>
      <c r="BM7996" s="561">
        <f t="shared" si="310"/>
        <v>0</v>
      </c>
      <c r="BN7996" s="561">
        <f t="shared" si="310"/>
        <v>0</v>
      </c>
      <c r="BO7996" s="561">
        <f t="shared" si="310"/>
        <v>0</v>
      </c>
      <c r="BP7996" s="561">
        <f t="shared" si="310"/>
        <v>0</v>
      </c>
      <c r="BQ7996" s="561">
        <f t="shared" si="310"/>
        <v>0</v>
      </c>
      <c r="BR7996" s="561">
        <f t="shared" si="310"/>
        <v>0</v>
      </c>
      <c r="BS7996" s="561">
        <f t="shared" si="310"/>
        <v>0</v>
      </c>
      <c r="BT7996" s="561">
        <f t="shared" si="310"/>
        <v>0</v>
      </c>
      <c r="BU7996" s="561">
        <f t="shared" si="310"/>
        <v>0</v>
      </c>
      <c r="BV7996" s="561">
        <f t="shared" si="310"/>
        <v>0</v>
      </c>
      <c r="BW7996" s="561">
        <f t="shared" si="310"/>
        <v>0</v>
      </c>
      <c r="BX7996" s="561">
        <f t="shared" si="310"/>
        <v>0</v>
      </c>
      <c r="BY7996" s="561">
        <f t="shared" si="310"/>
        <v>0</v>
      </c>
      <c r="BZ7996" s="561">
        <f t="shared" si="310"/>
        <v>470409.42347999994</v>
      </c>
      <c r="CA7996" s="561">
        <f t="shared" si="310"/>
        <v>0</v>
      </c>
      <c r="CB7996" s="561">
        <f t="shared" si="310"/>
        <v>0</v>
      </c>
      <c r="CC7996" s="561">
        <f t="shared" si="310"/>
        <v>0</v>
      </c>
      <c r="CD7996" s="561">
        <f t="shared" si="310"/>
        <v>0</v>
      </c>
      <c r="CE7996" s="561">
        <f t="shared" si="310"/>
        <v>0</v>
      </c>
      <c r="CF7996" s="561">
        <f t="shared" si="310"/>
        <v>0</v>
      </c>
      <c r="CG7996" s="561">
        <f t="shared" si="310"/>
        <v>0</v>
      </c>
      <c r="CH7996" s="561">
        <f t="shared" si="310"/>
        <v>0</v>
      </c>
      <c r="CI7996" s="561">
        <f t="shared" si="310"/>
        <v>0</v>
      </c>
      <c r="CJ7996" s="561">
        <f t="shared" si="310"/>
        <v>0</v>
      </c>
      <c r="CK7996" s="561">
        <f t="shared" si="310"/>
        <v>0</v>
      </c>
      <c r="CL7996" s="561">
        <f t="shared" si="310"/>
        <v>0</v>
      </c>
      <c r="CM7996" s="561">
        <f t="shared" si="310"/>
        <v>0</v>
      </c>
      <c r="CN7996" s="561">
        <f t="shared" si="310"/>
        <v>0</v>
      </c>
      <c r="CO7996" s="561">
        <f t="shared" si="310"/>
        <v>0</v>
      </c>
      <c r="CP7996" s="561">
        <f t="shared" si="310"/>
        <v>0</v>
      </c>
      <c r="CQ7996" s="561">
        <f t="shared" si="310"/>
        <v>0</v>
      </c>
      <c r="CR7996" s="561">
        <f t="shared" si="310"/>
        <v>0</v>
      </c>
      <c r="CS7996" s="561">
        <f t="shared" si="310"/>
        <v>0</v>
      </c>
      <c r="CT7996" s="561">
        <f t="shared" si="310"/>
        <v>0</v>
      </c>
      <c r="CU7996" s="561">
        <f t="shared" si="310"/>
        <v>0</v>
      </c>
      <c r="CV7996" s="561">
        <f t="shared" si="310"/>
        <v>0</v>
      </c>
      <c r="CW7996" s="561">
        <f t="shared" si="310"/>
        <v>0</v>
      </c>
      <c r="CX7996" s="561">
        <f t="shared" si="310"/>
        <v>0</v>
      </c>
      <c r="CY7996" s="561">
        <f t="shared" ref="CY7996:DG7996" si="311">SUM(CY7997:CY8201)</f>
        <v>0</v>
      </c>
      <c r="CZ7996" s="561">
        <f t="shared" si="311"/>
        <v>0</v>
      </c>
      <c r="DA7996" s="561">
        <f t="shared" si="311"/>
        <v>0</v>
      </c>
      <c r="DB7996" s="561">
        <f t="shared" si="311"/>
        <v>2462.9094599999999</v>
      </c>
      <c r="DC7996" s="561">
        <f t="shared" si="311"/>
        <v>0</v>
      </c>
      <c r="DD7996" s="561">
        <f t="shared" si="311"/>
        <v>0</v>
      </c>
      <c r="DE7996" s="561">
        <f t="shared" si="311"/>
        <v>0</v>
      </c>
      <c r="DF7996" s="561">
        <f t="shared" si="311"/>
        <v>0</v>
      </c>
      <c r="DG7996" s="561">
        <f t="shared" si="311"/>
        <v>0</v>
      </c>
    </row>
    <row r="7997" spans="1:111">
      <c r="A7997" s="1736">
        <v>1</v>
      </c>
      <c r="B7997" s="1736" t="s">
        <v>1938</v>
      </c>
      <c r="C7997" s="587" t="s">
        <v>1196</v>
      </c>
      <c r="D7997" s="621">
        <f>D7998+D7999+D8000</f>
        <v>1190715.92221</v>
      </c>
      <c r="E7997" s="621">
        <f t="shared" ref="E7997:O7997" si="312">E7998+E7999+E8000</f>
        <v>319536.59999999998</v>
      </c>
      <c r="F7997" s="621">
        <f t="shared" si="312"/>
        <v>871179.32221000001</v>
      </c>
      <c r="G7997" s="621">
        <f t="shared" si="312"/>
        <v>16312</v>
      </c>
      <c r="H7997" s="621">
        <f t="shared" si="312"/>
        <v>1289953.7517973888</v>
      </c>
      <c r="I7997" s="621">
        <f t="shared" si="312"/>
        <v>1999</v>
      </c>
      <c r="J7997" s="621">
        <f t="shared" si="312"/>
        <v>67702.17407539126</v>
      </c>
      <c r="K7997" s="621">
        <f t="shared" si="312"/>
        <v>15989</v>
      </c>
      <c r="L7997" s="621">
        <f t="shared" si="312"/>
        <v>1190715.92221</v>
      </c>
      <c r="M7997" s="621">
        <f t="shared" si="312"/>
        <v>1190715.92221</v>
      </c>
      <c r="N7997" s="621">
        <f t="shared" si="312"/>
        <v>319536.59999999998</v>
      </c>
      <c r="O7997" s="621">
        <f t="shared" si="312"/>
        <v>0</v>
      </c>
      <c r="P7997" s="621">
        <f>BD7998+AL7999+AL8000</f>
        <v>74435.323630000014</v>
      </c>
    </row>
    <row r="7998" spans="1:111">
      <c r="A7998" s="1738"/>
      <c r="B7998" s="1738"/>
      <c r="C7998" s="622" t="s">
        <v>1197</v>
      </c>
      <c r="D7998" s="623">
        <v>953773.35986999993</v>
      </c>
      <c r="E7998" s="623">
        <v>271865.75999999995</v>
      </c>
      <c r="F7998" s="623">
        <v>681907.59987000003</v>
      </c>
      <c r="G7998" s="623">
        <v>15042</v>
      </c>
      <c r="H7998" s="623">
        <v>1034405.0816175612</v>
      </c>
      <c r="I7998" s="623">
        <v>1951</v>
      </c>
      <c r="J7998" s="623">
        <v>59822.188870000005</v>
      </c>
      <c r="K7998" s="623">
        <v>14761</v>
      </c>
      <c r="L7998" s="623">
        <v>953773.35986999993</v>
      </c>
      <c r="M7998" s="623">
        <v>953773.35986999993</v>
      </c>
      <c r="N7998" s="623">
        <v>271865.75999999995</v>
      </c>
      <c r="O7998" s="624"/>
    </row>
    <row r="7999" spans="1:111">
      <c r="A7999" s="1738"/>
      <c r="B7999" s="1738"/>
      <c r="C7999" s="622" t="s">
        <v>1198</v>
      </c>
      <c r="D7999" s="623">
        <v>138229.22871</v>
      </c>
      <c r="E7999" s="623">
        <v>23392.83</v>
      </c>
      <c r="F7999" s="623">
        <v>114836.39870999999</v>
      </c>
      <c r="G7999" s="623">
        <v>256</v>
      </c>
      <c r="H7999" s="623">
        <v>145381.20120080299</v>
      </c>
      <c r="I7999" s="623">
        <v>29</v>
      </c>
      <c r="J7999" s="623">
        <v>7801.0828099999999</v>
      </c>
      <c r="K7999" s="623">
        <v>254</v>
      </c>
      <c r="L7999" s="623">
        <v>138229.22871</v>
      </c>
      <c r="M7999" s="623">
        <v>138229.22871</v>
      </c>
      <c r="N7999" s="623">
        <v>23392.83</v>
      </c>
      <c r="O7999" s="624"/>
    </row>
    <row r="8000" spans="1:111">
      <c r="A8000" s="1737"/>
      <c r="B8000" s="1737"/>
      <c r="C8000" s="622" t="s">
        <v>1199</v>
      </c>
      <c r="D8000" s="623">
        <v>98713.333630000008</v>
      </c>
      <c r="E8000" s="623">
        <v>24278.01</v>
      </c>
      <c r="F8000" s="623">
        <v>74435.323630000014</v>
      </c>
      <c r="G8000" s="623">
        <v>1014</v>
      </c>
      <c r="H8000" s="623">
        <v>110167.46897902449</v>
      </c>
      <c r="I8000" s="623">
        <v>19</v>
      </c>
      <c r="J8000" s="623">
        <v>78.902395391249996</v>
      </c>
      <c r="K8000" s="623">
        <v>974</v>
      </c>
      <c r="L8000" s="623">
        <v>98713.333630000008</v>
      </c>
      <c r="M8000" s="623">
        <v>98713.333630000008</v>
      </c>
      <c r="N8000" s="623">
        <v>24278.01</v>
      </c>
      <c r="O8000" s="624"/>
      <c r="AL8000" s="623">
        <v>74435.323630000014</v>
      </c>
    </row>
    <row r="8001" spans="1:38">
      <c r="A8001" s="1736">
        <v>2</v>
      </c>
      <c r="B8001" s="1736" t="s">
        <v>1939</v>
      </c>
      <c r="C8001" s="587" t="s">
        <v>1196</v>
      </c>
      <c r="D8001" s="621">
        <f>D8002+D8003</f>
        <v>2696215.3697239999</v>
      </c>
      <c r="E8001" s="621">
        <f t="shared" ref="E8001:O8001" si="313">E8002+E8003</f>
        <v>509514.6</v>
      </c>
      <c r="F8001" s="621">
        <f t="shared" si="313"/>
        <v>2186700.7697239998</v>
      </c>
      <c r="G8001" s="621">
        <f t="shared" si="313"/>
        <v>11315</v>
      </c>
      <c r="H8001" s="621">
        <f t="shared" si="313"/>
        <v>3033479.9900145363</v>
      </c>
      <c r="I8001" s="621">
        <f t="shared" si="313"/>
        <v>2275</v>
      </c>
      <c r="J8001" s="621">
        <f t="shared" si="313"/>
        <v>295006.57583000005</v>
      </c>
      <c r="K8001" s="621">
        <f t="shared" si="313"/>
        <v>10968</v>
      </c>
      <c r="L8001" s="621">
        <f t="shared" si="313"/>
        <v>2696215.3697239999</v>
      </c>
      <c r="M8001" s="621">
        <f t="shared" si="313"/>
        <v>2696215.3697239999</v>
      </c>
      <c r="N8001" s="621">
        <f t="shared" si="313"/>
        <v>509514.6</v>
      </c>
      <c r="O8001" s="621">
        <f t="shared" si="313"/>
        <v>0</v>
      </c>
      <c r="P8001" s="621">
        <f>AX8002+AX8003</f>
        <v>0</v>
      </c>
    </row>
    <row r="8002" spans="1:38">
      <c r="A8002" s="1738"/>
      <c r="B8002" s="1738"/>
      <c r="C8002" s="622" t="s">
        <v>1197</v>
      </c>
      <c r="D8002" s="623">
        <v>1504832.2239669999</v>
      </c>
      <c r="E8002" s="623">
        <v>317586.84000000003</v>
      </c>
      <c r="F8002" s="623">
        <v>1187245.3839669998</v>
      </c>
      <c r="G8002" s="623">
        <v>10169</v>
      </c>
      <c r="H8002" s="623">
        <v>1707456.1280392602</v>
      </c>
      <c r="I8002" s="623">
        <v>2020</v>
      </c>
      <c r="J8002" s="623">
        <v>158750.38276000004</v>
      </c>
      <c r="K8002" s="623">
        <v>9878</v>
      </c>
      <c r="L8002" s="623">
        <v>1504832.2239669999</v>
      </c>
      <c r="M8002" s="623">
        <v>1504832.2239669999</v>
      </c>
      <c r="N8002" s="623">
        <v>317586.84000000003</v>
      </c>
      <c r="O8002" s="624"/>
    </row>
    <row r="8003" spans="1:38">
      <c r="A8003" s="1737"/>
      <c r="B8003" s="1737"/>
      <c r="C8003" s="622" t="s">
        <v>1198</v>
      </c>
      <c r="D8003" s="623">
        <v>1191383.145757</v>
      </c>
      <c r="E8003" s="623">
        <v>191927.75999999998</v>
      </c>
      <c r="F8003" s="623">
        <v>999455.38575699995</v>
      </c>
      <c r="G8003" s="623">
        <v>1146</v>
      </c>
      <c r="H8003" s="623">
        <v>1326023.8619752759</v>
      </c>
      <c r="I8003" s="623">
        <v>255</v>
      </c>
      <c r="J8003" s="623">
        <v>136256.19307000001</v>
      </c>
      <c r="K8003" s="623">
        <v>1090</v>
      </c>
      <c r="L8003" s="623">
        <v>1191383.145757</v>
      </c>
      <c r="M8003" s="623">
        <v>1191383.145757</v>
      </c>
      <c r="N8003" s="623">
        <v>191927.75999999998</v>
      </c>
      <c r="O8003" s="624"/>
    </row>
    <row r="8004" spans="1:38">
      <c r="A8004" s="1736">
        <f>A8001+1</f>
        <v>3</v>
      </c>
      <c r="B8004" s="1736" t="s">
        <v>1940</v>
      </c>
      <c r="C8004" s="587" t="s">
        <v>1196</v>
      </c>
      <c r="D8004" s="621">
        <f>D8005+D8006</f>
        <v>1039277.27994</v>
      </c>
      <c r="E8004" s="621">
        <f t="shared" ref="E8004:O8004" si="314">E8005+E8006</f>
        <v>283598.39999999997</v>
      </c>
      <c r="F8004" s="621">
        <f t="shared" si="314"/>
        <v>755678.87994000001</v>
      </c>
      <c r="G8004" s="621">
        <f t="shared" si="314"/>
        <v>18090</v>
      </c>
      <c r="H8004" s="621">
        <f t="shared" si="314"/>
        <v>1107334.1215353741</v>
      </c>
      <c r="I8004" s="621">
        <f t="shared" si="314"/>
        <v>2514</v>
      </c>
      <c r="J8004" s="621">
        <f t="shared" si="314"/>
        <v>60451.789429999997</v>
      </c>
      <c r="K8004" s="621">
        <f t="shared" si="314"/>
        <v>18086</v>
      </c>
      <c r="L8004" s="621">
        <f t="shared" si="314"/>
        <v>1039277.27994</v>
      </c>
      <c r="M8004" s="621">
        <f t="shared" si="314"/>
        <v>1039277.27994</v>
      </c>
      <c r="N8004" s="621">
        <f t="shared" si="314"/>
        <v>283598.39999999997</v>
      </c>
      <c r="O8004" s="621">
        <f t="shared" si="314"/>
        <v>0</v>
      </c>
      <c r="P8004" s="621">
        <f>AX8005+AL8006</f>
        <v>2628.1070099999997</v>
      </c>
    </row>
    <row r="8005" spans="1:38">
      <c r="A8005" s="1738"/>
      <c r="B8005" s="1738"/>
      <c r="C8005" s="622" t="s">
        <v>1197</v>
      </c>
      <c r="D8005" s="623">
        <v>1035569.17293</v>
      </c>
      <c r="E8005" s="623">
        <v>282518.39999999997</v>
      </c>
      <c r="F8005" s="623">
        <v>753050.77292999998</v>
      </c>
      <c r="G8005" s="623">
        <v>17761</v>
      </c>
      <c r="H8005" s="623">
        <v>1103590.7895753847</v>
      </c>
      <c r="I8005" s="623">
        <v>2504</v>
      </c>
      <c r="J8005" s="623">
        <v>60416.923129999996</v>
      </c>
      <c r="K8005" s="623">
        <v>17757</v>
      </c>
      <c r="L8005" s="623">
        <v>1035569.17293</v>
      </c>
      <c r="M8005" s="623">
        <v>1035569.17293</v>
      </c>
      <c r="N8005" s="623">
        <v>282518.39999999997</v>
      </c>
      <c r="O8005" s="624"/>
    </row>
    <row r="8006" spans="1:38">
      <c r="A8006" s="1737"/>
      <c r="B8006" s="1737"/>
      <c r="C8006" s="622" t="s">
        <v>1199</v>
      </c>
      <c r="D8006" s="623">
        <v>3708.1070099999997</v>
      </c>
      <c r="E8006" s="623">
        <v>1080</v>
      </c>
      <c r="F8006" s="623">
        <v>2628.1070099999997</v>
      </c>
      <c r="G8006" s="623">
        <v>329</v>
      </c>
      <c r="H8006" s="623">
        <v>3743.3319599895003</v>
      </c>
      <c r="I8006" s="623">
        <v>10</v>
      </c>
      <c r="J8006" s="623">
        <v>34.866300000000003</v>
      </c>
      <c r="K8006" s="623">
        <v>329</v>
      </c>
      <c r="L8006" s="623">
        <v>3708.1070099999997</v>
      </c>
      <c r="M8006" s="623">
        <v>3708.1070099999997</v>
      </c>
      <c r="N8006" s="623">
        <v>1080</v>
      </c>
      <c r="O8006" s="624"/>
      <c r="AL8006" s="623">
        <v>2628.1070099999997</v>
      </c>
    </row>
    <row r="8007" spans="1:38">
      <c r="A8007" s="1736">
        <v>4</v>
      </c>
      <c r="B8007" s="1736" t="s">
        <v>1941</v>
      </c>
      <c r="C8007" s="587" t="s">
        <v>1196</v>
      </c>
      <c r="D8007" s="621">
        <f>D8008+D8009+D8010</f>
        <v>1891511.2618760001</v>
      </c>
      <c r="E8007" s="621">
        <f t="shared" ref="E8007:O8007" si="315">E8008+E8009+E8010</f>
        <v>423764.4</v>
      </c>
      <c r="F8007" s="621">
        <f t="shared" si="315"/>
        <v>1467746.861876</v>
      </c>
      <c r="G8007" s="621">
        <f t="shared" si="315"/>
        <v>16470</v>
      </c>
      <c r="H8007" s="621">
        <f t="shared" si="315"/>
        <v>2037016.286848109</v>
      </c>
      <c r="I8007" s="621">
        <f t="shared" si="315"/>
        <v>2768</v>
      </c>
      <c r="J8007" s="621">
        <f t="shared" si="315"/>
        <v>103364.66861616817</v>
      </c>
      <c r="K8007" s="621">
        <f t="shared" si="315"/>
        <v>16088</v>
      </c>
      <c r="L8007" s="621">
        <f t="shared" si="315"/>
        <v>1891511.2618760001</v>
      </c>
      <c r="M8007" s="621">
        <f t="shared" si="315"/>
        <v>1891511.2618760001</v>
      </c>
      <c r="N8007" s="621">
        <f t="shared" si="315"/>
        <v>423764.4</v>
      </c>
      <c r="O8007" s="621">
        <f t="shared" si="315"/>
        <v>0</v>
      </c>
      <c r="P8007" s="621">
        <f>AX8008+AL8009+AL8010</f>
        <v>13692.249440000001</v>
      </c>
    </row>
    <row r="8008" spans="1:38">
      <c r="A8008" s="1738"/>
      <c r="B8008" s="1738"/>
      <c r="C8008" s="622" t="s">
        <v>1197</v>
      </c>
      <c r="D8008" s="623">
        <v>833701.58627600002</v>
      </c>
      <c r="E8008" s="623">
        <v>315951.69</v>
      </c>
      <c r="F8008" s="623">
        <v>517749.89627600001</v>
      </c>
      <c r="G8008" s="623">
        <v>13585</v>
      </c>
      <c r="H8008" s="623">
        <v>962344.70728999982</v>
      </c>
      <c r="I8008" s="623">
        <v>2599</v>
      </c>
      <c r="J8008" s="623">
        <v>86493.698499999999</v>
      </c>
      <c r="K8008" s="623">
        <v>13212</v>
      </c>
      <c r="L8008" s="623">
        <v>833701.58627600002</v>
      </c>
      <c r="M8008" s="623">
        <v>833701.58627600002</v>
      </c>
      <c r="N8008" s="623">
        <v>315951.69</v>
      </c>
      <c r="O8008" s="624"/>
    </row>
    <row r="8009" spans="1:38">
      <c r="A8009" s="1738"/>
      <c r="B8009" s="1738"/>
      <c r="C8009" s="622" t="s">
        <v>1198</v>
      </c>
      <c r="D8009" s="623">
        <v>1040600.52616</v>
      </c>
      <c r="E8009" s="623">
        <v>104295.81</v>
      </c>
      <c r="F8009" s="623">
        <v>936304.71616000007</v>
      </c>
      <c r="G8009" s="623">
        <v>1612</v>
      </c>
      <c r="H8009" s="623">
        <v>1057155.578661941</v>
      </c>
      <c r="I8009" s="623">
        <v>92</v>
      </c>
      <c r="J8009" s="623">
        <v>16564.11866</v>
      </c>
      <c r="K8009" s="623">
        <v>1603</v>
      </c>
      <c r="L8009" s="623">
        <v>1040600.52616</v>
      </c>
      <c r="M8009" s="623">
        <v>1040600.52616</v>
      </c>
      <c r="N8009" s="623">
        <v>104295.81</v>
      </c>
      <c r="O8009" s="624"/>
    </row>
    <row r="8010" spans="1:38">
      <c r="A8010" s="1737"/>
      <c r="B8010" s="1737"/>
      <c r="C8010" s="622" t="s">
        <v>1199</v>
      </c>
      <c r="D8010" s="623">
        <v>17209.149440000001</v>
      </c>
      <c r="E8010" s="623">
        <v>3516.9</v>
      </c>
      <c r="F8010" s="623">
        <v>13692.249440000001</v>
      </c>
      <c r="G8010" s="623">
        <v>1273</v>
      </c>
      <c r="H8010" s="623">
        <v>17516.000896168167</v>
      </c>
      <c r="I8010" s="623">
        <v>77</v>
      </c>
      <c r="J8010" s="623">
        <v>306.8514561681659</v>
      </c>
      <c r="K8010" s="623">
        <v>1273</v>
      </c>
      <c r="L8010" s="623">
        <v>17209.149440000001</v>
      </c>
      <c r="M8010" s="623">
        <v>17209.149440000001</v>
      </c>
      <c r="N8010" s="623">
        <v>3516.9</v>
      </c>
      <c r="O8010" s="624"/>
      <c r="AL8010" s="623">
        <v>13692.249440000001</v>
      </c>
    </row>
    <row r="8011" spans="1:38">
      <c r="A8011" s="1736">
        <v>5</v>
      </c>
      <c r="B8011" s="1736" t="s">
        <v>1942</v>
      </c>
      <c r="C8011" s="587" t="s">
        <v>1196</v>
      </c>
      <c r="D8011" s="621">
        <f>D8012+D8013+D8014+D8015</f>
        <v>1033328.8001400002</v>
      </c>
      <c r="E8011" s="621">
        <f t="shared" ref="E8011:O8011" si="316">E8012+E8013+E8014+E8015</f>
        <v>285213.3</v>
      </c>
      <c r="F8011" s="621">
        <f t="shared" si="316"/>
        <v>748115.50014000025</v>
      </c>
      <c r="G8011" s="621">
        <f t="shared" si="316"/>
        <v>12324</v>
      </c>
      <c r="H8011" s="621">
        <f t="shared" si="316"/>
        <v>1016201.7351387879</v>
      </c>
      <c r="I8011" s="621">
        <f t="shared" si="316"/>
        <v>979</v>
      </c>
      <c r="J8011" s="621">
        <f t="shared" si="316"/>
        <v>22889.506562427825</v>
      </c>
      <c r="K8011" s="621">
        <f t="shared" si="316"/>
        <v>12300</v>
      </c>
      <c r="L8011" s="621">
        <f t="shared" si="316"/>
        <v>1033328.8001400001</v>
      </c>
      <c r="M8011" s="621">
        <f t="shared" si="316"/>
        <v>1033328.8001400001</v>
      </c>
      <c r="N8011" s="621">
        <f t="shared" si="316"/>
        <v>285213.3</v>
      </c>
      <c r="O8011" s="621">
        <f t="shared" si="316"/>
        <v>0</v>
      </c>
      <c r="P8011" s="621">
        <f>AX8012+AL8013+AL8014+P8015</f>
        <v>23894.370719999999</v>
      </c>
    </row>
    <row r="8012" spans="1:38">
      <c r="A8012" s="1738"/>
      <c r="B8012" s="1738"/>
      <c r="C8012" s="622" t="s">
        <v>1197</v>
      </c>
      <c r="D8012" s="623">
        <v>577907.90060000005</v>
      </c>
      <c r="E8012" s="623">
        <v>173105.30999999997</v>
      </c>
      <c r="F8012" s="623">
        <v>404802.59060000011</v>
      </c>
      <c r="G8012" s="623">
        <v>10230</v>
      </c>
      <c r="H8012" s="623">
        <v>599425.70641635999</v>
      </c>
      <c r="I8012" s="623">
        <v>901</v>
      </c>
      <c r="J8012" s="623">
        <v>19962.274689999998</v>
      </c>
      <c r="K8012" s="623">
        <v>10207</v>
      </c>
      <c r="L8012" s="623">
        <v>578068.21314000001</v>
      </c>
      <c r="M8012" s="623">
        <v>578068.21314000001</v>
      </c>
      <c r="N8012" s="623">
        <v>173105.30999999997</v>
      </c>
      <c r="O8012" s="624"/>
    </row>
    <row r="8013" spans="1:38">
      <c r="A8013" s="1738"/>
      <c r="B8013" s="1738"/>
      <c r="C8013" s="622" t="s">
        <v>1198</v>
      </c>
      <c r="D8013" s="623">
        <v>424083.08628000011</v>
      </c>
      <c r="E8013" s="623">
        <v>104824.86</v>
      </c>
      <c r="F8013" s="623">
        <v>319258.22628000012</v>
      </c>
      <c r="G8013" s="623">
        <v>103</v>
      </c>
      <c r="H8013" s="623">
        <v>384761.57692000002</v>
      </c>
      <c r="I8013" s="623">
        <v>7</v>
      </c>
      <c r="J8013" s="623">
        <v>2638.2919999999999</v>
      </c>
      <c r="K8013" s="623">
        <v>103</v>
      </c>
      <c r="L8013" s="623">
        <v>424083.08628000011</v>
      </c>
      <c r="M8013" s="623">
        <v>424083.08628000011</v>
      </c>
      <c r="N8013" s="623">
        <v>104824.86</v>
      </c>
      <c r="O8013" s="624"/>
    </row>
    <row r="8014" spans="1:38">
      <c r="A8014" s="1738"/>
      <c r="B8014" s="1738"/>
      <c r="C8014" s="622" t="s">
        <v>1199</v>
      </c>
      <c r="D8014" s="623">
        <v>28206.691600000002</v>
      </c>
      <c r="E8014" s="623">
        <v>7283.1299999999992</v>
      </c>
      <c r="F8014" s="623">
        <v>20923.561600000001</v>
      </c>
      <c r="G8014" s="623">
        <v>1991</v>
      </c>
      <c r="H8014" s="623">
        <v>28495.631472427827</v>
      </c>
      <c r="I8014" s="623">
        <v>71</v>
      </c>
      <c r="J8014" s="623">
        <v>288.93987242782532</v>
      </c>
      <c r="K8014" s="623">
        <v>1990</v>
      </c>
      <c r="L8014" s="623">
        <v>28206.691600000002</v>
      </c>
      <c r="M8014" s="623">
        <v>28206.691600000002</v>
      </c>
      <c r="N8014" s="623">
        <v>7283.1299999999992</v>
      </c>
      <c r="O8014" s="624"/>
      <c r="AL8014" s="623">
        <v>20923.561600000001</v>
      </c>
    </row>
    <row r="8015" spans="1:38">
      <c r="A8015" s="1737"/>
      <c r="B8015" s="1737"/>
      <c r="C8015" s="625" t="s">
        <v>1202</v>
      </c>
      <c r="D8015" s="623">
        <v>3131.1216599999998</v>
      </c>
      <c r="E8015" s="623"/>
      <c r="F8015" s="623">
        <v>3131.1216599999998</v>
      </c>
      <c r="G8015" s="623"/>
      <c r="H8015" s="623">
        <v>3518.82033</v>
      </c>
      <c r="I8015" s="623"/>
      <c r="J8015" s="623"/>
      <c r="K8015" s="623"/>
      <c r="L8015" s="623">
        <v>2970.8091199999999</v>
      </c>
      <c r="M8015" s="623">
        <v>2970.8091199999999</v>
      </c>
      <c r="N8015" s="623"/>
      <c r="O8015" s="624"/>
      <c r="P8015" s="623">
        <v>2970.8091199999999</v>
      </c>
    </row>
    <row r="8016" spans="1:38">
      <c r="A8016" s="1736">
        <v>6</v>
      </c>
      <c r="B8016" s="1736" t="s">
        <v>1943</v>
      </c>
      <c r="C8016" s="587" t="s">
        <v>1196</v>
      </c>
      <c r="D8016" s="621">
        <f>D8017+D8018+D8019+D8020</f>
        <v>2582783.2913100002</v>
      </c>
      <c r="E8016" s="621">
        <f t="shared" ref="E8016:O8016" si="317">E8017+E8018+E8019+E8020</f>
        <v>572339.1</v>
      </c>
      <c r="F8016" s="621">
        <f t="shared" si="317"/>
        <v>2010444.1913100004</v>
      </c>
      <c r="G8016" s="621">
        <f t="shared" si="317"/>
        <v>23885</v>
      </c>
      <c r="H8016" s="621">
        <f t="shared" si="317"/>
        <v>2878819.0858847462</v>
      </c>
      <c r="I8016" s="621">
        <f t="shared" si="317"/>
        <v>4733</v>
      </c>
      <c r="J8016" s="621">
        <f t="shared" si="317"/>
        <v>253659.24473999999</v>
      </c>
      <c r="K8016" s="621">
        <f t="shared" si="317"/>
        <v>23184</v>
      </c>
      <c r="L8016" s="621">
        <f t="shared" si="317"/>
        <v>2582781.6727</v>
      </c>
      <c r="M8016" s="621">
        <f t="shared" si="317"/>
        <v>2582781.6727</v>
      </c>
      <c r="N8016" s="621">
        <f t="shared" si="317"/>
        <v>572339.1</v>
      </c>
      <c r="O8016" s="621">
        <f t="shared" si="317"/>
        <v>0</v>
      </c>
      <c r="P8016" s="621">
        <f>AX8017+AL8018+AL8019+P8020</f>
        <v>271761.91229999997</v>
      </c>
    </row>
    <row r="8017" spans="1:38">
      <c r="A8017" s="1738"/>
      <c r="B8017" s="1738"/>
      <c r="C8017" s="622" t="s">
        <v>1197</v>
      </c>
      <c r="D8017" s="623">
        <v>1956713.0873900002</v>
      </c>
      <c r="E8017" s="623">
        <v>443508.54000000004</v>
      </c>
      <c r="F8017" s="623">
        <v>1513204.5473900002</v>
      </c>
      <c r="G8017" s="623">
        <v>21670</v>
      </c>
      <c r="H8017" s="623">
        <v>2219927.56115</v>
      </c>
      <c r="I8017" s="623">
        <v>4563</v>
      </c>
      <c r="J8017" s="623">
        <v>217672.10449</v>
      </c>
      <c r="K8017" s="623">
        <v>20998</v>
      </c>
      <c r="L8017" s="623">
        <v>1956892.5581800002</v>
      </c>
      <c r="M8017" s="623">
        <v>1956892.5581800002</v>
      </c>
      <c r="N8017" s="623">
        <v>443508.54000000004</v>
      </c>
      <c r="O8017" s="624"/>
    </row>
    <row r="8018" spans="1:38">
      <c r="A8018" s="1738"/>
      <c r="B8018" s="1738"/>
      <c r="C8018" s="622" t="s">
        <v>1198</v>
      </c>
      <c r="D8018" s="623">
        <v>264465.18222000002</v>
      </c>
      <c r="E8018" s="623">
        <v>39168.54</v>
      </c>
      <c r="F8018" s="623">
        <v>225296.64222000001</v>
      </c>
      <c r="G8018" s="623">
        <v>619</v>
      </c>
      <c r="H8018" s="623">
        <v>281064.16614038404</v>
      </c>
      <c r="I8018" s="623">
        <v>116</v>
      </c>
      <c r="J8018" s="623">
        <v>18558.579429999998</v>
      </c>
      <c r="K8018" s="623">
        <v>605</v>
      </c>
      <c r="L8018" s="623">
        <v>264465.18222000002</v>
      </c>
      <c r="M8018" s="623">
        <v>264465.18222000002</v>
      </c>
      <c r="N8018" s="623">
        <v>39168.54</v>
      </c>
      <c r="O8018" s="624"/>
    </row>
    <row r="8019" spans="1:38">
      <c r="A8019" s="1738"/>
      <c r="B8019" s="1738"/>
      <c r="C8019" s="622" t="s">
        <v>1199</v>
      </c>
      <c r="D8019" s="623">
        <v>358731.87030000001</v>
      </c>
      <c r="E8019" s="623">
        <v>89662.02</v>
      </c>
      <c r="F8019" s="623">
        <v>269069.85029999999</v>
      </c>
      <c r="G8019" s="623">
        <v>1596</v>
      </c>
      <c r="H8019" s="623">
        <v>375135.29659436201</v>
      </c>
      <c r="I8019" s="623">
        <v>54</v>
      </c>
      <c r="J8019" s="623">
        <v>17428.560819999999</v>
      </c>
      <c r="K8019" s="623">
        <v>1581</v>
      </c>
      <c r="L8019" s="623">
        <v>358731.87030000001</v>
      </c>
      <c r="M8019" s="623">
        <v>358731.87030000001</v>
      </c>
      <c r="N8019" s="623">
        <v>89662.02</v>
      </c>
      <c r="O8019" s="624"/>
      <c r="AL8019" s="623">
        <v>269069.85029999999</v>
      </c>
    </row>
    <row r="8020" spans="1:38">
      <c r="A8020" s="1737"/>
      <c r="B8020" s="1737"/>
      <c r="C8020" s="625" t="s">
        <v>1202</v>
      </c>
      <c r="D8020" s="623">
        <v>2873.1514000000002</v>
      </c>
      <c r="E8020" s="623"/>
      <c r="F8020" s="623">
        <v>2873.1514000000002</v>
      </c>
      <c r="G8020" s="623"/>
      <c r="H8020" s="623">
        <v>2692.0619999999999</v>
      </c>
      <c r="I8020" s="623"/>
      <c r="J8020" s="623"/>
      <c r="K8020" s="623"/>
      <c r="L8020" s="623">
        <v>2692.0619999999999</v>
      </c>
      <c r="M8020" s="623">
        <v>2692.0619999999999</v>
      </c>
      <c r="N8020" s="623"/>
      <c r="O8020" s="624"/>
      <c r="P8020" s="623">
        <v>2692.0619999999999</v>
      </c>
    </row>
    <row r="8021" spans="1:38">
      <c r="A8021" s="1736">
        <v>7</v>
      </c>
      <c r="B8021" s="1736" t="s">
        <v>1944</v>
      </c>
      <c r="C8021" s="587" t="s">
        <v>1196</v>
      </c>
      <c r="D8021" s="621">
        <f>D8022+D8023</f>
        <v>70498.453199999989</v>
      </c>
      <c r="E8021" s="621">
        <f t="shared" ref="E8021:O8021" si="318">E8022+E8023</f>
        <v>17360.099999999999</v>
      </c>
      <c r="F8021" s="621">
        <f t="shared" si="318"/>
        <v>53138.353199999998</v>
      </c>
      <c r="G8021" s="621">
        <f t="shared" si="318"/>
        <v>1847</v>
      </c>
      <c r="H8021" s="621">
        <f t="shared" si="318"/>
        <v>81233.944456102006</v>
      </c>
      <c r="I8021" s="621">
        <f t="shared" si="318"/>
        <v>171</v>
      </c>
      <c r="J8021" s="621">
        <f t="shared" si="318"/>
        <v>4845.0725572580041</v>
      </c>
      <c r="K8021" s="621">
        <f t="shared" si="318"/>
        <v>1847</v>
      </c>
      <c r="L8021" s="621">
        <f t="shared" si="318"/>
        <v>70498.453199999989</v>
      </c>
      <c r="M8021" s="621">
        <f t="shared" si="318"/>
        <v>70498.453199999989</v>
      </c>
      <c r="N8021" s="621">
        <f t="shared" si="318"/>
        <v>17360.099999999999</v>
      </c>
      <c r="O8021" s="621">
        <f t="shared" si="318"/>
        <v>0</v>
      </c>
      <c r="P8021" s="621">
        <f>AL8022+AL8023</f>
        <v>7077.3406200000009</v>
      </c>
    </row>
    <row r="8022" spans="1:38">
      <c r="A8022" s="1738"/>
      <c r="B8022" s="1738"/>
      <c r="C8022" s="622" t="s">
        <v>1197</v>
      </c>
      <c r="D8022" s="623">
        <v>59630.222579999994</v>
      </c>
      <c r="E8022" s="623">
        <v>13569.21</v>
      </c>
      <c r="F8022" s="623">
        <v>46061.012579999995</v>
      </c>
      <c r="G8022" s="623">
        <v>953</v>
      </c>
      <c r="H8022" s="623">
        <v>70289.42124884401</v>
      </c>
      <c r="I8022" s="623">
        <v>153</v>
      </c>
      <c r="J8022" s="623">
        <v>4768.7799700000005</v>
      </c>
      <c r="K8022" s="623">
        <v>953</v>
      </c>
      <c r="L8022" s="623">
        <v>59630.222579999994</v>
      </c>
      <c r="M8022" s="623">
        <v>59630.222579999994</v>
      </c>
      <c r="N8022" s="623">
        <v>13569.21</v>
      </c>
      <c r="O8022" s="624"/>
    </row>
    <row r="8023" spans="1:38">
      <c r="A8023" s="1737"/>
      <c r="B8023" s="1737"/>
      <c r="C8023" s="622" t="s">
        <v>1199</v>
      </c>
      <c r="D8023" s="623">
        <v>10868.23062</v>
      </c>
      <c r="E8023" s="623">
        <v>3790.8899999999994</v>
      </c>
      <c r="F8023" s="623">
        <v>7077.3406200000009</v>
      </c>
      <c r="G8023" s="623">
        <v>894</v>
      </c>
      <c r="H8023" s="623">
        <v>10944.523207258004</v>
      </c>
      <c r="I8023" s="623">
        <v>18</v>
      </c>
      <c r="J8023" s="623">
        <v>76.29258725800355</v>
      </c>
      <c r="K8023" s="623">
        <v>894</v>
      </c>
      <c r="L8023" s="623">
        <v>10868.23062</v>
      </c>
      <c r="M8023" s="623">
        <v>10868.23062</v>
      </c>
      <c r="N8023" s="623">
        <v>3790.8899999999994</v>
      </c>
      <c r="O8023" s="624"/>
      <c r="AL8023" s="623">
        <v>7077.3406200000009</v>
      </c>
    </row>
    <row r="8024" spans="1:38">
      <c r="A8024" s="1736">
        <v>8</v>
      </c>
      <c r="B8024" s="1736" t="s">
        <v>1945</v>
      </c>
      <c r="C8024" s="587" t="s">
        <v>1196</v>
      </c>
      <c r="D8024" s="621">
        <f>D8025+D8026</f>
        <v>91124.373240000001</v>
      </c>
      <c r="E8024" s="621">
        <f t="shared" ref="E8024:O8024" si="319">E8025+E8026</f>
        <v>23187.9</v>
      </c>
      <c r="F8024" s="621">
        <f t="shared" si="319"/>
        <v>67936.473239999992</v>
      </c>
      <c r="G8024" s="621">
        <f t="shared" si="319"/>
        <v>2459</v>
      </c>
      <c r="H8024" s="621">
        <f t="shared" si="319"/>
        <v>115633.97008837135</v>
      </c>
      <c r="I8024" s="621">
        <f t="shared" si="319"/>
        <v>965</v>
      </c>
      <c r="J8024" s="621">
        <f t="shared" si="319"/>
        <v>24130.561597957352</v>
      </c>
      <c r="K8024" s="621">
        <f t="shared" si="319"/>
        <v>2453</v>
      </c>
      <c r="L8024" s="621">
        <f t="shared" si="319"/>
        <v>91124.373240000001</v>
      </c>
      <c r="M8024" s="621">
        <f t="shared" si="319"/>
        <v>91124.373240000001</v>
      </c>
      <c r="N8024" s="621">
        <f t="shared" si="319"/>
        <v>23187.9</v>
      </c>
      <c r="O8024" s="621">
        <f t="shared" si="319"/>
        <v>0</v>
      </c>
      <c r="P8024" s="621">
        <f>AL8025+P8026</f>
        <v>35583.571080000002</v>
      </c>
    </row>
    <row r="8025" spans="1:38">
      <c r="A8025" s="1738"/>
      <c r="B8025" s="1738"/>
      <c r="C8025" s="622" t="s">
        <v>1197</v>
      </c>
      <c r="D8025" s="623">
        <v>48108.302159999999</v>
      </c>
      <c r="E8025" s="623">
        <v>15755.4</v>
      </c>
      <c r="F8025" s="623">
        <v>32352.902159999998</v>
      </c>
      <c r="G8025" s="623">
        <v>882</v>
      </c>
      <c r="H8025" s="623">
        <v>52903.298860413997</v>
      </c>
      <c r="I8025" s="623">
        <v>193</v>
      </c>
      <c r="J8025" s="623">
        <v>4415.9614499999998</v>
      </c>
      <c r="K8025" s="623">
        <v>879</v>
      </c>
      <c r="L8025" s="623">
        <v>48108.302159999999</v>
      </c>
      <c r="M8025" s="623">
        <v>48108.302159999999</v>
      </c>
      <c r="N8025" s="623">
        <v>15755.4</v>
      </c>
      <c r="O8025" s="624"/>
    </row>
    <row r="8026" spans="1:38">
      <c r="A8026" s="1737"/>
      <c r="B8026" s="1737"/>
      <c r="C8026" s="622" t="s">
        <v>1199</v>
      </c>
      <c r="D8026" s="623">
        <v>43016.071080000002</v>
      </c>
      <c r="E8026" s="623">
        <v>7432.5</v>
      </c>
      <c r="F8026" s="623">
        <v>35583.571080000002</v>
      </c>
      <c r="G8026" s="623">
        <v>1577</v>
      </c>
      <c r="H8026" s="623">
        <v>62730.671227957355</v>
      </c>
      <c r="I8026" s="623">
        <v>772</v>
      </c>
      <c r="J8026" s="623">
        <v>19714.600147957353</v>
      </c>
      <c r="K8026" s="623">
        <v>1574</v>
      </c>
      <c r="L8026" s="623">
        <v>43016.071080000002</v>
      </c>
      <c r="M8026" s="623">
        <v>43016.071080000002</v>
      </c>
      <c r="N8026" s="623">
        <v>7432.5</v>
      </c>
      <c r="O8026" s="624"/>
      <c r="P8026" s="623">
        <v>35583.571080000002</v>
      </c>
    </row>
    <row r="8027" spans="1:38">
      <c r="A8027" s="628">
        <v>9</v>
      </c>
      <c r="B8027" s="1736" t="s">
        <v>1946</v>
      </c>
      <c r="C8027" s="587" t="s">
        <v>1196</v>
      </c>
      <c r="D8027" s="621">
        <f>D8028+D8029</f>
        <v>883407.68201999995</v>
      </c>
      <c r="E8027" s="621">
        <f t="shared" ref="E8027:O8027" si="320">E8028+E8029</f>
        <v>237130.19999999998</v>
      </c>
      <c r="F8027" s="621">
        <f t="shared" si="320"/>
        <v>646277.48202</v>
      </c>
      <c r="G8027" s="621">
        <f t="shared" si="320"/>
        <v>13970</v>
      </c>
      <c r="H8027" s="621">
        <f t="shared" si="320"/>
        <v>932831.44111859147</v>
      </c>
      <c r="I8027" s="621">
        <f t="shared" si="320"/>
        <v>2319</v>
      </c>
      <c r="J8027" s="621">
        <f t="shared" si="320"/>
        <v>41597.939199999993</v>
      </c>
      <c r="K8027" s="621">
        <f t="shared" si="320"/>
        <v>13975</v>
      </c>
      <c r="L8027" s="621">
        <f t="shared" si="320"/>
        <v>883407.68201999995</v>
      </c>
      <c r="M8027" s="621">
        <f t="shared" si="320"/>
        <v>883407.68201999995</v>
      </c>
      <c r="N8027" s="621">
        <f t="shared" si="320"/>
        <v>237130.19999999998</v>
      </c>
      <c r="O8027" s="621">
        <f t="shared" si="320"/>
        <v>0</v>
      </c>
      <c r="P8027" s="621">
        <f>AL8028+AL8029</f>
        <v>0</v>
      </c>
    </row>
    <row r="8028" spans="1:38">
      <c r="A8028" s="630"/>
      <c r="B8028" s="1738"/>
      <c r="C8028" s="622" t="s">
        <v>1197</v>
      </c>
      <c r="D8028" s="623">
        <v>869745.19540999993</v>
      </c>
      <c r="E8028" s="623">
        <v>234455.61</v>
      </c>
      <c r="F8028" s="623">
        <v>635289.58540999994</v>
      </c>
      <c r="G8028" s="623">
        <v>13924</v>
      </c>
      <c r="H8028" s="623">
        <v>918379.10845632164</v>
      </c>
      <c r="I8028" s="623">
        <v>2312</v>
      </c>
      <c r="J8028" s="623">
        <v>39207.582449999994</v>
      </c>
      <c r="K8028" s="623">
        <v>13930</v>
      </c>
      <c r="L8028" s="623">
        <v>869745.19540999993</v>
      </c>
      <c r="M8028" s="623">
        <v>869745.19540999993</v>
      </c>
      <c r="N8028" s="623">
        <v>234455.61</v>
      </c>
      <c r="O8028" s="624"/>
    </row>
    <row r="8029" spans="1:38">
      <c r="A8029" s="629"/>
      <c r="B8029" s="1737"/>
      <c r="C8029" s="622" t="s">
        <v>1198</v>
      </c>
      <c r="D8029" s="623">
        <v>13662.486609999996</v>
      </c>
      <c r="E8029" s="623">
        <v>2674.5899999999997</v>
      </c>
      <c r="F8029" s="623">
        <v>10987.896609999996</v>
      </c>
      <c r="G8029" s="623">
        <v>46</v>
      </c>
      <c r="H8029" s="623">
        <v>14452.3326622698</v>
      </c>
      <c r="I8029" s="623">
        <v>7</v>
      </c>
      <c r="J8029" s="623">
        <v>2390.3567499999999</v>
      </c>
      <c r="K8029" s="623">
        <v>45</v>
      </c>
      <c r="L8029" s="623">
        <v>13662.486609999996</v>
      </c>
      <c r="M8029" s="623">
        <v>13662.486609999996</v>
      </c>
      <c r="N8029" s="623">
        <v>2674.5899999999997</v>
      </c>
      <c r="O8029" s="624"/>
    </row>
    <row r="8030" spans="1:38">
      <c r="A8030" s="1736">
        <v>10</v>
      </c>
      <c r="B8030" s="1736" t="s">
        <v>1947</v>
      </c>
      <c r="C8030" s="587" t="s">
        <v>1196</v>
      </c>
      <c r="D8030" s="621">
        <f>D8031+D8032</f>
        <v>640382.65419000003</v>
      </c>
      <c r="E8030" s="621">
        <f t="shared" ref="E8030:O8030" si="321">E8031+E8032</f>
        <v>168112.5</v>
      </c>
      <c r="F8030" s="621">
        <f t="shared" si="321"/>
        <v>472270.15419000003</v>
      </c>
      <c r="G8030" s="621">
        <f t="shared" si="321"/>
        <v>9393</v>
      </c>
      <c r="H8030" s="621">
        <f t="shared" si="321"/>
        <v>686753.90919298353</v>
      </c>
      <c r="I8030" s="621">
        <f t="shared" si="321"/>
        <v>1158</v>
      </c>
      <c r="J8030" s="621">
        <f t="shared" si="321"/>
        <v>47027.631118950325</v>
      </c>
      <c r="K8030" s="621">
        <f t="shared" si="321"/>
        <v>9385</v>
      </c>
      <c r="L8030" s="621">
        <f t="shared" si="321"/>
        <v>640382.65419000003</v>
      </c>
      <c r="M8030" s="621">
        <f t="shared" si="321"/>
        <v>640382.65419000003</v>
      </c>
      <c r="N8030" s="621">
        <f t="shared" si="321"/>
        <v>168112.5</v>
      </c>
      <c r="O8030" s="621">
        <f t="shared" si="321"/>
        <v>0</v>
      </c>
      <c r="P8030" s="621">
        <f>AX8031+AL8032</f>
        <v>3061.690415</v>
      </c>
    </row>
    <row r="8031" spans="1:38">
      <c r="A8031" s="1738"/>
      <c r="B8031" s="1738"/>
      <c r="C8031" s="622" t="s">
        <v>1197</v>
      </c>
      <c r="D8031" s="623">
        <v>637049.763775</v>
      </c>
      <c r="E8031" s="623">
        <v>167841.3</v>
      </c>
      <c r="F8031" s="623">
        <v>469208.46377500001</v>
      </c>
      <c r="G8031" s="623">
        <v>9334</v>
      </c>
      <c r="H8031" s="623">
        <v>683242.01628903323</v>
      </c>
      <c r="I8031" s="623">
        <v>1154</v>
      </c>
      <c r="J8031" s="623">
        <v>46848.628629999992</v>
      </c>
      <c r="K8031" s="623">
        <v>9326</v>
      </c>
      <c r="L8031" s="623">
        <v>637049.763775</v>
      </c>
      <c r="M8031" s="623">
        <v>637049.763775</v>
      </c>
      <c r="N8031" s="623">
        <v>167841.3</v>
      </c>
      <c r="O8031" s="624"/>
    </row>
    <row r="8032" spans="1:38">
      <c r="A8032" s="1737"/>
      <c r="B8032" s="1737"/>
      <c r="C8032" s="622" t="s">
        <v>1199</v>
      </c>
      <c r="D8032" s="623">
        <v>3332.8904149999998</v>
      </c>
      <c r="E8032" s="623">
        <v>271.2</v>
      </c>
      <c r="F8032" s="623">
        <v>3061.690415</v>
      </c>
      <c r="G8032" s="623">
        <v>59</v>
      </c>
      <c r="H8032" s="623">
        <v>3511.8929039503328</v>
      </c>
      <c r="I8032" s="623">
        <v>4</v>
      </c>
      <c r="J8032" s="623">
        <v>179.00248895033292</v>
      </c>
      <c r="K8032" s="623">
        <v>59</v>
      </c>
      <c r="L8032" s="623">
        <v>3332.8904149999998</v>
      </c>
      <c r="M8032" s="623">
        <v>3332.8904149999998</v>
      </c>
      <c r="N8032" s="623">
        <v>271.2</v>
      </c>
      <c r="O8032" s="624"/>
      <c r="AL8032" s="623">
        <v>3061.690415</v>
      </c>
    </row>
    <row r="8033" spans="1:54">
      <c r="A8033" s="1736">
        <v>11</v>
      </c>
      <c r="B8033" s="1736" t="s">
        <v>1948</v>
      </c>
      <c r="C8033" s="587" t="s">
        <v>1196</v>
      </c>
      <c r="D8033" s="621">
        <f>D8034+D8035</f>
        <v>194366.00000000003</v>
      </c>
      <c r="E8033" s="621">
        <f t="shared" ref="E8033:O8033" si="322">E8034+E8035</f>
        <v>53809.799999999996</v>
      </c>
      <c r="F8033" s="621">
        <f t="shared" si="322"/>
        <v>140556.20000000001</v>
      </c>
      <c r="G8033" s="621">
        <f t="shared" si="322"/>
        <v>3125</v>
      </c>
      <c r="H8033" s="621">
        <f t="shared" si="322"/>
        <v>231000.23217277837</v>
      </c>
      <c r="I8033" s="621">
        <f t="shared" si="322"/>
        <v>484</v>
      </c>
      <c r="J8033" s="621">
        <f t="shared" si="322"/>
        <v>22604.313041868329</v>
      </c>
      <c r="K8033" s="621">
        <f t="shared" si="322"/>
        <v>3121</v>
      </c>
      <c r="L8033" s="621">
        <f t="shared" si="322"/>
        <v>194366.00000000003</v>
      </c>
      <c r="M8033" s="621">
        <f t="shared" si="322"/>
        <v>194366.00000000003</v>
      </c>
      <c r="N8033" s="621">
        <f t="shared" si="322"/>
        <v>53809.799999999996</v>
      </c>
      <c r="O8033" s="621">
        <f t="shared" si="322"/>
        <v>0</v>
      </c>
      <c r="P8033" s="621">
        <f>AL8034+AL8035</f>
        <v>3223.1652400000007</v>
      </c>
    </row>
    <row r="8034" spans="1:54">
      <c r="A8034" s="1738"/>
      <c r="B8034" s="1738"/>
      <c r="C8034" s="622" t="s">
        <v>1197</v>
      </c>
      <c r="D8034" s="623">
        <v>189711.23476000002</v>
      </c>
      <c r="E8034" s="623">
        <v>52378.2</v>
      </c>
      <c r="F8034" s="623">
        <v>137333.03476000001</v>
      </c>
      <c r="G8034" s="623">
        <v>2816</v>
      </c>
      <c r="H8034" s="623">
        <v>226183.31464091004</v>
      </c>
      <c r="I8034" s="623">
        <v>456</v>
      </c>
      <c r="J8034" s="623">
        <v>22442.160749999995</v>
      </c>
      <c r="K8034" s="623">
        <v>2812</v>
      </c>
      <c r="L8034" s="623">
        <v>189711.23476000002</v>
      </c>
      <c r="M8034" s="623">
        <v>189711.23476000002</v>
      </c>
      <c r="N8034" s="623">
        <v>52378.2</v>
      </c>
      <c r="O8034" s="624"/>
    </row>
    <row r="8035" spans="1:54">
      <c r="A8035" s="1737"/>
      <c r="B8035" s="1737"/>
      <c r="C8035" s="622" t="s">
        <v>1199</v>
      </c>
      <c r="D8035" s="623">
        <v>4654.7652400000006</v>
      </c>
      <c r="E8035" s="623">
        <v>1431.6</v>
      </c>
      <c r="F8035" s="623">
        <v>3223.1652400000007</v>
      </c>
      <c r="G8035" s="623">
        <v>309</v>
      </c>
      <c r="H8035" s="623">
        <v>4816.9175318683328</v>
      </c>
      <c r="I8035" s="623">
        <v>28</v>
      </c>
      <c r="J8035" s="623">
        <v>162.15229186833221</v>
      </c>
      <c r="K8035" s="623">
        <v>309</v>
      </c>
      <c r="L8035" s="623">
        <v>4654.7652400000006</v>
      </c>
      <c r="M8035" s="623">
        <v>4654.7652400000006</v>
      </c>
      <c r="N8035" s="623">
        <v>1431.6</v>
      </c>
      <c r="O8035" s="624"/>
      <c r="AL8035" s="623">
        <v>3223.1652400000007</v>
      </c>
    </row>
    <row r="8036" spans="1:54">
      <c r="A8036" s="1736">
        <v>12</v>
      </c>
      <c r="B8036" s="1736" t="s">
        <v>1949</v>
      </c>
      <c r="C8036" s="587" t="s">
        <v>1196</v>
      </c>
      <c r="D8036" s="621">
        <f>D8037+D8038</f>
        <v>49269.557069999995</v>
      </c>
      <c r="E8036" s="621">
        <f t="shared" ref="E8036:O8036" si="323">E8037+E8038</f>
        <v>15144</v>
      </c>
      <c r="F8036" s="621">
        <f t="shared" si="323"/>
        <v>34125.557069999995</v>
      </c>
      <c r="G8036" s="621">
        <f t="shared" si="323"/>
        <v>949</v>
      </c>
      <c r="H8036" s="621">
        <f t="shared" si="323"/>
        <v>50063.012228180181</v>
      </c>
      <c r="I8036" s="621">
        <f t="shared" si="323"/>
        <v>47</v>
      </c>
      <c r="J8036" s="621">
        <f t="shared" si="323"/>
        <v>793.25189999999998</v>
      </c>
      <c r="K8036" s="621">
        <f t="shared" si="323"/>
        <v>949</v>
      </c>
      <c r="L8036" s="621">
        <f t="shared" si="323"/>
        <v>49269.557069999995</v>
      </c>
      <c r="M8036" s="621">
        <f t="shared" si="323"/>
        <v>49269.557069999995</v>
      </c>
      <c r="N8036" s="621">
        <f t="shared" si="323"/>
        <v>15144</v>
      </c>
      <c r="O8036" s="621">
        <f t="shared" si="323"/>
        <v>0</v>
      </c>
      <c r="P8036" s="621">
        <f>AY8037+AY8040</f>
        <v>2445.6749600000003</v>
      </c>
    </row>
    <row r="8037" spans="1:54">
      <c r="A8037" s="1738"/>
      <c r="B8037" s="1738"/>
      <c r="C8037" s="622" t="s">
        <v>1197</v>
      </c>
      <c r="D8037" s="623">
        <v>45851.342109999998</v>
      </c>
      <c r="E8037" s="623">
        <v>14171.46</v>
      </c>
      <c r="F8037" s="623">
        <v>31679.882109999999</v>
      </c>
      <c r="G8037" s="623">
        <v>700</v>
      </c>
      <c r="H8037" s="623">
        <v>46600.273538522182</v>
      </c>
      <c r="I8037" s="623">
        <v>38</v>
      </c>
      <c r="J8037" s="623">
        <v>748.59915000000001</v>
      </c>
      <c r="K8037" s="623">
        <v>700</v>
      </c>
      <c r="L8037" s="623">
        <v>45851.342109999998</v>
      </c>
      <c r="M8037" s="623">
        <v>45851.342109999998</v>
      </c>
      <c r="N8037" s="623">
        <v>14171.46</v>
      </c>
      <c r="O8037" s="624"/>
    </row>
    <row r="8038" spans="1:54">
      <c r="A8038" s="1737"/>
      <c r="B8038" s="1737"/>
      <c r="C8038" s="622" t="s">
        <v>1199</v>
      </c>
      <c r="D8038" s="623">
        <v>3418.2149600000002</v>
      </c>
      <c r="E8038" s="623">
        <v>972.54</v>
      </c>
      <c r="F8038" s="623">
        <v>2445.6749600000003</v>
      </c>
      <c r="G8038" s="623">
        <v>249</v>
      </c>
      <c r="H8038" s="623">
        <v>3462.7386896580006</v>
      </c>
      <c r="I8038" s="623">
        <v>9</v>
      </c>
      <c r="J8038" s="623">
        <v>44.652749999999997</v>
      </c>
      <c r="K8038" s="623">
        <v>249</v>
      </c>
      <c r="L8038" s="623">
        <v>3418.2149600000002</v>
      </c>
      <c r="M8038" s="623">
        <v>3418.2149600000002</v>
      </c>
      <c r="N8038" s="623">
        <v>972.54</v>
      </c>
      <c r="O8038" s="624"/>
    </row>
    <row r="8039" spans="1:54">
      <c r="A8039" s="1736">
        <v>13</v>
      </c>
      <c r="B8039" s="1736" t="s">
        <v>1950</v>
      </c>
      <c r="C8039" s="587" t="s">
        <v>1196</v>
      </c>
      <c r="D8039" s="621">
        <f>D8040+D8041</f>
        <v>762603.58092999994</v>
      </c>
      <c r="E8039" s="621">
        <f t="shared" ref="E8039:O8039" si="324">E8040+E8041</f>
        <v>218278.5</v>
      </c>
      <c r="F8039" s="621">
        <f t="shared" si="324"/>
        <v>544325.08093000005</v>
      </c>
      <c r="G8039" s="621">
        <f t="shared" si="324"/>
        <v>10118</v>
      </c>
      <c r="H8039" s="621">
        <f t="shared" si="324"/>
        <v>807741.65102689294</v>
      </c>
      <c r="I8039" s="621">
        <f t="shared" si="324"/>
        <v>1692</v>
      </c>
      <c r="J8039" s="621">
        <f t="shared" si="324"/>
        <v>72517.244019999998</v>
      </c>
      <c r="K8039" s="621">
        <f t="shared" si="324"/>
        <v>10090</v>
      </c>
      <c r="L8039" s="621">
        <f t="shared" si="324"/>
        <v>762603.58092999994</v>
      </c>
      <c r="M8039" s="621">
        <f t="shared" si="324"/>
        <v>762603.58092999994</v>
      </c>
      <c r="N8039" s="621">
        <f t="shared" si="324"/>
        <v>218278.5</v>
      </c>
      <c r="O8039" s="621">
        <f t="shared" si="324"/>
        <v>0</v>
      </c>
      <c r="P8039" s="621">
        <f>BB8040+BB8041</f>
        <v>1002.2894499999999</v>
      </c>
    </row>
    <row r="8040" spans="1:54">
      <c r="A8040" s="1738"/>
      <c r="B8040" s="1738"/>
      <c r="C8040" s="622" t="s">
        <v>1197</v>
      </c>
      <c r="D8040" s="623">
        <v>761301.14147999999</v>
      </c>
      <c r="E8040" s="623">
        <v>217978.35</v>
      </c>
      <c r="F8040" s="623">
        <v>543322.79148000001</v>
      </c>
      <c r="G8040" s="623">
        <v>10051</v>
      </c>
      <c r="H8040" s="623">
        <v>806422.03381018643</v>
      </c>
      <c r="I8040" s="623">
        <v>1689</v>
      </c>
      <c r="J8040" s="623">
        <v>72500.244019999998</v>
      </c>
      <c r="K8040" s="623">
        <v>10023</v>
      </c>
      <c r="L8040" s="623">
        <v>761301.14147999999</v>
      </c>
      <c r="M8040" s="623">
        <v>761301.14147999999</v>
      </c>
      <c r="N8040" s="623">
        <v>217978.35</v>
      </c>
      <c r="O8040" s="624"/>
      <c r="AY8040" s="623">
        <v>2445.6749600000003</v>
      </c>
    </row>
    <row r="8041" spans="1:54">
      <c r="A8041" s="1737"/>
      <c r="B8041" s="1737"/>
      <c r="C8041" s="622" t="s">
        <v>1199</v>
      </c>
      <c r="D8041" s="623">
        <v>1302.4394499999999</v>
      </c>
      <c r="E8041" s="623">
        <v>300.14999999999998</v>
      </c>
      <c r="F8041" s="623">
        <v>1002.2894499999999</v>
      </c>
      <c r="G8041" s="623">
        <v>67</v>
      </c>
      <c r="H8041" s="623">
        <v>1319.6172167064999</v>
      </c>
      <c r="I8041" s="623">
        <v>3</v>
      </c>
      <c r="J8041" s="623">
        <v>17</v>
      </c>
      <c r="K8041" s="623">
        <v>67</v>
      </c>
      <c r="L8041" s="623">
        <v>1302.4394499999999</v>
      </c>
      <c r="M8041" s="623">
        <v>1302.4394499999999</v>
      </c>
      <c r="N8041" s="623">
        <v>300.14999999999998</v>
      </c>
      <c r="O8041" s="624"/>
      <c r="BB8041" s="623">
        <v>1002.2894499999999</v>
      </c>
    </row>
    <row r="8042" spans="1:54">
      <c r="A8042" s="1736">
        <v>14</v>
      </c>
      <c r="B8042" s="1736" t="s">
        <v>1951</v>
      </c>
      <c r="C8042" s="587" t="s">
        <v>1196</v>
      </c>
      <c r="D8042" s="621">
        <f>D8043+D8044</f>
        <v>386605.03003000002</v>
      </c>
      <c r="E8042" s="621">
        <f t="shared" ref="E8042:O8042" si="325">E8043+E8044</f>
        <v>116164.2</v>
      </c>
      <c r="F8042" s="621">
        <f t="shared" si="325"/>
        <v>270440.83003000001</v>
      </c>
      <c r="G8042" s="621">
        <f t="shared" si="325"/>
        <v>8324</v>
      </c>
      <c r="H8042" s="621">
        <f t="shared" si="325"/>
        <v>437738.22208134487</v>
      </c>
      <c r="I8042" s="621">
        <f t="shared" si="325"/>
        <v>1679</v>
      </c>
      <c r="J8042" s="621">
        <f t="shared" si="325"/>
        <v>38890.439017292658</v>
      </c>
      <c r="K8042" s="621">
        <f t="shared" si="325"/>
        <v>8270</v>
      </c>
      <c r="L8042" s="621">
        <f t="shared" si="325"/>
        <v>386605.03003000002</v>
      </c>
      <c r="M8042" s="621">
        <f t="shared" si="325"/>
        <v>386605.03003000002</v>
      </c>
      <c r="N8042" s="621">
        <f t="shared" si="325"/>
        <v>116164.2</v>
      </c>
      <c r="O8042" s="621">
        <f t="shared" si="325"/>
        <v>0</v>
      </c>
      <c r="P8042" s="621">
        <f>BB8043+BB8044</f>
        <v>1441.2584200000001</v>
      </c>
    </row>
    <row r="8043" spans="1:54">
      <c r="A8043" s="1738"/>
      <c r="B8043" s="1738"/>
      <c r="C8043" s="622" t="s">
        <v>1197</v>
      </c>
      <c r="D8043" s="623">
        <v>384798.97161000001</v>
      </c>
      <c r="E8043" s="623">
        <v>115799.4</v>
      </c>
      <c r="F8043" s="623">
        <v>268999.57160999998</v>
      </c>
      <c r="G8043" s="623">
        <v>8223</v>
      </c>
      <c r="H8043" s="623">
        <v>435885.97337405221</v>
      </c>
      <c r="I8043" s="623">
        <v>1670</v>
      </c>
      <c r="J8043" s="623">
        <v>38844.248729999992</v>
      </c>
      <c r="K8043" s="623">
        <v>8169</v>
      </c>
      <c r="L8043" s="623">
        <v>384798.97161000001</v>
      </c>
      <c r="M8043" s="623">
        <v>384798.97161000001</v>
      </c>
      <c r="N8043" s="623">
        <v>115799.4</v>
      </c>
      <c r="O8043" s="624"/>
    </row>
    <row r="8044" spans="1:54">
      <c r="A8044" s="1737"/>
      <c r="B8044" s="1737"/>
      <c r="C8044" s="622" t="s">
        <v>1199</v>
      </c>
      <c r="D8044" s="623">
        <v>1806.0584200000001</v>
      </c>
      <c r="E8044" s="623">
        <v>364.8</v>
      </c>
      <c r="F8044" s="623">
        <v>1441.2584200000001</v>
      </c>
      <c r="G8044" s="623">
        <v>101</v>
      </c>
      <c r="H8044" s="623">
        <v>1852.2487072926665</v>
      </c>
      <c r="I8044" s="623">
        <v>9</v>
      </c>
      <c r="J8044" s="623">
        <v>46.190287292666426</v>
      </c>
      <c r="K8044" s="623">
        <v>101</v>
      </c>
      <c r="L8044" s="623">
        <v>1806.0584200000001</v>
      </c>
      <c r="M8044" s="623">
        <v>1806.0584200000001</v>
      </c>
      <c r="N8044" s="623">
        <v>364.8</v>
      </c>
      <c r="O8044" s="624"/>
      <c r="BB8044" s="623">
        <v>1441.2584200000001</v>
      </c>
    </row>
    <row r="8045" spans="1:54">
      <c r="A8045" s="1736">
        <v>15</v>
      </c>
      <c r="B8045" s="1736" t="s">
        <v>1952</v>
      </c>
      <c r="C8045" s="587" t="s">
        <v>1196</v>
      </c>
      <c r="D8045" s="621">
        <f>D8046+D8047</f>
        <v>340795.77509000001</v>
      </c>
      <c r="E8045" s="621">
        <f t="shared" ref="E8045:O8045" si="326">E8046+E8047</f>
        <v>108721.79999999999</v>
      </c>
      <c r="F8045" s="621">
        <f t="shared" si="326"/>
        <v>232073.97509000002</v>
      </c>
      <c r="G8045" s="621">
        <f t="shared" si="326"/>
        <v>7002</v>
      </c>
      <c r="H8045" s="621">
        <f t="shared" si="326"/>
        <v>373929.36173158116</v>
      </c>
      <c r="I8045" s="621">
        <f t="shared" si="326"/>
        <v>1034</v>
      </c>
      <c r="J8045" s="621">
        <f t="shared" si="326"/>
        <v>24953.997518579665</v>
      </c>
      <c r="K8045" s="621">
        <f t="shared" si="326"/>
        <v>6958</v>
      </c>
      <c r="L8045" s="621">
        <f t="shared" si="326"/>
        <v>340795.77509000001</v>
      </c>
      <c r="M8045" s="621">
        <f t="shared" si="326"/>
        <v>340795.77509000001</v>
      </c>
      <c r="N8045" s="621">
        <f t="shared" si="326"/>
        <v>108721.79999999999</v>
      </c>
      <c r="O8045" s="621">
        <f t="shared" si="326"/>
        <v>0</v>
      </c>
      <c r="P8045" s="621">
        <f>BB8046+BB8047</f>
        <v>2034.2913049999997</v>
      </c>
    </row>
    <row r="8046" spans="1:54">
      <c r="A8046" s="1738"/>
      <c r="B8046" s="1738"/>
      <c r="C8046" s="622" t="s">
        <v>1197</v>
      </c>
      <c r="D8046" s="623">
        <v>338274.58378500002</v>
      </c>
      <c r="E8046" s="623">
        <v>108234.9</v>
      </c>
      <c r="F8046" s="623">
        <v>230039.68378500003</v>
      </c>
      <c r="G8046" s="623">
        <v>6822</v>
      </c>
      <c r="H8046" s="623">
        <v>371372.62741800147</v>
      </c>
      <c r="I8046" s="623">
        <v>1027</v>
      </c>
      <c r="J8046" s="623">
        <v>24918.45451</v>
      </c>
      <c r="K8046" s="623">
        <v>6789</v>
      </c>
      <c r="L8046" s="623">
        <v>338274.58378500002</v>
      </c>
      <c r="M8046" s="623">
        <v>338274.58378500002</v>
      </c>
      <c r="N8046" s="623">
        <v>108234.9</v>
      </c>
      <c r="O8046" s="624"/>
    </row>
    <row r="8047" spans="1:54">
      <c r="A8047" s="1737"/>
      <c r="B8047" s="1737"/>
      <c r="C8047" s="622" t="s">
        <v>1199</v>
      </c>
      <c r="D8047" s="623">
        <v>2521.1913049999998</v>
      </c>
      <c r="E8047" s="623">
        <v>486.9</v>
      </c>
      <c r="F8047" s="623">
        <v>2034.2913049999997</v>
      </c>
      <c r="G8047" s="623">
        <v>180</v>
      </c>
      <c r="H8047" s="623">
        <v>2556.7343135796664</v>
      </c>
      <c r="I8047" s="623">
        <v>7</v>
      </c>
      <c r="J8047" s="623">
        <v>35.543008579666548</v>
      </c>
      <c r="K8047" s="623">
        <v>169</v>
      </c>
      <c r="L8047" s="623">
        <v>2521.1913049999998</v>
      </c>
      <c r="M8047" s="623">
        <v>2521.1913049999998</v>
      </c>
      <c r="N8047" s="623">
        <v>486.9</v>
      </c>
      <c r="O8047" s="624"/>
      <c r="BB8047" s="623">
        <v>2034.2913049999997</v>
      </c>
    </row>
    <row r="8048" spans="1:54">
      <c r="A8048" s="1736">
        <v>16</v>
      </c>
      <c r="B8048" s="1736" t="s">
        <v>1953</v>
      </c>
      <c r="C8048" s="587" t="s">
        <v>1196</v>
      </c>
      <c r="D8048" s="621">
        <f>D8049+D8050</f>
        <v>312150.32000999997</v>
      </c>
      <c r="E8048" s="621">
        <f t="shared" ref="E8048:O8048" si="327">E8049+E8050</f>
        <v>92493.299999999988</v>
      </c>
      <c r="F8048" s="621">
        <f t="shared" si="327"/>
        <v>219657.02000999998</v>
      </c>
      <c r="G8048" s="621">
        <f t="shared" si="327"/>
        <v>6440</v>
      </c>
      <c r="H8048" s="621">
        <f t="shared" si="327"/>
        <v>361786.05004484084</v>
      </c>
      <c r="I8048" s="621">
        <f t="shared" si="327"/>
        <v>826</v>
      </c>
      <c r="J8048" s="621">
        <f t="shared" si="327"/>
        <v>38716.098529999996</v>
      </c>
      <c r="K8048" s="621">
        <f t="shared" si="327"/>
        <v>6239</v>
      </c>
      <c r="L8048" s="621">
        <f t="shared" si="327"/>
        <v>312150.32000999997</v>
      </c>
      <c r="M8048" s="621">
        <f t="shared" si="327"/>
        <v>312150.32000999997</v>
      </c>
      <c r="N8048" s="621">
        <f t="shared" si="327"/>
        <v>92493.299999999988</v>
      </c>
      <c r="O8048" s="621">
        <f t="shared" si="327"/>
        <v>0</v>
      </c>
      <c r="P8048" s="621">
        <f>BB8049+BB8050</f>
        <v>810.32535999999993</v>
      </c>
    </row>
    <row r="8049" spans="1:54">
      <c r="A8049" s="1738"/>
      <c r="B8049" s="1738"/>
      <c r="C8049" s="622" t="s">
        <v>1197</v>
      </c>
      <c r="D8049" s="623">
        <v>311067.59464999998</v>
      </c>
      <c r="E8049" s="623">
        <v>92220.9</v>
      </c>
      <c r="F8049" s="623">
        <v>218846.69464999999</v>
      </c>
      <c r="G8049" s="623">
        <v>6372</v>
      </c>
      <c r="H8049" s="623">
        <v>360249.96458484087</v>
      </c>
      <c r="I8049" s="623">
        <v>787</v>
      </c>
      <c r="J8049" s="623">
        <v>38262.738429999998</v>
      </c>
      <c r="K8049" s="623">
        <v>6171</v>
      </c>
      <c r="L8049" s="623">
        <v>311067.59464999998</v>
      </c>
      <c r="M8049" s="623">
        <v>311067.59464999998</v>
      </c>
      <c r="N8049" s="623">
        <v>92220.9</v>
      </c>
      <c r="O8049" s="624"/>
    </row>
    <row r="8050" spans="1:54">
      <c r="A8050" s="1737"/>
      <c r="B8050" s="1737"/>
      <c r="C8050" s="622" t="s">
        <v>1199</v>
      </c>
      <c r="D8050" s="623">
        <v>1082.7253599999999</v>
      </c>
      <c r="E8050" s="623">
        <v>272.39999999999998</v>
      </c>
      <c r="F8050" s="623">
        <v>810.32535999999993</v>
      </c>
      <c r="G8050" s="623">
        <v>68</v>
      </c>
      <c r="H8050" s="623">
        <v>1536.0854599999998</v>
      </c>
      <c r="I8050" s="623">
        <v>39</v>
      </c>
      <c r="J8050" s="623">
        <v>453.36009999999999</v>
      </c>
      <c r="K8050" s="623">
        <v>68</v>
      </c>
      <c r="L8050" s="623">
        <v>1082.7253599999999</v>
      </c>
      <c r="M8050" s="623">
        <v>1082.7253599999999</v>
      </c>
      <c r="N8050" s="623">
        <v>272.39999999999998</v>
      </c>
      <c r="O8050" s="624"/>
      <c r="BB8050" s="623">
        <v>810.32535999999993</v>
      </c>
    </row>
    <row r="8051" spans="1:54">
      <c r="A8051" s="1736">
        <v>17</v>
      </c>
      <c r="B8051" s="1736" t="s">
        <v>1954</v>
      </c>
      <c r="C8051" s="587" t="s">
        <v>1196</v>
      </c>
      <c r="D8051" s="621">
        <f>D8052+D8053</f>
        <v>348385.15057999996</v>
      </c>
      <c r="E8051" s="621">
        <f t="shared" ref="E8051:O8051" si="328">E8052+E8053</f>
        <v>102525.6</v>
      </c>
      <c r="F8051" s="621">
        <f t="shared" si="328"/>
        <v>245859.55057999998</v>
      </c>
      <c r="G8051" s="621">
        <f t="shared" si="328"/>
        <v>7133</v>
      </c>
      <c r="H8051" s="621">
        <f t="shared" si="328"/>
        <v>379354.0262111093</v>
      </c>
      <c r="I8051" s="621">
        <f t="shared" si="328"/>
        <v>1329</v>
      </c>
      <c r="J8051" s="621">
        <f t="shared" si="328"/>
        <v>28545.858429999997</v>
      </c>
      <c r="K8051" s="621">
        <f t="shared" si="328"/>
        <v>7060</v>
      </c>
      <c r="L8051" s="621">
        <f t="shared" si="328"/>
        <v>348385.15057999996</v>
      </c>
      <c r="M8051" s="621">
        <f t="shared" si="328"/>
        <v>348385.15057999996</v>
      </c>
      <c r="N8051" s="621">
        <f t="shared" si="328"/>
        <v>102525.6</v>
      </c>
      <c r="O8051" s="621">
        <f t="shared" si="328"/>
        <v>0</v>
      </c>
      <c r="P8051" s="621">
        <f>BB8052+BB8053</f>
        <v>2062.6269200000002</v>
      </c>
    </row>
    <row r="8052" spans="1:54">
      <c r="A8052" s="1738"/>
      <c r="B8052" s="1738"/>
      <c r="C8052" s="622" t="s">
        <v>1197</v>
      </c>
      <c r="D8052" s="623">
        <v>345781.92365999997</v>
      </c>
      <c r="E8052" s="623">
        <v>101985</v>
      </c>
      <c r="F8052" s="623">
        <v>243796.92365999997</v>
      </c>
      <c r="G8052" s="623">
        <v>6948</v>
      </c>
      <c r="H8052" s="623">
        <v>376524.89030046045</v>
      </c>
      <c r="I8052" s="623">
        <v>1285</v>
      </c>
      <c r="J8052" s="623">
        <v>28320.069339999998</v>
      </c>
      <c r="K8052" s="623">
        <v>6876</v>
      </c>
      <c r="L8052" s="623">
        <v>345781.92365999997</v>
      </c>
      <c r="M8052" s="623">
        <v>345781.92365999997</v>
      </c>
      <c r="N8052" s="623">
        <v>101985</v>
      </c>
      <c r="O8052" s="624"/>
    </row>
    <row r="8053" spans="1:54">
      <c r="A8053" s="1737"/>
      <c r="B8053" s="1737"/>
      <c r="C8053" s="622" t="s">
        <v>1199</v>
      </c>
      <c r="D8053" s="623">
        <v>2603.2269200000001</v>
      </c>
      <c r="E8053" s="623">
        <v>540.6</v>
      </c>
      <c r="F8053" s="623">
        <v>2062.6269200000002</v>
      </c>
      <c r="G8053" s="623">
        <v>185</v>
      </c>
      <c r="H8053" s="623">
        <v>2829.1359106488335</v>
      </c>
      <c r="I8053" s="623">
        <v>44</v>
      </c>
      <c r="J8053" s="623">
        <v>225.78908999999999</v>
      </c>
      <c r="K8053" s="623">
        <v>184</v>
      </c>
      <c r="L8053" s="623">
        <v>2603.2269200000001</v>
      </c>
      <c r="M8053" s="623">
        <v>2603.2269200000001</v>
      </c>
      <c r="N8053" s="623">
        <v>540.6</v>
      </c>
      <c r="O8053" s="624"/>
      <c r="BB8053" s="623">
        <v>2062.6269200000002</v>
      </c>
    </row>
    <row r="8054" spans="1:54">
      <c r="A8054" s="1736">
        <v>18</v>
      </c>
      <c r="B8054" s="1736" t="s">
        <v>1955</v>
      </c>
      <c r="C8054" s="587" t="s">
        <v>1196</v>
      </c>
      <c r="D8054" s="621">
        <f>D8055+D8056</f>
        <v>126428.06095000001</v>
      </c>
      <c r="E8054" s="621">
        <f t="shared" ref="E8054:O8054" si="329">E8055+E8056</f>
        <v>33952.5</v>
      </c>
      <c r="F8054" s="621">
        <f t="shared" si="329"/>
        <v>92475.560950000028</v>
      </c>
      <c r="G8054" s="621">
        <f t="shared" si="329"/>
        <v>1635</v>
      </c>
      <c r="H8054" s="621">
        <f t="shared" si="329"/>
        <v>140160.0028234637</v>
      </c>
      <c r="I8054" s="621">
        <f t="shared" si="329"/>
        <v>353</v>
      </c>
      <c r="J8054" s="621">
        <f t="shared" si="329"/>
        <v>10754.285279999996</v>
      </c>
      <c r="K8054" s="621">
        <f t="shared" si="329"/>
        <v>1631</v>
      </c>
      <c r="L8054" s="621">
        <f t="shared" si="329"/>
        <v>126428.06095000001</v>
      </c>
      <c r="M8054" s="621">
        <f t="shared" si="329"/>
        <v>126428.06095000001</v>
      </c>
      <c r="N8054" s="621">
        <f t="shared" si="329"/>
        <v>33952.5</v>
      </c>
      <c r="O8054" s="621">
        <f t="shared" si="329"/>
        <v>0</v>
      </c>
      <c r="P8054" s="621">
        <f>AL8055+AL8056</f>
        <v>0</v>
      </c>
    </row>
    <row r="8055" spans="1:54">
      <c r="A8055" s="1738"/>
      <c r="B8055" s="1738"/>
      <c r="C8055" s="622" t="s">
        <v>1197</v>
      </c>
      <c r="D8055" s="623">
        <v>121226.50247500002</v>
      </c>
      <c r="E8055" s="623">
        <v>32851.71</v>
      </c>
      <c r="F8055" s="623">
        <v>88374.792475000024</v>
      </c>
      <c r="G8055" s="623">
        <v>1618</v>
      </c>
      <c r="H8055" s="623">
        <v>134292.8547546145</v>
      </c>
      <c r="I8055" s="623">
        <v>348</v>
      </c>
      <c r="J8055" s="623">
        <v>10113.672699999997</v>
      </c>
      <c r="K8055" s="623">
        <v>1614</v>
      </c>
      <c r="L8055" s="623">
        <v>121226.50247500002</v>
      </c>
      <c r="M8055" s="623">
        <v>121226.50247500002</v>
      </c>
      <c r="N8055" s="623">
        <v>32851.71</v>
      </c>
      <c r="O8055" s="624"/>
    </row>
    <row r="8056" spans="1:54">
      <c r="A8056" s="1737"/>
      <c r="B8056" s="1737"/>
      <c r="C8056" s="622" t="s">
        <v>1198</v>
      </c>
      <c r="D8056" s="623">
        <v>5201.5584749999998</v>
      </c>
      <c r="E8056" s="623">
        <v>1100.79</v>
      </c>
      <c r="F8056" s="623">
        <v>4100.7684749999999</v>
      </c>
      <c r="G8056" s="623">
        <v>17</v>
      </c>
      <c r="H8056" s="623">
        <v>5867.1480688492002</v>
      </c>
      <c r="I8056" s="623">
        <v>5</v>
      </c>
      <c r="J8056" s="623">
        <v>640.61257999999998</v>
      </c>
      <c r="K8056" s="623">
        <v>17</v>
      </c>
      <c r="L8056" s="623">
        <v>5201.5584749999998</v>
      </c>
      <c r="M8056" s="623">
        <v>5201.5584749999998</v>
      </c>
      <c r="N8056" s="623">
        <v>1100.79</v>
      </c>
      <c r="O8056" s="624"/>
    </row>
    <row r="8057" spans="1:54">
      <c r="A8057" s="1736">
        <v>19</v>
      </c>
      <c r="B8057" s="1736" t="s">
        <v>1956</v>
      </c>
      <c r="C8057" s="587" t="s">
        <v>1196</v>
      </c>
      <c r="D8057" s="621">
        <f>D8058+D8059</f>
        <v>123264.33646000001</v>
      </c>
      <c r="E8057" s="621">
        <f t="shared" ref="E8057:O8057" si="330">E8058+E8059</f>
        <v>42323.7</v>
      </c>
      <c r="F8057" s="621">
        <f t="shared" si="330"/>
        <v>80940.636460000009</v>
      </c>
      <c r="G8057" s="621">
        <f t="shared" si="330"/>
        <v>826</v>
      </c>
      <c r="H8057" s="621">
        <f t="shared" si="330"/>
        <v>130502.1095632464</v>
      </c>
      <c r="I8057" s="621">
        <f t="shared" si="330"/>
        <v>157</v>
      </c>
      <c r="J8057" s="621">
        <f t="shared" si="330"/>
        <v>7218.2894400000005</v>
      </c>
      <c r="K8057" s="621">
        <f t="shared" si="330"/>
        <v>823</v>
      </c>
      <c r="L8057" s="621">
        <f t="shared" si="330"/>
        <v>123264.33646000001</v>
      </c>
      <c r="M8057" s="621">
        <f t="shared" si="330"/>
        <v>123264.33646000001</v>
      </c>
      <c r="N8057" s="621">
        <f t="shared" si="330"/>
        <v>42323.7</v>
      </c>
      <c r="O8057" s="621">
        <f t="shared" si="330"/>
        <v>0</v>
      </c>
      <c r="P8057" s="621">
        <f>AL8058+AL8059</f>
        <v>0</v>
      </c>
    </row>
    <row r="8058" spans="1:54">
      <c r="A8058" s="1738"/>
      <c r="B8058" s="1738"/>
      <c r="C8058" s="622" t="s">
        <v>1197</v>
      </c>
      <c r="D8058" s="623">
        <v>57702.238060000003</v>
      </c>
      <c r="E8058" s="623">
        <v>19486.2</v>
      </c>
      <c r="F8058" s="623">
        <v>38216.038060000006</v>
      </c>
      <c r="G8058" s="623">
        <v>723</v>
      </c>
      <c r="H8058" s="623">
        <v>61444.112691518007</v>
      </c>
      <c r="I8058" s="623">
        <v>137</v>
      </c>
      <c r="J8058" s="623">
        <v>3722.5957599999997</v>
      </c>
      <c r="K8058" s="623">
        <v>720</v>
      </c>
      <c r="L8058" s="623">
        <v>57702.238060000003</v>
      </c>
      <c r="M8058" s="623">
        <v>57702.238060000003</v>
      </c>
      <c r="N8058" s="623">
        <v>19486.2</v>
      </c>
      <c r="O8058" s="624"/>
    </row>
    <row r="8059" spans="1:54">
      <c r="A8059" s="1737"/>
      <c r="B8059" s="1737"/>
      <c r="C8059" s="622" t="s">
        <v>1198</v>
      </c>
      <c r="D8059" s="623">
        <v>65562.098400000003</v>
      </c>
      <c r="E8059" s="623">
        <v>22837.5</v>
      </c>
      <c r="F8059" s="623">
        <v>42724.598400000003</v>
      </c>
      <c r="G8059" s="623">
        <v>103</v>
      </c>
      <c r="H8059" s="623">
        <v>69057.996871728392</v>
      </c>
      <c r="I8059" s="623">
        <v>20</v>
      </c>
      <c r="J8059" s="623">
        <v>3495.6936800000003</v>
      </c>
      <c r="K8059" s="623">
        <v>103</v>
      </c>
      <c r="L8059" s="623">
        <v>65562.098400000003</v>
      </c>
      <c r="M8059" s="623">
        <v>65562.098400000003</v>
      </c>
      <c r="N8059" s="623">
        <v>22837.5</v>
      </c>
      <c r="O8059" s="624"/>
    </row>
    <row r="8060" spans="1:54">
      <c r="A8060" s="1736">
        <v>20</v>
      </c>
      <c r="B8060" s="1736" t="s">
        <v>1957</v>
      </c>
      <c r="C8060" s="587" t="s">
        <v>1196</v>
      </c>
      <c r="D8060" s="621">
        <f>D8061+D8062+D8063</f>
        <v>412094.2476</v>
      </c>
      <c r="E8060" s="621">
        <f t="shared" ref="E8060:O8060" si="331">E8061+E8062+E8063</f>
        <v>108220.11</v>
      </c>
      <c r="F8060" s="621">
        <f t="shared" si="331"/>
        <v>303874.13759999996</v>
      </c>
      <c r="G8060" s="621">
        <f t="shared" si="331"/>
        <v>3240</v>
      </c>
      <c r="H8060" s="621">
        <f t="shared" si="331"/>
        <v>441708.16149213794</v>
      </c>
      <c r="I8060" s="621">
        <f t="shared" si="331"/>
        <v>524</v>
      </c>
      <c r="J8060" s="621">
        <f t="shared" si="331"/>
        <v>26567.565240000004</v>
      </c>
      <c r="K8060" s="621">
        <f t="shared" si="331"/>
        <v>3230</v>
      </c>
      <c r="L8060" s="621">
        <f t="shared" si="331"/>
        <v>412094.2476</v>
      </c>
      <c r="M8060" s="621">
        <f t="shared" si="331"/>
        <v>412094.2476</v>
      </c>
      <c r="N8060" s="621">
        <f t="shared" si="331"/>
        <v>108220.11</v>
      </c>
      <c r="O8060" s="621">
        <f t="shared" si="331"/>
        <v>0</v>
      </c>
      <c r="P8060" s="621">
        <f>AL8061+BD8062+P8063</f>
        <v>292.60424999999998</v>
      </c>
    </row>
    <row r="8061" spans="1:54">
      <c r="A8061" s="1738"/>
      <c r="B8061" s="1738"/>
      <c r="C8061" s="622" t="s">
        <v>1197</v>
      </c>
      <c r="D8061" s="623">
        <v>251958.04316999999</v>
      </c>
      <c r="E8061" s="623">
        <v>75871.56</v>
      </c>
      <c r="F8061" s="623">
        <v>176086.48316999999</v>
      </c>
      <c r="G8061" s="623">
        <v>2567</v>
      </c>
      <c r="H8061" s="623">
        <v>270949.06504250504</v>
      </c>
      <c r="I8061" s="623">
        <v>422</v>
      </c>
      <c r="J8061" s="623">
        <v>15741.777510000002</v>
      </c>
      <c r="K8061" s="623">
        <v>2559</v>
      </c>
      <c r="L8061" s="623">
        <v>252114.53891999999</v>
      </c>
      <c r="M8061" s="623">
        <v>252114.53891999999</v>
      </c>
      <c r="N8061" s="623">
        <v>75871.56</v>
      </c>
      <c r="O8061" s="624"/>
    </row>
    <row r="8062" spans="1:54">
      <c r="A8062" s="1738"/>
      <c r="B8062" s="1738"/>
      <c r="C8062" s="622" t="s">
        <v>1198</v>
      </c>
      <c r="D8062" s="623">
        <v>159687.10443000001</v>
      </c>
      <c r="E8062" s="623">
        <v>32348.55</v>
      </c>
      <c r="F8062" s="623">
        <v>127338.55443</v>
      </c>
      <c r="G8062" s="623">
        <v>673</v>
      </c>
      <c r="H8062" s="623">
        <v>170466.49219963289</v>
      </c>
      <c r="I8062" s="623">
        <v>102</v>
      </c>
      <c r="J8062" s="623">
        <v>10825.78773</v>
      </c>
      <c r="K8062" s="623">
        <v>671</v>
      </c>
      <c r="L8062" s="623">
        <v>159687.10443000001</v>
      </c>
      <c r="M8062" s="623">
        <v>159687.10443000001</v>
      </c>
      <c r="N8062" s="623">
        <v>32348.55</v>
      </c>
      <c r="O8062" s="624"/>
    </row>
    <row r="8063" spans="1:54">
      <c r="A8063" s="1737"/>
      <c r="B8063" s="1737"/>
      <c r="C8063" s="625" t="s">
        <v>1202</v>
      </c>
      <c r="D8063" s="623">
        <v>449.1</v>
      </c>
      <c r="E8063" s="623"/>
      <c r="F8063" s="623">
        <v>449.1</v>
      </c>
      <c r="G8063" s="623"/>
      <c r="H8063" s="623">
        <v>292.60424999999998</v>
      </c>
      <c r="I8063" s="623"/>
      <c r="J8063" s="623"/>
      <c r="K8063" s="623"/>
      <c r="L8063" s="623">
        <v>292.60424999999998</v>
      </c>
      <c r="M8063" s="623">
        <v>292.60424999999998</v>
      </c>
      <c r="N8063" s="623">
        <v>0</v>
      </c>
      <c r="O8063" s="623">
        <v>0</v>
      </c>
      <c r="P8063" s="623">
        <v>292.60424999999998</v>
      </c>
    </row>
    <row r="8064" spans="1:54">
      <c r="A8064" s="1736">
        <v>21</v>
      </c>
      <c r="B8064" s="1736" t="s">
        <v>1958</v>
      </c>
      <c r="C8064" s="587" t="s">
        <v>1196</v>
      </c>
      <c r="D8064" s="621">
        <f>D8065+D8066+D8067</f>
        <v>773228.23822000006</v>
      </c>
      <c r="E8064" s="621">
        <f t="shared" ref="E8064:O8064" si="332">E8065+E8066+E8067</f>
        <v>163913.69999999998</v>
      </c>
      <c r="F8064" s="621">
        <f t="shared" si="332"/>
        <v>609314.5382200001</v>
      </c>
      <c r="G8064" s="621">
        <f t="shared" si="332"/>
        <v>5795</v>
      </c>
      <c r="H8064" s="621">
        <f t="shared" si="332"/>
        <v>804187.8611101011</v>
      </c>
      <c r="I8064" s="621">
        <f t="shared" si="332"/>
        <v>599</v>
      </c>
      <c r="J8064" s="621">
        <f t="shared" si="332"/>
        <v>25234.832145915578</v>
      </c>
      <c r="K8064" s="621">
        <f t="shared" si="332"/>
        <v>5683</v>
      </c>
      <c r="L8064" s="621">
        <f t="shared" si="332"/>
        <v>773228.23822000006</v>
      </c>
      <c r="M8064" s="621">
        <f t="shared" si="332"/>
        <v>773228.23822000006</v>
      </c>
      <c r="N8064" s="621">
        <f t="shared" si="332"/>
        <v>163913.69999999998</v>
      </c>
      <c r="O8064" s="621">
        <f t="shared" si="332"/>
        <v>0</v>
      </c>
      <c r="P8064" s="621">
        <f>AT8065+BD8066+BD8067</f>
        <v>23101.734059999999</v>
      </c>
    </row>
    <row r="8065" spans="1:56">
      <c r="A8065" s="1738"/>
      <c r="B8065" s="1738"/>
      <c r="C8065" s="622" t="s">
        <v>1197</v>
      </c>
      <c r="D8065" s="623">
        <v>387006.60731500003</v>
      </c>
      <c r="E8065" s="623">
        <v>153135.44999999998</v>
      </c>
      <c r="F8065" s="623">
        <v>233871.15731500005</v>
      </c>
      <c r="G8065" s="623">
        <v>3245</v>
      </c>
      <c r="H8065" s="623">
        <v>401993.23207442998</v>
      </c>
      <c r="I8065" s="623">
        <v>358</v>
      </c>
      <c r="J8065" s="623">
        <v>12911.637324934445</v>
      </c>
      <c r="K8065" s="623">
        <v>3245</v>
      </c>
      <c r="L8065" s="623">
        <v>387006.60731500003</v>
      </c>
      <c r="M8065" s="623">
        <v>387006.60731500003</v>
      </c>
      <c r="N8065" s="623">
        <v>153135.44999999998</v>
      </c>
      <c r="O8065" s="624"/>
    </row>
    <row r="8066" spans="1:56">
      <c r="A8066" s="1738"/>
      <c r="B8066" s="1738"/>
      <c r="C8066" s="622" t="s">
        <v>1198</v>
      </c>
      <c r="D8066" s="623">
        <v>359841.64684499998</v>
      </c>
      <c r="E8066" s="623">
        <v>7500</v>
      </c>
      <c r="F8066" s="623">
        <v>352341.64684499998</v>
      </c>
      <c r="G8066" s="623">
        <v>1343</v>
      </c>
      <c r="H8066" s="623">
        <v>375182.75292469008</v>
      </c>
      <c r="I8066" s="623">
        <v>129</v>
      </c>
      <c r="J8066" s="623">
        <v>11691.30277</v>
      </c>
      <c r="K8066" s="623">
        <v>1341</v>
      </c>
      <c r="L8066" s="623">
        <v>359841.64684499998</v>
      </c>
      <c r="M8066" s="623">
        <v>359841.64684499998</v>
      </c>
      <c r="N8066" s="623">
        <v>7500</v>
      </c>
      <c r="O8066" s="624"/>
    </row>
    <row r="8067" spans="1:56">
      <c r="A8067" s="1737"/>
      <c r="B8067" s="1737"/>
      <c r="C8067" s="622" t="s">
        <v>1199</v>
      </c>
      <c r="D8067" s="623">
        <v>26379.984059999999</v>
      </c>
      <c r="E8067" s="623">
        <v>3278.25</v>
      </c>
      <c r="F8067" s="623">
        <v>23101.734059999999</v>
      </c>
      <c r="G8067" s="623">
        <v>1207</v>
      </c>
      <c r="H8067" s="623">
        <v>27011.876110981131</v>
      </c>
      <c r="I8067" s="623">
        <v>112</v>
      </c>
      <c r="J8067" s="623">
        <v>631.89205098113234</v>
      </c>
      <c r="K8067" s="623">
        <v>1097</v>
      </c>
      <c r="L8067" s="623">
        <v>26379.984059999999</v>
      </c>
      <c r="M8067" s="623">
        <v>26379.984059999999</v>
      </c>
      <c r="N8067" s="623">
        <v>3278.25</v>
      </c>
      <c r="O8067" s="624"/>
      <c r="BD8067" s="623">
        <v>23101.734059999999</v>
      </c>
    </row>
    <row r="8068" spans="1:56">
      <c r="A8068" s="1736">
        <v>22</v>
      </c>
      <c r="B8068" s="1736" t="s">
        <v>1959</v>
      </c>
      <c r="C8068" s="587" t="s">
        <v>1196</v>
      </c>
      <c r="D8068" s="621">
        <f>D8069</f>
        <v>131588.98910999999</v>
      </c>
      <c r="E8068" s="621">
        <f t="shared" ref="E8068:O8068" si="333">E8069</f>
        <v>39463.049999999996</v>
      </c>
      <c r="F8068" s="621">
        <f t="shared" si="333"/>
        <v>92125.939110000007</v>
      </c>
      <c r="G8068" s="621">
        <f t="shared" si="333"/>
        <v>1667</v>
      </c>
      <c r="H8068" s="621">
        <f t="shared" si="333"/>
        <v>134357.38037017419</v>
      </c>
      <c r="I8068" s="621">
        <f t="shared" si="333"/>
        <v>64</v>
      </c>
      <c r="J8068" s="621">
        <f t="shared" si="333"/>
        <v>2559.0933</v>
      </c>
      <c r="K8068" s="621">
        <f t="shared" si="333"/>
        <v>1666</v>
      </c>
      <c r="L8068" s="621">
        <f t="shared" si="333"/>
        <v>131588.98910999999</v>
      </c>
      <c r="M8068" s="621">
        <f t="shared" si="333"/>
        <v>131588.98910999999</v>
      </c>
      <c r="N8068" s="621">
        <f t="shared" si="333"/>
        <v>39463.049999999996</v>
      </c>
      <c r="O8068" s="621">
        <f t="shared" si="333"/>
        <v>0</v>
      </c>
      <c r="P8068" s="621">
        <f>BD8069</f>
        <v>0</v>
      </c>
    </row>
    <row r="8069" spans="1:56">
      <c r="A8069" s="1737"/>
      <c r="B8069" s="1737"/>
      <c r="C8069" s="622" t="s">
        <v>1197</v>
      </c>
      <c r="D8069" s="623">
        <v>131588.98910999999</v>
      </c>
      <c r="E8069" s="623">
        <v>39463.049999999996</v>
      </c>
      <c r="F8069" s="623">
        <v>92125.939110000007</v>
      </c>
      <c r="G8069" s="623">
        <v>1667</v>
      </c>
      <c r="H8069" s="623">
        <v>134357.38037017419</v>
      </c>
      <c r="I8069" s="623">
        <v>64</v>
      </c>
      <c r="J8069" s="623">
        <v>2559.0933</v>
      </c>
      <c r="K8069" s="623">
        <v>1666</v>
      </c>
      <c r="L8069" s="623">
        <v>131588.98910999999</v>
      </c>
      <c r="M8069" s="623">
        <v>131588.98910999999</v>
      </c>
      <c r="N8069" s="623">
        <v>39463.049999999996</v>
      </c>
      <c r="O8069" s="624"/>
    </row>
    <row r="8070" spans="1:56">
      <c r="A8070" s="1736">
        <v>23</v>
      </c>
      <c r="B8070" s="1736" t="s">
        <v>1960</v>
      </c>
      <c r="C8070" s="587" t="s">
        <v>1196</v>
      </c>
      <c r="D8070" s="621">
        <f>D8071+D8072</f>
        <v>19414.339959999998</v>
      </c>
      <c r="E8070" s="621">
        <f t="shared" ref="E8070:O8070" si="334">E8071+E8072</f>
        <v>5854.95</v>
      </c>
      <c r="F8070" s="621">
        <f t="shared" si="334"/>
        <v>13559.389959999997</v>
      </c>
      <c r="G8070" s="621">
        <f t="shared" si="334"/>
        <v>509</v>
      </c>
      <c r="H8070" s="621">
        <f t="shared" si="334"/>
        <v>21757.466944327</v>
      </c>
      <c r="I8070" s="621">
        <f t="shared" si="334"/>
        <v>109</v>
      </c>
      <c r="J8070" s="621">
        <f t="shared" si="334"/>
        <v>2333.8446619352003</v>
      </c>
      <c r="K8070" s="621">
        <f t="shared" si="334"/>
        <v>504</v>
      </c>
      <c r="L8070" s="621">
        <f t="shared" si="334"/>
        <v>19414.339959999998</v>
      </c>
      <c r="M8070" s="621">
        <f t="shared" si="334"/>
        <v>19414.339959999998</v>
      </c>
      <c r="N8070" s="621">
        <f t="shared" si="334"/>
        <v>5854.95</v>
      </c>
      <c r="O8070" s="621">
        <f t="shared" si="334"/>
        <v>0</v>
      </c>
      <c r="P8070" s="621">
        <f>AL8071+P8072</f>
        <v>1820.6708950000002</v>
      </c>
    </row>
    <row r="8071" spans="1:56">
      <c r="A8071" s="1738"/>
      <c r="B8071" s="1738"/>
      <c r="C8071" s="622" t="s">
        <v>1197</v>
      </c>
      <c r="D8071" s="623">
        <v>16946.419064999998</v>
      </c>
      <c r="E8071" s="623">
        <v>5207.7</v>
      </c>
      <c r="F8071" s="623">
        <v>11738.719064999997</v>
      </c>
      <c r="G8071" s="623">
        <v>315</v>
      </c>
      <c r="H8071" s="623">
        <v>19161.718136984</v>
      </c>
      <c r="I8071" s="623">
        <v>81</v>
      </c>
      <c r="J8071" s="623">
        <v>2206.3072419352002</v>
      </c>
      <c r="K8071" s="623">
        <v>312</v>
      </c>
      <c r="L8071" s="623">
        <v>16946.419064999998</v>
      </c>
      <c r="M8071" s="623">
        <v>16946.419064999998</v>
      </c>
      <c r="N8071" s="623">
        <v>5207.7</v>
      </c>
      <c r="O8071" s="624"/>
    </row>
    <row r="8072" spans="1:56">
      <c r="A8072" s="1737"/>
      <c r="B8072" s="1737"/>
      <c r="C8072" s="622" t="s">
        <v>1199</v>
      </c>
      <c r="D8072" s="623">
        <v>2467.9208950000002</v>
      </c>
      <c r="E8072" s="623">
        <v>647.25</v>
      </c>
      <c r="F8072" s="623">
        <v>1820.6708950000002</v>
      </c>
      <c r="G8072" s="623">
        <v>194</v>
      </c>
      <c r="H8072" s="623">
        <v>2595.7488073430004</v>
      </c>
      <c r="I8072" s="623">
        <v>28</v>
      </c>
      <c r="J8072" s="623">
        <v>127.53742</v>
      </c>
      <c r="K8072" s="623">
        <v>192</v>
      </c>
      <c r="L8072" s="623">
        <v>2467.9208950000002</v>
      </c>
      <c r="M8072" s="623">
        <v>2467.9208950000002</v>
      </c>
      <c r="N8072" s="623">
        <v>647.25</v>
      </c>
      <c r="O8072" s="624"/>
      <c r="P8072" s="623">
        <v>1820.6708950000002</v>
      </c>
    </row>
    <row r="8073" spans="1:56">
      <c r="A8073" s="1736">
        <v>24</v>
      </c>
      <c r="B8073" s="1736" t="s">
        <v>1961</v>
      </c>
      <c r="C8073" s="587" t="s">
        <v>1196</v>
      </c>
      <c r="D8073" s="621">
        <f>D8074+D8075+D8076</f>
        <v>3213286.9694600003</v>
      </c>
      <c r="E8073" s="621">
        <f t="shared" ref="E8073:O8073" si="335">E8074+E8075+E8076</f>
        <v>750293.39999999991</v>
      </c>
      <c r="F8073" s="621">
        <f t="shared" si="335"/>
        <v>2462993.5694600004</v>
      </c>
      <c r="G8073" s="621">
        <f t="shared" si="335"/>
        <v>9417</v>
      </c>
      <c r="H8073" s="621">
        <f t="shared" si="335"/>
        <v>3238939.7926633339</v>
      </c>
      <c r="I8073" s="621">
        <f t="shared" si="335"/>
        <v>498</v>
      </c>
      <c r="J8073" s="621">
        <f t="shared" si="335"/>
        <v>28660.753120800888</v>
      </c>
      <c r="K8073" s="621">
        <f t="shared" si="335"/>
        <v>9402</v>
      </c>
      <c r="L8073" s="621">
        <f t="shared" si="335"/>
        <v>3213286.9694600003</v>
      </c>
      <c r="M8073" s="621">
        <f t="shared" si="335"/>
        <v>3213286.9694600003</v>
      </c>
      <c r="N8073" s="621">
        <f t="shared" si="335"/>
        <v>750293.39999999991</v>
      </c>
      <c r="O8073" s="621">
        <f t="shared" si="335"/>
        <v>0</v>
      </c>
      <c r="P8073" s="621">
        <f>BD8074+BD8075+BD8076</f>
        <v>384717.09191999998</v>
      </c>
    </row>
    <row r="8074" spans="1:56">
      <c r="A8074" s="1738"/>
      <c r="B8074" s="1738"/>
      <c r="C8074" s="622" t="s">
        <v>1197</v>
      </c>
      <c r="D8074" s="623">
        <v>2410180.3661100003</v>
      </c>
      <c r="E8074" s="623">
        <v>651668.18999999994</v>
      </c>
      <c r="F8074" s="623">
        <v>1758512.1761100003</v>
      </c>
      <c r="G8074" s="623">
        <v>7310</v>
      </c>
      <c r="H8074" s="623">
        <v>2431493.1084900005</v>
      </c>
      <c r="I8074" s="623">
        <v>458</v>
      </c>
      <c r="J8074" s="623">
        <v>21010.395599029751</v>
      </c>
      <c r="K8074" s="623">
        <v>7300</v>
      </c>
      <c r="L8074" s="623">
        <v>2410180.3661100003</v>
      </c>
      <c r="M8074" s="623">
        <v>2410180.3661100003</v>
      </c>
      <c r="N8074" s="623">
        <v>651668.18999999994</v>
      </c>
      <c r="O8074" s="624"/>
    </row>
    <row r="8075" spans="1:56">
      <c r="A8075" s="1738"/>
      <c r="B8075" s="1738"/>
      <c r="C8075" s="622" t="s">
        <v>1198</v>
      </c>
      <c r="D8075" s="623">
        <v>338857.05142999999</v>
      </c>
      <c r="E8075" s="623">
        <v>19092.75</v>
      </c>
      <c r="F8075" s="623">
        <v>319764.30142999999</v>
      </c>
      <c r="G8075" s="623">
        <v>519</v>
      </c>
      <c r="H8075" s="623">
        <v>341992.46585999994</v>
      </c>
      <c r="I8075" s="623">
        <v>25</v>
      </c>
      <c r="J8075" s="623">
        <v>5859.3591997711392</v>
      </c>
      <c r="K8075" s="623">
        <v>519</v>
      </c>
      <c r="L8075" s="623">
        <v>338857.05142999999</v>
      </c>
      <c r="M8075" s="623">
        <v>338857.05142999999</v>
      </c>
      <c r="N8075" s="623">
        <v>19092.75</v>
      </c>
      <c r="O8075" s="624"/>
    </row>
    <row r="8076" spans="1:56">
      <c r="A8076" s="1737"/>
      <c r="B8076" s="1737"/>
      <c r="C8076" s="622" t="s">
        <v>1199</v>
      </c>
      <c r="D8076" s="623">
        <v>464249.55192</v>
      </c>
      <c r="E8076" s="623">
        <v>79532.460000000006</v>
      </c>
      <c r="F8076" s="623">
        <v>384717.09191999998</v>
      </c>
      <c r="G8076" s="623">
        <v>1588</v>
      </c>
      <c r="H8076" s="623">
        <v>465454.21831333335</v>
      </c>
      <c r="I8076" s="623">
        <v>15</v>
      </c>
      <c r="J8076" s="623">
        <v>1790.9983219999999</v>
      </c>
      <c r="K8076" s="623">
        <v>1583</v>
      </c>
      <c r="L8076" s="623">
        <v>464249.55192</v>
      </c>
      <c r="M8076" s="623">
        <v>464249.55192</v>
      </c>
      <c r="N8076" s="623">
        <v>79532.460000000006</v>
      </c>
      <c r="O8076" s="624"/>
      <c r="BD8076" s="623">
        <v>384717.09191999998</v>
      </c>
    </row>
    <row r="8077" spans="1:56">
      <c r="A8077" s="1736">
        <v>25</v>
      </c>
      <c r="B8077" s="1736" t="s">
        <v>1962</v>
      </c>
      <c r="C8077" s="587" t="s">
        <v>1196</v>
      </c>
      <c r="D8077" s="621">
        <f>D8078+D8079+D8080+D8081</f>
        <v>1072135.419644</v>
      </c>
      <c r="E8077" s="621">
        <f t="shared" ref="E8077:O8077" si="336">E8078+E8079+E8080+E8081</f>
        <v>251876.1</v>
      </c>
      <c r="F8077" s="621">
        <f t="shared" si="336"/>
        <v>820259.31964400015</v>
      </c>
      <c r="G8077" s="621">
        <f t="shared" si="336"/>
        <v>4089</v>
      </c>
      <c r="H8077" s="621">
        <f t="shared" si="336"/>
        <v>1176090.5067722648</v>
      </c>
      <c r="I8077" s="621">
        <f t="shared" si="336"/>
        <v>773</v>
      </c>
      <c r="J8077" s="621">
        <f t="shared" si="336"/>
        <v>100849.05329000001</v>
      </c>
      <c r="K8077" s="621">
        <f t="shared" si="336"/>
        <v>4079</v>
      </c>
      <c r="L8077" s="621">
        <f t="shared" si="336"/>
        <v>1072135.41964</v>
      </c>
      <c r="M8077" s="621">
        <f t="shared" si="336"/>
        <v>1072135.41964</v>
      </c>
      <c r="N8077" s="621">
        <f t="shared" si="336"/>
        <v>251876.1</v>
      </c>
      <c r="O8077" s="621">
        <f t="shared" si="336"/>
        <v>0</v>
      </c>
      <c r="P8077" s="621">
        <f>BD8078+BD8079+BD8080+P8081</f>
        <v>6050.554685000001</v>
      </c>
    </row>
    <row r="8078" spans="1:56">
      <c r="A8078" s="1738"/>
      <c r="B8078" s="1738"/>
      <c r="C8078" s="622" t="s">
        <v>1197</v>
      </c>
      <c r="D8078" s="623">
        <v>417551.80504900002</v>
      </c>
      <c r="E8078" s="623">
        <v>130122</v>
      </c>
      <c r="F8078" s="623">
        <v>287429.80504900002</v>
      </c>
      <c r="G8078" s="623">
        <v>2976</v>
      </c>
      <c r="H8078" s="623">
        <v>461889.21353000001</v>
      </c>
      <c r="I8078" s="623">
        <v>642</v>
      </c>
      <c r="J8078" s="623">
        <v>41111.000620000006</v>
      </c>
      <c r="K8078" s="623">
        <v>2967</v>
      </c>
      <c r="L8078" s="623">
        <v>417605.77168000001</v>
      </c>
      <c r="M8078" s="623">
        <v>417605.77168000001</v>
      </c>
      <c r="N8078" s="623">
        <v>130122</v>
      </c>
      <c r="O8078" s="624"/>
    </row>
    <row r="8079" spans="1:56">
      <c r="A8079" s="1738"/>
      <c r="B8079" s="1738"/>
      <c r="C8079" s="622" t="s">
        <v>1198</v>
      </c>
      <c r="D8079" s="623">
        <v>646522.94327499997</v>
      </c>
      <c r="E8079" s="623">
        <v>119797.95</v>
      </c>
      <c r="F8079" s="623">
        <v>526724.99327500002</v>
      </c>
      <c r="G8079" s="623">
        <v>518</v>
      </c>
      <c r="H8079" s="623">
        <v>706014.9867386698</v>
      </c>
      <c r="I8079" s="623">
        <v>64</v>
      </c>
      <c r="J8079" s="623">
        <v>59560.653530000011</v>
      </c>
      <c r="K8079" s="623">
        <v>517</v>
      </c>
      <c r="L8079" s="623">
        <v>646522.94327499997</v>
      </c>
      <c r="M8079" s="623">
        <v>646522.94327499997</v>
      </c>
      <c r="N8079" s="623">
        <v>119797.95</v>
      </c>
      <c r="O8079" s="624"/>
    </row>
    <row r="8080" spans="1:56">
      <c r="A8080" s="1738"/>
      <c r="B8080" s="1738"/>
      <c r="C8080" s="622" t="s">
        <v>1199</v>
      </c>
      <c r="D8080" s="623">
        <v>7784.2299600000006</v>
      </c>
      <c r="E8080" s="623">
        <v>1956.1499999999999</v>
      </c>
      <c r="F8080" s="623">
        <v>5828.0799600000009</v>
      </c>
      <c r="G8080" s="623">
        <v>595</v>
      </c>
      <c r="H8080" s="623">
        <v>7961.6290635950591</v>
      </c>
      <c r="I8080" s="623">
        <v>67</v>
      </c>
      <c r="J8080" s="623">
        <v>177.39913999999999</v>
      </c>
      <c r="K8080" s="623">
        <v>595</v>
      </c>
      <c r="L8080" s="623">
        <v>7784.2299600000006</v>
      </c>
      <c r="M8080" s="623">
        <v>7784.2299600000006</v>
      </c>
      <c r="N8080" s="623">
        <v>1956.1499999999999</v>
      </c>
      <c r="O8080" s="624"/>
      <c r="BD8080" s="623">
        <v>5828.0799600000009</v>
      </c>
    </row>
    <row r="8081" spans="1:56">
      <c r="A8081" s="1737"/>
      <c r="B8081" s="1737"/>
      <c r="C8081" s="625" t="s">
        <v>1202</v>
      </c>
      <c r="D8081" s="623">
        <v>276.44135999999997</v>
      </c>
      <c r="E8081" s="623"/>
      <c r="F8081" s="623">
        <v>276.44135999999997</v>
      </c>
      <c r="G8081" s="623">
        <v>0</v>
      </c>
      <c r="H8081" s="623">
        <v>224.67743999999999</v>
      </c>
      <c r="I8081" s="623">
        <v>0</v>
      </c>
      <c r="J8081" s="623">
        <v>0</v>
      </c>
      <c r="K8081" s="623">
        <v>0</v>
      </c>
      <c r="L8081" s="623">
        <v>222.47472499999998</v>
      </c>
      <c r="M8081" s="623">
        <v>222.47472499999998</v>
      </c>
      <c r="N8081" s="623">
        <v>0</v>
      </c>
      <c r="O8081" s="624"/>
      <c r="P8081" s="623">
        <v>222.47472499999998</v>
      </c>
    </row>
    <row r="8082" spans="1:56">
      <c r="A8082" s="1736">
        <v>26</v>
      </c>
      <c r="B8082" s="1736" t="s">
        <v>1963</v>
      </c>
      <c r="C8082" s="587" t="s">
        <v>1196</v>
      </c>
      <c r="D8082" s="621">
        <f>D8083+D8084+D8085</f>
        <v>668541.37566000002</v>
      </c>
      <c r="E8082" s="621">
        <f t="shared" ref="E8082:O8082" si="337">E8083+E8084+E8085</f>
        <v>77071.05</v>
      </c>
      <c r="F8082" s="621">
        <f t="shared" si="337"/>
        <v>591470.32565999997</v>
      </c>
      <c r="G8082" s="621">
        <f t="shared" si="337"/>
        <v>1891</v>
      </c>
      <c r="H8082" s="621">
        <f t="shared" si="337"/>
        <v>692618.38294189866</v>
      </c>
      <c r="I8082" s="621">
        <f t="shared" si="337"/>
        <v>184</v>
      </c>
      <c r="J8082" s="621">
        <f t="shared" si="337"/>
        <v>24828.789499999999</v>
      </c>
      <c r="K8082" s="621">
        <f t="shared" si="337"/>
        <v>1849</v>
      </c>
      <c r="L8082" s="621">
        <f t="shared" si="337"/>
        <v>668541.37566000002</v>
      </c>
      <c r="M8082" s="621">
        <f t="shared" si="337"/>
        <v>668541.37566000002</v>
      </c>
      <c r="N8082" s="621">
        <f t="shared" si="337"/>
        <v>77071.05</v>
      </c>
      <c r="O8082" s="621">
        <f t="shared" si="337"/>
        <v>0</v>
      </c>
      <c r="P8082" s="621" t="e">
        <f>AL8083+#REF!+BD8084</f>
        <v>#REF!</v>
      </c>
    </row>
    <row r="8083" spans="1:56">
      <c r="A8083" s="1738"/>
      <c r="B8083" s="1738"/>
      <c r="C8083" s="622" t="s">
        <v>1197</v>
      </c>
      <c r="D8083" s="623">
        <v>121235.75868499999</v>
      </c>
      <c r="E8083" s="623">
        <v>22259.25</v>
      </c>
      <c r="F8083" s="623">
        <v>98976.508684999993</v>
      </c>
      <c r="G8083" s="623">
        <v>763</v>
      </c>
      <c r="H8083" s="623">
        <v>128311.33574058798</v>
      </c>
      <c r="I8083" s="623">
        <v>121</v>
      </c>
      <c r="J8083" s="623">
        <v>5736.9606099999992</v>
      </c>
      <c r="K8083" s="623">
        <v>761</v>
      </c>
      <c r="L8083" s="623">
        <v>121235.75868499999</v>
      </c>
      <c r="M8083" s="623">
        <v>121235.75868499999</v>
      </c>
      <c r="N8083" s="623">
        <v>22259.25</v>
      </c>
      <c r="O8083" s="624"/>
    </row>
    <row r="8084" spans="1:56">
      <c r="A8084" s="1738"/>
      <c r="B8084" s="1738"/>
      <c r="C8084" s="622" t="s">
        <v>1198</v>
      </c>
      <c r="D8084" s="623">
        <v>480365.53455500002</v>
      </c>
      <c r="E8084" s="623">
        <v>39733.5</v>
      </c>
      <c r="F8084" s="623">
        <v>440632.03455500002</v>
      </c>
      <c r="G8084" s="623">
        <v>485</v>
      </c>
      <c r="H8084" s="623">
        <v>496146.77044901601</v>
      </c>
      <c r="I8084" s="623">
        <v>55</v>
      </c>
      <c r="J8084" s="623">
        <v>19033.44241</v>
      </c>
      <c r="K8084" s="623">
        <v>484</v>
      </c>
      <c r="L8084" s="623">
        <v>480365.53455500002</v>
      </c>
      <c r="M8084" s="623">
        <v>480365.53455500002</v>
      </c>
      <c r="N8084" s="623">
        <v>39733.5</v>
      </c>
      <c r="O8084" s="624"/>
      <c r="BD8084" s="623">
        <v>51861.782419999989</v>
      </c>
    </row>
    <row r="8085" spans="1:56">
      <c r="A8085" s="1737"/>
      <c r="B8085" s="1737"/>
      <c r="C8085" s="622" t="s">
        <v>1199</v>
      </c>
      <c r="D8085" s="623">
        <v>66940.082419999992</v>
      </c>
      <c r="E8085" s="623">
        <v>15078.3</v>
      </c>
      <c r="F8085" s="623">
        <v>51861.782419999989</v>
      </c>
      <c r="G8085" s="623">
        <v>643</v>
      </c>
      <c r="H8085" s="623">
        <v>68160.276752294667</v>
      </c>
      <c r="I8085" s="623">
        <v>8</v>
      </c>
      <c r="J8085" s="623">
        <v>58.386479999999999</v>
      </c>
      <c r="K8085" s="623">
        <v>604</v>
      </c>
      <c r="L8085" s="623">
        <v>66940.082419999992</v>
      </c>
      <c r="M8085" s="623">
        <v>66940.082419999992</v>
      </c>
      <c r="N8085" s="623">
        <v>15078.3</v>
      </c>
      <c r="O8085" s="624"/>
    </row>
    <row r="8086" spans="1:56">
      <c r="A8086" s="1736">
        <v>27</v>
      </c>
      <c r="B8086" s="1736" t="s">
        <v>1964</v>
      </c>
      <c r="C8086" s="587" t="s">
        <v>1196</v>
      </c>
      <c r="D8086" s="621">
        <f>D8087+D8088+D8089</f>
        <v>2082110.9317800002</v>
      </c>
      <c r="E8086" s="621">
        <f t="shared" ref="E8086:O8086" si="338">E8087+E8088+E8089</f>
        <v>482464.50000000006</v>
      </c>
      <c r="F8086" s="621">
        <f t="shared" si="338"/>
        <v>1599646.4317800002</v>
      </c>
      <c r="G8086" s="621">
        <f t="shared" si="338"/>
        <v>3231</v>
      </c>
      <c r="H8086" s="621">
        <f t="shared" si="338"/>
        <v>2108114.9511069325</v>
      </c>
      <c r="I8086" s="621">
        <f t="shared" si="338"/>
        <v>331</v>
      </c>
      <c r="J8086" s="621">
        <f t="shared" si="338"/>
        <v>101911.52387479959</v>
      </c>
      <c r="K8086" s="621">
        <f t="shared" si="338"/>
        <v>3246</v>
      </c>
      <c r="L8086" s="621">
        <f t="shared" si="338"/>
        <v>2082110.9317800002</v>
      </c>
      <c r="M8086" s="621">
        <f t="shared" si="338"/>
        <v>2082110.9317800002</v>
      </c>
      <c r="N8086" s="621">
        <f t="shared" si="338"/>
        <v>482464.50000000006</v>
      </c>
      <c r="O8086" s="621">
        <f t="shared" si="338"/>
        <v>0</v>
      </c>
      <c r="P8086" s="621">
        <f>BD8087+BD8088+BD8089</f>
        <v>3937.5538800000004</v>
      </c>
    </row>
    <row r="8087" spans="1:56">
      <c r="A8087" s="1738"/>
      <c r="B8087" s="1738"/>
      <c r="C8087" s="622" t="s">
        <v>1197</v>
      </c>
      <c r="D8087" s="623">
        <v>370276.58256000001</v>
      </c>
      <c r="E8087" s="623">
        <v>75000.149999999994</v>
      </c>
      <c r="F8087" s="623">
        <v>295276.43255999999</v>
      </c>
      <c r="G8087" s="623">
        <v>1043</v>
      </c>
      <c r="H8087" s="623">
        <v>386195.59077051899</v>
      </c>
      <c r="I8087" s="623">
        <v>122</v>
      </c>
      <c r="J8087" s="623">
        <v>14765.530929999999</v>
      </c>
      <c r="K8087" s="623">
        <v>1047</v>
      </c>
      <c r="L8087" s="623">
        <v>370276.58256000001</v>
      </c>
      <c r="M8087" s="623">
        <v>370276.58256000001</v>
      </c>
      <c r="N8087" s="623">
        <v>75000.149999999994</v>
      </c>
      <c r="O8087" s="624"/>
    </row>
    <row r="8088" spans="1:56">
      <c r="A8088" s="1738"/>
      <c r="B8088" s="1738"/>
      <c r="C8088" s="622" t="s">
        <v>1198</v>
      </c>
      <c r="D8088" s="623">
        <v>1706591.9753400001</v>
      </c>
      <c r="E8088" s="623">
        <v>406159.53</v>
      </c>
      <c r="F8088" s="623">
        <v>1300432.4453400001</v>
      </c>
      <c r="G8088" s="623">
        <v>1993</v>
      </c>
      <c r="H8088" s="623">
        <v>1716732.648491614</v>
      </c>
      <c r="I8088" s="623">
        <v>173</v>
      </c>
      <c r="J8088" s="623">
        <v>87201.654980000007</v>
      </c>
      <c r="K8088" s="623">
        <v>2004</v>
      </c>
      <c r="L8088" s="623">
        <v>1706591.9753400001</v>
      </c>
      <c r="M8088" s="623">
        <v>1706591.9753400001</v>
      </c>
      <c r="N8088" s="623">
        <v>406159.53</v>
      </c>
      <c r="O8088" s="624"/>
    </row>
    <row r="8089" spans="1:56">
      <c r="A8089" s="1737"/>
      <c r="B8089" s="1737"/>
      <c r="C8089" s="622" t="s">
        <v>1199</v>
      </c>
      <c r="D8089" s="623">
        <v>5242.3738800000001</v>
      </c>
      <c r="E8089" s="623">
        <v>1304.82</v>
      </c>
      <c r="F8089" s="623">
        <v>3937.5538800000004</v>
      </c>
      <c r="G8089" s="623">
        <v>195</v>
      </c>
      <c r="H8089" s="623">
        <v>5186.7118447995845</v>
      </c>
      <c r="I8089" s="623">
        <v>36</v>
      </c>
      <c r="J8089" s="623">
        <v>-55.66203520041563</v>
      </c>
      <c r="K8089" s="623">
        <v>195</v>
      </c>
      <c r="L8089" s="623">
        <v>5242.3738800000001</v>
      </c>
      <c r="M8089" s="623">
        <v>5242.3738800000001</v>
      </c>
      <c r="N8089" s="623">
        <v>1304.82</v>
      </c>
      <c r="O8089" s="624"/>
      <c r="BD8089" s="623">
        <v>3937.5538800000004</v>
      </c>
    </row>
    <row r="8090" spans="1:56">
      <c r="A8090" s="1736">
        <v>28</v>
      </c>
      <c r="B8090" s="1736" t="s">
        <v>1386</v>
      </c>
      <c r="C8090" s="587" t="s">
        <v>1196</v>
      </c>
      <c r="D8090" s="621">
        <f>D8091+D8092+D8093</f>
        <v>246328.77926999997</v>
      </c>
      <c r="E8090" s="621">
        <f t="shared" ref="E8090:O8090" si="339">E8091+E8092+E8093</f>
        <v>21516.6</v>
      </c>
      <c r="F8090" s="621">
        <f t="shared" si="339"/>
        <v>224812.17926999996</v>
      </c>
      <c r="G8090" s="621">
        <f t="shared" si="339"/>
        <v>963</v>
      </c>
      <c r="H8090" s="621">
        <f t="shared" si="339"/>
        <v>249388.91405530265</v>
      </c>
      <c r="I8090" s="621">
        <f t="shared" si="339"/>
        <v>30</v>
      </c>
      <c r="J8090" s="621">
        <f t="shared" si="339"/>
        <v>1878.8500600000002</v>
      </c>
      <c r="K8090" s="621">
        <f t="shared" si="339"/>
        <v>959</v>
      </c>
      <c r="L8090" s="621">
        <f t="shared" si="339"/>
        <v>246328.77926999997</v>
      </c>
      <c r="M8090" s="621">
        <f t="shared" si="339"/>
        <v>246328.77926999997</v>
      </c>
      <c r="N8090" s="621">
        <f t="shared" si="339"/>
        <v>21516.6</v>
      </c>
      <c r="O8090" s="621">
        <f t="shared" si="339"/>
        <v>0</v>
      </c>
      <c r="P8090" s="621">
        <f>AL8091+P8092+AL8093</f>
        <v>219008.44526999997</v>
      </c>
    </row>
    <row r="8091" spans="1:56">
      <c r="A8091" s="1738"/>
      <c r="B8091" s="1738"/>
      <c r="C8091" s="622" t="s">
        <v>1197</v>
      </c>
      <c r="D8091" s="623">
        <v>7774.7040000000006</v>
      </c>
      <c r="E8091" s="623">
        <v>1970.9699999999998</v>
      </c>
      <c r="F8091" s="623">
        <v>5803.7340000000004</v>
      </c>
      <c r="G8091" s="623">
        <v>92</v>
      </c>
      <c r="H8091" s="623">
        <v>8363.410378636001</v>
      </c>
      <c r="I8091" s="623">
        <v>12</v>
      </c>
      <c r="J8091" s="623">
        <v>163.01931000000002</v>
      </c>
      <c r="K8091" s="623">
        <v>92</v>
      </c>
      <c r="L8091" s="623">
        <v>7774.7040000000006</v>
      </c>
      <c r="M8091" s="623">
        <v>7774.7040000000006</v>
      </c>
      <c r="N8091" s="623">
        <v>1970.9699999999998</v>
      </c>
      <c r="O8091" s="624"/>
    </row>
    <row r="8092" spans="1:56">
      <c r="A8092" s="1738"/>
      <c r="B8092" s="1738"/>
      <c r="C8092" s="622" t="s">
        <v>1198</v>
      </c>
      <c r="D8092" s="623">
        <v>0</v>
      </c>
      <c r="E8092" s="623">
        <v>0</v>
      </c>
      <c r="F8092" s="623">
        <v>0</v>
      </c>
      <c r="G8092" s="623">
        <v>0</v>
      </c>
      <c r="H8092" s="623">
        <v>0</v>
      </c>
      <c r="I8092" s="623">
        <v>0</v>
      </c>
      <c r="J8092" s="623">
        <v>0</v>
      </c>
      <c r="K8092" s="623">
        <v>0</v>
      </c>
      <c r="L8092" s="623">
        <v>0</v>
      </c>
      <c r="M8092" s="623">
        <v>0</v>
      </c>
      <c r="N8092" s="623">
        <v>0</v>
      </c>
      <c r="O8092" s="624"/>
      <c r="P8092" s="623">
        <v>0</v>
      </c>
    </row>
    <row r="8093" spans="1:56">
      <c r="A8093" s="1737"/>
      <c r="B8093" s="1737"/>
      <c r="C8093" s="622" t="s">
        <v>1199</v>
      </c>
      <c r="D8093" s="623">
        <v>238554.07526999997</v>
      </c>
      <c r="E8093" s="623">
        <v>19545.629999999997</v>
      </c>
      <c r="F8093" s="623">
        <v>219008.44526999997</v>
      </c>
      <c r="G8093" s="623">
        <v>871</v>
      </c>
      <c r="H8093" s="623">
        <v>241025.50367666665</v>
      </c>
      <c r="I8093" s="623">
        <v>18</v>
      </c>
      <c r="J8093" s="623">
        <v>1715.8307500000001</v>
      </c>
      <c r="K8093" s="623">
        <v>867</v>
      </c>
      <c r="L8093" s="623">
        <v>238554.07526999997</v>
      </c>
      <c r="M8093" s="623">
        <v>238554.07526999997</v>
      </c>
      <c r="N8093" s="623">
        <v>19545.629999999997</v>
      </c>
      <c r="O8093" s="624"/>
      <c r="AL8093" s="623">
        <v>219008.44526999997</v>
      </c>
    </row>
    <row r="8094" spans="1:56">
      <c r="A8094" s="1736">
        <v>29</v>
      </c>
      <c r="B8094" s="1736" t="s">
        <v>1965</v>
      </c>
      <c r="C8094" s="587" t="s">
        <v>1196</v>
      </c>
      <c r="D8094" s="621">
        <f>D8095+D8096+D8097</f>
        <v>28627.44486</v>
      </c>
      <c r="E8094" s="621">
        <f t="shared" ref="E8094:O8094" si="340">E8095+E8096+E8097</f>
        <v>9793.5</v>
      </c>
      <c r="F8094" s="621">
        <f t="shared" si="340"/>
        <v>18833.94486</v>
      </c>
      <c r="G8094" s="621">
        <f t="shared" si="340"/>
        <v>731</v>
      </c>
      <c r="H8094" s="621">
        <f t="shared" si="340"/>
        <v>29451.316128375998</v>
      </c>
      <c r="I8094" s="621">
        <f t="shared" si="340"/>
        <v>50</v>
      </c>
      <c r="J8094" s="621">
        <f t="shared" si="340"/>
        <v>823.72898000000009</v>
      </c>
      <c r="K8094" s="621">
        <f t="shared" si="340"/>
        <v>730</v>
      </c>
      <c r="L8094" s="621">
        <f t="shared" si="340"/>
        <v>28627.44486</v>
      </c>
      <c r="M8094" s="621">
        <f t="shared" si="340"/>
        <v>28627.44486</v>
      </c>
      <c r="N8094" s="621">
        <f t="shared" si="340"/>
        <v>9793.5</v>
      </c>
      <c r="O8094" s="621">
        <f t="shared" si="340"/>
        <v>0</v>
      </c>
      <c r="P8094" s="621">
        <f>DB8095+P8096+DB8097</f>
        <v>2462.9094599999999</v>
      </c>
    </row>
    <row r="8095" spans="1:56">
      <c r="A8095" s="1738"/>
      <c r="B8095" s="1738"/>
      <c r="C8095" s="622" t="s">
        <v>1197</v>
      </c>
      <c r="D8095" s="623">
        <v>24724.535400000001</v>
      </c>
      <c r="E8095" s="623">
        <v>8353.5</v>
      </c>
      <c r="F8095" s="623">
        <v>16371.035400000001</v>
      </c>
      <c r="G8095" s="623">
        <v>433</v>
      </c>
      <c r="H8095" s="623">
        <v>25480.163880145999</v>
      </c>
      <c r="I8095" s="623">
        <v>39</v>
      </c>
      <c r="J8095" s="623">
        <v>755.45181000000014</v>
      </c>
      <c r="K8095" s="623">
        <v>433</v>
      </c>
      <c r="L8095" s="623">
        <v>24724.535400000001</v>
      </c>
      <c r="M8095" s="623">
        <v>24724.535400000001</v>
      </c>
      <c r="N8095" s="623">
        <v>8353.5</v>
      </c>
      <c r="O8095" s="624"/>
    </row>
    <row r="8096" spans="1:56">
      <c r="A8096" s="1738"/>
      <c r="B8096" s="1738"/>
      <c r="C8096" s="622" t="s">
        <v>1198</v>
      </c>
      <c r="D8096" s="623">
        <v>0</v>
      </c>
      <c r="E8096" s="623">
        <v>0</v>
      </c>
      <c r="F8096" s="623">
        <v>0</v>
      </c>
      <c r="G8096" s="623">
        <v>0</v>
      </c>
      <c r="H8096" s="623">
        <v>0</v>
      </c>
      <c r="I8096" s="623">
        <v>0</v>
      </c>
      <c r="J8096" s="623">
        <v>0</v>
      </c>
      <c r="K8096" s="623">
        <v>0</v>
      </c>
      <c r="L8096" s="623">
        <v>0</v>
      </c>
      <c r="M8096" s="623">
        <v>0</v>
      </c>
      <c r="N8096" s="623">
        <v>0</v>
      </c>
      <c r="O8096" s="624"/>
      <c r="P8096" s="623">
        <v>0</v>
      </c>
    </row>
    <row r="8097" spans="1:106">
      <c r="A8097" s="1737"/>
      <c r="B8097" s="1737"/>
      <c r="C8097" s="622" t="s">
        <v>1199</v>
      </c>
      <c r="D8097" s="623">
        <v>3902.9094599999999</v>
      </c>
      <c r="E8097" s="623">
        <v>1440</v>
      </c>
      <c r="F8097" s="623">
        <v>2462.9094599999999</v>
      </c>
      <c r="G8097" s="623">
        <v>298</v>
      </c>
      <c r="H8097" s="623">
        <v>3971.1522482300002</v>
      </c>
      <c r="I8097" s="623">
        <v>11</v>
      </c>
      <c r="J8097" s="623">
        <v>68.277169999999998</v>
      </c>
      <c r="K8097" s="623">
        <v>297</v>
      </c>
      <c r="L8097" s="623">
        <v>3902.9094599999999</v>
      </c>
      <c r="M8097" s="623">
        <v>3902.9094599999999</v>
      </c>
      <c r="N8097" s="623">
        <v>1440</v>
      </c>
      <c r="O8097" s="624"/>
      <c r="DB8097" s="623">
        <v>2462.9094599999999</v>
      </c>
    </row>
    <row r="8098" spans="1:106">
      <c r="A8098" s="1736">
        <v>30</v>
      </c>
      <c r="B8098" s="1736" t="s">
        <v>1966</v>
      </c>
      <c r="C8098" s="587" t="s">
        <v>1196</v>
      </c>
      <c r="D8098" s="621">
        <f>D8099+D8100+D8101</f>
        <v>1154702.4600499999</v>
      </c>
      <c r="E8098" s="621">
        <f t="shared" ref="E8098:O8098" si="341">E8099+E8100+E8101</f>
        <v>252933.30000000002</v>
      </c>
      <c r="F8098" s="621">
        <f t="shared" si="341"/>
        <v>901769.16005000006</v>
      </c>
      <c r="G8098" s="621">
        <f t="shared" si="341"/>
        <v>19636</v>
      </c>
      <c r="H8098" s="621">
        <f t="shared" si="341"/>
        <v>1299779.6067371625</v>
      </c>
      <c r="I8098" s="621">
        <f t="shared" si="341"/>
        <v>3764</v>
      </c>
      <c r="J8098" s="621">
        <f t="shared" si="341"/>
        <v>136874.04457</v>
      </c>
      <c r="K8098" s="621">
        <f t="shared" si="341"/>
        <v>19395</v>
      </c>
      <c r="L8098" s="621">
        <f t="shared" si="341"/>
        <v>1154702.4600499999</v>
      </c>
      <c r="M8098" s="621">
        <f t="shared" si="341"/>
        <v>1154702.4600499999</v>
      </c>
      <c r="N8098" s="621">
        <f t="shared" si="341"/>
        <v>252933.30000000002</v>
      </c>
      <c r="O8098" s="621">
        <f t="shared" si="341"/>
        <v>0</v>
      </c>
      <c r="P8098" s="621">
        <f>AL8099+AL8100+AL8101</f>
        <v>54902.325670000006</v>
      </c>
    </row>
    <row r="8099" spans="1:106">
      <c r="A8099" s="1738"/>
      <c r="B8099" s="1738"/>
      <c r="C8099" s="622" t="s">
        <v>1197</v>
      </c>
      <c r="D8099" s="623">
        <v>915819.71437000006</v>
      </c>
      <c r="E8099" s="623">
        <v>226570.62</v>
      </c>
      <c r="F8099" s="623">
        <v>689249.09437000006</v>
      </c>
      <c r="G8099" s="623">
        <v>18342</v>
      </c>
      <c r="H8099" s="623">
        <v>1044486.9215561545</v>
      </c>
      <c r="I8099" s="623">
        <v>3643</v>
      </c>
      <c r="J8099" s="623">
        <v>120215.59010999999</v>
      </c>
      <c r="K8099" s="623">
        <v>18103</v>
      </c>
      <c r="L8099" s="623">
        <v>915819.71437000006</v>
      </c>
      <c r="M8099" s="623">
        <v>915819.71437000006</v>
      </c>
      <c r="N8099" s="623">
        <v>226570.62</v>
      </c>
      <c r="O8099" s="624"/>
    </row>
    <row r="8100" spans="1:106">
      <c r="A8100" s="1738"/>
      <c r="B8100" s="1738"/>
      <c r="C8100" s="622" t="s">
        <v>1198</v>
      </c>
      <c r="D8100" s="623">
        <v>170233.91000999999</v>
      </c>
      <c r="E8100" s="623">
        <v>12616.17</v>
      </c>
      <c r="F8100" s="623">
        <v>157617.74000999998</v>
      </c>
      <c r="G8100" s="623">
        <v>468</v>
      </c>
      <c r="H8100" s="623">
        <v>184948.62171763519</v>
      </c>
      <c r="I8100" s="623">
        <v>107</v>
      </c>
      <c r="J8100" s="623">
        <v>16425.183410000001</v>
      </c>
      <c r="K8100" s="623">
        <v>468</v>
      </c>
      <c r="L8100" s="623">
        <v>170233.91000999999</v>
      </c>
      <c r="M8100" s="623">
        <v>170233.91000999999</v>
      </c>
      <c r="N8100" s="623">
        <v>12616.17</v>
      </c>
      <c r="O8100" s="624"/>
    </row>
    <row r="8101" spans="1:106">
      <c r="A8101" s="1737"/>
      <c r="B8101" s="1737"/>
      <c r="C8101" s="622" t="s">
        <v>1199</v>
      </c>
      <c r="D8101" s="623">
        <v>68648.83567</v>
      </c>
      <c r="E8101" s="623">
        <v>13746.509999999998</v>
      </c>
      <c r="F8101" s="623">
        <v>54902.325670000006</v>
      </c>
      <c r="G8101" s="623">
        <v>826</v>
      </c>
      <c r="H8101" s="623">
        <v>70344.063463372659</v>
      </c>
      <c r="I8101" s="623">
        <v>14</v>
      </c>
      <c r="J8101" s="623">
        <v>233.27105</v>
      </c>
      <c r="K8101" s="623">
        <v>824</v>
      </c>
      <c r="L8101" s="623">
        <v>68648.83567</v>
      </c>
      <c r="M8101" s="623">
        <v>68648.83567</v>
      </c>
      <c r="N8101" s="623">
        <v>13746.509999999998</v>
      </c>
      <c r="O8101" s="624"/>
      <c r="AL8101" s="623">
        <v>54902.325670000006</v>
      </c>
    </row>
    <row r="8102" spans="1:106">
      <c r="A8102" s="1736">
        <v>31</v>
      </c>
      <c r="B8102" s="1739" t="s">
        <v>1967</v>
      </c>
      <c r="C8102" s="587" t="s">
        <v>1196</v>
      </c>
      <c r="D8102" s="621">
        <f>D8103</f>
        <v>1257132.9798999999</v>
      </c>
      <c r="E8102" s="621">
        <f t="shared" ref="E8102:O8102" si="342">E8103</f>
        <v>392141.1</v>
      </c>
      <c r="F8102" s="621">
        <f t="shared" si="342"/>
        <v>864991.87989999994</v>
      </c>
      <c r="G8102" s="621">
        <f t="shared" si="342"/>
        <v>1276</v>
      </c>
      <c r="H8102" s="621">
        <f t="shared" si="342"/>
        <v>1275455.34173</v>
      </c>
      <c r="I8102" s="621">
        <f t="shared" si="342"/>
        <v>106</v>
      </c>
      <c r="J8102" s="621">
        <f t="shared" si="342"/>
        <v>20657.2323</v>
      </c>
      <c r="K8102" s="621">
        <f t="shared" si="342"/>
        <v>1266</v>
      </c>
      <c r="L8102" s="621">
        <f t="shared" si="342"/>
        <v>1257132.9798999999</v>
      </c>
      <c r="M8102" s="621">
        <f t="shared" si="342"/>
        <v>1257132.9798999999</v>
      </c>
      <c r="N8102" s="621">
        <f t="shared" si="342"/>
        <v>392141.1</v>
      </c>
      <c r="O8102" s="621">
        <f t="shared" si="342"/>
        <v>0</v>
      </c>
      <c r="P8102" s="621">
        <f>BD8103</f>
        <v>0</v>
      </c>
    </row>
    <row r="8103" spans="1:106">
      <c r="A8103" s="1737"/>
      <c r="B8103" s="1740"/>
      <c r="C8103" s="622" t="s">
        <v>1197</v>
      </c>
      <c r="D8103" s="623">
        <v>1257132.9798999999</v>
      </c>
      <c r="E8103" s="623">
        <v>392141.1</v>
      </c>
      <c r="F8103" s="623">
        <v>864991.87989999994</v>
      </c>
      <c r="G8103" s="623">
        <v>1276</v>
      </c>
      <c r="H8103" s="623">
        <v>1275455.34173</v>
      </c>
      <c r="I8103" s="623">
        <v>106</v>
      </c>
      <c r="J8103" s="623">
        <v>20657.2323</v>
      </c>
      <c r="K8103" s="623">
        <v>1266</v>
      </c>
      <c r="L8103" s="623">
        <v>1257132.9798999999</v>
      </c>
      <c r="M8103" s="623">
        <v>1257132.9798999999</v>
      </c>
      <c r="N8103" s="623">
        <v>392141.1</v>
      </c>
      <c r="O8103" s="624"/>
    </row>
    <row r="8104" spans="1:106">
      <c r="A8104" s="1736">
        <v>32</v>
      </c>
      <c r="B8104" s="1736" t="s">
        <v>1968</v>
      </c>
      <c r="C8104" s="587" t="s">
        <v>1196</v>
      </c>
      <c r="D8104" s="621">
        <f>D8105</f>
        <v>445949.28599999996</v>
      </c>
      <c r="E8104" s="621">
        <f t="shared" ref="E8104:O8104" si="343">E8105</f>
        <v>127792.79999999999</v>
      </c>
      <c r="F8104" s="621">
        <f t="shared" si="343"/>
        <v>318156.48599999998</v>
      </c>
      <c r="G8104" s="621">
        <f t="shared" si="343"/>
        <v>2551</v>
      </c>
      <c r="H8104" s="621">
        <f t="shared" si="343"/>
        <v>457140.22399999999</v>
      </c>
      <c r="I8104" s="621">
        <f t="shared" si="343"/>
        <v>95</v>
      </c>
      <c r="J8104" s="621">
        <f t="shared" si="343"/>
        <v>5805.4007499999998</v>
      </c>
      <c r="K8104" s="621">
        <f t="shared" si="343"/>
        <v>2547</v>
      </c>
      <c r="L8104" s="621">
        <f t="shared" si="343"/>
        <v>445949.28599999996</v>
      </c>
      <c r="M8104" s="621">
        <f t="shared" si="343"/>
        <v>445949.28599999996</v>
      </c>
      <c r="N8104" s="621">
        <f t="shared" si="343"/>
        <v>127792.79999999999</v>
      </c>
      <c r="O8104" s="621">
        <f t="shared" si="343"/>
        <v>0</v>
      </c>
      <c r="P8104" s="621">
        <f>AO8103</f>
        <v>0</v>
      </c>
    </row>
    <row r="8105" spans="1:106">
      <c r="A8105" s="1737"/>
      <c r="B8105" s="1737"/>
      <c r="C8105" s="622" t="s">
        <v>1197</v>
      </c>
      <c r="D8105" s="623">
        <v>445949.28599999996</v>
      </c>
      <c r="E8105" s="623">
        <v>127792.79999999999</v>
      </c>
      <c r="F8105" s="623">
        <v>318156.48599999998</v>
      </c>
      <c r="G8105" s="623">
        <v>2551</v>
      </c>
      <c r="H8105" s="623">
        <v>457140.22399999999</v>
      </c>
      <c r="I8105" s="623">
        <v>95</v>
      </c>
      <c r="J8105" s="623">
        <v>5805.4007499999998</v>
      </c>
      <c r="K8105" s="623">
        <v>2547</v>
      </c>
      <c r="L8105" s="623">
        <v>445949.28599999996</v>
      </c>
      <c r="M8105" s="623">
        <v>445949.28599999996</v>
      </c>
      <c r="N8105" s="623">
        <v>127792.79999999999</v>
      </c>
      <c r="O8105" s="624"/>
    </row>
    <row r="8106" spans="1:106">
      <c r="A8106" s="1736">
        <v>33</v>
      </c>
      <c r="B8106" s="1736" t="s">
        <v>1969</v>
      </c>
      <c r="C8106" s="587" t="s">
        <v>1196</v>
      </c>
      <c r="D8106" s="621">
        <f>D8107</f>
        <v>139191.59</v>
      </c>
      <c r="E8106" s="621">
        <f t="shared" ref="E8106:P8106" si="344">E8107</f>
        <v>42714.6</v>
      </c>
      <c r="F8106" s="621">
        <f t="shared" si="344"/>
        <v>96476.989999999991</v>
      </c>
      <c r="G8106" s="621">
        <f t="shared" si="344"/>
        <v>1512</v>
      </c>
      <c r="H8106" s="621">
        <f t="shared" si="344"/>
        <v>141260.13199999998</v>
      </c>
      <c r="I8106" s="621">
        <f t="shared" si="344"/>
        <v>51</v>
      </c>
      <c r="J8106" s="621">
        <f t="shared" si="344"/>
        <v>1521.5249999999999</v>
      </c>
      <c r="K8106" s="621">
        <f t="shared" si="344"/>
        <v>1510</v>
      </c>
      <c r="L8106" s="621">
        <f t="shared" si="344"/>
        <v>139191.59</v>
      </c>
      <c r="M8106" s="621">
        <f t="shared" si="344"/>
        <v>139191.59</v>
      </c>
      <c r="N8106" s="621">
        <f t="shared" si="344"/>
        <v>42714.6</v>
      </c>
      <c r="O8106" s="621">
        <f t="shared" si="344"/>
        <v>0</v>
      </c>
      <c r="P8106" s="621">
        <f t="shared" si="344"/>
        <v>96476.989999999991</v>
      </c>
    </row>
    <row r="8107" spans="1:106">
      <c r="A8107" s="1737"/>
      <c r="B8107" s="1737"/>
      <c r="C8107" s="622" t="s">
        <v>1197</v>
      </c>
      <c r="D8107" s="623">
        <v>139191.59</v>
      </c>
      <c r="E8107" s="623">
        <v>42714.6</v>
      </c>
      <c r="F8107" s="623">
        <v>96476.989999999991</v>
      </c>
      <c r="G8107" s="623">
        <v>1512</v>
      </c>
      <c r="H8107" s="623">
        <v>141260.13199999998</v>
      </c>
      <c r="I8107" s="623">
        <v>51</v>
      </c>
      <c r="J8107" s="623">
        <v>1521.5249999999999</v>
      </c>
      <c r="K8107" s="623">
        <v>1510</v>
      </c>
      <c r="L8107" s="623">
        <v>139191.59</v>
      </c>
      <c r="M8107" s="623">
        <v>139191.59</v>
      </c>
      <c r="N8107" s="623">
        <v>42714.6</v>
      </c>
      <c r="O8107" s="624"/>
      <c r="P8107" s="623">
        <v>96476.989999999991</v>
      </c>
    </row>
    <row r="8108" spans="1:106">
      <c r="A8108" s="1736">
        <v>34</v>
      </c>
      <c r="B8108" s="1739" t="s">
        <v>1970</v>
      </c>
      <c r="C8108" s="587" t="s">
        <v>1196</v>
      </c>
      <c r="D8108" s="621">
        <f>D8109</f>
        <v>204909.35041000001</v>
      </c>
      <c r="E8108" s="621">
        <f t="shared" ref="E8108:O8108" si="345">E8109</f>
        <v>61114.5</v>
      </c>
      <c r="F8108" s="621">
        <f t="shared" si="345"/>
        <v>143794.85041000001</v>
      </c>
      <c r="G8108" s="621">
        <f t="shared" si="345"/>
        <v>858</v>
      </c>
      <c r="H8108" s="621">
        <f t="shared" si="345"/>
        <v>205281.89812</v>
      </c>
      <c r="I8108" s="621">
        <f t="shared" si="345"/>
        <v>6</v>
      </c>
      <c r="J8108" s="621">
        <f t="shared" si="345"/>
        <v>232.27787000000001</v>
      </c>
      <c r="K8108" s="621">
        <f t="shared" si="345"/>
        <v>858</v>
      </c>
      <c r="L8108" s="621">
        <f t="shared" si="345"/>
        <v>204909.35041000001</v>
      </c>
      <c r="M8108" s="621">
        <f t="shared" si="345"/>
        <v>204909.35041000001</v>
      </c>
      <c r="N8108" s="621">
        <f t="shared" si="345"/>
        <v>61114.5</v>
      </c>
      <c r="O8108" s="621">
        <f t="shared" si="345"/>
        <v>0</v>
      </c>
      <c r="P8108" s="621">
        <f>AN8109</f>
        <v>0</v>
      </c>
    </row>
    <row r="8109" spans="1:106">
      <c r="A8109" s="1737"/>
      <c r="B8109" s="1740"/>
      <c r="C8109" s="622" t="s">
        <v>1197</v>
      </c>
      <c r="D8109" s="623">
        <v>204909.35041000001</v>
      </c>
      <c r="E8109" s="623">
        <v>61114.5</v>
      </c>
      <c r="F8109" s="623">
        <v>143794.85041000001</v>
      </c>
      <c r="G8109" s="623">
        <v>858</v>
      </c>
      <c r="H8109" s="623">
        <v>205281.89812</v>
      </c>
      <c r="I8109" s="623">
        <v>6</v>
      </c>
      <c r="J8109" s="623">
        <v>232.27787000000001</v>
      </c>
      <c r="K8109" s="623">
        <v>858</v>
      </c>
      <c r="L8109" s="623">
        <v>204909.35041000001</v>
      </c>
      <c r="M8109" s="623">
        <v>204909.35041000001</v>
      </c>
      <c r="N8109" s="623">
        <v>61114.5</v>
      </c>
      <c r="O8109" s="624"/>
    </row>
    <row r="8110" spans="1:106">
      <c r="A8110" s="1736">
        <v>35</v>
      </c>
      <c r="B8110" s="1736" t="s">
        <v>1971</v>
      </c>
      <c r="C8110" s="587" t="s">
        <v>1196</v>
      </c>
      <c r="D8110" s="621">
        <f>D8111+D8112</f>
        <v>563485.06462000008</v>
      </c>
      <c r="E8110" s="621">
        <f t="shared" ref="E8110:O8110" si="346">E8111+E8112</f>
        <v>150903.29999999999</v>
      </c>
      <c r="F8110" s="621">
        <f t="shared" si="346"/>
        <v>412581.76462000003</v>
      </c>
      <c r="G8110" s="621">
        <f t="shared" si="346"/>
        <v>3291</v>
      </c>
      <c r="H8110" s="621">
        <f t="shared" si="346"/>
        <v>590702.07571298303</v>
      </c>
      <c r="I8110" s="621">
        <f t="shared" si="346"/>
        <v>603</v>
      </c>
      <c r="J8110" s="621">
        <f t="shared" si="346"/>
        <v>36291.505519999999</v>
      </c>
      <c r="K8110" s="621">
        <f t="shared" si="346"/>
        <v>3299</v>
      </c>
      <c r="L8110" s="621">
        <f t="shared" si="346"/>
        <v>563485.06462000008</v>
      </c>
      <c r="M8110" s="621">
        <f t="shared" si="346"/>
        <v>563485.06462000008</v>
      </c>
      <c r="N8110" s="621">
        <f t="shared" si="346"/>
        <v>150903.29999999999</v>
      </c>
      <c r="O8110" s="621">
        <f t="shared" si="346"/>
        <v>0</v>
      </c>
      <c r="P8110" s="621">
        <f>BD8111+BD8112</f>
        <v>0</v>
      </c>
    </row>
    <row r="8111" spans="1:106">
      <c r="A8111" s="1738"/>
      <c r="B8111" s="1738"/>
      <c r="C8111" s="622" t="s">
        <v>1197</v>
      </c>
      <c r="D8111" s="623">
        <v>400483.95646000002</v>
      </c>
      <c r="E8111" s="623">
        <v>112892.93999999999</v>
      </c>
      <c r="F8111" s="623">
        <v>287591.01646000001</v>
      </c>
      <c r="G8111" s="623">
        <v>3086</v>
      </c>
      <c r="H8111" s="623">
        <v>419770.91210298304</v>
      </c>
      <c r="I8111" s="623">
        <v>565</v>
      </c>
      <c r="J8111" s="623">
        <v>27941.537220000002</v>
      </c>
      <c r="K8111" s="623">
        <v>3093</v>
      </c>
      <c r="L8111" s="623">
        <v>400483.95646000002</v>
      </c>
      <c r="M8111" s="623">
        <v>400483.95646000002</v>
      </c>
      <c r="N8111" s="623">
        <v>112892.93999999999</v>
      </c>
      <c r="O8111" s="624"/>
    </row>
    <row r="8112" spans="1:106">
      <c r="A8112" s="1737"/>
      <c r="B8112" s="1737"/>
      <c r="C8112" s="622" t="s">
        <v>1198</v>
      </c>
      <c r="D8112" s="623">
        <v>163001.10816</v>
      </c>
      <c r="E8112" s="623">
        <v>38010.36</v>
      </c>
      <c r="F8112" s="623">
        <v>124990.74816</v>
      </c>
      <c r="G8112" s="623">
        <v>205</v>
      </c>
      <c r="H8112" s="623">
        <v>170931.16360999999</v>
      </c>
      <c r="I8112" s="623">
        <v>38</v>
      </c>
      <c r="J8112" s="623">
        <v>8349.9682999999986</v>
      </c>
      <c r="K8112" s="623">
        <v>206</v>
      </c>
      <c r="L8112" s="623">
        <v>163001.10816</v>
      </c>
      <c r="M8112" s="623">
        <v>163001.10816</v>
      </c>
      <c r="N8112" s="623">
        <v>38010.36</v>
      </c>
      <c r="O8112" s="624"/>
    </row>
    <row r="8113" spans="1:78">
      <c r="A8113" s="1736">
        <v>36</v>
      </c>
      <c r="B8113" s="1736" t="s">
        <v>1972</v>
      </c>
      <c r="C8113" s="587" t="s">
        <v>1196</v>
      </c>
      <c r="D8113" s="621">
        <f>D8114+D8115+D8116</f>
        <v>1552710.4014699999</v>
      </c>
      <c r="E8113" s="621">
        <f t="shared" ref="E8113:O8113" si="347">E8114+E8115+E8116</f>
        <v>442904.64</v>
      </c>
      <c r="F8113" s="621">
        <f t="shared" si="347"/>
        <v>1109805.76147</v>
      </c>
      <c r="G8113" s="621">
        <f t="shared" si="347"/>
        <v>4685</v>
      </c>
      <c r="H8113" s="621">
        <f t="shared" si="347"/>
        <v>1596049.7832695411</v>
      </c>
      <c r="I8113" s="621">
        <f t="shared" si="347"/>
        <v>453</v>
      </c>
      <c r="J8113" s="621">
        <f t="shared" si="347"/>
        <v>90884.50894</v>
      </c>
      <c r="K8113" s="621">
        <f t="shared" si="347"/>
        <v>4636</v>
      </c>
      <c r="L8113" s="621">
        <f t="shared" si="347"/>
        <v>1552710.4014699999</v>
      </c>
      <c r="M8113" s="621">
        <f t="shared" si="347"/>
        <v>1552710.4014699999</v>
      </c>
      <c r="N8113" s="621">
        <f t="shared" si="347"/>
        <v>442904.64</v>
      </c>
      <c r="O8113" s="621">
        <f t="shared" si="347"/>
        <v>0</v>
      </c>
      <c r="P8113" s="621">
        <f>BD8114+BD8115+BD8116</f>
        <v>44837.360890000004</v>
      </c>
    </row>
    <row r="8114" spans="1:78">
      <c r="A8114" s="1738"/>
      <c r="B8114" s="1738"/>
      <c r="C8114" s="622" t="s">
        <v>1197</v>
      </c>
      <c r="D8114" s="623">
        <v>606162.74950999999</v>
      </c>
      <c r="E8114" s="623">
        <v>349532.04</v>
      </c>
      <c r="F8114" s="623">
        <v>256630.70951000002</v>
      </c>
      <c r="G8114" s="623">
        <v>3297</v>
      </c>
      <c r="H8114" s="623">
        <v>632356.62724205502</v>
      </c>
      <c r="I8114" s="623">
        <v>326</v>
      </c>
      <c r="J8114" s="623">
        <v>30532.154599999998</v>
      </c>
      <c r="K8114" s="623">
        <v>3297</v>
      </c>
      <c r="L8114" s="623">
        <v>606162.74950999999</v>
      </c>
      <c r="M8114" s="623">
        <v>606162.74950999999</v>
      </c>
      <c r="N8114" s="623">
        <v>349532.04</v>
      </c>
      <c r="O8114" s="624"/>
    </row>
    <row r="8115" spans="1:78">
      <c r="A8115" s="1738"/>
      <c r="B8115" s="1738"/>
      <c r="C8115" s="622" t="s">
        <v>1198</v>
      </c>
      <c r="D8115" s="623">
        <v>900990.29107000004</v>
      </c>
      <c r="E8115" s="623">
        <v>92652.6</v>
      </c>
      <c r="F8115" s="623">
        <v>808337.69107000006</v>
      </c>
      <c r="G8115" s="623">
        <v>847</v>
      </c>
      <c r="H8115" s="623">
        <v>913726.83519748598</v>
      </c>
      <c r="I8115" s="623">
        <v>97</v>
      </c>
      <c r="J8115" s="623">
        <v>55943.603920000001</v>
      </c>
      <c r="K8115" s="623">
        <v>798</v>
      </c>
      <c r="L8115" s="623">
        <v>900990.29107000004</v>
      </c>
      <c r="M8115" s="623">
        <v>900990.29107000004</v>
      </c>
      <c r="N8115" s="623">
        <v>92652.6</v>
      </c>
      <c r="O8115" s="624"/>
    </row>
    <row r="8116" spans="1:78">
      <c r="A8116" s="1737"/>
      <c r="B8116" s="1737"/>
      <c r="C8116" s="622" t="s">
        <v>1199</v>
      </c>
      <c r="D8116" s="623">
        <v>45557.360890000004</v>
      </c>
      <c r="E8116" s="623">
        <v>720</v>
      </c>
      <c r="F8116" s="623">
        <v>44837.360890000004</v>
      </c>
      <c r="G8116" s="623">
        <v>541</v>
      </c>
      <c r="H8116" s="623">
        <v>49966.320829999997</v>
      </c>
      <c r="I8116" s="623">
        <v>30</v>
      </c>
      <c r="J8116" s="623">
        <v>4408.7504199999994</v>
      </c>
      <c r="K8116" s="623">
        <v>541</v>
      </c>
      <c r="L8116" s="623">
        <v>45557.360890000004</v>
      </c>
      <c r="M8116" s="623">
        <v>45557.360890000004</v>
      </c>
      <c r="N8116" s="623">
        <v>720</v>
      </c>
      <c r="O8116" s="624"/>
      <c r="BD8116" s="623">
        <v>44837.360890000004</v>
      </c>
    </row>
    <row r="8117" spans="1:78">
      <c r="A8117" s="1736">
        <v>37</v>
      </c>
      <c r="B8117" s="1736" t="s">
        <v>1973</v>
      </c>
      <c r="C8117" s="587" t="s">
        <v>1196</v>
      </c>
      <c r="D8117" s="621">
        <f>D8118</f>
        <v>127760.19892000001</v>
      </c>
      <c r="E8117" s="621">
        <f t="shared" ref="E8117:O8117" si="348">E8118</f>
        <v>13269.3</v>
      </c>
      <c r="F8117" s="621">
        <f t="shared" si="348"/>
        <v>114490.89892000001</v>
      </c>
      <c r="G8117" s="621">
        <f t="shared" si="348"/>
        <v>160</v>
      </c>
      <c r="H8117" s="621">
        <f t="shared" si="348"/>
        <v>127760.22744</v>
      </c>
      <c r="I8117" s="621">
        <f t="shared" si="348"/>
        <v>0</v>
      </c>
      <c r="J8117" s="621">
        <f t="shared" si="348"/>
        <v>0</v>
      </c>
      <c r="K8117" s="621">
        <f t="shared" si="348"/>
        <v>160</v>
      </c>
      <c r="L8117" s="621">
        <f t="shared" si="348"/>
        <v>127760.19892000001</v>
      </c>
      <c r="M8117" s="621">
        <f t="shared" si="348"/>
        <v>127760.19892000001</v>
      </c>
      <c r="N8117" s="621">
        <f t="shared" si="348"/>
        <v>13269.3</v>
      </c>
      <c r="O8117" s="621">
        <f t="shared" si="348"/>
        <v>0</v>
      </c>
      <c r="P8117" s="621">
        <f>AL8118</f>
        <v>0</v>
      </c>
    </row>
    <row r="8118" spans="1:78">
      <c r="A8118" s="1737"/>
      <c r="B8118" s="1737"/>
      <c r="C8118" s="622" t="s">
        <v>1198</v>
      </c>
      <c r="D8118" s="623">
        <v>127760.19892000001</v>
      </c>
      <c r="E8118" s="623">
        <v>13269.3</v>
      </c>
      <c r="F8118" s="623">
        <v>114490.89892000001</v>
      </c>
      <c r="G8118" s="623">
        <v>160</v>
      </c>
      <c r="H8118" s="623">
        <v>127760.22744</v>
      </c>
      <c r="I8118" s="623">
        <v>0</v>
      </c>
      <c r="J8118" s="623">
        <v>0</v>
      </c>
      <c r="K8118" s="623">
        <v>160</v>
      </c>
      <c r="L8118" s="623">
        <v>127760.19892000001</v>
      </c>
      <c r="M8118" s="623">
        <v>127760.19892000001</v>
      </c>
      <c r="N8118" s="623">
        <v>13269.3</v>
      </c>
      <c r="O8118" s="624"/>
    </row>
    <row r="8119" spans="1:78">
      <c r="A8119" s="1736">
        <v>38</v>
      </c>
      <c r="B8119" s="1736" t="s">
        <v>1974</v>
      </c>
      <c r="C8119" s="587" t="s">
        <v>1196</v>
      </c>
      <c r="D8119" s="621">
        <f>D8120+D8121+D8122</f>
        <v>579680.90594000008</v>
      </c>
      <c r="E8119" s="621">
        <f t="shared" ref="E8119:O8119" si="349">E8120+E8121+E8122</f>
        <v>182645.10000000003</v>
      </c>
      <c r="F8119" s="621">
        <f t="shared" si="349"/>
        <v>397035.80594000005</v>
      </c>
      <c r="G8119" s="621">
        <f t="shared" si="349"/>
        <v>6501</v>
      </c>
      <c r="H8119" s="621">
        <f t="shared" si="349"/>
        <v>611996.75842270919</v>
      </c>
      <c r="I8119" s="621">
        <f t="shared" si="349"/>
        <v>1245</v>
      </c>
      <c r="J8119" s="621">
        <f t="shared" si="349"/>
        <v>48106.895505492997</v>
      </c>
      <c r="K8119" s="621">
        <f t="shared" si="349"/>
        <v>6374</v>
      </c>
      <c r="L8119" s="621">
        <f t="shared" si="349"/>
        <v>579680.90594000008</v>
      </c>
      <c r="M8119" s="621">
        <f t="shared" si="349"/>
        <v>579680.90594000008</v>
      </c>
      <c r="N8119" s="621">
        <f t="shared" si="349"/>
        <v>182645.10000000003</v>
      </c>
      <c r="O8119" s="621">
        <f t="shared" si="349"/>
        <v>0</v>
      </c>
      <c r="P8119" s="621">
        <f>BD8120+AL8121+BD8122</f>
        <v>1426.7956399999998</v>
      </c>
    </row>
    <row r="8120" spans="1:78">
      <c r="A8120" s="1738"/>
      <c r="B8120" s="1738"/>
      <c r="C8120" s="622" t="s">
        <v>1197</v>
      </c>
      <c r="D8120" s="623">
        <v>372291.56565</v>
      </c>
      <c r="E8120" s="623">
        <v>99579.3</v>
      </c>
      <c r="F8120" s="623">
        <v>272712.26565000002</v>
      </c>
      <c r="G8120" s="623">
        <v>6186</v>
      </c>
      <c r="H8120" s="623">
        <v>398525.74147850077</v>
      </c>
      <c r="I8120" s="623">
        <v>1218</v>
      </c>
      <c r="J8120" s="623">
        <v>35941.552319999995</v>
      </c>
      <c r="K8120" s="623">
        <v>6061</v>
      </c>
      <c r="L8120" s="623">
        <v>372291.56565</v>
      </c>
      <c r="M8120" s="623">
        <v>372291.56565</v>
      </c>
      <c r="N8120" s="623">
        <v>99579.3</v>
      </c>
      <c r="O8120" s="624"/>
    </row>
    <row r="8121" spans="1:78">
      <c r="A8121" s="1738"/>
      <c r="B8121" s="1738"/>
      <c r="C8121" s="622" t="s">
        <v>1198</v>
      </c>
      <c r="D8121" s="623">
        <v>205648.65465000001</v>
      </c>
      <c r="E8121" s="623">
        <v>82751.91</v>
      </c>
      <c r="F8121" s="623">
        <v>122896.74465000001</v>
      </c>
      <c r="G8121" s="623">
        <v>181</v>
      </c>
      <c r="H8121" s="623">
        <v>211706.21997871538</v>
      </c>
      <c r="I8121" s="623">
        <v>21</v>
      </c>
      <c r="J8121" s="623">
        <v>12141.23186</v>
      </c>
      <c r="K8121" s="623">
        <v>179</v>
      </c>
      <c r="L8121" s="623">
        <v>205648.65465000001</v>
      </c>
      <c r="M8121" s="623">
        <v>205648.65465000001</v>
      </c>
      <c r="N8121" s="623">
        <v>82751.91</v>
      </c>
      <c r="O8121" s="624"/>
    </row>
    <row r="8122" spans="1:78">
      <c r="A8122" s="1737"/>
      <c r="B8122" s="1737"/>
      <c r="C8122" s="622" t="s">
        <v>1199</v>
      </c>
      <c r="D8122" s="623">
        <v>1740.6856399999999</v>
      </c>
      <c r="E8122" s="623">
        <v>313.89</v>
      </c>
      <c r="F8122" s="623">
        <v>1426.7956399999998</v>
      </c>
      <c r="G8122" s="623">
        <v>134</v>
      </c>
      <c r="H8122" s="623">
        <v>1764.7969654930002</v>
      </c>
      <c r="I8122" s="623">
        <v>6</v>
      </c>
      <c r="J8122" s="623">
        <v>24.111325493000322</v>
      </c>
      <c r="K8122" s="623">
        <v>134</v>
      </c>
      <c r="L8122" s="623">
        <v>1740.6856399999999</v>
      </c>
      <c r="M8122" s="623">
        <v>1740.6856399999999</v>
      </c>
      <c r="N8122" s="623">
        <v>313.89</v>
      </c>
      <c r="O8122" s="624"/>
      <c r="BD8122" s="623">
        <v>1426.7956399999998</v>
      </c>
    </row>
    <row r="8123" spans="1:78">
      <c r="A8123" s="1736">
        <v>39</v>
      </c>
      <c r="B8123" s="1736" t="s">
        <v>1975</v>
      </c>
      <c r="C8123" s="587" t="s">
        <v>1196</v>
      </c>
      <c r="D8123" s="621">
        <f>D8124+D8125</f>
        <v>296668.30745000002</v>
      </c>
      <c r="E8123" s="621">
        <f t="shared" ref="E8123:O8123" si="350">E8124+E8125</f>
        <v>89804.7</v>
      </c>
      <c r="F8123" s="621">
        <f t="shared" si="350"/>
        <v>206863.60745000001</v>
      </c>
      <c r="G8123" s="621">
        <f t="shared" si="350"/>
        <v>401</v>
      </c>
      <c r="H8123" s="621">
        <f t="shared" si="350"/>
        <v>315769.09781393042</v>
      </c>
      <c r="I8123" s="621">
        <f t="shared" si="350"/>
        <v>75</v>
      </c>
      <c r="J8123" s="621">
        <f t="shared" si="350"/>
        <v>18140.954921689819</v>
      </c>
      <c r="K8123" s="621">
        <f t="shared" si="350"/>
        <v>399</v>
      </c>
      <c r="L8123" s="621">
        <f t="shared" si="350"/>
        <v>296668.30745000002</v>
      </c>
      <c r="M8123" s="621">
        <f t="shared" si="350"/>
        <v>296668.30745000002</v>
      </c>
      <c r="N8123" s="621">
        <f t="shared" si="350"/>
        <v>89804.7</v>
      </c>
      <c r="O8123" s="621">
        <f t="shared" si="350"/>
        <v>0</v>
      </c>
      <c r="P8123" s="621">
        <f>AL8124+AL8125</f>
        <v>0</v>
      </c>
    </row>
    <row r="8124" spans="1:78">
      <c r="A8124" s="1738"/>
      <c r="B8124" s="1738"/>
      <c r="C8124" s="622" t="s">
        <v>1197</v>
      </c>
      <c r="D8124" s="623">
        <v>80185.747440000006</v>
      </c>
      <c r="E8124" s="623">
        <v>2370</v>
      </c>
      <c r="F8124" s="623">
        <v>77815.747440000006</v>
      </c>
      <c r="G8124" s="623">
        <v>238</v>
      </c>
      <c r="H8124" s="623">
        <v>85781.489025638002</v>
      </c>
      <c r="I8124" s="623">
        <v>42</v>
      </c>
      <c r="J8124" s="623">
        <v>4081.1325585521995</v>
      </c>
      <c r="K8124" s="623">
        <v>237</v>
      </c>
      <c r="L8124" s="623">
        <v>80185.747440000006</v>
      </c>
      <c r="M8124" s="623">
        <v>80185.747440000006</v>
      </c>
      <c r="N8124" s="623">
        <v>2370</v>
      </c>
      <c r="O8124" s="624"/>
    </row>
    <row r="8125" spans="1:78">
      <c r="A8125" s="1737"/>
      <c r="B8125" s="1737"/>
      <c r="C8125" s="622" t="s">
        <v>1198</v>
      </c>
      <c r="D8125" s="623">
        <v>216482.56001000002</v>
      </c>
      <c r="E8125" s="623">
        <v>87434.7</v>
      </c>
      <c r="F8125" s="623">
        <v>129047.86001000002</v>
      </c>
      <c r="G8125" s="623">
        <v>163</v>
      </c>
      <c r="H8125" s="623">
        <v>229987.60878829242</v>
      </c>
      <c r="I8125" s="623">
        <v>33</v>
      </c>
      <c r="J8125" s="623">
        <v>14059.822363137619</v>
      </c>
      <c r="K8125" s="623">
        <v>162</v>
      </c>
      <c r="L8125" s="623">
        <v>216482.56001000002</v>
      </c>
      <c r="M8125" s="623">
        <v>216482.56001000002</v>
      </c>
      <c r="N8125" s="623">
        <v>87434.7</v>
      </c>
      <c r="O8125" s="624"/>
    </row>
    <row r="8126" spans="1:78">
      <c r="A8126" s="1736">
        <v>40</v>
      </c>
      <c r="B8126" s="1736" t="s">
        <v>1976</v>
      </c>
      <c r="C8126" s="587" t="s">
        <v>1196</v>
      </c>
      <c r="D8126" s="621">
        <f>D8127</f>
        <v>12479.81163</v>
      </c>
      <c r="E8126" s="621">
        <f t="shared" ref="E8126:O8126" si="351">E8127</f>
        <v>3375.2999999999997</v>
      </c>
      <c r="F8126" s="621">
        <f t="shared" si="351"/>
        <v>9104.5116300000009</v>
      </c>
      <c r="G8126" s="621">
        <f t="shared" si="351"/>
        <v>1141</v>
      </c>
      <c r="H8126" s="621">
        <f t="shared" si="351"/>
        <v>12891.100846369998</v>
      </c>
      <c r="I8126" s="621">
        <f t="shared" si="351"/>
        <v>65</v>
      </c>
      <c r="J8126" s="621">
        <f t="shared" si="351"/>
        <v>411.29021636999823</v>
      </c>
      <c r="K8126" s="621">
        <f t="shared" si="351"/>
        <v>1127</v>
      </c>
      <c r="L8126" s="621">
        <f t="shared" si="351"/>
        <v>12479.81163</v>
      </c>
      <c r="M8126" s="621">
        <f t="shared" si="351"/>
        <v>12479.81163</v>
      </c>
      <c r="N8126" s="621">
        <f t="shared" si="351"/>
        <v>3375.2999999999997</v>
      </c>
      <c r="O8126" s="621">
        <f t="shared" si="351"/>
        <v>0</v>
      </c>
      <c r="P8126" s="621">
        <f>BZ8127</f>
        <v>9104.5116300000009</v>
      </c>
    </row>
    <row r="8127" spans="1:78">
      <c r="A8127" s="1737"/>
      <c r="B8127" s="1737"/>
      <c r="C8127" s="622" t="s">
        <v>1199</v>
      </c>
      <c r="D8127" s="623">
        <v>12479.81163</v>
      </c>
      <c r="E8127" s="623">
        <v>3375.2999999999997</v>
      </c>
      <c r="F8127" s="623">
        <v>9104.5116300000009</v>
      </c>
      <c r="G8127" s="623">
        <v>1141</v>
      </c>
      <c r="H8127" s="623">
        <v>12891.100846369998</v>
      </c>
      <c r="I8127" s="623">
        <v>65</v>
      </c>
      <c r="J8127" s="623">
        <v>411.29021636999823</v>
      </c>
      <c r="K8127" s="623">
        <v>1127</v>
      </c>
      <c r="L8127" s="623">
        <v>12479.81163</v>
      </c>
      <c r="M8127" s="623">
        <v>12479.81163</v>
      </c>
      <c r="N8127" s="623">
        <v>3375.2999999999997</v>
      </c>
      <c r="O8127" s="624"/>
      <c r="BZ8127" s="623">
        <v>9104.5116300000009</v>
      </c>
    </row>
    <row r="8128" spans="1:78">
      <c r="A8128" s="1736">
        <v>41</v>
      </c>
      <c r="B8128" s="1736" t="s">
        <v>1977</v>
      </c>
      <c r="C8128" s="587" t="s">
        <v>1196</v>
      </c>
      <c r="D8128" s="621">
        <f>D8129</f>
        <v>6548.2217999999993</v>
      </c>
      <c r="E8128" s="621">
        <f t="shared" ref="E8128:O8128" si="352">E8129</f>
        <v>1954.5</v>
      </c>
      <c r="F8128" s="621">
        <f t="shared" si="352"/>
        <v>4593.7217999999993</v>
      </c>
      <c r="G8128" s="621">
        <f t="shared" si="352"/>
        <v>684</v>
      </c>
      <c r="H8128" s="621">
        <f t="shared" si="352"/>
        <v>6732.5791859861674</v>
      </c>
      <c r="I8128" s="621">
        <f t="shared" si="352"/>
        <v>37</v>
      </c>
      <c r="J8128" s="621">
        <f t="shared" si="352"/>
        <v>184.35738598616808</v>
      </c>
      <c r="K8128" s="621">
        <f t="shared" si="352"/>
        <v>673</v>
      </c>
      <c r="L8128" s="621">
        <f t="shared" si="352"/>
        <v>6548.2217999999993</v>
      </c>
      <c r="M8128" s="621">
        <f t="shared" si="352"/>
        <v>6548.2217999999993</v>
      </c>
      <c r="N8128" s="621">
        <f t="shared" si="352"/>
        <v>1954.5</v>
      </c>
      <c r="O8128" s="621">
        <f t="shared" si="352"/>
        <v>0</v>
      </c>
      <c r="P8128" s="621">
        <f>BZ8129</f>
        <v>4593.7217999999993</v>
      </c>
    </row>
    <row r="8129" spans="1:78">
      <c r="A8129" s="1737"/>
      <c r="B8129" s="1737"/>
      <c r="C8129" s="622" t="s">
        <v>1199</v>
      </c>
      <c r="D8129" s="623">
        <v>6548.2217999999993</v>
      </c>
      <c r="E8129" s="623">
        <v>1954.5</v>
      </c>
      <c r="F8129" s="623">
        <v>4593.7217999999993</v>
      </c>
      <c r="G8129" s="623">
        <v>684</v>
      </c>
      <c r="H8129" s="623">
        <v>6732.5791859861674</v>
      </c>
      <c r="I8129" s="623">
        <v>37</v>
      </c>
      <c r="J8129" s="623">
        <v>184.35738598616808</v>
      </c>
      <c r="K8129" s="623">
        <v>673</v>
      </c>
      <c r="L8129" s="623">
        <v>6548.2217999999993</v>
      </c>
      <c r="M8129" s="623">
        <v>6548.2217999999993</v>
      </c>
      <c r="N8129" s="623">
        <v>1954.5</v>
      </c>
      <c r="O8129" s="624"/>
      <c r="BZ8129" s="623">
        <v>4593.7217999999993</v>
      </c>
    </row>
    <row r="8130" spans="1:78">
      <c r="A8130" s="1736">
        <v>42</v>
      </c>
      <c r="B8130" s="1736" t="s">
        <v>1978</v>
      </c>
      <c r="C8130" s="587" t="s">
        <v>1196</v>
      </c>
      <c r="D8130" s="621">
        <f>D8131</f>
        <v>25352.498630000002</v>
      </c>
      <c r="E8130" s="621">
        <f t="shared" ref="E8130:O8130" si="353">E8131</f>
        <v>7563.9</v>
      </c>
      <c r="F8130" s="621">
        <f t="shared" si="353"/>
        <v>17788.59863</v>
      </c>
      <c r="G8130" s="621">
        <f t="shared" si="353"/>
        <v>2395</v>
      </c>
      <c r="H8130" s="621">
        <f t="shared" si="353"/>
        <v>26927.263345057501</v>
      </c>
      <c r="I8130" s="621">
        <f t="shared" si="353"/>
        <v>382</v>
      </c>
      <c r="J8130" s="621">
        <f t="shared" si="353"/>
        <v>1574.7647150574994</v>
      </c>
      <c r="K8130" s="621">
        <f t="shared" si="353"/>
        <v>2376</v>
      </c>
      <c r="L8130" s="621">
        <f t="shared" si="353"/>
        <v>25352.498630000002</v>
      </c>
      <c r="M8130" s="621">
        <f t="shared" si="353"/>
        <v>25352.498630000002</v>
      </c>
      <c r="N8130" s="621">
        <f t="shared" si="353"/>
        <v>7563.9</v>
      </c>
      <c r="O8130" s="621">
        <f t="shared" si="353"/>
        <v>0</v>
      </c>
      <c r="P8130" s="621">
        <f>BZ8131</f>
        <v>17788.59863</v>
      </c>
    </row>
    <row r="8131" spans="1:78">
      <c r="A8131" s="1737"/>
      <c r="B8131" s="1737"/>
      <c r="C8131" s="622" t="s">
        <v>1199</v>
      </c>
      <c r="D8131" s="623">
        <v>25352.498630000002</v>
      </c>
      <c r="E8131" s="623">
        <v>7563.9</v>
      </c>
      <c r="F8131" s="623">
        <v>17788.59863</v>
      </c>
      <c r="G8131" s="623">
        <v>2395</v>
      </c>
      <c r="H8131" s="623">
        <v>26927.263345057501</v>
      </c>
      <c r="I8131" s="623">
        <v>382</v>
      </c>
      <c r="J8131" s="623">
        <v>1574.7647150574994</v>
      </c>
      <c r="K8131" s="623">
        <v>2376</v>
      </c>
      <c r="L8131" s="623">
        <v>25352.498630000002</v>
      </c>
      <c r="M8131" s="623">
        <v>25352.498630000002</v>
      </c>
      <c r="N8131" s="623">
        <v>7563.9</v>
      </c>
      <c r="O8131" s="624"/>
      <c r="BZ8131" s="623">
        <v>17788.59863</v>
      </c>
    </row>
    <row r="8132" spans="1:78">
      <c r="A8132" s="1736">
        <v>43</v>
      </c>
      <c r="B8132" s="1736" t="s">
        <v>1979</v>
      </c>
      <c r="C8132" s="587" t="s">
        <v>1196</v>
      </c>
      <c r="D8132" s="621">
        <f>D8133</f>
        <v>26118.879720000001</v>
      </c>
      <c r="E8132" s="621">
        <f t="shared" ref="E8132:O8132" si="354">E8133</f>
        <v>6936.5999999999995</v>
      </c>
      <c r="F8132" s="621">
        <f t="shared" si="354"/>
        <v>19182.279720000002</v>
      </c>
      <c r="G8132" s="621">
        <f t="shared" si="354"/>
        <v>2456</v>
      </c>
      <c r="H8132" s="621">
        <f t="shared" si="354"/>
        <v>27089.175190886661</v>
      </c>
      <c r="I8132" s="621">
        <f t="shared" si="354"/>
        <v>223</v>
      </c>
      <c r="J8132" s="621">
        <f t="shared" si="354"/>
        <v>970.29547088666004</v>
      </c>
      <c r="K8132" s="621">
        <f t="shared" si="354"/>
        <v>2454</v>
      </c>
      <c r="L8132" s="621">
        <f t="shared" si="354"/>
        <v>26118.879720000001</v>
      </c>
      <c r="M8132" s="621">
        <f t="shared" si="354"/>
        <v>26118.879720000001</v>
      </c>
      <c r="N8132" s="621">
        <f t="shared" si="354"/>
        <v>6936.5999999999995</v>
      </c>
      <c r="O8132" s="621">
        <f t="shared" si="354"/>
        <v>0</v>
      </c>
      <c r="P8132" s="621">
        <f>BZ8133</f>
        <v>19182.279720000002</v>
      </c>
    </row>
    <row r="8133" spans="1:78">
      <c r="A8133" s="1737"/>
      <c r="B8133" s="1737"/>
      <c r="C8133" s="622" t="s">
        <v>1199</v>
      </c>
      <c r="D8133" s="623">
        <v>26118.879720000001</v>
      </c>
      <c r="E8133" s="623">
        <v>6936.5999999999995</v>
      </c>
      <c r="F8133" s="623">
        <v>19182.279720000002</v>
      </c>
      <c r="G8133" s="623">
        <v>2456</v>
      </c>
      <c r="H8133" s="623">
        <v>27089.175190886661</v>
      </c>
      <c r="I8133" s="623">
        <v>223</v>
      </c>
      <c r="J8133" s="623">
        <v>970.29547088666004</v>
      </c>
      <c r="K8133" s="623">
        <v>2454</v>
      </c>
      <c r="L8133" s="623">
        <v>26118.879720000001</v>
      </c>
      <c r="M8133" s="623">
        <v>26118.879720000001</v>
      </c>
      <c r="N8133" s="623">
        <v>6936.5999999999995</v>
      </c>
      <c r="O8133" s="624"/>
      <c r="BZ8133" s="623">
        <v>19182.279720000002</v>
      </c>
    </row>
    <row r="8134" spans="1:78">
      <c r="A8134" s="1736">
        <v>44</v>
      </c>
      <c r="B8134" s="1736" t="s">
        <v>1980</v>
      </c>
      <c r="C8134" s="587" t="s">
        <v>1196</v>
      </c>
      <c r="D8134" s="621">
        <f>D8135</f>
        <v>17194.45205</v>
      </c>
      <c r="E8134" s="621">
        <f t="shared" ref="E8134:O8134" si="355">E8135</f>
        <v>4301.3999999999996</v>
      </c>
      <c r="F8134" s="621">
        <f t="shared" si="355"/>
        <v>12893.05205</v>
      </c>
      <c r="G8134" s="621">
        <f t="shared" si="355"/>
        <v>1433</v>
      </c>
      <c r="H8134" s="621">
        <f t="shared" si="355"/>
        <v>18059.171347859665</v>
      </c>
      <c r="I8134" s="621">
        <f t="shared" si="355"/>
        <v>193</v>
      </c>
      <c r="J8134" s="621">
        <f t="shared" si="355"/>
        <v>864.71929785966495</v>
      </c>
      <c r="K8134" s="621">
        <f t="shared" si="355"/>
        <v>1429</v>
      </c>
      <c r="L8134" s="621">
        <f t="shared" si="355"/>
        <v>17194.45205</v>
      </c>
      <c r="M8134" s="621">
        <f t="shared" si="355"/>
        <v>17194.45205</v>
      </c>
      <c r="N8134" s="621">
        <f t="shared" si="355"/>
        <v>4301.3999999999996</v>
      </c>
      <c r="O8134" s="621">
        <f t="shared" si="355"/>
        <v>0</v>
      </c>
      <c r="P8134" s="621">
        <f>BZ8135</f>
        <v>12893.05205</v>
      </c>
    </row>
    <row r="8135" spans="1:78">
      <c r="A8135" s="1737"/>
      <c r="B8135" s="1737"/>
      <c r="C8135" s="622" t="s">
        <v>1199</v>
      </c>
      <c r="D8135" s="623">
        <v>17194.45205</v>
      </c>
      <c r="E8135" s="623">
        <v>4301.3999999999996</v>
      </c>
      <c r="F8135" s="623">
        <v>12893.05205</v>
      </c>
      <c r="G8135" s="623">
        <v>1433</v>
      </c>
      <c r="H8135" s="623">
        <v>18059.171347859665</v>
      </c>
      <c r="I8135" s="623">
        <v>193</v>
      </c>
      <c r="J8135" s="623">
        <v>864.71929785966495</v>
      </c>
      <c r="K8135" s="623">
        <v>1429</v>
      </c>
      <c r="L8135" s="623">
        <v>17194.45205</v>
      </c>
      <c r="M8135" s="623">
        <v>17194.45205</v>
      </c>
      <c r="N8135" s="623">
        <v>4301.3999999999996</v>
      </c>
      <c r="O8135" s="624"/>
      <c r="BZ8135" s="623">
        <v>12893.05205</v>
      </c>
    </row>
    <row r="8136" spans="1:78">
      <c r="A8136" s="1736">
        <v>45</v>
      </c>
      <c r="B8136" s="1736" t="s">
        <v>1981</v>
      </c>
      <c r="C8136" s="587" t="s">
        <v>1196</v>
      </c>
      <c r="D8136" s="621">
        <f>D8137</f>
        <v>20366.887559999996</v>
      </c>
      <c r="E8136" s="621">
        <f t="shared" ref="E8136:O8136" si="356">E8137</f>
        <v>5947.5</v>
      </c>
      <c r="F8136" s="621">
        <f t="shared" si="356"/>
        <v>14419.387559999996</v>
      </c>
      <c r="G8136" s="621">
        <f t="shared" si="356"/>
        <v>1450</v>
      </c>
      <c r="H8136" s="621">
        <f t="shared" si="356"/>
        <v>21168.055606203503</v>
      </c>
      <c r="I8136" s="621">
        <f t="shared" si="356"/>
        <v>158</v>
      </c>
      <c r="J8136" s="621">
        <f t="shared" si="356"/>
        <v>801.1680462035074</v>
      </c>
      <c r="K8136" s="621">
        <f t="shared" si="356"/>
        <v>1449</v>
      </c>
      <c r="L8136" s="621">
        <f t="shared" si="356"/>
        <v>20366.887559999996</v>
      </c>
      <c r="M8136" s="621">
        <f t="shared" si="356"/>
        <v>20366.887559999996</v>
      </c>
      <c r="N8136" s="621">
        <f t="shared" si="356"/>
        <v>5947.5</v>
      </c>
      <c r="O8136" s="621">
        <f t="shared" si="356"/>
        <v>0</v>
      </c>
      <c r="P8136" s="621">
        <f>BZ8137</f>
        <v>14419.387559999996</v>
      </c>
    </row>
    <row r="8137" spans="1:78">
      <c r="A8137" s="1737"/>
      <c r="B8137" s="1737"/>
      <c r="C8137" s="622" t="s">
        <v>1199</v>
      </c>
      <c r="D8137" s="623">
        <v>20366.887559999996</v>
      </c>
      <c r="E8137" s="623">
        <v>5947.5</v>
      </c>
      <c r="F8137" s="623">
        <v>14419.387559999996</v>
      </c>
      <c r="G8137" s="623">
        <v>1450</v>
      </c>
      <c r="H8137" s="623">
        <v>21168.055606203503</v>
      </c>
      <c r="I8137" s="623">
        <v>158</v>
      </c>
      <c r="J8137" s="623">
        <v>801.1680462035074</v>
      </c>
      <c r="K8137" s="623">
        <v>1449</v>
      </c>
      <c r="L8137" s="623">
        <v>20366.887559999996</v>
      </c>
      <c r="M8137" s="623">
        <v>20366.887559999996</v>
      </c>
      <c r="N8137" s="623">
        <v>5947.5</v>
      </c>
      <c r="O8137" s="624"/>
      <c r="BZ8137" s="623">
        <v>14419.387559999996</v>
      </c>
    </row>
    <row r="8138" spans="1:78">
      <c r="A8138" s="1736">
        <v>46</v>
      </c>
      <c r="B8138" s="1736" t="s">
        <v>1982</v>
      </c>
      <c r="C8138" s="587" t="s">
        <v>1196</v>
      </c>
      <c r="D8138" s="621">
        <f>D8139</f>
        <v>18111.102760000002</v>
      </c>
      <c r="E8138" s="621">
        <f t="shared" ref="E8138:O8138" si="357">E8139</f>
        <v>5229</v>
      </c>
      <c r="F8138" s="621">
        <f t="shared" si="357"/>
        <v>12882.102760000002</v>
      </c>
      <c r="G8138" s="621">
        <f t="shared" si="357"/>
        <v>1397</v>
      </c>
      <c r="H8138" s="621">
        <f t="shared" si="357"/>
        <v>18943.523693290339</v>
      </c>
      <c r="I8138" s="621">
        <f t="shared" si="357"/>
        <v>212</v>
      </c>
      <c r="J8138" s="621">
        <f t="shared" si="357"/>
        <v>832.42093329033742</v>
      </c>
      <c r="K8138" s="621">
        <f t="shared" si="357"/>
        <v>1397</v>
      </c>
      <c r="L8138" s="621">
        <f t="shared" si="357"/>
        <v>18111.102760000002</v>
      </c>
      <c r="M8138" s="621">
        <f t="shared" si="357"/>
        <v>18111.102760000002</v>
      </c>
      <c r="N8138" s="621">
        <f t="shared" si="357"/>
        <v>5229</v>
      </c>
      <c r="O8138" s="621">
        <f t="shared" si="357"/>
        <v>0</v>
      </c>
      <c r="P8138" s="621">
        <f>BZ8139</f>
        <v>12882.102760000002</v>
      </c>
    </row>
    <row r="8139" spans="1:78">
      <c r="A8139" s="1737"/>
      <c r="B8139" s="1737"/>
      <c r="C8139" s="622" t="s">
        <v>1199</v>
      </c>
      <c r="D8139" s="623">
        <v>18111.102760000002</v>
      </c>
      <c r="E8139" s="623">
        <v>5229</v>
      </c>
      <c r="F8139" s="623">
        <v>12882.102760000002</v>
      </c>
      <c r="G8139" s="623">
        <v>1397</v>
      </c>
      <c r="H8139" s="623">
        <v>18943.523693290339</v>
      </c>
      <c r="I8139" s="623">
        <v>212</v>
      </c>
      <c r="J8139" s="623">
        <v>832.42093329033742</v>
      </c>
      <c r="K8139" s="623">
        <v>1397</v>
      </c>
      <c r="L8139" s="623">
        <v>18111.102760000002</v>
      </c>
      <c r="M8139" s="623">
        <v>18111.102760000002</v>
      </c>
      <c r="N8139" s="623">
        <v>5229</v>
      </c>
      <c r="O8139" s="624"/>
      <c r="BZ8139" s="623">
        <v>12882.102760000002</v>
      </c>
    </row>
    <row r="8140" spans="1:78">
      <c r="A8140" s="1736">
        <v>47</v>
      </c>
      <c r="B8140" s="1736" t="s">
        <v>1983</v>
      </c>
      <c r="C8140" s="587" t="s">
        <v>1196</v>
      </c>
      <c r="D8140" s="621">
        <f>D8141</f>
        <v>22461.459640000001</v>
      </c>
      <c r="E8140" s="621">
        <f t="shared" ref="E8140:O8140" si="358">E8141</f>
        <v>5570.4</v>
      </c>
      <c r="F8140" s="621">
        <f t="shared" si="358"/>
        <v>16891.059639999999</v>
      </c>
      <c r="G8140" s="621">
        <f t="shared" si="358"/>
        <v>1675</v>
      </c>
      <c r="H8140" s="621">
        <f t="shared" si="358"/>
        <v>23333.478654777675</v>
      </c>
      <c r="I8140" s="621">
        <f t="shared" si="358"/>
        <v>110</v>
      </c>
      <c r="J8140" s="621">
        <f t="shared" si="358"/>
        <v>872.01901477767387</v>
      </c>
      <c r="K8140" s="621">
        <f t="shared" si="358"/>
        <v>1669</v>
      </c>
      <c r="L8140" s="621">
        <f t="shared" si="358"/>
        <v>22461.459640000001</v>
      </c>
      <c r="M8140" s="621">
        <f t="shared" si="358"/>
        <v>22461.459640000001</v>
      </c>
      <c r="N8140" s="621">
        <f t="shared" si="358"/>
        <v>5570.4</v>
      </c>
      <c r="O8140" s="621">
        <f t="shared" si="358"/>
        <v>0</v>
      </c>
      <c r="P8140" s="621">
        <f>BZ8141</f>
        <v>16891.059639999999</v>
      </c>
    </row>
    <row r="8141" spans="1:78">
      <c r="A8141" s="1737"/>
      <c r="B8141" s="1737"/>
      <c r="C8141" s="622" t="s">
        <v>1199</v>
      </c>
      <c r="D8141" s="623">
        <v>22461.459640000001</v>
      </c>
      <c r="E8141" s="623">
        <v>5570.4</v>
      </c>
      <c r="F8141" s="623">
        <v>16891.059639999999</v>
      </c>
      <c r="G8141" s="623">
        <v>1675</v>
      </c>
      <c r="H8141" s="623">
        <v>23333.478654777675</v>
      </c>
      <c r="I8141" s="623">
        <v>110</v>
      </c>
      <c r="J8141" s="623">
        <v>872.01901477767387</v>
      </c>
      <c r="K8141" s="623">
        <v>1669</v>
      </c>
      <c r="L8141" s="623">
        <v>22461.459640000001</v>
      </c>
      <c r="M8141" s="623">
        <v>22461.459640000001</v>
      </c>
      <c r="N8141" s="623">
        <v>5570.4</v>
      </c>
      <c r="O8141" s="624"/>
      <c r="BZ8141" s="623">
        <v>16891.059639999999</v>
      </c>
    </row>
    <row r="8142" spans="1:78">
      <c r="A8142" s="1736">
        <v>48</v>
      </c>
      <c r="B8142" s="1736" t="s">
        <v>1984</v>
      </c>
      <c r="C8142" s="587" t="s">
        <v>1196</v>
      </c>
      <c r="D8142" s="621">
        <f>D8143</f>
        <v>26747.968900000003</v>
      </c>
      <c r="E8142" s="621">
        <f t="shared" ref="E8142:O8142" si="359">E8143</f>
        <v>8007.2999999999993</v>
      </c>
      <c r="F8142" s="621">
        <f t="shared" si="359"/>
        <v>18740.668900000004</v>
      </c>
      <c r="G8142" s="621">
        <f t="shared" si="359"/>
        <v>2132</v>
      </c>
      <c r="H8142" s="621">
        <f t="shared" si="359"/>
        <v>28010.513729953665</v>
      </c>
      <c r="I8142" s="621">
        <f t="shared" si="359"/>
        <v>282</v>
      </c>
      <c r="J8142" s="621">
        <f t="shared" si="359"/>
        <v>1262.3450999999998</v>
      </c>
      <c r="K8142" s="621">
        <f t="shared" si="359"/>
        <v>2123</v>
      </c>
      <c r="L8142" s="621">
        <f t="shared" si="359"/>
        <v>26747.968900000003</v>
      </c>
      <c r="M8142" s="621">
        <f t="shared" si="359"/>
        <v>26747.968900000003</v>
      </c>
      <c r="N8142" s="621">
        <f t="shared" si="359"/>
        <v>8007.2999999999993</v>
      </c>
      <c r="O8142" s="621">
        <f t="shared" si="359"/>
        <v>0</v>
      </c>
      <c r="P8142" s="621">
        <f>BZ8143</f>
        <v>18740.668900000004</v>
      </c>
    </row>
    <row r="8143" spans="1:78">
      <c r="A8143" s="1737"/>
      <c r="B8143" s="1737"/>
      <c r="C8143" s="622" t="s">
        <v>1199</v>
      </c>
      <c r="D8143" s="623">
        <v>26747.968900000003</v>
      </c>
      <c r="E8143" s="623">
        <v>8007.2999999999993</v>
      </c>
      <c r="F8143" s="623">
        <v>18740.668900000004</v>
      </c>
      <c r="G8143" s="623">
        <v>2132</v>
      </c>
      <c r="H8143" s="623">
        <v>28010.513729953665</v>
      </c>
      <c r="I8143" s="623">
        <v>282</v>
      </c>
      <c r="J8143" s="623">
        <v>1262.3450999999998</v>
      </c>
      <c r="K8143" s="623">
        <v>2123</v>
      </c>
      <c r="L8143" s="623">
        <v>26747.968900000003</v>
      </c>
      <c r="M8143" s="623">
        <v>26747.968900000003</v>
      </c>
      <c r="N8143" s="623">
        <v>8007.2999999999993</v>
      </c>
      <c r="O8143" s="624"/>
      <c r="BZ8143" s="623">
        <v>18740.668900000004</v>
      </c>
    </row>
    <row r="8144" spans="1:78">
      <c r="A8144" s="1736">
        <v>49</v>
      </c>
      <c r="B8144" s="1736" t="s">
        <v>1985</v>
      </c>
      <c r="C8144" s="587" t="s">
        <v>1196</v>
      </c>
      <c r="D8144" s="621">
        <f>D8145</f>
        <v>27881.569150000003</v>
      </c>
      <c r="E8144" s="621">
        <f t="shared" ref="E8144:O8144" si="360">E8145</f>
        <v>8311.7999999999993</v>
      </c>
      <c r="F8144" s="621">
        <f t="shared" si="360"/>
        <v>19569.769150000004</v>
      </c>
      <c r="G8144" s="621">
        <f t="shared" si="360"/>
        <v>2023</v>
      </c>
      <c r="H8144" s="621">
        <f t="shared" si="360"/>
        <v>29191.688415610337</v>
      </c>
      <c r="I8144" s="621">
        <f t="shared" si="360"/>
        <v>215</v>
      </c>
      <c r="J8144" s="621">
        <f t="shared" si="360"/>
        <v>1310.119265610334</v>
      </c>
      <c r="K8144" s="621">
        <f t="shared" si="360"/>
        <v>1903</v>
      </c>
      <c r="L8144" s="621">
        <f t="shared" si="360"/>
        <v>27881.569150000003</v>
      </c>
      <c r="M8144" s="621">
        <f t="shared" si="360"/>
        <v>27881.569150000003</v>
      </c>
      <c r="N8144" s="621">
        <f t="shared" si="360"/>
        <v>8311.7999999999993</v>
      </c>
      <c r="O8144" s="621">
        <f t="shared" si="360"/>
        <v>0</v>
      </c>
      <c r="P8144" s="621">
        <f>BZ8145</f>
        <v>19569.769150000004</v>
      </c>
    </row>
    <row r="8145" spans="1:78">
      <c r="A8145" s="1737"/>
      <c r="B8145" s="1737"/>
      <c r="C8145" s="622" t="s">
        <v>1199</v>
      </c>
      <c r="D8145" s="623">
        <v>27881.569150000003</v>
      </c>
      <c r="E8145" s="623">
        <v>8311.7999999999993</v>
      </c>
      <c r="F8145" s="623">
        <v>19569.769150000004</v>
      </c>
      <c r="G8145" s="623">
        <v>2023</v>
      </c>
      <c r="H8145" s="623">
        <v>29191.688415610337</v>
      </c>
      <c r="I8145" s="623">
        <v>215</v>
      </c>
      <c r="J8145" s="623">
        <v>1310.119265610334</v>
      </c>
      <c r="K8145" s="623">
        <v>1903</v>
      </c>
      <c r="L8145" s="623">
        <v>27881.569150000003</v>
      </c>
      <c r="M8145" s="623">
        <v>27881.569150000003</v>
      </c>
      <c r="N8145" s="623">
        <v>8311.7999999999993</v>
      </c>
      <c r="O8145" s="624"/>
      <c r="BZ8145" s="623">
        <v>19569.769150000004</v>
      </c>
    </row>
    <row r="8146" spans="1:78">
      <c r="A8146" s="1736">
        <v>50</v>
      </c>
      <c r="B8146" s="1736" t="s">
        <v>1986</v>
      </c>
      <c r="C8146" s="587" t="s">
        <v>1196</v>
      </c>
      <c r="D8146" s="621">
        <f>D8147</f>
        <v>31113.68259</v>
      </c>
      <c r="E8146" s="621">
        <f t="shared" ref="E8146:O8146" si="361">E8147</f>
        <v>9207.9</v>
      </c>
      <c r="F8146" s="621">
        <f t="shared" si="361"/>
        <v>21905.782590000003</v>
      </c>
      <c r="G8146" s="621">
        <f t="shared" si="361"/>
        <v>2294</v>
      </c>
      <c r="H8146" s="621">
        <f t="shared" si="361"/>
        <v>32263.6716052915</v>
      </c>
      <c r="I8146" s="621">
        <f t="shared" si="361"/>
        <v>309</v>
      </c>
      <c r="J8146" s="621">
        <f t="shared" si="361"/>
        <v>1149.9890152914995</v>
      </c>
      <c r="K8146" s="621">
        <f t="shared" si="361"/>
        <v>2291</v>
      </c>
      <c r="L8146" s="621">
        <f t="shared" si="361"/>
        <v>31113.68259</v>
      </c>
      <c r="M8146" s="621">
        <f t="shared" si="361"/>
        <v>31113.68259</v>
      </c>
      <c r="N8146" s="621">
        <f t="shared" si="361"/>
        <v>9207.9</v>
      </c>
      <c r="O8146" s="621">
        <f t="shared" si="361"/>
        <v>0</v>
      </c>
      <c r="P8146" s="621">
        <f>BZ8147</f>
        <v>21905.782590000003</v>
      </c>
    </row>
    <row r="8147" spans="1:78">
      <c r="A8147" s="1737"/>
      <c r="B8147" s="1737"/>
      <c r="C8147" s="622" t="s">
        <v>1199</v>
      </c>
      <c r="D8147" s="623">
        <v>31113.68259</v>
      </c>
      <c r="E8147" s="623">
        <v>9207.9</v>
      </c>
      <c r="F8147" s="623">
        <v>21905.782590000003</v>
      </c>
      <c r="G8147" s="623">
        <v>2294</v>
      </c>
      <c r="H8147" s="623">
        <v>32263.6716052915</v>
      </c>
      <c r="I8147" s="623">
        <v>309</v>
      </c>
      <c r="J8147" s="623">
        <v>1149.9890152914995</v>
      </c>
      <c r="K8147" s="623">
        <v>2291</v>
      </c>
      <c r="L8147" s="623">
        <v>31113.68259</v>
      </c>
      <c r="M8147" s="623">
        <v>31113.68259</v>
      </c>
      <c r="N8147" s="623">
        <v>9207.9</v>
      </c>
      <c r="O8147" s="624"/>
      <c r="BZ8147" s="623">
        <v>21905.782590000003</v>
      </c>
    </row>
    <row r="8148" spans="1:78">
      <c r="A8148" s="1736">
        <v>51</v>
      </c>
      <c r="B8148" s="1736" t="s">
        <v>1987</v>
      </c>
      <c r="C8148" s="587" t="s">
        <v>1196</v>
      </c>
      <c r="D8148" s="621">
        <f>D8149</f>
        <v>28624.669210000004</v>
      </c>
      <c r="E8148" s="621">
        <f t="shared" ref="E8148:O8148" si="362">E8149</f>
        <v>8287.1999999999989</v>
      </c>
      <c r="F8148" s="621">
        <f t="shared" si="362"/>
        <v>20337.469210000003</v>
      </c>
      <c r="G8148" s="621">
        <f t="shared" si="362"/>
        <v>1924</v>
      </c>
      <c r="H8148" s="621">
        <f t="shared" si="362"/>
        <v>29231.655565166835</v>
      </c>
      <c r="I8148" s="621">
        <f t="shared" si="362"/>
        <v>166</v>
      </c>
      <c r="J8148" s="621">
        <f t="shared" si="362"/>
        <v>606.98635516683134</v>
      </c>
      <c r="K8148" s="621">
        <f t="shared" si="362"/>
        <v>1923</v>
      </c>
      <c r="L8148" s="621">
        <f t="shared" si="362"/>
        <v>28624.669210000004</v>
      </c>
      <c r="M8148" s="621">
        <f t="shared" si="362"/>
        <v>28624.669210000004</v>
      </c>
      <c r="N8148" s="621">
        <f t="shared" si="362"/>
        <v>8287.1999999999989</v>
      </c>
      <c r="O8148" s="621">
        <f t="shared" si="362"/>
        <v>0</v>
      </c>
      <c r="P8148" s="621">
        <f>BZ8149</f>
        <v>20337.469210000003</v>
      </c>
    </row>
    <row r="8149" spans="1:78">
      <c r="A8149" s="1737"/>
      <c r="B8149" s="1737"/>
      <c r="C8149" s="622" t="s">
        <v>1199</v>
      </c>
      <c r="D8149" s="623">
        <v>28624.669210000004</v>
      </c>
      <c r="E8149" s="623">
        <v>8287.1999999999989</v>
      </c>
      <c r="F8149" s="623">
        <v>20337.469210000003</v>
      </c>
      <c r="G8149" s="623">
        <v>1924</v>
      </c>
      <c r="H8149" s="623">
        <v>29231.655565166835</v>
      </c>
      <c r="I8149" s="623">
        <v>166</v>
      </c>
      <c r="J8149" s="623">
        <v>606.98635516683134</v>
      </c>
      <c r="K8149" s="623">
        <v>1923</v>
      </c>
      <c r="L8149" s="623">
        <v>28624.669210000004</v>
      </c>
      <c r="M8149" s="623">
        <v>28624.669210000004</v>
      </c>
      <c r="N8149" s="623">
        <v>8287.1999999999989</v>
      </c>
      <c r="O8149" s="624"/>
      <c r="BZ8149" s="623">
        <v>20337.469210000003</v>
      </c>
    </row>
    <row r="8150" spans="1:78">
      <c r="A8150" s="1736">
        <v>52</v>
      </c>
      <c r="B8150" s="1736" t="s">
        <v>1988</v>
      </c>
      <c r="C8150" s="587" t="s">
        <v>1196</v>
      </c>
      <c r="D8150" s="621">
        <f>D8151</f>
        <v>35926.03839999999</v>
      </c>
      <c r="E8150" s="621">
        <f t="shared" ref="E8150:O8150" si="363">E8151</f>
        <v>11610</v>
      </c>
      <c r="F8150" s="621">
        <f t="shared" si="363"/>
        <v>24316.03839999999</v>
      </c>
      <c r="G8150" s="621">
        <f t="shared" si="363"/>
        <v>2297</v>
      </c>
      <c r="H8150" s="621">
        <f t="shared" si="363"/>
        <v>37985.430358198988</v>
      </c>
      <c r="I8150" s="621">
        <f t="shared" si="363"/>
        <v>218</v>
      </c>
      <c r="J8150" s="621">
        <f t="shared" si="363"/>
        <v>2059.3919581989976</v>
      </c>
      <c r="K8150" s="621">
        <f t="shared" si="363"/>
        <v>2294</v>
      </c>
      <c r="L8150" s="621">
        <f t="shared" si="363"/>
        <v>35926.03839999999</v>
      </c>
      <c r="M8150" s="621">
        <f t="shared" si="363"/>
        <v>35926.03839999999</v>
      </c>
      <c r="N8150" s="621">
        <f t="shared" si="363"/>
        <v>11610</v>
      </c>
      <c r="O8150" s="621">
        <f t="shared" si="363"/>
        <v>0</v>
      </c>
      <c r="P8150" s="621">
        <f>BZ8151</f>
        <v>24316.03839999999</v>
      </c>
    </row>
    <row r="8151" spans="1:78">
      <c r="A8151" s="1737"/>
      <c r="B8151" s="1737"/>
      <c r="C8151" s="622" t="s">
        <v>1199</v>
      </c>
      <c r="D8151" s="623">
        <v>35926.03839999999</v>
      </c>
      <c r="E8151" s="623">
        <v>11610</v>
      </c>
      <c r="F8151" s="623">
        <v>24316.03839999999</v>
      </c>
      <c r="G8151" s="623">
        <v>2297</v>
      </c>
      <c r="H8151" s="623">
        <v>37985.430358198988</v>
      </c>
      <c r="I8151" s="623">
        <v>218</v>
      </c>
      <c r="J8151" s="623">
        <v>2059.3919581989976</v>
      </c>
      <c r="K8151" s="623">
        <v>2294</v>
      </c>
      <c r="L8151" s="623">
        <v>35926.03839999999</v>
      </c>
      <c r="M8151" s="623">
        <v>35926.03839999999</v>
      </c>
      <c r="N8151" s="623">
        <v>11610</v>
      </c>
      <c r="O8151" s="624"/>
      <c r="BZ8151" s="623">
        <v>24316.03839999999</v>
      </c>
    </row>
    <row r="8152" spans="1:78">
      <c r="A8152" s="1736">
        <v>53</v>
      </c>
      <c r="B8152" s="1736" t="s">
        <v>1989</v>
      </c>
      <c r="C8152" s="587" t="s">
        <v>1196</v>
      </c>
      <c r="D8152" s="621">
        <f>D8153</f>
        <v>28479.778020000002</v>
      </c>
      <c r="E8152" s="621">
        <f t="shared" ref="E8152:O8152" si="364">E8153</f>
        <v>8568</v>
      </c>
      <c r="F8152" s="621">
        <f t="shared" si="364"/>
        <v>19911.778020000002</v>
      </c>
      <c r="G8152" s="621">
        <f t="shared" si="364"/>
        <v>2271</v>
      </c>
      <c r="H8152" s="621">
        <f t="shared" si="364"/>
        <v>29438.23947546483</v>
      </c>
      <c r="I8152" s="621">
        <f t="shared" si="364"/>
        <v>224</v>
      </c>
      <c r="J8152" s="621">
        <f t="shared" si="364"/>
        <v>958.46145546482876</v>
      </c>
      <c r="K8152" s="621">
        <f t="shared" si="364"/>
        <v>2271</v>
      </c>
      <c r="L8152" s="621">
        <f t="shared" si="364"/>
        <v>28479.778020000002</v>
      </c>
      <c r="M8152" s="621">
        <f t="shared" si="364"/>
        <v>28479.778020000002</v>
      </c>
      <c r="N8152" s="621">
        <f t="shared" si="364"/>
        <v>8568</v>
      </c>
      <c r="O8152" s="621">
        <f t="shared" si="364"/>
        <v>0</v>
      </c>
      <c r="P8152" s="621">
        <f>BZ8153</f>
        <v>19911.778020000002</v>
      </c>
    </row>
    <row r="8153" spans="1:78">
      <c r="A8153" s="1737"/>
      <c r="B8153" s="1737"/>
      <c r="C8153" s="622" t="s">
        <v>1199</v>
      </c>
      <c r="D8153" s="623">
        <v>28479.778020000002</v>
      </c>
      <c r="E8153" s="623">
        <v>8568</v>
      </c>
      <c r="F8153" s="623">
        <v>19911.778020000002</v>
      </c>
      <c r="G8153" s="623">
        <v>2271</v>
      </c>
      <c r="H8153" s="623">
        <v>29438.23947546483</v>
      </c>
      <c r="I8153" s="623">
        <v>224</v>
      </c>
      <c r="J8153" s="623">
        <v>958.46145546482876</v>
      </c>
      <c r="K8153" s="623">
        <v>2271</v>
      </c>
      <c r="L8153" s="623">
        <v>28479.778020000002</v>
      </c>
      <c r="M8153" s="623">
        <v>28479.778020000002</v>
      </c>
      <c r="N8153" s="623">
        <v>8568</v>
      </c>
      <c r="O8153" s="624"/>
      <c r="BZ8153" s="623">
        <v>19911.778020000002</v>
      </c>
    </row>
    <row r="8154" spans="1:78">
      <c r="A8154" s="1736">
        <v>54</v>
      </c>
      <c r="B8154" s="1736" t="s">
        <v>1990</v>
      </c>
      <c r="C8154" s="587" t="s">
        <v>1196</v>
      </c>
      <c r="D8154" s="621">
        <f>D8155</f>
        <v>37757.25202</v>
      </c>
      <c r="E8154" s="621">
        <f t="shared" ref="E8154:O8154" si="365">E8155</f>
        <v>9806.4</v>
      </c>
      <c r="F8154" s="621">
        <f t="shared" si="365"/>
        <v>27950.852019999998</v>
      </c>
      <c r="G8154" s="621">
        <f t="shared" si="365"/>
        <v>3031</v>
      </c>
      <c r="H8154" s="621">
        <f t="shared" si="365"/>
        <v>39618.8206044295</v>
      </c>
      <c r="I8154" s="621">
        <f t="shared" si="365"/>
        <v>407</v>
      </c>
      <c r="J8154" s="621">
        <f t="shared" si="365"/>
        <v>1861.5685844295003</v>
      </c>
      <c r="K8154" s="621">
        <f t="shared" si="365"/>
        <v>3027</v>
      </c>
      <c r="L8154" s="621">
        <f t="shared" si="365"/>
        <v>37757.25202</v>
      </c>
      <c r="M8154" s="621">
        <f t="shared" si="365"/>
        <v>37757.25202</v>
      </c>
      <c r="N8154" s="621">
        <f t="shared" si="365"/>
        <v>9806.4</v>
      </c>
      <c r="O8154" s="621">
        <f t="shared" si="365"/>
        <v>0</v>
      </c>
      <c r="P8154" s="621">
        <f>BZ8155</f>
        <v>27950.852019999998</v>
      </c>
    </row>
    <row r="8155" spans="1:78">
      <c r="A8155" s="1737"/>
      <c r="B8155" s="1737"/>
      <c r="C8155" s="622" t="s">
        <v>1199</v>
      </c>
      <c r="D8155" s="623">
        <v>37757.25202</v>
      </c>
      <c r="E8155" s="623">
        <v>9806.4</v>
      </c>
      <c r="F8155" s="623">
        <v>27950.852019999998</v>
      </c>
      <c r="G8155" s="623">
        <v>3031</v>
      </c>
      <c r="H8155" s="623">
        <v>39618.8206044295</v>
      </c>
      <c r="I8155" s="623">
        <v>407</v>
      </c>
      <c r="J8155" s="623">
        <v>1861.5685844295003</v>
      </c>
      <c r="K8155" s="623">
        <v>3027</v>
      </c>
      <c r="L8155" s="623">
        <v>37757.25202</v>
      </c>
      <c r="M8155" s="623">
        <v>37757.25202</v>
      </c>
      <c r="N8155" s="623">
        <v>9806.4</v>
      </c>
      <c r="O8155" s="624"/>
      <c r="BZ8155" s="623">
        <v>27950.852019999998</v>
      </c>
    </row>
    <row r="8156" spans="1:78">
      <c r="A8156" s="1736">
        <v>55</v>
      </c>
      <c r="B8156" s="1736" t="s">
        <v>1991</v>
      </c>
      <c r="C8156" s="587" t="s">
        <v>1196</v>
      </c>
      <c r="D8156" s="621">
        <f>D8157</f>
        <v>34172.948049999992</v>
      </c>
      <c r="E8156" s="621">
        <f t="shared" ref="E8156:O8156" si="366">E8157</f>
        <v>9651.9</v>
      </c>
      <c r="F8156" s="621">
        <f t="shared" si="366"/>
        <v>24521.04804999999</v>
      </c>
      <c r="G8156" s="621">
        <f t="shared" si="366"/>
        <v>2579</v>
      </c>
      <c r="H8156" s="621">
        <f t="shared" si="366"/>
        <v>35657.761803531503</v>
      </c>
      <c r="I8156" s="621">
        <f t="shared" si="366"/>
        <v>247</v>
      </c>
      <c r="J8156" s="621">
        <f t="shared" si="366"/>
        <v>1484.8137535315109</v>
      </c>
      <c r="K8156" s="621">
        <f t="shared" si="366"/>
        <v>2531</v>
      </c>
      <c r="L8156" s="621">
        <f t="shared" si="366"/>
        <v>34172.948049999992</v>
      </c>
      <c r="M8156" s="621">
        <f t="shared" si="366"/>
        <v>34172.948049999992</v>
      </c>
      <c r="N8156" s="621">
        <f t="shared" si="366"/>
        <v>9651.9</v>
      </c>
      <c r="O8156" s="621">
        <f t="shared" si="366"/>
        <v>0</v>
      </c>
      <c r="P8156" s="621">
        <f>BZ8157</f>
        <v>24521.04804999999</v>
      </c>
    </row>
    <row r="8157" spans="1:78">
      <c r="A8157" s="1737"/>
      <c r="B8157" s="1737"/>
      <c r="C8157" s="622" t="s">
        <v>1199</v>
      </c>
      <c r="D8157" s="623">
        <v>34172.948049999992</v>
      </c>
      <c r="E8157" s="623">
        <v>9651.9</v>
      </c>
      <c r="F8157" s="623">
        <v>24521.04804999999</v>
      </c>
      <c r="G8157" s="623">
        <v>2579</v>
      </c>
      <c r="H8157" s="623">
        <v>35657.761803531503</v>
      </c>
      <c r="I8157" s="623">
        <v>247</v>
      </c>
      <c r="J8157" s="623">
        <v>1484.8137535315109</v>
      </c>
      <c r="K8157" s="623">
        <v>2531</v>
      </c>
      <c r="L8157" s="623">
        <v>34172.948049999992</v>
      </c>
      <c r="M8157" s="623">
        <v>34172.948049999992</v>
      </c>
      <c r="N8157" s="623">
        <v>9651.9</v>
      </c>
      <c r="O8157" s="624"/>
      <c r="BZ8157" s="623">
        <v>24521.04804999999</v>
      </c>
    </row>
    <row r="8158" spans="1:78">
      <c r="A8158" s="1736">
        <v>56</v>
      </c>
      <c r="B8158" s="1736" t="s">
        <v>1992</v>
      </c>
      <c r="C8158" s="587" t="s">
        <v>1196</v>
      </c>
      <c r="D8158" s="621">
        <f>D8159</f>
        <v>23469.639449999999</v>
      </c>
      <c r="E8158" s="621">
        <f t="shared" ref="E8158:O8158" si="367">E8159</f>
        <v>6896.4</v>
      </c>
      <c r="F8158" s="621">
        <f t="shared" si="367"/>
        <v>16573.239450000001</v>
      </c>
      <c r="G8158" s="621">
        <f t="shared" si="367"/>
        <v>1734</v>
      </c>
      <c r="H8158" s="621">
        <f t="shared" si="367"/>
        <v>25497.334016830497</v>
      </c>
      <c r="I8158" s="621">
        <f t="shared" si="367"/>
        <v>286</v>
      </c>
      <c r="J8158" s="621">
        <f t="shared" si="367"/>
        <v>2027.6945668304979</v>
      </c>
      <c r="K8158" s="621">
        <f t="shared" si="367"/>
        <v>1728</v>
      </c>
      <c r="L8158" s="621">
        <f t="shared" si="367"/>
        <v>23469.639449999999</v>
      </c>
      <c r="M8158" s="621">
        <f t="shared" si="367"/>
        <v>23469.639449999999</v>
      </c>
      <c r="N8158" s="621">
        <f t="shared" si="367"/>
        <v>6896.4</v>
      </c>
      <c r="O8158" s="621">
        <f t="shared" si="367"/>
        <v>0</v>
      </c>
      <c r="P8158" s="621">
        <f>BZ8159</f>
        <v>16573.239450000001</v>
      </c>
    </row>
    <row r="8159" spans="1:78">
      <c r="A8159" s="1737"/>
      <c r="B8159" s="1737"/>
      <c r="C8159" s="622" t="s">
        <v>1199</v>
      </c>
      <c r="D8159" s="623">
        <v>23469.639449999999</v>
      </c>
      <c r="E8159" s="623">
        <v>6896.4</v>
      </c>
      <c r="F8159" s="623">
        <v>16573.239450000001</v>
      </c>
      <c r="G8159" s="623">
        <v>1734</v>
      </c>
      <c r="H8159" s="623">
        <v>25497.334016830497</v>
      </c>
      <c r="I8159" s="623">
        <v>286</v>
      </c>
      <c r="J8159" s="623">
        <v>2027.6945668304979</v>
      </c>
      <c r="K8159" s="623">
        <v>1728</v>
      </c>
      <c r="L8159" s="623">
        <v>23469.639449999999</v>
      </c>
      <c r="M8159" s="623">
        <v>23469.639449999999</v>
      </c>
      <c r="N8159" s="623">
        <v>6896.4</v>
      </c>
      <c r="O8159" s="624"/>
      <c r="BZ8159" s="623">
        <v>16573.239450000001</v>
      </c>
    </row>
    <row r="8160" spans="1:78">
      <c r="A8160" s="1736">
        <v>57</v>
      </c>
      <c r="B8160" s="1736" t="s">
        <v>1993</v>
      </c>
      <c r="C8160" s="587" t="s">
        <v>1196</v>
      </c>
      <c r="D8160" s="621">
        <f>D8161</f>
        <v>11096.0676</v>
      </c>
      <c r="E8160" s="621">
        <f t="shared" ref="E8160:O8160" si="368">E8161</f>
        <v>3209.7</v>
      </c>
      <c r="F8160" s="621">
        <f t="shared" si="368"/>
        <v>7886.3676000000005</v>
      </c>
      <c r="G8160" s="621">
        <f t="shared" si="368"/>
        <v>1147</v>
      </c>
      <c r="H8160" s="621">
        <f t="shared" si="368"/>
        <v>14285.537707413501</v>
      </c>
      <c r="I8160" s="621">
        <f t="shared" si="368"/>
        <v>181</v>
      </c>
      <c r="J8160" s="621">
        <f t="shared" si="368"/>
        <v>1050.1221174135007</v>
      </c>
      <c r="K8160" s="621">
        <f t="shared" si="368"/>
        <v>1126</v>
      </c>
      <c r="L8160" s="621">
        <f t="shared" si="368"/>
        <v>11096.0676</v>
      </c>
      <c r="M8160" s="621">
        <f t="shared" si="368"/>
        <v>11096.0676</v>
      </c>
      <c r="N8160" s="621">
        <f t="shared" si="368"/>
        <v>3209.7</v>
      </c>
      <c r="O8160" s="621">
        <f t="shared" si="368"/>
        <v>0</v>
      </c>
      <c r="P8160" s="621">
        <f>BZ8161</f>
        <v>7886.3676000000005</v>
      </c>
    </row>
    <row r="8161" spans="1:78">
      <c r="A8161" s="1737"/>
      <c r="B8161" s="1737"/>
      <c r="C8161" s="622" t="s">
        <v>1199</v>
      </c>
      <c r="D8161" s="623">
        <v>11096.0676</v>
      </c>
      <c r="E8161" s="623">
        <v>3209.7</v>
      </c>
      <c r="F8161" s="623">
        <v>7886.3676000000005</v>
      </c>
      <c r="G8161" s="623">
        <v>1147</v>
      </c>
      <c r="H8161" s="623">
        <v>14285.537707413501</v>
      </c>
      <c r="I8161" s="623">
        <v>181</v>
      </c>
      <c r="J8161" s="623">
        <v>1050.1221174135007</v>
      </c>
      <c r="K8161" s="623">
        <v>1126</v>
      </c>
      <c r="L8161" s="623">
        <v>11096.0676</v>
      </c>
      <c r="M8161" s="623">
        <v>11096.0676</v>
      </c>
      <c r="N8161" s="623">
        <v>3209.7</v>
      </c>
      <c r="O8161" s="624"/>
      <c r="BZ8161" s="623">
        <v>7886.3676000000005</v>
      </c>
    </row>
    <row r="8162" spans="1:78">
      <c r="A8162" s="1736">
        <v>58</v>
      </c>
      <c r="B8162" s="1736" t="s">
        <v>1994</v>
      </c>
      <c r="C8162" s="587" t="s">
        <v>1196</v>
      </c>
      <c r="D8162" s="621">
        <f>D8163</f>
        <v>16076.005969999998</v>
      </c>
      <c r="E8162" s="621">
        <f t="shared" ref="E8162:O8162" si="369">E8163</f>
        <v>3983.3999999999996</v>
      </c>
      <c r="F8162" s="621">
        <f t="shared" si="369"/>
        <v>12092.605969999999</v>
      </c>
      <c r="G8162" s="621">
        <f t="shared" si="369"/>
        <v>1299</v>
      </c>
      <c r="H8162" s="621">
        <f t="shared" si="369"/>
        <v>19756.808918823663</v>
      </c>
      <c r="I8162" s="621">
        <f t="shared" si="369"/>
        <v>265</v>
      </c>
      <c r="J8162" s="621">
        <f t="shared" si="369"/>
        <v>1514.6205888236645</v>
      </c>
      <c r="K8162" s="621">
        <f t="shared" si="369"/>
        <v>1297</v>
      </c>
      <c r="L8162" s="621">
        <f t="shared" si="369"/>
        <v>16076.005969999998</v>
      </c>
      <c r="M8162" s="621">
        <f t="shared" si="369"/>
        <v>16076.005969999998</v>
      </c>
      <c r="N8162" s="621">
        <f t="shared" si="369"/>
        <v>3983.3999999999996</v>
      </c>
      <c r="O8162" s="621">
        <f t="shared" si="369"/>
        <v>0</v>
      </c>
      <c r="P8162" s="621">
        <f>BZ8163</f>
        <v>12092.605969999999</v>
      </c>
    </row>
    <row r="8163" spans="1:78">
      <c r="A8163" s="1737"/>
      <c r="B8163" s="1737"/>
      <c r="C8163" s="622" t="s">
        <v>1199</v>
      </c>
      <c r="D8163" s="623">
        <v>16076.005969999998</v>
      </c>
      <c r="E8163" s="623">
        <v>3983.3999999999996</v>
      </c>
      <c r="F8163" s="623">
        <v>12092.605969999999</v>
      </c>
      <c r="G8163" s="623">
        <v>1299</v>
      </c>
      <c r="H8163" s="623">
        <v>19756.808918823663</v>
      </c>
      <c r="I8163" s="623">
        <v>265</v>
      </c>
      <c r="J8163" s="623">
        <v>1514.6205888236645</v>
      </c>
      <c r="K8163" s="623">
        <v>1297</v>
      </c>
      <c r="L8163" s="623">
        <v>16076.005969999998</v>
      </c>
      <c r="M8163" s="623">
        <v>16076.005969999998</v>
      </c>
      <c r="N8163" s="623">
        <v>3983.3999999999996</v>
      </c>
      <c r="O8163" s="624"/>
      <c r="BZ8163" s="623">
        <v>12092.605969999999</v>
      </c>
    </row>
    <row r="8164" spans="1:78">
      <c r="A8164" s="1736">
        <v>59</v>
      </c>
      <c r="B8164" s="1736" t="s">
        <v>1995</v>
      </c>
      <c r="C8164" s="587" t="s">
        <v>1196</v>
      </c>
      <c r="D8164" s="621">
        <f>D8165</f>
        <v>25864.30975</v>
      </c>
      <c r="E8164" s="621">
        <f t="shared" ref="E8164:O8164" si="370">E8165</f>
        <v>6722.7</v>
      </c>
      <c r="F8164" s="621">
        <f t="shared" si="370"/>
        <v>19141.60975</v>
      </c>
      <c r="G8164" s="621">
        <f t="shared" si="370"/>
        <v>1981</v>
      </c>
      <c r="H8164" s="621">
        <f t="shared" si="370"/>
        <v>26873.229095496506</v>
      </c>
      <c r="I8164" s="621">
        <f t="shared" si="370"/>
        <v>157</v>
      </c>
      <c r="J8164" s="621">
        <f t="shared" si="370"/>
        <v>1008.9193454965061</v>
      </c>
      <c r="K8164" s="621">
        <f t="shared" si="370"/>
        <v>1980</v>
      </c>
      <c r="L8164" s="621">
        <f t="shared" si="370"/>
        <v>25864.30975</v>
      </c>
      <c r="M8164" s="621">
        <f t="shared" si="370"/>
        <v>25864.30975</v>
      </c>
      <c r="N8164" s="621">
        <f t="shared" si="370"/>
        <v>6722.7</v>
      </c>
      <c r="O8164" s="621">
        <f t="shared" si="370"/>
        <v>0</v>
      </c>
      <c r="P8164" s="621">
        <f>BZ8165</f>
        <v>19141.60975</v>
      </c>
    </row>
    <row r="8165" spans="1:78">
      <c r="A8165" s="1737"/>
      <c r="B8165" s="1737"/>
      <c r="C8165" s="622" t="s">
        <v>1199</v>
      </c>
      <c r="D8165" s="623">
        <v>25864.30975</v>
      </c>
      <c r="E8165" s="623">
        <v>6722.7</v>
      </c>
      <c r="F8165" s="623">
        <v>19141.60975</v>
      </c>
      <c r="G8165" s="623">
        <v>1981</v>
      </c>
      <c r="H8165" s="623">
        <v>26873.229095496506</v>
      </c>
      <c r="I8165" s="623">
        <v>157</v>
      </c>
      <c r="J8165" s="623">
        <v>1008.9193454965061</v>
      </c>
      <c r="K8165" s="623">
        <v>1980</v>
      </c>
      <c r="L8165" s="623">
        <v>25864.30975</v>
      </c>
      <c r="M8165" s="623">
        <v>25864.30975</v>
      </c>
      <c r="N8165" s="623">
        <v>6722.7</v>
      </c>
      <c r="O8165" s="624"/>
      <c r="BZ8165" s="623">
        <v>19141.60975</v>
      </c>
    </row>
    <row r="8166" spans="1:78">
      <c r="A8166" s="1736">
        <v>60</v>
      </c>
      <c r="B8166" s="1736" t="s">
        <v>1996</v>
      </c>
      <c r="C8166" s="587" t="s">
        <v>1196</v>
      </c>
      <c r="D8166" s="621">
        <f>D8167</f>
        <v>21265.853700000003</v>
      </c>
      <c r="E8166" s="621">
        <f t="shared" ref="E8166:O8166" si="371">E8167</f>
        <v>6051.9</v>
      </c>
      <c r="F8166" s="621">
        <f t="shared" si="371"/>
        <v>15213.953700000004</v>
      </c>
      <c r="G8166" s="621">
        <f t="shared" si="371"/>
        <v>1465</v>
      </c>
      <c r="H8166" s="621">
        <f t="shared" si="371"/>
        <v>22267.031277564492</v>
      </c>
      <c r="I8166" s="621">
        <f t="shared" si="371"/>
        <v>123</v>
      </c>
      <c r="J8166" s="621">
        <f t="shared" si="371"/>
        <v>1001.1775775644892</v>
      </c>
      <c r="K8166" s="621">
        <f t="shared" si="371"/>
        <v>1460</v>
      </c>
      <c r="L8166" s="621">
        <f t="shared" si="371"/>
        <v>21265.853700000003</v>
      </c>
      <c r="M8166" s="621">
        <f t="shared" si="371"/>
        <v>21265.853700000003</v>
      </c>
      <c r="N8166" s="621">
        <f t="shared" si="371"/>
        <v>6051.9</v>
      </c>
      <c r="O8166" s="621">
        <f t="shared" si="371"/>
        <v>0</v>
      </c>
      <c r="P8166" s="621">
        <f>BZ8167</f>
        <v>15213.953700000004</v>
      </c>
    </row>
    <row r="8167" spans="1:78">
      <c r="A8167" s="1737"/>
      <c r="B8167" s="1737"/>
      <c r="C8167" s="622" t="s">
        <v>1199</v>
      </c>
      <c r="D8167" s="623">
        <v>21265.853700000003</v>
      </c>
      <c r="E8167" s="623">
        <v>6051.9</v>
      </c>
      <c r="F8167" s="623">
        <v>15213.953700000004</v>
      </c>
      <c r="G8167" s="623">
        <v>1465</v>
      </c>
      <c r="H8167" s="623">
        <v>22267.031277564492</v>
      </c>
      <c r="I8167" s="623">
        <v>123</v>
      </c>
      <c r="J8167" s="623">
        <v>1001.1775775644892</v>
      </c>
      <c r="K8167" s="623">
        <v>1460</v>
      </c>
      <c r="L8167" s="623">
        <v>21265.853700000003</v>
      </c>
      <c r="M8167" s="623">
        <v>21265.853700000003</v>
      </c>
      <c r="N8167" s="623">
        <v>6051.9</v>
      </c>
      <c r="O8167" s="624"/>
      <c r="BZ8167" s="623">
        <v>15213.953700000004</v>
      </c>
    </row>
    <row r="8168" spans="1:78">
      <c r="A8168" s="1736">
        <v>61</v>
      </c>
      <c r="B8168" s="1736" t="s">
        <v>1997</v>
      </c>
      <c r="C8168" s="587" t="s">
        <v>1196</v>
      </c>
      <c r="D8168" s="621">
        <f>D8169</f>
        <v>15219.54967</v>
      </c>
      <c r="E8168" s="621">
        <f t="shared" ref="E8168:O8168" si="372">E8169</f>
        <v>4417.5</v>
      </c>
      <c r="F8168" s="621">
        <f t="shared" si="372"/>
        <v>10802.04967</v>
      </c>
      <c r="G8168" s="621">
        <f t="shared" si="372"/>
        <v>1543</v>
      </c>
      <c r="H8168" s="621">
        <f t="shared" si="372"/>
        <v>17977.764427711998</v>
      </c>
      <c r="I8168" s="621">
        <f t="shared" si="372"/>
        <v>109</v>
      </c>
      <c r="J8168" s="621">
        <f t="shared" si="372"/>
        <v>629.83539837590001</v>
      </c>
      <c r="K8168" s="621">
        <f t="shared" si="372"/>
        <v>1542</v>
      </c>
      <c r="L8168" s="621">
        <f t="shared" si="372"/>
        <v>15219.54967</v>
      </c>
      <c r="M8168" s="621">
        <f t="shared" si="372"/>
        <v>15219.54967</v>
      </c>
      <c r="N8168" s="621">
        <f t="shared" si="372"/>
        <v>4417.5</v>
      </c>
      <c r="O8168" s="621">
        <f t="shared" si="372"/>
        <v>0</v>
      </c>
      <c r="P8168" s="621">
        <f>BZ8169</f>
        <v>10802.04967</v>
      </c>
    </row>
    <row r="8169" spans="1:78">
      <c r="A8169" s="1737"/>
      <c r="B8169" s="1737"/>
      <c r="C8169" s="622" t="s">
        <v>1199</v>
      </c>
      <c r="D8169" s="623">
        <v>15219.54967</v>
      </c>
      <c r="E8169" s="623">
        <v>4417.5</v>
      </c>
      <c r="F8169" s="623">
        <v>10802.04967</v>
      </c>
      <c r="G8169" s="623">
        <v>1543</v>
      </c>
      <c r="H8169" s="623">
        <v>17977.764427711998</v>
      </c>
      <c r="I8169" s="623">
        <v>109</v>
      </c>
      <c r="J8169" s="623">
        <v>629.83539837590001</v>
      </c>
      <c r="K8169" s="623">
        <v>1542</v>
      </c>
      <c r="L8169" s="623">
        <v>15219.54967</v>
      </c>
      <c r="M8169" s="623">
        <v>15219.54967</v>
      </c>
      <c r="N8169" s="623">
        <v>4417.5</v>
      </c>
      <c r="O8169" s="624"/>
      <c r="BZ8169" s="623">
        <v>10802.04967</v>
      </c>
    </row>
    <row r="8170" spans="1:78">
      <c r="A8170" s="1736">
        <v>62</v>
      </c>
      <c r="B8170" s="1736" t="s">
        <v>1998</v>
      </c>
      <c r="C8170" s="587" t="s">
        <v>1196</v>
      </c>
      <c r="D8170" s="621">
        <f>D8171</f>
        <v>32761.67193</v>
      </c>
      <c r="E8170" s="621">
        <f t="shared" ref="E8170:O8170" si="373">E8171</f>
        <v>9139.7999999999993</v>
      </c>
      <c r="F8170" s="621">
        <f t="shared" si="373"/>
        <v>23621.871930000001</v>
      </c>
      <c r="G8170" s="621">
        <f t="shared" si="373"/>
        <v>2455</v>
      </c>
      <c r="H8170" s="621">
        <f t="shared" si="373"/>
        <v>35580.106991433669</v>
      </c>
      <c r="I8170" s="621">
        <f t="shared" si="373"/>
        <v>322</v>
      </c>
      <c r="J8170" s="621">
        <f t="shared" si="373"/>
        <v>2818.435061433669</v>
      </c>
      <c r="K8170" s="621">
        <f t="shared" si="373"/>
        <v>2448</v>
      </c>
      <c r="L8170" s="621">
        <f t="shared" si="373"/>
        <v>32761.67193</v>
      </c>
      <c r="M8170" s="621">
        <f t="shared" si="373"/>
        <v>32761.67193</v>
      </c>
      <c r="N8170" s="621">
        <f t="shared" si="373"/>
        <v>9139.7999999999993</v>
      </c>
      <c r="O8170" s="621">
        <f t="shared" si="373"/>
        <v>0</v>
      </c>
      <c r="P8170" s="621">
        <f>BZ8171</f>
        <v>23621.871930000001</v>
      </c>
    </row>
    <row r="8171" spans="1:78">
      <c r="A8171" s="1737"/>
      <c r="B8171" s="1737"/>
      <c r="C8171" s="622" t="s">
        <v>1199</v>
      </c>
      <c r="D8171" s="623">
        <v>32761.67193</v>
      </c>
      <c r="E8171" s="623">
        <v>9139.7999999999993</v>
      </c>
      <c r="F8171" s="623">
        <v>23621.871930000001</v>
      </c>
      <c r="G8171" s="623">
        <v>2455</v>
      </c>
      <c r="H8171" s="623">
        <v>35580.106991433669</v>
      </c>
      <c r="I8171" s="623">
        <v>322</v>
      </c>
      <c r="J8171" s="623">
        <v>2818.435061433669</v>
      </c>
      <c r="K8171" s="623">
        <v>2448</v>
      </c>
      <c r="L8171" s="623">
        <v>32761.67193</v>
      </c>
      <c r="M8171" s="623">
        <v>32761.67193</v>
      </c>
      <c r="N8171" s="623">
        <v>9139.7999999999993</v>
      </c>
      <c r="O8171" s="624"/>
      <c r="BZ8171" s="623">
        <v>23621.871930000001</v>
      </c>
    </row>
    <row r="8172" spans="1:78">
      <c r="A8172" s="1736">
        <v>63</v>
      </c>
      <c r="B8172" s="1736" t="s">
        <v>1999</v>
      </c>
      <c r="C8172" s="587" t="s">
        <v>1196</v>
      </c>
      <c r="D8172" s="621">
        <f>D8173</f>
        <v>23880.351060000001</v>
      </c>
      <c r="E8172" s="621">
        <f t="shared" ref="E8172:O8172" si="374">E8173</f>
        <v>6101.0999999999995</v>
      </c>
      <c r="F8172" s="621">
        <f t="shared" si="374"/>
        <v>17779.251060000002</v>
      </c>
      <c r="G8172" s="621">
        <f t="shared" si="374"/>
        <v>1770</v>
      </c>
      <c r="H8172" s="621">
        <f t="shared" si="374"/>
        <v>25179.079427514</v>
      </c>
      <c r="I8172" s="621">
        <f t="shared" si="374"/>
        <v>232</v>
      </c>
      <c r="J8172" s="621">
        <f t="shared" si="374"/>
        <v>1298.7283675139988</v>
      </c>
      <c r="K8172" s="621">
        <f t="shared" si="374"/>
        <v>1763</v>
      </c>
      <c r="L8172" s="621">
        <f t="shared" si="374"/>
        <v>23880.351060000001</v>
      </c>
      <c r="M8172" s="621">
        <f t="shared" si="374"/>
        <v>23880.351060000001</v>
      </c>
      <c r="N8172" s="621">
        <f t="shared" si="374"/>
        <v>6101.0999999999995</v>
      </c>
      <c r="O8172" s="621">
        <f t="shared" si="374"/>
        <v>0</v>
      </c>
      <c r="P8172" s="621">
        <f>BZ8173</f>
        <v>17779.251060000002</v>
      </c>
    </row>
    <row r="8173" spans="1:78">
      <c r="A8173" s="1737"/>
      <c r="B8173" s="1737"/>
      <c r="C8173" s="622" t="s">
        <v>1199</v>
      </c>
      <c r="D8173" s="623">
        <v>23880.351060000001</v>
      </c>
      <c r="E8173" s="623">
        <v>6101.0999999999995</v>
      </c>
      <c r="F8173" s="623">
        <v>17779.251060000002</v>
      </c>
      <c r="G8173" s="623">
        <v>1770</v>
      </c>
      <c r="H8173" s="623">
        <v>25179.079427514</v>
      </c>
      <c r="I8173" s="623">
        <v>232</v>
      </c>
      <c r="J8173" s="623">
        <v>1298.7283675139988</v>
      </c>
      <c r="K8173" s="623">
        <v>1763</v>
      </c>
      <c r="L8173" s="623">
        <v>23880.351060000001</v>
      </c>
      <c r="M8173" s="623">
        <v>23880.351060000001</v>
      </c>
      <c r="N8173" s="623">
        <v>6101.0999999999995</v>
      </c>
      <c r="O8173" s="624"/>
      <c r="BZ8173" s="623">
        <v>17779.251060000002</v>
      </c>
    </row>
    <row r="8174" spans="1:78">
      <c r="A8174" s="1736">
        <v>64</v>
      </c>
      <c r="B8174" s="1736" t="s">
        <v>2000</v>
      </c>
      <c r="C8174" s="587" t="s">
        <v>1196</v>
      </c>
      <c r="D8174" s="621">
        <f>D8175</f>
        <v>13966.967100000002</v>
      </c>
      <c r="E8174" s="621">
        <f t="shared" ref="E8174:O8174" si="375">E8175</f>
        <v>3429</v>
      </c>
      <c r="F8174" s="621">
        <f t="shared" si="375"/>
        <v>10537.967100000002</v>
      </c>
      <c r="G8174" s="621">
        <f t="shared" si="375"/>
        <v>1087</v>
      </c>
      <c r="H8174" s="621">
        <f t="shared" si="375"/>
        <v>14965.197105008829</v>
      </c>
      <c r="I8174" s="621">
        <f t="shared" si="375"/>
        <v>200</v>
      </c>
      <c r="J8174" s="621">
        <f t="shared" si="375"/>
        <v>998.23000500882699</v>
      </c>
      <c r="K8174" s="621">
        <f t="shared" si="375"/>
        <v>1086</v>
      </c>
      <c r="L8174" s="621">
        <f t="shared" si="375"/>
        <v>13966.967100000002</v>
      </c>
      <c r="M8174" s="621">
        <f t="shared" si="375"/>
        <v>13966.967100000002</v>
      </c>
      <c r="N8174" s="621">
        <f t="shared" si="375"/>
        <v>3429</v>
      </c>
      <c r="O8174" s="621">
        <f t="shared" si="375"/>
        <v>0</v>
      </c>
      <c r="P8174" s="621">
        <f>BZ8175</f>
        <v>10537.967100000002</v>
      </c>
    </row>
    <row r="8175" spans="1:78">
      <c r="A8175" s="1737"/>
      <c r="B8175" s="1737"/>
      <c r="C8175" s="622" t="s">
        <v>1199</v>
      </c>
      <c r="D8175" s="623">
        <v>13966.967100000002</v>
      </c>
      <c r="E8175" s="623">
        <v>3429</v>
      </c>
      <c r="F8175" s="623">
        <v>10537.967100000002</v>
      </c>
      <c r="G8175" s="623">
        <v>1087</v>
      </c>
      <c r="H8175" s="623">
        <v>14965.197105008829</v>
      </c>
      <c r="I8175" s="623">
        <v>200</v>
      </c>
      <c r="J8175" s="623">
        <v>998.23000500882699</v>
      </c>
      <c r="K8175" s="623">
        <v>1086</v>
      </c>
      <c r="L8175" s="623">
        <v>13966.967100000002</v>
      </c>
      <c r="M8175" s="623">
        <v>13966.967100000002</v>
      </c>
      <c r="N8175" s="623">
        <v>3429</v>
      </c>
      <c r="O8175" s="624"/>
      <c r="BZ8175" s="623">
        <v>10537.967100000002</v>
      </c>
    </row>
    <row r="8176" spans="1:78">
      <c r="A8176" s="1736">
        <v>65</v>
      </c>
      <c r="B8176" s="1736" t="s">
        <v>2001</v>
      </c>
      <c r="C8176" s="587" t="s">
        <v>1196</v>
      </c>
      <c r="D8176" s="621">
        <f>D8177</f>
        <v>15760.710799999999</v>
      </c>
      <c r="E8176" s="621">
        <f t="shared" ref="E8176:O8176" si="376">E8177</f>
        <v>3765.6</v>
      </c>
      <c r="F8176" s="621">
        <f t="shared" si="376"/>
        <v>11995.110799999999</v>
      </c>
      <c r="G8176" s="621">
        <f t="shared" si="376"/>
        <v>1508</v>
      </c>
      <c r="H8176" s="621">
        <f t="shared" si="376"/>
        <v>19104.930923987671</v>
      </c>
      <c r="I8176" s="621">
        <f t="shared" si="376"/>
        <v>203</v>
      </c>
      <c r="J8176" s="621">
        <f t="shared" si="376"/>
        <v>1083.2167339876723</v>
      </c>
      <c r="K8176" s="621">
        <f t="shared" si="376"/>
        <v>1500</v>
      </c>
      <c r="L8176" s="621">
        <f t="shared" si="376"/>
        <v>15760.710799999999</v>
      </c>
      <c r="M8176" s="621">
        <f t="shared" si="376"/>
        <v>15760.710799999999</v>
      </c>
      <c r="N8176" s="621">
        <f t="shared" si="376"/>
        <v>3765.6</v>
      </c>
      <c r="O8176" s="621">
        <f t="shared" si="376"/>
        <v>0</v>
      </c>
      <c r="P8176" s="621">
        <f>BZ8177</f>
        <v>11995.110799999999</v>
      </c>
    </row>
    <row r="8177" spans="1:78">
      <c r="A8177" s="1737"/>
      <c r="B8177" s="1737"/>
      <c r="C8177" s="622" t="s">
        <v>1199</v>
      </c>
      <c r="D8177" s="623">
        <v>15760.710799999999</v>
      </c>
      <c r="E8177" s="623">
        <v>3765.6</v>
      </c>
      <c r="F8177" s="623">
        <v>11995.110799999999</v>
      </c>
      <c r="G8177" s="623">
        <v>1508</v>
      </c>
      <c r="H8177" s="623">
        <v>19104.930923987671</v>
      </c>
      <c r="I8177" s="623">
        <v>203</v>
      </c>
      <c r="J8177" s="623">
        <v>1083.2167339876723</v>
      </c>
      <c r="K8177" s="623">
        <v>1500</v>
      </c>
      <c r="L8177" s="623">
        <v>15760.710799999999</v>
      </c>
      <c r="M8177" s="623">
        <v>15760.710799999999</v>
      </c>
      <c r="N8177" s="623">
        <v>3765.6</v>
      </c>
      <c r="O8177" s="624"/>
      <c r="BZ8177" s="623">
        <v>11995.110799999999</v>
      </c>
    </row>
    <row r="8178" spans="1:78">
      <c r="A8178" s="1736">
        <v>66</v>
      </c>
      <c r="B8178" s="1736" t="s">
        <v>2002</v>
      </c>
      <c r="C8178" s="587" t="s">
        <v>1196</v>
      </c>
      <c r="D8178" s="621">
        <f>D8179</f>
        <v>27633.378120000001</v>
      </c>
      <c r="E8178" s="621">
        <f t="shared" ref="E8178:O8178" si="377">E8179</f>
        <v>7276.2</v>
      </c>
      <c r="F8178" s="621">
        <f t="shared" si="377"/>
        <v>20357.17812</v>
      </c>
      <c r="G8178" s="621">
        <f t="shared" si="377"/>
        <v>1977</v>
      </c>
      <c r="H8178" s="621">
        <f t="shared" si="377"/>
        <v>28989.955625901664</v>
      </c>
      <c r="I8178" s="621">
        <f t="shared" si="377"/>
        <v>263</v>
      </c>
      <c r="J8178" s="621">
        <f t="shared" si="377"/>
        <v>1356.5775059016632</v>
      </c>
      <c r="K8178" s="621">
        <f t="shared" si="377"/>
        <v>1965</v>
      </c>
      <c r="L8178" s="621">
        <f t="shared" si="377"/>
        <v>27633.378120000001</v>
      </c>
      <c r="M8178" s="621">
        <f t="shared" si="377"/>
        <v>27633.378120000001</v>
      </c>
      <c r="N8178" s="621">
        <f t="shared" si="377"/>
        <v>7276.2</v>
      </c>
      <c r="O8178" s="621">
        <f t="shared" si="377"/>
        <v>0</v>
      </c>
      <c r="P8178" s="621">
        <f>BZ8179</f>
        <v>20357.17812</v>
      </c>
    </row>
    <row r="8179" spans="1:78">
      <c r="A8179" s="1737"/>
      <c r="B8179" s="1737"/>
      <c r="C8179" s="622" t="s">
        <v>1199</v>
      </c>
      <c r="D8179" s="623">
        <v>27633.378120000001</v>
      </c>
      <c r="E8179" s="623">
        <v>7276.2</v>
      </c>
      <c r="F8179" s="623">
        <v>20357.17812</v>
      </c>
      <c r="G8179" s="623">
        <v>1977</v>
      </c>
      <c r="H8179" s="623">
        <v>28989.955625901664</v>
      </c>
      <c r="I8179" s="623">
        <v>263</v>
      </c>
      <c r="J8179" s="623">
        <v>1356.5775059016632</v>
      </c>
      <c r="K8179" s="623">
        <v>1965</v>
      </c>
      <c r="L8179" s="623">
        <v>27633.378120000001</v>
      </c>
      <c r="M8179" s="623">
        <v>27633.378120000001</v>
      </c>
      <c r="N8179" s="623">
        <v>7276.2</v>
      </c>
      <c r="O8179" s="624"/>
      <c r="BZ8179" s="623">
        <v>20357.17812</v>
      </c>
    </row>
    <row r="8180" spans="1:78">
      <c r="A8180" s="1736">
        <v>67</v>
      </c>
      <c r="B8180" s="1736" t="s">
        <v>2003</v>
      </c>
      <c r="C8180" s="587" t="s">
        <v>1196</v>
      </c>
      <c r="D8180" s="621">
        <f>D8181</f>
        <v>6301.0465300000005</v>
      </c>
      <c r="E8180" s="621">
        <f t="shared" ref="E8180:O8180" si="378">E8181</f>
        <v>1896</v>
      </c>
      <c r="F8180" s="621">
        <f t="shared" si="378"/>
        <v>4405.0465300000005</v>
      </c>
      <c r="G8180" s="621">
        <f t="shared" si="378"/>
        <v>589</v>
      </c>
      <c r="H8180" s="621">
        <f t="shared" si="378"/>
        <v>6529.3691234921662</v>
      </c>
      <c r="I8180" s="621">
        <f t="shared" si="378"/>
        <v>59</v>
      </c>
      <c r="J8180" s="621">
        <f t="shared" si="378"/>
        <v>228.32259349216565</v>
      </c>
      <c r="K8180" s="621">
        <f t="shared" si="378"/>
        <v>588</v>
      </c>
      <c r="L8180" s="621">
        <f t="shared" si="378"/>
        <v>6301.0465300000005</v>
      </c>
      <c r="M8180" s="621">
        <f t="shared" si="378"/>
        <v>6301.0465300000005</v>
      </c>
      <c r="N8180" s="621">
        <f t="shared" si="378"/>
        <v>1896</v>
      </c>
      <c r="O8180" s="621">
        <f t="shared" si="378"/>
        <v>0</v>
      </c>
      <c r="P8180" s="621">
        <f>BZ8181</f>
        <v>4405.0465300000005</v>
      </c>
    </row>
    <row r="8181" spans="1:78">
      <c r="A8181" s="1737"/>
      <c r="B8181" s="1737"/>
      <c r="C8181" s="622" t="s">
        <v>1199</v>
      </c>
      <c r="D8181" s="623">
        <v>6301.0465300000005</v>
      </c>
      <c r="E8181" s="623">
        <v>1896</v>
      </c>
      <c r="F8181" s="623">
        <v>4405.0465300000005</v>
      </c>
      <c r="G8181" s="623">
        <v>589</v>
      </c>
      <c r="H8181" s="623">
        <v>6529.3691234921662</v>
      </c>
      <c r="I8181" s="623">
        <v>59</v>
      </c>
      <c r="J8181" s="623">
        <v>228.32259349216565</v>
      </c>
      <c r="K8181" s="623">
        <v>588</v>
      </c>
      <c r="L8181" s="623">
        <v>6301.0465300000005</v>
      </c>
      <c r="M8181" s="623">
        <v>6301.0465300000005</v>
      </c>
      <c r="N8181" s="623">
        <v>1896</v>
      </c>
      <c r="O8181" s="624"/>
      <c r="BZ8181" s="623">
        <v>4405.0465300000005</v>
      </c>
    </row>
    <row r="8182" spans="1:78">
      <c r="A8182" s="1736">
        <v>68</v>
      </c>
      <c r="B8182" s="1736" t="s">
        <v>2004</v>
      </c>
      <c r="C8182" s="587" t="s">
        <v>1196</v>
      </c>
      <c r="D8182" s="621">
        <f>D8183</f>
        <v>12318.03441</v>
      </c>
      <c r="E8182" s="621">
        <f t="shared" ref="E8182:O8182" si="379">E8183</f>
        <v>3577.7999999999997</v>
      </c>
      <c r="F8182" s="621">
        <f t="shared" si="379"/>
        <v>8740.2344100000009</v>
      </c>
      <c r="G8182" s="621">
        <f t="shared" si="379"/>
        <v>995</v>
      </c>
      <c r="H8182" s="621">
        <f t="shared" si="379"/>
        <v>13099.491974166496</v>
      </c>
      <c r="I8182" s="621">
        <f t="shared" si="379"/>
        <v>147</v>
      </c>
      <c r="J8182" s="621">
        <f t="shared" si="379"/>
        <v>781.45856416649622</v>
      </c>
      <c r="K8182" s="621">
        <f t="shared" si="379"/>
        <v>994</v>
      </c>
      <c r="L8182" s="621">
        <f t="shared" si="379"/>
        <v>12318.03441</v>
      </c>
      <c r="M8182" s="621">
        <f t="shared" si="379"/>
        <v>12318.03441</v>
      </c>
      <c r="N8182" s="621">
        <f t="shared" si="379"/>
        <v>3577.7999999999997</v>
      </c>
      <c r="O8182" s="621">
        <f t="shared" si="379"/>
        <v>0</v>
      </c>
      <c r="P8182" s="621">
        <f>BZ8183</f>
        <v>8740.2344100000009</v>
      </c>
    </row>
    <row r="8183" spans="1:78">
      <c r="A8183" s="1737"/>
      <c r="B8183" s="1737"/>
      <c r="C8183" s="622" t="s">
        <v>1199</v>
      </c>
      <c r="D8183" s="623">
        <v>12318.03441</v>
      </c>
      <c r="E8183" s="623">
        <v>3577.7999999999997</v>
      </c>
      <c r="F8183" s="623">
        <v>8740.2344100000009</v>
      </c>
      <c r="G8183" s="623">
        <v>995</v>
      </c>
      <c r="H8183" s="623">
        <v>13099.491974166496</v>
      </c>
      <c r="I8183" s="623">
        <v>147</v>
      </c>
      <c r="J8183" s="623">
        <v>781.45856416649622</v>
      </c>
      <c r="K8183" s="623">
        <v>994</v>
      </c>
      <c r="L8183" s="623">
        <v>12318.03441</v>
      </c>
      <c r="M8183" s="623">
        <v>12318.03441</v>
      </c>
      <c r="N8183" s="623">
        <v>3577.7999999999997</v>
      </c>
      <c r="O8183" s="624"/>
      <c r="BZ8183" s="623">
        <v>8740.2344100000009</v>
      </c>
    </row>
    <row r="8184" spans="1:78">
      <c r="A8184" s="1736">
        <v>69</v>
      </c>
      <c r="B8184" s="1736" t="s">
        <v>2005</v>
      </c>
      <c r="C8184" s="587" t="s">
        <v>1196</v>
      </c>
      <c r="D8184" s="621">
        <f>D8185</f>
        <v>8552.2172599999994</v>
      </c>
      <c r="E8184" s="621">
        <f t="shared" ref="E8184:O8184" si="380">E8185</f>
        <v>2297.4</v>
      </c>
      <c r="F8184" s="621">
        <f t="shared" si="380"/>
        <v>6254.8172599999998</v>
      </c>
      <c r="G8184" s="621">
        <f t="shared" si="380"/>
        <v>640</v>
      </c>
      <c r="H8184" s="621">
        <f t="shared" si="380"/>
        <v>9443.6768733753343</v>
      </c>
      <c r="I8184" s="621">
        <f t="shared" si="380"/>
        <v>157</v>
      </c>
      <c r="J8184" s="621">
        <f t="shared" si="380"/>
        <v>891.45961337533481</v>
      </c>
      <c r="K8184" s="621">
        <f t="shared" si="380"/>
        <v>628</v>
      </c>
      <c r="L8184" s="621">
        <f t="shared" si="380"/>
        <v>8552.2172599999994</v>
      </c>
      <c r="M8184" s="621">
        <f t="shared" si="380"/>
        <v>8552.2172599999994</v>
      </c>
      <c r="N8184" s="621">
        <f t="shared" si="380"/>
        <v>2297.4</v>
      </c>
      <c r="O8184" s="621">
        <f t="shared" si="380"/>
        <v>0</v>
      </c>
      <c r="P8184" s="621">
        <f>BZ8185</f>
        <v>6254.8172599999998</v>
      </c>
    </row>
    <row r="8185" spans="1:78">
      <c r="A8185" s="1737"/>
      <c r="B8185" s="1737"/>
      <c r="C8185" s="622" t="s">
        <v>1199</v>
      </c>
      <c r="D8185" s="623">
        <v>8552.2172599999994</v>
      </c>
      <c r="E8185" s="623">
        <v>2297.4</v>
      </c>
      <c r="F8185" s="623">
        <v>6254.8172599999998</v>
      </c>
      <c r="G8185" s="623">
        <v>640</v>
      </c>
      <c r="H8185" s="623">
        <v>9443.6768733753343</v>
      </c>
      <c r="I8185" s="623">
        <v>157</v>
      </c>
      <c r="J8185" s="623">
        <v>891.45961337533481</v>
      </c>
      <c r="K8185" s="623">
        <v>628</v>
      </c>
      <c r="L8185" s="623">
        <v>8552.2172599999994</v>
      </c>
      <c r="M8185" s="623">
        <v>8552.2172599999994</v>
      </c>
      <c r="N8185" s="623">
        <v>2297.4</v>
      </c>
      <c r="O8185" s="624"/>
      <c r="BZ8185" s="623">
        <v>6254.8172599999998</v>
      </c>
    </row>
    <row r="8186" spans="1:78">
      <c r="A8186" s="1736">
        <v>70</v>
      </c>
      <c r="B8186" s="1736" t="s">
        <v>2006</v>
      </c>
      <c r="C8186" s="587" t="s">
        <v>1196</v>
      </c>
      <c r="D8186" s="621">
        <f>D8187</f>
        <v>169378.65304</v>
      </c>
      <c r="E8186" s="621">
        <f t="shared" ref="E8186:O8186" si="381">E8187</f>
        <v>55421.1</v>
      </c>
      <c r="F8186" s="621">
        <f t="shared" si="381"/>
        <v>113957.55304</v>
      </c>
      <c r="G8186" s="621">
        <f t="shared" si="381"/>
        <v>601</v>
      </c>
      <c r="H8186" s="621">
        <f t="shared" si="381"/>
        <v>169747.07441333332</v>
      </c>
      <c r="I8186" s="621">
        <f t="shared" si="381"/>
        <v>2</v>
      </c>
      <c r="J8186" s="621">
        <f t="shared" si="381"/>
        <v>368.4213733333163</v>
      </c>
      <c r="K8186" s="621">
        <f t="shared" si="381"/>
        <v>600</v>
      </c>
      <c r="L8186" s="621">
        <f t="shared" si="381"/>
        <v>169378.65304</v>
      </c>
      <c r="M8186" s="621">
        <f t="shared" si="381"/>
        <v>169378.65304</v>
      </c>
      <c r="N8186" s="621">
        <f t="shared" si="381"/>
        <v>55421.1</v>
      </c>
      <c r="O8186" s="621">
        <f t="shared" si="381"/>
        <v>0</v>
      </c>
      <c r="P8186" s="621">
        <f>AL8187</f>
        <v>113957.55304</v>
      </c>
    </row>
    <row r="8187" spans="1:78">
      <c r="A8187" s="1737"/>
      <c r="B8187" s="1737"/>
      <c r="C8187" s="622" t="s">
        <v>1199</v>
      </c>
      <c r="D8187" s="623">
        <v>169378.65304</v>
      </c>
      <c r="E8187" s="623">
        <v>55421.1</v>
      </c>
      <c r="F8187" s="623">
        <v>113957.55304</v>
      </c>
      <c r="G8187" s="623">
        <v>601</v>
      </c>
      <c r="H8187" s="623">
        <v>169747.07441333332</v>
      </c>
      <c r="I8187" s="623">
        <v>2</v>
      </c>
      <c r="J8187" s="623">
        <v>368.4213733333163</v>
      </c>
      <c r="K8187" s="623">
        <v>600</v>
      </c>
      <c r="L8187" s="623">
        <v>169378.65304</v>
      </c>
      <c r="M8187" s="623">
        <v>169378.65304</v>
      </c>
      <c r="N8187" s="623">
        <v>55421.1</v>
      </c>
      <c r="O8187" s="624"/>
      <c r="AL8187" s="623">
        <v>113957.55304</v>
      </c>
    </row>
    <row r="8188" spans="1:78">
      <c r="A8188" s="1736">
        <v>71</v>
      </c>
      <c r="B8188" s="1736" t="s">
        <v>2007</v>
      </c>
      <c r="C8188" s="587" t="s">
        <v>1196</v>
      </c>
      <c r="D8188" s="624">
        <v>5458.4970400000002</v>
      </c>
      <c r="E8188" s="621">
        <v>1939.5</v>
      </c>
      <c r="F8188" s="624">
        <v>3518.9970400000002</v>
      </c>
      <c r="G8188" s="624">
        <v>307</v>
      </c>
      <c r="H8188" s="624">
        <v>5630.7489870075005</v>
      </c>
      <c r="I8188" s="624">
        <v>27</v>
      </c>
      <c r="J8188" s="624">
        <v>172.25194700750035</v>
      </c>
      <c r="K8188" s="624">
        <v>306</v>
      </c>
      <c r="L8188" s="626">
        <v>5458.4970400000002</v>
      </c>
      <c r="M8188" s="623">
        <v>5458.4970400000002</v>
      </c>
      <c r="N8188" s="624">
        <v>1939.5</v>
      </c>
      <c r="O8188" s="624">
        <v>0</v>
      </c>
      <c r="P8188" s="624">
        <v>3518.9970400000002</v>
      </c>
    </row>
    <row r="8189" spans="1:78">
      <c r="A8189" s="1737"/>
      <c r="B8189" s="1737"/>
      <c r="C8189" s="622" t="s">
        <v>1199</v>
      </c>
      <c r="D8189" s="623">
        <v>5458.4970400000002</v>
      </c>
      <c r="E8189" s="623">
        <v>1939.5</v>
      </c>
      <c r="F8189" s="623">
        <v>3518.9970400000002</v>
      </c>
      <c r="G8189" s="623">
        <v>307</v>
      </c>
      <c r="H8189" s="623">
        <v>5630.7489870075005</v>
      </c>
      <c r="I8189" s="623">
        <v>27</v>
      </c>
      <c r="J8189" s="623">
        <v>172.25194700750035</v>
      </c>
      <c r="K8189" s="623">
        <v>306</v>
      </c>
      <c r="L8189" s="623">
        <v>5458.4970400000002</v>
      </c>
      <c r="M8189" s="623">
        <v>5458.4970400000002</v>
      </c>
      <c r="N8189" s="623">
        <v>1939.5</v>
      </c>
      <c r="O8189" s="624"/>
      <c r="P8189" s="623">
        <v>3518.9970400000002</v>
      </c>
    </row>
    <row r="8190" spans="1:78">
      <c r="A8190" s="1736">
        <v>72</v>
      </c>
      <c r="B8190" s="1736" t="s">
        <v>2008</v>
      </c>
      <c r="C8190" s="587" t="s">
        <v>1196</v>
      </c>
      <c r="D8190" s="621">
        <f>D8191+D8192</f>
        <v>193954.97664000001</v>
      </c>
      <c r="E8190" s="621">
        <f t="shared" ref="E8190:O8190" si="382">E8191+E8192</f>
        <v>97770</v>
      </c>
      <c r="F8190" s="621">
        <f t="shared" si="382"/>
        <v>96184.976639999993</v>
      </c>
      <c r="G8190" s="621">
        <f t="shared" si="382"/>
        <v>1902</v>
      </c>
      <c r="H8190" s="621">
        <f t="shared" si="382"/>
        <v>197364.10114452068</v>
      </c>
      <c r="I8190" s="621">
        <f t="shared" si="382"/>
        <v>135</v>
      </c>
      <c r="J8190" s="621">
        <f t="shared" si="382"/>
        <v>1870.6735845206726</v>
      </c>
      <c r="K8190" s="621">
        <f t="shared" si="382"/>
        <v>1902</v>
      </c>
      <c r="L8190" s="621">
        <f t="shared" si="382"/>
        <v>193954.97664000001</v>
      </c>
      <c r="M8190" s="621">
        <f t="shared" si="382"/>
        <v>193954.97664000001</v>
      </c>
      <c r="N8190" s="621">
        <f t="shared" si="382"/>
        <v>97770</v>
      </c>
      <c r="O8190" s="621">
        <f t="shared" si="382"/>
        <v>0</v>
      </c>
      <c r="P8190" s="621">
        <f>AL8191+P8192</f>
        <v>96184.976639999993</v>
      </c>
    </row>
    <row r="8191" spans="1:78">
      <c r="A8191" s="1738"/>
      <c r="B8191" s="1738"/>
      <c r="C8191" s="622" t="s">
        <v>1199</v>
      </c>
      <c r="D8191" s="623">
        <v>149863.90831999999</v>
      </c>
      <c r="E8191" s="623">
        <v>83370</v>
      </c>
      <c r="F8191" s="623">
        <v>66493.908319999988</v>
      </c>
      <c r="G8191" s="623">
        <v>1411</v>
      </c>
      <c r="H8191" s="623">
        <v>152070.62975666666</v>
      </c>
      <c r="I8191" s="623">
        <v>75</v>
      </c>
      <c r="J8191" s="623">
        <v>668.27051666667239</v>
      </c>
      <c r="K8191" s="623">
        <v>1411</v>
      </c>
      <c r="L8191" s="623">
        <v>149863.90831999999</v>
      </c>
      <c r="M8191" s="623">
        <v>149863.90831999999</v>
      </c>
      <c r="N8191" s="623">
        <v>83370</v>
      </c>
      <c r="O8191" s="624"/>
      <c r="AL8191" s="623">
        <v>66493.908319999988</v>
      </c>
    </row>
    <row r="8192" spans="1:78">
      <c r="A8192" s="1737"/>
      <c r="B8192" s="1737"/>
      <c r="C8192" s="622" t="s">
        <v>1197</v>
      </c>
      <c r="D8192" s="623">
        <v>44091.068320000006</v>
      </c>
      <c r="E8192" s="623">
        <v>14400</v>
      </c>
      <c r="F8192" s="623">
        <v>29691.068320000006</v>
      </c>
      <c r="G8192" s="623">
        <v>491</v>
      </c>
      <c r="H8192" s="623">
        <v>45293.471387854006</v>
      </c>
      <c r="I8192" s="623">
        <v>60</v>
      </c>
      <c r="J8192" s="623">
        <v>1202.4030678540003</v>
      </c>
      <c r="K8192" s="623">
        <v>491</v>
      </c>
      <c r="L8192" s="623">
        <v>44091.068320000006</v>
      </c>
      <c r="M8192" s="623">
        <v>44091.068320000006</v>
      </c>
      <c r="N8192" s="623">
        <v>14400</v>
      </c>
      <c r="O8192" s="624"/>
      <c r="P8192" s="623">
        <v>29691.068320000006</v>
      </c>
    </row>
    <row r="8193" spans="1:111">
      <c r="A8193" s="1736">
        <v>73</v>
      </c>
      <c r="B8193" s="1736" t="s">
        <v>2009</v>
      </c>
      <c r="C8193" s="587" t="s">
        <v>1196</v>
      </c>
      <c r="D8193" s="621">
        <f>D8194</f>
        <v>58296.990401999996</v>
      </c>
      <c r="E8193" s="621">
        <f t="shared" ref="E8193:P8193" si="383">E8194</f>
        <v>17489.099999999999</v>
      </c>
      <c r="F8193" s="621">
        <f t="shared" si="383"/>
        <v>40807.890401999997</v>
      </c>
      <c r="G8193" s="621">
        <f t="shared" si="383"/>
        <v>130311</v>
      </c>
      <c r="H8193" s="621">
        <f t="shared" si="383"/>
        <v>60135.42525</v>
      </c>
      <c r="I8193" s="621">
        <f t="shared" si="383"/>
        <v>0</v>
      </c>
      <c r="J8193" s="621">
        <f t="shared" si="383"/>
        <v>0</v>
      </c>
      <c r="K8193" s="621">
        <f t="shared" si="383"/>
        <v>130311</v>
      </c>
      <c r="L8193" s="621">
        <f t="shared" si="383"/>
        <v>58296.990401999996</v>
      </c>
      <c r="M8193" s="621">
        <f t="shared" si="383"/>
        <v>58296.990401999996</v>
      </c>
      <c r="N8193" s="621">
        <f t="shared" si="383"/>
        <v>17489.099999999999</v>
      </c>
      <c r="O8193" s="621">
        <f t="shared" si="383"/>
        <v>0</v>
      </c>
      <c r="P8193" s="621">
        <f t="shared" si="383"/>
        <v>40807.890401999997</v>
      </c>
    </row>
    <row r="8194" spans="1:111">
      <c r="A8194" s="1737"/>
      <c r="B8194" s="1737"/>
      <c r="C8194" s="622" t="s">
        <v>1200</v>
      </c>
      <c r="D8194" s="623">
        <v>58296.990401999996</v>
      </c>
      <c r="E8194" s="623">
        <v>17489.099999999999</v>
      </c>
      <c r="F8194" s="623">
        <v>40807.890401999997</v>
      </c>
      <c r="G8194" s="623">
        <v>130311</v>
      </c>
      <c r="H8194" s="623">
        <v>60135.42525</v>
      </c>
      <c r="I8194" s="623">
        <v>0</v>
      </c>
      <c r="J8194" s="623">
        <v>0</v>
      </c>
      <c r="K8194" s="623">
        <v>130311</v>
      </c>
      <c r="L8194" s="623">
        <v>58296.990401999996</v>
      </c>
      <c r="M8194" s="623">
        <v>58296.990401999996</v>
      </c>
      <c r="N8194" s="623">
        <v>17489.099999999999</v>
      </c>
      <c r="O8194" s="624"/>
      <c r="P8194" s="623">
        <v>40807.890401999997</v>
      </c>
    </row>
    <row r="8195" spans="1:111">
      <c r="A8195" s="1736">
        <v>74</v>
      </c>
      <c r="B8195" s="1736" t="s">
        <v>1381</v>
      </c>
      <c r="C8195" s="587" t="s">
        <v>1196</v>
      </c>
      <c r="D8195" s="621">
        <f>D8196</f>
        <v>95087.039380000002</v>
      </c>
      <c r="E8195" s="621">
        <f t="shared" ref="E8195:O8195" si="384">E8196</f>
        <v>35550</v>
      </c>
      <c r="F8195" s="621">
        <f t="shared" si="384"/>
        <v>59537.039380000002</v>
      </c>
      <c r="G8195" s="621">
        <f t="shared" si="384"/>
        <v>1229</v>
      </c>
      <c r="H8195" s="621">
        <f t="shared" si="384"/>
        <v>99012.422470578022</v>
      </c>
      <c r="I8195" s="621">
        <f t="shared" si="384"/>
        <v>126</v>
      </c>
      <c r="J8195" s="621">
        <f t="shared" si="384"/>
        <v>3925.7190399999999</v>
      </c>
      <c r="K8195" s="621">
        <f t="shared" si="384"/>
        <v>1228</v>
      </c>
      <c r="L8195" s="621">
        <f t="shared" si="384"/>
        <v>95087.039380000002</v>
      </c>
      <c r="M8195" s="621">
        <f t="shared" si="384"/>
        <v>95087.039380000002</v>
      </c>
      <c r="N8195" s="621">
        <f t="shared" si="384"/>
        <v>35550</v>
      </c>
      <c r="O8195" s="621">
        <f t="shared" si="384"/>
        <v>0</v>
      </c>
      <c r="P8195" s="621">
        <f>AL8196</f>
        <v>0</v>
      </c>
    </row>
    <row r="8196" spans="1:111">
      <c r="A8196" s="1737"/>
      <c r="B8196" s="1737"/>
      <c r="C8196" s="622" t="s">
        <v>1197</v>
      </c>
      <c r="D8196" s="623">
        <v>95087.039380000002</v>
      </c>
      <c r="E8196" s="627">
        <v>35550</v>
      </c>
      <c r="F8196" s="623">
        <v>59537.039380000002</v>
      </c>
      <c r="G8196" s="623">
        <v>1229</v>
      </c>
      <c r="H8196" s="623">
        <v>99012.422470578022</v>
      </c>
      <c r="I8196" s="623">
        <v>126</v>
      </c>
      <c r="J8196" s="623">
        <v>3925.7190399999999</v>
      </c>
      <c r="K8196" s="623">
        <v>1228</v>
      </c>
      <c r="L8196" s="623">
        <v>95087.039380000002</v>
      </c>
      <c r="M8196" s="623">
        <v>95087.039380000002</v>
      </c>
      <c r="N8196" s="623">
        <v>35550</v>
      </c>
      <c r="O8196" s="624"/>
    </row>
    <row r="8197" spans="1:111">
      <c r="A8197" s="1736">
        <v>75</v>
      </c>
      <c r="B8197" s="1736" t="s">
        <v>2010</v>
      </c>
      <c r="C8197" s="587" t="s">
        <v>1196</v>
      </c>
      <c r="D8197" s="621">
        <f>D8198+D8199</f>
        <v>48310.118270000006</v>
      </c>
      <c r="E8197" s="621">
        <f t="shared" ref="E8197:O8197" si="385">E8198+E8199</f>
        <v>13968</v>
      </c>
      <c r="F8197" s="621">
        <f t="shared" si="385"/>
        <v>34342.118270000006</v>
      </c>
      <c r="G8197" s="621">
        <f t="shared" si="385"/>
        <v>1102</v>
      </c>
      <c r="H8197" s="621">
        <f t="shared" si="385"/>
        <v>53884.982121272493</v>
      </c>
      <c r="I8197" s="621">
        <f t="shared" si="385"/>
        <v>108</v>
      </c>
      <c r="J8197" s="621">
        <f t="shared" si="385"/>
        <v>1778.5392247275006</v>
      </c>
      <c r="K8197" s="621">
        <f t="shared" si="385"/>
        <v>1101</v>
      </c>
      <c r="L8197" s="621">
        <f t="shared" si="385"/>
        <v>48310.118270000006</v>
      </c>
      <c r="M8197" s="621">
        <f t="shared" si="385"/>
        <v>48310.118270000006</v>
      </c>
      <c r="N8197" s="621">
        <f t="shared" si="385"/>
        <v>13968</v>
      </c>
      <c r="O8197" s="621">
        <f t="shared" si="385"/>
        <v>0</v>
      </c>
      <c r="P8197" s="621">
        <f>P8198+BD8199</f>
        <v>34342.118270000006</v>
      </c>
    </row>
    <row r="8198" spans="1:111">
      <c r="A8198" s="1738"/>
      <c r="B8198" s="1738"/>
      <c r="C8198" s="622" t="s">
        <v>1197</v>
      </c>
      <c r="D8198" s="623">
        <v>43471.907340000005</v>
      </c>
      <c r="E8198" s="623">
        <v>12600</v>
      </c>
      <c r="F8198" s="623">
        <v>30871.907340000005</v>
      </c>
      <c r="G8198" s="623">
        <v>716</v>
      </c>
      <c r="H8198" s="623">
        <v>48877.458936544994</v>
      </c>
      <c r="I8198" s="623">
        <v>68</v>
      </c>
      <c r="J8198" s="623">
        <v>1609.2269699999999</v>
      </c>
      <c r="K8198" s="623">
        <v>716</v>
      </c>
      <c r="L8198" s="623">
        <v>43471.907340000005</v>
      </c>
      <c r="M8198" s="623">
        <v>43471.907340000005</v>
      </c>
      <c r="N8198" s="623">
        <v>12600</v>
      </c>
      <c r="O8198" s="624"/>
      <c r="P8198" s="623">
        <v>30871.907340000005</v>
      </c>
    </row>
    <row r="8199" spans="1:111">
      <c r="A8199" s="1737"/>
      <c r="B8199" s="1737"/>
      <c r="C8199" s="622" t="s">
        <v>1199</v>
      </c>
      <c r="D8199" s="623">
        <v>4838.2109299999993</v>
      </c>
      <c r="E8199" s="623">
        <v>1368</v>
      </c>
      <c r="F8199" s="623">
        <v>3470.2109299999993</v>
      </c>
      <c r="G8199" s="623">
        <v>386</v>
      </c>
      <c r="H8199" s="623">
        <v>5007.5231847274999</v>
      </c>
      <c r="I8199" s="623">
        <v>40</v>
      </c>
      <c r="J8199" s="623">
        <v>169.31225472750066</v>
      </c>
      <c r="K8199" s="623">
        <v>385</v>
      </c>
      <c r="L8199" s="623">
        <v>4838.2109299999993</v>
      </c>
      <c r="M8199" s="623">
        <v>4838.2109299999993</v>
      </c>
      <c r="N8199" s="623">
        <v>1368</v>
      </c>
      <c r="O8199" s="624"/>
      <c r="BD8199" s="623">
        <v>3470.2109299999993</v>
      </c>
    </row>
    <row r="8200" spans="1:111">
      <c r="A8200" s="1736">
        <v>76</v>
      </c>
      <c r="B8200" s="1739" t="s">
        <v>2011</v>
      </c>
      <c r="C8200" s="587" t="s">
        <v>1196</v>
      </c>
      <c r="D8200" s="621">
        <f>D8201</f>
        <v>275951.42199999996</v>
      </c>
      <c r="E8200" s="621">
        <f t="shared" ref="E8200:O8200" si="386">E8201</f>
        <v>81273.900000000009</v>
      </c>
      <c r="F8200" s="621">
        <f t="shared" si="386"/>
        <v>194677.52199999994</v>
      </c>
      <c r="G8200" s="621">
        <f t="shared" si="386"/>
        <v>2466</v>
      </c>
      <c r="H8200" s="621">
        <f t="shared" si="386"/>
        <v>279879.64500000002</v>
      </c>
      <c r="I8200" s="621">
        <f t="shared" si="386"/>
        <v>68</v>
      </c>
      <c r="J8200" s="621">
        <f t="shared" si="386"/>
        <v>2776.8480000000454</v>
      </c>
      <c r="K8200" s="621">
        <f t="shared" si="386"/>
        <v>2462</v>
      </c>
      <c r="L8200" s="621">
        <f t="shared" si="386"/>
        <v>275951.42199999996</v>
      </c>
      <c r="M8200" s="621">
        <f t="shared" si="386"/>
        <v>275951.42199999996</v>
      </c>
      <c r="N8200" s="621">
        <f t="shared" si="386"/>
        <v>81273.900000000009</v>
      </c>
      <c r="O8200" s="621">
        <f t="shared" si="386"/>
        <v>0</v>
      </c>
      <c r="P8200" s="621">
        <f>BD8201</f>
        <v>0</v>
      </c>
    </row>
    <row r="8201" spans="1:111">
      <c r="A8201" s="1737"/>
      <c r="B8201" s="1740"/>
      <c r="C8201" s="622" t="s">
        <v>1197</v>
      </c>
      <c r="D8201" s="623">
        <v>275951.42199999996</v>
      </c>
      <c r="E8201" s="623">
        <v>81273.900000000009</v>
      </c>
      <c r="F8201" s="623">
        <v>194677.52199999994</v>
      </c>
      <c r="G8201" s="623">
        <v>2466</v>
      </c>
      <c r="H8201" s="623">
        <v>279879.64500000002</v>
      </c>
      <c r="I8201" s="623">
        <v>68</v>
      </c>
      <c r="J8201" s="623">
        <v>2776.8480000000454</v>
      </c>
      <c r="K8201" s="623">
        <v>2462</v>
      </c>
      <c r="L8201" s="623">
        <v>275951.42199999996</v>
      </c>
      <c r="M8201" s="623">
        <v>275951.42199999996</v>
      </c>
      <c r="N8201" s="623">
        <v>81273.900000000009</v>
      </c>
      <c r="O8201" s="624"/>
    </row>
    <row r="8202" spans="1:111">
      <c r="A8202" s="1683" t="s">
        <v>2012</v>
      </c>
      <c r="B8202" s="1683"/>
      <c r="C8202" s="1683"/>
      <c r="D8202" s="1683"/>
      <c r="E8202" s="1683"/>
      <c r="F8202" s="1683"/>
      <c r="G8202" s="1683"/>
      <c r="H8202" s="1683"/>
      <c r="I8202" s="1683"/>
      <c r="J8202" s="1683"/>
      <c r="K8202" s="1683"/>
      <c r="L8202" s="1683"/>
      <c r="M8202" s="1683"/>
      <c r="N8202" s="1683"/>
      <c r="O8202" s="1683"/>
      <c r="P8202" s="1683"/>
    </row>
    <row r="8203" spans="1:111">
      <c r="A8203" s="1735" t="s">
        <v>1197</v>
      </c>
      <c r="B8203" s="1735"/>
      <c r="C8203" s="1735"/>
      <c r="D8203" s="1735"/>
      <c r="E8203" s="1735"/>
      <c r="F8203" s="1735"/>
      <c r="G8203" s="1735"/>
      <c r="H8203" s="1735"/>
      <c r="I8203" s="1735"/>
      <c r="J8203" s="1735"/>
      <c r="K8203" s="1735"/>
      <c r="L8203" s="1735"/>
      <c r="M8203" s="1735"/>
      <c r="N8203" s="1735"/>
      <c r="O8203" s="1735"/>
      <c r="P8203" s="1735"/>
      <c r="AL8203" s="561">
        <f>SUM(AL8204:AL8379)</f>
        <v>3732506.0704411105</v>
      </c>
      <c r="AM8203" s="561">
        <f>SUM(AM8204:AM8379)</f>
        <v>3709500.9160099998</v>
      </c>
      <c r="AN8203" s="561">
        <f t="shared" ref="AN8203:CX8203" si="387">SUM(AN8204:AN8379)</f>
        <v>1319947.9987499998</v>
      </c>
      <c r="AO8203" s="561">
        <f t="shared" si="387"/>
        <v>0</v>
      </c>
      <c r="AP8203" s="561">
        <f t="shared" si="387"/>
        <v>0</v>
      </c>
      <c r="AQ8203" s="561">
        <f t="shared" si="387"/>
        <v>0</v>
      </c>
      <c r="AR8203" s="561">
        <f t="shared" si="387"/>
        <v>81699.981480000002</v>
      </c>
      <c r="AS8203" s="561">
        <f t="shared" si="387"/>
        <v>0</v>
      </c>
      <c r="AT8203" s="561">
        <f t="shared" si="387"/>
        <v>63685.442296666675</v>
      </c>
      <c r="AU8203" s="561">
        <f t="shared" si="387"/>
        <v>0</v>
      </c>
      <c r="AV8203" s="561">
        <f t="shared" si="387"/>
        <v>0</v>
      </c>
      <c r="AW8203" s="561">
        <f t="shared" si="387"/>
        <v>0</v>
      </c>
      <c r="AX8203" s="561">
        <f t="shared" si="387"/>
        <v>0</v>
      </c>
      <c r="AY8203" s="561">
        <f t="shared" si="387"/>
        <v>0</v>
      </c>
      <c r="AZ8203" s="561">
        <f t="shared" si="387"/>
        <v>0</v>
      </c>
      <c r="BA8203" s="561">
        <f t="shared" si="387"/>
        <v>0</v>
      </c>
      <c r="BB8203" s="561">
        <f t="shared" si="387"/>
        <v>2272208.8051299993</v>
      </c>
      <c r="BC8203" s="561">
        <f t="shared" si="387"/>
        <v>0</v>
      </c>
      <c r="BD8203" s="561">
        <f t="shared" si="387"/>
        <v>770316.34046000009</v>
      </c>
      <c r="BE8203" s="561">
        <f t="shared" si="387"/>
        <v>0</v>
      </c>
      <c r="BF8203" s="561">
        <f t="shared" si="387"/>
        <v>0</v>
      </c>
      <c r="BG8203" s="561">
        <f t="shared" si="387"/>
        <v>0</v>
      </c>
      <c r="BH8203" s="561">
        <f t="shared" si="387"/>
        <v>0</v>
      </c>
      <c r="BI8203" s="561">
        <f t="shared" si="387"/>
        <v>0</v>
      </c>
      <c r="BJ8203" s="561">
        <f t="shared" si="387"/>
        <v>0</v>
      </c>
      <c r="BK8203" s="561">
        <f t="shared" si="387"/>
        <v>0</v>
      </c>
      <c r="BL8203" s="561">
        <f t="shared" si="387"/>
        <v>0</v>
      </c>
      <c r="BM8203" s="561">
        <f t="shared" si="387"/>
        <v>0</v>
      </c>
      <c r="BN8203" s="561">
        <f t="shared" si="387"/>
        <v>0</v>
      </c>
      <c r="BO8203" s="561">
        <f t="shared" si="387"/>
        <v>0</v>
      </c>
      <c r="BP8203" s="561">
        <f t="shared" si="387"/>
        <v>0</v>
      </c>
      <c r="BQ8203" s="561">
        <f t="shared" si="387"/>
        <v>0</v>
      </c>
      <c r="BR8203" s="561">
        <f t="shared" si="387"/>
        <v>0</v>
      </c>
      <c r="BS8203" s="561">
        <f t="shared" si="387"/>
        <v>0</v>
      </c>
      <c r="BT8203" s="561">
        <f t="shared" si="387"/>
        <v>0</v>
      </c>
      <c r="BU8203" s="561">
        <f t="shared" si="387"/>
        <v>0</v>
      </c>
      <c r="BV8203" s="561">
        <f t="shared" si="387"/>
        <v>0</v>
      </c>
      <c r="BW8203" s="561">
        <f t="shared" si="387"/>
        <v>0</v>
      </c>
      <c r="BX8203" s="561">
        <f t="shared" si="387"/>
        <v>0</v>
      </c>
      <c r="BY8203" s="561">
        <f t="shared" si="387"/>
        <v>0</v>
      </c>
      <c r="BZ8203" s="561">
        <f t="shared" si="387"/>
        <v>0</v>
      </c>
      <c r="CA8203" s="561">
        <f t="shared" si="387"/>
        <v>0</v>
      </c>
      <c r="CB8203" s="561">
        <f t="shared" si="387"/>
        <v>0</v>
      </c>
      <c r="CC8203" s="561">
        <f t="shared" si="387"/>
        <v>0</v>
      </c>
      <c r="CD8203" s="561">
        <f t="shared" si="387"/>
        <v>0</v>
      </c>
      <c r="CE8203" s="561">
        <f t="shared" si="387"/>
        <v>0</v>
      </c>
      <c r="CF8203" s="561">
        <f t="shared" si="387"/>
        <v>0</v>
      </c>
      <c r="CG8203" s="561">
        <f t="shared" si="387"/>
        <v>0</v>
      </c>
      <c r="CH8203" s="561">
        <f t="shared" si="387"/>
        <v>0</v>
      </c>
      <c r="CI8203" s="561">
        <f t="shared" si="387"/>
        <v>0</v>
      </c>
      <c r="CJ8203" s="561">
        <f t="shared" si="387"/>
        <v>0</v>
      </c>
      <c r="CK8203" s="561">
        <f t="shared" si="387"/>
        <v>0</v>
      </c>
      <c r="CL8203" s="561">
        <f t="shared" si="387"/>
        <v>0</v>
      </c>
      <c r="CM8203" s="561">
        <f t="shared" si="387"/>
        <v>0</v>
      </c>
      <c r="CN8203" s="561">
        <f t="shared" si="387"/>
        <v>0</v>
      </c>
      <c r="CO8203" s="561">
        <f t="shared" si="387"/>
        <v>0</v>
      </c>
      <c r="CP8203" s="561">
        <f t="shared" si="387"/>
        <v>0</v>
      </c>
      <c r="CQ8203" s="561">
        <f t="shared" si="387"/>
        <v>0</v>
      </c>
      <c r="CR8203" s="561">
        <f t="shared" si="387"/>
        <v>0</v>
      </c>
      <c r="CS8203" s="561">
        <f t="shared" si="387"/>
        <v>0</v>
      </c>
      <c r="CT8203" s="561">
        <f t="shared" si="387"/>
        <v>0</v>
      </c>
      <c r="CU8203" s="561">
        <f t="shared" si="387"/>
        <v>0</v>
      </c>
      <c r="CV8203" s="561">
        <f t="shared" si="387"/>
        <v>0</v>
      </c>
      <c r="CW8203" s="561">
        <f t="shared" si="387"/>
        <v>0</v>
      </c>
      <c r="CX8203" s="561">
        <f t="shared" si="387"/>
        <v>0</v>
      </c>
      <c r="CY8203" s="561">
        <f t="shared" ref="CY8203:DG8203" si="388">SUM(CY8204:CY8379)</f>
        <v>0</v>
      </c>
      <c r="CZ8203" s="561">
        <f t="shared" si="388"/>
        <v>0</v>
      </c>
      <c r="DA8203" s="561">
        <f t="shared" si="388"/>
        <v>0</v>
      </c>
      <c r="DB8203" s="561">
        <f t="shared" si="388"/>
        <v>0</v>
      </c>
      <c r="DC8203" s="561">
        <f t="shared" si="388"/>
        <v>0</v>
      </c>
      <c r="DD8203" s="561">
        <f t="shared" si="388"/>
        <v>0</v>
      </c>
      <c r="DE8203" s="561">
        <f t="shared" si="388"/>
        <v>0</v>
      </c>
      <c r="DF8203" s="561">
        <f t="shared" si="388"/>
        <v>0</v>
      </c>
      <c r="DG8203" s="561">
        <f t="shared" si="388"/>
        <v>0</v>
      </c>
    </row>
    <row r="8204" spans="1:111" s="880" customFormat="1" ht="15" customHeight="1">
      <c r="A8204" s="880">
        <v>1</v>
      </c>
      <c r="B8204" s="880" t="s">
        <v>2013</v>
      </c>
      <c r="C8204" s="880" t="s">
        <v>1197</v>
      </c>
      <c r="D8204" s="880">
        <v>2484257</v>
      </c>
      <c r="E8204" s="880">
        <v>745277.1</v>
      </c>
      <c r="G8204" s="880">
        <v>1738979.9</v>
      </c>
      <c r="H8204" s="880">
        <v>11466</v>
      </c>
      <c r="I8204" s="880">
        <v>2459850.7901100004</v>
      </c>
      <c r="J8204" s="880">
        <v>17</v>
      </c>
      <c r="K8204" s="880">
        <v>143354.65197000047</v>
      </c>
      <c r="L8204" s="880">
        <v>11449</v>
      </c>
      <c r="M8204" s="880">
        <v>2316496.1381399999</v>
      </c>
      <c r="N8204" s="880">
        <v>2316496.1381399999</v>
      </c>
      <c r="O8204" s="880">
        <v>745277.1</v>
      </c>
      <c r="Q8204" s="880">
        <v>1571219.0381399998</v>
      </c>
      <c r="R8204" s="880">
        <v>1571219.0381399998</v>
      </c>
      <c r="AM8204" s="880">
        <v>1571219.0381399998</v>
      </c>
    </row>
    <row r="8205" spans="1:111" ht="14.25" customHeight="1">
      <c r="C8205" s="561" t="s">
        <v>1198</v>
      </c>
      <c r="D8205" s="561">
        <v>963709.9</v>
      </c>
      <c r="E8205" s="561">
        <v>136560.6</v>
      </c>
      <c r="G8205" s="561">
        <v>827149.3</v>
      </c>
      <c r="H8205" s="561">
        <v>1165</v>
      </c>
      <c r="I8205" s="561">
        <v>1139810.3547399999</v>
      </c>
      <c r="J8205" s="561">
        <v>4</v>
      </c>
      <c r="K8205" s="561">
        <v>11453.032829999924</v>
      </c>
      <c r="L8205" s="561">
        <v>1161</v>
      </c>
      <c r="M8205" s="561">
        <v>1128357.3219099999</v>
      </c>
      <c r="N8205" s="561">
        <v>1128357.3219099999</v>
      </c>
      <c r="O8205" s="561">
        <v>136560.59999999998</v>
      </c>
      <c r="P8205" s="561">
        <v>991796.72190999996</v>
      </c>
      <c r="Q8205" s="561">
        <v>991796.72190999996</v>
      </c>
      <c r="R8205" s="561">
        <v>991796.72190999996</v>
      </c>
    </row>
    <row r="8206" spans="1:111" ht="14.25" customHeight="1">
      <c r="C8206" s="561" t="s">
        <v>1199</v>
      </c>
      <c r="D8206" s="561">
        <v>2983</v>
      </c>
      <c r="E8206" s="561">
        <v>894.9</v>
      </c>
      <c r="G8206" s="561">
        <v>2088.1</v>
      </c>
      <c r="H8206" s="561">
        <v>310</v>
      </c>
      <c r="I8206" s="561">
        <v>6763.1136699999988</v>
      </c>
      <c r="J8206" s="561">
        <v>1</v>
      </c>
      <c r="K8206" s="561">
        <v>52.838099999998121</v>
      </c>
      <c r="L8206" s="561">
        <v>309</v>
      </c>
      <c r="M8206" s="561">
        <v>6710.2755700000007</v>
      </c>
      <c r="N8206" s="561">
        <v>6710.2755700000007</v>
      </c>
      <c r="O8206" s="561">
        <v>894.9</v>
      </c>
      <c r="P8206" s="561">
        <v>5815.3755700000011</v>
      </c>
      <c r="Q8206" s="561">
        <v>5815.3755700000011</v>
      </c>
      <c r="R8206" s="561">
        <v>5815.3755700000011</v>
      </c>
    </row>
    <row r="8207" spans="1:111" ht="14.25" customHeight="1">
      <c r="C8207" s="561" t="s">
        <v>1200</v>
      </c>
      <c r="D8207" s="561">
        <v>0</v>
      </c>
      <c r="G8207" s="561">
        <v>0</v>
      </c>
      <c r="H8207" s="561">
        <v>0</v>
      </c>
      <c r="I8207" s="561">
        <v>0</v>
      </c>
      <c r="J8207" s="561">
        <v>0</v>
      </c>
      <c r="K8207" s="561">
        <v>0</v>
      </c>
      <c r="L8207" s="561">
        <v>0</v>
      </c>
      <c r="M8207" s="561">
        <v>0</v>
      </c>
      <c r="N8207" s="561">
        <v>0</v>
      </c>
      <c r="O8207" s="561">
        <v>0</v>
      </c>
      <c r="P8207" s="561">
        <v>0</v>
      </c>
      <c r="Q8207" s="561">
        <v>0</v>
      </c>
      <c r="R8207" s="561">
        <v>0</v>
      </c>
    </row>
    <row r="8208" spans="1:111" ht="14.25" customHeight="1">
      <c r="C8208" s="561" t="s">
        <v>1202</v>
      </c>
      <c r="D8208" s="561">
        <v>9972.2999999999993</v>
      </c>
      <c r="E8208" s="561">
        <v>0</v>
      </c>
      <c r="G8208" s="561">
        <v>9972.2999999999993</v>
      </c>
      <c r="H8208" s="561">
        <v>50917</v>
      </c>
      <c r="I8208" s="561">
        <v>31382.281999999999</v>
      </c>
      <c r="J8208" s="561">
        <v>36926</v>
      </c>
      <c r="K8208" s="561">
        <v>22024.354299999999</v>
      </c>
      <c r="L8208" s="561">
        <v>13991</v>
      </c>
      <c r="M8208" s="561">
        <v>9357.9276999999984</v>
      </c>
      <c r="N8208" s="561">
        <v>9357.9276999999984</v>
      </c>
      <c r="O8208" s="561">
        <v>0</v>
      </c>
      <c r="P8208" s="561">
        <v>9357.9276999999984</v>
      </c>
      <c r="Q8208" s="561">
        <v>9357.9276999999984</v>
      </c>
      <c r="R8208" s="561">
        <v>9357.9276999999984</v>
      </c>
    </row>
    <row r="8209" spans="1:56" ht="14.25" customHeight="1">
      <c r="A8209" s="561">
        <v>2</v>
      </c>
      <c r="B8209" s="561" t="s">
        <v>2014</v>
      </c>
      <c r="C8209" s="561" t="s">
        <v>1196</v>
      </c>
      <c r="D8209" s="561">
        <v>4381249</v>
      </c>
      <c r="E8209" s="561">
        <v>1311445.2</v>
      </c>
      <c r="F8209" s="561">
        <v>0</v>
      </c>
      <c r="G8209" s="561">
        <v>3069803.8000000003</v>
      </c>
      <c r="H8209" s="561">
        <v>9748</v>
      </c>
      <c r="I8209" s="561">
        <v>4485675.2769300006</v>
      </c>
      <c r="J8209" s="561">
        <v>236</v>
      </c>
      <c r="K8209" s="561">
        <v>104426.28284000047</v>
      </c>
      <c r="L8209" s="561">
        <v>9512</v>
      </c>
      <c r="M8209" s="561">
        <v>4381248.9940900002</v>
      </c>
      <c r="N8209" s="561">
        <v>4381248.9940900002</v>
      </c>
      <c r="O8209" s="561">
        <v>1311445.2</v>
      </c>
      <c r="P8209" s="561">
        <v>3069803.7940899995</v>
      </c>
      <c r="Q8209" s="561">
        <v>3069803.7940899995</v>
      </c>
      <c r="R8209" s="561">
        <v>3069803.7940899995</v>
      </c>
    </row>
    <row r="8210" spans="1:56" s="881" customFormat="1" ht="15" customHeight="1">
      <c r="C8210" s="881" t="s">
        <v>1197</v>
      </c>
      <c r="D8210" s="881">
        <v>1099718</v>
      </c>
      <c r="E8210" s="881">
        <v>329915.39999999997</v>
      </c>
      <c r="G8210" s="881">
        <v>769802.60000000009</v>
      </c>
      <c r="H8210" s="881">
        <v>6141</v>
      </c>
      <c r="I8210" s="881">
        <v>1122625.9926200002</v>
      </c>
      <c r="J8210" s="881">
        <v>34</v>
      </c>
      <c r="K8210" s="881">
        <v>22394.252160000149</v>
      </c>
      <c r="L8210" s="881">
        <v>6107</v>
      </c>
      <c r="M8210" s="881">
        <v>1100231.74046</v>
      </c>
      <c r="N8210" s="881">
        <v>1100231.74046</v>
      </c>
      <c r="O8210" s="881">
        <v>329915.39999999997</v>
      </c>
      <c r="Q8210" s="881">
        <v>770316.34046000009</v>
      </c>
      <c r="R8210" s="881">
        <v>770316.34046000009</v>
      </c>
      <c r="BD8210" s="881">
        <v>770316.34046000009</v>
      </c>
    </row>
    <row r="8211" spans="1:56" ht="14.25" customHeight="1">
      <c r="C8211" s="561" t="s">
        <v>1198</v>
      </c>
      <c r="D8211" s="561">
        <v>3281531</v>
      </c>
      <c r="E8211" s="561">
        <v>981529.79999999993</v>
      </c>
      <c r="G8211" s="561">
        <v>2300001.2000000002</v>
      </c>
      <c r="H8211" s="561">
        <v>3607</v>
      </c>
      <c r="I8211" s="561">
        <v>3363049.28431</v>
      </c>
      <c r="J8211" s="561">
        <v>202</v>
      </c>
      <c r="K8211" s="561">
        <v>82032.030680000316</v>
      </c>
      <c r="L8211" s="561">
        <v>3405</v>
      </c>
      <c r="M8211" s="561">
        <v>3281017.2536299997</v>
      </c>
      <c r="N8211" s="561">
        <v>3281017.2536299997</v>
      </c>
      <c r="O8211" s="561">
        <v>981529.8</v>
      </c>
      <c r="P8211" s="561">
        <v>2299487.4536299994</v>
      </c>
      <c r="Q8211" s="561">
        <v>2299487.4536299994</v>
      </c>
      <c r="R8211" s="561">
        <v>2299487.4536299994</v>
      </c>
    </row>
    <row r="8212" spans="1:56" ht="14.25" customHeight="1">
      <c r="C8212" s="561" t="s">
        <v>1199</v>
      </c>
      <c r="G8212" s="561">
        <v>0</v>
      </c>
      <c r="H8212" s="561">
        <v>0</v>
      </c>
      <c r="I8212" s="561">
        <v>0</v>
      </c>
      <c r="J8212" s="561">
        <v>0</v>
      </c>
      <c r="K8212" s="561">
        <v>0</v>
      </c>
      <c r="L8212" s="561">
        <v>0</v>
      </c>
      <c r="M8212" s="561">
        <v>0</v>
      </c>
      <c r="N8212" s="561">
        <v>0</v>
      </c>
      <c r="O8212" s="561">
        <v>0</v>
      </c>
      <c r="P8212" s="561">
        <v>0</v>
      </c>
      <c r="Q8212" s="561">
        <v>0</v>
      </c>
      <c r="R8212" s="561">
        <v>0</v>
      </c>
    </row>
    <row r="8213" spans="1:56" ht="14.25" customHeight="1">
      <c r="C8213" s="561" t="s">
        <v>1200</v>
      </c>
      <c r="G8213" s="561">
        <v>0</v>
      </c>
      <c r="H8213" s="561">
        <v>0</v>
      </c>
      <c r="I8213" s="561">
        <v>0</v>
      </c>
      <c r="J8213" s="561">
        <v>0</v>
      </c>
      <c r="K8213" s="561">
        <v>0</v>
      </c>
      <c r="L8213" s="561">
        <v>0</v>
      </c>
      <c r="M8213" s="561">
        <v>0</v>
      </c>
      <c r="N8213" s="561">
        <v>0</v>
      </c>
      <c r="O8213" s="561">
        <v>0</v>
      </c>
      <c r="P8213" s="561">
        <v>0</v>
      </c>
      <c r="Q8213" s="561">
        <v>0</v>
      </c>
      <c r="R8213" s="561">
        <v>0</v>
      </c>
    </row>
    <row r="8214" spans="1:56" ht="14.25" customHeight="1">
      <c r="A8214" s="561">
        <v>3</v>
      </c>
      <c r="B8214" s="561" t="s">
        <v>2015</v>
      </c>
      <c r="C8214" s="561" t="s">
        <v>1196</v>
      </c>
      <c r="D8214" s="561">
        <v>1885640</v>
      </c>
      <c r="E8214" s="561">
        <v>565692</v>
      </c>
      <c r="F8214" s="561">
        <v>0</v>
      </c>
      <c r="G8214" s="561">
        <v>1319948</v>
      </c>
      <c r="H8214" s="561">
        <v>4215</v>
      </c>
      <c r="I8214" s="561">
        <v>1886182.8944999997</v>
      </c>
      <c r="J8214" s="561">
        <v>0</v>
      </c>
      <c r="K8214" s="561">
        <v>542.89574999990873</v>
      </c>
      <c r="L8214" s="561">
        <v>4215</v>
      </c>
      <c r="M8214" s="561">
        <v>1885639.9987499998</v>
      </c>
      <c r="N8214" s="561">
        <v>1885639.9987499998</v>
      </c>
      <c r="O8214" s="561">
        <v>565692</v>
      </c>
      <c r="P8214" s="561">
        <v>1319947.9987499998</v>
      </c>
      <c r="Q8214" s="561">
        <v>1319947.9987499998</v>
      </c>
      <c r="R8214" s="561">
        <v>1319947.9987499998</v>
      </c>
    </row>
    <row r="8215" spans="1:56" s="882" customFormat="1" ht="15" customHeight="1">
      <c r="C8215" s="882" t="s">
        <v>1197</v>
      </c>
      <c r="D8215" s="882">
        <v>1885640</v>
      </c>
      <c r="E8215" s="882">
        <v>565692</v>
      </c>
      <c r="G8215" s="882">
        <v>1319948</v>
      </c>
      <c r="H8215" s="882">
        <v>4215</v>
      </c>
      <c r="I8215" s="882">
        <v>1886182.8944999997</v>
      </c>
      <c r="J8215" s="882">
        <v>0</v>
      </c>
      <c r="K8215" s="882">
        <v>542.89574999990873</v>
      </c>
      <c r="L8215" s="882">
        <v>4215</v>
      </c>
      <c r="M8215" s="882">
        <v>1885639.9987499998</v>
      </c>
      <c r="N8215" s="882">
        <v>1885639.9987499998</v>
      </c>
      <c r="O8215" s="882">
        <v>565692</v>
      </c>
      <c r="Q8215" s="882">
        <v>1319947.9987499998</v>
      </c>
      <c r="R8215" s="882">
        <v>1319947.9987499998</v>
      </c>
      <c r="AN8215" s="882">
        <v>1319947.9987499998</v>
      </c>
    </row>
    <row r="8216" spans="1:56" ht="14.25" customHeight="1">
      <c r="C8216" s="561" t="s">
        <v>1198</v>
      </c>
      <c r="G8216" s="561">
        <v>0</v>
      </c>
      <c r="H8216" s="561">
        <v>0</v>
      </c>
      <c r="I8216" s="561">
        <v>0</v>
      </c>
      <c r="J8216" s="561">
        <v>0</v>
      </c>
      <c r="K8216" s="561">
        <v>0</v>
      </c>
      <c r="L8216" s="561">
        <v>0</v>
      </c>
      <c r="M8216" s="561">
        <v>0</v>
      </c>
      <c r="N8216" s="561">
        <v>0</v>
      </c>
      <c r="O8216" s="561">
        <v>0</v>
      </c>
      <c r="P8216" s="561">
        <v>0</v>
      </c>
      <c r="Q8216" s="561">
        <v>0</v>
      </c>
      <c r="R8216" s="561">
        <v>0</v>
      </c>
    </row>
    <row r="8217" spans="1:56" ht="14.25" customHeight="1">
      <c r="C8217" s="561" t="s">
        <v>1199</v>
      </c>
      <c r="G8217" s="561">
        <v>0</v>
      </c>
      <c r="H8217" s="561">
        <v>0</v>
      </c>
      <c r="I8217" s="561">
        <v>0</v>
      </c>
      <c r="J8217" s="561">
        <v>0</v>
      </c>
      <c r="K8217" s="561">
        <v>0</v>
      </c>
      <c r="L8217" s="561">
        <v>0</v>
      </c>
      <c r="M8217" s="561">
        <v>0</v>
      </c>
      <c r="N8217" s="561">
        <v>0</v>
      </c>
      <c r="O8217" s="561">
        <v>0</v>
      </c>
      <c r="P8217" s="561">
        <v>0</v>
      </c>
      <c r="Q8217" s="561">
        <v>0</v>
      </c>
      <c r="R8217" s="561">
        <v>0</v>
      </c>
    </row>
    <row r="8218" spans="1:56" ht="14.25" customHeight="1">
      <c r="C8218" s="561" t="s">
        <v>1200</v>
      </c>
      <c r="G8218" s="561">
        <v>0</v>
      </c>
      <c r="H8218" s="561">
        <v>0</v>
      </c>
      <c r="I8218" s="561">
        <v>0</v>
      </c>
      <c r="J8218" s="561">
        <v>0</v>
      </c>
      <c r="K8218" s="561">
        <v>0</v>
      </c>
      <c r="L8218" s="561">
        <v>0</v>
      </c>
      <c r="M8218" s="561">
        <v>0</v>
      </c>
      <c r="N8218" s="561">
        <v>0</v>
      </c>
      <c r="O8218" s="561">
        <v>0</v>
      </c>
      <c r="P8218" s="561">
        <v>0</v>
      </c>
      <c r="Q8218" s="561">
        <v>0</v>
      </c>
      <c r="R8218" s="561">
        <v>0</v>
      </c>
    </row>
    <row r="8219" spans="1:56" ht="14.25" customHeight="1">
      <c r="A8219" s="561">
        <v>4</v>
      </c>
      <c r="B8219" s="561" t="s">
        <v>2016</v>
      </c>
      <c r="C8219" s="561" t="s">
        <v>1196</v>
      </c>
      <c r="D8219" s="561">
        <v>2765246</v>
      </c>
      <c r="E8219" s="561">
        <v>672129.3</v>
      </c>
      <c r="F8219" s="561">
        <v>0</v>
      </c>
      <c r="G8219" s="561">
        <v>2093116.7</v>
      </c>
      <c r="H8219" s="561">
        <v>3948</v>
      </c>
      <c r="I8219" s="561">
        <v>2777425.92961</v>
      </c>
      <c r="J8219" s="561">
        <v>8</v>
      </c>
      <c r="K8219" s="561">
        <v>12180.544920000248</v>
      </c>
      <c r="L8219" s="561">
        <v>3940</v>
      </c>
      <c r="M8219" s="561">
        <v>2765245.3846899997</v>
      </c>
      <c r="N8219" s="561">
        <v>2765245.3846899997</v>
      </c>
      <c r="O8219" s="561">
        <v>672129.3</v>
      </c>
      <c r="P8219" s="561">
        <v>2093116.0846899999</v>
      </c>
      <c r="Q8219" s="561">
        <v>2093116.0846899999</v>
      </c>
      <c r="R8219" s="561">
        <v>2093116.0846899999</v>
      </c>
    </row>
    <row r="8220" spans="1:56" s="882" customFormat="1" ht="15" customHeight="1">
      <c r="C8220" s="882" t="s">
        <v>1197</v>
      </c>
      <c r="D8220" s="882">
        <v>904970</v>
      </c>
      <c r="E8220" s="882">
        <v>252891</v>
      </c>
      <c r="G8220" s="882">
        <v>652079</v>
      </c>
      <c r="H8220" s="882">
        <v>2924</v>
      </c>
      <c r="I8220" s="882">
        <v>860670.65182999987</v>
      </c>
      <c r="J8220" s="882">
        <v>12</v>
      </c>
      <c r="K8220" s="882">
        <v>9650.4549199998146</v>
      </c>
      <c r="L8220" s="882">
        <v>2912</v>
      </c>
      <c r="M8220" s="882">
        <v>851020.19691000006</v>
      </c>
      <c r="N8220" s="882">
        <v>851020.19691000006</v>
      </c>
      <c r="O8220" s="882">
        <v>252891</v>
      </c>
      <c r="Q8220" s="882">
        <v>598129.19691000006</v>
      </c>
      <c r="R8220" s="882">
        <v>598129.19691000006</v>
      </c>
      <c r="AM8220" s="882">
        <v>598129.19691000006</v>
      </c>
    </row>
    <row r="8221" spans="1:56" ht="14.25" customHeight="1">
      <c r="C8221" s="561" t="s">
        <v>1198</v>
      </c>
      <c r="D8221" s="561">
        <v>1860276</v>
      </c>
      <c r="E8221" s="561">
        <v>419238.3</v>
      </c>
      <c r="G8221" s="561">
        <v>1441037.7</v>
      </c>
      <c r="H8221" s="561">
        <v>1024</v>
      </c>
      <c r="I8221" s="561">
        <v>1916755.2777800001</v>
      </c>
      <c r="J8221" s="561">
        <v>-4</v>
      </c>
      <c r="K8221" s="561">
        <v>2530.0900000003166</v>
      </c>
      <c r="L8221" s="561">
        <v>1028</v>
      </c>
      <c r="M8221" s="561">
        <v>1914225.1877799998</v>
      </c>
      <c r="N8221" s="561">
        <v>1914225.1877799998</v>
      </c>
      <c r="O8221" s="561">
        <v>419238.3</v>
      </c>
      <c r="P8221" s="561">
        <v>1494986.8877799998</v>
      </c>
      <c r="Q8221" s="561">
        <v>1494986.8877799998</v>
      </c>
      <c r="R8221" s="561">
        <v>1494986.8877799998</v>
      </c>
    </row>
    <row r="8222" spans="1:56" ht="14.25" customHeight="1">
      <c r="C8222" s="561" t="s">
        <v>1199</v>
      </c>
      <c r="G8222" s="561">
        <v>0</v>
      </c>
      <c r="H8222" s="561">
        <v>0</v>
      </c>
      <c r="I8222" s="561">
        <v>0</v>
      </c>
      <c r="J8222" s="561">
        <v>0</v>
      </c>
      <c r="K8222" s="561">
        <v>0</v>
      </c>
      <c r="L8222" s="561">
        <v>0</v>
      </c>
      <c r="M8222" s="561">
        <v>0</v>
      </c>
      <c r="N8222" s="561">
        <v>0</v>
      </c>
      <c r="O8222" s="561">
        <v>0</v>
      </c>
      <c r="P8222" s="561">
        <v>0</v>
      </c>
      <c r="Q8222" s="561">
        <v>0</v>
      </c>
      <c r="R8222" s="561">
        <v>0</v>
      </c>
    </row>
    <row r="8223" spans="1:56" ht="14.25" customHeight="1">
      <c r="C8223" s="561" t="s">
        <v>1200</v>
      </c>
      <c r="G8223" s="561">
        <v>0</v>
      </c>
      <c r="H8223" s="561">
        <v>0</v>
      </c>
      <c r="I8223" s="561">
        <v>0</v>
      </c>
      <c r="J8223" s="561">
        <v>0</v>
      </c>
      <c r="K8223" s="561">
        <v>0</v>
      </c>
      <c r="L8223" s="561">
        <v>0</v>
      </c>
      <c r="M8223" s="561">
        <v>0</v>
      </c>
      <c r="N8223" s="561">
        <v>0</v>
      </c>
      <c r="O8223" s="561">
        <v>0</v>
      </c>
      <c r="P8223" s="561">
        <v>0</v>
      </c>
      <c r="Q8223" s="561">
        <v>0</v>
      </c>
      <c r="R8223" s="561">
        <v>0</v>
      </c>
    </row>
    <row r="8224" spans="1:56" ht="14.25" customHeight="1">
      <c r="A8224" s="561">
        <v>5</v>
      </c>
      <c r="B8224" s="561" t="s">
        <v>2017</v>
      </c>
      <c r="C8224" s="561" t="s">
        <v>1196</v>
      </c>
      <c r="D8224" s="561">
        <v>4846036</v>
      </c>
      <c r="E8224" s="561">
        <v>1160727.8999999999</v>
      </c>
      <c r="F8224" s="561">
        <v>0</v>
      </c>
      <c r="G8224" s="561">
        <v>3685308.0999999996</v>
      </c>
      <c r="H8224" s="561">
        <v>10085</v>
      </c>
      <c r="I8224" s="561">
        <v>5098513.0497999992</v>
      </c>
      <c r="J8224" s="561">
        <v>69</v>
      </c>
      <c r="K8224" s="561">
        <v>252477.0611499995</v>
      </c>
      <c r="L8224" s="561">
        <v>10016</v>
      </c>
      <c r="M8224" s="561">
        <v>4846035.9886499997</v>
      </c>
      <c r="N8224" s="561">
        <v>4846035.9886499997</v>
      </c>
      <c r="O8224" s="561">
        <v>1160727.9029999999</v>
      </c>
      <c r="P8224" s="561">
        <v>3685308.0856499998</v>
      </c>
      <c r="Q8224" s="561">
        <v>3685308.0856499998</v>
      </c>
      <c r="R8224" s="561">
        <v>3685308.0856499998</v>
      </c>
    </row>
    <row r="8225" spans="1:39" s="882" customFormat="1">
      <c r="C8225" s="882" t="s">
        <v>1197</v>
      </c>
      <c r="D8225" s="882">
        <v>1033775</v>
      </c>
      <c r="E8225" s="882">
        <v>462937.8</v>
      </c>
      <c r="G8225" s="882">
        <v>570837.19999999995</v>
      </c>
      <c r="H8225" s="882">
        <v>6530</v>
      </c>
      <c r="I8225" s="882">
        <v>1032345.07397</v>
      </c>
      <c r="J8225" s="882">
        <v>46</v>
      </c>
      <c r="K8225" s="882">
        <v>-1662.8081400000956</v>
      </c>
      <c r="L8225" s="882">
        <v>6484</v>
      </c>
      <c r="M8225" s="882">
        <v>1034007.8821100001</v>
      </c>
      <c r="N8225" s="882">
        <v>1034007.8821100001</v>
      </c>
      <c r="O8225" s="882">
        <v>462937.8</v>
      </c>
      <c r="Q8225" s="882">
        <v>571070.08211000008</v>
      </c>
      <c r="R8225" s="882">
        <v>571070.08211000008</v>
      </c>
      <c r="AM8225" s="882">
        <v>571070.08211000008</v>
      </c>
    </row>
    <row r="8226" spans="1:39" ht="14.25" customHeight="1">
      <c r="C8226" s="561" t="s">
        <v>1198</v>
      </c>
      <c r="D8226" s="561">
        <v>2044223</v>
      </c>
      <c r="E8226" s="561">
        <v>315459.59999999998</v>
      </c>
      <c r="G8226" s="561">
        <v>1728763.4</v>
      </c>
      <c r="H8226" s="561">
        <v>1888</v>
      </c>
      <c r="I8226" s="561">
        <v>1997517.5763499998</v>
      </c>
      <c r="J8226" s="561">
        <v>26</v>
      </c>
      <c r="K8226" s="561">
        <v>-46797.917350000003</v>
      </c>
      <c r="L8226" s="561">
        <v>1862</v>
      </c>
      <c r="M8226" s="561">
        <v>2044315.4936999998</v>
      </c>
      <c r="N8226" s="561">
        <v>2044315.4936999998</v>
      </c>
      <c r="O8226" s="561">
        <v>315459.59999999998</v>
      </c>
      <c r="P8226" s="561">
        <v>1728855.8936999999</v>
      </c>
      <c r="Q8226" s="561">
        <v>1728855.8936999999</v>
      </c>
      <c r="R8226" s="561">
        <v>1728855.8936999999</v>
      </c>
    </row>
    <row r="8227" spans="1:39" ht="14.25" customHeight="1">
      <c r="C8227" s="561" t="s">
        <v>1199</v>
      </c>
      <c r="D8227" s="561">
        <v>60000</v>
      </c>
      <c r="E8227" s="561">
        <v>19919.099999999999</v>
      </c>
      <c r="G8227" s="561">
        <v>40080.9</v>
      </c>
      <c r="H8227" s="561">
        <v>718</v>
      </c>
      <c r="I8227" s="561">
        <v>60144.951479999996</v>
      </c>
      <c r="J8227" s="561">
        <v>-15</v>
      </c>
      <c r="K8227" s="561">
        <v>470.33464000000095</v>
      </c>
      <c r="L8227" s="561">
        <v>733</v>
      </c>
      <c r="M8227" s="561">
        <v>59674.616839999995</v>
      </c>
      <c r="N8227" s="561">
        <v>59674.616839999995</v>
      </c>
      <c r="O8227" s="561">
        <v>19919.099999999999</v>
      </c>
      <c r="P8227" s="561">
        <v>39755.516839999997</v>
      </c>
      <c r="Q8227" s="561">
        <v>39755.516839999997</v>
      </c>
      <c r="R8227" s="561">
        <v>39755.516839999997</v>
      </c>
    </row>
    <row r="8228" spans="1:39" ht="14.25" customHeight="1">
      <c r="C8228" s="561" t="s">
        <v>1200</v>
      </c>
      <c r="G8228" s="561">
        <v>0</v>
      </c>
      <c r="H8228" s="561">
        <v>0</v>
      </c>
      <c r="I8228" s="561">
        <v>0</v>
      </c>
      <c r="J8228" s="561">
        <v>0</v>
      </c>
      <c r="K8228" s="561">
        <v>0</v>
      </c>
      <c r="L8228" s="561">
        <v>0</v>
      </c>
      <c r="M8228" s="561">
        <v>0</v>
      </c>
      <c r="N8228" s="561">
        <v>0</v>
      </c>
      <c r="O8228" s="561">
        <v>0</v>
      </c>
      <c r="P8228" s="561">
        <v>0</v>
      </c>
      <c r="Q8228" s="561">
        <v>0</v>
      </c>
      <c r="R8228" s="561">
        <v>0</v>
      </c>
    </row>
    <row r="8229" spans="1:39" ht="14.25" customHeight="1">
      <c r="C8229" s="561" t="s">
        <v>814</v>
      </c>
      <c r="D8229" s="561">
        <v>1708038</v>
      </c>
      <c r="E8229" s="561">
        <v>362411.39999999997</v>
      </c>
      <c r="G8229" s="561">
        <v>1345626.6</v>
      </c>
      <c r="H8229" s="561">
        <v>949</v>
      </c>
      <c r="I8229" s="561">
        <v>2008505.4479999999</v>
      </c>
      <c r="J8229" s="561">
        <v>12</v>
      </c>
      <c r="K8229" s="561">
        <v>300467.45199999982</v>
      </c>
      <c r="L8229" s="561">
        <v>937</v>
      </c>
      <c r="M8229" s="561">
        <v>1708037.996</v>
      </c>
      <c r="N8229" s="561">
        <v>1708037.996</v>
      </c>
      <c r="O8229" s="561">
        <v>362411.40299999999</v>
      </c>
      <c r="P8229" s="561">
        <v>1345626.5930000001</v>
      </c>
      <c r="Q8229" s="561">
        <v>1345626.5930000001</v>
      </c>
      <c r="R8229" s="561">
        <v>1345626.5930000001</v>
      </c>
    </row>
    <row r="8230" spans="1:39">
      <c r="A8230" s="561">
        <v>6</v>
      </c>
      <c r="B8230" s="561" t="s">
        <v>2018</v>
      </c>
      <c r="C8230" s="561" t="s">
        <v>1196</v>
      </c>
      <c r="D8230" s="561">
        <v>2225914</v>
      </c>
      <c r="E8230" s="561">
        <v>484386.3</v>
      </c>
      <c r="F8230" s="561">
        <v>0</v>
      </c>
      <c r="G8230" s="561">
        <v>1741527.7</v>
      </c>
      <c r="H8230" s="561">
        <v>21806</v>
      </c>
      <c r="I8230" s="561">
        <v>2216734.8475300004</v>
      </c>
      <c r="J8230" s="561">
        <v>51</v>
      </c>
      <c r="K8230" s="561">
        <v>-9179.1515499996021</v>
      </c>
      <c r="L8230" s="561">
        <v>21755</v>
      </c>
      <c r="M8230" s="561">
        <v>2225913.99908</v>
      </c>
      <c r="N8230" s="561">
        <v>2225913.99908</v>
      </c>
      <c r="O8230" s="561">
        <v>484386.30000000005</v>
      </c>
      <c r="P8230" s="561">
        <v>1741527.6990799999</v>
      </c>
      <c r="Q8230" s="561">
        <v>1741527.6990799999</v>
      </c>
      <c r="R8230" s="561">
        <v>1741527.6990799999</v>
      </c>
    </row>
    <row r="8231" spans="1:39">
      <c r="C8231" s="561" t="s">
        <v>1197</v>
      </c>
      <c r="D8231" s="561">
        <v>1877523</v>
      </c>
      <c r="E8231" s="561">
        <v>458020.5</v>
      </c>
      <c r="G8231" s="561">
        <v>1419502.5</v>
      </c>
      <c r="H8231" s="561">
        <v>20585</v>
      </c>
      <c r="I8231" s="561">
        <v>1842391.0798500001</v>
      </c>
      <c r="J8231" s="561">
        <v>47</v>
      </c>
      <c r="K8231" s="561">
        <v>-38676.836809999775</v>
      </c>
      <c r="L8231" s="561">
        <v>20538</v>
      </c>
      <c r="M8231" s="561">
        <v>1881067.9166599999</v>
      </c>
      <c r="N8231" s="561">
        <v>1881067.9166599999</v>
      </c>
      <c r="O8231" s="561">
        <v>458020.50000000006</v>
      </c>
      <c r="Q8231" s="561">
        <v>1423047.4166599999</v>
      </c>
      <c r="R8231" s="561">
        <v>1423047.4166599999</v>
      </c>
      <c r="AL8231" s="561">
        <v>1423047.4166599999</v>
      </c>
    </row>
    <row r="8232" spans="1:39" ht="14.25" customHeight="1">
      <c r="C8232" s="561" t="s">
        <v>1198</v>
      </c>
      <c r="D8232" s="561">
        <v>131870</v>
      </c>
      <c r="E8232" s="561">
        <v>1218.3</v>
      </c>
      <c r="G8232" s="561">
        <v>130651.7</v>
      </c>
      <c r="H8232" s="561">
        <v>381</v>
      </c>
      <c r="I8232" s="561">
        <v>146472.68661999999</v>
      </c>
      <c r="J8232" s="561">
        <v>4</v>
      </c>
      <c r="K8232" s="561">
        <v>2669.2211299999908</v>
      </c>
      <c r="L8232" s="561">
        <v>377</v>
      </c>
      <c r="M8232" s="561">
        <v>143803.46549</v>
      </c>
      <c r="N8232" s="561">
        <v>143803.46549</v>
      </c>
      <c r="O8232" s="561">
        <v>1218.3000000000002</v>
      </c>
      <c r="P8232" s="561">
        <v>142585.16549000001</v>
      </c>
      <c r="Q8232" s="561">
        <v>142585.16549000001</v>
      </c>
      <c r="R8232" s="561">
        <v>142585.16549000001</v>
      </c>
    </row>
    <row r="8233" spans="1:39" ht="14.25" customHeight="1">
      <c r="C8233" s="561" t="s">
        <v>1199</v>
      </c>
      <c r="D8233" s="561">
        <v>216521</v>
      </c>
      <c r="E8233" s="561">
        <v>25147.5</v>
      </c>
      <c r="G8233" s="561">
        <v>191373.5</v>
      </c>
      <c r="H8233" s="561">
        <v>840</v>
      </c>
      <c r="I8233" s="561">
        <v>227871.08106000003</v>
      </c>
      <c r="J8233" s="561">
        <v>0</v>
      </c>
      <c r="K8233" s="561">
        <v>26828.464130000037</v>
      </c>
      <c r="L8233" s="561">
        <v>840</v>
      </c>
      <c r="M8233" s="561">
        <v>201042.61692999999</v>
      </c>
      <c r="N8233" s="561">
        <v>201042.61692999999</v>
      </c>
      <c r="O8233" s="561">
        <v>25147.500000000004</v>
      </c>
      <c r="P8233" s="561">
        <v>175895.11692999999</v>
      </c>
      <c r="Q8233" s="561">
        <v>175895.11692999999</v>
      </c>
      <c r="R8233" s="561">
        <v>175895.11692999999</v>
      </c>
    </row>
    <row r="8234" spans="1:39" ht="14.25" customHeight="1">
      <c r="C8234" s="561" t="s">
        <v>1200</v>
      </c>
      <c r="G8234" s="561">
        <v>0</v>
      </c>
      <c r="H8234" s="561">
        <v>0</v>
      </c>
      <c r="I8234" s="561">
        <v>0</v>
      </c>
      <c r="J8234" s="561">
        <v>0</v>
      </c>
      <c r="K8234" s="561">
        <v>0</v>
      </c>
      <c r="L8234" s="561">
        <v>0</v>
      </c>
      <c r="M8234" s="561">
        <v>0</v>
      </c>
      <c r="N8234" s="561">
        <v>0</v>
      </c>
      <c r="O8234" s="561">
        <v>0</v>
      </c>
      <c r="P8234" s="561">
        <v>0</v>
      </c>
      <c r="Q8234" s="561">
        <v>0</v>
      </c>
      <c r="R8234" s="561">
        <v>0</v>
      </c>
    </row>
    <row r="8235" spans="1:39" ht="14.25" customHeight="1">
      <c r="A8235" s="561">
        <v>7</v>
      </c>
      <c r="B8235" s="561" t="s">
        <v>2019</v>
      </c>
      <c r="C8235" s="561" t="s">
        <v>1196</v>
      </c>
      <c r="D8235" s="561">
        <v>2034972.5</v>
      </c>
      <c r="E8235" s="561">
        <v>568651.79999999993</v>
      </c>
      <c r="F8235" s="561">
        <v>0</v>
      </c>
      <c r="G8235" s="561">
        <v>1466320.7000000002</v>
      </c>
      <c r="H8235" s="561">
        <v>14616</v>
      </c>
      <c r="I8235" s="561">
        <v>2068363.8743499995</v>
      </c>
      <c r="J8235" s="561">
        <v>132</v>
      </c>
      <c r="K8235" s="561">
        <v>33391.678729999578</v>
      </c>
      <c r="L8235" s="561">
        <v>14484</v>
      </c>
      <c r="M8235" s="561">
        <v>2034972.1956199999</v>
      </c>
      <c r="N8235" s="561">
        <v>2034972.1956199999</v>
      </c>
      <c r="O8235" s="561">
        <v>568651.80000000005</v>
      </c>
      <c r="P8235" s="561">
        <v>1466320.3956199999</v>
      </c>
      <c r="Q8235" s="561">
        <v>1466320.3956199999</v>
      </c>
      <c r="R8235" s="561">
        <v>1466320.3956199999</v>
      </c>
    </row>
    <row r="8236" spans="1:39">
      <c r="C8236" s="561" t="s">
        <v>1197</v>
      </c>
      <c r="D8236" s="561">
        <v>1361398</v>
      </c>
      <c r="E8236" s="561">
        <v>408419.39999999997</v>
      </c>
      <c r="G8236" s="561">
        <v>952978.60000000009</v>
      </c>
      <c r="H8236" s="561">
        <v>11953</v>
      </c>
      <c r="I8236" s="561">
        <v>1080129.7397199997</v>
      </c>
      <c r="J8236" s="561">
        <v>120</v>
      </c>
      <c r="K8236" s="561">
        <v>22476.422349999659</v>
      </c>
      <c r="L8236" s="561">
        <v>11833</v>
      </c>
      <c r="M8236" s="561">
        <v>1057653.3173700001</v>
      </c>
      <c r="N8236" s="561">
        <v>1057653.3173700001</v>
      </c>
      <c r="O8236" s="561">
        <v>408419.4</v>
      </c>
      <c r="Q8236" s="561">
        <v>649233.91737000004</v>
      </c>
      <c r="R8236" s="561">
        <v>649233.91737000004</v>
      </c>
      <c r="AL8236" s="561">
        <v>649233.91737000004</v>
      </c>
    </row>
    <row r="8237" spans="1:39" ht="14.25" customHeight="1">
      <c r="C8237" s="561" t="s">
        <v>1198</v>
      </c>
      <c r="D8237" s="561">
        <v>660554.5</v>
      </c>
      <c r="E8237" s="561">
        <v>158828.4</v>
      </c>
      <c r="G8237" s="561">
        <v>501726.1</v>
      </c>
      <c r="H8237" s="561">
        <v>1241</v>
      </c>
      <c r="I8237" s="561">
        <v>966180.39870999986</v>
      </c>
      <c r="J8237" s="561">
        <v>5</v>
      </c>
      <c r="K8237" s="561">
        <v>10812.915569999954</v>
      </c>
      <c r="L8237" s="561">
        <v>1236</v>
      </c>
      <c r="M8237" s="561">
        <v>955367.48313999991</v>
      </c>
      <c r="N8237" s="561">
        <v>955367.48313999991</v>
      </c>
      <c r="O8237" s="561">
        <v>158828.40000000002</v>
      </c>
      <c r="P8237" s="561">
        <v>796539.08313999989</v>
      </c>
      <c r="Q8237" s="561">
        <v>796539.08313999989</v>
      </c>
      <c r="R8237" s="561">
        <v>796539.08313999989</v>
      </c>
    </row>
    <row r="8238" spans="1:39" ht="14.25" customHeight="1">
      <c r="C8238" s="561" t="s">
        <v>1199</v>
      </c>
      <c r="D8238" s="561">
        <v>13020</v>
      </c>
      <c r="E8238" s="561">
        <v>1404</v>
      </c>
      <c r="G8238" s="561">
        <v>11616</v>
      </c>
      <c r="H8238" s="561">
        <v>1422</v>
      </c>
      <c r="I8238" s="561">
        <v>22053.735919999999</v>
      </c>
      <c r="J8238" s="561">
        <v>7</v>
      </c>
      <c r="K8238" s="561">
        <v>102.34081000000151</v>
      </c>
      <c r="L8238" s="561">
        <v>1415</v>
      </c>
      <c r="M8238" s="561">
        <v>21951.395109999998</v>
      </c>
      <c r="N8238" s="561">
        <v>21951.395109999998</v>
      </c>
      <c r="O8238" s="561">
        <v>1404</v>
      </c>
      <c r="P8238" s="561">
        <v>20547.395109999998</v>
      </c>
      <c r="Q8238" s="561">
        <v>20547.395109999998</v>
      </c>
      <c r="R8238" s="561">
        <v>20547.395109999998</v>
      </c>
    </row>
    <row r="8239" spans="1:39" ht="14.25" customHeight="1">
      <c r="C8239" s="561" t="s">
        <v>1200</v>
      </c>
      <c r="G8239" s="561">
        <v>0</v>
      </c>
      <c r="H8239" s="561">
        <v>0</v>
      </c>
      <c r="I8239" s="561">
        <v>0</v>
      </c>
      <c r="J8239" s="561">
        <v>0</v>
      </c>
      <c r="K8239" s="561">
        <v>0</v>
      </c>
      <c r="L8239" s="561">
        <v>0</v>
      </c>
      <c r="M8239" s="561">
        <v>0</v>
      </c>
      <c r="N8239" s="561">
        <v>0</v>
      </c>
      <c r="O8239" s="561">
        <v>0</v>
      </c>
      <c r="P8239" s="561">
        <v>0</v>
      </c>
      <c r="Q8239" s="561">
        <v>0</v>
      </c>
      <c r="R8239" s="561">
        <v>0</v>
      </c>
    </row>
    <row r="8240" spans="1:39" ht="14.25" customHeight="1">
      <c r="A8240" s="561">
        <v>8</v>
      </c>
      <c r="B8240" s="561" t="s">
        <v>2020</v>
      </c>
      <c r="C8240" s="561" t="s">
        <v>1196</v>
      </c>
      <c r="D8240" s="561">
        <v>568331</v>
      </c>
      <c r="E8240" s="561">
        <v>170499.30000000002</v>
      </c>
      <c r="F8240" s="561">
        <v>0</v>
      </c>
      <c r="G8240" s="561">
        <v>397831.7</v>
      </c>
      <c r="H8240" s="561">
        <v>6179</v>
      </c>
      <c r="I8240" s="561">
        <v>582809.09801900003</v>
      </c>
      <c r="J8240" s="561">
        <v>5</v>
      </c>
      <c r="K8240" s="561">
        <v>14478.750859000138</v>
      </c>
      <c r="L8240" s="561">
        <v>6174</v>
      </c>
      <c r="M8240" s="561">
        <v>568330.34715999989</v>
      </c>
      <c r="N8240" s="561">
        <v>568330.34715999989</v>
      </c>
      <c r="O8240" s="561">
        <v>170499.30000000002</v>
      </c>
      <c r="P8240" s="561">
        <v>397831.0471599999</v>
      </c>
      <c r="Q8240" s="561">
        <v>397831.0471599999</v>
      </c>
      <c r="R8240" s="561">
        <v>397831.0471599999</v>
      </c>
    </row>
    <row r="8241" spans="1:54">
      <c r="C8241" s="561" t="s">
        <v>1197</v>
      </c>
      <c r="D8241" s="561">
        <v>561727</v>
      </c>
      <c r="E8241" s="561">
        <v>168518.1</v>
      </c>
      <c r="G8241" s="561">
        <v>393208.9</v>
      </c>
      <c r="H8241" s="561">
        <v>5645</v>
      </c>
      <c r="I8241" s="561">
        <v>573704.83525</v>
      </c>
      <c r="J8241" s="561">
        <v>5</v>
      </c>
      <c r="K8241" s="561">
        <v>14474.440790000139</v>
      </c>
      <c r="L8241" s="561">
        <v>5640</v>
      </c>
      <c r="M8241" s="561">
        <v>559230.39445999986</v>
      </c>
      <c r="N8241" s="561">
        <v>559230.39445999986</v>
      </c>
      <c r="O8241" s="561">
        <v>168518.1</v>
      </c>
      <c r="Q8241" s="561">
        <v>390712.29445999989</v>
      </c>
      <c r="R8241" s="561">
        <v>390712.29445999989</v>
      </c>
      <c r="AL8241" s="561">
        <v>390712.29445999989</v>
      </c>
    </row>
    <row r="8242" spans="1:54" ht="14.25" customHeight="1">
      <c r="C8242" s="561" t="s">
        <v>1198</v>
      </c>
      <c r="G8242" s="561">
        <v>0</v>
      </c>
      <c r="H8242" s="561">
        <v>0</v>
      </c>
      <c r="I8242" s="561">
        <v>0</v>
      </c>
      <c r="J8242" s="561">
        <v>0</v>
      </c>
      <c r="K8242" s="561">
        <v>0</v>
      </c>
      <c r="L8242" s="561">
        <v>0</v>
      </c>
      <c r="M8242" s="561">
        <v>0</v>
      </c>
      <c r="N8242" s="561">
        <v>0</v>
      </c>
      <c r="O8242" s="561">
        <v>0</v>
      </c>
      <c r="P8242" s="561">
        <v>0</v>
      </c>
      <c r="Q8242" s="561">
        <v>0</v>
      </c>
      <c r="R8242" s="561">
        <v>0</v>
      </c>
    </row>
    <row r="8243" spans="1:54" ht="14.25" customHeight="1">
      <c r="C8243" s="561" t="s">
        <v>1199</v>
      </c>
      <c r="D8243" s="561">
        <v>6604</v>
      </c>
      <c r="E8243" s="561">
        <v>1981.1999999999998</v>
      </c>
      <c r="G8243" s="561">
        <v>4622.8</v>
      </c>
      <c r="H8243" s="561">
        <v>534</v>
      </c>
      <c r="I8243" s="561">
        <v>9104.2627690000008</v>
      </c>
      <c r="J8243" s="561">
        <v>0</v>
      </c>
      <c r="K8243" s="561">
        <v>4.3100690000010218</v>
      </c>
      <c r="L8243" s="561">
        <v>534</v>
      </c>
      <c r="M8243" s="561">
        <v>9099.9526999999998</v>
      </c>
      <c r="N8243" s="561">
        <v>9099.9526999999998</v>
      </c>
      <c r="O8243" s="561">
        <v>1981.1999999999994</v>
      </c>
      <c r="P8243" s="561">
        <v>7118.7527000000009</v>
      </c>
      <c r="Q8243" s="561">
        <v>7118.7527000000009</v>
      </c>
      <c r="R8243" s="561">
        <v>7118.7527000000009</v>
      </c>
    </row>
    <row r="8244" spans="1:54" ht="14.25" customHeight="1">
      <c r="C8244" s="561" t="s">
        <v>1200</v>
      </c>
      <c r="G8244" s="561">
        <v>0</v>
      </c>
      <c r="H8244" s="561">
        <v>0</v>
      </c>
      <c r="I8244" s="561">
        <v>0</v>
      </c>
      <c r="J8244" s="561">
        <v>0</v>
      </c>
      <c r="K8244" s="561">
        <v>0</v>
      </c>
      <c r="L8244" s="561">
        <v>0</v>
      </c>
      <c r="M8244" s="561">
        <v>0</v>
      </c>
      <c r="N8244" s="561">
        <v>0</v>
      </c>
      <c r="O8244" s="561">
        <v>0</v>
      </c>
      <c r="P8244" s="561">
        <v>0</v>
      </c>
      <c r="Q8244" s="561">
        <v>0</v>
      </c>
      <c r="R8244" s="561">
        <v>0</v>
      </c>
    </row>
    <row r="8245" spans="1:54" ht="14.25" customHeight="1">
      <c r="A8245" s="561">
        <v>9</v>
      </c>
      <c r="B8245" s="561" t="s">
        <v>2021</v>
      </c>
      <c r="C8245" s="561" t="s">
        <v>1196</v>
      </c>
      <c r="D8245" s="561">
        <v>996862</v>
      </c>
      <c r="E8245" s="561">
        <v>291504.3</v>
      </c>
      <c r="F8245" s="561">
        <v>0</v>
      </c>
      <c r="G8245" s="561">
        <v>705357.7</v>
      </c>
      <c r="H8245" s="561">
        <v>13010</v>
      </c>
      <c r="I8245" s="561">
        <v>1008046.5029200001</v>
      </c>
      <c r="J8245" s="561">
        <v>63</v>
      </c>
      <c r="K8245" s="561">
        <v>11186.022840000223</v>
      </c>
      <c r="L8245" s="561">
        <v>12947</v>
      </c>
      <c r="M8245" s="561">
        <v>996860.48007999989</v>
      </c>
      <c r="N8245" s="561">
        <v>996860.48007999989</v>
      </c>
      <c r="O8245" s="561">
        <v>291504.29977777821</v>
      </c>
      <c r="P8245" s="561">
        <v>705356.18030222168</v>
      </c>
      <c r="Q8245" s="561">
        <v>705356.18030222168</v>
      </c>
      <c r="R8245" s="561">
        <v>705356.18030222168</v>
      </c>
    </row>
    <row r="8246" spans="1:54" ht="15" customHeight="1">
      <c r="C8246" s="561" t="s">
        <v>1197</v>
      </c>
      <c r="D8246" s="561">
        <v>982827</v>
      </c>
      <c r="E8246" s="561">
        <v>287293.8</v>
      </c>
      <c r="G8246" s="561">
        <v>695533.2</v>
      </c>
      <c r="H8246" s="561">
        <v>12000</v>
      </c>
      <c r="I8246" s="561">
        <v>992106.58446000016</v>
      </c>
      <c r="J8246" s="561">
        <v>62</v>
      </c>
      <c r="K8246" s="561">
        <v>11484.056820000289</v>
      </c>
      <c r="L8246" s="561">
        <v>11938</v>
      </c>
      <c r="M8246" s="561">
        <v>980622.52763999987</v>
      </c>
      <c r="N8246" s="561">
        <v>980622.52763999987</v>
      </c>
      <c r="O8246" s="561">
        <v>287293.797555556</v>
      </c>
      <c r="Q8246" s="561">
        <v>693328.73008444393</v>
      </c>
      <c r="R8246" s="561">
        <v>693328.73008444393</v>
      </c>
      <c r="AL8246" s="561">
        <v>693328.73008444393</v>
      </c>
    </row>
    <row r="8247" spans="1:54" ht="14.25" customHeight="1">
      <c r="C8247" s="561" t="s">
        <v>1198</v>
      </c>
      <c r="G8247" s="561">
        <v>0</v>
      </c>
      <c r="H8247" s="561">
        <v>0</v>
      </c>
      <c r="I8247" s="561">
        <v>0</v>
      </c>
      <c r="J8247" s="561">
        <v>0</v>
      </c>
      <c r="K8247" s="561">
        <v>0</v>
      </c>
      <c r="L8247" s="561">
        <v>0</v>
      </c>
      <c r="M8247" s="561">
        <v>0</v>
      </c>
      <c r="N8247" s="561">
        <v>0</v>
      </c>
      <c r="O8247" s="561">
        <v>0</v>
      </c>
      <c r="P8247" s="561">
        <v>0</v>
      </c>
      <c r="Q8247" s="561">
        <v>0</v>
      </c>
      <c r="R8247" s="561">
        <v>0</v>
      </c>
    </row>
    <row r="8248" spans="1:54" ht="14.25" customHeight="1">
      <c r="C8248" s="561" t="s">
        <v>1199</v>
      </c>
      <c r="D8248" s="561">
        <v>14035</v>
      </c>
      <c r="E8248" s="561">
        <v>4210.5</v>
      </c>
      <c r="G8248" s="561">
        <v>9824.5</v>
      </c>
      <c r="H8248" s="561">
        <v>1010</v>
      </c>
      <c r="I8248" s="561">
        <v>15939.918460000001</v>
      </c>
      <c r="J8248" s="561">
        <v>1</v>
      </c>
      <c r="K8248" s="561">
        <v>-298.03398000000016</v>
      </c>
      <c r="L8248" s="561">
        <v>1009</v>
      </c>
      <c r="M8248" s="561">
        <v>16237.952440000001</v>
      </c>
      <c r="N8248" s="561">
        <v>16237.952440000001</v>
      </c>
      <c r="O8248" s="561">
        <v>4210.5022222222196</v>
      </c>
      <c r="P8248" s="561">
        <v>12027.450217777781</v>
      </c>
      <c r="Q8248" s="561">
        <v>12027.450217777781</v>
      </c>
      <c r="R8248" s="561">
        <v>12027.450217777781</v>
      </c>
    </row>
    <row r="8249" spans="1:54" ht="14.25" customHeight="1">
      <c r="C8249" s="561" t="s">
        <v>1200</v>
      </c>
      <c r="G8249" s="561">
        <v>0</v>
      </c>
      <c r="H8249" s="561">
        <v>0</v>
      </c>
      <c r="I8249" s="561">
        <v>0</v>
      </c>
      <c r="J8249" s="561">
        <v>0</v>
      </c>
      <c r="K8249" s="561">
        <v>0</v>
      </c>
      <c r="L8249" s="561">
        <v>0</v>
      </c>
      <c r="M8249" s="561">
        <v>0</v>
      </c>
      <c r="N8249" s="561">
        <v>0</v>
      </c>
      <c r="O8249" s="561">
        <v>0</v>
      </c>
      <c r="P8249" s="561">
        <v>0</v>
      </c>
      <c r="Q8249" s="561">
        <v>0</v>
      </c>
      <c r="R8249" s="561">
        <v>0</v>
      </c>
    </row>
    <row r="8250" spans="1:54" ht="14.25" customHeight="1">
      <c r="A8250" s="561">
        <v>10</v>
      </c>
      <c r="B8250" s="561" t="s">
        <v>2022</v>
      </c>
      <c r="C8250" s="561" t="s">
        <v>1196</v>
      </c>
      <c r="D8250" s="561">
        <v>606305</v>
      </c>
      <c r="E8250" s="561">
        <v>169759.19999999998</v>
      </c>
      <c r="F8250" s="561">
        <v>0</v>
      </c>
      <c r="G8250" s="561">
        <v>436545.80000000005</v>
      </c>
      <c r="H8250" s="561">
        <v>11954</v>
      </c>
      <c r="I8250" s="561">
        <v>618405.28333999997</v>
      </c>
      <c r="J8250" s="561">
        <v>30</v>
      </c>
      <c r="K8250" s="561">
        <v>12100.284619999817</v>
      </c>
      <c r="L8250" s="561">
        <v>11924</v>
      </c>
      <c r="M8250" s="561">
        <v>606304.99872000015</v>
      </c>
      <c r="N8250" s="561">
        <v>606304.99872000015</v>
      </c>
      <c r="O8250" s="561">
        <v>169759.19999999998</v>
      </c>
      <c r="P8250" s="561">
        <v>436545.79872000014</v>
      </c>
      <c r="Q8250" s="561">
        <v>436545.79872000014</v>
      </c>
      <c r="R8250" s="561">
        <v>436545.79872000014</v>
      </c>
    </row>
    <row r="8251" spans="1:54">
      <c r="C8251" s="561" t="s">
        <v>1197</v>
      </c>
      <c r="D8251" s="561">
        <v>589656</v>
      </c>
      <c r="E8251" s="561">
        <v>166364.69999999998</v>
      </c>
      <c r="G8251" s="561">
        <v>423291.30000000005</v>
      </c>
      <c r="H8251" s="561">
        <v>10725</v>
      </c>
      <c r="I8251" s="561">
        <v>601567.41970999993</v>
      </c>
      <c r="J8251" s="561">
        <v>28</v>
      </c>
      <c r="K8251" s="561">
        <v>12000.729399999836</v>
      </c>
      <c r="L8251" s="561">
        <v>10697</v>
      </c>
      <c r="M8251" s="561">
        <v>589566.69031000009</v>
      </c>
      <c r="N8251" s="561">
        <v>589566.69031000009</v>
      </c>
      <c r="O8251" s="561">
        <v>166364.69999999998</v>
      </c>
      <c r="Q8251" s="561">
        <v>423201.99031000014</v>
      </c>
      <c r="R8251" s="561">
        <v>423201.99031000014</v>
      </c>
      <c r="BB8251" s="561">
        <v>423201.99031000014</v>
      </c>
    </row>
    <row r="8252" spans="1:54" ht="14.25" customHeight="1">
      <c r="C8252" s="561" t="s">
        <v>1198</v>
      </c>
      <c r="G8252" s="561">
        <v>0</v>
      </c>
      <c r="H8252" s="561">
        <v>0</v>
      </c>
      <c r="I8252" s="561">
        <v>0</v>
      </c>
      <c r="J8252" s="561">
        <v>0</v>
      </c>
      <c r="K8252" s="561">
        <v>0</v>
      </c>
      <c r="L8252" s="561">
        <v>0</v>
      </c>
      <c r="M8252" s="561">
        <v>0</v>
      </c>
      <c r="N8252" s="561">
        <v>0</v>
      </c>
      <c r="O8252" s="561">
        <v>0</v>
      </c>
      <c r="P8252" s="561">
        <v>0</v>
      </c>
      <c r="Q8252" s="561">
        <v>0</v>
      </c>
      <c r="R8252" s="561">
        <v>0</v>
      </c>
    </row>
    <row r="8253" spans="1:54" ht="14.25" customHeight="1">
      <c r="C8253" s="561" t="s">
        <v>1199</v>
      </c>
      <c r="D8253" s="561">
        <v>16649</v>
      </c>
      <c r="E8253" s="561">
        <v>3394.5</v>
      </c>
      <c r="G8253" s="561">
        <v>13254.5</v>
      </c>
      <c r="H8253" s="561">
        <v>1229</v>
      </c>
      <c r="I8253" s="561">
        <v>16837.86363</v>
      </c>
      <c r="J8253" s="561">
        <v>2</v>
      </c>
      <c r="K8253" s="561">
        <v>99.555219999998371</v>
      </c>
      <c r="L8253" s="561">
        <v>1227</v>
      </c>
      <c r="M8253" s="561">
        <v>16738.308410000001</v>
      </c>
      <c r="N8253" s="561">
        <v>16738.308410000001</v>
      </c>
      <c r="O8253" s="561">
        <v>3394.4999999999995</v>
      </c>
      <c r="P8253" s="561">
        <v>13343.808410000001</v>
      </c>
      <c r="Q8253" s="561">
        <v>13343.808410000001</v>
      </c>
      <c r="R8253" s="561">
        <v>13343.808410000001</v>
      </c>
    </row>
    <row r="8254" spans="1:54" ht="14.25" customHeight="1">
      <c r="C8254" s="561" t="s">
        <v>1200</v>
      </c>
      <c r="G8254" s="561">
        <v>0</v>
      </c>
      <c r="H8254" s="561">
        <v>0</v>
      </c>
      <c r="I8254" s="561">
        <v>0</v>
      </c>
      <c r="J8254" s="561">
        <v>0</v>
      </c>
      <c r="K8254" s="561">
        <v>0</v>
      </c>
      <c r="L8254" s="561">
        <v>0</v>
      </c>
      <c r="M8254" s="561">
        <v>0</v>
      </c>
      <c r="N8254" s="561">
        <v>0</v>
      </c>
      <c r="O8254" s="561">
        <v>0</v>
      </c>
      <c r="P8254" s="561">
        <v>0</v>
      </c>
      <c r="Q8254" s="561">
        <v>0</v>
      </c>
      <c r="R8254" s="561">
        <v>0</v>
      </c>
    </row>
    <row r="8255" spans="1:54" ht="14.25" customHeight="1">
      <c r="A8255" s="561">
        <v>11</v>
      </c>
      <c r="B8255" s="561" t="s">
        <v>2023</v>
      </c>
      <c r="C8255" s="561" t="s">
        <v>1196</v>
      </c>
      <c r="D8255" s="561">
        <v>1239580</v>
      </c>
      <c r="E8255" s="561">
        <v>345323.4</v>
      </c>
      <c r="F8255" s="561">
        <v>0</v>
      </c>
      <c r="G8255" s="561">
        <v>894256.6</v>
      </c>
      <c r="H8255" s="561">
        <v>10968</v>
      </c>
      <c r="I8255" s="561">
        <v>1257565.6390500001</v>
      </c>
      <c r="J8255" s="561">
        <v>34</v>
      </c>
      <c r="K8255" s="561">
        <v>17985.634100000374</v>
      </c>
      <c r="L8255" s="561">
        <v>10934</v>
      </c>
      <c r="M8255" s="561">
        <v>1239580.0049499997</v>
      </c>
      <c r="N8255" s="561">
        <v>1239580.0049499997</v>
      </c>
      <c r="O8255" s="561">
        <v>345323.4</v>
      </c>
      <c r="P8255" s="561">
        <v>894256.60494999983</v>
      </c>
      <c r="Q8255" s="561">
        <v>894256.60494999983</v>
      </c>
      <c r="R8255" s="561">
        <v>894256.60494999983</v>
      </c>
    </row>
    <row r="8256" spans="1:54">
      <c r="C8256" s="561" t="s">
        <v>1197</v>
      </c>
      <c r="D8256" s="561">
        <v>1173283</v>
      </c>
      <c r="E8256" s="561">
        <v>336665.7</v>
      </c>
      <c r="G8256" s="561">
        <v>836617.3</v>
      </c>
      <c r="H8256" s="561">
        <v>10054</v>
      </c>
      <c r="I8256" s="561">
        <v>1177352.9175800001</v>
      </c>
      <c r="J8256" s="561">
        <v>34</v>
      </c>
      <c r="K8256" s="561">
        <v>18807.762160000391</v>
      </c>
      <c r="L8256" s="561">
        <v>10020</v>
      </c>
      <c r="M8256" s="561">
        <v>1158545.1554199997</v>
      </c>
      <c r="N8256" s="561">
        <v>1158545.1554199997</v>
      </c>
      <c r="O8256" s="561">
        <v>336665.7</v>
      </c>
      <c r="Q8256" s="561">
        <v>821879.45541999978</v>
      </c>
      <c r="R8256" s="561">
        <v>821879.45541999978</v>
      </c>
      <c r="BB8256" s="561">
        <v>821879.45541999978</v>
      </c>
    </row>
    <row r="8257" spans="1:54" ht="14.25" customHeight="1">
      <c r="C8257" s="561" t="s">
        <v>1198</v>
      </c>
      <c r="D8257" s="561">
        <v>43600</v>
      </c>
      <c r="E8257" s="561">
        <v>6388.8</v>
      </c>
      <c r="G8257" s="561">
        <v>37211.199999999997</v>
      </c>
      <c r="H8257" s="561">
        <v>77</v>
      </c>
      <c r="I8257" s="561">
        <v>53574.41977</v>
      </c>
      <c r="J8257" s="561">
        <v>0</v>
      </c>
      <c r="K8257" s="561">
        <v>-756.54928000000655</v>
      </c>
      <c r="L8257" s="561">
        <v>77</v>
      </c>
      <c r="M8257" s="561">
        <v>54330.969050000007</v>
      </c>
      <c r="N8257" s="561">
        <v>54330.969050000007</v>
      </c>
      <c r="O8257" s="561">
        <v>6388.8</v>
      </c>
      <c r="P8257" s="561">
        <v>47942.169050000004</v>
      </c>
      <c r="Q8257" s="561">
        <v>47942.169050000004</v>
      </c>
      <c r="R8257" s="561">
        <v>47942.169050000004</v>
      </c>
    </row>
    <row r="8258" spans="1:54" ht="14.25" customHeight="1">
      <c r="C8258" s="561" t="s">
        <v>1199</v>
      </c>
      <c r="D8258" s="561">
        <v>22697</v>
      </c>
      <c r="E8258" s="561">
        <v>2268.9</v>
      </c>
      <c r="G8258" s="561">
        <v>20428.099999999999</v>
      </c>
      <c r="H8258" s="561">
        <v>837</v>
      </c>
      <c r="I8258" s="561">
        <v>26638.3017</v>
      </c>
      <c r="J8258" s="561">
        <v>0</v>
      </c>
      <c r="K8258" s="561">
        <v>-65.578779999999824</v>
      </c>
      <c r="L8258" s="561">
        <v>837</v>
      </c>
      <c r="M8258" s="561">
        <v>26703.88048</v>
      </c>
      <c r="N8258" s="561">
        <v>26703.88048</v>
      </c>
      <c r="O8258" s="561">
        <v>2268.9</v>
      </c>
      <c r="P8258" s="561">
        <v>24434.980479999998</v>
      </c>
      <c r="Q8258" s="561">
        <v>24434.980479999998</v>
      </c>
      <c r="R8258" s="561">
        <v>24434.980479999998</v>
      </c>
    </row>
    <row r="8259" spans="1:54" ht="14.25" customHeight="1">
      <c r="C8259" s="561" t="s">
        <v>1200</v>
      </c>
      <c r="G8259" s="561">
        <v>0</v>
      </c>
      <c r="H8259" s="561">
        <v>0</v>
      </c>
      <c r="I8259" s="561">
        <v>0</v>
      </c>
      <c r="J8259" s="561">
        <v>0</v>
      </c>
      <c r="K8259" s="561">
        <v>0</v>
      </c>
      <c r="L8259" s="561">
        <v>0</v>
      </c>
      <c r="M8259" s="561">
        <v>0</v>
      </c>
      <c r="N8259" s="561">
        <v>0</v>
      </c>
      <c r="O8259" s="561">
        <v>0</v>
      </c>
      <c r="P8259" s="561">
        <v>0</v>
      </c>
      <c r="Q8259" s="561">
        <v>0</v>
      </c>
      <c r="R8259" s="561">
        <v>0</v>
      </c>
    </row>
    <row r="8260" spans="1:54" ht="14.25" customHeight="1">
      <c r="A8260" s="561">
        <v>12</v>
      </c>
      <c r="B8260" s="561" t="s">
        <v>2024</v>
      </c>
      <c r="C8260" s="561" t="s">
        <v>1196</v>
      </c>
      <c r="D8260" s="561">
        <v>740604</v>
      </c>
      <c r="E8260" s="561">
        <v>216187.49999999997</v>
      </c>
      <c r="F8260" s="561">
        <v>0</v>
      </c>
      <c r="G8260" s="561">
        <v>524416.5</v>
      </c>
      <c r="H8260" s="561">
        <v>10667</v>
      </c>
      <c r="I8260" s="561">
        <v>754635.78028000006</v>
      </c>
      <c r="J8260" s="561">
        <v>12</v>
      </c>
      <c r="K8260" s="561">
        <v>14032.340420000255</v>
      </c>
      <c r="L8260" s="561">
        <v>10655</v>
      </c>
      <c r="M8260" s="561">
        <v>740603.43985999981</v>
      </c>
      <c r="N8260" s="561">
        <v>740603.43985999981</v>
      </c>
      <c r="O8260" s="561">
        <v>216187.49999999997</v>
      </c>
      <c r="P8260" s="561">
        <v>524415.93985999981</v>
      </c>
      <c r="Q8260" s="561">
        <v>524415.93985999981</v>
      </c>
      <c r="R8260" s="561">
        <v>524415.93985999981</v>
      </c>
    </row>
    <row r="8261" spans="1:54">
      <c r="C8261" s="561" t="s">
        <v>1197</v>
      </c>
      <c r="D8261" s="561">
        <v>735103</v>
      </c>
      <c r="E8261" s="561">
        <v>214537.19999999998</v>
      </c>
      <c r="G8261" s="561">
        <v>520565.80000000005</v>
      </c>
      <c r="H8261" s="561">
        <v>10213</v>
      </c>
      <c r="I8261" s="561">
        <v>748536.6089900001</v>
      </c>
      <c r="J8261" s="561">
        <v>12</v>
      </c>
      <c r="K8261" s="561">
        <v>13950.599660000298</v>
      </c>
      <c r="L8261" s="561">
        <v>10201</v>
      </c>
      <c r="M8261" s="561">
        <v>734586.0093299998</v>
      </c>
      <c r="N8261" s="561">
        <v>734586.0093299998</v>
      </c>
      <c r="O8261" s="561">
        <v>214537.19999999998</v>
      </c>
      <c r="Q8261" s="561">
        <v>520048.80932999984</v>
      </c>
      <c r="R8261" s="561">
        <v>520048.80932999984</v>
      </c>
      <c r="BB8261" s="561">
        <v>520048.80932999984</v>
      </c>
    </row>
    <row r="8262" spans="1:54" ht="14.25" customHeight="1">
      <c r="C8262" s="561" t="s">
        <v>1198</v>
      </c>
      <c r="G8262" s="561">
        <v>0</v>
      </c>
      <c r="H8262" s="561">
        <v>0</v>
      </c>
      <c r="I8262" s="561">
        <v>0</v>
      </c>
      <c r="J8262" s="561">
        <v>0</v>
      </c>
      <c r="K8262" s="561">
        <v>0</v>
      </c>
      <c r="L8262" s="561">
        <v>0</v>
      </c>
      <c r="M8262" s="561">
        <v>0</v>
      </c>
      <c r="N8262" s="561">
        <v>0</v>
      </c>
      <c r="O8262" s="561">
        <v>0</v>
      </c>
      <c r="P8262" s="561">
        <v>0</v>
      </c>
      <c r="Q8262" s="561">
        <v>0</v>
      </c>
      <c r="R8262" s="561">
        <v>0</v>
      </c>
    </row>
    <row r="8263" spans="1:54" ht="14.25" customHeight="1">
      <c r="C8263" s="561" t="s">
        <v>1199</v>
      </c>
      <c r="D8263" s="561">
        <v>5501</v>
      </c>
      <c r="E8263" s="561">
        <v>1650.3</v>
      </c>
      <c r="G8263" s="561">
        <v>3850.7</v>
      </c>
      <c r="H8263" s="561">
        <v>454</v>
      </c>
      <c r="I8263" s="561">
        <v>6099.1712900000002</v>
      </c>
      <c r="J8263" s="561">
        <v>0</v>
      </c>
      <c r="K8263" s="561">
        <v>81.740759999999682</v>
      </c>
      <c r="L8263" s="561">
        <v>454</v>
      </c>
      <c r="M8263" s="561">
        <v>6017.4305300000005</v>
      </c>
      <c r="N8263" s="561">
        <v>6017.4305300000005</v>
      </c>
      <c r="O8263" s="561">
        <v>1650.3</v>
      </c>
      <c r="P8263" s="561">
        <v>4367.1305300000004</v>
      </c>
      <c r="Q8263" s="561">
        <v>4367.1305300000004</v>
      </c>
      <c r="R8263" s="561">
        <v>4367.1305300000004</v>
      </c>
    </row>
    <row r="8264" spans="1:54" ht="14.25" customHeight="1">
      <c r="C8264" s="561" t="s">
        <v>1200</v>
      </c>
      <c r="G8264" s="561">
        <v>0</v>
      </c>
      <c r="H8264" s="561">
        <v>0</v>
      </c>
      <c r="I8264" s="561">
        <v>0</v>
      </c>
      <c r="J8264" s="561">
        <v>0</v>
      </c>
      <c r="K8264" s="561">
        <v>0</v>
      </c>
      <c r="L8264" s="561">
        <v>0</v>
      </c>
      <c r="M8264" s="561">
        <v>0</v>
      </c>
      <c r="N8264" s="561">
        <v>0</v>
      </c>
      <c r="O8264" s="561">
        <v>0</v>
      </c>
      <c r="P8264" s="561">
        <v>0</v>
      </c>
      <c r="Q8264" s="561">
        <v>0</v>
      </c>
      <c r="R8264" s="561">
        <v>0</v>
      </c>
    </row>
    <row r="8265" spans="1:54" ht="14.25" customHeight="1">
      <c r="A8265" s="561">
        <v>13</v>
      </c>
      <c r="B8265" s="561" t="s">
        <v>2025</v>
      </c>
      <c r="C8265" s="561" t="s">
        <v>1196</v>
      </c>
      <c r="D8265" s="561">
        <v>153398.1</v>
      </c>
      <c r="E8265" s="561">
        <v>54132.3</v>
      </c>
      <c r="F8265" s="561">
        <v>0</v>
      </c>
      <c r="G8265" s="561">
        <v>99265.8</v>
      </c>
      <c r="H8265" s="561">
        <v>3583</v>
      </c>
      <c r="I8265" s="561">
        <v>154059.51515999998</v>
      </c>
      <c r="J8265" s="561">
        <v>10</v>
      </c>
      <c r="K8265" s="561">
        <v>664.08408999998937</v>
      </c>
      <c r="L8265" s="561">
        <v>3573</v>
      </c>
      <c r="M8265" s="561">
        <v>153395.43106999999</v>
      </c>
      <c r="N8265" s="561">
        <v>153395.43106999999</v>
      </c>
      <c r="O8265" s="561">
        <v>54132.3</v>
      </c>
      <c r="P8265" s="561">
        <v>99263.131070000003</v>
      </c>
      <c r="Q8265" s="561">
        <v>99263.131070000003</v>
      </c>
      <c r="R8265" s="561">
        <v>99263.131070000003</v>
      </c>
    </row>
    <row r="8266" spans="1:54" ht="15" customHeight="1">
      <c r="C8266" s="561" t="s">
        <v>1197</v>
      </c>
      <c r="D8266" s="561">
        <v>129060.7</v>
      </c>
      <c r="E8266" s="561">
        <v>47331</v>
      </c>
      <c r="G8266" s="561">
        <v>81729.7</v>
      </c>
      <c r="H8266" s="561">
        <v>1910</v>
      </c>
      <c r="I8266" s="561">
        <v>129535.40956999997</v>
      </c>
      <c r="J8266" s="561">
        <v>3</v>
      </c>
      <c r="K8266" s="561">
        <v>504.42808999997214</v>
      </c>
      <c r="L8266" s="561">
        <v>1907</v>
      </c>
      <c r="M8266" s="561">
        <v>129030.98148</v>
      </c>
      <c r="N8266" s="561">
        <v>129030.98148</v>
      </c>
      <c r="O8266" s="561">
        <v>47331</v>
      </c>
      <c r="Q8266" s="561">
        <v>81699.981480000002</v>
      </c>
      <c r="R8266" s="561">
        <v>81699.981480000002</v>
      </c>
      <c r="AR8266" s="561">
        <v>81699.981480000002</v>
      </c>
    </row>
    <row r="8267" spans="1:54" ht="14.25" customHeight="1">
      <c r="C8267" s="561" t="s">
        <v>1198</v>
      </c>
      <c r="G8267" s="561">
        <v>0</v>
      </c>
      <c r="H8267" s="561">
        <v>0</v>
      </c>
      <c r="I8267" s="561">
        <v>0</v>
      </c>
      <c r="J8267" s="561">
        <v>0</v>
      </c>
      <c r="K8267" s="561">
        <v>0</v>
      </c>
      <c r="L8267" s="561">
        <v>0</v>
      </c>
      <c r="M8267" s="561">
        <v>0</v>
      </c>
      <c r="N8267" s="561">
        <v>0</v>
      </c>
      <c r="O8267" s="561">
        <v>0</v>
      </c>
      <c r="P8267" s="561">
        <v>0</v>
      </c>
      <c r="Q8267" s="561">
        <v>0</v>
      </c>
      <c r="R8267" s="561">
        <v>0</v>
      </c>
    </row>
    <row r="8268" spans="1:54" ht="14.25" customHeight="1">
      <c r="C8268" s="561" t="s">
        <v>1199</v>
      </c>
      <c r="D8268" s="561">
        <v>24337.4</v>
      </c>
      <c r="E8268" s="561">
        <v>6801.3</v>
      </c>
      <c r="G8268" s="561">
        <v>17536.100000000002</v>
      </c>
      <c r="H8268" s="561">
        <v>1673</v>
      </c>
      <c r="I8268" s="561">
        <v>24524.105590000003</v>
      </c>
      <c r="J8268" s="561">
        <v>7</v>
      </c>
      <c r="K8268" s="561">
        <v>159.65600000000268</v>
      </c>
      <c r="L8268" s="561">
        <v>1666</v>
      </c>
      <c r="M8268" s="561">
        <v>24364.44959</v>
      </c>
      <c r="N8268" s="561">
        <v>24364.44959</v>
      </c>
      <c r="O8268" s="561">
        <v>6801.2999999999993</v>
      </c>
      <c r="P8268" s="561">
        <v>17563.149590000001</v>
      </c>
      <c r="Q8268" s="561">
        <v>17563.149590000001</v>
      </c>
      <c r="R8268" s="561">
        <v>17563.149590000001</v>
      </c>
    </row>
    <row r="8269" spans="1:54" ht="14.25" customHeight="1">
      <c r="C8269" s="561" t="s">
        <v>1200</v>
      </c>
      <c r="G8269" s="561">
        <v>0</v>
      </c>
      <c r="H8269" s="561">
        <v>0</v>
      </c>
      <c r="I8269" s="561">
        <v>0</v>
      </c>
      <c r="J8269" s="561">
        <v>0</v>
      </c>
      <c r="K8269" s="561">
        <v>0</v>
      </c>
      <c r="L8269" s="561">
        <v>0</v>
      </c>
      <c r="M8269" s="561">
        <v>0</v>
      </c>
      <c r="N8269" s="561">
        <v>0</v>
      </c>
      <c r="O8269" s="561">
        <v>0</v>
      </c>
      <c r="P8269" s="561">
        <v>0</v>
      </c>
      <c r="Q8269" s="561">
        <v>0</v>
      </c>
      <c r="R8269" s="561">
        <v>0</v>
      </c>
    </row>
    <row r="8270" spans="1:54" ht="14.25" customHeight="1">
      <c r="A8270" s="561">
        <v>14</v>
      </c>
      <c r="B8270" s="561" t="s">
        <v>2026</v>
      </c>
      <c r="C8270" s="561" t="s">
        <v>1196</v>
      </c>
      <c r="D8270" s="561">
        <v>312253</v>
      </c>
      <c r="E8270" s="561">
        <v>91308.599999999991</v>
      </c>
      <c r="F8270" s="561">
        <v>0</v>
      </c>
      <c r="G8270" s="561">
        <v>220944.4</v>
      </c>
      <c r="H8270" s="561">
        <v>14032</v>
      </c>
      <c r="I8270" s="561">
        <v>316517.00893499999</v>
      </c>
      <c r="J8270" s="561">
        <v>1987</v>
      </c>
      <c r="K8270" s="561">
        <v>4264.7930000000051</v>
      </c>
      <c r="L8270" s="561">
        <v>12045</v>
      </c>
      <c r="M8270" s="561">
        <v>312252.21593499999</v>
      </c>
      <c r="N8270" s="561">
        <v>312252.21593499999</v>
      </c>
      <c r="O8270" s="561">
        <v>91308.599999999991</v>
      </c>
      <c r="P8270" s="561">
        <v>220943.61593499998</v>
      </c>
      <c r="Q8270" s="561">
        <v>220943.61593499998</v>
      </c>
      <c r="R8270" s="561">
        <v>220943.61593499998</v>
      </c>
    </row>
    <row r="8271" spans="1:54" ht="15" customHeight="1">
      <c r="C8271" s="561" t="s">
        <v>1197</v>
      </c>
      <c r="D8271" s="561">
        <v>284259</v>
      </c>
      <c r="E8271" s="561">
        <v>82910.399999999994</v>
      </c>
      <c r="G8271" s="561">
        <v>201348.6</v>
      </c>
      <c r="H8271" s="561">
        <v>1743</v>
      </c>
      <c r="I8271" s="561">
        <v>284886.212</v>
      </c>
      <c r="J8271" s="561">
        <v>1</v>
      </c>
      <c r="K8271" s="561">
        <v>211.96370000002207</v>
      </c>
      <c r="L8271" s="561">
        <v>1742</v>
      </c>
      <c r="M8271" s="561">
        <v>284674.24829999998</v>
      </c>
      <c r="N8271" s="561">
        <v>284674.24829999998</v>
      </c>
      <c r="O8271" s="561">
        <v>82910.399999999994</v>
      </c>
      <c r="Q8271" s="561">
        <v>201763.84829999998</v>
      </c>
      <c r="R8271" s="561">
        <v>201763.84829999998</v>
      </c>
      <c r="AL8271" s="561">
        <v>201763.84829999998</v>
      </c>
    </row>
    <row r="8272" spans="1:54" ht="14.25" customHeight="1">
      <c r="C8272" s="561" t="s">
        <v>1198</v>
      </c>
      <c r="G8272" s="561">
        <v>0</v>
      </c>
      <c r="H8272" s="561">
        <v>0</v>
      </c>
      <c r="I8272" s="561">
        <v>0</v>
      </c>
      <c r="J8272" s="561">
        <v>0</v>
      </c>
      <c r="K8272" s="561">
        <v>0</v>
      </c>
      <c r="L8272" s="561">
        <v>0</v>
      </c>
      <c r="M8272" s="561">
        <v>0</v>
      </c>
      <c r="N8272" s="561">
        <v>0</v>
      </c>
      <c r="O8272" s="561">
        <v>0</v>
      </c>
      <c r="P8272" s="561">
        <v>0</v>
      </c>
      <c r="Q8272" s="561">
        <v>0</v>
      </c>
      <c r="R8272" s="561">
        <v>0</v>
      </c>
    </row>
    <row r="8273" spans="1:54" ht="14.25" customHeight="1">
      <c r="C8273" s="561" t="s">
        <v>1199</v>
      </c>
      <c r="D8273" s="561">
        <v>5144</v>
      </c>
      <c r="E8273" s="561">
        <v>1543.2</v>
      </c>
      <c r="G8273" s="561">
        <v>3600.8</v>
      </c>
      <c r="H8273" s="561">
        <v>303</v>
      </c>
      <c r="I8273" s="561">
        <v>5284.3448199999993</v>
      </c>
      <c r="J8273" s="561">
        <v>0</v>
      </c>
      <c r="K8273" s="561">
        <v>503.03701999999976</v>
      </c>
      <c r="L8273" s="561">
        <v>303</v>
      </c>
      <c r="M8273" s="561">
        <v>4781.3077999999996</v>
      </c>
      <c r="N8273" s="561">
        <v>4781.3077999999996</v>
      </c>
      <c r="O8273" s="561">
        <v>1543.2</v>
      </c>
      <c r="P8273" s="561">
        <v>3238.1077999999998</v>
      </c>
      <c r="Q8273" s="561">
        <v>3238.1077999999998</v>
      </c>
      <c r="R8273" s="561">
        <v>3238.1077999999998</v>
      </c>
    </row>
    <row r="8274" spans="1:54" ht="14.25" customHeight="1">
      <c r="C8274" s="561" t="s">
        <v>1200</v>
      </c>
      <c r="D8274" s="561">
        <v>22850</v>
      </c>
      <c r="E8274" s="561">
        <v>6855</v>
      </c>
      <c r="G8274" s="561">
        <v>15995</v>
      </c>
      <c r="H8274" s="561">
        <v>11986</v>
      </c>
      <c r="I8274" s="561">
        <v>26346.452114999996</v>
      </c>
      <c r="J8274" s="561">
        <v>1986</v>
      </c>
      <c r="K8274" s="561">
        <v>3549.7922799999978</v>
      </c>
      <c r="L8274" s="561">
        <v>10000</v>
      </c>
      <c r="M8274" s="561">
        <v>22796.659834999999</v>
      </c>
      <c r="N8274" s="561">
        <v>22796.659834999999</v>
      </c>
      <c r="O8274" s="561">
        <v>6855</v>
      </c>
      <c r="P8274" s="561">
        <v>15941.659834999999</v>
      </c>
      <c r="Q8274" s="561">
        <v>15941.659834999999</v>
      </c>
      <c r="R8274" s="561">
        <v>15941.659834999999</v>
      </c>
    </row>
    <row r="8275" spans="1:54" ht="14.25" customHeight="1">
      <c r="A8275" s="561">
        <v>15</v>
      </c>
      <c r="B8275" s="561" t="s">
        <v>2027</v>
      </c>
      <c r="C8275" s="561" t="s">
        <v>1196</v>
      </c>
      <c r="D8275" s="561">
        <v>2221177</v>
      </c>
      <c r="E8275" s="561">
        <v>580806.6</v>
      </c>
      <c r="F8275" s="561">
        <v>0</v>
      </c>
      <c r="G8275" s="561">
        <v>1640370.4</v>
      </c>
      <c r="H8275" s="561">
        <v>10888</v>
      </c>
      <c r="I8275" s="561">
        <v>2242952.2786100004</v>
      </c>
      <c r="J8275" s="561">
        <v>31</v>
      </c>
      <c r="K8275" s="561">
        <v>21775.763480000664</v>
      </c>
      <c r="L8275" s="561">
        <v>10857</v>
      </c>
      <c r="M8275" s="561">
        <v>2221176.5151299997</v>
      </c>
      <c r="N8275" s="561">
        <v>2221176.5151299997</v>
      </c>
      <c r="O8275" s="561">
        <v>580806.60000000009</v>
      </c>
      <c r="P8275" s="561">
        <v>1640369.9151299996</v>
      </c>
      <c r="Q8275" s="561">
        <v>1640369.9151299996</v>
      </c>
      <c r="R8275" s="561">
        <v>1640369.9151299996</v>
      </c>
    </row>
    <row r="8276" spans="1:54" ht="15" customHeight="1">
      <c r="C8276" s="561" t="s">
        <v>1197</v>
      </c>
      <c r="D8276" s="561">
        <v>1050010.1000000001</v>
      </c>
      <c r="E8276" s="561">
        <v>350773.8</v>
      </c>
      <c r="G8276" s="561">
        <v>699236.3</v>
      </c>
      <c r="H8276" s="561">
        <v>8250</v>
      </c>
      <c r="I8276" s="561">
        <v>869354.40733999992</v>
      </c>
      <c r="J8276" s="561">
        <v>27</v>
      </c>
      <c r="K8276" s="561">
        <v>11502.057270000107</v>
      </c>
      <c r="L8276" s="561">
        <v>8223</v>
      </c>
      <c r="M8276" s="561">
        <v>857852.35006999981</v>
      </c>
      <c r="N8276" s="561">
        <v>857852.35006999981</v>
      </c>
      <c r="O8276" s="561">
        <v>350773.80000000005</v>
      </c>
      <c r="Q8276" s="561">
        <v>507078.55006999976</v>
      </c>
      <c r="R8276" s="561">
        <v>507078.55006999976</v>
      </c>
      <c r="BB8276" s="561">
        <v>507078.55006999976</v>
      </c>
    </row>
    <row r="8277" spans="1:54" ht="14.25" customHeight="1">
      <c r="C8277" s="561" t="s">
        <v>1198</v>
      </c>
      <c r="D8277" s="561">
        <v>1171166.8999999999</v>
      </c>
      <c r="E8277" s="561">
        <v>230032.8</v>
      </c>
      <c r="G8277" s="561">
        <v>941134.09999999986</v>
      </c>
      <c r="H8277" s="561">
        <v>2638</v>
      </c>
      <c r="I8277" s="561">
        <v>1373597.8712700002</v>
      </c>
      <c r="J8277" s="561">
        <v>4</v>
      </c>
      <c r="K8277" s="561">
        <v>10273.706210000208</v>
      </c>
      <c r="L8277" s="561">
        <v>2634</v>
      </c>
      <c r="M8277" s="561">
        <v>1363324.16506</v>
      </c>
      <c r="N8277" s="561">
        <v>1363324.16506</v>
      </c>
      <c r="O8277" s="561">
        <v>230032.8</v>
      </c>
      <c r="P8277" s="561">
        <v>1133291.36506</v>
      </c>
      <c r="Q8277" s="561">
        <v>1133291.36506</v>
      </c>
      <c r="R8277" s="561">
        <v>1133291.36506</v>
      </c>
    </row>
    <row r="8278" spans="1:54" ht="14.25" customHeight="1">
      <c r="C8278" s="561" t="s">
        <v>1199</v>
      </c>
      <c r="G8278" s="561">
        <v>0</v>
      </c>
      <c r="H8278" s="561">
        <v>0</v>
      </c>
      <c r="I8278" s="561">
        <v>0</v>
      </c>
      <c r="J8278" s="561">
        <v>0</v>
      </c>
      <c r="K8278" s="561">
        <v>0</v>
      </c>
      <c r="L8278" s="561">
        <v>0</v>
      </c>
      <c r="M8278" s="561">
        <v>0</v>
      </c>
      <c r="N8278" s="561">
        <v>0</v>
      </c>
      <c r="O8278" s="561">
        <v>0</v>
      </c>
      <c r="P8278" s="561">
        <v>0</v>
      </c>
      <c r="Q8278" s="561">
        <v>0</v>
      </c>
      <c r="R8278" s="561">
        <v>0</v>
      </c>
    </row>
    <row r="8279" spans="1:54" ht="14.25" customHeight="1">
      <c r="C8279" s="561" t="s">
        <v>1200</v>
      </c>
      <c r="G8279" s="561">
        <v>0</v>
      </c>
      <c r="H8279" s="561">
        <v>0</v>
      </c>
      <c r="I8279" s="561">
        <v>0</v>
      </c>
      <c r="J8279" s="561">
        <v>0</v>
      </c>
      <c r="K8279" s="561">
        <v>0</v>
      </c>
      <c r="L8279" s="561">
        <v>0</v>
      </c>
      <c r="M8279" s="561">
        <v>0</v>
      </c>
      <c r="N8279" s="561">
        <v>0</v>
      </c>
      <c r="O8279" s="561">
        <v>0</v>
      </c>
      <c r="P8279" s="561">
        <v>0</v>
      </c>
      <c r="Q8279" s="561">
        <v>0</v>
      </c>
      <c r="R8279" s="561">
        <v>0</v>
      </c>
    </row>
    <row r="8280" spans="1:54" ht="14.25" customHeight="1">
      <c r="A8280" s="561">
        <v>16</v>
      </c>
      <c r="B8280" s="561" t="s">
        <v>2028</v>
      </c>
      <c r="C8280" s="561" t="s">
        <v>1196</v>
      </c>
      <c r="D8280" s="561">
        <v>12108</v>
      </c>
      <c r="E8280" s="561">
        <v>4350.6000000000004</v>
      </c>
      <c r="F8280" s="561">
        <v>0</v>
      </c>
      <c r="G8280" s="561">
        <v>7757.4</v>
      </c>
      <c r="H8280" s="561">
        <v>292</v>
      </c>
      <c r="I8280" s="561">
        <v>12331.419120000002</v>
      </c>
      <c r="J8280" s="561">
        <v>5</v>
      </c>
      <c r="K8280" s="561">
        <v>223.42288333333272</v>
      </c>
      <c r="L8280" s="561">
        <v>287</v>
      </c>
      <c r="M8280" s="561">
        <v>12107.99623666667</v>
      </c>
      <c r="N8280" s="561">
        <v>12107.99623666667</v>
      </c>
      <c r="O8280" s="561">
        <v>4350.596999999997</v>
      </c>
      <c r="P8280" s="561">
        <v>7757.3992366666735</v>
      </c>
      <c r="Q8280" s="561">
        <v>7757.3992366666735</v>
      </c>
      <c r="R8280" s="561">
        <v>7757.3992366666735</v>
      </c>
    </row>
    <row r="8281" spans="1:54" ht="15" customHeight="1">
      <c r="C8281" s="561" t="s">
        <v>1197</v>
      </c>
      <c r="D8281" s="561">
        <v>10434</v>
      </c>
      <c r="E8281" s="561">
        <v>3848.1</v>
      </c>
      <c r="G8281" s="561">
        <v>6585.9</v>
      </c>
      <c r="H8281" s="561">
        <v>170</v>
      </c>
      <c r="I8281" s="561">
        <v>10427.529650000002</v>
      </c>
      <c r="J8281" s="561">
        <v>4</v>
      </c>
      <c r="K8281" s="561">
        <v>211.37025333333258</v>
      </c>
      <c r="L8281" s="561">
        <v>166</v>
      </c>
      <c r="M8281" s="561">
        <v>10216.15939666667</v>
      </c>
      <c r="N8281" s="561">
        <v>10216.15939666667</v>
      </c>
      <c r="O8281" s="561">
        <v>3848.0969999999966</v>
      </c>
      <c r="Q8281" s="561">
        <v>6368.0623966666735</v>
      </c>
      <c r="R8281" s="561">
        <v>6368.0623966666735</v>
      </c>
      <c r="AL8281" s="561">
        <v>6368.0623966666735</v>
      </c>
    </row>
    <row r="8282" spans="1:54" ht="14.25" customHeight="1">
      <c r="C8282" s="561" t="s">
        <v>1198</v>
      </c>
      <c r="G8282" s="561">
        <v>0</v>
      </c>
      <c r="H8282" s="561">
        <v>0</v>
      </c>
      <c r="I8282" s="561">
        <v>0</v>
      </c>
      <c r="J8282" s="561">
        <v>0</v>
      </c>
      <c r="K8282" s="561">
        <v>0</v>
      </c>
      <c r="L8282" s="561">
        <v>0</v>
      </c>
      <c r="M8282" s="561">
        <v>0</v>
      </c>
      <c r="N8282" s="561">
        <v>0</v>
      </c>
      <c r="O8282" s="561">
        <v>0</v>
      </c>
      <c r="P8282" s="561">
        <v>0</v>
      </c>
      <c r="Q8282" s="561">
        <v>0</v>
      </c>
      <c r="R8282" s="561">
        <v>0</v>
      </c>
    </row>
    <row r="8283" spans="1:54" ht="14.25" customHeight="1">
      <c r="C8283" s="561" t="s">
        <v>1199</v>
      </c>
      <c r="D8283" s="561">
        <v>1674</v>
      </c>
      <c r="E8283" s="561">
        <v>502.5</v>
      </c>
      <c r="G8283" s="561">
        <v>1171.5</v>
      </c>
      <c r="H8283" s="561">
        <v>122</v>
      </c>
      <c r="I8283" s="561">
        <v>1903.8894700000001</v>
      </c>
      <c r="J8283" s="561">
        <v>1</v>
      </c>
      <c r="K8283" s="561">
        <v>12.052630000000136</v>
      </c>
      <c r="L8283" s="561">
        <v>121</v>
      </c>
      <c r="M8283" s="561">
        <v>1891.8368399999999</v>
      </c>
      <c r="N8283" s="561">
        <v>1891.8368399999999</v>
      </c>
      <c r="O8283" s="561">
        <v>502.50000000000034</v>
      </c>
      <c r="P8283" s="561">
        <v>1389.3368399999995</v>
      </c>
      <c r="Q8283" s="561">
        <v>1389.3368399999995</v>
      </c>
      <c r="R8283" s="561">
        <v>1389.3368399999995</v>
      </c>
    </row>
    <row r="8284" spans="1:54" ht="14.25" customHeight="1">
      <c r="C8284" s="561" t="s">
        <v>1200</v>
      </c>
      <c r="G8284" s="561">
        <v>0</v>
      </c>
      <c r="H8284" s="561">
        <v>0</v>
      </c>
      <c r="I8284" s="561">
        <v>0</v>
      </c>
      <c r="J8284" s="561">
        <v>0</v>
      </c>
      <c r="K8284" s="561">
        <v>0</v>
      </c>
      <c r="L8284" s="561">
        <v>0</v>
      </c>
      <c r="M8284" s="561">
        <v>0</v>
      </c>
      <c r="N8284" s="561">
        <v>0</v>
      </c>
      <c r="O8284" s="561">
        <v>0</v>
      </c>
      <c r="P8284" s="561">
        <v>0</v>
      </c>
      <c r="Q8284" s="561">
        <v>0</v>
      </c>
      <c r="R8284" s="561">
        <v>0</v>
      </c>
    </row>
    <row r="8285" spans="1:54" ht="14.25" customHeight="1">
      <c r="A8285" s="561">
        <v>17</v>
      </c>
      <c r="B8285" s="561" t="s">
        <v>2029</v>
      </c>
      <c r="C8285" s="561" t="s">
        <v>1196</v>
      </c>
      <c r="D8285" s="561">
        <v>533557</v>
      </c>
      <c r="E8285" s="561">
        <v>146927.4</v>
      </c>
      <c r="F8285" s="561">
        <v>0</v>
      </c>
      <c r="G8285" s="561">
        <v>386629.6</v>
      </c>
      <c r="H8285" s="561">
        <v>9220</v>
      </c>
      <c r="I8285" s="561">
        <v>556729.43105000001</v>
      </c>
      <c r="J8285" s="561">
        <v>79</v>
      </c>
      <c r="K8285" s="561">
        <v>23174.235730000073</v>
      </c>
      <c r="L8285" s="561">
        <v>9141</v>
      </c>
      <c r="M8285" s="561">
        <v>533555.19531999994</v>
      </c>
      <c r="N8285" s="561">
        <v>533555.19531999994</v>
      </c>
      <c r="O8285" s="561">
        <v>146927.4</v>
      </c>
      <c r="P8285" s="561">
        <v>386627.79531999986</v>
      </c>
      <c r="Q8285" s="561">
        <v>386627.79531999986</v>
      </c>
      <c r="R8285" s="561">
        <v>386627.79531999986</v>
      </c>
    </row>
    <row r="8286" spans="1:54" ht="15" customHeight="1">
      <c r="C8286" s="561" t="s">
        <v>1197</v>
      </c>
      <c r="D8286" s="561">
        <v>507096</v>
      </c>
      <c r="E8286" s="561">
        <v>139130.4</v>
      </c>
      <c r="G8286" s="561">
        <v>367965.6</v>
      </c>
      <c r="H8286" s="561">
        <v>7541</v>
      </c>
      <c r="I8286" s="561">
        <v>516976.07611000002</v>
      </c>
      <c r="J8286" s="561">
        <v>42</v>
      </c>
      <c r="K8286" s="561">
        <v>9793.8749400001252</v>
      </c>
      <c r="L8286" s="561">
        <v>7499</v>
      </c>
      <c r="M8286" s="561">
        <v>507182.2011699999</v>
      </c>
      <c r="N8286" s="561">
        <v>507182.2011699999</v>
      </c>
      <c r="O8286" s="561">
        <v>139130.4</v>
      </c>
      <c r="Q8286" s="561">
        <v>368051.80116999988</v>
      </c>
      <c r="R8286" s="561">
        <v>368051.80116999988</v>
      </c>
      <c r="AL8286" s="561">
        <v>368051.80116999988</v>
      </c>
    </row>
    <row r="8287" spans="1:54" ht="14.25" customHeight="1">
      <c r="C8287" s="561" t="s">
        <v>1198</v>
      </c>
      <c r="G8287" s="561">
        <v>0</v>
      </c>
      <c r="H8287" s="561">
        <v>36</v>
      </c>
      <c r="I8287" s="561">
        <v>13268.6443</v>
      </c>
      <c r="J8287" s="561">
        <v>36</v>
      </c>
      <c r="K8287" s="561">
        <v>13268.6443</v>
      </c>
      <c r="L8287" s="561">
        <v>0</v>
      </c>
      <c r="M8287" s="561">
        <v>0</v>
      </c>
      <c r="N8287" s="561">
        <v>0</v>
      </c>
      <c r="O8287" s="561">
        <v>0</v>
      </c>
      <c r="P8287" s="561">
        <v>0</v>
      </c>
      <c r="Q8287" s="561">
        <v>0</v>
      </c>
      <c r="R8287" s="561">
        <v>0</v>
      </c>
    </row>
    <row r="8288" spans="1:54" ht="14.25" customHeight="1">
      <c r="C8288" s="561" t="s">
        <v>1199</v>
      </c>
      <c r="D8288" s="561">
        <v>26461</v>
      </c>
      <c r="E8288" s="561">
        <v>7797</v>
      </c>
      <c r="G8288" s="561">
        <v>18664</v>
      </c>
      <c r="H8288" s="561">
        <v>1643</v>
      </c>
      <c r="I8288" s="561">
        <v>26484.710640000001</v>
      </c>
      <c r="J8288" s="561">
        <v>1</v>
      </c>
      <c r="K8288" s="561">
        <v>111.71648999999888</v>
      </c>
      <c r="L8288" s="561">
        <v>1642</v>
      </c>
      <c r="M8288" s="561">
        <v>26372.994150000002</v>
      </c>
      <c r="N8288" s="561">
        <v>26372.994150000002</v>
      </c>
      <c r="O8288" s="561">
        <v>7796.9999999999991</v>
      </c>
      <c r="P8288" s="561">
        <v>18575.994150000002</v>
      </c>
      <c r="Q8288" s="561">
        <v>18575.994150000002</v>
      </c>
      <c r="R8288" s="561">
        <v>18575.994150000002</v>
      </c>
    </row>
    <row r="8289" spans="1:46" ht="14.25" customHeight="1">
      <c r="C8289" s="561" t="s">
        <v>1200</v>
      </c>
      <c r="G8289" s="561">
        <v>0</v>
      </c>
      <c r="H8289" s="561">
        <v>0</v>
      </c>
      <c r="I8289" s="561">
        <v>0</v>
      </c>
      <c r="J8289" s="561">
        <v>0</v>
      </c>
      <c r="K8289" s="561">
        <v>0</v>
      </c>
      <c r="L8289" s="561">
        <v>0</v>
      </c>
      <c r="M8289" s="561">
        <v>0</v>
      </c>
      <c r="N8289" s="561">
        <v>0</v>
      </c>
      <c r="O8289" s="561">
        <v>0</v>
      </c>
      <c r="P8289" s="561">
        <v>0</v>
      </c>
      <c r="Q8289" s="561">
        <v>0</v>
      </c>
      <c r="R8289" s="561">
        <v>0</v>
      </c>
    </row>
    <row r="8290" spans="1:46" ht="14.25" customHeight="1">
      <c r="A8290" s="561">
        <v>18</v>
      </c>
      <c r="B8290" s="561" t="s">
        <v>2030</v>
      </c>
      <c r="C8290" s="561" t="s">
        <v>1196</v>
      </c>
      <c r="D8290" s="561">
        <v>6625076</v>
      </c>
      <c r="E8290" s="561">
        <v>1020000</v>
      </c>
      <c r="F8290" s="561">
        <v>415142.95279999997</v>
      </c>
      <c r="G8290" s="561">
        <v>5189933.0471999999</v>
      </c>
      <c r="H8290" s="561">
        <v>6054</v>
      </c>
      <c r="I8290" s="561">
        <v>6758753.2205899991</v>
      </c>
      <c r="J8290" s="561">
        <v>99</v>
      </c>
      <c r="K8290" s="561">
        <v>133677.25461999886</v>
      </c>
      <c r="L8290" s="561">
        <v>5955</v>
      </c>
      <c r="M8290" s="561">
        <v>6625075.9659700003</v>
      </c>
      <c r="N8290" s="561">
        <v>6625075.9659700003</v>
      </c>
      <c r="O8290" s="561">
        <v>1435142.9527999999</v>
      </c>
      <c r="P8290" s="561">
        <v>5189933.0131699992</v>
      </c>
      <c r="Q8290" s="561">
        <v>5189933.0131699992</v>
      </c>
      <c r="R8290" s="561">
        <v>5189933.0131699992</v>
      </c>
    </row>
    <row r="8291" spans="1:46" s="882" customFormat="1" ht="15" customHeight="1">
      <c r="C8291" s="882" t="s">
        <v>1197</v>
      </c>
      <c r="D8291" s="882">
        <v>1326101</v>
      </c>
      <c r="E8291" s="882">
        <v>165933.29999999999</v>
      </c>
      <c r="F8291" s="882">
        <v>198266.50880000001</v>
      </c>
      <c r="G8291" s="882">
        <v>961901.1912</v>
      </c>
      <c r="H8291" s="882">
        <v>3984</v>
      </c>
      <c r="I8291" s="882">
        <v>1371537.5258800001</v>
      </c>
      <c r="J8291" s="882">
        <v>67</v>
      </c>
      <c r="K8291" s="882">
        <v>38255.118230000138</v>
      </c>
      <c r="L8291" s="882">
        <v>3917</v>
      </c>
      <c r="M8291" s="882">
        <v>1333282.40765</v>
      </c>
      <c r="N8291" s="882">
        <v>1333282.40765</v>
      </c>
      <c r="O8291" s="882">
        <v>364199.8088</v>
      </c>
      <c r="Q8291" s="882">
        <v>969082.59884999995</v>
      </c>
      <c r="R8291" s="882">
        <v>969082.59884999995</v>
      </c>
      <c r="AM8291" s="882">
        <v>969082.59884999995</v>
      </c>
    </row>
    <row r="8292" spans="1:46" ht="14.25" customHeight="1">
      <c r="C8292" s="561" t="s">
        <v>1198</v>
      </c>
      <c r="D8292" s="561">
        <v>5298975</v>
      </c>
      <c r="E8292" s="561">
        <v>854066.7</v>
      </c>
      <c r="F8292" s="561">
        <v>216876.44399999999</v>
      </c>
      <c r="G8292" s="561">
        <v>4228031.8559999997</v>
      </c>
      <c r="H8292" s="561">
        <v>2070</v>
      </c>
      <c r="I8292" s="561">
        <v>5387215.6947099995</v>
      </c>
      <c r="J8292" s="561">
        <v>32</v>
      </c>
      <c r="K8292" s="561">
        <v>95422.13638999965</v>
      </c>
      <c r="L8292" s="561">
        <v>2038</v>
      </c>
      <c r="M8292" s="561">
        <v>5291793.5583199998</v>
      </c>
      <c r="N8292" s="561">
        <v>5291793.5583199998</v>
      </c>
      <c r="O8292" s="561">
        <v>1070943.1439999999</v>
      </c>
      <c r="P8292" s="561">
        <v>4220850.4143199995</v>
      </c>
      <c r="Q8292" s="561">
        <v>4220850.4143199995</v>
      </c>
      <c r="R8292" s="561">
        <v>4220850.4143199995</v>
      </c>
    </row>
    <row r="8293" spans="1:46" ht="14.25" customHeight="1">
      <c r="C8293" s="561" t="s">
        <v>1199</v>
      </c>
      <c r="G8293" s="561">
        <v>0</v>
      </c>
      <c r="H8293" s="561">
        <v>0</v>
      </c>
      <c r="I8293" s="561">
        <v>0</v>
      </c>
      <c r="J8293" s="561">
        <v>0</v>
      </c>
      <c r="K8293" s="561">
        <v>0</v>
      </c>
      <c r="L8293" s="561">
        <v>0</v>
      </c>
      <c r="M8293" s="561">
        <v>0</v>
      </c>
      <c r="N8293" s="561">
        <v>0</v>
      </c>
      <c r="O8293" s="561">
        <v>0</v>
      </c>
      <c r="P8293" s="561">
        <v>0</v>
      </c>
      <c r="Q8293" s="561">
        <v>0</v>
      </c>
      <c r="R8293" s="561">
        <v>0</v>
      </c>
    </row>
    <row r="8294" spans="1:46" ht="14.25" customHeight="1">
      <c r="C8294" s="561" t="s">
        <v>1200</v>
      </c>
      <c r="G8294" s="561">
        <v>0</v>
      </c>
      <c r="H8294" s="561">
        <v>0</v>
      </c>
      <c r="I8294" s="561">
        <v>0</v>
      </c>
      <c r="J8294" s="561">
        <v>0</v>
      </c>
      <c r="K8294" s="561">
        <v>0</v>
      </c>
      <c r="L8294" s="561">
        <v>0</v>
      </c>
      <c r="M8294" s="561">
        <v>0</v>
      </c>
      <c r="N8294" s="561">
        <v>0</v>
      </c>
      <c r="O8294" s="561">
        <v>0</v>
      </c>
      <c r="P8294" s="561">
        <v>0</v>
      </c>
      <c r="Q8294" s="561">
        <v>0</v>
      </c>
      <c r="R8294" s="561">
        <v>0</v>
      </c>
    </row>
    <row r="8295" spans="1:46" ht="14.25" customHeight="1">
      <c r="A8295" s="561">
        <v>19</v>
      </c>
      <c r="B8295" s="561" t="s">
        <v>2031</v>
      </c>
      <c r="C8295" s="561" t="s">
        <v>1196</v>
      </c>
      <c r="D8295" s="561">
        <v>94342</v>
      </c>
      <c r="E8295" s="561">
        <v>25053.9</v>
      </c>
      <c r="F8295" s="561">
        <v>0</v>
      </c>
      <c r="G8295" s="561">
        <v>69288.100000000006</v>
      </c>
      <c r="H8295" s="561">
        <v>946</v>
      </c>
      <c r="I8295" s="561">
        <v>97290.462270000018</v>
      </c>
      <c r="J8295" s="561">
        <v>0</v>
      </c>
      <c r="K8295" s="561">
        <v>2948.4637200000143</v>
      </c>
      <c r="L8295" s="561">
        <v>946</v>
      </c>
      <c r="M8295" s="561">
        <v>94341.998550000004</v>
      </c>
      <c r="N8295" s="561">
        <v>94341.998550000004</v>
      </c>
      <c r="O8295" s="561">
        <v>25053.899999999998</v>
      </c>
      <c r="P8295" s="561">
        <v>69288.09855000001</v>
      </c>
      <c r="Q8295" s="561">
        <v>69288.09855000001</v>
      </c>
      <c r="R8295" s="561">
        <v>69288.09855000001</v>
      </c>
    </row>
    <row r="8296" spans="1:46" ht="15" customHeight="1">
      <c r="C8296" s="561" t="s">
        <v>1197</v>
      </c>
      <c r="D8296" s="561">
        <v>87137</v>
      </c>
      <c r="E8296" s="561">
        <v>23932.2</v>
      </c>
      <c r="G8296" s="561">
        <v>63204.800000000003</v>
      </c>
      <c r="H8296" s="561">
        <v>767</v>
      </c>
      <c r="I8296" s="561">
        <v>90432.804910000021</v>
      </c>
      <c r="J8296" s="561">
        <v>0</v>
      </c>
      <c r="K8296" s="561">
        <v>2815.1626133333484</v>
      </c>
      <c r="L8296" s="561">
        <v>767</v>
      </c>
      <c r="M8296" s="561">
        <v>87617.642296666672</v>
      </c>
      <c r="N8296" s="561">
        <v>87617.642296666672</v>
      </c>
      <c r="O8296" s="561">
        <v>23932.199999999997</v>
      </c>
      <c r="Q8296" s="561">
        <v>63685.442296666675</v>
      </c>
      <c r="R8296" s="561">
        <v>63685.442296666675</v>
      </c>
      <c r="AT8296" s="561">
        <v>63685.442296666675</v>
      </c>
    </row>
    <row r="8297" spans="1:46" ht="14.25" customHeight="1">
      <c r="C8297" s="561" t="s">
        <v>1198</v>
      </c>
      <c r="G8297" s="561">
        <v>0</v>
      </c>
      <c r="H8297" s="561">
        <v>0</v>
      </c>
      <c r="I8297" s="561">
        <v>0</v>
      </c>
      <c r="J8297" s="561">
        <v>0</v>
      </c>
      <c r="K8297" s="561">
        <v>0</v>
      </c>
      <c r="L8297" s="561">
        <v>0</v>
      </c>
      <c r="M8297" s="561">
        <v>0</v>
      </c>
      <c r="N8297" s="561">
        <v>0</v>
      </c>
      <c r="O8297" s="561">
        <v>0</v>
      </c>
      <c r="P8297" s="561">
        <v>0</v>
      </c>
      <c r="Q8297" s="561">
        <v>0</v>
      </c>
      <c r="R8297" s="561">
        <v>0</v>
      </c>
    </row>
    <row r="8298" spans="1:46" ht="14.25" customHeight="1">
      <c r="C8298" s="561" t="s">
        <v>1199</v>
      </c>
      <c r="D8298" s="561">
        <v>7205</v>
      </c>
      <c r="E8298" s="561">
        <v>1121.7</v>
      </c>
      <c r="G8298" s="561">
        <v>6083.3</v>
      </c>
      <c r="H8298" s="561">
        <v>179</v>
      </c>
      <c r="I8298" s="561">
        <v>6857.6573600000011</v>
      </c>
      <c r="J8298" s="561">
        <v>0</v>
      </c>
      <c r="K8298" s="561">
        <v>133.30110666666769</v>
      </c>
      <c r="L8298" s="561">
        <v>179</v>
      </c>
      <c r="M8298" s="561">
        <v>6724.3562533333334</v>
      </c>
      <c r="N8298" s="561">
        <v>6724.3562533333334</v>
      </c>
      <c r="O8298" s="561">
        <v>1121.7</v>
      </c>
      <c r="P8298" s="561">
        <v>5602.6562533333336</v>
      </c>
      <c r="Q8298" s="561">
        <v>5602.6562533333336</v>
      </c>
      <c r="R8298" s="561">
        <v>5602.6562533333336</v>
      </c>
    </row>
    <row r="8299" spans="1:46" ht="14.25" customHeight="1">
      <c r="C8299" s="561" t="s">
        <v>1200</v>
      </c>
      <c r="G8299" s="561">
        <v>0</v>
      </c>
      <c r="H8299" s="561">
        <v>0</v>
      </c>
      <c r="I8299" s="561">
        <v>0</v>
      </c>
      <c r="J8299" s="561">
        <v>0</v>
      </c>
      <c r="K8299" s="561">
        <v>0</v>
      </c>
      <c r="L8299" s="561">
        <v>0</v>
      </c>
      <c r="M8299" s="561">
        <v>0</v>
      </c>
      <c r="N8299" s="561">
        <v>0</v>
      </c>
      <c r="O8299" s="561">
        <v>0</v>
      </c>
      <c r="P8299" s="561">
        <v>0</v>
      </c>
      <c r="Q8299" s="561">
        <v>0</v>
      </c>
      <c r="R8299" s="561">
        <v>0</v>
      </c>
    </row>
    <row r="8300" spans="1:46" ht="14.25" customHeight="1">
      <c r="A8300" s="561">
        <v>20</v>
      </c>
      <c r="B8300" s="561" t="s">
        <v>2032</v>
      </c>
      <c r="C8300" s="561" t="s">
        <v>1196</v>
      </c>
      <c r="D8300" s="561">
        <v>1120026</v>
      </c>
      <c r="E8300" s="561">
        <v>320300.99999999994</v>
      </c>
      <c r="F8300" s="561">
        <v>0</v>
      </c>
      <c r="G8300" s="561">
        <v>799725.00000000012</v>
      </c>
      <c r="H8300" s="561">
        <v>282569</v>
      </c>
      <c r="I8300" s="561">
        <v>1140637.40392</v>
      </c>
      <c r="J8300" s="561">
        <v>6416</v>
      </c>
      <c r="K8300" s="561">
        <v>20611.40748666646</v>
      </c>
      <c r="L8300" s="561">
        <v>276153</v>
      </c>
      <c r="M8300" s="561">
        <v>1120025.9964333335</v>
      </c>
      <c r="N8300" s="561">
        <v>1120025.9964333335</v>
      </c>
      <c r="O8300" s="561">
        <v>320300.99999999994</v>
      </c>
      <c r="P8300" s="561">
        <v>799724.99643333349</v>
      </c>
      <c r="Q8300" s="561">
        <v>799724.99643333349</v>
      </c>
      <c r="R8300" s="561">
        <v>799724.99643333349</v>
      </c>
    </row>
    <row r="8301" spans="1:46" s="882" customFormat="1" ht="15" customHeight="1">
      <c r="C8301" s="882" t="s">
        <v>1197</v>
      </c>
      <c r="G8301" s="882">
        <v>0</v>
      </c>
      <c r="H8301" s="882">
        <v>0</v>
      </c>
      <c r="I8301" s="882">
        <v>0</v>
      </c>
      <c r="J8301" s="882">
        <v>0</v>
      </c>
      <c r="K8301" s="882">
        <v>0</v>
      </c>
      <c r="L8301" s="882">
        <v>0</v>
      </c>
      <c r="M8301" s="882">
        <v>0</v>
      </c>
      <c r="N8301" s="882">
        <v>0</v>
      </c>
      <c r="O8301" s="882">
        <v>0</v>
      </c>
      <c r="P8301" s="882">
        <v>0</v>
      </c>
      <c r="Q8301" s="882">
        <v>0</v>
      </c>
      <c r="R8301" s="882">
        <v>0</v>
      </c>
    </row>
    <row r="8302" spans="1:46" ht="14.25" customHeight="1">
      <c r="C8302" s="561" t="s">
        <v>1198</v>
      </c>
      <c r="G8302" s="561">
        <v>0</v>
      </c>
      <c r="H8302" s="561">
        <v>0</v>
      </c>
      <c r="I8302" s="561">
        <v>0</v>
      </c>
      <c r="J8302" s="561">
        <v>0</v>
      </c>
      <c r="K8302" s="561">
        <v>0</v>
      </c>
      <c r="L8302" s="561">
        <v>0</v>
      </c>
      <c r="M8302" s="561">
        <v>0</v>
      </c>
      <c r="N8302" s="561">
        <v>0</v>
      </c>
      <c r="O8302" s="561">
        <v>0</v>
      </c>
      <c r="P8302" s="561">
        <v>0</v>
      </c>
      <c r="Q8302" s="561">
        <v>0</v>
      </c>
      <c r="R8302" s="561">
        <v>0</v>
      </c>
    </row>
    <row r="8303" spans="1:46" ht="14.25" customHeight="1">
      <c r="C8303" s="561" t="s">
        <v>1199</v>
      </c>
      <c r="D8303" s="561">
        <v>17572</v>
      </c>
      <c r="E8303" s="561">
        <v>5271.5999999999995</v>
      </c>
      <c r="G8303" s="561">
        <v>12300.400000000001</v>
      </c>
      <c r="H8303" s="561">
        <v>991</v>
      </c>
      <c r="I8303" s="561">
        <v>14301.892059999998</v>
      </c>
      <c r="J8303" s="561">
        <v>6</v>
      </c>
      <c r="K8303" s="561">
        <v>227.59804999999687</v>
      </c>
      <c r="L8303" s="561">
        <v>985</v>
      </c>
      <c r="M8303" s="561">
        <v>14074.294010000001</v>
      </c>
      <c r="N8303" s="561">
        <v>14074.294010000001</v>
      </c>
      <c r="O8303" s="561">
        <v>5271.5999999999995</v>
      </c>
      <c r="P8303" s="561">
        <v>8802.6940100000029</v>
      </c>
      <c r="Q8303" s="561">
        <v>8802.6940100000029</v>
      </c>
      <c r="R8303" s="561">
        <v>8802.6940100000029</v>
      </c>
    </row>
    <row r="8304" spans="1:46" ht="14.25" customHeight="1">
      <c r="C8304" s="561" t="s">
        <v>1200</v>
      </c>
      <c r="D8304" s="561">
        <v>1102454</v>
      </c>
      <c r="E8304" s="561">
        <v>315029.39999999997</v>
      </c>
      <c r="G8304" s="561">
        <v>787424.60000000009</v>
      </c>
      <c r="H8304" s="561">
        <v>281578</v>
      </c>
      <c r="I8304" s="561">
        <v>1126335.51186</v>
      </c>
      <c r="J8304" s="561">
        <v>6410</v>
      </c>
      <c r="K8304" s="561">
        <v>20383.809436666546</v>
      </c>
      <c r="L8304" s="561">
        <v>275168</v>
      </c>
      <c r="M8304" s="561">
        <v>1105951.7024233334</v>
      </c>
      <c r="N8304" s="561">
        <v>1105951.7024233334</v>
      </c>
      <c r="O8304" s="561">
        <v>315029.39999999997</v>
      </c>
      <c r="P8304" s="561">
        <v>790922.30242333352</v>
      </c>
      <c r="Q8304" s="561">
        <v>790922.30242333352</v>
      </c>
      <c r="R8304" s="561">
        <v>790922.30242333352</v>
      </c>
    </row>
    <row r="8305" spans="1:18" ht="14.25" customHeight="1">
      <c r="A8305" s="561">
        <v>21</v>
      </c>
      <c r="B8305" s="561" t="s">
        <v>2033</v>
      </c>
      <c r="C8305" s="561" t="s">
        <v>1196</v>
      </c>
      <c r="D8305" s="561">
        <v>8561</v>
      </c>
      <c r="E8305" s="561">
        <v>2568.2999999999997</v>
      </c>
      <c r="F8305" s="561">
        <v>0</v>
      </c>
      <c r="G8305" s="561">
        <v>5992.7000000000007</v>
      </c>
      <c r="H8305" s="561">
        <v>677</v>
      </c>
      <c r="I8305" s="561">
        <v>8973.0733900000014</v>
      </c>
      <c r="J8305" s="561">
        <v>0</v>
      </c>
      <c r="K8305" s="561">
        <v>412.50309000000016</v>
      </c>
      <c r="L8305" s="561">
        <v>677</v>
      </c>
      <c r="M8305" s="561">
        <v>8560.5703000000012</v>
      </c>
      <c r="N8305" s="561">
        <v>8560.5703000000012</v>
      </c>
      <c r="O8305" s="561">
        <v>2568.2999999999997</v>
      </c>
      <c r="P8305" s="561">
        <v>5992.270300000002</v>
      </c>
      <c r="Q8305" s="561">
        <v>5992.270300000002</v>
      </c>
      <c r="R8305" s="561">
        <v>5992.270300000002</v>
      </c>
    </row>
    <row r="8306" spans="1:18">
      <c r="C8306" s="561" t="s">
        <v>1197</v>
      </c>
      <c r="G8306" s="561">
        <v>0</v>
      </c>
      <c r="H8306" s="561">
        <v>0</v>
      </c>
      <c r="I8306" s="561">
        <v>0</v>
      </c>
      <c r="J8306" s="561">
        <v>0</v>
      </c>
      <c r="K8306" s="561">
        <v>0</v>
      </c>
      <c r="L8306" s="561">
        <v>0</v>
      </c>
      <c r="M8306" s="561">
        <v>0</v>
      </c>
      <c r="N8306" s="561">
        <v>0</v>
      </c>
      <c r="O8306" s="561">
        <v>0</v>
      </c>
      <c r="P8306" s="561">
        <v>0</v>
      </c>
      <c r="Q8306" s="561">
        <v>0</v>
      </c>
      <c r="R8306" s="561">
        <v>0</v>
      </c>
    </row>
    <row r="8307" spans="1:18" ht="14.25" customHeight="1">
      <c r="C8307" s="561" t="s">
        <v>1198</v>
      </c>
      <c r="G8307" s="561">
        <v>0</v>
      </c>
      <c r="H8307" s="561">
        <v>0</v>
      </c>
      <c r="I8307" s="561">
        <v>0</v>
      </c>
      <c r="J8307" s="561">
        <v>0</v>
      </c>
      <c r="K8307" s="561">
        <v>0</v>
      </c>
      <c r="L8307" s="561">
        <v>0</v>
      </c>
      <c r="M8307" s="561">
        <v>0</v>
      </c>
      <c r="N8307" s="561">
        <v>0</v>
      </c>
      <c r="O8307" s="561">
        <v>0</v>
      </c>
      <c r="P8307" s="561">
        <v>0</v>
      </c>
      <c r="Q8307" s="561">
        <v>0</v>
      </c>
      <c r="R8307" s="561">
        <v>0</v>
      </c>
    </row>
    <row r="8308" spans="1:18" ht="14.25" customHeight="1">
      <c r="C8308" s="561" t="s">
        <v>1199</v>
      </c>
      <c r="D8308" s="561">
        <v>8561</v>
      </c>
      <c r="E8308" s="561">
        <v>2568.2999999999997</v>
      </c>
      <c r="G8308" s="561">
        <v>5992.7000000000007</v>
      </c>
      <c r="H8308" s="561">
        <v>677</v>
      </c>
      <c r="I8308" s="561">
        <v>8973.0733900000014</v>
      </c>
      <c r="J8308" s="561">
        <v>0</v>
      </c>
      <c r="K8308" s="561">
        <v>412.50309000000016</v>
      </c>
      <c r="L8308" s="561">
        <v>677</v>
      </c>
      <c r="M8308" s="561">
        <v>8560.5703000000012</v>
      </c>
      <c r="N8308" s="561">
        <v>8560.5703000000012</v>
      </c>
      <c r="O8308" s="561">
        <v>2568.2999999999997</v>
      </c>
      <c r="P8308" s="561">
        <v>5992.270300000002</v>
      </c>
      <c r="Q8308" s="561">
        <v>5992.270300000002</v>
      </c>
      <c r="R8308" s="561">
        <v>5992.270300000002</v>
      </c>
    </row>
    <row r="8309" spans="1:18" ht="14.25" customHeight="1">
      <c r="C8309" s="561" t="s">
        <v>1200</v>
      </c>
      <c r="G8309" s="561">
        <v>0</v>
      </c>
      <c r="H8309" s="561">
        <v>0</v>
      </c>
      <c r="I8309" s="561">
        <v>0</v>
      </c>
      <c r="J8309" s="561">
        <v>0</v>
      </c>
      <c r="K8309" s="561">
        <v>0</v>
      </c>
      <c r="L8309" s="561">
        <v>0</v>
      </c>
      <c r="M8309" s="561">
        <v>0</v>
      </c>
      <c r="N8309" s="561">
        <v>0</v>
      </c>
      <c r="O8309" s="561">
        <v>0</v>
      </c>
      <c r="P8309" s="561">
        <v>0</v>
      </c>
      <c r="Q8309" s="561">
        <v>0</v>
      </c>
      <c r="R8309" s="561">
        <v>0</v>
      </c>
    </row>
    <row r="8310" spans="1:18" ht="14.25" customHeight="1">
      <c r="A8310" s="561">
        <v>22</v>
      </c>
      <c r="B8310" s="561" t="s">
        <v>2034</v>
      </c>
      <c r="C8310" s="561" t="s">
        <v>1196</v>
      </c>
      <c r="D8310" s="561">
        <v>24511</v>
      </c>
      <c r="E8310" s="561">
        <v>7353.3</v>
      </c>
      <c r="F8310" s="561">
        <v>0</v>
      </c>
      <c r="G8310" s="561">
        <v>17157.7</v>
      </c>
      <c r="H8310" s="561">
        <v>1684</v>
      </c>
      <c r="I8310" s="561">
        <v>26023.534830000001</v>
      </c>
      <c r="J8310" s="561">
        <v>24</v>
      </c>
      <c r="K8310" s="561">
        <v>1513.0015499999972</v>
      </c>
      <c r="L8310" s="561">
        <v>1660</v>
      </c>
      <c r="M8310" s="561">
        <v>24510.533280000003</v>
      </c>
      <c r="N8310" s="561">
        <v>24510.533280000003</v>
      </c>
      <c r="O8310" s="561">
        <v>7353.2999999999993</v>
      </c>
      <c r="P8310" s="561">
        <v>17157.233280000004</v>
      </c>
      <c r="Q8310" s="561">
        <v>17157.233280000004</v>
      </c>
      <c r="R8310" s="561">
        <v>17157.233280000004</v>
      </c>
    </row>
    <row r="8311" spans="1:18">
      <c r="C8311" s="561" t="s">
        <v>1197</v>
      </c>
      <c r="G8311" s="561">
        <v>0</v>
      </c>
      <c r="H8311" s="561">
        <v>0</v>
      </c>
      <c r="I8311" s="561">
        <v>0</v>
      </c>
      <c r="J8311" s="561">
        <v>0</v>
      </c>
      <c r="K8311" s="561">
        <v>0</v>
      </c>
      <c r="L8311" s="561">
        <v>0</v>
      </c>
      <c r="M8311" s="561">
        <v>0</v>
      </c>
      <c r="N8311" s="561">
        <v>0</v>
      </c>
      <c r="O8311" s="561">
        <v>0</v>
      </c>
      <c r="P8311" s="561">
        <v>0</v>
      </c>
      <c r="Q8311" s="561">
        <v>0</v>
      </c>
      <c r="R8311" s="561">
        <v>0</v>
      </c>
    </row>
    <row r="8312" spans="1:18" ht="14.25" customHeight="1">
      <c r="C8312" s="561" t="s">
        <v>1198</v>
      </c>
      <c r="G8312" s="561">
        <v>0</v>
      </c>
      <c r="H8312" s="561">
        <v>0</v>
      </c>
      <c r="I8312" s="561">
        <v>0</v>
      </c>
      <c r="J8312" s="561">
        <v>0</v>
      </c>
      <c r="K8312" s="561">
        <v>0</v>
      </c>
      <c r="L8312" s="561">
        <v>0</v>
      </c>
      <c r="M8312" s="561">
        <v>0</v>
      </c>
      <c r="N8312" s="561">
        <v>0</v>
      </c>
      <c r="O8312" s="561">
        <v>0</v>
      </c>
      <c r="P8312" s="561">
        <v>0</v>
      </c>
      <c r="Q8312" s="561">
        <v>0</v>
      </c>
      <c r="R8312" s="561">
        <v>0</v>
      </c>
    </row>
    <row r="8313" spans="1:18" ht="14.25" customHeight="1">
      <c r="C8313" s="561" t="s">
        <v>1199</v>
      </c>
      <c r="D8313" s="561">
        <v>24511</v>
      </c>
      <c r="E8313" s="561">
        <v>7353.3</v>
      </c>
      <c r="G8313" s="561">
        <v>17157.7</v>
      </c>
      <c r="H8313" s="561">
        <v>1684</v>
      </c>
      <c r="I8313" s="561">
        <v>26023.534830000001</v>
      </c>
      <c r="J8313" s="561">
        <v>24</v>
      </c>
      <c r="K8313" s="561">
        <v>1513.0015499999972</v>
      </c>
      <c r="L8313" s="561">
        <v>1660</v>
      </c>
      <c r="M8313" s="561">
        <v>24510.533280000003</v>
      </c>
      <c r="N8313" s="561">
        <v>24510.533280000003</v>
      </c>
      <c r="O8313" s="561">
        <v>7353.2999999999993</v>
      </c>
      <c r="P8313" s="561">
        <v>17157.233280000004</v>
      </c>
      <c r="Q8313" s="561">
        <v>17157.233280000004</v>
      </c>
      <c r="R8313" s="561">
        <v>17157.233280000004</v>
      </c>
    </row>
    <row r="8314" spans="1:18" ht="14.25" customHeight="1">
      <c r="C8314" s="561" t="s">
        <v>1200</v>
      </c>
      <c r="G8314" s="561">
        <v>0</v>
      </c>
      <c r="H8314" s="561">
        <v>0</v>
      </c>
      <c r="I8314" s="561">
        <v>0</v>
      </c>
      <c r="J8314" s="561">
        <v>0</v>
      </c>
      <c r="K8314" s="561">
        <v>0</v>
      </c>
      <c r="L8314" s="561">
        <v>0</v>
      </c>
      <c r="M8314" s="561">
        <v>0</v>
      </c>
      <c r="N8314" s="561">
        <v>0</v>
      </c>
      <c r="O8314" s="561">
        <v>0</v>
      </c>
      <c r="P8314" s="561">
        <v>0</v>
      </c>
      <c r="Q8314" s="561">
        <v>0</v>
      </c>
      <c r="R8314" s="561">
        <v>0</v>
      </c>
    </row>
    <row r="8315" spans="1:18" ht="14.25" customHeight="1">
      <c r="A8315" s="561">
        <v>23</v>
      </c>
      <c r="B8315" s="561" t="s">
        <v>2035</v>
      </c>
      <c r="C8315" s="561" t="s">
        <v>1196</v>
      </c>
      <c r="D8315" s="561">
        <v>3452.4</v>
      </c>
      <c r="E8315" s="561">
        <v>1290.8999999999999</v>
      </c>
      <c r="F8315" s="561">
        <v>0</v>
      </c>
      <c r="G8315" s="561">
        <v>2161.5</v>
      </c>
      <c r="H8315" s="561">
        <v>308</v>
      </c>
      <c r="I8315" s="561">
        <v>3504.4281700000001</v>
      </c>
      <c r="J8315" s="561">
        <v>3</v>
      </c>
      <c r="K8315" s="561">
        <v>52.030559999999696</v>
      </c>
      <c r="L8315" s="561">
        <v>305</v>
      </c>
      <c r="M8315" s="561">
        <v>3452.3976100000004</v>
      </c>
      <c r="N8315" s="561">
        <v>3452.3976100000004</v>
      </c>
      <c r="O8315" s="561">
        <v>1290.9029666666702</v>
      </c>
      <c r="P8315" s="561">
        <v>2161.4946433333303</v>
      </c>
      <c r="Q8315" s="561">
        <v>2161.4946433333303</v>
      </c>
      <c r="R8315" s="561">
        <v>2161.4946433333303</v>
      </c>
    </row>
    <row r="8316" spans="1:18">
      <c r="C8316" s="561" t="s">
        <v>1197</v>
      </c>
      <c r="G8316" s="561">
        <v>0</v>
      </c>
      <c r="H8316" s="561">
        <v>0</v>
      </c>
      <c r="I8316" s="561">
        <v>0</v>
      </c>
      <c r="J8316" s="561">
        <v>0</v>
      </c>
      <c r="K8316" s="561">
        <v>0</v>
      </c>
      <c r="L8316" s="561">
        <v>0</v>
      </c>
      <c r="M8316" s="561">
        <v>0</v>
      </c>
      <c r="N8316" s="561">
        <v>0</v>
      </c>
      <c r="O8316" s="561">
        <v>0</v>
      </c>
      <c r="P8316" s="561">
        <v>0</v>
      </c>
      <c r="Q8316" s="561">
        <v>0</v>
      </c>
      <c r="R8316" s="561">
        <v>0</v>
      </c>
    </row>
    <row r="8317" spans="1:18" ht="14.25" customHeight="1">
      <c r="C8317" s="561" t="s">
        <v>1198</v>
      </c>
      <c r="G8317" s="561">
        <v>0</v>
      </c>
      <c r="H8317" s="561">
        <v>0</v>
      </c>
      <c r="I8317" s="561">
        <v>0</v>
      </c>
      <c r="J8317" s="561">
        <v>0</v>
      </c>
      <c r="K8317" s="561">
        <v>0</v>
      </c>
      <c r="L8317" s="561">
        <v>0</v>
      </c>
      <c r="M8317" s="561">
        <v>0</v>
      </c>
      <c r="N8317" s="561">
        <v>0</v>
      </c>
      <c r="O8317" s="561">
        <v>0</v>
      </c>
      <c r="P8317" s="561">
        <v>0</v>
      </c>
      <c r="Q8317" s="561">
        <v>0</v>
      </c>
      <c r="R8317" s="561">
        <v>0</v>
      </c>
    </row>
    <row r="8318" spans="1:18" ht="14.25" customHeight="1">
      <c r="C8318" s="561" t="s">
        <v>1199</v>
      </c>
      <c r="D8318" s="561">
        <v>3452.4</v>
      </c>
      <c r="E8318" s="561">
        <v>1290.8999999999999</v>
      </c>
      <c r="G8318" s="561">
        <v>2161.5</v>
      </c>
      <c r="H8318" s="561">
        <v>308</v>
      </c>
      <c r="I8318" s="561">
        <v>3504.4281700000001</v>
      </c>
      <c r="J8318" s="561">
        <v>3</v>
      </c>
      <c r="K8318" s="561">
        <v>52.030559999999696</v>
      </c>
      <c r="L8318" s="561">
        <v>305</v>
      </c>
      <c r="M8318" s="561">
        <v>3452.3976100000004</v>
      </c>
      <c r="N8318" s="561">
        <v>3452.3976100000004</v>
      </c>
      <c r="O8318" s="561">
        <v>1290.9029666666702</v>
      </c>
      <c r="P8318" s="561">
        <v>2161.4946433333303</v>
      </c>
      <c r="Q8318" s="561">
        <v>2161.4946433333303</v>
      </c>
      <c r="R8318" s="561">
        <v>2161.4946433333303</v>
      </c>
    </row>
    <row r="8319" spans="1:18" ht="14.25" customHeight="1">
      <c r="C8319" s="561" t="s">
        <v>1200</v>
      </c>
      <c r="G8319" s="561">
        <v>0</v>
      </c>
      <c r="H8319" s="561">
        <v>0</v>
      </c>
      <c r="I8319" s="561">
        <v>0</v>
      </c>
      <c r="J8319" s="561">
        <v>0</v>
      </c>
      <c r="K8319" s="561">
        <v>0</v>
      </c>
      <c r="L8319" s="561">
        <v>0</v>
      </c>
      <c r="M8319" s="561">
        <v>0</v>
      </c>
      <c r="N8319" s="561">
        <v>0</v>
      </c>
      <c r="O8319" s="561">
        <v>0</v>
      </c>
      <c r="P8319" s="561">
        <v>0</v>
      </c>
      <c r="Q8319" s="561">
        <v>0</v>
      </c>
      <c r="R8319" s="561">
        <v>0</v>
      </c>
    </row>
    <row r="8320" spans="1:18" ht="14.25" customHeight="1">
      <c r="A8320" s="561">
        <v>24</v>
      </c>
      <c r="B8320" s="561" t="s">
        <v>2036</v>
      </c>
      <c r="C8320" s="561" t="s">
        <v>1196</v>
      </c>
      <c r="D8320" s="561">
        <v>32440</v>
      </c>
      <c r="E8320" s="561">
        <v>9732</v>
      </c>
      <c r="F8320" s="561">
        <v>0</v>
      </c>
      <c r="G8320" s="561">
        <v>22708</v>
      </c>
      <c r="H8320" s="561">
        <v>2097</v>
      </c>
      <c r="I8320" s="561">
        <v>33176.137599999995</v>
      </c>
      <c r="J8320" s="561">
        <v>6</v>
      </c>
      <c r="K8320" s="561">
        <v>736.29747999999381</v>
      </c>
      <c r="L8320" s="561">
        <v>2091</v>
      </c>
      <c r="M8320" s="561">
        <v>32439.840120000001</v>
      </c>
      <c r="N8320" s="561">
        <v>32439.840120000001</v>
      </c>
      <c r="O8320" s="561">
        <v>9732</v>
      </c>
      <c r="P8320" s="561">
        <v>22707.840120000001</v>
      </c>
      <c r="Q8320" s="561">
        <v>22707.840120000001</v>
      </c>
      <c r="R8320" s="561">
        <v>22707.840120000001</v>
      </c>
    </row>
    <row r="8321" spans="1:18">
      <c r="C8321" s="561" t="s">
        <v>1197</v>
      </c>
      <c r="G8321" s="561">
        <v>0</v>
      </c>
      <c r="H8321" s="561">
        <v>0</v>
      </c>
      <c r="I8321" s="561">
        <v>0</v>
      </c>
      <c r="J8321" s="561">
        <v>0</v>
      </c>
      <c r="K8321" s="561">
        <v>0</v>
      </c>
      <c r="L8321" s="561">
        <v>0</v>
      </c>
      <c r="M8321" s="561">
        <v>0</v>
      </c>
      <c r="N8321" s="561">
        <v>0</v>
      </c>
      <c r="O8321" s="561">
        <v>0</v>
      </c>
      <c r="P8321" s="561">
        <v>0</v>
      </c>
      <c r="Q8321" s="561">
        <v>0</v>
      </c>
      <c r="R8321" s="561">
        <v>0</v>
      </c>
    </row>
    <row r="8322" spans="1:18" ht="14.25" customHeight="1">
      <c r="C8322" s="561" t="s">
        <v>1198</v>
      </c>
      <c r="G8322" s="561">
        <v>0</v>
      </c>
      <c r="H8322" s="561">
        <v>0</v>
      </c>
      <c r="I8322" s="561">
        <v>0</v>
      </c>
      <c r="J8322" s="561">
        <v>0</v>
      </c>
      <c r="K8322" s="561">
        <v>0</v>
      </c>
      <c r="L8322" s="561">
        <v>0</v>
      </c>
      <c r="M8322" s="561">
        <v>0</v>
      </c>
      <c r="N8322" s="561">
        <v>0</v>
      </c>
      <c r="O8322" s="561">
        <v>0</v>
      </c>
      <c r="P8322" s="561">
        <v>0</v>
      </c>
      <c r="Q8322" s="561">
        <v>0</v>
      </c>
      <c r="R8322" s="561">
        <v>0</v>
      </c>
    </row>
    <row r="8323" spans="1:18" ht="14.25" customHeight="1">
      <c r="C8323" s="561" t="s">
        <v>1199</v>
      </c>
      <c r="D8323" s="561">
        <v>32440</v>
      </c>
      <c r="E8323" s="561">
        <v>9732</v>
      </c>
      <c r="G8323" s="561">
        <v>22708</v>
      </c>
      <c r="H8323" s="561">
        <v>2097</v>
      </c>
      <c r="I8323" s="561">
        <v>33176.137599999995</v>
      </c>
      <c r="J8323" s="561">
        <v>6</v>
      </c>
      <c r="K8323" s="561">
        <v>736.29747999999381</v>
      </c>
      <c r="L8323" s="561">
        <v>2091</v>
      </c>
      <c r="M8323" s="561">
        <v>32439.840120000001</v>
      </c>
      <c r="N8323" s="561">
        <v>32439.840120000001</v>
      </c>
      <c r="O8323" s="561">
        <v>9732</v>
      </c>
      <c r="P8323" s="561">
        <v>22707.840120000001</v>
      </c>
      <c r="Q8323" s="561">
        <v>22707.840120000001</v>
      </c>
      <c r="R8323" s="561">
        <v>22707.840120000001</v>
      </c>
    </row>
    <row r="8324" spans="1:18" ht="14.25" customHeight="1">
      <c r="C8324" s="561" t="s">
        <v>1200</v>
      </c>
      <c r="G8324" s="561">
        <v>0</v>
      </c>
      <c r="H8324" s="561">
        <v>0</v>
      </c>
      <c r="I8324" s="561">
        <v>0</v>
      </c>
      <c r="J8324" s="561">
        <v>0</v>
      </c>
      <c r="K8324" s="561">
        <v>0</v>
      </c>
      <c r="L8324" s="561">
        <v>0</v>
      </c>
      <c r="M8324" s="561">
        <v>0</v>
      </c>
      <c r="N8324" s="561">
        <v>0</v>
      </c>
      <c r="O8324" s="561">
        <v>0</v>
      </c>
      <c r="P8324" s="561">
        <v>0</v>
      </c>
      <c r="Q8324" s="561">
        <v>0</v>
      </c>
      <c r="R8324" s="561">
        <v>0</v>
      </c>
    </row>
    <row r="8325" spans="1:18" ht="14.25" customHeight="1">
      <c r="A8325" s="561">
        <v>25</v>
      </c>
      <c r="B8325" s="561" t="s">
        <v>1985</v>
      </c>
      <c r="C8325" s="561" t="s">
        <v>1196</v>
      </c>
      <c r="D8325" s="561">
        <v>60296</v>
      </c>
      <c r="E8325" s="561">
        <v>17788.8</v>
      </c>
      <c r="F8325" s="561">
        <v>0</v>
      </c>
      <c r="G8325" s="561">
        <v>42507.199999999997</v>
      </c>
      <c r="H8325" s="561">
        <v>3984</v>
      </c>
      <c r="I8325" s="561">
        <v>61131.623309999995</v>
      </c>
      <c r="J8325" s="561">
        <v>22</v>
      </c>
      <c r="K8325" s="561">
        <v>835.74776999999449</v>
      </c>
      <c r="L8325" s="561">
        <v>3962</v>
      </c>
      <c r="M8325" s="561">
        <v>60295.875540000001</v>
      </c>
      <c r="N8325" s="561">
        <v>60295.875540000001</v>
      </c>
      <c r="O8325" s="561">
        <v>17788.8</v>
      </c>
      <c r="P8325" s="561">
        <v>42507.075540000005</v>
      </c>
      <c r="Q8325" s="561">
        <v>42507.075540000005</v>
      </c>
      <c r="R8325" s="561">
        <v>42507.075540000005</v>
      </c>
    </row>
    <row r="8326" spans="1:18">
      <c r="C8326" s="561" t="s">
        <v>1197</v>
      </c>
      <c r="G8326" s="561">
        <v>0</v>
      </c>
      <c r="H8326" s="561">
        <v>0</v>
      </c>
      <c r="I8326" s="561">
        <v>0</v>
      </c>
      <c r="J8326" s="561">
        <v>0</v>
      </c>
      <c r="K8326" s="561">
        <v>0</v>
      </c>
      <c r="L8326" s="561">
        <v>0</v>
      </c>
      <c r="M8326" s="561">
        <v>0</v>
      </c>
      <c r="N8326" s="561">
        <v>0</v>
      </c>
      <c r="O8326" s="561">
        <v>0</v>
      </c>
      <c r="P8326" s="561">
        <v>0</v>
      </c>
      <c r="Q8326" s="561">
        <v>0</v>
      </c>
      <c r="R8326" s="561">
        <v>0</v>
      </c>
    </row>
    <row r="8327" spans="1:18" ht="14.25" customHeight="1">
      <c r="C8327" s="561" t="s">
        <v>1198</v>
      </c>
      <c r="G8327" s="561">
        <v>0</v>
      </c>
      <c r="H8327" s="561">
        <v>0</v>
      </c>
      <c r="I8327" s="561">
        <v>0</v>
      </c>
      <c r="J8327" s="561">
        <v>0</v>
      </c>
      <c r="K8327" s="561">
        <v>0</v>
      </c>
      <c r="L8327" s="561">
        <v>0</v>
      </c>
      <c r="M8327" s="561">
        <v>0</v>
      </c>
      <c r="N8327" s="561">
        <v>0</v>
      </c>
      <c r="O8327" s="561">
        <v>0</v>
      </c>
      <c r="P8327" s="561">
        <v>0</v>
      </c>
      <c r="Q8327" s="561">
        <v>0</v>
      </c>
      <c r="R8327" s="561">
        <v>0</v>
      </c>
    </row>
    <row r="8328" spans="1:18" ht="14.25" customHeight="1">
      <c r="C8328" s="561" t="s">
        <v>1199</v>
      </c>
      <c r="D8328" s="561">
        <v>60296</v>
      </c>
      <c r="E8328" s="561">
        <v>17788.8</v>
      </c>
      <c r="G8328" s="561">
        <v>42507.199999999997</v>
      </c>
      <c r="H8328" s="561">
        <v>3984</v>
      </c>
      <c r="I8328" s="561">
        <v>61131.623309999995</v>
      </c>
      <c r="J8328" s="561">
        <v>22</v>
      </c>
      <c r="K8328" s="561">
        <v>835.74776999999449</v>
      </c>
      <c r="L8328" s="561">
        <v>3962</v>
      </c>
      <c r="M8328" s="561">
        <v>60295.875540000001</v>
      </c>
      <c r="N8328" s="561">
        <v>60295.875540000001</v>
      </c>
      <c r="O8328" s="561">
        <v>17788.8</v>
      </c>
      <c r="P8328" s="561">
        <v>42507.075540000005</v>
      </c>
      <c r="Q8328" s="561">
        <v>42507.075540000005</v>
      </c>
      <c r="R8328" s="561">
        <v>42507.075540000005</v>
      </c>
    </row>
    <row r="8329" spans="1:18" ht="14.25" customHeight="1">
      <c r="C8329" s="561" t="s">
        <v>1200</v>
      </c>
      <c r="G8329" s="561">
        <v>0</v>
      </c>
      <c r="H8329" s="561">
        <v>0</v>
      </c>
      <c r="I8329" s="561">
        <v>0</v>
      </c>
      <c r="J8329" s="561">
        <v>0</v>
      </c>
      <c r="K8329" s="561">
        <v>0</v>
      </c>
      <c r="L8329" s="561">
        <v>0</v>
      </c>
      <c r="M8329" s="561">
        <v>0</v>
      </c>
      <c r="N8329" s="561">
        <v>0</v>
      </c>
      <c r="O8329" s="561">
        <v>0</v>
      </c>
      <c r="P8329" s="561">
        <v>0</v>
      </c>
      <c r="Q8329" s="561">
        <v>0</v>
      </c>
      <c r="R8329" s="561">
        <v>0</v>
      </c>
    </row>
    <row r="8330" spans="1:18" ht="14.25" customHeight="1">
      <c r="A8330" s="561">
        <v>26</v>
      </c>
      <c r="B8330" s="561" t="s">
        <v>2037</v>
      </c>
      <c r="C8330" s="561" t="s">
        <v>1196</v>
      </c>
      <c r="D8330" s="561">
        <v>32969</v>
      </c>
      <c r="E8330" s="561">
        <v>12818.1</v>
      </c>
      <c r="F8330" s="561">
        <v>0</v>
      </c>
      <c r="G8330" s="561">
        <v>20150.900000000001</v>
      </c>
      <c r="H8330" s="561">
        <v>3058</v>
      </c>
      <c r="I8330" s="561">
        <v>33720.080750000001</v>
      </c>
      <c r="J8330" s="561">
        <v>46</v>
      </c>
      <c r="K8330" s="561">
        <v>751.38504000000103</v>
      </c>
      <c r="L8330" s="561">
        <v>3012</v>
      </c>
      <c r="M8330" s="561">
        <v>32968.69571</v>
      </c>
      <c r="N8330" s="561">
        <v>32968.69571</v>
      </c>
      <c r="O8330" s="561">
        <v>12818.1</v>
      </c>
      <c r="P8330" s="561">
        <v>20150.595710000001</v>
      </c>
      <c r="Q8330" s="561">
        <v>20150.595710000001</v>
      </c>
      <c r="R8330" s="561">
        <v>20150.595710000001</v>
      </c>
    </row>
    <row r="8331" spans="1:18">
      <c r="C8331" s="561" t="s">
        <v>1197</v>
      </c>
      <c r="G8331" s="561">
        <v>0</v>
      </c>
      <c r="H8331" s="561">
        <v>0</v>
      </c>
      <c r="I8331" s="561">
        <v>0</v>
      </c>
      <c r="J8331" s="561">
        <v>0</v>
      </c>
      <c r="K8331" s="561">
        <v>0</v>
      </c>
      <c r="L8331" s="561">
        <v>0</v>
      </c>
      <c r="M8331" s="561">
        <v>0</v>
      </c>
      <c r="N8331" s="561">
        <v>0</v>
      </c>
      <c r="O8331" s="561">
        <v>0</v>
      </c>
      <c r="P8331" s="561">
        <v>0</v>
      </c>
      <c r="Q8331" s="561">
        <v>0</v>
      </c>
      <c r="R8331" s="561">
        <v>0</v>
      </c>
    </row>
    <row r="8332" spans="1:18" ht="14.25" customHeight="1">
      <c r="C8332" s="561" t="s">
        <v>1198</v>
      </c>
      <c r="G8332" s="561">
        <v>0</v>
      </c>
      <c r="H8332" s="561">
        <v>0</v>
      </c>
      <c r="I8332" s="561">
        <v>0</v>
      </c>
      <c r="J8332" s="561">
        <v>0</v>
      </c>
      <c r="K8332" s="561">
        <v>0</v>
      </c>
      <c r="L8332" s="561">
        <v>0</v>
      </c>
      <c r="M8332" s="561">
        <v>0</v>
      </c>
      <c r="N8332" s="561">
        <v>0</v>
      </c>
      <c r="O8332" s="561">
        <v>0</v>
      </c>
      <c r="P8332" s="561">
        <v>0</v>
      </c>
      <c r="Q8332" s="561">
        <v>0</v>
      </c>
      <c r="R8332" s="561">
        <v>0</v>
      </c>
    </row>
    <row r="8333" spans="1:18" ht="14.25" customHeight="1">
      <c r="C8333" s="561" t="s">
        <v>1199</v>
      </c>
      <c r="D8333" s="561">
        <v>32969</v>
      </c>
      <c r="E8333" s="561">
        <v>12818.1</v>
      </c>
      <c r="G8333" s="561">
        <v>20150.900000000001</v>
      </c>
      <c r="H8333" s="561">
        <v>3058</v>
      </c>
      <c r="I8333" s="561">
        <v>33720.080750000001</v>
      </c>
      <c r="J8333" s="561">
        <v>46</v>
      </c>
      <c r="K8333" s="561">
        <v>751.38504000000103</v>
      </c>
      <c r="L8333" s="561">
        <v>3012</v>
      </c>
      <c r="M8333" s="561">
        <v>32968.69571</v>
      </c>
      <c r="N8333" s="561">
        <v>32968.69571</v>
      </c>
      <c r="O8333" s="561">
        <v>12818.1</v>
      </c>
      <c r="P8333" s="561">
        <v>20150.595710000001</v>
      </c>
      <c r="Q8333" s="561">
        <v>20150.595710000001</v>
      </c>
      <c r="R8333" s="561">
        <v>20150.595710000001</v>
      </c>
    </row>
    <row r="8334" spans="1:18" ht="14.25" customHeight="1">
      <c r="C8334" s="561" t="s">
        <v>1200</v>
      </c>
      <c r="G8334" s="561">
        <v>0</v>
      </c>
      <c r="H8334" s="561">
        <v>0</v>
      </c>
      <c r="I8334" s="561">
        <v>0</v>
      </c>
      <c r="J8334" s="561">
        <v>0</v>
      </c>
      <c r="K8334" s="561">
        <v>0</v>
      </c>
      <c r="L8334" s="561">
        <v>0</v>
      </c>
      <c r="M8334" s="561">
        <v>0</v>
      </c>
      <c r="N8334" s="561">
        <v>0</v>
      </c>
      <c r="O8334" s="561">
        <v>0</v>
      </c>
      <c r="P8334" s="561">
        <v>0</v>
      </c>
      <c r="Q8334" s="561">
        <v>0</v>
      </c>
      <c r="R8334" s="561">
        <v>0</v>
      </c>
    </row>
    <row r="8335" spans="1:18" ht="14.25" customHeight="1">
      <c r="A8335" s="561">
        <v>27</v>
      </c>
      <c r="B8335" s="561" t="s">
        <v>2038</v>
      </c>
      <c r="C8335" s="561" t="s">
        <v>1196</v>
      </c>
      <c r="D8335" s="561">
        <v>26202</v>
      </c>
      <c r="E8335" s="561">
        <v>7860.5999999999995</v>
      </c>
      <c r="F8335" s="561">
        <v>0</v>
      </c>
      <c r="G8335" s="561">
        <v>18341.400000000001</v>
      </c>
      <c r="H8335" s="561">
        <v>1643</v>
      </c>
      <c r="I8335" s="561">
        <v>27290.68059</v>
      </c>
      <c r="J8335" s="561">
        <v>4</v>
      </c>
      <c r="K8335" s="561">
        <v>1088.6792400000086</v>
      </c>
      <c r="L8335" s="561">
        <v>1639</v>
      </c>
      <c r="M8335" s="561">
        <v>26202.001349999991</v>
      </c>
      <c r="N8335" s="561">
        <v>26202.001349999991</v>
      </c>
      <c r="O8335" s="561">
        <v>7860.5999999999985</v>
      </c>
      <c r="P8335" s="561">
        <v>18341.401349999993</v>
      </c>
      <c r="Q8335" s="561">
        <v>18341.401349999993</v>
      </c>
      <c r="R8335" s="561">
        <v>18341.401349999993</v>
      </c>
    </row>
    <row r="8336" spans="1:18">
      <c r="C8336" s="561" t="s">
        <v>1197</v>
      </c>
      <c r="G8336" s="561">
        <v>0</v>
      </c>
      <c r="H8336" s="561">
        <v>0</v>
      </c>
      <c r="I8336" s="561">
        <v>0</v>
      </c>
      <c r="J8336" s="561">
        <v>0</v>
      </c>
      <c r="K8336" s="561">
        <v>0</v>
      </c>
      <c r="L8336" s="561">
        <v>0</v>
      </c>
      <c r="M8336" s="561">
        <v>0</v>
      </c>
      <c r="N8336" s="561">
        <v>0</v>
      </c>
      <c r="O8336" s="561">
        <v>0</v>
      </c>
      <c r="P8336" s="561">
        <v>0</v>
      </c>
      <c r="Q8336" s="561">
        <v>0</v>
      </c>
      <c r="R8336" s="561">
        <v>0</v>
      </c>
    </row>
    <row r="8337" spans="1:18" ht="14.25" customHeight="1">
      <c r="C8337" s="561" t="s">
        <v>1198</v>
      </c>
      <c r="G8337" s="561">
        <v>0</v>
      </c>
      <c r="H8337" s="561">
        <v>0</v>
      </c>
      <c r="I8337" s="561">
        <v>0</v>
      </c>
      <c r="J8337" s="561">
        <v>0</v>
      </c>
      <c r="K8337" s="561">
        <v>0</v>
      </c>
      <c r="L8337" s="561">
        <v>0</v>
      </c>
      <c r="M8337" s="561">
        <v>0</v>
      </c>
      <c r="N8337" s="561">
        <v>0</v>
      </c>
      <c r="O8337" s="561">
        <v>0</v>
      </c>
      <c r="P8337" s="561">
        <v>0</v>
      </c>
      <c r="Q8337" s="561">
        <v>0</v>
      </c>
      <c r="R8337" s="561">
        <v>0</v>
      </c>
    </row>
    <row r="8338" spans="1:18" ht="14.25" customHeight="1">
      <c r="C8338" s="561" t="s">
        <v>1199</v>
      </c>
      <c r="D8338" s="561">
        <v>26202</v>
      </c>
      <c r="E8338" s="561">
        <v>7860.5999999999995</v>
      </c>
      <c r="G8338" s="561">
        <v>18341.400000000001</v>
      </c>
      <c r="H8338" s="561">
        <v>1643</v>
      </c>
      <c r="I8338" s="561">
        <v>27290.68059</v>
      </c>
      <c r="J8338" s="561">
        <v>4</v>
      </c>
      <c r="K8338" s="561">
        <v>1088.6792400000086</v>
      </c>
      <c r="L8338" s="561">
        <v>1639</v>
      </c>
      <c r="M8338" s="561">
        <v>26202.001349999991</v>
      </c>
      <c r="N8338" s="561">
        <v>26202.001349999991</v>
      </c>
      <c r="O8338" s="561">
        <v>7860.5999999999985</v>
      </c>
      <c r="P8338" s="561">
        <v>18341.401349999993</v>
      </c>
      <c r="Q8338" s="561">
        <v>18341.401349999993</v>
      </c>
      <c r="R8338" s="561">
        <v>18341.401349999993</v>
      </c>
    </row>
    <row r="8339" spans="1:18" ht="14.25" customHeight="1">
      <c r="C8339" s="561" t="s">
        <v>1200</v>
      </c>
      <c r="G8339" s="561">
        <v>0</v>
      </c>
      <c r="H8339" s="561">
        <v>0</v>
      </c>
      <c r="I8339" s="561">
        <v>0</v>
      </c>
      <c r="J8339" s="561">
        <v>0</v>
      </c>
      <c r="K8339" s="561">
        <v>0</v>
      </c>
      <c r="L8339" s="561">
        <v>0</v>
      </c>
      <c r="M8339" s="561">
        <v>0</v>
      </c>
      <c r="N8339" s="561">
        <v>0</v>
      </c>
      <c r="O8339" s="561">
        <v>0</v>
      </c>
      <c r="P8339" s="561">
        <v>0</v>
      </c>
      <c r="Q8339" s="561">
        <v>0</v>
      </c>
      <c r="R8339" s="561">
        <v>0</v>
      </c>
    </row>
    <row r="8340" spans="1:18" ht="14.25" customHeight="1">
      <c r="A8340" s="561">
        <v>28</v>
      </c>
      <c r="B8340" s="561" t="s">
        <v>2039</v>
      </c>
      <c r="C8340" s="561" t="s">
        <v>1196</v>
      </c>
      <c r="D8340" s="561">
        <v>47153</v>
      </c>
      <c r="E8340" s="561">
        <v>11655.9</v>
      </c>
      <c r="F8340" s="561">
        <v>0</v>
      </c>
      <c r="G8340" s="561">
        <v>35497.1</v>
      </c>
      <c r="H8340" s="561">
        <v>2768</v>
      </c>
      <c r="I8340" s="561">
        <v>48502.497309999999</v>
      </c>
      <c r="J8340" s="561">
        <v>7</v>
      </c>
      <c r="K8340" s="561">
        <v>1349.4997499999954</v>
      </c>
      <c r="L8340" s="561">
        <v>2761</v>
      </c>
      <c r="M8340" s="561">
        <v>47152.997560000003</v>
      </c>
      <c r="N8340" s="561">
        <v>47152.997560000003</v>
      </c>
      <c r="O8340" s="561">
        <v>11655.900000000001</v>
      </c>
      <c r="P8340" s="561">
        <v>35497.097560000002</v>
      </c>
      <c r="Q8340" s="561">
        <v>35497.097560000002</v>
      </c>
      <c r="R8340" s="561">
        <v>35497.097560000002</v>
      </c>
    </row>
    <row r="8341" spans="1:18">
      <c r="C8341" s="561" t="s">
        <v>1197</v>
      </c>
      <c r="G8341" s="561">
        <v>0</v>
      </c>
      <c r="H8341" s="561">
        <v>0</v>
      </c>
      <c r="I8341" s="561">
        <v>0</v>
      </c>
      <c r="J8341" s="561">
        <v>0</v>
      </c>
      <c r="K8341" s="561">
        <v>0</v>
      </c>
      <c r="L8341" s="561">
        <v>0</v>
      </c>
      <c r="M8341" s="561">
        <v>0</v>
      </c>
      <c r="N8341" s="561">
        <v>0</v>
      </c>
      <c r="O8341" s="561">
        <v>0</v>
      </c>
      <c r="P8341" s="561">
        <v>0</v>
      </c>
      <c r="Q8341" s="561">
        <v>0</v>
      </c>
      <c r="R8341" s="561">
        <v>0</v>
      </c>
    </row>
    <row r="8342" spans="1:18" ht="14.25" customHeight="1">
      <c r="C8342" s="561" t="s">
        <v>1198</v>
      </c>
      <c r="G8342" s="561">
        <v>0</v>
      </c>
      <c r="H8342" s="561">
        <v>0</v>
      </c>
      <c r="I8342" s="561">
        <v>0</v>
      </c>
      <c r="J8342" s="561">
        <v>0</v>
      </c>
      <c r="K8342" s="561">
        <v>0</v>
      </c>
      <c r="L8342" s="561">
        <v>0</v>
      </c>
      <c r="M8342" s="561">
        <v>0</v>
      </c>
      <c r="N8342" s="561">
        <v>0</v>
      </c>
      <c r="O8342" s="561">
        <v>0</v>
      </c>
      <c r="P8342" s="561">
        <v>0</v>
      </c>
      <c r="Q8342" s="561">
        <v>0</v>
      </c>
      <c r="R8342" s="561">
        <v>0</v>
      </c>
    </row>
    <row r="8343" spans="1:18" ht="14.25" customHeight="1">
      <c r="C8343" s="561" t="s">
        <v>1199</v>
      </c>
      <c r="D8343" s="561">
        <v>47153</v>
      </c>
      <c r="E8343" s="561">
        <v>11655.9</v>
      </c>
      <c r="G8343" s="561">
        <v>35497.1</v>
      </c>
      <c r="H8343" s="561">
        <v>2768</v>
      </c>
      <c r="I8343" s="561">
        <v>48502.497309999999</v>
      </c>
      <c r="J8343" s="561">
        <v>7</v>
      </c>
      <c r="K8343" s="561">
        <v>1349.4997499999954</v>
      </c>
      <c r="L8343" s="561">
        <v>2761</v>
      </c>
      <c r="M8343" s="561">
        <v>47152.997560000003</v>
      </c>
      <c r="N8343" s="561">
        <v>47152.997560000003</v>
      </c>
      <c r="O8343" s="561">
        <v>11655.900000000001</v>
      </c>
      <c r="P8343" s="561">
        <v>35497.097560000002</v>
      </c>
      <c r="Q8343" s="561">
        <v>35497.097560000002</v>
      </c>
      <c r="R8343" s="561">
        <v>35497.097560000002</v>
      </c>
    </row>
    <row r="8344" spans="1:18" ht="14.25" customHeight="1">
      <c r="C8344" s="561" t="s">
        <v>1200</v>
      </c>
      <c r="G8344" s="561">
        <v>0</v>
      </c>
      <c r="H8344" s="561">
        <v>0</v>
      </c>
      <c r="I8344" s="561">
        <v>0</v>
      </c>
      <c r="J8344" s="561">
        <v>0</v>
      </c>
      <c r="K8344" s="561">
        <v>0</v>
      </c>
      <c r="L8344" s="561">
        <v>0</v>
      </c>
      <c r="M8344" s="561">
        <v>0</v>
      </c>
      <c r="N8344" s="561">
        <v>0</v>
      </c>
      <c r="O8344" s="561">
        <v>0</v>
      </c>
      <c r="P8344" s="561">
        <v>0</v>
      </c>
      <c r="Q8344" s="561">
        <v>0</v>
      </c>
      <c r="R8344" s="561">
        <v>0</v>
      </c>
    </row>
    <row r="8345" spans="1:18" ht="14.25" customHeight="1">
      <c r="A8345" s="561">
        <v>29</v>
      </c>
      <c r="B8345" s="561" t="s">
        <v>2040</v>
      </c>
      <c r="C8345" s="561" t="s">
        <v>1196</v>
      </c>
      <c r="D8345" s="561">
        <v>4094</v>
      </c>
      <c r="E8345" s="561">
        <v>409.4</v>
      </c>
      <c r="F8345" s="561">
        <v>0</v>
      </c>
      <c r="G8345" s="561">
        <v>3684.6</v>
      </c>
      <c r="H8345" s="561">
        <v>284</v>
      </c>
      <c r="I8345" s="561">
        <v>4262.70633</v>
      </c>
      <c r="J8345" s="561">
        <v>1</v>
      </c>
      <c r="K8345" s="561">
        <v>168.70605000000069</v>
      </c>
      <c r="L8345" s="561">
        <v>283</v>
      </c>
      <c r="M8345" s="561">
        <v>4094.0002799999993</v>
      </c>
      <c r="N8345" s="561">
        <v>4094.0002799999993</v>
      </c>
      <c r="O8345" s="561">
        <v>409.40000222222221</v>
      </c>
      <c r="P8345" s="561">
        <v>3684.6002777777771</v>
      </c>
      <c r="Q8345" s="561">
        <v>3684.6002777777771</v>
      </c>
      <c r="R8345" s="561">
        <v>3684.6002777777771</v>
      </c>
    </row>
    <row r="8346" spans="1:18" ht="15" customHeight="1">
      <c r="C8346" s="561" t="s">
        <v>1197</v>
      </c>
      <c r="G8346" s="561">
        <v>0</v>
      </c>
      <c r="H8346" s="561">
        <v>0</v>
      </c>
      <c r="I8346" s="561">
        <v>0</v>
      </c>
      <c r="J8346" s="561">
        <v>0</v>
      </c>
      <c r="K8346" s="561">
        <v>0</v>
      </c>
      <c r="L8346" s="561">
        <v>0</v>
      </c>
      <c r="M8346" s="561">
        <v>0</v>
      </c>
      <c r="N8346" s="561">
        <v>0</v>
      </c>
      <c r="O8346" s="561">
        <v>0</v>
      </c>
      <c r="P8346" s="561">
        <v>0</v>
      </c>
      <c r="Q8346" s="561">
        <v>0</v>
      </c>
      <c r="R8346" s="561">
        <v>0</v>
      </c>
    </row>
    <row r="8347" spans="1:18" ht="14.25" customHeight="1">
      <c r="C8347" s="561" t="s">
        <v>1198</v>
      </c>
      <c r="G8347" s="561">
        <v>0</v>
      </c>
      <c r="H8347" s="561">
        <v>0</v>
      </c>
      <c r="I8347" s="561">
        <v>0</v>
      </c>
      <c r="J8347" s="561">
        <v>0</v>
      </c>
      <c r="K8347" s="561">
        <v>0</v>
      </c>
      <c r="L8347" s="561">
        <v>0</v>
      </c>
      <c r="M8347" s="561">
        <v>0</v>
      </c>
      <c r="N8347" s="561">
        <v>0</v>
      </c>
      <c r="O8347" s="561">
        <v>0</v>
      </c>
      <c r="P8347" s="561">
        <v>0</v>
      </c>
      <c r="Q8347" s="561">
        <v>0</v>
      </c>
      <c r="R8347" s="561">
        <v>0</v>
      </c>
    </row>
    <row r="8348" spans="1:18" ht="14.25" customHeight="1">
      <c r="C8348" s="561" t="s">
        <v>1199</v>
      </c>
      <c r="D8348" s="561">
        <v>4094</v>
      </c>
      <c r="E8348" s="561">
        <v>409.4</v>
      </c>
      <c r="G8348" s="561">
        <v>3684.6</v>
      </c>
      <c r="H8348" s="561">
        <v>284</v>
      </c>
      <c r="I8348" s="561">
        <v>4262.70633</v>
      </c>
      <c r="J8348" s="561">
        <v>1</v>
      </c>
      <c r="K8348" s="561">
        <v>168.70605000000069</v>
      </c>
      <c r="L8348" s="561">
        <v>283</v>
      </c>
      <c r="M8348" s="561">
        <v>4094.0002799999993</v>
      </c>
      <c r="N8348" s="561">
        <v>4094.0002799999993</v>
      </c>
      <c r="O8348" s="561">
        <v>409.40000222222221</v>
      </c>
      <c r="P8348" s="561">
        <v>3684.6002777777771</v>
      </c>
      <c r="Q8348" s="561">
        <v>3684.6002777777771</v>
      </c>
      <c r="R8348" s="561">
        <v>3684.6002777777771</v>
      </c>
    </row>
    <row r="8349" spans="1:18" ht="14.25" customHeight="1">
      <c r="C8349" s="561" t="s">
        <v>1200</v>
      </c>
      <c r="G8349" s="561">
        <v>0</v>
      </c>
      <c r="H8349" s="561">
        <v>0</v>
      </c>
      <c r="I8349" s="561">
        <v>0</v>
      </c>
      <c r="J8349" s="561">
        <v>0</v>
      </c>
      <c r="K8349" s="561">
        <v>0</v>
      </c>
      <c r="L8349" s="561">
        <v>0</v>
      </c>
      <c r="M8349" s="561">
        <v>0</v>
      </c>
      <c r="N8349" s="561">
        <v>0</v>
      </c>
      <c r="O8349" s="561">
        <v>0</v>
      </c>
      <c r="P8349" s="561">
        <v>0</v>
      </c>
      <c r="Q8349" s="561">
        <v>0</v>
      </c>
      <c r="R8349" s="561">
        <v>0</v>
      </c>
    </row>
    <row r="8350" spans="1:18" ht="14.25" customHeight="1">
      <c r="A8350" s="561">
        <v>30</v>
      </c>
      <c r="B8350" s="561" t="s">
        <v>2041</v>
      </c>
      <c r="C8350" s="561" t="s">
        <v>1196</v>
      </c>
      <c r="D8350" s="561">
        <v>6857</v>
      </c>
      <c r="E8350" s="561">
        <v>2147.1</v>
      </c>
      <c r="F8350" s="561">
        <v>0</v>
      </c>
      <c r="G8350" s="561">
        <v>4709.8999999999996</v>
      </c>
      <c r="H8350" s="561">
        <v>577</v>
      </c>
      <c r="I8350" s="561">
        <v>8244.6803090000012</v>
      </c>
      <c r="J8350" s="561">
        <v>4</v>
      </c>
      <c r="K8350" s="561">
        <v>1387.6755490000014</v>
      </c>
      <c r="L8350" s="561">
        <v>573</v>
      </c>
      <c r="M8350" s="561">
        <v>6857.0047599999998</v>
      </c>
      <c r="N8350" s="561">
        <v>6857.0047599999998</v>
      </c>
      <c r="O8350" s="561">
        <v>2147.1</v>
      </c>
      <c r="P8350" s="561">
        <v>4709.9047599999994</v>
      </c>
      <c r="Q8350" s="561">
        <v>4709.9047599999994</v>
      </c>
      <c r="R8350" s="561">
        <v>4709.9047599999994</v>
      </c>
    </row>
    <row r="8351" spans="1:18" ht="15" customHeight="1">
      <c r="C8351" s="561" t="s">
        <v>1197</v>
      </c>
      <c r="G8351" s="561">
        <v>0</v>
      </c>
      <c r="H8351" s="561">
        <v>0</v>
      </c>
      <c r="I8351" s="561">
        <v>0</v>
      </c>
      <c r="J8351" s="561">
        <v>0</v>
      </c>
      <c r="K8351" s="561">
        <v>0</v>
      </c>
      <c r="L8351" s="561">
        <v>0</v>
      </c>
      <c r="M8351" s="561">
        <v>0</v>
      </c>
      <c r="N8351" s="561">
        <v>0</v>
      </c>
      <c r="O8351" s="561">
        <v>0</v>
      </c>
      <c r="P8351" s="561">
        <v>0</v>
      </c>
      <c r="Q8351" s="561">
        <v>0</v>
      </c>
      <c r="R8351" s="561">
        <v>0</v>
      </c>
    </row>
    <row r="8352" spans="1:18" ht="14.25" customHeight="1">
      <c r="C8352" s="561" t="s">
        <v>1198</v>
      </c>
      <c r="G8352" s="561">
        <v>0</v>
      </c>
      <c r="H8352" s="561">
        <v>0</v>
      </c>
      <c r="I8352" s="561">
        <v>0</v>
      </c>
      <c r="J8352" s="561">
        <v>0</v>
      </c>
      <c r="K8352" s="561">
        <v>0</v>
      </c>
      <c r="L8352" s="561">
        <v>0</v>
      </c>
      <c r="M8352" s="561">
        <v>0</v>
      </c>
      <c r="N8352" s="561">
        <v>0</v>
      </c>
      <c r="O8352" s="561">
        <v>0</v>
      </c>
      <c r="P8352" s="561">
        <v>0</v>
      </c>
      <c r="Q8352" s="561">
        <v>0</v>
      </c>
      <c r="R8352" s="561">
        <v>0</v>
      </c>
    </row>
    <row r="8353" spans="1:18" ht="14.25" customHeight="1">
      <c r="C8353" s="561" t="s">
        <v>1199</v>
      </c>
      <c r="D8353" s="561">
        <v>6857</v>
      </c>
      <c r="E8353" s="561">
        <v>2147.1</v>
      </c>
      <c r="G8353" s="561">
        <v>4709.8999999999996</v>
      </c>
      <c r="H8353" s="561">
        <v>577</v>
      </c>
      <c r="I8353" s="561">
        <v>8244.6803090000012</v>
      </c>
      <c r="J8353" s="561">
        <v>4</v>
      </c>
      <c r="K8353" s="561">
        <v>1387.6755490000014</v>
      </c>
      <c r="L8353" s="561">
        <v>573</v>
      </c>
      <c r="M8353" s="561">
        <v>6857.0047599999998</v>
      </c>
      <c r="N8353" s="561">
        <v>6857.0047599999998</v>
      </c>
      <c r="O8353" s="561">
        <v>2147.1</v>
      </c>
      <c r="P8353" s="561">
        <v>4709.9047599999994</v>
      </c>
      <c r="Q8353" s="561">
        <v>4709.9047599999994</v>
      </c>
      <c r="R8353" s="561">
        <v>4709.9047599999994</v>
      </c>
    </row>
    <row r="8354" spans="1:18" ht="14.25" customHeight="1">
      <c r="C8354" s="561" t="s">
        <v>1200</v>
      </c>
      <c r="G8354" s="561">
        <v>0</v>
      </c>
      <c r="H8354" s="561">
        <v>0</v>
      </c>
      <c r="I8354" s="561">
        <v>0</v>
      </c>
      <c r="J8354" s="561">
        <v>0</v>
      </c>
      <c r="K8354" s="561">
        <v>0</v>
      </c>
      <c r="L8354" s="561">
        <v>0</v>
      </c>
      <c r="M8354" s="561">
        <v>0</v>
      </c>
      <c r="N8354" s="561">
        <v>0</v>
      </c>
      <c r="O8354" s="561">
        <v>0</v>
      </c>
      <c r="P8354" s="561">
        <v>0</v>
      </c>
      <c r="Q8354" s="561">
        <v>0</v>
      </c>
      <c r="R8354" s="561">
        <v>0</v>
      </c>
    </row>
    <row r="8355" spans="1:18" ht="14.25" customHeight="1">
      <c r="A8355" s="561">
        <v>31</v>
      </c>
      <c r="B8355" s="561" t="s">
        <v>2042</v>
      </c>
      <c r="C8355" s="561" t="s">
        <v>1196</v>
      </c>
      <c r="D8355" s="561">
        <v>4310</v>
      </c>
      <c r="E8355" s="561">
        <v>862</v>
      </c>
      <c r="F8355" s="561">
        <v>0</v>
      </c>
      <c r="G8355" s="561">
        <v>3448</v>
      </c>
      <c r="H8355" s="561">
        <v>306</v>
      </c>
      <c r="I8355" s="561">
        <v>4537.3098999999984</v>
      </c>
      <c r="J8355" s="561">
        <v>8</v>
      </c>
      <c r="K8355" s="561">
        <v>227.31198999999924</v>
      </c>
      <c r="L8355" s="561">
        <v>298</v>
      </c>
      <c r="M8355" s="561">
        <v>4309.9979099999991</v>
      </c>
      <c r="N8355" s="561">
        <v>4309.9979099999991</v>
      </c>
      <c r="O8355" s="561">
        <v>862</v>
      </c>
      <c r="P8355" s="561">
        <v>3447.9979099999991</v>
      </c>
      <c r="Q8355" s="561">
        <v>3447.9979099999991</v>
      </c>
      <c r="R8355" s="561">
        <v>3447.9979099999991</v>
      </c>
    </row>
    <row r="8356" spans="1:18">
      <c r="C8356" s="561" t="s">
        <v>1197</v>
      </c>
      <c r="G8356" s="561">
        <v>0</v>
      </c>
      <c r="H8356" s="561">
        <v>0</v>
      </c>
      <c r="I8356" s="561">
        <v>0</v>
      </c>
      <c r="J8356" s="561">
        <v>0</v>
      </c>
      <c r="K8356" s="561">
        <v>0</v>
      </c>
      <c r="L8356" s="561">
        <v>0</v>
      </c>
      <c r="M8356" s="561">
        <v>0</v>
      </c>
      <c r="N8356" s="561">
        <v>0</v>
      </c>
      <c r="O8356" s="561">
        <v>0</v>
      </c>
      <c r="P8356" s="561">
        <v>0</v>
      </c>
      <c r="Q8356" s="561">
        <v>0</v>
      </c>
      <c r="R8356" s="561">
        <v>0</v>
      </c>
    </row>
    <row r="8357" spans="1:18" ht="14.25" customHeight="1">
      <c r="C8357" s="561" t="s">
        <v>1198</v>
      </c>
      <c r="G8357" s="561">
        <v>0</v>
      </c>
      <c r="H8357" s="561">
        <v>0</v>
      </c>
      <c r="I8357" s="561">
        <v>0</v>
      </c>
      <c r="J8357" s="561">
        <v>0</v>
      </c>
      <c r="K8357" s="561">
        <v>0</v>
      </c>
      <c r="L8357" s="561">
        <v>0</v>
      </c>
      <c r="M8357" s="561">
        <v>0</v>
      </c>
      <c r="N8357" s="561">
        <v>0</v>
      </c>
      <c r="O8357" s="561">
        <v>0</v>
      </c>
      <c r="P8357" s="561">
        <v>0</v>
      </c>
      <c r="Q8357" s="561">
        <v>0</v>
      </c>
      <c r="R8357" s="561">
        <v>0</v>
      </c>
    </row>
    <row r="8358" spans="1:18" ht="14.25" customHeight="1">
      <c r="C8358" s="561" t="s">
        <v>1199</v>
      </c>
      <c r="D8358" s="561">
        <v>4310</v>
      </c>
      <c r="E8358" s="561">
        <v>862</v>
      </c>
      <c r="G8358" s="561">
        <v>3448</v>
      </c>
      <c r="H8358" s="561">
        <v>306</v>
      </c>
      <c r="I8358" s="561">
        <v>4537.3098999999984</v>
      </c>
      <c r="J8358" s="561">
        <v>8</v>
      </c>
      <c r="K8358" s="561">
        <v>227.31198999999924</v>
      </c>
      <c r="L8358" s="561">
        <v>298</v>
      </c>
      <c r="M8358" s="561">
        <v>4309.9979099999991</v>
      </c>
      <c r="N8358" s="561">
        <v>4309.9979099999991</v>
      </c>
      <c r="O8358" s="561">
        <v>862</v>
      </c>
      <c r="P8358" s="561">
        <v>3447.9979099999991</v>
      </c>
      <c r="Q8358" s="561">
        <v>3447.9979099999991</v>
      </c>
      <c r="R8358" s="561">
        <v>3447.9979099999991</v>
      </c>
    </row>
    <row r="8359" spans="1:18" ht="14.25" customHeight="1">
      <c r="C8359" s="561" t="s">
        <v>1200</v>
      </c>
      <c r="G8359" s="561">
        <v>0</v>
      </c>
      <c r="H8359" s="561">
        <v>0</v>
      </c>
      <c r="I8359" s="561">
        <v>0</v>
      </c>
      <c r="J8359" s="561">
        <v>0</v>
      </c>
      <c r="K8359" s="561">
        <v>0</v>
      </c>
      <c r="L8359" s="561">
        <v>0</v>
      </c>
      <c r="M8359" s="561">
        <v>0</v>
      </c>
      <c r="N8359" s="561">
        <v>0</v>
      </c>
      <c r="O8359" s="561">
        <v>0</v>
      </c>
      <c r="P8359" s="561">
        <v>0</v>
      </c>
      <c r="Q8359" s="561">
        <v>0</v>
      </c>
      <c r="R8359" s="561">
        <v>0</v>
      </c>
    </row>
    <row r="8360" spans="1:18" ht="14.25" customHeight="1">
      <c r="A8360" s="561">
        <v>32</v>
      </c>
      <c r="B8360" s="561" t="s">
        <v>2043</v>
      </c>
      <c r="C8360" s="561" t="s">
        <v>1196</v>
      </c>
      <c r="D8360" s="561">
        <v>286796.59999999998</v>
      </c>
      <c r="E8360" s="561">
        <v>89099.7</v>
      </c>
      <c r="F8360" s="561">
        <v>0</v>
      </c>
      <c r="G8360" s="561">
        <v>197696.89999999997</v>
      </c>
      <c r="H8360" s="561">
        <v>1067</v>
      </c>
      <c r="I8360" s="561">
        <v>287779.29139999999</v>
      </c>
      <c r="J8360" s="561">
        <v>0</v>
      </c>
      <c r="K8360" s="561">
        <v>982.69300000002841</v>
      </c>
      <c r="L8360" s="561">
        <v>1067</v>
      </c>
      <c r="M8360" s="561">
        <v>286796.59839999996</v>
      </c>
      <c r="N8360" s="561">
        <v>286796.59839999996</v>
      </c>
      <c r="O8360" s="561">
        <v>89099.700000000012</v>
      </c>
      <c r="P8360" s="561">
        <v>197696.89839999995</v>
      </c>
      <c r="Q8360" s="561">
        <v>197696.89839999995</v>
      </c>
      <c r="R8360" s="561">
        <v>197696.89839999995</v>
      </c>
    </row>
    <row r="8361" spans="1:18">
      <c r="C8361" s="561" t="s">
        <v>1197</v>
      </c>
      <c r="G8361" s="561">
        <v>0</v>
      </c>
      <c r="H8361" s="561">
        <v>0</v>
      </c>
      <c r="I8361" s="561">
        <v>0</v>
      </c>
      <c r="J8361" s="561">
        <v>0</v>
      </c>
      <c r="K8361" s="561">
        <v>0</v>
      </c>
      <c r="L8361" s="561">
        <v>0</v>
      </c>
      <c r="M8361" s="561">
        <v>0</v>
      </c>
      <c r="N8361" s="561">
        <v>0</v>
      </c>
      <c r="O8361" s="561">
        <v>0</v>
      </c>
      <c r="P8361" s="561">
        <v>0</v>
      </c>
      <c r="Q8361" s="561">
        <v>0</v>
      </c>
      <c r="R8361" s="561">
        <v>0</v>
      </c>
    </row>
    <row r="8362" spans="1:18" ht="14.25" customHeight="1">
      <c r="C8362" s="561" t="s">
        <v>1198</v>
      </c>
      <c r="G8362" s="561">
        <v>0</v>
      </c>
      <c r="H8362" s="561">
        <v>0</v>
      </c>
      <c r="I8362" s="561">
        <v>0</v>
      </c>
      <c r="J8362" s="561">
        <v>0</v>
      </c>
      <c r="K8362" s="561">
        <v>0</v>
      </c>
      <c r="L8362" s="561">
        <v>0</v>
      </c>
      <c r="M8362" s="561">
        <v>0</v>
      </c>
      <c r="N8362" s="561">
        <v>0</v>
      </c>
      <c r="O8362" s="561">
        <v>0</v>
      </c>
      <c r="P8362" s="561">
        <v>0</v>
      </c>
      <c r="Q8362" s="561">
        <v>0</v>
      </c>
      <c r="R8362" s="561">
        <v>0</v>
      </c>
    </row>
    <row r="8363" spans="1:18" ht="14.25" customHeight="1">
      <c r="C8363" s="561" t="s">
        <v>1199</v>
      </c>
      <c r="D8363" s="561">
        <v>286796.59999999998</v>
      </c>
      <c r="E8363" s="561">
        <v>89099.7</v>
      </c>
      <c r="G8363" s="561">
        <v>197696.89999999997</v>
      </c>
      <c r="H8363" s="561">
        <v>1067</v>
      </c>
      <c r="I8363" s="561">
        <v>287779.29139999999</v>
      </c>
      <c r="J8363" s="561">
        <v>0</v>
      </c>
      <c r="K8363" s="561">
        <v>982.69300000002841</v>
      </c>
      <c r="L8363" s="561">
        <v>1067</v>
      </c>
      <c r="M8363" s="561">
        <v>286796.59839999996</v>
      </c>
      <c r="N8363" s="561">
        <v>286796.59839999996</v>
      </c>
      <c r="O8363" s="561">
        <v>89099.700000000012</v>
      </c>
      <c r="P8363" s="561">
        <v>197696.89839999995</v>
      </c>
      <c r="Q8363" s="561">
        <v>197696.89839999995</v>
      </c>
      <c r="R8363" s="561">
        <v>197696.89839999995</v>
      </c>
    </row>
    <row r="8364" spans="1:18" ht="14.25" customHeight="1">
      <c r="C8364" s="561" t="s">
        <v>1200</v>
      </c>
      <c r="G8364" s="561">
        <v>0</v>
      </c>
      <c r="H8364" s="561">
        <v>0</v>
      </c>
      <c r="I8364" s="561">
        <v>0</v>
      </c>
      <c r="J8364" s="561">
        <v>0</v>
      </c>
      <c r="K8364" s="561">
        <v>0</v>
      </c>
      <c r="L8364" s="561">
        <v>0</v>
      </c>
      <c r="M8364" s="561">
        <v>0</v>
      </c>
      <c r="N8364" s="561">
        <v>0</v>
      </c>
      <c r="O8364" s="561">
        <v>0</v>
      </c>
      <c r="P8364" s="561">
        <v>0</v>
      </c>
      <c r="Q8364" s="561">
        <v>0</v>
      </c>
      <c r="R8364" s="561">
        <v>0</v>
      </c>
    </row>
    <row r="8365" spans="1:18" ht="14.25" customHeight="1">
      <c r="A8365" s="561">
        <v>33</v>
      </c>
      <c r="B8365" s="561" t="s">
        <v>2044</v>
      </c>
      <c r="C8365" s="561" t="s">
        <v>1196</v>
      </c>
      <c r="D8365" s="561">
        <v>20987</v>
      </c>
      <c r="E8365" s="561">
        <v>6296.0999999999995</v>
      </c>
      <c r="F8365" s="561">
        <v>0</v>
      </c>
      <c r="G8365" s="561">
        <v>14690.900000000001</v>
      </c>
      <c r="H8365" s="561">
        <v>1200</v>
      </c>
      <c r="I8365" s="561">
        <v>21416.686339999997</v>
      </c>
      <c r="J8365" s="561">
        <v>0</v>
      </c>
      <c r="K8365" s="561">
        <v>432.54478999999628</v>
      </c>
      <c r="L8365" s="561">
        <v>1200</v>
      </c>
      <c r="M8365" s="561">
        <v>20984.14155</v>
      </c>
      <c r="N8365" s="561">
        <v>20984.14155</v>
      </c>
      <c r="O8365" s="561">
        <v>6296.0999999999995</v>
      </c>
      <c r="P8365" s="561">
        <v>14688.041550000002</v>
      </c>
      <c r="Q8365" s="561">
        <v>14688.041550000002</v>
      </c>
      <c r="R8365" s="561">
        <v>14688.041550000002</v>
      </c>
    </row>
    <row r="8366" spans="1:18">
      <c r="C8366" s="561" t="s">
        <v>1197</v>
      </c>
      <c r="G8366" s="561">
        <v>0</v>
      </c>
      <c r="H8366" s="561">
        <v>0</v>
      </c>
      <c r="I8366" s="561">
        <v>0</v>
      </c>
      <c r="J8366" s="561">
        <v>0</v>
      </c>
      <c r="K8366" s="561">
        <v>0</v>
      </c>
      <c r="L8366" s="561">
        <v>0</v>
      </c>
      <c r="M8366" s="561">
        <v>0</v>
      </c>
      <c r="N8366" s="561">
        <v>0</v>
      </c>
      <c r="O8366" s="561">
        <v>0</v>
      </c>
      <c r="P8366" s="561">
        <v>0</v>
      </c>
      <c r="Q8366" s="561">
        <v>0</v>
      </c>
      <c r="R8366" s="561">
        <v>0</v>
      </c>
    </row>
    <row r="8367" spans="1:18" ht="14.25" customHeight="1">
      <c r="C8367" s="561" t="s">
        <v>1198</v>
      </c>
      <c r="G8367" s="561">
        <v>0</v>
      </c>
      <c r="H8367" s="561">
        <v>0</v>
      </c>
      <c r="I8367" s="561">
        <v>0</v>
      </c>
      <c r="J8367" s="561">
        <v>0</v>
      </c>
      <c r="K8367" s="561">
        <v>0</v>
      </c>
      <c r="L8367" s="561">
        <v>0</v>
      </c>
      <c r="M8367" s="561">
        <v>0</v>
      </c>
      <c r="N8367" s="561">
        <v>0</v>
      </c>
      <c r="O8367" s="561">
        <v>0</v>
      </c>
      <c r="P8367" s="561">
        <v>0</v>
      </c>
      <c r="Q8367" s="561">
        <v>0</v>
      </c>
      <c r="R8367" s="561">
        <v>0</v>
      </c>
    </row>
    <row r="8368" spans="1:18" ht="14.25" customHeight="1">
      <c r="C8368" s="561" t="s">
        <v>1199</v>
      </c>
      <c r="D8368" s="561">
        <v>20987</v>
      </c>
      <c r="E8368" s="561">
        <v>6296.0999999999995</v>
      </c>
      <c r="G8368" s="561">
        <v>14690.900000000001</v>
      </c>
      <c r="H8368" s="561">
        <v>1200</v>
      </c>
      <c r="I8368" s="561">
        <v>21416.686339999997</v>
      </c>
      <c r="J8368" s="561">
        <v>0</v>
      </c>
      <c r="K8368" s="561">
        <v>432.54478999999628</v>
      </c>
      <c r="L8368" s="561">
        <v>1200</v>
      </c>
      <c r="M8368" s="561">
        <v>20984.14155</v>
      </c>
      <c r="N8368" s="561">
        <v>20984.14155</v>
      </c>
      <c r="O8368" s="561">
        <v>6296.0999999999995</v>
      </c>
      <c r="P8368" s="561">
        <v>14688.041550000002</v>
      </c>
      <c r="Q8368" s="561">
        <v>14688.041550000002</v>
      </c>
      <c r="R8368" s="561">
        <v>14688.041550000002</v>
      </c>
    </row>
    <row r="8369" spans="1:111" ht="14.25" customHeight="1">
      <c r="C8369" s="561" t="s">
        <v>1200</v>
      </c>
      <c r="G8369" s="561">
        <v>0</v>
      </c>
      <c r="H8369" s="561">
        <v>0</v>
      </c>
      <c r="I8369" s="561">
        <v>0</v>
      </c>
      <c r="J8369" s="561">
        <v>0</v>
      </c>
      <c r="K8369" s="561">
        <v>0</v>
      </c>
      <c r="L8369" s="561">
        <v>0</v>
      </c>
      <c r="M8369" s="561">
        <v>0</v>
      </c>
      <c r="N8369" s="561">
        <v>0</v>
      </c>
      <c r="O8369" s="561">
        <v>0</v>
      </c>
      <c r="P8369" s="561">
        <v>0</v>
      </c>
      <c r="Q8369" s="561">
        <v>0</v>
      </c>
      <c r="R8369" s="561">
        <v>0</v>
      </c>
    </row>
    <row r="8370" spans="1:111" ht="14.25" customHeight="1">
      <c r="A8370" s="561">
        <v>34</v>
      </c>
      <c r="B8370" s="561" t="s">
        <v>2045</v>
      </c>
      <c r="C8370" s="561" t="s">
        <v>1196</v>
      </c>
      <c r="D8370" s="561">
        <v>79514.494999999995</v>
      </c>
      <c r="E8370" s="561">
        <v>0</v>
      </c>
      <c r="F8370" s="561">
        <v>0</v>
      </c>
      <c r="G8370" s="561">
        <v>79514.494999999995</v>
      </c>
      <c r="H8370" s="561">
        <v>99</v>
      </c>
      <c r="I8370" s="561">
        <v>79514.507139999987</v>
      </c>
      <c r="J8370" s="561">
        <v>0</v>
      </c>
      <c r="K8370" s="561">
        <v>1.0339999993448146E-2</v>
      </c>
      <c r="L8370" s="561">
        <v>99</v>
      </c>
      <c r="M8370" s="561">
        <v>79514.496799999994</v>
      </c>
      <c r="N8370" s="561">
        <v>79514.496799999994</v>
      </c>
      <c r="O8370" s="561">
        <v>0</v>
      </c>
      <c r="P8370" s="561">
        <v>79514.496799999994</v>
      </c>
      <c r="Q8370" s="561">
        <v>79514.496799999994</v>
      </c>
      <c r="R8370" s="561">
        <v>79514.496799999994</v>
      </c>
    </row>
    <row r="8371" spans="1:111">
      <c r="C8371" s="561" t="s">
        <v>1197</v>
      </c>
      <c r="G8371" s="561">
        <v>0</v>
      </c>
      <c r="H8371" s="561">
        <v>0</v>
      </c>
      <c r="I8371" s="561">
        <v>0</v>
      </c>
      <c r="J8371" s="561">
        <v>0</v>
      </c>
      <c r="K8371" s="561">
        <v>0</v>
      </c>
      <c r="L8371" s="561">
        <v>0</v>
      </c>
      <c r="M8371" s="561">
        <v>0</v>
      </c>
      <c r="N8371" s="561">
        <v>0</v>
      </c>
      <c r="O8371" s="561">
        <v>0</v>
      </c>
      <c r="P8371" s="561">
        <v>0</v>
      </c>
      <c r="Q8371" s="561">
        <v>0</v>
      </c>
      <c r="R8371" s="561">
        <v>0</v>
      </c>
    </row>
    <row r="8372" spans="1:111" ht="14.25" customHeight="1">
      <c r="C8372" s="561" t="s">
        <v>1198</v>
      </c>
      <c r="D8372" s="561">
        <v>79514.494999999995</v>
      </c>
      <c r="G8372" s="561">
        <v>79514.494999999995</v>
      </c>
      <c r="H8372" s="561">
        <v>99</v>
      </c>
      <c r="I8372" s="561">
        <v>79514.507139999987</v>
      </c>
      <c r="J8372" s="561">
        <v>0</v>
      </c>
      <c r="K8372" s="561">
        <v>1.0339999993448146E-2</v>
      </c>
      <c r="L8372" s="561">
        <v>99</v>
      </c>
      <c r="M8372" s="561">
        <v>79514.496799999994</v>
      </c>
      <c r="N8372" s="561">
        <v>79514.496799999994</v>
      </c>
      <c r="O8372" s="561">
        <v>0</v>
      </c>
      <c r="P8372" s="561">
        <v>79514.496799999994</v>
      </c>
      <c r="Q8372" s="561">
        <v>79514.496799999994</v>
      </c>
      <c r="R8372" s="561">
        <v>79514.496799999994</v>
      </c>
    </row>
    <row r="8373" spans="1:111" ht="14.25" customHeight="1">
      <c r="C8373" s="561" t="s">
        <v>1199</v>
      </c>
      <c r="G8373" s="561">
        <v>0</v>
      </c>
      <c r="H8373" s="561">
        <v>0</v>
      </c>
      <c r="I8373" s="561">
        <v>0</v>
      </c>
      <c r="J8373" s="561">
        <v>0</v>
      </c>
      <c r="K8373" s="561">
        <v>0</v>
      </c>
      <c r="L8373" s="561">
        <v>0</v>
      </c>
      <c r="M8373" s="561">
        <v>0</v>
      </c>
      <c r="N8373" s="561">
        <v>0</v>
      </c>
      <c r="O8373" s="561">
        <v>0</v>
      </c>
      <c r="P8373" s="561">
        <v>0</v>
      </c>
      <c r="Q8373" s="561">
        <v>0</v>
      </c>
      <c r="R8373" s="561">
        <v>0</v>
      </c>
    </row>
    <row r="8374" spans="1:111" ht="14.25" customHeight="1">
      <c r="C8374" s="561" t="s">
        <v>1200</v>
      </c>
      <c r="G8374" s="561">
        <v>0</v>
      </c>
      <c r="H8374" s="561">
        <v>0</v>
      </c>
      <c r="I8374" s="561">
        <v>0</v>
      </c>
      <c r="J8374" s="561">
        <v>0</v>
      </c>
      <c r="K8374" s="561">
        <v>0</v>
      </c>
      <c r="L8374" s="561">
        <v>0</v>
      </c>
      <c r="M8374" s="561">
        <v>0</v>
      </c>
      <c r="N8374" s="561">
        <v>0</v>
      </c>
      <c r="O8374" s="561">
        <v>0</v>
      </c>
      <c r="P8374" s="561">
        <v>0</v>
      </c>
      <c r="Q8374" s="561">
        <v>0</v>
      </c>
      <c r="R8374" s="561">
        <v>0</v>
      </c>
    </row>
    <row r="8375" spans="1:111" ht="14.25" customHeight="1">
      <c r="A8375" s="561">
        <v>35</v>
      </c>
      <c r="B8375" s="561" t="s">
        <v>2046</v>
      </c>
      <c r="C8375" s="561" t="s">
        <v>1196</v>
      </c>
      <c r="D8375" s="561">
        <v>215656</v>
      </c>
      <c r="E8375" s="561">
        <v>57196.799999999996</v>
      </c>
      <c r="F8375" s="561">
        <v>0</v>
      </c>
      <c r="G8375" s="561">
        <v>158459.20000000001</v>
      </c>
      <c r="H8375" s="561">
        <v>412308</v>
      </c>
      <c r="I8375" s="561">
        <v>224360.36504999999</v>
      </c>
      <c r="J8375" s="561">
        <v>12283</v>
      </c>
      <c r="K8375" s="561">
        <v>8704.4859099999594</v>
      </c>
      <c r="L8375" s="561">
        <v>400025</v>
      </c>
      <c r="M8375" s="561">
        <v>215655.87914000003</v>
      </c>
      <c r="N8375" s="561">
        <v>215655.87914000003</v>
      </c>
      <c r="O8375" s="561">
        <v>57196.799999999996</v>
      </c>
      <c r="P8375" s="561">
        <v>158459.07914000005</v>
      </c>
      <c r="Q8375" s="561">
        <v>158459.07914000005</v>
      </c>
      <c r="R8375" s="561">
        <v>158459.07914000005</v>
      </c>
    </row>
    <row r="8376" spans="1:111" ht="15" customHeight="1">
      <c r="C8376" s="561" t="s">
        <v>1197</v>
      </c>
      <c r="G8376" s="561">
        <v>0</v>
      </c>
      <c r="H8376" s="561">
        <v>0</v>
      </c>
      <c r="I8376" s="561">
        <v>0</v>
      </c>
      <c r="J8376" s="561">
        <v>0</v>
      </c>
      <c r="K8376" s="561">
        <v>0</v>
      </c>
      <c r="L8376" s="561">
        <v>0</v>
      </c>
      <c r="M8376" s="561">
        <v>0</v>
      </c>
      <c r="N8376" s="561">
        <v>0</v>
      </c>
      <c r="O8376" s="561">
        <v>0</v>
      </c>
      <c r="P8376" s="561">
        <v>0</v>
      </c>
      <c r="Q8376" s="561">
        <v>0</v>
      </c>
      <c r="R8376" s="561">
        <v>0</v>
      </c>
    </row>
    <row r="8377" spans="1:111" ht="14.25" customHeight="1">
      <c r="C8377" s="561" t="s">
        <v>1198</v>
      </c>
      <c r="G8377" s="561">
        <v>0</v>
      </c>
      <c r="H8377" s="561">
        <v>0</v>
      </c>
      <c r="I8377" s="561">
        <v>0</v>
      </c>
      <c r="J8377" s="561">
        <v>0</v>
      </c>
      <c r="K8377" s="561">
        <v>0</v>
      </c>
      <c r="L8377" s="561">
        <v>0</v>
      </c>
      <c r="M8377" s="561">
        <v>0</v>
      </c>
      <c r="N8377" s="561">
        <v>0</v>
      </c>
      <c r="O8377" s="561">
        <v>0</v>
      </c>
      <c r="P8377" s="561">
        <v>0</v>
      </c>
      <c r="Q8377" s="561">
        <v>0</v>
      </c>
      <c r="R8377" s="561">
        <v>0</v>
      </c>
    </row>
    <row r="8378" spans="1:111" ht="14.25" customHeight="1">
      <c r="C8378" s="561" t="s">
        <v>1199</v>
      </c>
      <c r="G8378" s="561">
        <v>0</v>
      </c>
      <c r="H8378" s="561">
        <v>0</v>
      </c>
      <c r="I8378" s="561">
        <v>0</v>
      </c>
      <c r="J8378" s="561">
        <v>0</v>
      </c>
      <c r="K8378" s="561">
        <v>0</v>
      </c>
      <c r="L8378" s="561">
        <v>0</v>
      </c>
      <c r="M8378" s="561">
        <v>0</v>
      </c>
      <c r="N8378" s="561">
        <v>0</v>
      </c>
      <c r="O8378" s="561">
        <v>0</v>
      </c>
      <c r="P8378" s="561">
        <v>0</v>
      </c>
      <c r="Q8378" s="561">
        <v>0</v>
      </c>
      <c r="R8378" s="561">
        <v>0</v>
      </c>
    </row>
    <row r="8379" spans="1:111" ht="14.25" customHeight="1">
      <c r="C8379" s="561" t="s">
        <v>1200</v>
      </c>
      <c r="D8379" s="561">
        <v>215656</v>
      </c>
      <c r="E8379" s="561">
        <v>57196.799999999996</v>
      </c>
      <c r="G8379" s="561">
        <v>158459.20000000001</v>
      </c>
      <c r="H8379" s="561">
        <v>412308</v>
      </c>
      <c r="I8379" s="561">
        <v>224360.36504999999</v>
      </c>
      <c r="J8379" s="561">
        <v>12283</v>
      </c>
      <c r="K8379" s="561">
        <v>8704.4859099999594</v>
      </c>
      <c r="L8379" s="561">
        <v>400025</v>
      </c>
      <c r="M8379" s="561">
        <v>215655.87914000003</v>
      </c>
      <c r="N8379" s="561">
        <v>215655.87914000003</v>
      </c>
      <c r="O8379" s="561">
        <v>57196.799999999996</v>
      </c>
      <c r="P8379" s="561">
        <v>158459.07914000005</v>
      </c>
      <c r="Q8379" s="561">
        <v>158459.07914000005</v>
      </c>
      <c r="R8379" s="561">
        <v>158459.07914000005</v>
      </c>
    </row>
    <row r="8380" spans="1:111" ht="14.25" customHeight="1">
      <c r="A8380" s="1735" t="s">
        <v>1198</v>
      </c>
      <c r="B8380" s="1735"/>
      <c r="C8380" s="1735"/>
      <c r="D8380" s="1735"/>
      <c r="E8380" s="1735"/>
      <c r="F8380" s="1735"/>
      <c r="G8380" s="1735"/>
      <c r="H8380" s="1735"/>
      <c r="I8380" s="1735"/>
      <c r="J8380" s="1735"/>
      <c r="K8380" s="1735"/>
      <c r="L8380" s="1735"/>
      <c r="M8380" s="1735"/>
      <c r="N8380" s="1735"/>
      <c r="O8380" s="1735"/>
      <c r="P8380" s="1735"/>
      <c r="Q8380" s="561">
        <v>158459.07914000005</v>
      </c>
      <c r="R8380" s="561">
        <v>158459.07914000005</v>
      </c>
      <c r="AL8380" s="561">
        <f>SUM(AL8381:AL8556)</f>
        <v>2072415.61369</v>
      </c>
      <c r="AM8380" s="561">
        <f t="shared" ref="AM8380:CX8380" si="389">SUM(AM8381:AM8556)</f>
        <v>4215639.5033899993</v>
      </c>
      <c r="AN8380" s="561">
        <f t="shared" si="389"/>
        <v>0</v>
      </c>
      <c r="AO8380" s="561">
        <f t="shared" si="389"/>
        <v>0</v>
      </c>
      <c r="AP8380" s="561">
        <f t="shared" si="389"/>
        <v>0</v>
      </c>
      <c r="AQ8380" s="561">
        <f t="shared" si="389"/>
        <v>0</v>
      </c>
      <c r="AR8380" s="561">
        <f t="shared" si="389"/>
        <v>0</v>
      </c>
      <c r="AS8380" s="561">
        <f t="shared" si="389"/>
        <v>0</v>
      </c>
      <c r="AT8380" s="561">
        <f t="shared" si="389"/>
        <v>0</v>
      </c>
      <c r="AU8380" s="561">
        <f t="shared" si="389"/>
        <v>0</v>
      </c>
      <c r="AV8380" s="561">
        <f t="shared" si="389"/>
        <v>0</v>
      </c>
      <c r="AW8380" s="561">
        <f t="shared" si="389"/>
        <v>0</v>
      </c>
      <c r="AX8380" s="561">
        <f t="shared" si="389"/>
        <v>4220850.4143199995</v>
      </c>
      <c r="AY8380" s="561">
        <f t="shared" si="389"/>
        <v>0</v>
      </c>
      <c r="AZ8380" s="561">
        <f t="shared" si="389"/>
        <v>0</v>
      </c>
      <c r="BA8380" s="561">
        <f t="shared" si="389"/>
        <v>0</v>
      </c>
      <c r="BB8380" s="561">
        <f t="shared" si="389"/>
        <v>47942.169050000004</v>
      </c>
      <c r="BC8380" s="561">
        <f t="shared" si="389"/>
        <v>0</v>
      </c>
      <c r="BD8380" s="561">
        <f t="shared" si="389"/>
        <v>2299487.4536299994</v>
      </c>
      <c r="BE8380" s="561">
        <f t="shared" si="389"/>
        <v>0</v>
      </c>
      <c r="BF8380" s="561">
        <f t="shared" si="389"/>
        <v>0</v>
      </c>
      <c r="BG8380" s="561">
        <f t="shared" si="389"/>
        <v>0</v>
      </c>
      <c r="BH8380" s="561">
        <f t="shared" si="389"/>
        <v>0</v>
      </c>
      <c r="BI8380" s="561">
        <f t="shared" si="389"/>
        <v>0</v>
      </c>
      <c r="BJ8380" s="561">
        <f t="shared" si="389"/>
        <v>0</v>
      </c>
      <c r="BK8380" s="561">
        <f t="shared" si="389"/>
        <v>0</v>
      </c>
      <c r="BL8380" s="561">
        <f t="shared" si="389"/>
        <v>0</v>
      </c>
      <c r="BM8380" s="561">
        <f t="shared" si="389"/>
        <v>0</v>
      </c>
      <c r="BN8380" s="561">
        <f t="shared" si="389"/>
        <v>0</v>
      </c>
      <c r="BO8380" s="561">
        <f t="shared" si="389"/>
        <v>0</v>
      </c>
      <c r="BP8380" s="561">
        <f t="shared" si="389"/>
        <v>0</v>
      </c>
      <c r="BQ8380" s="561">
        <f t="shared" si="389"/>
        <v>0</v>
      </c>
      <c r="BR8380" s="561">
        <f t="shared" si="389"/>
        <v>0</v>
      </c>
      <c r="BS8380" s="561">
        <f t="shared" si="389"/>
        <v>0</v>
      </c>
      <c r="BT8380" s="561">
        <f t="shared" si="389"/>
        <v>0</v>
      </c>
      <c r="BU8380" s="561">
        <f t="shared" si="389"/>
        <v>0</v>
      </c>
      <c r="BV8380" s="561">
        <f t="shared" si="389"/>
        <v>0</v>
      </c>
      <c r="BW8380" s="561">
        <f t="shared" si="389"/>
        <v>0</v>
      </c>
      <c r="BX8380" s="561">
        <f t="shared" si="389"/>
        <v>0</v>
      </c>
      <c r="BY8380" s="561">
        <f t="shared" si="389"/>
        <v>0</v>
      </c>
      <c r="BZ8380" s="561">
        <f t="shared" si="389"/>
        <v>0</v>
      </c>
      <c r="CA8380" s="561">
        <f t="shared" si="389"/>
        <v>0</v>
      </c>
      <c r="CB8380" s="561">
        <f t="shared" si="389"/>
        <v>0</v>
      </c>
      <c r="CC8380" s="561">
        <f t="shared" si="389"/>
        <v>0</v>
      </c>
      <c r="CD8380" s="561">
        <f t="shared" si="389"/>
        <v>0</v>
      </c>
      <c r="CE8380" s="561">
        <f t="shared" si="389"/>
        <v>0</v>
      </c>
      <c r="CF8380" s="561">
        <f t="shared" si="389"/>
        <v>0</v>
      </c>
      <c r="CG8380" s="561">
        <f t="shared" si="389"/>
        <v>0</v>
      </c>
      <c r="CH8380" s="561">
        <f t="shared" si="389"/>
        <v>0</v>
      </c>
      <c r="CI8380" s="561">
        <f t="shared" si="389"/>
        <v>0</v>
      </c>
      <c r="CJ8380" s="561">
        <f t="shared" si="389"/>
        <v>0</v>
      </c>
      <c r="CK8380" s="561">
        <f t="shared" si="389"/>
        <v>0</v>
      </c>
      <c r="CL8380" s="561">
        <f t="shared" si="389"/>
        <v>0</v>
      </c>
      <c r="CM8380" s="561">
        <f t="shared" si="389"/>
        <v>0</v>
      </c>
      <c r="CN8380" s="561">
        <f t="shared" si="389"/>
        <v>0</v>
      </c>
      <c r="CO8380" s="561">
        <f t="shared" si="389"/>
        <v>0</v>
      </c>
      <c r="CP8380" s="561">
        <f t="shared" si="389"/>
        <v>0</v>
      </c>
      <c r="CQ8380" s="561">
        <f t="shared" si="389"/>
        <v>0</v>
      </c>
      <c r="CR8380" s="561">
        <f t="shared" si="389"/>
        <v>0</v>
      </c>
      <c r="CS8380" s="561">
        <f t="shared" si="389"/>
        <v>0</v>
      </c>
      <c r="CT8380" s="561">
        <f t="shared" si="389"/>
        <v>0</v>
      </c>
      <c r="CU8380" s="561">
        <f t="shared" si="389"/>
        <v>0</v>
      </c>
      <c r="CV8380" s="561">
        <f t="shared" si="389"/>
        <v>0</v>
      </c>
      <c r="CW8380" s="561">
        <f t="shared" si="389"/>
        <v>0</v>
      </c>
      <c r="CX8380" s="561">
        <f t="shared" si="389"/>
        <v>0</v>
      </c>
      <c r="CY8380" s="561">
        <f t="shared" ref="CY8380:DG8380" si="390">SUM(CY8381:CY8556)</f>
        <v>0</v>
      </c>
      <c r="CZ8380" s="561">
        <f t="shared" si="390"/>
        <v>0</v>
      </c>
      <c r="DA8380" s="561">
        <f t="shared" si="390"/>
        <v>0</v>
      </c>
      <c r="DB8380" s="561">
        <f t="shared" si="390"/>
        <v>0</v>
      </c>
      <c r="DC8380" s="561">
        <f t="shared" si="390"/>
        <v>0</v>
      </c>
      <c r="DD8380" s="561">
        <f t="shared" si="390"/>
        <v>0</v>
      </c>
      <c r="DE8380" s="561">
        <f t="shared" si="390"/>
        <v>0</v>
      </c>
      <c r="DF8380" s="561">
        <f t="shared" si="390"/>
        <v>0</v>
      </c>
      <c r="DG8380" s="561">
        <f t="shared" si="390"/>
        <v>0</v>
      </c>
    </row>
    <row r="8381" spans="1:111">
      <c r="A8381" s="561">
        <v>1</v>
      </c>
      <c r="B8381" s="561" t="s">
        <v>2013</v>
      </c>
      <c r="C8381" s="561" t="s">
        <v>1197</v>
      </c>
      <c r="D8381" s="561">
        <v>2484257</v>
      </c>
      <c r="E8381" s="561">
        <v>745277.1</v>
      </c>
      <c r="G8381" s="561">
        <v>1738979.9</v>
      </c>
      <c r="H8381" s="561">
        <v>11466</v>
      </c>
      <c r="I8381" s="561">
        <v>2459850.7901100004</v>
      </c>
      <c r="J8381" s="561">
        <v>17</v>
      </c>
      <c r="K8381" s="561">
        <v>143354.65197000047</v>
      </c>
      <c r="L8381" s="561">
        <v>11449</v>
      </c>
      <c r="M8381" s="561">
        <v>2316496.1381399999</v>
      </c>
      <c r="N8381" s="561">
        <v>2316496.1381399999</v>
      </c>
      <c r="O8381" s="561">
        <v>745277.1</v>
      </c>
    </row>
    <row r="8382" spans="1:111" s="882" customFormat="1">
      <c r="C8382" s="882" t="s">
        <v>1198</v>
      </c>
      <c r="D8382" s="882">
        <v>963709.9</v>
      </c>
      <c r="E8382" s="882">
        <v>136560.6</v>
      </c>
      <c r="G8382" s="882">
        <v>827149.3</v>
      </c>
      <c r="H8382" s="882">
        <v>1165</v>
      </c>
      <c r="I8382" s="882">
        <v>1139810.3547399999</v>
      </c>
      <c r="J8382" s="882">
        <v>4</v>
      </c>
      <c r="K8382" s="882">
        <v>11453.032829999924</v>
      </c>
      <c r="L8382" s="882">
        <v>1161</v>
      </c>
      <c r="M8382" s="882">
        <v>1128357.3219099999</v>
      </c>
      <c r="N8382" s="882">
        <v>1128357.3219099999</v>
      </c>
      <c r="O8382" s="882">
        <v>136560.59999999998</v>
      </c>
      <c r="AM8382" s="882">
        <v>991796.72190999996</v>
      </c>
    </row>
    <row r="8383" spans="1:111">
      <c r="C8383" s="561" t="s">
        <v>1199</v>
      </c>
      <c r="D8383" s="561">
        <v>2983</v>
      </c>
      <c r="E8383" s="561">
        <v>894.9</v>
      </c>
      <c r="G8383" s="561">
        <v>2088.1</v>
      </c>
      <c r="H8383" s="561">
        <v>310</v>
      </c>
      <c r="I8383" s="561">
        <v>6763.1136699999988</v>
      </c>
      <c r="J8383" s="561">
        <v>1</v>
      </c>
      <c r="K8383" s="561">
        <v>52.838099999998121</v>
      </c>
      <c r="L8383" s="561">
        <v>309</v>
      </c>
      <c r="M8383" s="561">
        <v>6710.2755700000007</v>
      </c>
      <c r="N8383" s="561">
        <v>6710.2755700000007</v>
      </c>
      <c r="O8383" s="561">
        <v>894.9</v>
      </c>
      <c r="P8383" s="561">
        <v>5815.3755700000011</v>
      </c>
    </row>
    <row r="8384" spans="1:111">
      <c r="C8384" s="561" t="s">
        <v>1200</v>
      </c>
      <c r="D8384" s="561">
        <v>0</v>
      </c>
      <c r="G8384" s="561">
        <v>0</v>
      </c>
      <c r="H8384" s="561">
        <v>0</v>
      </c>
      <c r="I8384" s="561">
        <v>0</v>
      </c>
      <c r="J8384" s="561">
        <v>0</v>
      </c>
      <c r="K8384" s="561">
        <v>0</v>
      </c>
      <c r="L8384" s="561">
        <v>0</v>
      </c>
      <c r="M8384" s="561">
        <v>0</v>
      </c>
      <c r="N8384" s="561">
        <v>0</v>
      </c>
      <c r="O8384" s="561">
        <v>0</v>
      </c>
      <c r="P8384" s="561">
        <v>0</v>
      </c>
    </row>
    <row r="8385" spans="1:56">
      <c r="C8385" s="561" t="s">
        <v>1202</v>
      </c>
      <c r="D8385" s="561">
        <v>9972.2999999999993</v>
      </c>
      <c r="E8385" s="561">
        <v>0</v>
      </c>
      <c r="G8385" s="561">
        <v>9972.2999999999993</v>
      </c>
      <c r="H8385" s="561">
        <v>50917</v>
      </c>
      <c r="I8385" s="561">
        <v>31382.281999999999</v>
      </c>
      <c r="J8385" s="561">
        <v>36926</v>
      </c>
      <c r="K8385" s="561">
        <v>22024.354299999999</v>
      </c>
      <c r="L8385" s="561">
        <v>13991</v>
      </c>
      <c r="M8385" s="561">
        <v>9357.9276999999984</v>
      </c>
      <c r="N8385" s="561">
        <v>9357.9276999999984</v>
      </c>
      <c r="O8385" s="561">
        <v>0</v>
      </c>
      <c r="P8385" s="561">
        <v>9357.9276999999984</v>
      </c>
    </row>
    <row r="8386" spans="1:56">
      <c r="A8386" s="561">
        <v>2</v>
      </c>
      <c r="B8386" s="561" t="s">
        <v>2014</v>
      </c>
      <c r="C8386" s="561" t="s">
        <v>1196</v>
      </c>
      <c r="D8386" s="561">
        <v>4381249</v>
      </c>
      <c r="E8386" s="561">
        <v>1311445.2</v>
      </c>
      <c r="F8386" s="561">
        <v>0</v>
      </c>
      <c r="G8386" s="561">
        <v>3069803.8000000003</v>
      </c>
      <c r="H8386" s="561">
        <v>9748</v>
      </c>
      <c r="I8386" s="561">
        <v>4485675.2769300006</v>
      </c>
      <c r="J8386" s="561">
        <v>236</v>
      </c>
      <c r="K8386" s="561">
        <v>104426.28284000047</v>
      </c>
      <c r="L8386" s="561">
        <v>9512</v>
      </c>
      <c r="M8386" s="561">
        <v>4381248.9940900002</v>
      </c>
      <c r="N8386" s="561">
        <v>4381248.9940900002</v>
      </c>
      <c r="O8386" s="561">
        <v>1311445.2</v>
      </c>
      <c r="P8386" s="561">
        <v>3069803.7940899995</v>
      </c>
    </row>
    <row r="8387" spans="1:56">
      <c r="C8387" s="561" t="s">
        <v>1197</v>
      </c>
      <c r="D8387" s="561">
        <v>1099718</v>
      </c>
      <c r="E8387" s="561">
        <v>329915.39999999997</v>
      </c>
      <c r="G8387" s="561">
        <v>769802.60000000009</v>
      </c>
      <c r="H8387" s="561">
        <v>6141</v>
      </c>
      <c r="I8387" s="561">
        <v>1122625.9926200002</v>
      </c>
      <c r="J8387" s="561">
        <v>34</v>
      </c>
      <c r="K8387" s="561">
        <v>22394.252160000149</v>
      </c>
      <c r="L8387" s="561">
        <v>6107</v>
      </c>
      <c r="M8387" s="561">
        <v>1100231.74046</v>
      </c>
      <c r="N8387" s="561">
        <v>1100231.74046</v>
      </c>
      <c r="O8387" s="561">
        <v>329915.39999999997</v>
      </c>
    </row>
    <row r="8388" spans="1:56">
      <c r="C8388" s="561" t="s">
        <v>1198</v>
      </c>
      <c r="D8388" s="561">
        <v>3281531</v>
      </c>
      <c r="E8388" s="561">
        <v>981529.79999999993</v>
      </c>
      <c r="G8388" s="561">
        <v>2300001.2000000002</v>
      </c>
      <c r="H8388" s="561">
        <v>3607</v>
      </c>
      <c r="I8388" s="561">
        <v>3363049.28431</v>
      </c>
      <c r="J8388" s="561">
        <v>202</v>
      </c>
      <c r="K8388" s="561">
        <v>82032.030680000316</v>
      </c>
      <c r="L8388" s="561">
        <v>3405</v>
      </c>
      <c r="M8388" s="561">
        <v>3281017.2536299997</v>
      </c>
      <c r="N8388" s="561">
        <v>3281017.2536299997</v>
      </c>
      <c r="O8388" s="561">
        <v>981529.8</v>
      </c>
      <c r="BD8388" s="561">
        <v>2299487.4536299994</v>
      </c>
    </row>
    <row r="8389" spans="1:56">
      <c r="C8389" s="561" t="s">
        <v>1199</v>
      </c>
      <c r="G8389" s="561">
        <v>0</v>
      </c>
      <c r="H8389" s="561">
        <v>0</v>
      </c>
      <c r="I8389" s="561">
        <v>0</v>
      </c>
      <c r="J8389" s="561">
        <v>0</v>
      </c>
      <c r="K8389" s="561">
        <v>0</v>
      </c>
      <c r="L8389" s="561">
        <v>0</v>
      </c>
      <c r="M8389" s="561">
        <v>0</v>
      </c>
      <c r="N8389" s="561">
        <v>0</v>
      </c>
      <c r="O8389" s="561">
        <v>0</v>
      </c>
      <c r="P8389" s="561">
        <v>0</v>
      </c>
    </row>
    <row r="8390" spans="1:56">
      <c r="C8390" s="561" t="s">
        <v>1200</v>
      </c>
      <c r="G8390" s="561">
        <v>0</v>
      </c>
      <c r="H8390" s="561">
        <v>0</v>
      </c>
      <c r="I8390" s="561">
        <v>0</v>
      </c>
      <c r="J8390" s="561">
        <v>0</v>
      </c>
      <c r="K8390" s="561">
        <v>0</v>
      </c>
      <c r="L8390" s="561">
        <v>0</v>
      </c>
      <c r="M8390" s="561">
        <v>0</v>
      </c>
      <c r="N8390" s="561">
        <v>0</v>
      </c>
      <c r="O8390" s="561">
        <v>0</v>
      </c>
      <c r="P8390" s="561">
        <v>0</v>
      </c>
    </row>
    <row r="8391" spans="1:56">
      <c r="A8391" s="561">
        <v>3</v>
      </c>
      <c r="B8391" s="561" t="s">
        <v>2015</v>
      </c>
      <c r="C8391" s="561" t="s">
        <v>1196</v>
      </c>
      <c r="D8391" s="561">
        <v>1885640</v>
      </c>
      <c r="E8391" s="561">
        <v>565692</v>
      </c>
      <c r="F8391" s="561">
        <v>0</v>
      </c>
      <c r="G8391" s="561">
        <v>1319948</v>
      </c>
      <c r="H8391" s="561">
        <v>4215</v>
      </c>
      <c r="I8391" s="561">
        <v>1886182.8944999997</v>
      </c>
      <c r="J8391" s="561">
        <v>0</v>
      </c>
      <c r="K8391" s="561">
        <v>542.89574999990873</v>
      </c>
      <c r="L8391" s="561">
        <v>4215</v>
      </c>
      <c r="M8391" s="561">
        <v>1885639.9987499998</v>
      </c>
      <c r="N8391" s="561">
        <v>1885639.9987499998</v>
      </c>
      <c r="O8391" s="561">
        <v>565692</v>
      </c>
      <c r="P8391" s="561">
        <v>1319947.9987499998</v>
      </c>
    </row>
    <row r="8392" spans="1:56">
      <c r="C8392" s="561" t="s">
        <v>1197</v>
      </c>
      <c r="D8392" s="561">
        <v>1885640</v>
      </c>
      <c r="E8392" s="561">
        <v>565692</v>
      </c>
      <c r="G8392" s="561">
        <v>1319948</v>
      </c>
      <c r="H8392" s="561">
        <v>4215</v>
      </c>
      <c r="I8392" s="561">
        <v>1886182.8944999997</v>
      </c>
      <c r="J8392" s="561">
        <v>0</v>
      </c>
      <c r="K8392" s="561">
        <v>542.89574999990873</v>
      </c>
      <c r="L8392" s="561">
        <v>4215</v>
      </c>
      <c r="M8392" s="561">
        <v>1885639.9987499998</v>
      </c>
      <c r="N8392" s="561">
        <v>1885639.9987499998</v>
      </c>
      <c r="O8392" s="561">
        <v>565692</v>
      </c>
    </row>
    <row r="8393" spans="1:56">
      <c r="C8393" s="561" t="s">
        <v>1198</v>
      </c>
      <c r="G8393" s="561">
        <v>0</v>
      </c>
      <c r="H8393" s="561">
        <v>0</v>
      </c>
      <c r="I8393" s="561">
        <v>0</v>
      </c>
      <c r="J8393" s="561">
        <v>0</v>
      </c>
      <c r="K8393" s="561">
        <v>0</v>
      </c>
      <c r="L8393" s="561">
        <v>0</v>
      </c>
      <c r="M8393" s="561">
        <v>0</v>
      </c>
      <c r="N8393" s="561">
        <v>0</v>
      </c>
      <c r="O8393" s="561">
        <v>0</v>
      </c>
      <c r="P8393" s="561">
        <v>0</v>
      </c>
    </row>
    <row r="8394" spans="1:56">
      <c r="C8394" s="561" t="s">
        <v>1199</v>
      </c>
      <c r="G8394" s="561">
        <v>0</v>
      </c>
      <c r="H8394" s="561">
        <v>0</v>
      </c>
      <c r="I8394" s="561">
        <v>0</v>
      </c>
      <c r="J8394" s="561">
        <v>0</v>
      </c>
      <c r="K8394" s="561">
        <v>0</v>
      </c>
      <c r="L8394" s="561">
        <v>0</v>
      </c>
      <c r="M8394" s="561">
        <v>0</v>
      </c>
      <c r="N8394" s="561">
        <v>0</v>
      </c>
      <c r="O8394" s="561">
        <v>0</v>
      </c>
      <c r="P8394" s="561">
        <v>0</v>
      </c>
    </row>
    <row r="8395" spans="1:56">
      <c r="C8395" s="561" t="s">
        <v>1200</v>
      </c>
      <c r="G8395" s="561">
        <v>0</v>
      </c>
      <c r="H8395" s="561">
        <v>0</v>
      </c>
      <c r="I8395" s="561">
        <v>0</v>
      </c>
      <c r="J8395" s="561">
        <v>0</v>
      </c>
      <c r="K8395" s="561">
        <v>0</v>
      </c>
      <c r="L8395" s="561">
        <v>0</v>
      </c>
      <c r="M8395" s="561">
        <v>0</v>
      </c>
      <c r="N8395" s="561">
        <v>0</v>
      </c>
      <c r="O8395" s="561">
        <v>0</v>
      </c>
      <c r="P8395" s="561">
        <v>0</v>
      </c>
    </row>
    <row r="8396" spans="1:56">
      <c r="A8396" s="561">
        <v>4</v>
      </c>
      <c r="B8396" s="561" t="s">
        <v>2016</v>
      </c>
      <c r="C8396" s="561" t="s">
        <v>1196</v>
      </c>
      <c r="D8396" s="561">
        <v>2765246</v>
      </c>
      <c r="E8396" s="561">
        <v>672129.3</v>
      </c>
      <c r="F8396" s="561">
        <v>0</v>
      </c>
      <c r="G8396" s="561">
        <v>2093116.7</v>
      </c>
      <c r="H8396" s="561">
        <v>3948</v>
      </c>
      <c r="I8396" s="561">
        <v>2777425.92961</v>
      </c>
      <c r="J8396" s="561">
        <v>8</v>
      </c>
      <c r="K8396" s="561">
        <v>12180.544920000248</v>
      </c>
      <c r="L8396" s="561">
        <v>3940</v>
      </c>
      <c r="M8396" s="561">
        <v>2765245.3846899997</v>
      </c>
      <c r="N8396" s="561">
        <v>2765245.3846899997</v>
      </c>
      <c r="O8396" s="561">
        <v>672129.3</v>
      </c>
      <c r="P8396" s="561">
        <v>2093116.0846899999</v>
      </c>
    </row>
    <row r="8397" spans="1:56">
      <c r="C8397" s="561" t="s">
        <v>1197</v>
      </c>
      <c r="D8397" s="561">
        <v>904970</v>
      </c>
      <c r="E8397" s="561">
        <v>252891</v>
      </c>
      <c r="G8397" s="561">
        <v>652079</v>
      </c>
      <c r="H8397" s="561">
        <v>2924</v>
      </c>
      <c r="I8397" s="561">
        <v>860670.65182999987</v>
      </c>
      <c r="J8397" s="561">
        <v>12</v>
      </c>
      <c r="K8397" s="561">
        <v>9650.4549199998146</v>
      </c>
      <c r="L8397" s="561">
        <v>2912</v>
      </c>
      <c r="M8397" s="561">
        <v>851020.19691000006</v>
      </c>
      <c r="N8397" s="561">
        <v>851020.19691000006</v>
      </c>
      <c r="O8397" s="561">
        <v>252891</v>
      </c>
    </row>
    <row r="8398" spans="1:56">
      <c r="C8398" s="561" t="s">
        <v>1198</v>
      </c>
      <c r="D8398" s="561">
        <v>1860276</v>
      </c>
      <c r="E8398" s="561">
        <v>419238.3</v>
      </c>
      <c r="G8398" s="561">
        <v>1441037.7</v>
      </c>
      <c r="H8398" s="561">
        <v>1024</v>
      </c>
      <c r="I8398" s="561">
        <v>1916755.2777800001</v>
      </c>
      <c r="J8398" s="561">
        <v>-4</v>
      </c>
      <c r="K8398" s="561">
        <v>2530.0900000003166</v>
      </c>
      <c r="L8398" s="561">
        <v>1028</v>
      </c>
      <c r="M8398" s="561">
        <v>1914225.1877799998</v>
      </c>
      <c r="N8398" s="561">
        <v>1914225.1877799998</v>
      </c>
      <c r="O8398" s="561">
        <v>419238.3</v>
      </c>
      <c r="AM8398" s="561">
        <v>1494986.8877799998</v>
      </c>
    </row>
    <row r="8399" spans="1:56">
      <c r="C8399" s="561" t="s">
        <v>1199</v>
      </c>
      <c r="G8399" s="561">
        <v>0</v>
      </c>
      <c r="H8399" s="561">
        <v>0</v>
      </c>
      <c r="I8399" s="561">
        <v>0</v>
      </c>
      <c r="J8399" s="561">
        <v>0</v>
      </c>
      <c r="K8399" s="561">
        <v>0</v>
      </c>
      <c r="L8399" s="561">
        <v>0</v>
      </c>
      <c r="M8399" s="561">
        <v>0</v>
      </c>
      <c r="N8399" s="561">
        <v>0</v>
      </c>
      <c r="O8399" s="561">
        <v>0</v>
      </c>
      <c r="P8399" s="561">
        <v>0</v>
      </c>
    </row>
    <row r="8400" spans="1:56">
      <c r="C8400" s="561" t="s">
        <v>1200</v>
      </c>
      <c r="G8400" s="561">
        <v>0</v>
      </c>
      <c r="H8400" s="561">
        <v>0</v>
      </c>
      <c r="I8400" s="561">
        <v>0</v>
      </c>
      <c r="J8400" s="561">
        <v>0</v>
      </c>
      <c r="K8400" s="561">
        <v>0</v>
      </c>
      <c r="L8400" s="561">
        <v>0</v>
      </c>
      <c r="M8400" s="561">
        <v>0</v>
      </c>
      <c r="N8400" s="561">
        <v>0</v>
      </c>
      <c r="O8400" s="561">
        <v>0</v>
      </c>
      <c r="P8400" s="561">
        <v>0</v>
      </c>
    </row>
    <row r="8401" spans="1:39">
      <c r="A8401" s="561">
        <v>5</v>
      </c>
      <c r="B8401" s="561" t="s">
        <v>2017</v>
      </c>
      <c r="C8401" s="561" t="s">
        <v>1196</v>
      </c>
      <c r="D8401" s="561">
        <v>4846036</v>
      </c>
      <c r="E8401" s="561">
        <v>1160727.8999999999</v>
      </c>
      <c r="F8401" s="561">
        <v>0</v>
      </c>
      <c r="G8401" s="561">
        <v>3685308.0999999996</v>
      </c>
      <c r="H8401" s="561">
        <v>10085</v>
      </c>
      <c r="I8401" s="561">
        <v>5098513.0497999992</v>
      </c>
      <c r="J8401" s="561">
        <v>69</v>
      </c>
      <c r="K8401" s="561">
        <v>252477.0611499995</v>
      </c>
      <c r="L8401" s="561">
        <v>10016</v>
      </c>
      <c r="M8401" s="561">
        <v>4846035.9886499997</v>
      </c>
      <c r="N8401" s="561">
        <v>4846035.9886499997</v>
      </c>
      <c r="O8401" s="561">
        <v>1160727.9029999999</v>
      </c>
      <c r="P8401" s="561">
        <v>3685308.0856499998</v>
      </c>
    </row>
    <row r="8402" spans="1:39">
      <c r="C8402" s="561" t="s">
        <v>1197</v>
      </c>
      <c r="D8402" s="561">
        <v>1033775</v>
      </c>
      <c r="E8402" s="561">
        <v>462937.8</v>
      </c>
      <c r="G8402" s="561">
        <v>570837.19999999995</v>
      </c>
      <c r="H8402" s="561">
        <v>6530</v>
      </c>
      <c r="I8402" s="561">
        <v>1032345.07397</v>
      </c>
      <c r="J8402" s="561">
        <v>46</v>
      </c>
      <c r="K8402" s="561">
        <v>-1662.8081400000956</v>
      </c>
      <c r="L8402" s="561">
        <v>6484</v>
      </c>
      <c r="M8402" s="561">
        <v>1034007.8821100001</v>
      </c>
      <c r="N8402" s="561">
        <v>1034007.8821100001</v>
      </c>
      <c r="O8402" s="561">
        <v>462937.8</v>
      </c>
    </row>
    <row r="8403" spans="1:39">
      <c r="C8403" s="561" t="s">
        <v>1198</v>
      </c>
      <c r="D8403" s="561">
        <v>2044223</v>
      </c>
      <c r="E8403" s="561">
        <v>315459.59999999998</v>
      </c>
      <c r="G8403" s="561">
        <v>1728763.4</v>
      </c>
      <c r="H8403" s="561">
        <v>1888</v>
      </c>
      <c r="I8403" s="561">
        <v>1997517.5763499998</v>
      </c>
      <c r="J8403" s="561">
        <v>26</v>
      </c>
      <c r="K8403" s="561">
        <v>-46797.917350000003</v>
      </c>
      <c r="L8403" s="561">
        <v>1862</v>
      </c>
      <c r="M8403" s="561">
        <v>2044315.4936999998</v>
      </c>
      <c r="N8403" s="561">
        <v>2044315.4936999998</v>
      </c>
      <c r="O8403" s="561">
        <v>315459.59999999998</v>
      </c>
      <c r="AM8403" s="561">
        <v>1728855.8936999999</v>
      </c>
    </row>
    <row r="8404" spans="1:39">
      <c r="C8404" s="561" t="s">
        <v>1199</v>
      </c>
      <c r="D8404" s="561">
        <v>60000</v>
      </c>
      <c r="E8404" s="561">
        <v>19919.099999999999</v>
      </c>
      <c r="G8404" s="561">
        <v>40080.9</v>
      </c>
      <c r="H8404" s="561">
        <v>718</v>
      </c>
      <c r="I8404" s="561">
        <v>60144.951479999996</v>
      </c>
      <c r="J8404" s="561">
        <v>-15</v>
      </c>
      <c r="K8404" s="561">
        <v>470.33464000000095</v>
      </c>
      <c r="L8404" s="561">
        <v>733</v>
      </c>
      <c r="M8404" s="561">
        <v>59674.616839999995</v>
      </c>
      <c r="N8404" s="561">
        <v>59674.616839999995</v>
      </c>
      <c r="O8404" s="561">
        <v>19919.099999999999</v>
      </c>
      <c r="P8404" s="561">
        <v>39755.516839999997</v>
      </c>
    </row>
    <row r="8405" spans="1:39">
      <c r="C8405" s="561" t="s">
        <v>1200</v>
      </c>
      <c r="G8405" s="561">
        <v>0</v>
      </c>
      <c r="H8405" s="561">
        <v>0</v>
      </c>
      <c r="I8405" s="561">
        <v>0</v>
      </c>
      <c r="J8405" s="561">
        <v>0</v>
      </c>
      <c r="K8405" s="561">
        <v>0</v>
      </c>
      <c r="L8405" s="561">
        <v>0</v>
      </c>
      <c r="M8405" s="561">
        <v>0</v>
      </c>
      <c r="N8405" s="561">
        <v>0</v>
      </c>
      <c r="O8405" s="561">
        <v>0</v>
      </c>
      <c r="P8405" s="561">
        <v>0</v>
      </c>
    </row>
    <row r="8406" spans="1:39">
      <c r="C8406" s="561" t="s">
        <v>814</v>
      </c>
      <c r="D8406" s="561">
        <v>1708038</v>
      </c>
      <c r="E8406" s="561">
        <v>362411.39999999997</v>
      </c>
      <c r="G8406" s="561">
        <v>1345626.6</v>
      </c>
      <c r="H8406" s="561">
        <v>949</v>
      </c>
      <c r="I8406" s="561">
        <v>2008505.4479999999</v>
      </c>
      <c r="J8406" s="561">
        <v>12</v>
      </c>
      <c r="K8406" s="561">
        <v>300467.45199999982</v>
      </c>
      <c r="L8406" s="561">
        <v>937</v>
      </c>
      <c r="M8406" s="561">
        <v>1708037.996</v>
      </c>
      <c r="N8406" s="561">
        <v>1708037.996</v>
      </c>
      <c r="O8406" s="561">
        <v>362411.40299999999</v>
      </c>
      <c r="P8406" s="561">
        <v>1345626.5930000001</v>
      </c>
    </row>
    <row r="8407" spans="1:39">
      <c r="A8407" s="561">
        <v>6</v>
      </c>
      <c r="B8407" s="561" t="s">
        <v>2018</v>
      </c>
      <c r="C8407" s="561" t="s">
        <v>1196</v>
      </c>
      <c r="D8407" s="561">
        <v>2225914</v>
      </c>
      <c r="E8407" s="561">
        <v>484386.3</v>
      </c>
      <c r="F8407" s="561">
        <v>0</v>
      </c>
      <c r="G8407" s="561">
        <v>1741527.7</v>
      </c>
      <c r="H8407" s="561">
        <v>21806</v>
      </c>
      <c r="I8407" s="561">
        <v>2216734.8475300004</v>
      </c>
      <c r="J8407" s="561">
        <v>51</v>
      </c>
      <c r="K8407" s="561">
        <v>-9179.1515499996021</v>
      </c>
      <c r="L8407" s="561">
        <v>21755</v>
      </c>
      <c r="M8407" s="561">
        <v>2225913.99908</v>
      </c>
      <c r="N8407" s="561">
        <v>2225913.99908</v>
      </c>
      <c r="O8407" s="561">
        <v>484386.30000000005</v>
      </c>
      <c r="P8407" s="561">
        <v>1741527.6990799999</v>
      </c>
    </row>
    <row r="8408" spans="1:39">
      <c r="C8408" s="561" t="s">
        <v>1197</v>
      </c>
      <c r="D8408" s="561">
        <v>1877523</v>
      </c>
      <c r="E8408" s="561">
        <v>458020.5</v>
      </c>
      <c r="G8408" s="561">
        <v>1419502.5</v>
      </c>
      <c r="H8408" s="561">
        <v>20585</v>
      </c>
      <c r="I8408" s="561">
        <v>1842391.0798500001</v>
      </c>
      <c r="J8408" s="561">
        <v>47</v>
      </c>
      <c r="K8408" s="561">
        <v>-38676.836809999775</v>
      </c>
      <c r="L8408" s="561">
        <v>20538</v>
      </c>
      <c r="M8408" s="561">
        <v>1881067.9166599999</v>
      </c>
      <c r="N8408" s="561">
        <v>1881067.9166599999</v>
      </c>
      <c r="O8408" s="561">
        <v>458020.50000000006</v>
      </c>
    </row>
    <row r="8409" spans="1:39">
      <c r="C8409" s="561" t="s">
        <v>1198</v>
      </c>
      <c r="D8409" s="561">
        <v>131870</v>
      </c>
      <c r="E8409" s="561">
        <v>1218.3</v>
      </c>
      <c r="G8409" s="561">
        <v>130651.7</v>
      </c>
      <c r="H8409" s="561">
        <v>381</v>
      </c>
      <c r="I8409" s="561">
        <v>146472.68661999999</v>
      </c>
      <c r="J8409" s="561">
        <v>4</v>
      </c>
      <c r="K8409" s="561">
        <v>2669.2211299999908</v>
      </c>
      <c r="L8409" s="561">
        <v>377</v>
      </c>
      <c r="M8409" s="561">
        <v>143803.46549</v>
      </c>
      <c r="N8409" s="561">
        <v>143803.46549</v>
      </c>
      <c r="O8409" s="561">
        <v>1218.3000000000002</v>
      </c>
      <c r="AL8409" s="561">
        <v>142585.16549000001</v>
      </c>
    </row>
    <row r="8410" spans="1:39">
      <c r="C8410" s="561" t="s">
        <v>1199</v>
      </c>
      <c r="D8410" s="561">
        <v>216521</v>
      </c>
      <c r="E8410" s="561">
        <v>25147.5</v>
      </c>
      <c r="G8410" s="561">
        <v>191373.5</v>
      </c>
      <c r="H8410" s="561">
        <v>840</v>
      </c>
      <c r="I8410" s="561">
        <v>227871.08106000003</v>
      </c>
      <c r="J8410" s="561">
        <v>0</v>
      </c>
      <c r="K8410" s="561">
        <v>26828.464130000037</v>
      </c>
      <c r="L8410" s="561">
        <v>840</v>
      </c>
      <c r="M8410" s="561">
        <v>201042.61692999999</v>
      </c>
      <c r="N8410" s="561">
        <v>201042.61692999999</v>
      </c>
      <c r="O8410" s="561">
        <v>25147.500000000004</v>
      </c>
      <c r="P8410" s="561">
        <v>175895.11692999999</v>
      </c>
    </row>
    <row r="8411" spans="1:39">
      <c r="C8411" s="561" t="s">
        <v>1200</v>
      </c>
      <c r="G8411" s="561">
        <v>0</v>
      </c>
      <c r="H8411" s="561">
        <v>0</v>
      </c>
      <c r="I8411" s="561">
        <v>0</v>
      </c>
      <c r="J8411" s="561">
        <v>0</v>
      </c>
      <c r="K8411" s="561">
        <v>0</v>
      </c>
      <c r="L8411" s="561">
        <v>0</v>
      </c>
      <c r="M8411" s="561">
        <v>0</v>
      </c>
      <c r="N8411" s="561">
        <v>0</v>
      </c>
      <c r="O8411" s="561">
        <v>0</v>
      </c>
      <c r="P8411" s="561">
        <v>0</v>
      </c>
    </row>
    <row r="8412" spans="1:39">
      <c r="A8412" s="561">
        <v>7</v>
      </c>
      <c r="B8412" s="561" t="s">
        <v>2019</v>
      </c>
      <c r="C8412" s="561" t="s">
        <v>1196</v>
      </c>
      <c r="D8412" s="561">
        <v>2034972.5</v>
      </c>
      <c r="E8412" s="561">
        <v>568651.79999999993</v>
      </c>
      <c r="F8412" s="561">
        <v>0</v>
      </c>
      <c r="G8412" s="561">
        <v>1466320.7000000002</v>
      </c>
      <c r="H8412" s="561">
        <v>14616</v>
      </c>
      <c r="I8412" s="561">
        <v>2068363.8743499995</v>
      </c>
      <c r="J8412" s="561">
        <v>132</v>
      </c>
      <c r="K8412" s="561">
        <v>33391.678729999578</v>
      </c>
      <c r="L8412" s="561">
        <v>14484</v>
      </c>
      <c r="M8412" s="561">
        <v>2034972.1956199999</v>
      </c>
      <c r="N8412" s="561">
        <v>2034972.1956199999</v>
      </c>
      <c r="O8412" s="561">
        <v>568651.80000000005</v>
      </c>
      <c r="P8412" s="561">
        <v>1466320.3956199999</v>
      </c>
    </row>
    <row r="8413" spans="1:39">
      <c r="C8413" s="561" t="s">
        <v>1197</v>
      </c>
      <c r="D8413" s="561">
        <v>1361398</v>
      </c>
      <c r="E8413" s="561">
        <v>408419.39999999997</v>
      </c>
      <c r="G8413" s="561">
        <v>952978.60000000009</v>
      </c>
      <c r="H8413" s="561">
        <v>11953</v>
      </c>
      <c r="I8413" s="561">
        <v>1080129.7397199997</v>
      </c>
      <c r="J8413" s="561">
        <v>120</v>
      </c>
      <c r="K8413" s="561">
        <v>22476.422349999659</v>
      </c>
      <c r="L8413" s="561">
        <v>11833</v>
      </c>
      <c r="M8413" s="561">
        <v>1057653.3173700001</v>
      </c>
      <c r="N8413" s="561">
        <v>1057653.3173700001</v>
      </c>
      <c r="O8413" s="561">
        <v>408419.4</v>
      </c>
    </row>
    <row r="8414" spans="1:39">
      <c r="C8414" s="561" t="s">
        <v>1198</v>
      </c>
      <c r="D8414" s="561">
        <v>660554.5</v>
      </c>
      <c r="E8414" s="561">
        <v>158828.4</v>
      </c>
      <c r="G8414" s="561">
        <v>501726.1</v>
      </c>
      <c r="H8414" s="561">
        <v>1241</v>
      </c>
      <c r="I8414" s="561">
        <v>966180.39870999986</v>
      </c>
      <c r="J8414" s="561">
        <v>5</v>
      </c>
      <c r="K8414" s="561">
        <v>10812.915569999954</v>
      </c>
      <c r="L8414" s="561">
        <v>1236</v>
      </c>
      <c r="M8414" s="561">
        <v>955367.48313999991</v>
      </c>
      <c r="N8414" s="561">
        <v>955367.48313999991</v>
      </c>
      <c r="O8414" s="561">
        <v>158828.40000000002</v>
      </c>
      <c r="AL8414" s="561">
        <v>796539.08313999989</v>
      </c>
    </row>
    <row r="8415" spans="1:39">
      <c r="C8415" s="561" t="s">
        <v>1199</v>
      </c>
      <c r="D8415" s="561">
        <v>13020</v>
      </c>
      <c r="E8415" s="561">
        <v>1404</v>
      </c>
      <c r="G8415" s="561">
        <v>11616</v>
      </c>
      <c r="H8415" s="561">
        <v>1422</v>
      </c>
      <c r="I8415" s="561">
        <v>22053.735919999999</v>
      </c>
      <c r="J8415" s="561">
        <v>7</v>
      </c>
      <c r="K8415" s="561">
        <v>102.34081000000151</v>
      </c>
      <c r="L8415" s="561">
        <v>1415</v>
      </c>
      <c r="M8415" s="561">
        <v>21951.395109999998</v>
      </c>
      <c r="N8415" s="561">
        <v>21951.395109999998</v>
      </c>
      <c r="O8415" s="561">
        <v>1404</v>
      </c>
      <c r="P8415" s="561">
        <v>20547.395109999998</v>
      </c>
    </row>
    <row r="8416" spans="1:39">
      <c r="C8416" s="561" t="s">
        <v>1200</v>
      </c>
      <c r="G8416" s="561">
        <v>0</v>
      </c>
      <c r="H8416" s="561">
        <v>0</v>
      </c>
      <c r="I8416" s="561">
        <v>0</v>
      </c>
      <c r="J8416" s="561">
        <v>0</v>
      </c>
      <c r="K8416" s="561">
        <v>0</v>
      </c>
      <c r="L8416" s="561">
        <v>0</v>
      </c>
      <c r="M8416" s="561">
        <v>0</v>
      </c>
      <c r="N8416" s="561">
        <v>0</v>
      </c>
      <c r="O8416" s="561">
        <v>0</v>
      </c>
      <c r="P8416" s="561">
        <v>0</v>
      </c>
    </row>
    <row r="8417" spans="1:16">
      <c r="A8417" s="561">
        <v>8</v>
      </c>
      <c r="B8417" s="561" t="s">
        <v>2020</v>
      </c>
      <c r="C8417" s="561" t="s">
        <v>1196</v>
      </c>
      <c r="D8417" s="561">
        <v>568331</v>
      </c>
      <c r="E8417" s="561">
        <v>170499.30000000002</v>
      </c>
      <c r="F8417" s="561">
        <v>0</v>
      </c>
      <c r="G8417" s="561">
        <v>397831.7</v>
      </c>
      <c r="H8417" s="561">
        <v>6179</v>
      </c>
      <c r="I8417" s="561">
        <v>582809.09801900003</v>
      </c>
      <c r="J8417" s="561">
        <v>5</v>
      </c>
      <c r="K8417" s="561">
        <v>14478.750859000138</v>
      </c>
      <c r="L8417" s="561">
        <v>6174</v>
      </c>
      <c r="M8417" s="561">
        <v>568330.34715999989</v>
      </c>
      <c r="N8417" s="561">
        <v>568330.34715999989</v>
      </c>
      <c r="O8417" s="561">
        <v>170499.30000000002</v>
      </c>
      <c r="P8417" s="561">
        <v>397831.0471599999</v>
      </c>
    </row>
    <row r="8418" spans="1:16">
      <c r="C8418" s="561" t="s">
        <v>1197</v>
      </c>
      <c r="D8418" s="561">
        <v>561727</v>
      </c>
      <c r="E8418" s="561">
        <v>168518.1</v>
      </c>
      <c r="G8418" s="561">
        <v>393208.9</v>
      </c>
      <c r="H8418" s="561">
        <v>5645</v>
      </c>
      <c r="I8418" s="561">
        <v>573704.83525</v>
      </c>
      <c r="J8418" s="561">
        <v>5</v>
      </c>
      <c r="K8418" s="561">
        <v>14474.440790000139</v>
      </c>
      <c r="L8418" s="561">
        <v>5640</v>
      </c>
      <c r="M8418" s="561">
        <v>559230.39445999986</v>
      </c>
      <c r="N8418" s="561">
        <v>559230.39445999986</v>
      </c>
      <c r="O8418" s="561">
        <v>168518.1</v>
      </c>
    </row>
    <row r="8419" spans="1:16">
      <c r="C8419" s="561" t="s">
        <v>1198</v>
      </c>
      <c r="G8419" s="561">
        <v>0</v>
      </c>
      <c r="H8419" s="561">
        <v>0</v>
      </c>
      <c r="I8419" s="561">
        <v>0</v>
      </c>
      <c r="J8419" s="561">
        <v>0</v>
      </c>
      <c r="K8419" s="561">
        <v>0</v>
      </c>
      <c r="L8419" s="561">
        <v>0</v>
      </c>
      <c r="M8419" s="561">
        <v>0</v>
      </c>
      <c r="N8419" s="561">
        <v>0</v>
      </c>
      <c r="O8419" s="561">
        <v>0</v>
      </c>
      <c r="P8419" s="561">
        <v>0</v>
      </c>
    </row>
    <row r="8420" spans="1:16">
      <c r="C8420" s="561" t="s">
        <v>1199</v>
      </c>
      <c r="D8420" s="561">
        <v>6604</v>
      </c>
      <c r="E8420" s="561">
        <v>1981.1999999999998</v>
      </c>
      <c r="G8420" s="561">
        <v>4622.8</v>
      </c>
      <c r="H8420" s="561">
        <v>534</v>
      </c>
      <c r="I8420" s="561">
        <v>9104.2627690000008</v>
      </c>
      <c r="J8420" s="561">
        <v>0</v>
      </c>
      <c r="K8420" s="561">
        <v>4.3100690000010218</v>
      </c>
      <c r="L8420" s="561">
        <v>534</v>
      </c>
      <c r="M8420" s="561">
        <v>9099.9526999999998</v>
      </c>
      <c r="N8420" s="561">
        <v>9099.9526999999998</v>
      </c>
      <c r="O8420" s="561">
        <v>1981.1999999999994</v>
      </c>
      <c r="P8420" s="561">
        <v>7118.7527000000009</v>
      </c>
    </row>
    <row r="8421" spans="1:16">
      <c r="C8421" s="561" t="s">
        <v>1200</v>
      </c>
      <c r="G8421" s="561">
        <v>0</v>
      </c>
      <c r="H8421" s="561">
        <v>0</v>
      </c>
      <c r="I8421" s="561">
        <v>0</v>
      </c>
      <c r="J8421" s="561">
        <v>0</v>
      </c>
      <c r="K8421" s="561">
        <v>0</v>
      </c>
      <c r="L8421" s="561">
        <v>0</v>
      </c>
      <c r="M8421" s="561">
        <v>0</v>
      </c>
      <c r="N8421" s="561">
        <v>0</v>
      </c>
      <c r="O8421" s="561">
        <v>0</v>
      </c>
      <c r="P8421" s="561">
        <v>0</v>
      </c>
    </row>
    <row r="8422" spans="1:16">
      <c r="A8422" s="561">
        <v>9</v>
      </c>
      <c r="B8422" s="561" t="s">
        <v>2021</v>
      </c>
      <c r="C8422" s="561" t="s">
        <v>1196</v>
      </c>
      <c r="D8422" s="561">
        <v>996862</v>
      </c>
      <c r="E8422" s="561">
        <v>291504.3</v>
      </c>
      <c r="F8422" s="561">
        <v>0</v>
      </c>
      <c r="G8422" s="561">
        <v>705357.7</v>
      </c>
      <c r="H8422" s="561">
        <v>13010</v>
      </c>
      <c r="I8422" s="561">
        <v>1008046.5029200001</v>
      </c>
      <c r="J8422" s="561">
        <v>63</v>
      </c>
      <c r="K8422" s="561">
        <v>11186.022840000223</v>
      </c>
      <c r="L8422" s="561">
        <v>12947</v>
      </c>
      <c r="M8422" s="561">
        <v>996860.48007999989</v>
      </c>
      <c r="N8422" s="561">
        <v>996860.48007999989</v>
      </c>
      <c r="O8422" s="561">
        <v>291504.29977777821</v>
      </c>
      <c r="P8422" s="561">
        <v>705356.18030222168</v>
      </c>
    </row>
    <row r="8423" spans="1:16">
      <c r="C8423" s="561" t="s">
        <v>1197</v>
      </c>
      <c r="D8423" s="561">
        <v>982827</v>
      </c>
      <c r="E8423" s="561">
        <v>287293.8</v>
      </c>
      <c r="G8423" s="561">
        <v>695533.2</v>
      </c>
      <c r="H8423" s="561">
        <v>12000</v>
      </c>
      <c r="I8423" s="561">
        <v>992106.58446000016</v>
      </c>
      <c r="J8423" s="561">
        <v>62</v>
      </c>
      <c r="K8423" s="561">
        <v>11484.056820000289</v>
      </c>
      <c r="L8423" s="561">
        <v>11938</v>
      </c>
      <c r="M8423" s="561">
        <v>980622.52763999987</v>
      </c>
      <c r="N8423" s="561">
        <v>980622.52763999987</v>
      </c>
      <c r="O8423" s="561">
        <v>287293.797555556</v>
      </c>
    </row>
    <row r="8424" spans="1:16">
      <c r="C8424" s="561" t="s">
        <v>1198</v>
      </c>
      <c r="G8424" s="561">
        <v>0</v>
      </c>
      <c r="H8424" s="561">
        <v>0</v>
      </c>
      <c r="I8424" s="561">
        <v>0</v>
      </c>
      <c r="J8424" s="561">
        <v>0</v>
      </c>
      <c r="K8424" s="561">
        <v>0</v>
      </c>
      <c r="L8424" s="561">
        <v>0</v>
      </c>
      <c r="M8424" s="561">
        <v>0</v>
      </c>
      <c r="N8424" s="561">
        <v>0</v>
      </c>
      <c r="O8424" s="561">
        <v>0</v>
      </c>
      <c r="P8424" s="561">
        <v>0</v>
      </c>
    </row>
    <row r="8425" spans="1:16">
      <c r="C8425" s="561" t="s">
        <v>1199</v>
      </c>
      <c r="D8425" s="561">
        <v>14035</v>
      </c>
      <c r="E8425" s="561">
        <v>4210.5</v>
      </c>
      <c r="G8425" s="561">
        <v>9824.5</v>
      </c>
      <c r="H8425" s="561">
        <v>1010</v>
      </c>
      <c r="I8425" s="561">
        <v>15939.918460000001</v>
      </c>
      <c r="J8425" s="561">
        <v>1</v>
      </c>
      <c r="K8425" s="561">
        <v>-298.03398000000016</v>
      </c>
      <c r="L8425" s="561">
        <v>1009</v>
      </c>
      <c r="M8425" s="561">
        <v>16237.952440000001</v>
      </c>
      <c r="N8425" s="561">
        <v>16237.952440000001</v>
      </c>
      <c r="O8425" s="561">
        <v>4210.5022222222196</v>
      </c>
      <c r="P8425" s="561">
        <v>12027.450217777781</v>
      </c>
    </row>
    <row r="8426" spans="1:16">
      <c r="C8426" s="561" t="s">
        <v>1200</v>
      </c>
      <c r="G8426" s="561">
        <v>0</v>
      </c>
      <c r="H8426" s="561">
        <v>0</v>
      </c>
      <c r="I8426" s="561">
        <v>0</v>
      </c>
      <c r="J8426" s="561">
        <v>0</v>
      </c>
      <c r="K8426" s="561">
        <v>0</v>
      </c>
      <c r="L8426" s="561">
        <v>0</v>
      </c>
      <c r="M8426" s="561">
        <v>0</v>
      </c>
      <c r="N8426" s="561">
        <v>0</v>
      </c>
      <c r="O8426" s="561">
        <v>0</v>
      </c>
      <c r="P8426" s="561">
        <v>0</v>
      </c>
    </row>
    <row r="8427" spans="1:16">
      <c r="A8427" s="561">
        <v>10</v>
      </c>
      <c r="B8427" s="561" t="s">
        <v>2022</v>
      </c>
      <c r="C8427" s="561" t="s">
        <v>1196</v>
      </c>
      <c r="D8427" s="561">
        <v>606305</v>
      </c>
      <c r="E8427" s="561">
        <v>169759.19999999998</v>
      </c>
      <c r="F8427" s="561">
        <v>0</v>
      </c>
      <c r="G8427" s="561">
        <v>436545.80000000005</v>
      </c>
      <c r="H8427" s="561">
        <v>11954</v>
      </c>
      <c r="I8427" s="561">
        <v>618405.28333999997</v>
      </c>
      <c r="J8427" s="561">
        <v>30</v>
      </c>
      <c r="K8427" s="561">
        <v>12100.284619999817</v>
      </c>
      <c r="L8427" s="561">
        <v>11924</v>
      </c>
      <c r="M8427" s="561">
        <v>606304.99872000015</v>
      </c>
      <c r="N8427" s="561">
        <v>606304.99872000015</v>
      </c>
      <c r="O8427" s="561">
        <v>169759.19999999998</v>
      </c>
      <c r="P8427" s="561">
        <v>436545.79872000014</v>
      </c>
    </row>
    <row r="8428" spans="1:16">
      <c r="C8428" s="561" t="s">
        <v>1197</v>
      </c>
      <c r="D8428" s="561">
        <v>589656</v>
      </c>
      <c r="E8428" s="561">
        <v>166364.69999999998</v>
      </c>
      <c r="G8428" s="561">
        <v>423291.30000000005</v>
      </c>
      <c r="H8428" s="561">
        <v>10725</v>
      </c>
      <c r="I8428" s="561">
        <v>601567.41970999993</v>
      </c>
      <c r="J8428" s="561">
        <v>28</v>
      </c>
      <c r="K8428" s="561">
        <v>12000.729399999836</v>
      </c>
      <c r="L8428" s="561">
        <v>10697</v>
      </c>
      <c r="M8428" s="561">
        <v>589566.69031000009</v>
      </c>
      <c r="N8428" s="561">
        <v>589566.69031000009</v>
      </c>
      <c r="O8428" s="561">
        <v>166364.69999999998</v>
      </c>
    </row>
    <row r="8429" spans="1:16">
      <c r="C8429" s="561" t="s">
        <v>1198</v>
      </c>
      <c r="G8429" s="561">
        <v>0</v>
      </c>
      <c r="H8429" s="561">
        <v>0</v>
      </c>
      <c r="I8429" s="561">
        <v>0</v>
      </c>
      <c r="J8429" s="561">
        <v>0</v>
      </c>
      <c r="K8429" s="561">
        <v>0</v>
      </c>
      <c r="L8429" s="561">
        <v>0</v>
      </c>
      <c r="M8429" s="561">
        <v>0</v>
      </c>
      <c r="N8429" s="561">
        <v>0</v>
      </c>
      <c r="O8429" s="561">
        <v>0</v>
      </c>
      <c r="P8429" s="561">
        <v>0</v>
      </c>
    </row>
    <row r="8430" spans="1:16">
      <c r="C8430" s="561" t="s">
        <v>1199</v>
      </c>
      <c r="D8430" s="561">
        <v>16649</v>
      </c>
      <c r="E8430" s="561">
        <v>3394.5</v>
      </c>
      <c r="G8430" s="561">
        <v>13254.5</v>
      </c>
      <c r="H8430" s="561">
        <v>1229</v>
      </c>
      <c r="I8430" s="561">
        <v>16837.86363</v>
      </c>
      <c r="J8430" s="561">
        <v>2</v>
      </c>
      <c r="K8430" s="561">
        <v>99.555219999998371</v>
      </c>
      <c r="L8430" s="561">
        <v>1227</v>
      </c>
      <c r="M8430" s="561">
        <v>16738.308410000001</v>
      </c>
      <c r="N8430" s="561">
        <v>16738.308410000001</v>
      </c>
      <c r="O8430" s="561">
        <v>3394.4999999999995</v>
      </c>
      <c r="P8430" s="561">
        <v>13343.808410000001</v>
      </c>
    </row>
    <row r="8431" spans="1:16">
      <c r="C8431" s="561" t="s">
        <v>1200</v>
      </c>
      <c r="G8431" s="561">
        <v>0</v>
      </c>
      <c r="H8431" s="561">
        <v>0</v>
      </c>
      <c r="I8431" s="561">
        <v>0</v>
      </c>
      <c r="J8431" s="561">
        <v>0</v>
      </c>
      <c r="K8431" s="561">
        <v>0</v>
      </c>
      <c r="L8431" s="561">
        <v>0</v>
      </c>
      <c r="M8431" s="561">
        <v>0</v>
      </c>
      <c r="N8431" s="561">
        <v>0</v>
      </c>
      <c r="O8431" s="561">
        <v>0</v>
      </c>
      <c r="P8431" s="561">
        <v>0</v>
      </c>
    </row>
    <row r="8432" spans="1:16">
      <c r="A8432" s="561">
        <v>11</v>
      </c>
      <c r="B8432" s="561" t="s">
        <v>2023</v>
      </c>
      <c r="C8432" s="561" t="s">
        <v>1196</v>
      </c>
      <c r="D8432" s="561">
        <v>1239580</v>
      </c>
      <c r="E8432" s="561">
        <v>345323.4</v>
      </c>
      <c r="F8432" s="561">
        <v>0</v>
      </c>
      <c r="G8432" s="561">
        <v>894256.6</v>
      </c>
      <c r="H8432" s="561">
        <v>10968</v>
      </c>
      <c r="I8432" s="561">
        <v>1257565.6390500001</v>
      </c>
      <c r="J8432" s="561">
        <v>34</v>
      </c>
      <c r="K8432" s="561">
        <v>17985.634100000374</v>
      </c>
      <c r="L8432" s="561">
        <v>10934</v>
      </c>
      <c r="M8432" s="561">
        <v>1239580.0049499997</v>
      </c>
      <c r="N8432" s="561">
        <v>1239580.0049499997</v>
      </c>
      <c r="O8432" s="561">
        <v>345323.4</v>
      </c>
      <c r="P8432" s="561">
        <v>894256.60494999983</v>
      </c>
    </row>
    <row r="8433" spans="1:54">
      <c r="C8433" s="561" t="s">
        <v>1197</v>
      </c>
      <c r="D8433" s="561">
        <v>1173283</v>
      </c>
      <c r="E8433" s="561">
        <v>336665.7</v>
      </c>
      <c r="G8433" s="561">
        <v>836617.3</v>
      </c>
      <c r="H8433" s="561">
        <v>10054</v>
      </c>
      <c r="I8433" s="561">
        <v>1177352.9175800001</v>
      </c>
      <c r="J8433" s="561">
        <v>34</v>
      </c>
      <c r="K8433" s="561">
        <v>18807.762160000391</v>
      </c>
      <c r="L8433" s="561">
        <v>10020</v>
      </c>
      <c r="M8433" s="561">
        <v>1158545.1554199997</v>
      </c>
      <c r="N8433" s="561">
        <v>1158545.1554199997</v>
      </c>
      <c r="O8433" s="561">
        <v>336665.7</v>
      </c>
    </row>
    <row r="8434" spans="1:54">
      <c r="C8434" s="561" t="s">
        <v>1198</v>
      </c>
      <c r="D8434" s="561">
        <v>43600</v>
      </c>
      <c r="E8434" s="561">
        <v>6388.8</v>
      </c>
      <c r="G8434" s="561">
        <v>37211.199999999997</v>
      </c>
      <c r="H8434" s="561">
        <v>77</v>
      </c>
      <c r="I8434" s="561">
        <v>53574.41977</v>
      </c>
      <c r="J8434" s="561">
        <v>0</v>
      </c>
      <c r="K8434" s="561">
        <v>-756.54928000000655</v>
      </c>
      <c r="L8434" s="561">
        <v>77</v>
      </c>
      <c r="M8434" s="561">
        <v>54330.969050000007</v>
      </c>
      <c r="N8434" s="561">
        <v>54330.969050000007</v>
      </c>
      <c r="O8434" s="561">
        <v>6388.8</v>
      </c>
      <c r="BB8434" s="561">
        <v>47942.169050000004</v>
      </c>
    </row>
    <row r="8435" spans="1:54">
      <c r="C8435" s="561" t="s">
        <v>1199</v>
      </c>
      <c r="D8435" s="561">
        <v>22697</v>
      </c>
      <c r="E8435" s="561">
        <v>2268.9</v>
      </c>
      <c r="G8435" s="561">
        <v>20428.099999999999</v>
      </c>
      <c r="H8435" s="561">
        <v>837</v>
      </c>
      <c r="I8435" s="561">
        <v>26638.3017</v>
      </c>
      <c r="J8435" s="561">
        <v>0</v>
      </c>
      <c r="K8435" s="561">
        <v>-65.578779999999824</v>
      </c>
      <c r="L8435" s="561">
        <v>837</v>
      </c>
      <c r="M8435" s="561">
        <v>26703.88048</v>
      </c>
      <c r="N8435" s="561">
        <v>26703.88048</v>
      </c>
      <c r="O8435" s="561">
        <v>2268.9</v>
      </c>
      <c r="P8435" s="561">
        <v>24434.980479999998</v>
      </c>
    </row>
    <row r="8436" spans="1:54">
      <c r="C8436" s="561" t="s">
        <v>1200</v>
      </c>
      <c r="G8436" s="561">
        <v>0</v>
      </c>
      <c r="H8436" s="561">
        <v>0</v>
      </c>
      <c r="I8436" s="561">
        <v>0</v>
      </c>
      <c r="J8436" s="561">
        <v>0</v>
      </c>
      <c r="K8436" s="561">
        <v>0</v>
      </c>
      <c r="L8436" s="561">
        <v>0</v>
      </c>
      <c r="M8436" s="561">
        <v>0</v>
      </c>
      <c r="N8436" s="561">
        <v>0</v>
      </c>
      <c r="O8436" s="561">
        <v>0</v>
      </c>
      <c r="P8436" s="561">
        <v>0</v>
      </c>
    </row>
    <row r="8437" spans="1:54">
      <c r="A8437" s="561">
        <v>12</v>
      </c>
      <c r="B8437" s="561" t="s">
        <v>2024</v>
      </c>
      <c r="C8437" s="561" t="s">
        <v>1196</v>
      </c>
      <c r="D8437" s="561">
        <v>740604</v>
      </c>
      <c r="E8437" s="561">
        <v>216187.49999999997</v>
      </c>
      <c r="F8437" s="561">
        <v>0</v>
      </c>
      <c r="G8437" s="561">
        <v>524416.5</v>
      </c>
      <c r="H8437" s="561">
        <v>10667</v>
      </c>
      <c r="I8437" s="561">
        <v>754635.78028000006</v>
      </c>
      <c r="J8437" s="561">
        <v>12</v>
      </c>
      <c r="K8437" s="561">
        <v>14032.340420000255</v>
      </c>
      <c r="L8437" s="561">
        <v>10655</v>
      </c>
      <c r="M8437" s="561">
        <v>740603.43985999981</v>
      </c>
      <c r="N8437" s="561">
        <v>740603.43985999981</v>
      </c>
      <c r="O8437" s="561">
        <v>216187.49999999997</v>
      </c>
      <c r="P8437" s="561">
        <v>524415.93985999981</v>
      </c>
    </row>
    <row r="8438" spans="1:54">
      <c r="C8438" s="561" t="s">
        <v>1197</v>
      </c>
      <c r="D8438" s="561">
        <v>735103</v>
      </c>
      <c r="E8438" s="561">
        <v>214537.19999999998</v>
      </c>
      <c r="G8438" s="561">
        <v>520565.80000000005</v>
      </c>
      <c r="H8438" s="561">
        <v>10213</v>
      </c>
      <c r="I8438" s="561">
        <v>748536.6089900001</v>
      </c>
      <c r="J8438" s="561">
        <v>12</v>
      </c>
      <c r="K8438" s="561">
        <v>13950.599660000298</v>
      </c>
      <c r="L8438" s="561">
        <v>10201</v>
      </c>
      <c r="M8438" s="561">
        <v>734586.0093299998</v>
      </c>
      <c r="N8438" s="561">
        <v>734586.0093299998</v>
      </c>
      <c r="O8438" s="561">
        <v>214537.19999999998</v>
      </c>
    </row>
    <row r="8439" spans="1:54">
      <c r="C8439" s="561" t="s">
        <v>1198</v>
      </c>
      <c r="G8439" s="561">
        <v>0</v>
      </c>
      <c r="H8439" s="561">
        <v>0</v>
      </c>
      <c r="I8439" s="561">
        <v>0</v>
      </c>
      <c r="J8439" s="561">
        <v>0</v>
      </c>
      <c r="K8439" s="561">
        <v>0</v>
      </c>
      <c r="L8439" s="561">
        <v>0</v>
      </c>
      <c r="M8439" s="561">
        <v>0</v>
      </c>
      <c r="N8439" s="561">
        <v>0</v>
      </c>
      <c r="O8439" s="561">
        <v>0</v>
      </c>
      <c r="P8439" s="561">
        <v>0</v>
      </c>
    </row>
    <row r="8440" spans="1:54">
      <c r="C8440" s="561" t="s">
        <v>1199</v>
      </c>
      <c r="D8440" s="561">
        <v>5501</v>
      </c>
      <c r="E8440" s="561">
        <v>1650.3</v>
      </c>
      <c r="G8440" s="561">
        <v>3850.7</v>
      </c>
      <c r="H8440" s="561">
        <v>454</v>
      </c>
      <c r="I8440" s="561">
        <v>6099.1712900000002</v>
      </c>
      <c r="J8440" s="561">
        <v>0</v>
      </c>
      <c r="K8440" s="561">
        <v>81.740759999999682</v>
      </c>
      <c r="L8440" s="561">
        <v>454</v>
      </c>
      <c r="M8440" s="561">
        <v>6017.4305300000005</v>
      </c>
      <c r="N8440" s="561">
        <v>6017.4305300000005</v>
      </c>
      <c r="O8440" s="561">
        <v>1650.3</v>
      </c>
      <c r="P8440" s="561">
        <v>4367.1305300000004</v>
      </c>
    </row>
    <row r="8441" spans="1:54">
      <c r="C8441" s="561" t="s">
        <v>1200</v>
      </c>
      <c r="G8441" s="561">
        <v>0</v>
      </c>
      <c r="H8441" s="561">
        <v>0</v>
      </c>
      <c r="I8441" s="561">
        <v>0</v>
      </c>
      <c r="J8441" s="561">
        <v>0</v>
      </c>
      <c r="K8441" s="561">
        <v>0</v>
      </c>
      <c r="L8441" s="561">
        <v>0</v>
      </c>
      <c r="M8441" s="561">
        <v>0</v>
      </c>
      <c r="N8441" s="561">
        <v>0</v>
      </c>
      <c r="O8441" s="561">
        <v>0</v>
      </c>
      <c r="P8441" s="561">
        <v>0</v>
      </c>
    </row>
    <row r="8442" spans="1:54">
      <c r="A8442" s="561">
        <v>13</v>
      </c>
      <c r="B8442" s="561" t="s">
        <v>2025</v>
      </c>
      <c r="C8442" s="561" t="s">
        <v>1196</v>
      </c>
      <c r="D8442" s="561">
        <v>153398.1</v>
      </c>
      <c r="E8442" s="561">
        <v>54132.3</v>
      </c>
      <c r="F8442" s="561">
        <v>0</v>
      </c>
      <c r="G8442" s="561">
        <v>99265.8</v>
      </c>
      <c r="H8442" s="561">
        <v>3583</v>
      </c>
      <c r="I8442" s="561">
        <v>154059.51515999998</v>
      </c>
      <c r="J8442" s="561">
        <v>10</v>
      </c>
      <c r="K8442" s="561">
        <v>664.08408999998937</v>
      </c>
      <c r="L8442" s="561">
        <v>3573</v>
      </c>
      <c r="M8442" s="561">
        <v>153395.43106999999</v>
      </c>
      <c r="N8442" s="561">
        <v>153395.43106999999</v>
      </c>
      <c r="O8442" s="561">
        <v>54132.3</v>
      </c>
      <c r="P8442" s="561">
        <v>99263.131070000003</v>
      </c>
    </row>
    <row r="8443" spans="1:54">
      <c r="C8443" s="561" t="s">
        <v>1197</v>
      </c>
      <c r="D8443" s="561">
        <v>129060.7</v>
      </c>
      <c r="E8443" s="561">
        <v>47331</v>
      </c>
      <c r="G8443" s="561">
        <v>81729.7</v>
      </c>
      <c r="H8443" s="561">
        <v>1910</v>
      </c>
      <c r="I8443" s="561">
        <v>129535.40956999997</v>
      </c>
      <c r="J8443" s="561">
        <v>3</v>
      </c>
      <c r="K8443" s="561">
        <v>504.42808999997214</v>
      </c>
      <c r="L8443" s="561">
        <v>1907</v>
      </c>
      <c r="M8443" s="561">
        <v>129030.98148</v>
      </c>
      <c r="N8443" s="561">
        <v>129030.98148</v>
      </c>
      <c r="O8443" s="561">
        <v>47331</v>
      </c>
    </row>
    <row r="8444" spans="1:54">
      <c r="C8444" s="561" t="s">
        <v>1198</v>
      </c>
      <c r="G8444" s="561">
        <v>0</v>
      </c>
      <c r="H8444" s="561">
        <v>0</v>
      </c>
      <c r="I8444" s="561">
        <v>0</v>
      </c>
      <c r="J8444" s="561">
        <v>0</v>
      </c>
      <c r="K8444" s="561">
        <v>0</v>
      </c>
      <c r="L8444" s="561">
        <v>0</v>
      </c>
      <c r="M8444" s="561">
        <v>0</v>
      </c>
      <c r="N8444" s="561">
        <v>0</v>
      </c>
      <c r="O8444" s="561">
        <v>0</v>
      </c>
      <c r="P8444" s="561">
        <v>0</v>
      </c>
    </row>
    <row r="8445" spans="1:54">
      <c r="C8445" s="561" t="s">
        <v>1199</v>
      </c>
      <c r="D8445" s="561">
        <v>24337.4</v>
      </c>
      <c r="E8445" s="561">
        <v>6801.3</v>
      </c>
      <c r="G8445" s="561">
        <v>17536.100000000002</v>
      </c>
      <c r="H8445" s="561">
        <v>1673</v>
      </c>
      <c r="I8445" s="561">
        <v>24524.105590000003</v>
      </c>
      <c r="J8445" s="561">
        <v>7</v>
      </c>
      <c r="K8445" s="561">
        <v>159.65600000000268</v>
      </c>
      <c r="L8445" s="561">
        <v>1666</v>
      </c>
      <c r="M8445" s="561">
        <v>24364.44959</v>
      </c>
      <c r="N8445" s="561">
        <v>24364.44959</v>
      </c>
      <c r="O8445" s="561">
        <v>6801.2999999999993</v>
      </c>
      <c r="P8445" s="561">
        <v>17563.149590000001</v>
      </c>
    </row>
    <row r="8446" spans="1:54">
      <c r="C8446" s="561" t="s">
        <v>1200</v>
      </c>
      <c r="G8446" s="561">
        <v>0</v>
      </c>
      <c r="H8446" s="561">
        <v>0</v>
      </c>
      <c r="I8446" s="561">
        <v>0</v>
      </c>
      <c r="J8446" s="561">
        <v>0</v>
      </c>
      <c r="K8446" s="561">
        <v>0</v>
      </c>
      <c r="L8446" s="561">
        <v>0</v>
      </c>
      <c r="M8446" s="561">
        <v>0</v>
      </c>
      <c r="N8446" s="561">
        <v>0</v>
      </c>
      <c r="O8446" s="561">
        <v>0</v>
      </c>
      <c r="P8446" s="561">
        <v>0</v>
      </c>
    </row>
    <row r="8447" spans="1:54">
      <c r="A8447" s="561">
        <v>14</v>
      </c>
      <c r="B8447" s="561" t="s">
        <v>2026</v>
      </c>
      <c r="C8447" s="561" t="s">
        <v>1196</v>
      </c>
      <c r="D8447" s="561">
        <v>312253</v>
      </c>
      <c r="E8447" s="561">
        <v>91308.599999999991</v>
      </c>
      <c r="F8447" s="561">
        <v>0</v>
      </c>
      <c r="G8447" s="561">
        <v>220944.4</v>
      </c>
      <c r="H8447" s="561">
        <v>14032</v>
      </c>
      <c r="I8447" s="561">
        <v>316517.00893499999</v>
      </c>
      <c r="J8447" s="561">
        <v>1987</v>
      </c>
      <c r="K8447" s="561">
        <v>4264.7930000000051</v>
      </c>
      <c r="L8447" s="561">
        <v>12045</v>
      </c>
      <c r="M8447" s="561">
        <v>312252.21593499999</v>
      </c>
      <c r="N8447" s="561">
        <v>312252.21593499999</v>
      </c>
      <c r="O8447" s="561">
        <v>91308.599999999991</v>
      </c>
      <c r="P8447" s="561">
        <v>220943.61593499998</v>
      </c>
    </row>
    <row r="8448" spans="1:54">
      <c r="C8448" s="561" t="s">
        <v>1197</v>
      </c>
      <c r="D8448" s="561">
        <v>284259</v>
      </c>
      <c r="E8448" s="561">
        <v>82910.399999999994</v>
      </c>
      <c r="G8448" s="561">
        <v>201348.6</v>
      </c>
      <c r="H8448" s="561">
        <v>1743</v>
      </c>
      <c r="I8448" s="561">
        <v>284886.212</v>
      </c>
      <c r="J8448" s="561">
        <v>1</v>
      </c>
      <c r="K8448" s="561">
        <v>211.96370000002207</v>
      </c>
      <c r="L8448" s="561">
        <v>1742</v>
      </c>
      <c r="M8448" s="561">
        <v>284674.24829999998</v>
      </c>
      <c r="N8448" s="561">
        <v>284674.24829999998</v>
      </c>
      <c r="O8448" s="561">
        <v>82910.399999999994</v>
      </c>
    </row>
    <row r="8449" spans="1:38">
      <c r="C8449" s="561" t="s">
        <v>1198</v>
      </c>
      <c r="G8449" s="561">
        <v>0</v>
      </c>
      <c r="H8449" s="561">
        <v>0</v>
      </c>
      <c r="I8449" s="561">
        <v>0</v>
      </c>
      <c r="J8449" s="561">
        <v>0</v>
      </c>
      <c r="K8449" s="561">
        <v>0</v>
      </c>
      <c r="L8449" s="561">
        <v>0</v>
      </c>
      <c r="M8449" s="561">
        <v>0</v>
      </c>
      <c r="N8449" s="561">
        <v>0</v>
      </c>
      <c r="O8449" s="561">
        <v>0</v>
      </c>
      <c r="P8449" s="561">
        <v>0</v>
      </c>
    </row>
    <row r="8450" spans="1:38">
      <c r="C8450" s="561" t="s">
        <v>1199</v>
      </c>
      <c r="D8450" s="561">
        <v>5144</v>
      </c>
      <c r="E8450" s="561">
        <v>1543.2</v>
      </c>
      <c r="G8450" s="561">
        <v>3600.8</v>
      </c>
      <c r="H8450" s="561">
        <v>303</v>
      </c>
      <c r="I8450" s="561">
        <v>5284.3448199999993</v>
      </c>
      <c r="J8450" s="561">
        <v>0</v>
      </c>
      <c r="K8450" s="561">
        <v>503.03701999999976</v>
      </c>
      <c r="L8450" s="561">
        <v>303</v>
      </c>
      <c r="M8450" s="561">
        <v>4781.3077999999996</v>
      </c>
      <c r="N8450" s="561">
        <v>4781.3077999999996</v>
      </c>
      <c r="O8450" s="561">
        <v>1543.2</v>
      </c>
      <c r="P8450" s="561">
        <v>3238.1077999999998</v>
      </c>
    </row>
    <row r="8451" spans="1:38">
      <c r="C8451" s="561" t="s">
        <v>1200</v>
      </c>
      <c r="D8451" s="561">
        <v>22850</v>
      </c>
      <c r="E8451" s="561">
        <v>6855</v>
      </c>
      <c r="G8451" s="561">
        <v>15995</v>
      </c>
      <c r="H8451" s="561">
        <v>11986</v>
      </c>
      <c r="I8451" s="561">
        <v>26346.452114999996</v>
      </c>
      <c r="J8451" s="561">
        <v>1986</v>
      </c>
      <c r="K8451" s="561">
        <v>3549.7922799999978</v>
      </c>
      <c r="L8451" s="561">
        <v>10000</v>
      </c>
      <c r="M8451" s="561">
        <v>22796.659834999999</v>
      </c>
      <c r="N8451" s="561">
        <v>22796.659834999999</v>
      </c>
      <c r="O8451" s="561">
        <v>6855</v>
      </c>
      <c r="P8451" s="561">
        <v>15941.659834999999</v>
      </c>
    </row>
    <row r="8452" spans="1:38">
      <c r="A8452" s="561">
        <v>15</v>
      </c>
      <c r="B8452" s="561" t="s">
        <v>2027</v>
      </c>
      <c r="C8452" s="561" t="s">
        <v>1196</v>
      </c>
      <c r="D8452" s="561">
        <v>2221177</v>
      </c>
      <c r="E8452" s="561">
        <v>580806.6</v>
      </c>
      <c r="F8452" s="561">
        <v>0</v>
      </c>
      <c r="G8452" s="561">
        <v>1640370.4</v>
      </c>
      <c r="H8452" s="561">
        <v>10888</v>
      </c>
      <c r="I8452" s="561">
        <v>2242952.2786100004</v>
      </c>
      <c r="J8452" s="561">
        <v>31</v>
      </c>
      <c r="K8452" s="561">
        <v>21775.763480000664</v>
      </c>
      <c r="L8452" s="561">
        <v>10857</v>
      </c>
      <c r="M8452" s="561">
        <v>2221176.5151299997</v>
      </c>
      <c r="N8452" s="561">
        <v>2221176.5151299997</v>
      </c>
      <c r="O8452" s="561">
        <v>580806.60000000009</v>
      </c>
      <c r="P8452" s="561">
        <v>1640369.9151299996</v>
      </c>
    </row>
    <row r="8453" spans="1:38">
      <c r="C8453" s="561" t="s">
        <v>1197</v>
      </c>
      <c r="D8453" s="561">
        <v>1050010.1000000001</v>
      </c>
      <c r="E8453" s="561">
        <v>350773.8</v>
      </c>
      <c r="G8453" s="561">
        <v>699236.3</v>
      </c>
      <c r="H8453" s="561">
        <v>8250</v>
      </c>
      <c r="I8453" s="561">
        <v>869354.40733999992</v>
      </c>
      <c r="J8453" s="561">
        <v>27</v>
      </c>
      <c r="K8453" s="561">
        <v>11502.057270000107</v>
      </c>
      <c r="L8453" s="561">
        <v>8223</v>
      </c>
      <c r="M8453" s="561">
        <v>857852.35006999981</v>
      </c>
      <c r="N8453" s="561">
        <v>857852.35006999981</v>
      </c>
      <c r="O8453" s="561">
        <v>350773.80000000005</v>
      </c>
    </row>
    <row r="8454" spans="1:38">
      <c r="C8454" s="561" t="s">
        <v>1198</v>
      </c>
      <c r="D8454" s="561">
        <v>1171166.8999999999</v>
      </c>
      <c r="E8454" s="561">
        <v>230032.8</v>
      </c>
      <c r="G8454" s="561">
        <v>941134.09999999986</v>
      </c>
      <c r="H8454" s="561">
        <v>2638</v>
      </c>
      <c r="I8454" s="561">
        <v>1373597.8712700002</v>
      </c>
      <c r="J8454" s="561">
        <v>4</v>
      </c>
      <c r="K8454" s="561">
        <v>10273.706210000208</v>
      </c>
      <c r="L8454" s="561">
        <v>2634</v>
      </c>
      <c r="M8454" s="561">
        <v>1363324.16506</v>
      </c>
      <c r="N8454" s="561">
        <v>1363324.16506</v>
      </c>
      <c r="O8454" s="561">
        <v>230032.8</v>
      </c>
      <c r="AL8454" s="561">
        <v>1133291.36506</v>
      </c>
    </row>
    <row r="8455" spans="1:38">
      <c r="C8455" s="561" t="s">
        <v>1199</v>
      </c>
      <c r="G8455" s="561">
        <v>0</v>
      </c>
      <c r="H8455" s="561">
        <v>0</v>
      </c>
      <c r="I8455" s="561">
        <v>0</v>
      </c>
      <c r="J8455" s="561">
        <v>0</v>
      </c>
      <c r="K8455" s="561">
        <v>0</v>
      </c>
      <c r="L8455" s="561">
        <v>0</v>
      </c>
      <c r="M8455" s="561">
        <v>0</v>
      </c>
      <c r="N8455" s="561">
        <v>0</v>
      </c>
      <c r="O8455" s="561">
        <v>0</v>
      </c>
      <c r="P8455" s="561">
        <v>0</v>
      </c>
    </row>
    <row r="8456" spans="1:38">
      <c r="C8456" s="561" t="s">
        <v>1200</v>
      </c>
      <c r="G8456" s="561">
        <v>0</v>
      </c>
      <c r="H8456" s="561">
        <v>0</v>
      </c>
      <c r="I8456" s="561">
        <v>0</v>
      </c>
      <c r="J8456" s="561">
        <v>0</v>
      </c>
      <c r="K8456" s="561">
        <v>0</v>
      </c>
      <c r="L8456" s="561">
        <v>0</v>
      </c>
      <c r="M8456" s="561">
        <v>0</v>
      </c>
      <c r="N8456" s="561">
        <v>0</v>
      </c>
      <c r="O8456" s="561">
        <v>0</v>
      </c>
      <c r="P8456" s="561">
        <v>0</v>
      </c>
    </row>
    <row r="8457" spans="1:38">
      <c r="A8457" s="561">
        <v>16</v>
      </c>
      <c r="B8457" s="561" t="s">
        <v>2028</v>
      </c>
      <c r="C8457" s="561" t="s">
        <v>1196</v>
      </c>
      <c r="D8457" s="561">
        <v>12108</v>
      </c>
      <c r="E8457" s="561">
        <v>4350.6000000000004</v>
      </c>
      <c r="F8457" s="561">
        <v>0</v>
      </c>
      <c r="G8457" s="561">
        <v>7757.4</v>
      </c>
      <c r="H8457" s="561">
        <v>292</v>
      </c>
      <c r="I8457" s="561">
        <v>12331.419120000002</v>
      </c>
      <c r="J8457" s="561">
        <v>5</v>
      </c>
      <c r="K8457" s="561">
        <v>223.42288333333272</v>
      </c>
      <c r="L8457" s="561">
        <v>287</v>
      </c>
      <c r="M8457" s="561">
        <v>12107.99623666667</v>
      </c>
      <c r="N8457" s="561">
        <v>12107.99623666667</v>
      </c>
      <c r="O8457" s="561">
        <v>4350.596999999997</v>
      </c>
      <c r="P8457" s="561">
        <v>7757.3992366666735</v>
      </c>
    </row>
    <row r="8458" spans="1:38">
      <c r="C8458" s="561" t="s">
        <v>1197</v>
      </c>
      <c r="D8458" s="561">
        <v>10434</v>
      </c>
      <c r="E8458" s="561">
        <v>3848.1</v>
      </c>
      <c r="G8458" s="561">
        <v>6585.9</v>
      </c>
      <c r="H8458" s="561">
        <v>170</v>
      </c>
      <c r="I8458" s="561">
        <v>10427.529650000002</v>
      </c>
      <c r="J8458" s="561">
        <v>4</v>
      </c>
      <c r="K8458" s="561">
        <v>211.37025333333258</v>
      </c>
      <c r="L8458" s="561">
        <v>166</v>
      </c>
      <c r="M8458" s="561">
        <v>10216.15939666667</v>
      </c>
      <c r="N8458" s="561">
        <v>10216.15939666667</v>
      </c>
      <c r="O8458" s="561">
        <v>3848.0969999999966</v>
      </c>
    </row>
    <row r="8459" spans="1:38">
      <c r="C8459" s="561" t="s">
        <v>1198</v>
      </c>
      <c r="G8459" s="561">
        <v>0</v>
      </c>
      <c r="H8459" s="561">
        <v>0</v>
      </c>
      <c r="I8459" s="561">
        <v>0</v>
      </c>
      <c r="J8459" s="561">
        <v>0</v>
      </c>
      <c r="K8459" s="561">
        <v>0</v>
      </c>
      <c r="L8459" s="561">
        <v>0</v>
      </c>
      <c r="M8459" s="561">
        <v>0</v>
      </c>
      <c r="N8459" s="561">
        <v>0</v>
      </c>
      <c r="O8459" s="561">
        <v>0</v>
      </c>
      <c r="P8459" s="561">
        <v>0</v>
      </c>
    </row>
    <row r="8460" spans="1:38">
      <c r="C8460" s="561" t="s">
        <v>1199</v>
      </c>
      <c r="D8460" s="561">
        <v>1674</v>
      </c>
      <c r="E8460" s="561">
        <v>502.5</v>
      </c>
      <c r="G8460" s="561">
        <v>1171.5</v>
      </c>
      <c r="H8460" s="561">
        <v>122</v>
      </c>
      <c r="I8460" s="561">
        <v>1903.8894700000001</v>
      </c>
      <c r="J8460" s="561">
        <v>1</v>
      </c>
      <c r="K8460" s="561">
        <v>12.052630000000136</v>
      </c>
      <c r="L8460" s="561">
        <v>121</v>
      </c>
      <c r="M8460" s="561">
        <v>1891.8368399999999</v>
      </c>
      <c r="N8460" s="561">
        <v>1891.8368399999999</v>
      </c>
      <c r="O8460" s="561">
        <v>502.50000000000034</v>
      </c>
      <c r="P8460" s="561">
        <v>1389.3368399999995</v>
      </c>
    </row>
    <row r="8461" spans="1:38">
      <c r="C8461" s="561" t="s">
        <v>1200</v>
      </c>
      <c r="G8461" s="561">
        <v>0</v>
      </c>
      <c r="H8461" s="561">
        <v>0</v>
      </c>
      <c r="I8461" s="561">
        <v>0</v>
      </c>
      <c r="J8461" s="561">
        <v>0</v>
      </c>
      <c r="K8461" s="561">
        <v>0</v>
      </c>
      <c r="L8461" s="561">
        <v>0</v>
      </c>
      <c r="M8461" s="561">
        <v>0</v>
      </c>
      <c r="N8461" s="561">
        <v>0</v>
      </c>
      <c r="O8461" s="561">
        <v>0</v>
      </c>
      <c r="P8461" s="561">
        <v>0</v>
      </c>
    </row>
    <row r="8462" spans="1:38">
      <c r="A8462" s="561">
        <v>17</v>
      </c>
      <c r="B8462" s="561" t="s">
        <v>2029</v>
      </c>
      <c r="C8462" s="561" t="s">
        <v>1196</v>
      </c>
      <c r="D8462" s="561">
        <v>533557</v>
      </c>
      <c r="E8462" s="561">
        <v>146927.4</v>
      </c>
      <c r="F8462" s="561">
        <v>0</v>
      </c>
      <c r="G8462" s="561">
        <v>386629.6</v>
      </c>
      <c r="H8462" s="561">
        <v>9220</v>
      </c>
      <c r="I8462" s="561">
        <v>556729.43105000001</v>
      </c>
      <c r="J8462" s="561">
        <v>79</v>
      </c>
      <c r="K8462" s="561">
        <v>23174.235730000073</v>
      </c>
      <c r="L8462" s="561">
        <v>9141</v>
      </c>
      <c r="M8462" s="561">
        <v>533555.19531999994</v>
      </c>
      <c r="N8462" s="561">
        <v>533555.19531999994</v>
      </c>
      <c r="O8462" s="561">
        <v>146927.4</v>
      </c>
      <c r="P8462" s="561">
        <v>386627.79531999986</v>
      </c>
    </row>
    <row r="8463" spans="1:38">
      <c r="C8463" s="561" t="s">
        <v>1197</v>
      </c>
      <c r="D8463" s="561">
        <v>507096</v>
      </c>
      <c r="E8463" s="561">
        <v>139130.4</v>
      </c>
      <c r="G8463" s="561">
        <v>367965.6</v>
      </c>
      <c r="H8463" s="561">
        <v>7541</v>
      </c>
      <c r="I8463" s="561">
        <v>516976.07611000002</v>
      </c>
      <c r="J8463" s="561">
        <v>42</v>
      </c>
      <c r="K8463" s="561">
        <v>9793.8749400001252</v>
      </c>
      <c r="L8463" s="561">
        <v>7499</v>
      </c>
      <c r="M8463" s="561">
        <v>507182.2011699999</v>
      </c>
      <c r="N8463" s="561">
        <v>507182.2011699999</v>
      </c>
      <c r="O8463" s="561">
        <v>139130.4</v>
      </c>
    </row>
    <row r="8464" spans="1:38">
      <c r="C8464" s="561" t="s">
        <v>1198</v>
      </c>
      <c r="G8464" s="561">
        <v>0</v>
      </c>
      <c r="H8464" s="561">
        <v>36</v>
      </c>
      <c r="I8464" s="561">
        <v>13268.6443</v>
      </c>
      <c r="J8464" s="561">
        <v>36</v>
      </c>
      <c r="K8464" s="561">
        <v>13268.6443</v>
      </c>
      <c r="L8464" s="561">
        <v>0</v>
      </c>
      <c r="M8464" s="561">
        <v>0</v>
      </c>
      <c r="N8464" s="561">
        <v>0</v>
      </c>
      <c r="O8464" s="561">
        <v>0</v>
      </c>
      <c r="P8464" s="561">
        <v>0</v>
      </c>
    </row>
    <row r="8465" spans="1:50">
      <c r="C8465" s="561" t="s">
        <v>1199</v>
      </c>
      <c r="D8465" s="561">
        <v>26461</v>
      </c>
      <c r="E8465" s="561">
        <v>7797</v>
      </c>
      <c r="G8465" s="561">
        <v>18664</v>
      </c>
      <c r="H8465" s="561">
        <v>1643</v>
      </c>
      <c r="I8465" s="561">
        <v>26484.710640000001</v>
      </c>
      <c r="J8465" s="561">
        <v>1</v>
      </c>
      <c r="K8465" s="561">
        <v>111.71648999999888</v>
      </c>
      <c r="L8465" s="561">
        <v>1642</v>
      </c>
      <c r="M8465" s="561">
        <v>26372.994150000002</v>
      </c>
      <c r="N8465" s="561">
        <v>26372.994150000002</v>
      </c>
      <c r="O8465" s="561">
        <v>7796.9999999999991</v>
      </c>
      <c r="P8465" s="561">
        <v>18575.994150000002</v>
      </c>
    </row>
    <row r="8466" spans="1:50">
      <c r="C8466" s="561" t="s">
        <v>1200</v>
      </c>
      <c r="G8466" s="561">
        <v>0</v>
      </c>
      <c r="H8466" s="561">
        <v>0</v>
      </c>
      <c r="I8466" s="561">
        <v>0</v>
      </c>
      <c r="J8466" s="561">
        <v>0</v>
      </c>
      <c r="K8466" s="561">
        <v>0</v>
      </c>
      <c r="L8466" s="561">
        <v>0</v>
      </c>
      <c r="M8466" s="561">
        <v>0</v>
      </c>
      <c r="N8466" s="561">
        <v>0</v>
      </c>
      <c r="O8466" s="561">
        <v>0</v>
      </c>
      <c r="P8466" s="561">
        <v>0</v>
      </c>
    </row>
    <row r="8467" spans="1:50">
      <c r="A8467" s="561">
        <v>18</v>
      </c>
      <c r="B8467" s="561" t="s">
        <v>2030</v>
      </c>
      <c r="C8467" s="561" t="s">
        <v>1196</v>
      </c>
      <c r="D8467" s="561">
        <v>6625076</v>
      </c>
      <c r="E8467" s="561">
        <v>1020000</v>
      </c>
      <c r="F8467" s="561">
        <v>415142.95279999997</v>
      </c>
      <c r="G8467" s="561">
        <v>5189933.0471999999</v>
      </c>
      <c r="H8467" s="561">
        <v>6054</v>
      </c>
      <c r="I8467" s="561">
        <v>6758753.2205899991</v>
      </c>
      <c r="J8467" s="561">
        <v>99</v>
      </c>
      <c r="K8467" s="561">
        <v>133677.25461999886</v>
      </c>
      <c r="L8467" s="561">
        <v>5955</v>
      </c>
      <c r="M8467" s="561">
        <v>6625075.9659700003</v>
      </c>
      <c r="N8467" s="561">
        <v>6625075.9659700003</v>
      </c>
      <c r="O8467" s="561">
        <v>1435142.9527999999</v>
      </c>
      <c r="P8467" s="561">
        <v>5189933.0131699992</v>
      </c>
    </row>
    <row r="8468" spans="1:50">
      <c r="C8468" s="561" t="s">
        <v>1197</v>
      </c>
      <c r="D8468" s="561">
        <v>1326101</v>
      </c>
      <c r="E8468" s="561">
        <v>165933.29999999999</v>
      </c>
      <c r="F8468" s="561">
        <v>198266.50880000001</v>
      </c>
      <c r="G8468" s="561">
        <v>961901.1912</v>
      </c>
      <c r="H8468" s="561">
        <v>3984</v>
      </c>
      <c r="I8468" s="561">
        <v>1371537.5258800001</v>
      </c>
      <c r="J8468" s="561">
        <v>67</v>
      </c>
      <c r="K8468" s="561">
        <v>38255.118230000138</v>
      </c>
      <c r="L8468" s="561">
        <v>3917</v>
      </c>
      <c r="M8468" s="561">
        <v>1333282.40765</v>
      </c>
      <c r="N8468" s="561">
        <v>1333282.40765</v>
      </c>
      <c r="O8468" s="561">
        <v>364199.8088</v>
      </c>
    </row>
    <row r="8469" spans="1:50">
      <c r="C8469" s="561" t="s">
        <v>1198</v>
      </c>
      <c r="D8469" s="561">
        <v>5298975</v>
      </c>
      <c r="E8469" s="561">
        <v>854066.7</v>
      </c>
      <c r="F8469" s="561">
        <v>216876.44399999999</v>
      </c>
      <c r="G8469" s="561">
        <v>4228031.8559999997</v>
      </c>
      <c r="H8469" s="561">
        <v>2070</v>
      </c>
      <c r="I8469" s="561">
        <v>5387215.6947099995</v>
      </c>
      <c r="J8469" s="561">
        <v>32</v>
      </c>
      <c r="K8469" s="561">
        <v>95422.13638999965</v>
      </c>
      <c r="L8469" s="561">
        <v>2038</v>
      </c>
      <c r="M8469" s="561">
        <v>5291793.5583199998</v>
      </c>
      <c r="N8469" s="561">
        <v>5291793.5583199998</v>
      </c>
      <c r="O8469" s="561">
        <v>1070943.1439999999</v>
      </c>
      <c r="AX8469" s="561">
        <v>4220850.4143199995</v>
      </c>
    </row>
    <row r="8470" spans="1:50">
      <c r="C8470" s="561" t="s">
        <v>1199</v>
      </c>
      <c r="G8470" s="561">
        <v>0</v>
      </c>
      <c r="H8470" s="561">
        <v>0</v>
      </c>
      <c r="I8470" s="561">
        <v>0</v>
      </c>
      <c r="J8470" s="561">
        <v>0</v>
      </c>
      <c r="K8470" s="561">
        <v>0</v>
      </c>
      <c r="L8470" s="561">
        <v>0</v>
      </c>
      <c r="M8470" s="561">
        <v>0</v>
      </c>
      <c r="N8470" s="561">
        <v>0</v>
      </c>
      <c r="O8470" s="561">
        <v>0</v>
      </c>
      <c r="P8470" s="561">
        <v>0</v>
      </c>
    </row>
    <row r="8471" spans="1:50">
      <c r="C8471" s="561" t="s">
        <v>1200</v>
      </c>
      <c r="G8471" s="561">
        <v>0</v>
      </c>
      <c r="H8471" s="561">
        <v>0</v>
      </c>
      <c r="I8471" s="561">
        <v>0</v>
      </c>
      <c r="J8471" s="561">
        <v>0</v>
      </c>
      <c r="K8471" s="561">
        <v>0</v>
      </c>
      <c r="L8471" s="561">
        <v>0</v>
      </c>
      <c r="M8471" s="561">
        <v>0</v>
      </c>
      <c r="N8471" s="561">
        <v>0</v>
      </c>
      <c r="O8471" s="561">
        <v>0</v>
      </c>
      <c r="P8471" s="561">
        <v>0</v>
      </c>
    </row>
    <row r="8472" spans="1:50">
      <c r="A8472" s="561">
        <v>19</v>
      </c>
      <c r="B8472" s="561" t="s">
        <v>2031</v>
      </c>
      <c r="C8472" s="561" t="s">
        <v>1196</v>
      </c>
      <c r="D8472" s="561">
        <v>94342</v>
      </c>
      <c r="E8472" s="561">
        <v>25053.9</v>
      </c>
      <c r="F8472" s="561">
        <v>0</v>
      </c>
      <c r="G8472" s="561">
        <v>69288.100000000006</v>
      </c>
      <c r="H8472" s="561">
        <v>946</v>
      </c>
      <c r="I8472" s="561">
        <v>97290.462270000018</v>
      </c>
      <c r="J8472" s="561">
        <v>0</v>
      </c>
      <c r="K8472" s="561">
        <v>2948.4637200000143</v>
      </c>
      <c r="L8472" s="561">
        <v>946</v>
      </c>
      <c r="M8472" s="561">
        <v>94341.998550000004</v>
      </c>
      <c r="N8472" s="561">
        <v>94341.998550000004</v>
      </c>
      <c r="O8472" s="561">
        <v>25053.899999999998</v>
      </c>
      <c r="P8472" s="561">
        <v>69288.09855000001</v>
      </c>
    </row>
    <row r="8473" spans="1:50">
      <c r="C8473" s="561" t="s">
        <v>1197</v>
      </c>
      <c r="D8473" s="561">
        <v>87137</v>
      </c>
      <c r="E8473" s="561">
        <v>23932.2</v>
      </c>
      <c r="G8473" s="561">
        <v>63204.800000000003</v>
      </c>
      <c r="H8473" s="561">
        <v>767</v>
      </c>
      <c r="I8473" s="561">
        <v>90432.804910000021</v>
      </c>
      <c r="J8473" s="561">
        <v>0</v>
      </c>
      <c r="K8473" s="561">
        <v>2815.1626133333484</v>
      </c>
      <c r="L8473" s="561">
        <v>767</v>
      </c>
      <c r="M8473" s="561">
        <v>87617.642296666672</v>
      </c>
      <c r="N8473" s="561">
        <v>87617.642296666672</v>
      </c>
      <c r="O8473" s="561">
        <v>23932.199999999997</v>
      </c>
    </row>
    <row r="8474" spans="1:50">
      <c r="C8474" s="561" t="s">
        <v>1198</v>
      </c>
      <c r="G8474" s="561">
        <v>0</v>
      </c>
      <c r="H8474" s="561">
        <v>0</v>
      </c>
      <c r="I8474" s="561">
        <v>0</v>
      </c>
      <c r="J8474" s="561">
        <v>0</v>
      </c>
      <c r="K8474" s="561">
        <v>0</v>
      </c>
      <c r="L8474" s="561">
        <v>0</v>
      </c>
      <c r="M8474" s="561">
        <v>0</v>
      </c>
      <c r="N8474" s="561">
        <v>0</v>
      </c>
      <c r="O8474" s="561">
        <v>0</v>
      </c>
      <c r="P8474" s="561">
        <v>0</v>
      </c>
    </row>
    <row r="8475" spans="1:50">
      <c r="C8475" s="561" t="s">
        <v>1199</v>
      </c>
      <c r="D8475" s="561">
        <v>7205</v>
      </c>
      <c r="E8475" s="561">
        <v>1121.7</v>
      </c>
      <c r="G8475" s="561">
        <v>6083.3</v>
      </c>
      <c r="H8475" s="561">
        <v>179</v>
      </c>
      <c r="I8475" s="561">
        <v>6857.6573600000011</v>
      </c>
      <c r="J8475" s="561">
        <v>0</v>
      </c>
      <c r="K8475" s="561">
        <v>133.30110666666769</v>
      </c>
      <c r="L8475" s="561">
        <v>179</v>
      </c>
      <c r="M8475" s="561">
        <v>6724.3562533333334</v>
      </c>
      <c r="N8475" s="561">
        <v>6724.3562533333334</v>
      </c>
      <c r="O8475" s="561">
        <v>1121.7</v>
      </c>
      <c r="P8475" s="561">
        <v>5602.6562533333336</v>
      </c>
    </row>
    <row r="8476" spans="1:50">
      <c r="C8476" s="561" t="s">
        <v>1200</v>
      </c>
      <c r="G8476" s="561">
        <v>0</v>
      </c>
      <c r="H8476" s="561">
        <v>0</v>
      </c>
      <c r="I8476" s="561">
        <v>0</v>
      </c>
      <c r="J8476" s="561">
        <v>0</v>
      </c>
      <c r="K8476" s="561">
        <v>0</v>
      </c>
      <c r="L8476" s="561">
        <v>0</v>
      </c>
      <c r="M8476" s="561">
        <v>0</v>
      </c>
      <c r="N8476" s="561">
        <v>0</v>
      </c>
      <c r="O8476" s="561">
        <v>0</v>
      </c>
      <c r="P8476" s="561">
        <v>0</v>
      </c>
    </row>
    <row r="8477" spans="1:50">
      <c r="A8477" s="561">
        <v>20</v>
      </c>
      <c r="B8477" s="561" t="s">
        <v>2032</v>
      </c>
      <c r="C8477" s="561" t="s">
        <v>1196</v>
      </c>
      <c r="D8477" s="561">
        <v>1120026</v>
      </c>
      <c r="E8477" s="561">
        <v>320300.99999999994</v>
      </c>
      <c r="F8477" s="561">
        <v>0</v>
      </c>
      <c r="G8477" s="561">
        <v>799725.00000000012</v>
      </c>
      <c r="H8477" s="561">
        <v>282569</v>
      </c>
      <c r="I8477" s="561">
        <v>1140637.40392</v>
      </c>
      <c r="J8477" s="561">
        <v>6416</v>
      </c>
      <c r="K8477" s="561">
        <v>20611.40748666646</v>
      </c>
      <c r="L8477" s="561">
        <v>276153</v>
      </c>
      <c r="M8477" s="561">
        <v>1120025.9964333335</v>
      </c>
      <c r="N8477" s="561">
        <v>1120025.9964333335</v>
      </c>
      <c r="O8477" s="561">
        <v>320300.99999999994</v>
      </c>
      <c r="P8477" s="561">
        <v>799724.99643333349</v>
      </c>
    </row>
    <row r="8478" spans="1:50">
      <c r="C8478" s="561" t="s">
        <v>1197</v>
      </c>
      <c r="G8478" s="561">
        <v>0</v>
      </c>
      <c r="H8478" s="561">
        <v>0</v>
      </c>
      <c r="I8478" s="561">
        <v>0</v>
      </c>
      <c r="J8478" s="561">
        <v>0</v>
      </c>
      <c r="K8478" s="561">
        <v>0</v>
      </c>
      <c r="L8478" s="561">
        <v>0</v>
      </c>
      <c r="M8478" s="561">
        <v>0</v>
      </c>
      <c r="N8478" s="561">
        <v>0</v>
      </c>
      <c r="O8478" s="561">
        <v>0</v>
      </c>
      <c r="P8478" s="561">
        <v>0</v>
      </c>
    </row>
    <row r="8479" spans="1:50">
      <c r="C8479" s="561" t="s">
        <v>1198</v>
      </c>
      <c r="G8479" s="561">
        <v>0</v>
      </c>
      <c r="H8479" s="561">
        <v>0</v>
      </c>
      <c r="I8479" s="561">
        <v>0</v>
      </c>
      <c r="J8479" s="561">
        <v>0</v>
      </c>
      <c r="K8479" s="561">
        <v>0</v>
      </c>
      <c r="L8479" s="561">
        <v>0</v>
      </c>
      <c r="M8479" s="561">
        <v>0</v>
      </c>
      <c r="N8479" s="561">
        <v>0</v>
      </c>
      <c r="O8479" s="561">
        <v>0</v>
      </c>
      <c r="P8479" s="561">
        <v>0</v>
      </c>
    </row>
    <row r="8480" spans="1:50">
      <c r="C8480" s="561" t="s">
        <v>1199</v>
      </c>
      <c r="D8480" s="561">
        <v>17572</v>
      </c>
      <c r="E8480" s="561">
        <v>5271.5999999999995</v>
      </c>
      <c r="G8480" s="561">
        <v>12300.400000000001</v>
      </c>
      <c r="H8480" s="561">
        <v>991</v>
      </c>
      <c r="I8480" s="561">
        <v>14301.892059999998</v>
      </c>
      <c r="J8480" s="561">
        <v>6</v>
      </c>
      <c r="K8480" s="561">
        <v>227.59804999999687</v>
      </c>
      <c r="L8480" s="561">
        <v>985</v>
      </c>
      <c r="M8480" s="561">
        <v>14074.294010000001</v>
      </c>
      <c r="N8480" s="561">
        <v>14074.294010000001</v>
      </c>
      <c r="O8480" s="561">
        <v>5271.5999999999995</v>
      </c>
      <c r="P8480" s="561">
        <v>8802.6940100000029</v>
      </c>
    </row>
    <row r="8481" spans="1:16">
      <c r="C8481" s="561" t="s">
        <v>1200</v>
      </c>
      <c r="D8481" s="561">
        <v>1102454</v>
      </c>
      <c r="E8481" s="561">
        <v>315029.39999999997</v>
      </c>
      <c r="G8481" s="561">
        <v>787424.60000000009</v>
      </c>
      <c r="H8481" s="561">
        <v>281578</v>
      </c>
      <c r="I8481" s="561">
        <v>1126335.51186</v>
      </c>
      <c r="J8481" s="561">
        <v>6410</v>
      </c>
      <c r="K8481" s="561">
        <v>20383.809436666546</v>
      </c>
      <c r="L8481" s="561">
        <v>275168</v>
      </c>
      <c r="M8481" s="561">
        <v>1105951.7024233334</v>
      </c>
      <c r="N8481" s="561">
        <v>1105951.7024233334</v>
      </c>
      <c r="O8481" s="561">
        <v>315029.39999999997</v>
      </c>
      <c r="P8481" s="561">
        <v>790922.30242333352</v>
      </c>
    </row>
    <row r="8482" spans="1:16">
      <c r="A8482" s="561">
        <v>21</v>
      </c>
      <c r="B8482" s="561" t="s">
        <v>2033</v>
      </c>
      <c r="C8482" s="561" t="s">
        <v>1196</v>
      </c>
      <c r="D8482" s="561">
        <v>8561</v>
      </c>
      <c r="E8482" s="561">
        <v>2568.2999999999997</v>
      </c>
      <c r="F8482" s="561">
        <v>0</v>
      </c>
      <c r="G8482" s="561">
        <v>5992.7000000000007</v>
      </c>
      <c r="H8482" s="561">
        <v>677</v>
      </c>
      <c r="I8482" s="561">
        <v>8973.0733900000014</v>
      </c>
      <c r="J8482" s="561">
        <v>0</v>
      </c>
      <c r="K8482" s="561">
        <v>412.50309000000016</v>
      </c>
      <c r="L8482" s="561">
        <v>677</v>
      </c>
      <c r="M8482" s="561">
        <v>8560.5703000000012</v>
      </c>
      <c r="N8482" s="561">
        <v>8560.5703000000012</v>
      </c>
      <c r="O8482" s="561">
        <v>2568.2999999999997</v>
      </c>
      <c r="P8482" s="561">
        <v>5992.270300000002</v>
      </c>
    </row>
    <row r="8483" spans="1:16">
      <c r="C8483" s="561" t="s">
        <v>1197</v>
      </c>
      <c r="G8483" s="561">
        <v>0</v>
      </c>
      <c r="H8483" s="561">
        <v>0</v>
      </c>
      <c r="I8483" s="561">
        <v>0</v>
      </c>
      <c r="J8483" s="561">
        <v>0</v>
      </c>
      <c r="K8483" s="561">
        <v>0</v>
      </c>
      <c r="L8483" s="561">
        <v>0</v>
      </c>
      <c r="M8483" s="561">
        <v>0</v>
      </c>
      <c r="N8483" s="561">
        <v>0</v>
      </c>
      <c r="O8483" s="561">
        <v>0</v>
      </c>
      <c r="P8483" s="561">
        <v>0</v>
      </c>
    </row>
    <row r="8484" spans="1:16">
      <c r="C8484" s="561" t="s">
        <v>1198</v>
      </c>
      <c r="G8484" s="561">
        <v>0</v>
      </c>
      <c r="H8484" s="561">
        <v>0</v>
      </c>
      <c r="I8484" s="561">
        <v>0</v>
      </c>
      <c r="J8484" s="561">
        <v>0</v>
      </c>
      <c r="K8484" s="561">
        <v>0</v>
      </c>
      <c r="L8484" s="561">
        <v>0</v>
      </c>
      <c r="M8484" s="561">
        <v>0</v>
      </c>
      <c r="N8484" s="561">
        <v>0</v>
      </c>
      <c r="O8484" s="561">
        <v>0</v>
      </c>
      <c r="P8484" s="561">
        <v>0</v>
      </c>
    </row>
    <row r="8485" spans="1:16">
      <c r="C8485" s="561" t="s">
        <v>1199</v>
      </c>
      <c r="D8485" s="561">
        <v>8561</v>
      </c>
      <c r="E8485" s="561">
        <v>2568.2999999999997</v>
      </c>
      <c r="G8485" s="561">
        <v>5992.7000000000007</v>
      </c>
      <c r="H8485" s="561">
        <v>677</v>
      </c>
      <c r="I8485" s="561">
        <v>8973.0733900000014</v>
      </c>
      <c r="J8485" s="561">
        <v>0</v>
      </c>
      <c r="K8485" s="561">
        <v>412.50309000000016</v>
      </c>
      <c r="L8485" s="561">
        <v>677</v>
      </c>
      <c r="M8485" s="561">
        <v>8560.5703000000012</v>
      </c>
      <c r="N8485" s="561">
        <v>8560.5703000000012</v>
      </c>
      <c r="O8485" s="561">
        <v>2568.2999999999997</v>
      </c>
      <c r="P8485" s="561">
        <v>5992.270300000002</v>
      </c>
    </row>
    <row r="8486" spans="1:16">
      <c r="C8486" s="561" t="s">
        <v>1200</v>
      </c>
      <c r="G8486" s="561">
        <v>0</v>
      </c>
      <c r="H8486" s="561">
        <v>0</v>
      </c>
      <c r="I8486" s="561">
        <v>0</v>
      </c>
      <c r="J8486" s="561">
        <v>0</v>
      </c>
      <c r="K8486" s="561">
        <v>0</v>
      </c>
      <c r="L8486" s="561">
        <v>0</v>
      </c>
      <c r="M8486" s="561">
        <v>0</v>
      </c>
      <c r="N8486" s="561">
        <v>0</v>
      </c>
      <c r="O8486" s="561">
        <v>0</v>
      </c>
      <c r="P8486" s="561">
        <v>0</v>
      </c>
    </row>
    <row r="8487" spans="1:16">
      <c r="A8487" s="561">
        <v>22</v>
      </c>
      <c r="B8487" s="561" t="s">
        <v>2034</v>
      </c>
      <c r="C8487" s="561" t="s">
        <v>1196</v>
      </c>
      <c r="D8487" s="561">
        <v>24511</v>
      </c>
      <c r="E8487" s="561">
        <v>7353.3</v>
      </c>
      <c r="F8487" s="561">
        <v>0</v>
      </c>
      <c r="G8487" s="561">
        <v>17157.7</v>
      </c>
      <c r="H8487" s="561">
        <v>1684</v>
      </c>
      <c r="I8487" s="561">
        <v>26023.534830000001</v>
      </c>
      <c r="J8487" s="561">
        <v>24</v>
      </c>
      <c r="K8487" s="561">
        <v>1513.0015499999972</v>
      </c>
      <c r="L8487" s="561">
        <v>1660</v>
      </c>
      <c r="M8487" s="561">
        <v>24510.533280000003</v>
      </c>
      <c r="N8487" s="561">
        <v>24510.533280000003</v>
      </c>
      <c r="O8487" s="561">
        <v>7353.2999999999993</v>
      </c>
      <c r="P8487" s="561">
        <v>17157.233280000004</v>
      </c>
    </row>
    <row r="8488" spans="1:16">
      <c r="C8488" s="561" t="s">
        <v>1197</v>
      </c>
      <c r="G8488" s="561">
        <v>0</v>
      </c>
      <c r="H8488" s="561">
        <v>0</v>
      </c>
      <c r="I8488" s="561">
        <v>0</v>
      </c>
      <c r="J8488" s="561">
        <v>0</v>
      </c>
      <c r="K8488" s="561">
        <v>0</v>
      </c>
      <c r="L8488" s="561">
        <v>0</v>
      </c>
      <c r="M8488" s="561">
        <v>0</v>
      </c>
      <c r="N8488" s="561">
        <v>0</v>
      </c>
      <c r="O8488" s="561">
        <v>0</v>
      </c>
      <c r="P8488" s="561">
        <v>0</v>
      </c>
    </row>
    <row r="8489" spans="1:16">
      <c r="C8489" s="561" t="s">
        <v>1198</v>
      </c>
      <c r="G8489" s="561">
        <v>0</v>
      </c>
      <c r="H8489" s="561">
        <v>0</v>
      </c>
      <c r="I8489" s="561">
        <v>0</v>
      </c>
      <c r="J8489" s="561">
        <v>0</v>
      </c>
      <c r="K8489" s="561">
        <v>0</v>
      </c>
      <c r="L8489" s="561">
        <v>0</v>
      </c>
      <c r="M8489" s="561">
        <v>0</v>
      </c>
      <c r="N8489" s="561">
        <v>0</v>
      </c>
      <c r="O8489" s="561">
        <v>0</v>
      </c>
      <c r="P8489" s="561">
        <v>0</v>
      </c>
    </row>
    <row r="8490" spans="1:16">
      <c r="C8490" s="561" t="s">
        <v>1199</v>
      </c>
      <c r="D8490" s="561">
        <v>24511</v>
      </c>
      <c r="E8490" s="561">
        <v>7353.3</v>
      </c>
      <c r="G8490" s="561">
        <v>17157.7</v>
      </c>
      <c r="H8490" s="561">
        <v>1684</v>
      </c>
      <c r="I8490" s="561">
        <v>26023.534830000001</v>
      </c>
      <c r="J8490" s="561">
        <v>24</v>
      </c>
      <c r="K8490" s="561">
        <v>1513.0015499999972</v>
      </c>
      <c r="L8490" s="561">
        <v>1660</v>
      </c>
      <c r="M8490" s="561">
        <v>24510.533280000003</v>
      </c>
      <c r="N8490" s="561">
        <v>24510.533280000003</v>
      </c>
      <c r="O8490" s="561">
        <v>7353.2999999999993</v>
      </c>
      <c r="P8490" s="561">
        <v>17157.233280000004</v>
      </c>
    </row>
    <row r="8491" spans="1:16">
      <c r="C8491" s="561" t="s">
        <v>1200</v>
      </c>
      <c r="G8491" s="561">
        <v>0</v>
      </c>
      <c r="H8491" s="561">
        <v>0</v>
      </c>
      <c r="I8491" s="561">
        <v>0</v>
      </c>
      <c r="J8491" s="561">
        <v>0</v>
      </c>
      <c r="K8491" s="561">
        <v>0</v>
      </c>
      <c r="L8491" s="561">
        <v>0</v>
      </c>
      <c r="M8491" s="561">
        <v>0</v>
      </c>
      <c r="N8491" s="561">
        <v>0</v>
      </c>
      <c r="O8491" s="561">
        <v>0</v>
      </c>
      <c r="P8491" s="561">
        <v>0</v>
      </c>
    </row>
    <row r="8492" spans="1:16">
      <c r="A8492" s="561">
        <v>23</v>
      </c>
      <c r="B8492" s="561" t="s">
        <v>2035</v>
      </c>
      <c r="C8492" s="561" t="s">
        <v>1196</v>
      </c>
      <c r="D8492" s="561">
        <v>3452.4</v>
      </c>
      <c r="E8492" s="561">
        <v>1290.8999999999999</v>
      </c>
      <c r="F8492" s="561">
        <v>0</v>
      </c>
      <c r="G8492" s="561">
        <v>2161.5</v>
      </c>
      <c r="H8492" s="561">
        <v>308</v>
      </c>
      <c r="I8492" s="561">
        <v>3504.4281700000001</v>
      </c>
      <c r="J8492" s="561">
        <v>3</v>
      </c>
      <c r="K8492" s="561">
        <v>52.030559999999696</v>
      </c>
      <c r="L8492" s="561">
        <v>305</v>
      </c>
      <c r="M8492" s="561">
        <v>3452.3976100000004</v>
      </c>
      <c r="N8492" s="561">
        <v>3452.3976100000004</v>
      </c>
      <c r="O8492" s="561">
        <v>1290.9029666666702</v>
      </c>
      <c r="P8492" s="561">
        <v>2161.4946433333303</v>
      </c>
    </row>
    <row r="8493" spans="1:16">
      <c r="C8493" s="561" t="s">
        <v>1197</v>
      </c>
      <c r="G8493" s="561">
        <v>0</v>
      </c>
      <c r="H8493" s="561">
        <v>0</v>
      </c>
      <c r="I8493" s="561">
        <v>0</v>
      </c>
      <c r="J8493" s="561">
        <v>0</v>
      </c>
      <c r="K8493" s="561">
        <v>0</v>
      </c>
      <c r="L8493" s="561">
        <v>0</v>
      </c>
      <c r="M8493" s="561">
        <v>0</v>
      </c>
      <c r="N8493" s="561">
        <v>0</v>
      </c>
      <c r="O8493" s="561">
        <v>0</v>
      </c>
      <c r="P8493" s="561">
        <v>0</v>
      </c>
    </row>
    <row r="8494" spans="1:16">
      <c r="C8494" s="561" t="s">
        <v>1198</v>
      </c>
      <c r="G8494" s="561">
        <v>0</v>
      </c>
      <c r="H8494" s="561">
        <v>0</v>
      </c>
      <c r="I8494" s="561">
        <v>0</v>
      </c>
      <c r="J8494" s="561">
        <v>0</v>
      </c>
      <c r="K8494" s="561">
        <v>0</v>
      </c>
      <c r="L8494" s="561">
        <v>0</v>
      </c>
      <c r="M8494" s="561">
        <v>0</v>
      </c>
      <c r="N8494" s="561">
        <v>0</v>
      </c>
      <c r="O8494" s="561">
        <v>0</v>
      </c>
      <c r="P8494" s="561">
        <v>0</v>
      </c>
    </row>
    <row r="8495" spans="1:16">
      <c r="C8495" s="561" t="s">
        <v>1199</v>
      </c>
      <c r="D8495" s="561">
        <v>3452.4</v>
      </c>
      <c r="E8495" s="561">
        <v>1290.8999999999999</v>
      </c>
      <c r="G8495" s="561">
        <v>2161.5</v>
      </c>
      <c r="H8495" s="561">
        <v>308</v>
      </c>
      <c r="I8495" s="561">
        <v>3504.4281700000001</v>
      </c>
      <c r="J8495" s="561">
        <v>3</v>
      </c>
      <c r="K8495" s="561">
        <v>52.030559999999696</v>
      </c>
      <c r="L8495" s="561">
        <v>305</v>
      </c>
      <c r="M8495" s="561">
        <v>3452.3976100000004</v>
      </c>
      <c r="N8495" s="561">
        <v>3452.3976100000004</v>
      </c>
      <c r="O8495" s="561">
        <v>1290.9029666666702</v>
      </c>
      <c r="P8495" s="561">
        <v>2161.4946433333303</v>
      </c>
    </row>
    <row r="8496" spans="1:16">
      <c r="C8496" s="561" t="s">
        <v>1200</v>
      </c>
      <c r="G8496" s="561">
        <v>0</v>
      </c>
      <c r="H8496" s="561">
        <v>0</v>
      </c>
      <c r="I8496" s="561">
        <v>0</v>
      </c>
      <c r="J8496" s="561">
        <v>0</v>
      </c>
      <c r="K8496" s="561">
        <v>0</v>
      </c>
      <c r="L8496" s="561">
        <v>0</v>
      </c>
      <c r="M8496" s="561">
        <v>0</v>
      </c>
      <c r="N8496" s="561">
        <v>0</v>
      </c>
      <c r="O8496" s="561">
        <v>0</v>
      </c>
      <c r="P8496" s="561">
        <v>0</v>
      </c>
    </row>
    <row r="8497" spans="1:16">
      <c r="A8497" s="561">
        <v>24</v>
      </c>
      <c r="B8497" s="561" t="s">
        <v>2036</v>
      </c>
      <c r="C8497" s="561" t="s">
        <v>1196</v>
      </c>
      <c r="D8497" s="561">
        <v>32440</v>
      </c>
      <c r="E8497" s="561">
        <v>9732</v>
      </c>
      <c r="F8497" s="561">
        <v>0</v>
      </c>
      <c r="G8497" s="561">
        <v>22708</v>
      </c>
      <c r="H8497" s="561">
        <v>2097</v>
      </c>
      <c r="I8497" s="561">
        <v>33176.137599999995</v>
      </c>
      <c r="J8497" s="561">
        <v>6</v>
      </c>
      <c r="K8497" s="561">
        <v>736.29747999999381</v>
      </c>
      <c r="L8497" s="561">
        <v>2091</v>
      </c>
      <c r="M8497" s="561">
        <v>32439.840120000001</v>
      </c>
      <c r="N8497" s="561">
        <v>32439.840120000001</v>
      </c>
      <c r="O8497" s="561">
        <v>9732</v>
      </c>
      <c r="P8497" s="561">
        <v>22707.840120000001</v>
      </c>
    </row>
    <row r="8498" spans="1:16">
      <c r="C8498" s="561" t="s">
        <v>1197</v>
      </c>
      <c r="G8498" s="561">
        <v>0</v>
      </c>
      <c r="H8498" s="561">
        <v>0</v>
      </c>
      <c r="I8498" s="561">
        <v>0</v>
      </c>
      <c r="J8498" s="561">
        <v>0</v>
      </c>
      <c r="K8498" s="561">
        <v>0</v>
      </c>
      <c r="L8498" s="561">
        <v>0</v>
      </c>
      <c r="M8498" s="561">
        <v>0</v>
      </c>
      <c r="N8498" s="561">
        <v>0</v>
      </c>
      <c r="O8498" s="561">
        <v>0</v>
      </c>
      <c r="P8498" s="561">
        <v>0</v>
      </c>
    </row>
    <row r="8499" spans="1:16">
      <c r="C8499" s="561" t="s">
        <v>1198</v>
      </c>
      <c r="G8499" s="561">
        <v>0</v>
      </c>
      <c r="H8499" s="561">
        <v>0</v>
      </c>
      <c r="I8499" s="561">
        <v>0</v>
      </c>
      <c r="J8499" s="561">
        <v>0</v>
      </c>
      <c r="K8499" s="561">
        <v>0</v>
      </c>
      <c r="L8499" s="561">
        <v>0</v>
      </c>
      <c r="M8499" s="561">
        <v>0</v>
      </c>
      <c r="N8499" s="561">
        <v>0</v>
      </c>
      <c r="O8499" s="561">
        <v>0</v>
      </c>
      <c r="P8499" s="561">
        <v>0</v>
      </c>
    </row>
    <row r="8500" spans="1:16">
      <c r="C8500" s="561" t="s">
        <v>1199</v>
      </c>
      <c r="D8500" s="561">
        <v>32440</v>
      </c>
      <c r="E8500" s="561">
        <v>9732</v>
      </c>
      <c r="G8500" s="561">
        <v>22708</v>
      </c>
      <c r="H8500" s="561">
        <v>2097</v>
      </c>
      <c r="I8500" s="561">
        <v>33176.137599999995</v>
      </c>
      <c r="J8500" s="561">
        <v>6</v>
      </c>
      <c r="K8500" s="561">
        <v>736.29747999999381</v>
      </c>
      <c r="L8500" s="561">
        <v>2091</v>
      </c>
      <c r="M8500" s="561">
        <v>32439.840120000001</v>
      </c>
      <c r="N8500" s="561">
        <v>32439.840120000001</v>
      </c>
      <c r="O8500" s="561">
        <v>9732</v>
      </c>
      <c r="P8500" s="561">
        <v>22707.840120000001</v>
      </c>
    </row>
    <row r="8501" spans="1:16">
      <c r="C8501" s="561" t="s">
        <v>1200</v>
      </c>
      <c r="G8501" s="561">
        <v>0</v>
      </c>
      <c r="H8501" s="561">
        <v>0</v>
      </c>
      <c r="I8501" s="561">
        <v>0</v>
      </c>
      <c r="J8501" s="561">
        <v>0</v>
      </c>
      <c r="K8501" s="561">
        <v>0</v>
      </c>
      <c r="L8501" s="561">
        <v>0</v>
      </c>
      <c r="M8501" s="561">
        <v>0</v>
      </c>
      <c r="N8501" s="561">
        <v>0</v>
      </c>
      <c r="O8501" s="561">
        <v>0</v>
      </c>
      <c r="P8501" s="561">
        <v>0</v>
      </c>
    </row>
    <row r="8502" spans="1:16">
      <c r="A8502" s="561">
        <v>25</v>
      </c>
      <c r="B8502" s="561" t="s">
        <v>1985</v>
      </c>
      <c r="C8502" s="561" t="s">
        <v>1196</v>
      </c>
      <c r="D8502" s="561">
        <v>60296</v>
      </c>
      <c r="E8502" s="561">
        <v>17788.8</v>
      </c>
      <c r="F8502" s="561">
        <v>0</v>
      </c>
      <c r="G8502" s="561">
        <v>42507.199999999997</v>
      </c>
      <c r="H8502" s="561">
        <v>3984</v>
      </c>
      <c r="I8502" s="561">
        <v>61131.623309999995</v>
      </c>
      <c r="J8502" s="561">
        <v>22</v>
      </c>
      <c r="K8502" s="561">
        <v>835.74776999999449</v>
      </c>
      <c r="L8502" s="561">
        <v>3962</v>
      </c>
      <c r="M8502" s="561">
        <v>60295.875540000001</v>
      </c>
      <c r="N8502" s="561">
        <v>60295.875540000001</v>
      </c>
      <c r="O8502" s="561">
        <v>17788.8</v>
      </c>
      <c r="P8502" s="561">
        <v>42507.075540000005</v>
      </c>
    </row>
    <row r="8503" spans="1:16">
      <c r="C8503" s="561" t="s">
        <v>1197</v>
      </c>
      <c r="G8503" s="561">
        <v>0</v>
      </c>
      <c r="H8503" s="561">
        <v>0</v>
      </c>
      <c r="I8503" s="561">
        <v>0</v>
      </c>
      <c r="J8503" s="561">
        <v>0</v>
      </c>
      <c r="K8503" s="561">
        <v>0</v>
      </c>
      <c r="L8503" s="561">
        <v>0</v>
      </c>
      <c r="M8503" s="561">
        <v>0</v>
      </c>
      <c r="N8503" s="561">
        <v>0</v>
      </c>
      <c r="O8503" s="561">
        <v>0</v>
      </c>
      <c r="P8503" s="561">
        <v>0</v>
      </c>
    </row>
    <row r="8504" spans="1:16">
      <c r="C8504" s="561" t="s">
        <v>1198</v>
      </c>
      <c r="G8504" s="561">
        <v>0</v>
      </c>
      <c r="H8504" s="561">
        <v>0</v>
      </c>
      <c r="I8504" s="561">
        <v>0</v>
      </c>
      <c r="J8504" s="561">
        <v>0</v>
      </c>
      <c r="K8504" s="561">
        <v>0</v>
      </c>
      <c r="L8504" s="561">
        <v>0</v>
      </c>
      <c r="M8504" s="561">
        <v>0</v>
      </c>
      <c r="N8504" s="561">
        <v>0</v>
      </c>
      <c r="O8504" s="561">
        <v>0</v>
      </c>
      <c r="P8504" s="561">
        <v>0</v>
      </c>
    </row>
    <row r="8505" spans="1:16">
      <c r="C8505" s="561" t="s">
        <v>1199</v>
      </c>
      <c r="D8505" s="561">
        <v>60296</v>
      </c>
      <c r="E8505" s="561">
        <v>17788.8</v>
      </c>
      <c r="G8505" s="561">
        <v>42507.199999999997</v>
      </c>
      <c r="H8505" s="561">
        <v>3984</v>
      </c>
      <c r="I8505" s="561">
        <v>61131.623309999995</v>
      </c>
      <c r="J8505" s="561">
        <v>22</v>
      </c>
      <c r="K8505" s="561">
        <v>835.74776999999449</v>
      </c>
      <c r="L8505" s="561">
        <v>3962</v>
      </c>
      <c r="M8505" s="561">
        <v>60295.875540000001</v>
      </c>
      <c r="N8505" s="561">
        <v>60295.875540000001</v>
      </c>
      <c r="O8505" s="561">
        <v>17788.8</v>
      </c>
      <c r="P8505" s="561">
        <v>42507.075540000005</v>
      </c>
    </row>
    <row r="8506" spans="1:16">
      <c r="C8506" s="561" t="s">
        <v>1200</v>
      </c>
      <c r="G8506" s="561">
        <v>0</v>
      </c>
      <c r="H8506" s="561">
        <v>0</v>
      </c>
      <c r="I8506" s="561">
        <v>0</v>
      </c>
      <c r="J8506" s="561">
        <v>0</v>
      </c>
      <c r="K8506" s="561">
        <v>0</v>
      </c>
      <c r="L8506" s="561">
        <v>0</v>
      </c>
      <c r="M8506" s="561">
        <v>0</v>
      </c>
      <c r="N8506" s="561">
        <v>0</v>
      </c>
      <c r="O8506" s="561">
        <v>0</v>
      </c>
      <c r="P8506" s="561">
        <v>0</v>
      </c>
    </row>
    <row r="8507" spans="1:16">
      <c r="A8507" s="561">
        <v>26</v>
      </c>
      <c r="B8507" s="561" t="s">
        <v>2037</v>
      </c>
      <c r="C8507" s="561" t="s">
        <v>1196</v>
      </c>
      <c r="D8507" s="561">
        <v>32969</v>
      </c>
      <c r="E8507" s="561">
        <v>12818.1</v>
      </c>
      <c r="F8507" s="561">
        <v>0</v>
      </c>
      <c r="G8507" s="561">
        <v>20150.900000000001</v>
      </c>
      <c r="H8507" s="561">
        <v>3058</v>
      </c>
      <c r="I8507" s="561">
        <v>33720.080750000001</v>
      </c>
      <c r="J8507" s="561">
        <v>46</v>
      </c>
      <c r="K8507" s="561">
        <v>751.38504000000103</v>
      </c>
      <c r="L8507" s="561">
        <v>3012</v>
      </c>
      <c r="M8507" s="561">
        <v>32968.69571</v>
      </c>
      <c r="N8507" s="561">
        <v>32968.69571</v>
      </c>
      <c r="O8507" s="561">
        <v>12818.1</v>
      </c>
      <c r="P8507" s="561">
        <v>20150.595710000001</v>
      </c>
    </row>
    <row r="8508" spans="1:16">
      <c r="C8508" s="561" t="s">
        <v>1197</v>
      </c>
      <c r="G8508" s="561">
        <v>0</v>
      </c>
      <c r="H8508" s="561">
        <v>0</v>
      </c>
      <c r="I8508" s="561">
        <v>0</v>
      </c>
      <c r="J8508" s="561">
        <v>0</v>
      </c>
      <c r="K8508" s="561">
        <v>0</v>
      </c>
      <c r="L8508" s="561">
        <v>0</v>
      </c>
      <c r="M8508" s="561">
        <v>0</v>
      </c>
      <c r="N8508" s="561">
        <v>0</v>
      </c>
      <c r="O8508" s="561">
        <v>0</v>
      </c>
      <c r="P8508" s="561">
        <v>0</v>
      </c>
    </row>
    <row r="8509" spans="1:16">
      <c r="C8509" s="561" t="s">
        <v>1198</v>
      </c>
      <c r="G8509" s="561">
        <v>0</v>
      </c>
      <c r="H8509" s="561">
        <v>0</v>
      </c>
      <c r="I8509" s="561">
        <v>0</v>
      </c>
      <c r="J8509" s="561">
        <v>0</v>
      </c>
      <c r="K8509" s="561">
        <v>0</v>
      </c>
      <c r="L8509" s="561">
        <v>0</v>
      </c>
      <c r="M8509" s="561">
        <v>0</v>
      </c>
      <c r="N8509" s="561">
        <v>0</v>
      </c>
      <c r="O8509" s="561">
        <v>0</v>
      </c>
      <c r="P8509" s="561">
        <v>0</v>
      </c>
    </row>
    <row r="8510" spans="1:16">
      <c r="C8510" s="561" t="s">
        <v>1199</v>
      </c>
      <c r="D8510" s="561">
        <v>32969</v>
      </c>
      <c r="E8510" s="561">
        <v>12818.1</v>
      </c>
      <c r="G8510" s="561">
        <v>20150.900000000001</v>
      </c>
      <c r="H8510" s="561">
        <v>3058</v>
      </c>
      <c r="I8510" s="561">
        <v>33720.080750000001</v>
      </c>
      <c r="J8510" s="561">
        <v>46</v>
      </c>
      <c r="K8510" s="561">
        <v>751.38504000000103</v>
      </c>
      <c r="L8510" s="561">
        <v>3012</v>
      </c>
      <c r="M8510" s="561">
        <v>32968.69571</v>
      </c>
      <c r="N8510" s="561">
        <v>32968.69571</v>
      </c>
      <c r="O8510" s="561">
        <v>12818.1</v>
      </c>
      <c r="P8510" s="561">
        <v>20150.595710000001</v>
      </c>
    </row>
    <row r="8511" spans="1:16">
      <c r="C8511" s="561" t="s">
        <v>1200</v>
      </c>
      <c r="G8511" s="561">
        <v>0</v>
      </c>
      <c r="H8511" s="561">
        <v>0</v>
      </c>
      <c r="I8511" s="561">
        <v>0</v>
      </c>
      <c r="J8511" s="561">
        <v>0</v>
      </c>
      <c r="K8511" s="561">
        <v>0</v>
      </c>
      <c r="L8511" s="561">
        <v>0</v>
      </c>
      <c r="M8511" s="561">
        <v>0</v>
      </c>
      <c r="N8511" s="561">
        <v>0</v>
      </c>
      <c r="O8511" s="561">
        <v>0</v>
      </c>
      <c r="P8511" s="561">
        <v>0</v>
      </c>
    </row>
    <row r="8512" spans="1:16">
      <c r="A8512" s="561">
        <v>27</v>
      </c>
      <c r="B8512" s="561" t="s">
        <v>2038</v>
      </c>
      <c r="C8512" s="561" t="s">
        <v>1196</v>
      </c>
      <c r="D8512" s="561">
        <v>26202</v>
      </c>
      <c r="E8512" s="561">
        <v>7860.5999999999995</v>
      </c>
      <c r="F8512" s="561">
        <v>0</v>
      </c>
      <c r="G8512" s="561">
        <v>18341.400000000001</v>
      </c>
      <c r="H8512" s="561">
        <v>1643</v>
      </c>
      <c r="I8512" s="561">
        <v>27290.68059</v>
      </c>
      <c r="J8512" s="561">
        <v>4</v>
      </c>
      <c r="K8512" s="561">
        <v>1088.6792400000086</v>
      </c>
      <c r="L8512" s="561">
        <v>1639</v>
      </c>
      <c r="M8512" s="561">
        <v>26202.001349999991</v>
      </c>
      <c r="N8512" s="561">
        <v>26202.001349999991</v>
      </c>
      <c r="O8512" s="561">
        <v>7860.5999999999985</v>
      </c>
      <c r="P8512" s="561">
        <v>18341.401349999993</v>
      </c>
    </row>
    <row r="8513" spans="1:16">
      <c r="C8513" s="561" t="s">
        <v>1197</v>
      </c>
      <c r="G8513" s="561">
        <v>0</v>
      </c>
      <c r="H8513" s="561">
        <v>0</v>
      </c>
      <c r="I8513" s="561">
        <v>0</v>
      </c>
      <c r="J8513" s="561">
        <v>0</v>
      </c>
      <c r="K8513" s="561">
        <v>0</v>
      </c>
      <c r="L8513" s="561">
        <v>0</v>
      </c>
      <c r="M8513" s="561">
        <v>0</v>
      </c>
      <c r="N8513" s="561">
        <v>0</v>
      </c>
      <c r="O8513" s="561">
        <v>0</v>
      </c>
      <c r="P8513" s="561">
        <v>0</v>
      </c>
    </row>
    <row r="8514" spans="1:16">
      <c r="C8514" s="561" t="s">
        <v>1198</v>
      </c>
      <c r="G8514" s="561">
        <v>0</v>
      </c>
      <c r="H8514" s="561">
        <v>0</v>
      </c>
      <c r="I8514" s="561">
        <v>0</v>
      </c>
      <c r="J8514" s="561">
        <v>0</v>
      </c>
      <c r="K8514" s="561">
        <v>0</v>
      </c>
      <c r="L8514" s="561">
        <v>0</v>
      </c>
      <c r="M8514" s="561">
        <v>0</v>
      </c>
      <c r="N8514" s="561">
        <v>0</v>
      </c>
      <c r="O8514" s="561">
        <v>0</v>
      </c>
      <c r="P8514" s="561">
        <v>0</v>
      </c>
    </row>
    <row r="8515" spans="1:16">
      <c r="C8515" s="561" t="s">
        <v>1199</v>
      </c>
      <c r="D8515" s="561">
        <v>26202</v>
      </c>
      <c r="E8515" s="561">
        <v>7860.5999999999995</v>
      </c>
      <c r="G8515" s="561">
        <v>18341.400000000001</v>
      </c>
      <c r="H8515" s="561">
        <v>1643</v>
      </c>
      <c r="I8515" s="561">
        <v>27290.68059</v>
      </c>
      <c r="J8515" s="561">
        <v>4</v>
      </c>
      <c r="K8515" s="561">
        <v>1088.6792400000086</v>
      </c>
      <c r="L8515" s="561">
        <v>1639</v>
      </c>
      <c r="M8515" s="561">
        <v>26202.001349999991</v>
      </c>
      <c r="N8515" s="561">
        <v>26202.001349999991</v>
      </c>
      <c r="O8515" s="561">
        <v>7860.5999999999985</v>
      </c>
      <c r="P8515" s="561">
        <v>18341.401349999993</v>
      </c>
    </row>
    <row r="8516" spans="1:16">
      <c r="C8516" s="561" t="s">
        <v>1200</v>
      </c>
      <c r="G8516" s="561">
        <v>0</v>
      </c>
      <c r="H8516" s="561">
        <v>0</v>
      </c>
      <c r="I8516" s="561">
        <v>0</v>
      </c>
      <c r="J8516" s="561">
        <v>0</v>
      </c>
      <c r="K8516" s="561">
        <v>0</v>
      </c>
      <c r="L8516" s="561">
        <v>0</v>
      </c>
      <c r="M8516" s="561">
        <v>0</v>
      </c>
      <c r="N8516" s="561">
        <v>0</v>
      </c>
      <c r="O8516" s="561">
        <v>0</v>
      </c>
      <c r="P8516" s="561">
        <v>0</v>
      </c>
    </row>
    <row r="8517" spans="1:16">
      <c r="A8517" s="561">
        <v>28</v>
      </c>
      <c r="B8517" s="561" t="s">
        <v>2039</v>
      </c>
      <c r="C8517" s="561" t="s">
        <v>1196</v>
      </c>
      <c r="D8517" s="561">
        <v>47153</v>
      </c>
      <c r="E8517" s="561">
        <v>11655.9</v>
      </c>
      <c r="F8517" s="561">
        <v>0</v>
      </c>
      <c r="G8517" s="561">
        <v>35497.1</v>
      </c>
      <c r="H8517" s="561">
        <v>2768</v>
      </c>
      <c r="I8517" s="561">
        <v>48502.497309999999</v>
      </c>
      <c r="J8517" s="561">
        <v>7</v>
      </c>
      <c r="K8517" s="561">
        <v>1349.4997499999954</v>
      </c>
      <c r="L8517" s="561">
        <v>2761</v>
      </c>
      <c r="M8517" s="561">
        <v>47152.997560000003</v>
      </c>
      <c r="N8517" s="561">
        <v>47152.997560000003</v>
      </c>
      <c r="O8517" s="561">
        <v>11655.900000000001</v>
      </c>
      <c r="P8517" s="561">
        <v>35497.097560000002</v>
      </c>
    </row>
    <row r="8518" spans="1:16">
      <c r="C8518" s="561" t="s">
        <v>1197</v>
      </c>
      <c r="G8518" s="561">
        <v>0</v>
      </c>
      <c r="H8518" s="561">
        <v>0</v>
      </c>
      <c r="I8518" s="561">
        <v>0</v>
      </c>
      <c r="J8518" s="561">
        <v>0</v>
      </c>
      <c r="K8518" s="561">
        <v>0</v>
      </c>
      <c r="L8518" s="561">
        <v>0</v>
      </c>
      <c r="M8518" s="561">
        <v>0</v>
      </c>
      <c r="N8518" s="561">
        <v>0</v>
      </c>
      <c r="O8518" s="561">
        <v>0</v>
      </c>
      <c r="P8518" s="561">
        <v>0</v>
      </c>
    </row>
    <row r="8519" spans="1:16">
      <c r="C8519" s="561" t="s">
        <v>1198</v>
      </c>
      <c r="G8519" s="561">
        <v>0</v>
      </c>
      <c r="H8519" s="561">
        <v>0</v>
      </c>
      <c r="I8519" s="561">
        <v>0</v>
      </c>
      <c r="J8519" s="561">
        <v>0</v>
      </c>
      <c r="K8519" s="561">
        <v>0</v>
      </c>
      <c r="L8519" s="561">
        <v>0</v>
      </c>
      <c r="M8519" s="561">
        <v>0</v>
      </c>
      <c r="N8519" s="561">
        <v>0</v>
      </c>
      <c r="O8519" s="561">
        <v>0</v>
      </c>
      <c r="P8519" s="561">
        <v>0</v>
      </c>
    </row>
    <row r="8520" spans="1:16">
      <c r="C8520" s="561" t="s">
        <v>1199</v>
      </c>
      <c r="D8520" s="561">
        <v>47153</v>
      </c>
      <c r="E8520" s="561">
        <v>11655.9</v>
      </c>
      <c r="G8520" s="561">
        <v>35497.1</v>
      </c>
      <c r="H8520" s="561">
        <v>2768</v>
      </c>
      <c r="I8520" s="561">
        <v>48502.497309999999</v>
      </c>
      <c r="J8520" s="561">
        <v>7</v>
      </c>
      <c r="K8520" s="561">
        <v>1349.4997499999954</v>
      </c>
      <c r="L8520" s="561">
        <v>2761</v>
      </c>
      <c r="M8520" s="561">
        <v>47152.997560000003</v>
      </c>
      <c r="N8520" s="561">
        <v>47152.997560000003</v>
      </c>
      <c r="O8520" s="561">
        <v>11655.900000000001</v>
      </c>
      <c r="P8520" s="561">
        <v>35497.097560000002</v>
      </c>
    </row>
    <row r="8521" spans="1:16">
      <c r="C8521" s="561" t="s">
        <v>1200</v>
      </c>
      <c r="G8521" s="561">
        <v>0</v>
      </c>
      <c r="H8521" s="561">
        <v>0</v>
      </c>
      <c r="I8521" s="561">
        <v>0</v>
      </c>
      <c r="J8521" s="561">
        <v>0</v>
      </c>
      <c r="K8521" s="561">
        <v>0</v>
      </c>
      <c r="L8521" s="561">
        <v>0</v>
      </c>
      <c r="M8521" s="561">
        <v>0</v>
      </c>
      <c r="N8521" s="561">
        <v>0</v>
      </c>
      <c r="O8521" s="561">
        <v>0</v>
      </c>
      <c r="P8521" s="561">
        <v>0</v>
      </c>
    </row>
    <row r="8522" spans="1:16">
      <c r="A8522" s="561">
        <v>29</v>
      </c>
      <c r="B8522" s="561" t="s">
        <v>2040</v>
      </c>
      <c r="C8522" s="561" t="s">
        <v>1196</v>
      </c>
      <c r="D8522" s="561">
        <v>4094</v>
      </c>
      <c r="E8522" s="561">
        <v>409.4</v>
      </c>
      <c r="F8522" s="561">
        <v>0</v>
      </c>
      <c r="G8522" s="561">
        <v>3684.6</v>
      </c>
      <c r="H8522" s="561">
        <v>284</v>
      </c>
      <c r="I8522" s="561">
        <v>4262.70633</v>
      </c>
      <c r="J8522" s="561">
        <v>1</v>
      </c>
      <c r="K8522" s="561">
        <v>168.70605000000069</v>
      </c>
      <c r="L8522" s="561">
        <v>283</v>
      </c>
      <c r="M8522" s="561">
        <v>4094.0002799999993</v>
      </c>
      <c r="N8522" s="561">
        <v>4094.0002799999993</v>
      </c>
      <c r="O8522" s="561">
        <v>409.40000222222221</v>
      </c>
      <c r="P8522" s="561">
        <v>3684.6002777777771</v>
      </c>
    </row>
    <row r="8523" spans="1:16">
      <c r="C8523" s="561" t="s">
        <v>1197</v>
      </c>
      <c r="G8523" s="561">
        <v>0</v>
      </c>
      <c r="H8523" s="561">
        <v>0</v>
      </c>
      <c r="I8523" s="561">
        <v>0</v>
      </c>
      <c r="J8523" s="561">
        <v>0</v>
      </c>
      <c r="K8523" s="561">
        <v>0</v>
      </c>
      <c r="L8523" s="561">
        <v>0</v>
      </c>
      <c r="M8523" s="561">
        <v>0</v>
      </c>
      <c r="N8523" s="561">
        <v>0</v>
      </c>
      <c r="O8523" s="561">
        <v>0</v>
      </c>
      <c r="P8523" s="561">
        <v>0</v>
      </c>
    </row>
    <row r="8524" spans="1:16">
      <c r="C8524" s="561" t="s">
        <v>1198</v>
      </c>
      <c r="G8524" s="561">
        <v>0</v>
      </c>
      <c r="H8524" s="561">
        <v>0</v>
      </c>
      <c r="I8524" s="561">
        <v>0</v>
      </c>
      <c r="J8524" s="561">
        <v>0</v>
      </c>
      <c r="K8524" s="561">
        <v>0</v>
      </c>
      <c r="L8524" s="561">
        <v>0</v>
      </c>
      <c r="M8524" s="561">
        <v>0</v>
      </c>
      <c r="N8524" s="561">
        <v>0</v>
      </c>
      <c r="O8524" s="561">
        <v>0</v>
      </c>
      <c r="P8524" s="561">
        <v>0</v>
      </c>
    </row>
    <row r="8525" spans="1:16">
      <c r="C8525" s="561" t="s">
        <v>1199</v>
      </c>
      <c r="D8525" s="561">
        <v>4094</v>
      </c>
      <c r="E8525" s="561">
        <v>409.4</v>
      </c>
      <c r="G8525" s="561">
        <v>3684.6</v>
      </c>
      <c r="H8525" s="561">
        <v>284</v>
      </c>
      <c r="I8525" s="561">
        <v>4262.70633</v>
      </c>
      <c r="J8525" s="561">
        <v>1</v>
      </c>
      <c r="K8525" s="561">
        <v>168.70605000000069</v>
      </c>
      <c r="L8525" s="561">
        <v>283</v>
      </c>
      <c r="M8525" s="561">
        <v>4094.0002799999993</v>
      </c>
      <c r="N8525" s="561">
        <v>4094.0002799999993</v>
      </c>
      <c r="O8525" s="561">
        <v>409.40000222222221</v>
      </c>
      <c r="P8525" s="561">
        <v>3684.6002777777771</v>
      </c>
    </row>
    <row r="8526" spans="1:16">
      <c r="C8526" s="561" t="s">
        <v>1200</v>
      </c>
      <c r="G8526" s="561">
        <v>0</v>
      </c>
      <c r="H8526" s="561">
        <v>0</v>
      </c>
      <c r="I8526" s="561">
        <v>0</v>
      </c>
      <c r="J8526" s="561">
        <v>0</v>
      </c>
      <c r="K8526" s="561">
        <v>0</v>
      </c>
      <c r="L8526" s="561">
        <v>0</v>
      </c>
      <c r="M8526" s="561">
        <v>0</v>
      </c>
      <c r="N8526" s="561">
        <v>0</v>
      </c>
      <c r="O8526" s="561">
        <v>0</v>
      </c>
      <c r="P8526" s="561">
        <v>0</v>
      </c>
    </row>
    <row r="8527" spans="1:16">
      <c r="A8527" s="561">
        <v>30</v>
      </c>
      <c r="B8527" s="561" t="s">
        <v>2041</v>
      </c>
      <c r="C8527" s="561" t="s">
        <v>1196</v>
      </c>
      <c r="D8527" s="561">
        <v>6857</v>
      </c>
      <c r="E8527" s="561">
        <v>2147.1</v>
      </c>
      <c r="F8527" s="561">
        <v>0</v>
      </c>
      <c r="G8527" s="561">
        <v>4709.8999999999996</v>
      </c>
      <c r="H8527" s="561">
        <v>577</v>
      </c>
      <c r="I8527" s="561">
        <v>8244.6803090000012</v>
      </c>
      <c r="J8527" s="561">
        <v>4</v>
      </c>
      <c r="K8527" s="561">
        <v>1387.6755490000014</v>
      </c>
      <c r="L8527" s="561">
        <v>573</v>
      </c>
      <c r="M8527" s="561">
        <v>6857.0047599999998</v>
      </c>
      <c r="N8527" s="561">
        <v>6857.0047599999998</v>
      </c>
      <c r="O8527" s="561">
        <v>2147.1</v>
      </c>
      <c r="P8527" s="561">
        <v>4709.9047599999994</v>
      </c>
    </row>
    <row r="8528" spans="1:16">
      <c r="C8528" s="561" t="s">
        <v>1197</v>
      </c>
      <c r="G8528" s="561">
        <v>0</v>
      </c>
      <c r="H8528" s="561">
        <v>0</v>
      </c>
      <c r="I8528" s="561">
        <v>0</v>
      </c>
      <c r="J8528" s="561">
        <v>0</v>
      </c>
      <c r="K8528" s="561">
        <v>0</v>
      </c>
      <c r="L8528" s="561">
        <v>0</v>
      </c>
      <c r="M8528" s="561">
        <v>0</v>
      </c>
      <c r="N8528" s="561">
        <v>0</v>
      </c>
      <c r="O8528" s="561">
        <v>0</v>
      </c>
      <c r="P8528" s="561">
        <v>0</v>
      </c>
    </row>
    <row r="8529" spans="1:16">
      <c r="C8529" s="561" t="s">
        <v>1198</v>
      </c>
      <c r="G8529" s="561">
        <v>0</v>
      </c>
      <c r="H8529" s="561">
        <v>0</v>
      </c>
      <c r="I8529" s="561">
        <v>0</v>
      </c>
      <c r="J8529" s="561">
        <v>0</v>
      </c>
      <c r="K8529" s="561">
        <v>0</v>
      </c>
      <c r="L8529" s="561">
        <v>0</v>
      </c>
      <c r="M8529" s="561">
        <v>0</v>
      </c>
      <c r="N8529" s="561">
        <v>0</v>
      </c>
      <c r="O8529" s="561">
        <v>0</v>
      </c>
      <c r="P8529" s="561">
        <v>0</v>
      </c>
    </row>
    <row r="8530" spans="1:16">
      <c r="C8530" s="561" t="s">
        <v>1199</v>
      </c>
      <c r="D8530" s="561">
        <v>6857</v>
      </c>
      <c r="E8530" s="561">
        <v>2147.1</v>
      </c>
      <c r="G8530" s="561">
        <v>4709.8999999999996</v>
      </c>
      <c r="H8530" s="561">
        <v>577</v>
      </c>
      <c r="I8530" s="561">
        <v>8244.6803090000012</v>
      </c>
      <c r="J8530" s="561">
        <v>4</v>
      </c>
      <c r="K8530" s="561">
        <v>1387.6755490000014</v>
      </c>
      <c r="L8530" s="561">
        <v>573</v>
      </c>
      <c r="M8530" s="561">
        <v>6857.0047599999998</v>
      </c>
      <c r="N8530" s="561">
        <v>6857.0047599999998</v>
      </c>
      <c r="O8530" s="561">
        <v>2147.1</v>
      </c>
      <c r="P8530" s="561">
        <v>4709.9047599999994</v>
      </c>
    </row>
    <row r="8531" spans="1:16">
      <c r="C8531" s="561" t="s">
        <v>1200</v>
      </c>
      <c r="G8531" s="561">
        <v>0</v>
      </c>
      <c r="H8531" s="561">
        <v>0</v>
      </c>
      <c r="I8531" s="561">
        <v>0</v>
      </c>
      <c r="J8531" s="561">
        <v>0</v>
      </c>
      <c r="K8531" s="561">
        <v>0</v>
      </c>
      <c r="L8531" s="561">
        <v>0</v>
      </c>
      <c r="M8531" s="561">
        <v>0</v>
      </c>
      <c r="N8531" s="561">
        <v>0</v>
      </c>
      <c r="O8531" s="561">
        <v>0</v>
      </c>
      <c r="P8531" s="561">
        <v>0</v>
      </c>
    </row>
    <row r="8532" spans="1:16">
      <c r="A8532" s="561">
        <v>31</v>
      </c>
      <c r="B8532" s="561" t="s">
        <v>2042</v>
      </c>
      <c r="C8532" s="561" t="s">
        <v>1196</v>
      </c>
      <c r="D8532" s="561">
        <v>4310</v>
      </c>
      <c r="E8532" s="561">
        <v>862</v>
      </c>
      <c r="F8532" s="561">
        <v>0</v>
      </c>
      <c r="G8532" s="561">
        <v>3448</v>
      </c>
      <c r="H8532" s="561">
        <v>306</v>
      </c>
      <c r="I8532" s="561">
        <v>4537.3098999999984</v>
      </c>
      <c r="J8532" s="561">
        <v>8</v>
      </c>
      <c r="K8532" s="561">
        <v>227.31198999999924</v>
      </c>
      <c r="L8532" s="561">
        <v>298</v>
      </c>
      <c r="M8532" s="561">
        <v>4309.9979099999991</v>
      </c>
      <c r="N8532" s="561">
        <v>4309.9979099999991</v>
      </c>
      <c r="O8532" s="561">
        <v>862</v>
      </c>
      <c r="P8532" s="561">
        <v>3447.9979099999991</v>
      </c>
    </row>
    <row r="8533" spans="1:16">
      <c r="C8533" s="561" t="s">
        <v>1197</v>
      </c>
      <c r="G8533" s="561">
        <v>0</v>
      </c>
      <c r="H8533" s="561">
        <v>0</v>
      </c>
      <c r="I8533" s="561">
        <v>0</v>
      </c>
      <c r="J8533" s="561">
        <v>0</v>
      </c>
      <c r="K8533" s="561">
        <v>0</v>
      </c>
      <c r="L8533" s="561">
        <v>0</v>
      </c>
      <c r="M8533" s="561">
        <v>0</v>
      </c>
      <c r="N8533" s="561">
        <v>0</v>
      </c>
      <c r="O8533" s="561">
        <v>0</v>
      </c>
      <c r="P8533" s="561">
        <v>0</v>
      </c>
    </row>
    <row r="8534" spans="1:16">
      <c r="C8534" s="561" t="s">
        <v>1198</v>
      </c>
      <c r="G8534" s="561">
        <v>0</v>
      </c>
      <c r="H8534" s="561">
        <v>0</v>
      </c>
      <c r="I8534" s="561">
        <v>0</v>
      </c>
      <c r="J8534" s="561">
        <v>0</v>
      </c>
      <c r="K8534" s="561">
        <v>0</v>
      </c>
      <c r="L8534" s="561">
        <v>0</v>
      </c>
      <c r="M8534" s="561">
        <v>0</v>
      </c>
      <c r="N8534" s="561">
        <v>0</v>
      </c>
      <c r="O8534" s="561">
        <v>0</v>
      </c>
      <c r="P8534" s="561">
        <v>0</v>
      </c>
    </row>
    <row r="8535" spans="1:16">
      <c r="C8535" s="561" t="s">
        <v>1199</v>
      </c>
      <c r="D8535" s="561">
        <v>4310</v>
      </c>
      <c r="E8535" s="561">
        <v>862</v>
      </c>
      <c r="G8535" s="561">
        <v>3448</v>
      </c>
      <c r="H8535" s="561">
        <v>306</v>
      </c>
      <c r="I8535" s="561">
        <v>4537.3098999999984</v>
      </c>
      <c r="J8535" s="561">
        <v>8</v>
      </c>
      <c r="K8535" s="561">
        <v>227.31198999999924</v>
      </c>
      <c r="L8535" s="561">
        <v>298</v>
      </c>
      <c r="M8535" s="561">
        <v>4309.9979099999991</v>
      </c>
      <c r="N8535" s="561">
        <v>4309.9979099999991</v>
      </c>
      <c r="O8535" s="561">
        <v>862</v>
      </c>
      <c r="P8535" s="561">
        <v>3447.9979099999991</v>
      </c>
    </row>
    <row r="8536" spans="1:16">
      <c r="C8536" s="561" t="s">
        <v>1200</v>
      </c>
      <c r="G8536" s="561">
        <v>0</v>
      </c>
      <c r="H8536" s="561">
        <v>0</v>
      </c>
      <c r="I8536" s="561">
        <v>0</v>
      </c>
      <c r="J8536" s="561">
        <v>0</v>
      </c>
      <c r="K8536" s="561">
        <v>0</v>
      </c>
      <c r="L8536" s="561">
        <v>0</v>
      </c>
      <c r="M8536" s="561">
        <v>0</v>
      </c>
      <c r="N8536" s="561">
        <v>0</v>
      </c>
      <c r="O8536" s="561">
        <v>0</v>
      </c>
      <c r="P8536" s="561">
        <v>0</v>
      </c>
    </row>
    <row r="8537" spans="1:16">
      <c r="A8537" s="561">
        <v>32</v>
      </c>
      <c r="B8537" s="561" t="s">
        <v>2043</v>
      </c>
      <c r="C8537" s="561" t="s">
        <v>1196</v>
      </c>
      <c r="D8537" s="561">
        <v>286796.59999999998</v>
      </c>
      <c r="E8537" s="561">
        <v>89099.7</v>
      </c>
      <c r="F8537" s="561">
        <v>0</v>
      </c>
      <c r="G8537" s="561">
        <v>197696.89999999997</v>
      </c>
      <c r="H8537" s="561">
        <v>1067</v>
      </c>
      <c r="I8537" s="561">
        <v>287779.29139999999</v>
      </c>
      <c r="J8537" s="561">
        <v>0</v>
      </c>
      <c r="K8537" s="561">
        <v>982.69300000002841</v>
      </c>
      <c r="L8537" s="561">
        <v>1067</v>
      </c>
      <c r="M8537" s="561">
        <v>286796.59839999996</v>
      </c>
      <c r="N8537" s="561">
        <v>286796.59839999996</v>
      </c>
      <c r="O8537" s="561">
        <v>89099.700000000012</v>
      </c>
      <c r="P8537" s="561">
        <v>197696.89839999995</v>
      </c>
    </row>
    <row r="8538" spans="1:16">
      <c r="C8538" s="561" t="s">
        <v>1197</v>
      </c>
      <c r="G8538" s="561">
        <v>0</v>
      </c>
      <c r="H8538" s="561">
        <v>0</v>
      </c>
      <c r="I8538" s="561">
        <v>0</v>
      </c>
      <c r="J8538" s="561">
        <v>0</v>
      </c>
      <c r="K8538" s="561">
        <v>0</v>
      </c>
      <c r="L8538" s="561">
        <v>0</v>
      </c>
      <c r="M8538" s="561">
        <v>0</v>
      </c>
      <c r="N8538" s="561">
        <v>0</v>
      </c>
      <c r="O8538" s="561">
        <v>0</v>
      </c>
      <c r="P8538" s="561">
        <v>0</v>
      </c>
    </row>
    <row r="8539" spans="1:16">
      <c r="C8539" s="561" t="s">
        <v>1198</v>
      </c>
      <c r="G8539" s="561">
        <v>0</v>
      </c>
      <c r="H8539" s="561">
        <v>0</v>
      </c>
      <c r="I8539" s="561">
        <v>0</v>
      </c>
      <c r="J8539" s="561">
        <v>0</v>
      </c>
      <c r="K8539" s="561">
        <v>0</v>
      </c>
      <c r="L8539" s="561">
        <v>0</v>
      </c>
      <c r="M8539" s="561">
        <v>0</v>
      </c>
      <c r="N8539" s="561">
        <v>0</v>
      </c>
      <c r="O8539" s="561">
        <v>0</v>
      </c>
      <c r="P8539" s="561">
        <v>0</v>
      </c>
    </row>
    <row r="8540" spans="1:16">
      <c r="C8540" s="561" t="s">
        <v>1199</v>
      </c>
      <c r="D8540" s="561">
        <v>286796.59999999998</v>
      </c>
      <c r="E8540" s="561">
        <v>89099.7</v>
      </c>
      <c r="G8540" s="561">
        <v>197696.89999999997</v>
      </c>
      <c r="H8540" s="561">
        <v>1067</v>
      </c>
      <c r="I8540" s="561">
        <v>287779.29139999999</v>
      </c>
      <c r="J8540" s="561">
        <v>0</v>
      </c>
      <c r="K8540" s="561">
        <v>982.69300000002841</v>
      </c>
      <c r="L8540" s="561">
        <v>1067</v>
      </c>
      <c r="M8540" s="561">
        <v>286796.59839999996</v>
      </c>
      <c r="N8540" s="561">
        <v>286796.59839999996</v>
      </c>
      <c r="O8540" s="561">
        <v>89099.700000000012</v>
      </c>
      <c r="P8540" s="561">
        <v>197696.89839999995</v>
      </c>
    </row>
    <row r="8541" spans="1:16">
      <c r="C8541" s="561" t="s">
        <v>1200</v>
      </c>
      <c r="G8541" s="561">
        <v>0</v>
      </c>
      <c r="H8541" s="561">
        <v>0</v>
      </c>
      <c r="I8541" s="561">
        <v>0</v>
      </c>
      <c r="J8541" s="561">
        <v>0</v>
      </c>
      <c r="K8541" s="561">
        <v>0</v>
      </c>
      <c r="L8541" s="561">
        <v>0</v>
      </c>
      <c r="M8541" s="561">
        <v>0</v>
      </c>
      <c r="N8541" s="561">
        <v>0</v>
      </c>
      <c r="O8541" s="561">
        <v>0</v>
      </c>
      <c r="P8541" s="561">
        <v>0</v>
      </c>
    </row>
    <row r="8542" spans="1:16">
      <c r="A8542" s="561">
        <v>33</v>
      </c>
      <c r="B8542" s="561" t="s">
        <v>2044</v>
      </c>
      <c r="C8542" s="561" t="s">
        <v>1196</v>
      </c>
      <c r="D8542" s="561">
        <v>20987</v>
      </c>
      <c r="E8542" s="561">
        <v>6296.0999999999995</v>
      </c>
      <c r="F8542" s="561">
        <v>0</v>
      </c>
      <c r="G8542" s="561">
        <v>14690.900000000001</v>
      </c>
      <c r="H8542" s="561">
        <v>1200</v>
      </c>
      <c r="I8542" s="561">
        <v>21416.686339999997</v>
      </c>
      <c r="J8542" s="561">
        <v>0</v>
      </c>
      <c r="K8542" s="561">
        <v>432.54478999999628</v>
      </c>
      <c r="L8542" s="561">
        <v>1200</v>
      </c>
      <c r="M8542" s="561">
        <v>20984.14155</v>
      </c>
      <c r="N8542" s="561">
        <v>20984.14155</v>
      </c>
      <c r="O8542" s="561">
        <v>6296.0999999999995</v>
      </c>
      <c r="P8542" s="561">
        <v>14688.041550000002</v>
      </c>
    </row>
    <row r="8543" spans="1:16">
      <c r="C8543" s="561" t="s">
        <v>1197</v>
      </c>
      <c r="G8543" s="561">
        <v>0</v>
      </c>
      <c r="H8543" s="561">
        <v>0</v>
      </c>
      <c r="I8543" s="561">
        <v>0</v>
      </c>
      <c r="J8543" s="561">
        <v>0</v>
      </c>
      <c r="K8543" s="561">
        <v>0</v>
      </c>
      <c r="L8543" s="561">
        <v>0</v>
      </c>
      <c r="M8543" s="561">
        <v>0</v>
      </c>
      <c r="N8543" s="561">
        <v>0</v>
      </c>
      <c r="O8543" s="561">
        <v>0</v>
      </c>
      <c r="P8543" s="561">
        <v>0</v>
      </c>
    </row>
    <row r="8544" spans="1:16">
      <c r="C8544" s="561" t="s">
        <v>1198</v>
      </c>
      <c r="G8544" s="561">
        <v>0</v>
      </c>
      <c r="H8544" s="561">
        <v>0</v>
      </c>
      <c r="I8544" s="561">
        <v>0</v>
      </c>
      <c r="J8544" s="561">
        <v>0</v>
      </c>
      <c r="K8544" s="561">
        <v>0</v>
      </c>
      <c r="L8544" s="561">
        <v>0</v>
      </c>
      <c r="M8544" s="561">
        <v>0</v>
      </c>
      <c r="N8544" s="561">
        <v>0</v>
      </c>
      <c r="O8544" s="561">
        <v>0</v>
      </c>
      <c r="P8544" s="561">
        <v>0</v>
      </c>
    </row>
    <row r="8545" spans="1:111">
      <c r="C8545" s="561" t="s">
        <v>1199</v>
      </c>
      <c r="D8545" s="561">
        <v>20987</v>
      </c>
      <c r="E8545" s="561">
        <v>6296.0999999999995</v>
      </c>
      <c r="G8545" s="561">
        <v>14690.900000000001</v>
      </c>
      <c r="H8545" s="561">
        <v>1200</v>
      </c>
      <c r="I8545" s="561">
        <v>21416.686339999997</v>
      </c>
      <c r="J8545" s="561">
        <v>0</v>
      </c>
      <c r="K8545" s="561">
        <v>432.54478999999628</v>
      </c>
      <c r="L8545" s="561">
        <v>1200</v>
      </c>
      <c r="M8545" s="561">
        <v>20984.14155</v>
      </c>
      <c r="N8545" s="561">
        <v>20984.14155</v>
      </c>
      <c r="O8545" s="561">
        <v>6296.0999999999995</v>
      </c>
      <c r="P8545" s="561">
        <v>14688.041550000002</v>
      </c>
    </row>
    <row r="8546" spans="1:111">
      <c r="C8546" s="561" t="s">
        <v>1200</v>
      </c>
      <c r="G8546" s="561">
        <v>0</v>
      </c>
      <c r="H8546" s="561">
        <v>0</v>
      </c>
      <c r="I8546" s="561">
        <v>0</v>
      </c>
      <c r="J8546" s="561">
        <v>0</v>
      </c>
      <c r="K8546" s="561">
        <v>0</v>
      </c>
      <c r="L8546" s="561">
        <v>0</v>
      </c>
      <c r="M8546" s="561">
        <v>0</v>
      </c>
      <c r="N8546" s="561">
        <v>0</v>
      </c>
      <c r="O8546" s="561">
        <v>0</v>
      </c>
      <c r="P8546" s="561">
        <v>0</v>
      </c>
    </row>
    <row r="8547" spans="1:111">
      <c r="A8547" s="561">
        <v>34</v>
      </c>
      <c r="B8547" s="561" t="s">
        <v>2045</v>
      </c>
      <c r="C8547" s="561" t="s">
        <v>1196</v>
      </c>
      <c r="D8547" s="561">
        <v>79514.494999999995</v>
      </c>
      <c r="E8547" s="561">
        <v>0</v>
      </c>
      <c r="F8547" s="561">
        <v>0</v>
      </c>
      <c r="G8547" s="561">
        <v>79514.494999999995</v>
      </c>
      <c r="H8547" s="561">
        <v>99</v>
      </c>
      <c r="I8547" s="561">
        <v>79514.507139999987</v>
      </c>
      <c r="J8547" s="561">
        <v>0</v>
      </c>
      <c r="K8547" s="561">
        <v>1.0339999993448146E-2</v>
      </c>
      <c r="L8547" s="561">
        <v>99</v>
      </c>
      <c r="M8547" s="561">
        <v>79514.496799999994</v>
      </c>
      <c r="N8547" s="561">
        <v>79514.496799999994</v>
      </c>
      <c r="O8547" s="561">
        <v>0</v>
      </c>
      <c r="P8547" s="561">
        <v>79514.496799999994</v>
      </c>
    </row>
    <row r="8548" spans="1:111">
      <c r="C8548" s="561" t="s">
        <v>1197</v>
      </c>
      <c r="G8548" s="561">
        <v>0</v>
      </c>
      <c r="H8548" s="561">
        <v>0</v>
      </c>
      <c r="I8548" s="561">
        <v>0</v>
      </c>
      <c r="J8548" s="561">
        <v>0</v>
      </c>
      <c r="K8548" s="561">
        <v>0</v>
      </c>
      <c r="L8548" s="561">
        <v>0</v>
      </c>
      <c r="M8548" s="561">
        <v>0</v>
      </c>
      <c r="N8548" s="561">
        <v>0</v>
      </c>
      <c r="O8548" s="561">
        <v>0</v>
      </c>
      <c r="P8548" s="561">
        <v>0</v>
      </c>
    </row>
    <row r="8549" spans="1:111">
      <c r="C8549" s="561" t="s">
        <v>1198</v>
      </c>
      <c r="D8549" s="561">
        <v>79514.494999999995</v>
      </c>
      <c r="G8549" s="561">
        <v>79514.494999999995</v>
      </c>
      <c r="H8549" s="561">
        <v>99</v>
      </c>
      <c r="I8549" s="561">
        <v>79514.507139999987</v>
      </c>
      <c r="J8549" s="561">
        <v>0</v>
      </c>
      <c r="K8549" s="561">
        <v>1.0339999993448146E-2</v>
      </c>
      <c r="L8549" s="561">
        <v>99</v>
      </c>
      <c r="M8549" s="561">
        <v>79514.496799999994</v>
      </c>
      <c r="N8549" s="561">
        <v>79514.496799999994</v>
      </c>
      <c r="O8549" s="561">
        <v>0</v>
      </c>
      <c r="P8549" s="561">
        <v>79514.496799999994</v>
      </c>
    </row>
    <row r="8550" spans="1:111">
      <c r="C8550" s="561" t="s">
        <v>1199</v>
      </c>
      <c r="G8550" s="561">
        <v>0</v>
      </c>
      <c r="H8550" s="561">
        <v>0</v>
      </c>
      <c r="I8550" s="561">
        <v>0</v>
      </c>
      <c r="J8550" s="561">
        <v>0</v>
      </c>
      <c r="K8550" s="561">
        <v>0</v>
      </c>
      <c r="L8550" s="561">
        <v>0</v>
      </c>
      <c r="M8550" s="561">
        <v>0</v>
      </c>
      <c r="N8550" s="561">
        <v>0</v>
      </c>
      <c r="O8550" s="561">
        <v>0</v>
      </c>
      <c r="P8550" s="561">
        <v>0</v>
      </c>
    </row>
    <row r="8551" spans="1:111">
      <c r="C8551" s="561" t="s">
        <v>1200</v>
      </c>
      <c r="G8551" s="561">
        <v>0</v>
      </c>
      <c r="H8551" s="561">
        <v>0</v>
      </c>
      <c r="I8551" s="561">
        <v>0</v>
      </c>
      <c r="J8551" s="561">
        <v>0</v>
      </c>
      <c r="K8551" s="561">
        <v>0</v>
      </c>
      <c r="L8551" s="561">
        <v>0</v>
      </c>
      <c r="M8551" s="561">
        <v>0</v>
      </c>
      <c r="N8551" s="561">
        <v>0</v>
      </c>
      <c r="O8551" s="561">
        <v>0</v>
      </c>
      <c r="P8551" s="561">
        <v>0</v>
      </c>
    </row>
    <row r="8552" spans="1:111">
      <c r="A8552" s="561">
        <v>35</v>
      </c>
      <c r="B8552" s="561" t="s">
        <v>2046</v>
      </c>
      <c r="C8552" s="561" t="s">
        <v>1196</v>
      </c>
      <c r="D8552" s="561">
        <v>215656</v>
      </c>
      <c r="E8552" s="561">
        <v>57196.799999999996</v>
      </c>
      <c r="F8552" s="561">
        <v>0</v>
      </c>
      <c r="G8552" s="561">
        <v>158459.20000000001</v>
      </c>
      <c r="H8552" s="561">
        <v>412308</v>
      </c>
      <c r="I8552" s="561">
        <v>224360.36504999999</v>
      </c>
      <c r="J8552" s="561">
        <v>12283</v>
      </c>
      <c r="K8552" s="561">
        <v>8704.4859099999594</v>
      </c>
      <c r="L8552" s="561">
        <v>400025</v>
      </c>
      <c r="M8552" s="561">
        <v>215655.87914000003</v>
      </c>
      <c r="N8552" s="561">
        <v>215655.87914000003</v>
      </c>
      <c r="O8552" s="561">
        <v>57196.799999999996</v>
      </c>
      <c r="P8552" s="561">
        <v>158459.07914000005</v>
      </c>
    </row>
    <row r="8553" spans="1:111">
      <c r="C8553" s="561" t="s">
        <v>1197</v>
      </c>
      <c r="G8553" s="561">
        <v>0</v>
      </c>
      <c r="H8553" s="561">
        <v>0</v>
      </c>
      <c r="I8553" s="561">
        <v>0</v>
      </c>
      <c r="J8553" s="561">
        <v>0</v>
      </c>
      <c r="K8553" s="561">
        <v>0</v>
      </c>
      <c r="L8553" s="561">
        <v>0</v>
      </c>
      <c r="M8553" s="561">
        <v>0</v>
      </c>
      <c r="N8553" s="561">
        <v>0</v>
      </c>
      <c r="O8553" s="561">
        <v>0</v>
      </c>
      <c r="P8553" s="561">
        <v>0</v>
      </c>
    </row>
    <row r="8554" spans="1:111">
      <c r="C8554" s="561" t="s">
        <v>1198</v>
      </c>
      <c r="G8554" s="561">
        <v>0</v>
      </c>
      <c r="H8554" s="561">
        <v>0</v>
      </c>
      <c r="I8554" s="561">
        <v>0</v>
      </c>
      <c r="J8554" s="561">
        <v>0</v>
      </c>
      <c r="K8554" s="561">
        <v>0</v>
      </c>
      <c r="L8554" s="561">
        <v>0</v>
      </c>
      <c r="M8554" s="561">
        <v>0</v>
      </c>
      <c r="N8554" s="561">
        <v>0</v>
      </c>
      <c r="O8554" s="561">
        <v>0</v>
      </c>
      <c r="P8554" s="561">
        <v>0</v>
      </c>
    </row>
    <row r="8555" spans="1:111">
      <c r="C8555" s="561" t="s">
        <v>1199</v>
      </c>
      <c r="G8555" s="561">
        <v>0</v>
      </c>
      <c r="H8555" s="561">
        <v>0</v>
      </c>
      <c r="I8555" s="561">
        <v>0</v>
      </c>
      <c r="J8555" s="561">
        <v>0</v>
      </c>
      <c r="K8555" s="561">
        <v>0</v>
      </c>
      <c r="L8555" s="561">
        <v>0</v>
      </c>
      <c r="M8555" s="561">
        <v>0</v>
      </c>
      <c r="N8555" s="561">
        <v>0</v>
      </c>
      <c r="O8555" s="561">
        <v>0</v>
      </c>
      <c r="P8555" s="561">
        <v>0</v>
      </c>
    </row>
    <row r="8556" spans="1:111">
      <c r="C8556" s="561" t="s">
        <v>1200</v>
      </c>
      <c r="D8556" s="561">
        <v>215656</v>
      </c>
      <c r="E8556" s="561">
        <v>57196.799999999996</v>
      </c>
      <c r="G8556" s="561">
        <v>158459.20000000001</v>
      </c>
      <c r="H8556" s="561">
        <v>412308</v>
      </c>
      <c r="I8556" s="561">
        <v>224360.36504999999</v>
      </c>
      <c r="J8556" s="561">
        <v>12283</v>
      </c>
      <c r="K8556" s="561">
        <v>8704.4859099999594</v>
      </c>
      <c r="L8556" s="561">
        <v>400025</v>
      </c>
      <c r="M8556" s="561">
        <v>215655.87914000003</v>
      </c>
      <c r="N8556" s="561">
        <v>215655.87914000003</v>
      </c>
      <c r="O8556" s="561">
        <v>57196.799999999996</v>
      </c>
      <c r="P8556" s="561">
        <v>158459.07914000005</v>
      </c>
    </row>
    <row r="8557" spans="1:111">
      <c r="A8557" s="1735" t="s">
        <v>1199</v>
      </c>
      <c r="B8557" s="1735"/>
      <c r="C8557" s="1735"/>
      <c r="D8557" s="1735"/>
      <c r="E8557" s="1735"/>
      <c r="F8557" s="1735"/>
      <c r="G8557" s="1735"/>
      <c r="H8557" s="1735"/>
      <c r="I8557" s="1735"/>
      <c r="J8557" s="1735"/>
      <c r="K8557" s="1735"/>
      <c r="L8557" s="1735"/>
      <c r="M8557" s="1735"/>
      <c r="N8557" s="1735"/>
      <c r="O8557" s="1735"/>
      <c r="P8557" s="1735"/>
      <c r="AL8557" s="561">
        <f>SUM(AL8558:AL8733)</f>
        <v>235554.04594777781</v>
      </c>
      <c r="AM8557" s="561">
        <f t="shared" ref="AM8557:CX8557" si="391">SUM(AM8558:AM8733)</f>
        <v>54373.586420000007</v>
      </c>
      <c r="AN8557" s="561">
        <f t="shared" si="391"/>
        <v>0</v>
      </c>
      <c r="AO8557" s="561">
        <f t="shared" si="391"/>
        <v>0</v>
      </c>
      <c r="AP8557" s="561">
        <f t="shared" si="391"/>
        <v>0</v>
      </c>
      <c r="AQ8557" s="561">
        <f t="shared" si="391"/>
        <v>0</v>
      </c>
      <c r="AR8557" s="561">
        <f t="shared" si="391"/>
        <v>17563.149590000001</v>
      </c>
      <c r="AS8557" s="561">
        <f t="shared" si="391"/>
        <v>0</v>
      </c>
      <c r="AT8557" s="561">
        <f t="shared" si="391"/>
        <v>0</v>
      </c>
      <c r="AU8557" s="561">
        <f t="shared" si="391"/>
        <v>0</v>
      </c>
      <c r="AV8557" s="561">
        <f t="shared" si="391"/>
        <v>0</v>
      </c>
      <c r="AW8557" s="561">
        <f t="shared" si="391"/>
        <v>0</v>
      </c>
      <c r="AX8557" s="561">
        <f t="shared" si="391"/>
        <v>0</v>
      </c>
      <c r="AY8557" s="561">
        <f t="shared" si="391"/>
        <v>0</v>
      </c>
      <c r="AZ8557" s="561">
        <f t="shared" si="391"/>
        <v>0</v>
      </c>
      <c r="BA8557" s="561">
        <f t="shared" si="391"/>
        <v>0</v>
      </c>
      <c r="BB8557" s="561">
        <f t="shared" si="391"/>
        <v>45384.027219999996</v>
      </c>
      <c r="BC8557" s="561">
        <f t="shared" si="391"/>
        <v>0</v>
      </c>
      <c r="BD8557" s="561">
        <f t="shared" si="391"/>
        <v>5602.6562533333336</v>
      </c>
      <c r="BE8557" s="561">
        <f t="shared" si="391"/>
        <v>0</v>
      </c>
      <c r="BF8557" s="561">
        <f t="shared" si="391"/>
        <v>0</v>
      </c>
      <c r="BG8557" s="561">
        <f t="shared" si="391"/>
        <v>0</v>
      </c>
      <c r="BH8557" s="561">
        <f t="shared" si="391"/>
        <v>0</v>
      </c>
      <c r="BI8557" s="561">
        <f t="shared" si="391"/>
        <v>0</v>
      </c>
      <c r="BJ8557" s="561">
        <f t="shared" si="391"/>
        <v>0</v>
      </c>
      <c r="BK8557" s="561">
        <f t="shared" si="391"/>
        <v>0</v>
      </c>
      <c r="BL8557" s="561">
        <f t="shared" si="391"/>
        <v>0</v>
      </c>
      <c r="BM8557" s="561">
        <f t="shared" si="391"/>
        <v>0</v>
      </c>
      <c r="BN8557" s="561">
        <f t="shared" si="391"/>
        <v>0</v>
      </c>
      <c r="BO8557" s="561">
        <f t="shared" si="391"/>
        <v>0</v>
      </c>
      <c r="BP8557" s="561">
        <f t="shared" si="391"/>
        <v>0</v>
      </c>
      <c r="BQ8557" s="561">
        <f t="shared" si="391"/>
        <v>0</v>
      </c>
      <c r="BR8557" s="561">
        <f t="shared" si="391"/>
        <v>0</v>
      </c>
      <c r="BS8557" s="561">
        <f t="shared" si="391"/>
        <v>0</v>
      </c>
      <c r="BT8557" s="561">
        <f t="shared" si="391"/>
        <v>0</v>
      </c>
      <c r="BU8557" s="561">
        <f t="shared" si="391"/>
        <v>0</v>
      </c>
      <c r="BV8557" s="561">
        <f t="shared" si="391"/>
        <v>0</v>
      </c>
      <c r="BW8557" s="561">
        <f t="shared" si="391"/>
        <v>0</v>
      </c>
      <c r="BX8557" s="561">
        <f t="shared" si="391"/>
        <v>0</v>
      </c>
      <c r="BY8557" s="561">
        <f t="shared" si="391"/>
        <v>0</v>
      </c>
      <c r="BZ8557" s="561">
        <f t="shared" si="391"/>
        <v>388742.45140111115</v>
      </c>
      <c r="CA8557" s="561">
        <f t="shared" si="391"/>
        <v>0</v>
      </c>
      <c r="CB8557" s="561">
        <f t="shared" si="391"/>
        <v>0</v>
      </c>
      <c r="CC8557" s="561">
        <f t="shared" si="391"/>
        <v>0</v>
      </c>
      <c r="CD8557" s="561">
        <f t="shared" si="391"/>
        <v>0</v>
      </c>
      <c r="CE8557" s="561">
        <f t="shared" si="391"/>
        <v>0</v>
      </c>
      <c r="CF8557" s="561">
        <f t="shared" si="391"/>
        <v>0</v>
      </c>
      <c r="CG8557" s="561">
        <f t="shared" si="391"/>
        <v>0</v>
      </c>
      <c r="CH8557" s="561">
        <f t="shared" si="391"/>
        <v>0</v>
      </c>
      <c r="CI8557" s="561">
        <f t="shared" si="391"/>
        <v>0</v>
      </c>
      <c r="CJ8557" s="561">
        <f t="shared" si="391"/>
        <v>0</v>
      </c>
      <c r="CK8557" s="561">
        <f t="shared" si="391"/>
        <v>0</v>
      </c>
      <c r="CL8557" s="561">
        <f t="shared" si="391"/>
        <v>0</v>
      </c>
      <c r="CM8557" s="561">
        <f t="shared" si="391"/>
        <v>0</v>
      </c>
      <c r="CN8557" s="561">
        <f t="shared" si="391"/>
        <v>0</v>
      </c>
      <c r="CO8557" s="561">
        <f t="shared" si="391"/>
        <v>0</v>
      </c>
      <c r="CP8557" s="561">
        <f t="shared" si="391"/>
        <v>0</v>
      </c>
      <c r="CQ8557" s="561">
        <f t="shared" si="391"/>
        <v>0</v>
      </c>
      <c r="CR8557" s="561">
        <f t="shared" si="391"/>
        <v>0</v>
      </c>
      <c r="CS8557" s="561">
        <f t="shared" si="391"/>
        <v>0</v>
      </c>
      <c r="CT8557" s="561">
        <f t="shared" si="391"/>
        <v>0</v>
      </c>
      <c r="CU8557" s="561">
        <f t="shared" si="391"/>
        <v>0</v>
      </c>
      <c r="CV8557" s="561">
        <f t="shared" si="391"/>
        <v>0</v>
      </c>
      <c r="CW8557" s="561">
        <f t="shared" si="391"/>
        <v>0</v>
      </c>
      <c r="CX8557" s="561">
        <f t="shared" si="391"/>
        <v>0</v>
      </c>
      <c r="CY8557" s="561">
        <f t="shared" ref="CY8557:DG8557" si="392">SUM(CY8558:CY8733)</f>
        <v>0</v>
      </c>
      <c r="CZ8557" s="561">
        <f t="shared" si="392"/>
        <v>0</v>
      </c>
      <c r="DA8557" s="561">
        <f t="shared" si="392"/>
        <v>0</v>
      </c>
      <c r="DB8557" s="561">
        <f t="shared" si="392"/>
        <v>0</v>
      </c>
      <c r="DC8557" s="561">
        <f t="shared" si="392"/>
        <v>0</v>
      </c>
      <c r="DD8557" s="561">
        <f t="shared" si="392"/>
        <v>0</v>
      </c>
      <c r="DE8557" s="561">
        <f t="shared" si="392"/>
        <v>0</v>
      </c>
      <c r="DF8557" s="561">
        <f t="shared" si="392"/>
        <v>0</v>
      </c>
      <c r="DG8557" s="561">
        <f t="shared" si="392"/>
        <v>0</v>
      </c>
    </row>
    <row r="8558" spans="1:111">
      <c r="A8558" s="561">
        <v>1</v>
      </c>
      <c r="B8558" s="561" t="s">
        <v>2013</v>
      </c>
      <c r="C8558" s="561" t="s">
        <v>1197</v>
      </c>
      <c r="D8558" s="561">
        <v>2484257</v>
      </c>
      <c r="E8558" s="561">
        <v>745277.1</v>
      </c>
      <c r="G8558" s="561">
        <v>1738979.9</v>
      </c>
      <c r="H8558" s="561">
        <v>11466</v>
      </c>
      <c r="I8558" s="561">
        <v>2459850.7901100004</v>
      </c>
      <c r="J8558" s="561">
        <v>17</v>
      </c>
      <c r="K8558" s="561">
        <v>143354.65197000047</v>
      </c>
      <c r="L8558" s="561">
        <v>11449</v>
      </c>
      <c r="M8558" s="561">
        <v>2316496.1381399999</v>
      </c>
      <c r="N8558" s="561">
        <v>2316496.1381399999</v>
      </c>
      <c r="O8558" s="561">
        <v>745277.1</v>
      </c>
    </row>
    <row r="8559" spans="1:111">
      <c r="C8559" s="561" t="s">
        <v>1198</v>
      </c>
      <c r="D8559" s="561">
        <v>963709.9</v>
      </c>
      <c r="E8559" s="561">
        <v>136560.6</v>
      </c>
      <c r="G8559" s="561">
        <v>827149.3</v>
      </c>
      <c r="H8559" s="561">
        <v>1165</v>
      </c>
      <c r="I8559" s="561">
        <v>1139810.3547399999</v>
      </c>
      <c r="J8559" s="561">
        <v>4</v>
      </c>
      <c r="K8559" s="561">
        <v>11453.032829999924</v>
      </c>
      <c r="L8559" s="561">
        <v>1161</v>
      </c>
      <c r="M8559" s="561">
        <v>1128357.3219099999</v>
      </c>
      <c r="N8559" s="561">
        <v>1128357.3219099999</v>
      </c>
      <c r="O8559" s="561">
        <v>136560.59999999998</v>
      </c>
    </row>
    <row r="8560" spans="1:111">
      <c r="C8560" s="561" t="s">
        <v>1199</v>
      </c>
      <c r="D8560" s="561">
        <v>2983</v>
      </c>
      <c r="E8560" s="561">
        <v>894.9</v>
      </c>
      <c r="G8560" s="561">
        <v>2088.1</v>
      </c>
      <c r="H8560" s="561">
        <v>310</v>
      </c>
      <c r="I8560" s="561">
        <v>6763.1136699999988</v>
      </c>
      <c r="J8560" s="561">
        <v>1</v>
      </c>
      <c r="K8560" s="561">
        <v>52.838099999998121</v>
      </c>
      <c r="L8560" s="561">
        <v>309</v>
      </c>
      <c r="M8560" s="561">
        <v>6710.2755700000007</v>
      </c>
      <c r="N8560" s="561">
        <v>6710.2755700000007</v>
      </c>
      <c r="O8560" s="561">
        <v>894.9</v>
      </c>
      <c r="AM8560" s="561">
        <v>5815.3755700000011</v>
      </c>
    </row>
    <row r="8561" spans="1:16">
      <c r="C8561" s="561" t="s">
        <v>1200</v>
      </c>
      <c r="D8561" s="561">
        <v>0</v>
      </c>
      <c r="G8561" s="561">
        <v>0</v>
      </c>
      <c r="H8561" s="561">
        <v>0</v>
      </c>
      <c r="I8561" s="561">
        <v>0</v>
      </c>
      <c r="J8561" s="561">
        <v>0</v>
      </c>
      <c r="K8561" s="561">
        <v>0</v>
      </c>
      <c r="L8561" s="561">
        <v>0</v>
      </c>
      <c r="M8561" s="561">
        <v>0</v>
      </c>
      <c r="N8561" s="561">
        <v>0</v>
      </c>
      <c r="O8561" s="561">
        <v>0</v>
      </c>
      <c r="P8561" s="561">
        <v>0</v>
      </c>
    </row>
    <row r="8562" spans="1:16">
      <c r="C8562" s="561" t="s">
        <v>1202</v>
      </c>
      <c r="D8562" s="561">
        <v>9972.2999999999993</v>
      </c>
      <c r="E8562" s="561">
        <v>0</v>
      </c>
      <c r="G8562" s="561">
        <v>9972.2999999999993</v>
      </c>
      <c r="H8562" s="561">
        <v>50917</v>
      </c>
      <c r="I8562" s="561">
        <v>31382.281999999999</v>
      </c>
      <c r="J8562" s="561">
        <v>36926</v>
      </c>
      <c r="K8562" s="561">
        <v>22024.354299999999</v>
      </c>
      <c r="L8562" s="561">
        <v>13991</v>
      </c>
      <c r="M8562" s="561">
        <v>9357.9276999999984</v>
      </c>
      <c r="N8562" s="561">
        <v>9357.9276999999984</v>
      </c>
      <c r="O8562" s="561">
        <v>0</v>
      </c>
      <c r="P8562" s="561">
        <v>9357.9276999999984</v>
      </c>
    </row>
    <row r="8563" spans="1:16">
      <c r="A8563" s="561">
        <v>2</v>
      </c>
      <c r="B8563" s="561" t="s">
        <v>2014</v>
      </c>
      <c r="C8563" s="561" t="s">
        <v>1196</v>
      </c>
      <c r="D8563" s="561">
        <v>4381249</v>
      </c>
      <c r="E8563" s="561">
        <v>1311445.2</v>
      </c>
      <c r="F8563" s="561">
        <v>0</v>
      </c>
      <c r="G8563" s="561">
        <v>3069803.8000000003</v>
      </c>
      <c r="H8563" s="561">
        <v>9748</v>
      </c>
      <c r="I8563" s="561">
        <v>4485675.2769300006</v>
      </c>
      <c r="J8563" s="561">
        <v>236</v>
      </c>
      <c r="K8563" s="561">
        <v>104426.28284000047</v>
      </c>
      <c r="L8563" s="561">
        <v>9512</v>
      </c>
      <c r="M8563" s="561">
        <v>4381248.9940900002</v>
      </c>
      <c r="N8563" s="561">
        <v>4381248.9940900002</v>
      </c>
      <c r="O8563" s="561">
        <v>1311445.2</v>
      </c>
      <c r="P8563" s="561">
        <v>3069803.7940899995</v>
      </c>
    </row>
    <row r="8564" spans="1:16">
      <c r="C8564" s="561" t="s">
        <v>1197</v>
      </c>
      <c r="D8564" s="561">
        <v>1099718</v>
      </c>
      <c r="E8564" s="561">
        <v>329915.39999999997</v>
      </c>
      <c r="G8564" s="561">
        <v>769802.60000000009</v>
      </c>
      <c r="H8564" s="561">
        <v>6141</v>
      </c>
      <c r="I8564" s="561">
        <v>1122625.9926200002</v>
      </c>
      <c r="J8564" s="561">
        <v>34</v>
      </c>
      <c r="K8564" s="561">
        <v>22394.252160000149</v>
      </c>
      <c r="L8564" s="561">
        <v>6107</v>
      </c>
      <c r="M8564" s="561">
        <v>1100231.74046</v>
      </c>
      <c r="N8564" s="561">
        <v>1100231.74046</v>
      </c>
      <c r="O8564" s="561">
        <v>329915.39999999997</v>
      </c>
    </row>
    <row r="8565" spans="1:16">
      <c r="C8565" s="561" t="s">
        <v>1198</v>
      </c>
      <c r="D8565" s="561">
        <v>3281531</v>
      </c>
      <c r="E8565" s="561">
        <v>981529.79999999993</v>
      </c>
      <c r="G8565" s="561">
        <v>2300001.2000000002</v>
      </c>
      <c r="H8565" s="561">
        <v>3607</v>
      </c>
      <c r="I8565" s="561">
        <v>3363049.28431</v>
      </c>
      <c r="J8565" s="561">
        <v>202</v>
      </c>
      <c r="K8565" s="561">
        <v>82032.030680000316</v>
      </c>
      <c r="L8565" s="561">
        <v>3405</v>
      </c>
      <c r="M8565" s="561">
        <v>3281017.2536299997</v>
      </c>
      <c r="N8565" s="561">
        <v>3281017.2536299997</v>
      </c>
      <c r="O8565" s="561">
        <v>981529.8</v>
      </c>
    </row>
    <row r="8566" spans="1:16">
      <c r="C8566" s="561" t="s">
        <v>1199</v>
      </c>
      <c r="G8566" s="561">
        <v>0</v>
      </c>
      <c r="H8566" s="561">
        <v>0</v>
      </c>
      <c r="I8566" s="561">
        <v>0</v>
      </c>
      <c r="J8566" s="561">
        <v>0</v>
      </c>
      <c r="K8566" s="561">
        <v>0</v>
      </c>
      <c r="L8566" s="561">
        <v>0</v>
      </c>
      <c r="M8566" s="561">
        <v>0</v>
      </c>
      <c r="N8566" s="561">
        <v>0</v>
      </c>
      <c r="O8566" s="561">
        <v>0</v>
      </c>
      <c r="P8566" s="561">
        <v>0</v>
      </c>
    </row>
    <row r="8567" spans="1:16">
      <c r="C8567" s="561" t="s">
        <v>1200</v>
      </c>
      <c r="G8567" s="561">
        <v>0</v>
      </c>
      <c r="H8567" s="561">
        <v>0</v>
      </c>
      <c r="I8567" s="561">
        <v>0</v>
      </c>
      <c r="J8567" s="561">
        <v>0</v>
      </c>
      <c r="K8567" s="561">
        <v>0</v>
      </c>
      <c r="L8567" s="561">
        <v>0</v>
      </c>
      <c r="M8567" s="561">
        <v>0</v>
      </c>
      <c r="N8567" s="561">
        <v>0</v>
      </c>
      <c r="O8567" s="561">
        <v>0</v>
      </c>
      <c r="P8567" s="561">
        <v>0</v>
      </c>
    </row>
    <row r="8568" spans="1:16">
      <c r="A8568" s="561">
        <v>3</v>
      </c>
      <c r="B8568" s="561" t="s">
        <v>2015</v>
      </c>
      <c r="C8568" s="561" t="s">
        <v>1196</v>
      </c>
      <c r="D8568" s="561">
        <v>1885640</v>
      </c>
      <c r="E8568" s="561">
        <v>565692</v>
      </c>
      <c r="F8568" s="561">
        <v>0</v>
      </c>
      <c r="G8568" s="561">
        <v>1319948</v>
      </c>
      <c r="H8568" s="561">
        <v>4215</v>
      </c>
      <c r="I8568" s="561">
        <v>1886182.8944999997</v>
      </c>
      <c r="J8568" s="561">
        <v>0</v>
      </c>
      <c r="K8568" s="561">
        <v>542.89574999990873</v>
      </c>
      <c r="L8568" s="561">
        <v>4215</v>
      </c>
      <c r="M8568" s="561">
        <v>1885639.9987499998</v>
      </c>
      <c r="N8568" s="561">
        <v>1885639.9987499998</v>
      </c>
      <c r="O8568" s="561">
        <v>565692</v>
      </c>
      <c r="P8568" s="561">
        <v>1319947.9987499998</v>
      </c>
    </row>
    <row r="8569" spans="1:16">
      <c r="C8569" s="561" t="s">
        <v>1197</v>
      </c>
      <c r="D8569" s="561">
        <v>1885640</v>
      </c>
      <c r="E8569" s="561">
        <v>565692</v>
      </c>
      <c r="G8569" s="561">
        <v>1319948</v>
      </c>
      <c r="H8569" s="561">
        <v>4215</v>
      </c>
      <c r="I8569" s="561">
        <v>1886182.8944999997</v>
      </c>
      <c r="J8569" s="561">
        <v>0</v>
      </c>
      <c r="K8569" s="561">
        <v>542.89574999990873</v>
      </c>
      <c r="L8569" s="561">
        <v>4215</v>
      </c>
      <c r="M8569" s="561">
        <v>1885639.9987499998</v>
      </c>
      <c r="N8569" s="561">
        <v>1885639.9987499998</v>
      </c>
      <c r="O8569" s="561">
        <v>565692</v>
      </c>
    </row>
    <row r="8570" spans="1:16">
      <c r="C8570" s="561" t="s">
        <v>1198</v>
      </c>
      <c r="G8570" s="561">
        <v>0</v>
      </c>
      <c r="H8570" s="561">
        <v>0</v>
      </c>
      <c r="I8570" s="561">
        <v>0</v>
      </c>
      <c r="J8570" s="561">
        <v>0</v>
      </c>
      <c r="K8570" s="561">
        <v>0</v>
      </c>
      <c r="L8570" s="561">
        <v>0</v>
      </c>
      <c r="M8570" s="561">
        <v>0</v>
      </c>
      <c r="N8570" s="561">
        <v>0</v>
      </c>
      <c r="O8570" s="561">
        <v>0</v>
      </c>
      <c r="P8570" s="561">
        <v>0</v>
      </c>
    </row>
    <row r="8571" spans="1:16">
      <c r="C8571" s="561" t="s">
        <v>1199</v>
      </c>
      <c r="G8571" s="561">
        <v>0</v>
      </c>
      <c r="H8571" s="561">
        <v>0</v>
      </c>
      <c r="I8571" s="561">
        <v>0</v>
      </c>
      <c r="J8571" s="561">
        <v>0</v>
      </c>
      <c r="K8571" s="561">
        <v>0</v>
      </c>
      <c r="L8571" s="561">
        <v>0</v>
      </c>
      <c r="M8571" s="561">
        <v>0</v>
      </c>
      <c r="N8571" s="561">
        <v>0</v>
      </c>
      <c r="O8571" s="561">
        <v>0</v>
      </c>
      <c r="P8571" s="561">
        <v>0</v>
      </c>
    </row>
    <row r="8572" spans="1:16">
      <c r="C8572" s="561" t="s">
        <v>1200</v>
      </c>
      <c r="G8572" s="561">
        <v>0</v>
      </c>
      <c r="H8572" s="561">
        <v>0</v>
      </c>
      <c r="I8572" s="561">
        <v>0</v>
      </c>
      <c r="J8572" s="561">
        <v>0</v>
      </c>
      <c r="K8572" s="561">
        <v>0</v>
      </c>
      <c r="L8572" s="561">
        <v>0</v>
      </c>
      <c r="M8572" s="561">
        <v>0</v>
      </c>
      <c r="N8572" s="561">
        <v>0</v>
      </c>
      <c r="O8572" s="561">
        <v>0</v>
      </c>
      <c r="P8572" s="561">
        <v>0</v>
      </c>
    </row>
    <row r="8573" spans="1:16">
      <c r="A8573" s="561">
        <v>4</v>
      </c>
      <c r="B8573" s="561" t="s">
        <v>2016</v>
      </c>
      <c r="C8573" s="561" t="s">
        <v>1196</v>
      </c>
      <c r="D8573" s="561">
        <v>2765246</v>
      </c>
      <c r="E8573" s="561">
        <v>672129.3</v>
      </c>
      <c r="F8573" s="561">
        <v>0</v>
      </c>
      <c r="G8573" s="561">
        <v>2093116.7</v>
      </c>
      <c r="H8573" s="561">
        <v>3948</v>
      </c>
      <c r="I8573" s="561">
        <v>2777425.92961</v>
      </c>
      <c r="J8573" s="561">
        <v>8</v>
      </c>
      <c r="K8573" s="561">
        <v>12180.544920000248</v>
      </c>
      <c r="L8573" s="561">
        <v>3940</v>
      </c>
      <c r="M8573" s="561">
        <v>2765245.3846899997</v>
      </c>
      <c r="N8573" s="561">
        <v>2765245.3846899997</v>
      </c>
      <c r="O8573" s="561">
        <v>672129.3</v>
      </c>
      <c r="P8573" s="561">
        <v>2093116.0846899999</v>
      </c>
    </row>
    <row r="8574" spans="1:16">
      <c r="C8574" s="561" t="s">
        <v>1197</v>
      </c>
      <c r="D8574" s="561">
        <v>904970</v>
      </c>
      <c r="E8574" s="561">
        <v>252891</v>
      </c>
      <c r="G8574" s="561">
        <v>652079</v>
      </c>
      <c r="H8574" s="561">
        <v>2924</v>
      </c>
      <c r="I8574" s="561">
        <v>860670.65182999987</v>
      </c>
      <c r="J8574" s="561">
        <v>12</v>
      </c>
      <c r="K8574" s="561">
        <v>9650.4549199998146</v>
      </c>
      <c r="L8574" s="561">
        <v>2912</v>
      </c>
      <c r="M8574" s="561">
        <v>851020.19691000006</v>
      </c>
      <c r="N8574" s="561">
        <v>851020.19691000006</v>
      </c>
      <c r="O8574" s="561">
        <v>252891</v>
      </c>
    </row>
    <row r="8575" spans="1:16">
      <c r="C8575" s="561" t="s">
        <v>1198</v>
      </c>
      <c r="D8575" s="561">
        <v>1860276</v>
      </c>
      <c r="E8575" s="561">
        <v>419238.3</v>
      </c>
      <c r="G8575" s="561">
        <v>1441037.7</v>
      </c>
      <c r="H8575" s="561">
        <v>1024</v>
      </c>
      <c r="I8575" s="561">
        <v>1916755.2777800001</v>
      </c>
      <c r="J8575" s="561">
        <v>-4</v>
      </c>
      <c r="K8575" s="561">
        <v>2530.0900000003166</v>
      </c>
      <c r="L8575" s="561">
        <v>1028</v>
      </c>
      <c r="M8575" s="561">
        <v>1914225.1877799998</v>
      </c>
      <c r="N8575" s="561">
        <v>1914225.1877799998</v>
      </c>
      <c r="O8575" s="561">
        <v>419238.3</v>
      </c>
    </row>
    <row r="8576" spans="1:16">
      <c r="C8576" s="561" t="s">
        <v>1199</v>
      </c>
      <c r="G8576" s="561">
        <v>0</v>
      </c>
      <c r="H8576" s="561">
        <v>0</v>
      </c>
      <c r="I8576" s="561">
        <v>0</v>
      </c>
      <c r="J8576" s="561">
        <v>0</v>
      </c>
      <c r="K8576" s="561">
        <v>0</v>
      </c>
      <c r="L8576" s="561">
        <v>0</v>
      </c>
      <c r="M8576" s="561">
        <v>0</v>
      </c>
      <c r="N8576" s="561">
        <v>0</v>
      </c>
      <c r="O8576" s="561">
        <v>0</v>
      </c>
      <c r="P8576" s="561">
        <v>0</v>
      </c>
    </row>
    <row r="8577" spans="1:39">
      <c r="C8577" s="561" t="s">
        <v>1200</v>
      </c>
      <c r="G8577" s="561">
        <v>0</v>
      </c>
      <c r="H8577" s="561">
        <v>0</v>
      </c>
      <c r="I8577" s="561">
        <v>0</v>
      </c>
      <c r="J8577" s="561">
        <v>0</v>
      </c>
      <c r="K8577" s="561">
        <v>0</v>
      </c>
      <c r="L8577" s="561">
        <v>0</v>
      </c>
      <c r="M8577" s="561">
        <v>0</v>
      </c>
      <c r="N8577" s="561">
        <v>0</v>
      </c>
      <c r="O8577" s="561">
        <v>0</v>
      </c>
      <c r="P8577" s="561">
        <v>0</v>
      </c>
    </row>
    <row r="8578" spans="1:39">
      <c r="A8578" s="561">
        <v>5</v>
      </c>
      <c r="B8578" s="561" t="s">
        <v>2017</v>
      </c>
      <c r="C8578" s="561" t="s">
        <v>1196</v>
      </c>
      <c r="D8578" s="561">
        <v>4846036</v>
      </c>
      <c r="E8578" s="561">
        <v>1160727.8999999999</v>
      </c>
      <c r="F8578" s="561">
        <v>0</v>
      </c>
      <c r="G8578" s="561">
        <v>3685308.0999999996</v>
      </c>
      <c r="H8578" s="561">
        <v>10085</v>
      </c>
      <c r="I8578" s="561">
        <v>5098513.0497999992</v>
      </c>
      <c r="J8578" s="561">
        <v>69</v>
      </c>
      <c r="K8578" s="561">
        <v>252477.0611499995</v>
      </c>
      <c r="L8578" s="561">
        <v>10016</v>
      </c>
      <c r="M8578" s="561">
        <v>4846035.9886499997</v>
      </c>
      <c r="N8578" s="561">
        <v>4846035.9886499997</v>
      </c>
      <c r="O8578" s="561">
        <v>1160727.9029999999</v>
      </c>
      <c r="P8578" s="561">
        <v>3685308.0856499998</v>
      </c>
    </row>
    <row r="8579" spans="1:39">
      <c r="C8579" s="561" t="s">
        <v>1197</v>
      </c>
      <c r="D8579" s="561">
        <v>1033775</v>
      </c>
      <c r="E8579" s="561">
        <v>462937.8</v>
      </c>
      <c r="G8579" s="561">
        <v>570837.19999999995</v>
      </c>
      <c r="H8579" s="561">
        <v>6530</v>
      </c>
      <c r="I8579" s="561">
        <v>1032345.07397</v>
      </c>
      <c r="J8579" s="561">
        <v>46</v>
      </c>
      <c r="K8579" s="561">
        <v>-1662.8081400000956</v>
      </c>
      <c r="L8579" s="561">
        <v>6484</v>
      </c>
      <c r="M8579" s="561">
        <v>1034007.8821100001</v>
      </c>
      <c r="N8579" s="561">
        <v>1034007.8821100001</v>
      </c>
      <c r="O8579" s="561">
        <v>462937.8</v>
      </c>
    </row>
    <row r="8580" spans="1:39">
      <c r="C8580" s="561" t="s">
        <v>1198</v>
      </c>
      <c r="D8580" s="561">
        <v>2044223</v>
      </c>
      <c r="E8580" s="561">
        <v>315459.59999999998</v>
      </c>
      <c r="G8580" s="561">
        <v>1728763.4</v>
      </c>
      <c r="H8580" s="561">
        <v>1888</v>
      </c>
      <c r="I8580" s="561">
        <v>1997517.5763499998</v>
      </c>
      <c r="J8580" s="561">
        <v>26</v>
      </c>
      <c r="K8580" s="561">
        <v>-46797.917350000003</v>
      </c>
      <c r="L8580" s="561">
        <v>1862</v>
      </c>
      <c r="M8580" s="561">
        <v>2044315.4936999998</v>
      </c>
      <c r="N8580" s="561">
        <v>2044315.4936999998</v>
      </c>
      <c r="O8580" s="561">
        <v>315459.59999999998</v>
      </c>
    </row>
    <row r="8581" spans="1:39">
      <c r="C8581" s="561" t="s">
        <v>1199</v>
      </c>
      <c r="D8581" s="561">
        <v>60000</v>
      </c>
      <c r="E8581" s="561">
        <v>19919.099999999999</v>
      </c>
      <c r="G8581" s="561">
        <v>40080.9</v>
      </c>
      <c r="H8581" s="561">
        <v>718</v>
      </c>
      <c r="I8581" s="561">
        <v>60144.951479999996</v>
      </c>
      <c r="J8581" s="561">
        <v>-15</v>
      </c>
      <c r="K8581" s="561">
        <v>470.33464000000095</v>
      </c>
      <c r="L8581" s="561">
        <v>733</v>
      </c>
      <c r="M8581" s="561">
        <v>59674.616839999995</v>
      </c>
      <c r="N8581" s="561">
        <v>59674.616839999995</v>
      </c>
      <c r="O8581" s="561">
        <v>19919.099999999999</v>
      </c>
      <c r="AM8581" s="561">
        <v>39755.516839999997</v>
      </c>
    </row>
    <row r="8582" spans="1:39">
      <c r="C8582" s="561" t="s">
        <v>1200</v>
      </c>
      <c r="G8582" s="561">
        <v>0</v>
      </c>
      <c r="H8582" s="561">
        <v>0</v>
      </c>
      <c r="I8582" s="561">
        <v>0</v>
      </c>
      <c r="J8582" s="561">
        <v>0</v>
      </c>
      <c r="K8582" s="561">
        <v>0</v>
      </c>
      <c r="L8582" s="561">
        <v>0</v>
      </c>
      <c r="M8582" s="561">
        <v>0</v>
      </c>
      <c r="N8582" s="561">
        <v>0</v>
      </c>
      <c r="O8582" s="561">
        <v>0</v>
      </c>
      <c r="P8582" s="561">
        <v>0</v>
      </c>
    </row>
    <row r="8583" spans="1:39">
      <c r="C8583" s="561" t="s">
        <v>814</v>
      </c>
      <c r="D8583" s="561">
        <v>1708038</v>
      </c>
      <c r="E8583" s="561">
        <v>362411.39999999997</v>
      </c>
      <c r="G8583" s="561">
        <v>1345626.6</v>
      </c>
      <c r="H8583" s="561">
        <v>949</v>
      </c>
      <c r="I8583" s="561">
        <v>2008505.4479999999</v>
      </c>
      <c r="J8583" s="561">
        <v>12</v>
      </c>
      <c r="K8583" s="561">
        <v>300467.45199999982</v>
      </c>
      <c r="L8583" s="561">
        <v>937</v>
      </c>
      <c r="M8583" s="561">
        <v>1708037.996</v>
      </c>
      <c r="N8583" s="561">
        <v>1708037.996</v>
      </c>
      <c r="O8583" s="561">
        <v>362411.40299999999</v>
      </c>
      <c r="P8583" s="561">
        <v>1345626.5930000001</v>
      </c>
    </row>
    <row r="8584" spans="1:39">
      <c r="A8584" s="561">
        <v>6</v>
      </c>
      <c r="B8584" s="561" t="s">
        <v>2018</v>
      </c>
      <c r="C8584" s="561" t="s">
        <v>1196</v>
      </c>
      <c r="D8584" s="561">
        <v>2225914</v>
      </c>
      <c r="E8584" s="561">
        <v>484386.3</v>
      </c>
      <c r="F8584" s="561">
        <v>0</v>
      </c>
      <c r="G8584" s="561">
        <v>1741527.7</v>
      </c>
      <c r="H8584" s="561">
        <v>21806</v>
      </c>
      <c r="I8584" s="561">
        <v>2216734.8475300004</v>
      </c>
      <c r="J8584" s="561">
        <v>51</v>
      </c>
      <c r="K8584" s="561">
        <v>-9179.1515499996021</v>
      </c>
      <c r="L8584" s="561">
        <v>21755</v>
      </c>
      <c r="M8584" s="561">
        <v>2225913.99908</v>
      </c>
      <c r="N8584" s="561">
        <v>2225913.99908</v>
      </c>
      <c r="O8584" s="561">
        <v>484386.30000000005</v>
      </c>
      <c r="P8584" s="561">
        <v>1741527.6990799999</v>
      </c>
    </row>
    <row r="8585" spans="1:39">
      <c r="C8585" s="561" t="s">
        <v>1197</v>
      </c>
      <c r="D8585" s="561">
        <v>1877523</v>
      </c>
      <c r="E8585" s="561">
        <v>458020.5</v>
      </c>
      <c r="G8585" s="561">
        <v>1419502.5</v>
      </c>
      <c r="H8585" s="561">
        <v>20585</v>
      </c>
      <c r="I8585" s="561">
        <v>1842391.0798500001</v>
      </c>
      <c r="J8585" s="561">
        <v>47</v>
      </c>
      <c r="K8585" s="561">
        <v>-38676.836809999775</v>
      </c>
      <c r="L8585" s="561">
        <v>20538</v>
      </c>
      <c r="M8585" s="561">
        <v>1881067.9166599999</v>
      </c>
      <c r="N8585" s="561">
        <v>1881067.9166599999</v>
      </c>
      <c r="O8585" s="561">
        <v>458020.50000000006</v>
      </c>
    </row>
    <row r="8586" spans="1:39">
      <c r="C8586" s="561" t="s">
        <v>1198</v>
      </c>
      <c r="D8586" s="561">
        <v>131870</v>
      </c>
      <c r="E8586" s="561">
        <v>1218.3</v>
      </c>
      <c r="G8586" s="561">
        <v>130651.7</v>
      </c>
      <c r="H8586" s="561">
        <v>381</v>
      </c>
      <c r="I8586" s="561">
        <v>146472.68661999999</v>
      </c>
      <c r="J8586" s="561">
        <v>4</v>
      </c>
      <c r="K8586" s="561">
        <v>2669.2211299999908</v>
      </c>
      <c r="L8586" s="561">
        <v>377</v>
      </c>
      <c r="M8586" s="561">
        <v>143803.46549</v>
      </c>
      <c r="N8586" s="561">
        <v>143803.46549</v>
      </c>
      <c r="O8586" s="561">
        <v>1218.3000000000002</v>
      </c>
    </row>
    <row r="8587" spans="1:39">
      <c r="C8587" s="561" t="s">
        <v>1199</v>
      </c>
      <c r="D8587" s="561">
        <v>216521</v>
      </c>
      <c r="E8587" s="561">
        <v>25147.5</v>
      </c>
      <c r="G8587" s="561">
        <v>191373.5</v>
      </c>
      <c r="H8587" s="561">
        <v>840</v>
      </c>
      <c r="I8587" s="561">
        <v>227871.08106000003</v>
      </c>
      <c r="J8587" s="561">
        <v>0</v>
      </c>
      <c r="K8587" s="561">
        <v>26828.464130000037</v>
      </c>
      <c r="L8587" s="561">
        <v>840</v>
      </c>
      <c r="M8587" s="561">
        <v>201042.61692999999</v>
      </c>
      <c r="N8587" s="561">
        <v>201042.61692999999</v>
      </c>
      <c r="O8587" s="561">
        <v>25147.500000000004</v>
      </c>
      <c r="AL8587" s="561">
        <v>175895.11692999999</v>
      </c>
    </row>
    <row r="8588" spans="1:39">
      <c r="C8588" s="561" t="s">
        <v>1200</v>
      </c>
      <c r="G8588" s="561">
        <v>0</v>
      </c>
      <c r="H8588" s="561">
        <v>0</v>
      </c>
      <c r="I8588" s="561">
        <v>0</v>
      </c>
      <c r="J8588" s="561">
        <v>0</v>
      </c>
      <c r="K8588" s="561">
        <v>0</v>
      </c>
      <c r="L8588" s="561">
        <v>0</v>
      </c>
      <c r="M8588" s="561">
        <v>0</v>
      </c>
      <c r="N8588" s="561">
        <v>0</v>
      </c>
      <c r="O8588" s="561">
        <v>0</v>
      </c>
      <c r="P8588" s="561">
        <v>0</v>
      </c>
    </row>
    <row r="8589" spans="1:39">
      <c r="A8589" s="561">
        <v>7</v>
      </c>
      <c r="B8589" s="561" t="s">
        <v>2019</v>
      </c>
      <c r="C8589" s="561" t="s">
        <v>1196</v>
      </c>
      <c r="D8589" s="561">
        <v>2034972.5</v>
      </c>
      <c r="E8589" s="561">
        <v>568651.79999999993</v>
      </c>
      <c r="F8589" s="561">
        <v>0</v>
      </c>
      <c r="G8589" s="561">
        <v>1466320.7000000002</v>
      </c>
      <c r="H8589" s="561">
        <v>14616</v>
      </c>
      <c r="I8589" s="561">
        <v>2068363.8743499995</v>
      </c>
      <c r="J8589" s="561">
        <v>132</v>
      </c>
      <c r="K8589" s="561">
        <v>33391.678729999578</v>
      </c>
      <c r="L8589" s="561">
        <v>14484</v>
      </c>
      <c r="M8589" s="561">
        <v>2034972.1956199999</v>
      </c>
      <c r="N8589" s="561">
        <v>2034972.1956199999</v>
      </c>
      <c r="O8589" s="561">
        <v>568651.80000000005</v>
      </c>
      <c r="P8589" s="561">
        <v>1466320.3956199999</v>
      </c>
    </row>
    <row r="8590" spans="1:39">
      <c r="C8590" s="561" t="s">
        <v>1197</v>
      </c>
      <c r="D8590" s="561">
        <v>1361398</v>
      </c>
      <c r="E8590" s="561">
        <v>408419.39999999997</v>
      </c>
      <c r="G8590" s="561">
        <v>952978.60000000009</v>
      </c>
      <c r="H8590" s="561">
        <v>11953</v>
      </c>
      <c r="I8590" s="561">
        <v>1080129.7397199997</v>
      </c>
      <c r="J8590" s="561">
        <v>120</v>
      </c>
      <c r="K8590" s="561">
        <v>22476.422349999659</v>
      </c>
      <c r="L8590" s="561">
        <v>11833</v>
      </c>
      <c r="M8590" s="561">
        <v>1057653.3173700001</v>
      </c>
      <c r="N8590" s="561">
        <v>1057653.3173700001</v>
      </c>
      <c r="O8590" s="561">
        <v>408419.4</v>
      </c>
    </row>
    <row r="8591" spans="1:39">
      <c r="C8591" s="561" t="s">
        <v>1198</v>
      </c>
      <c r="D8591" s="561">
        <v>660554.5</v>
      </c>
      <c r="E8591" s="561">
        <v>158828.4</v>
      </c>
      <c r="G8591" s="561">
        <v>501726.1</v>
      </c>
      <c r="H8591" s="561">
        <v>1241</v>
      </c>
      <c r="I8591" s="561">
        <v>966180.39870999986</v>
      </c>
      <c r="J8591" s="561">
        <v>5</v>
      </c>
      <c r="K8591" s="561">
        <v>10812.915569999954</v>
      </c>
      <c r="L8591" s="561">
        <v>1236</v>
      </c>
      <c r="M8591" s="561">
        <v>955367.48313999991</v>
      </c>
      <c r="N8591" s="561">
        <v>955367.48313999991</v>
      </c>
      <c r="O8591" s="561">
        <v>158828.40000000002</v>
      </c>
    </row>
    <row r="8592" spans="1:39">
      <c r="C8592" s="561" t="s">
        <v>1199</v>
      </c>
      <c r="D8592" s="561">
        <v>13020</v>
      </c>
      <c r="E8592" s="561">
        <v>1404</v>
      </c>
      <c r="G8592" s="561">
        <v>11616</v>
      </c>
      <c r="H8592" s="561">
        <v>1422</v>
      </c>
      <c r="I8592" s="561">
        <v>22053.735919999999</v>
      </c>
      <c r="J8592" s="561">
        <v>7</v>
      </c>
      <c r="K8592" s="561">
        <v>102.34081000000151</v>
      </c>
      <c r="L8592" s="561">
        <v>1415</v>
      </c>
      <c r="M8592" s="561">
        <v>21951.395109999998</v>
      </c>
      <c r="N8592" s="561">
        <v>21951.395109999998</v>
      </c>
      <c r="O8592" s="561">
        <v>1404</v>
      </c>
      <c r="AL8592" s="561">
        <v>20547.395109999998</v>
      </c>
    </row>
    <row r="8593" spans="1:54">
      <c r="C8593" s="561" t="s">
        <v>1200</v>
      </c>
      <c r="G8593" s="561">
        <v>0</v>
      </c>
      <c r="H8593" s="561">
        <v>0</v>
      </c>
      <c r="I8593" s="561">
        <v>0</v>
      </c>
      <c r="J8593" s="561">
        <v>0</v>
      </c>
      <c r="K8593" s="561">
        <v>0</v>
      </c>
      <c r="L8593" s="561">
        <v>0</v>
      </c>
      <c r="M8593" s="561">
        <v>0</v>
      </c>
      <c r="N8593" s="561">
        <v>0</v>
      </c>
      <c r="O8593" s="561">
        <v>0</v>
      </c>
      <c r="P8593" s="561">
        <v>0</v>
      </c>
    </row>
    <row r="8594" spans="1:54">
      <c r="A8594" s="561">
        <v>8</v>
      </c>
      <c r="B8594" s="561" t="s">
        <v>2020</v>
      </c>
      <c r="C8594" s="561" t="s">
        <v>1196</v>
      </c>
      <c r="D8594" s="561">
        <v>568331</v>
      </c>
      <c r="E8594" s="561">
        <v>170499.30000000002</v>
      </c>
      <c r="F8594" s="561">
        <v>0</v>
      </c>
      <c r="G8594" s="561">
        <v>397831.7</v>
      </c>
      <c r="H8594" s="561">
        <v>6179</v>
      </c>
      <c r="I8594" s="561">
        <v>582809.09801900003</v>
      </c>
      <c r="J8594" s="561">
        <v>5</v>
      </c>
      <c r="K8594" s="561">
        <v>14478.750859000138</v>
      </c>
      <c r="L8594" s="561">
        <v>6174</v>
      </c>
      <c r="M8594" s="561">
        <v>568330.34715999989</v>
      </c>
      <c r="N8594" s="561">
        <v>568330.34715999989</v>
      </c>
      <c r="O8594" s="561">
        <v>170499.30000000002</v>
      </c>
      <c r="P8594" s="561">
        <v>397831.0471599999</v>
      </c>
    </row>
    <row r="8595" spans="1:54">
      <c r="C8595" s="561" t="s">
        <v>1197</v>
      </c>
      <c r="D8595" s="561">
        <v>561727</v>
      </c>
      <c r="E8595" s="561">
        <v>168518.1</v>
      </c>
      <c r="G8595" s="561">
        <v>393208.9</v>
      </c>
      <c r="H8595" s="561">
        <v>5645</v>
      </c>
      <c r="I8595" s="561">
        <v>573704.83525</v>
      </c>
      <c r="J8595" s="561">
        <v>5</v>
      </c>
      <c r="K8595" s="561">
        <v>14474.440790000139</v>
      </c>
      <c r="L8595" s="561">
        <v>5640</v>
      </c>
      <c r="M8595" s="561">
        <v>559230.39445999986</v>
      </c>
      <c r="N8595" s="561">
        <v>559230.39445999986</v>
      </c>
      <c r="O8595" s="561">
        <v>168518.1</v>
      </c>
    </row>
    <row r="8596" spans="1:54">
      <c r="C8596" s="561" t="s">
        <v>1198</v>
      </c>
      <c r="G8596" s="561">
        <v>0</v>
      </c>
      <c r="H8596" s="561">
        <v>0</v>
      </c>
      <c r="I8596" s="561">
        <v>0</v>
      </c>
      <c r="J8596" s="561">
        <v>0</v>
      </c>
      <c r="K8596" s="561">
        <v>0</v>
      </c>
      <c r="L8596" s="561">
        <v>0</v>
      </c>
      <c r="M8596" s="561">
        <v>0</v>
      </c>
      <c r="N8596" s="561">
        <v>0</v>
      </c>
      <c r="O8596" s="561">
        <v>0</v>
      </c>
      <c r="P8596" s="561">
        <v>0</v>
      </c>
    </row>
    <row r="8597" spans="1:54">
      <c r="C8597" s="561" t="s">
        <v>1199</v>
      </c>
      <c r="D8597" s="561">
        <v>6604</v>
      </c>
      <c r="E8597" s="561">
        <v>1981.1999999999998</v>
      </c>
      <c r="G8597" s="561">
        <v>4622.8</v>
      </c>
      <c r="H8597" s="561">
        <v>534</v>
      </c>
      <c r="I8597" s="561">
        <v>9104.2627690000008</v>
      </c>
      <c r="J8597" s="561">
        <v>0</v>
      </c>
      <c r="K8597" s="561">
        <v>4.3100690000010218</v>
      </c>
      <c r="L8597" s="561">
        <v>534</v>
      </c>
      <c r="M8597" s="561">
        <v>9099.9526999999998</v>
      </c>
      <c r="N8597" s="561">
        <v>9099.9526999999998</v>
      </c>
      <c r="O8597" s="561">
        <v>1981.1999999999994</v>
      </c>
      <c r="AL8597" s="561">
        <v>7118.7527000000009</v>
      </c>
    </row>
    <row r="8598" spans="1:54">
      <c r="C8598" s="561" t="s">
        <v>1200</v>
      </c>
      <c r="G8598" s="561">
        <v>0</v>
      </c>
      <c r="H8598" s="561">
        <v>0</v>
      </c>
      <c r="I8598" s="561">
        <v>0</v>
      </c>
      <c r="J8598" s="561">
        <v>0</v>
      </c>
      <c r="K8598" s="561">
        <v>0</v>
      </c>
      <c r="L8598" s="561">
        <v>0</v>
      </c>
      <c r="M8598" s="561">
        <v>0</v>
      </c>
      <c r="N8598" s="561">
        <v>0</v>
      </c>
      <c r="O8598" s="561">
        <v>0</v>
      </c>
      <c r="P8598" s="561">
        <v>0</v>
      </c>
    </row>
    <row r="8599" spans="1:54">
      <c r="A8599" s="561">
        <v>9</v>
      </c>
      <c r="B8599" s="561" t="s">
        <v>2021</v>
      </c>
      <c r="C8599" s="561" t="s">
        <v>1196</v>
      </c>
      <c r="D8599" s="561">
        <v>996862</v>
      </c>
      <c r="E8599" s="561">
        <v>291504.3</v>
      </c>
      <c r="F8599" s="561">
        <v>0</v>
      </c>
      <c r="G8599" s="561">
        <v>705357.7</v>
      </c>
      <c r="H8599" s="561">
        <v>13010</v>
      </c>
      <c r="I8599" s="561">
        <v>1008046.5029200001</v>
      </c>
      <c r="J8599" s="561">
        <v>63</v>
      </c>
      <c r="K8599" s="561">
        <v>11186.022840000223</v>
      </c>
      <c r="L8599" s="561">
        <v>12947</v>
      </c>
      <c r="M8599" s="561">
        <v>996860.48007999989</v>
      </c>
      <c r="N8599" s="561">
        <v>996860.48007999989</v>
      </c>
      <c r="O8599" s="561">
        <v>291504.29977777821</v>
      </c>
      <c r="P8599" s="561">
        <v>705356.18030222168</v>
      </c>
    </row>
    <row r="8600" spans="1:54">
      <c r="C8600" s="561" t="s">
        <v>1197</v>
      </c>
      <c r="D8600" s="561">
        <v>982827</v>
      </c>
      <c r="E8600" s="561">
        <v>287293.8</v>
      </c>
      <c r="G8600" s="561">
        <v>695533.2</v>
      </c>
      <c r="H8600" s="561">
        <v>12000</v>
      </c>
      <c r="I8600" s="561">
        <v>992106.58446000016</v>
      </c>
      <c r="J8600" s="561">
        <v>62</v>
      </c>
      <c r="K8600" s="561">
        <v>11484.056820000289</v>
      </c>
      <c r="L8600" s="561">
        <v>11938</v>
      </c>
      <c r="M8600" s="561">
        <v>980622.52763999987</v>
      </c>
      <c r="N8600" s="561">
        <v>980622.52763999987</v>
      </c>
      <c r="O8600" s="561">
        <v>287293.797555556</v>
      </c>
    </row>
    <row r="8601" spans="1:54">
      <c r="C8601" s="561" t="s">
        <v>1198</v>
      </c>
      <c r="G8601" s="561">
        <v>0</v>
      </c>
      <c r="H8601" s="561">
        <v>0</v>
      </c>
      <c r="I8601" s="561">
        <v>0</v>
      </c>
      <c r="J8601" s="561">
        <v>0</v>
      </c>
      <c r="K8601" s="561">
        <v>0</v>
      </c>
      <c r="L8601" s="561">
        <v>0</v>
      </c>
      <c r="M8601" s="561">
        <v>0</v>
      </c>
      <c r="N8601" s="561">
        <v>0</v>
      </c>
      <c r="O8601" s="561">
        <v>0</v>
      </c>
      <c r="P8601" s="561">
        <v>0</v>
      </c>
    </row>
    <row r="8602" spans="1:54">
      <c r="C8602" s="561" t="s">
        <v>1199</v>
      </c>
      <c r="D8602" s="561">
        <v>14035</v>
      </c>
      <c r="E8602" s="561">
        <v>4210.5</v>
      </c>
      <c r="G8602" s="561">
        <v>9824.5</v>
      </c>
      <c r="H8602" s="561">
        <v>1010</v>
      </c>
      <c r="I8602" s="561">
        <v>15939.918460000001</v>
      </c>
      <c r="J8602" s="561">
        <v>1</v>
      </c>
      <c r="K8602" s="561">
        <v>-298.03398000000016</v>
      </c>
      <c r="L8602" s="561">
        <v>1009</v>
      </c>
      <c r="M8602" s="561">
        <v>16237.952440000001</v>
      </c>
      <c r="N8602" s="561">
        <v>16237.952440000001</v>
      </c>
      <c r="O8602" s="561">
        <v>4210.5022222222196</v>
      </c>
      <c r="AL8602" s="561">
        <v>12027.450217777781</v>
      </c>
    </row>
    <row r="8603" spans="1:54">
      <c r="C8603" s="561" t="s">
        <v>1200</v>
      </c>
      <c r="G8603" s="561">
        <v>0</v>
      </c>
      <c r="H8603" s="561">
        <v>0</v>
      </c>
      <c r="I8603" s="561">
        <v>0</v>
      </c>
      <c r="J8603" s="561">
        <v>0</v>
      </c>
      <c r="K8603" s="561">
        <v>0</v>
      </c>
      <c r="L8603" s="561">
        <v>0</v>
      </c>
      <c r="M8603" s="561">
        <v>0</v>
      </c>
      <c r="N8603" s="561">
        <v>0</v>
      </c>
      <c r="O8603" s="561">
        <v>0</v>
      </c>
      <c r="P8603" s="561">
        <v>0</v>
      </c>
    </row>
    <row r="8604" spans="1:54">
      <c r="A8604" s="561">
        <v>10</v>
      </c>
      <c r="B8604" s="561" t="s">
        <v>2022</v>
      </c>
      <c r="C8604" s="561" t="s">
        <v>1196</v>
      </c>
      <c r="D8604" s="561">
        <v>606305</v>
      </c>
      <c r="E8604" s="561">
        <v>169759.19999999998</v>
      </c>
      <c r="F8604" s="561">
        <v>0</v>
      </c>
      <c r="G8604" s="561">
        <v>436545.80000000005</v>
      </c>
      <c r="H8604" s="561">
        <v>11954</v>
      </c>
      <c r="I8604" s="561">
        <v>618405.28333999997</v>
      </c>
      <c r="J8604" s="561">
        <v>30</v>
      </c>
      <c r="K8604" s="561">
        <v>12100.284619999817</v>
      </c>
      <c r="L8604" s="561">
        <v>11924</v>
      </c>
      <c r="M8604" s="561">
        <v>606304.99872000015</v>
      </c>
      <c r="N8604" s="561">
        <v>606304.99872000015</v>
      </c>
      <c r="O8604" s="561">
        <v>169759.19999999998</v>
      </c>
      <c r="P8604" s="561">
        <v>436545.79872000014</v>
      </c>
    </row>
    <row r="8605" spans="1:54">
      <c r="C8605" s="561" t="s">
        <v>1197</v>
      </c>
      <c r="D8605" s="561">
        <v>589656</v>
      </c>
      <c r="E8605" s="561">
        <v>166364.69999999998</v>
      </c>
      <c r="G8605" s="561">
        <v>423291.30000000005</v>
      </c>
      <c r="H8605" s="561">
        <v>10725</v>
      </c>
      <c r="I8605" s="561">
        <v>601567.41970999993</v>
      </c>
      <c r="J8605" s="561">
        <v>28</v>
      </c>
      <c r="K8605" s="561">
        <v>12000.729399999836</v>
      </c>
      <c r="L8605" s="561">
        <v>10697</v>
      </c>
      <c r="M8605" s="561">
        <v>589566.69031000009</v>
      </c>
      <c r="N8605" s="561">
        <v>589566.69031000009</v>
      </c>
      <c r="O8605" s="561">
        <v>166364.69999999998</v>
      </c>
    </row>
    <row r="8606" spans="1:54">
      <c r="C8606" s="561" t="s">
        <v>1198</v>
      </c>
      <c r="G8606" s="561">
        <v>0</v>
      </c>
      <c r="H8606" s="561">
        <v>0</v>
      </c>
      <c r="I8606" s="561">
        <v>0</v>
      </c>
      <c r="J8606" s="561">
        <v>0</v>
      </c>
      <c r="K8606" s="561">
        <v>0</v>
      </c>
      <c r="L8606" s="561">
        <v>0</v>
      </c>
      <c r="M8606" s="561">
        <v>0</v>
      </c>
      <c r="N8606" s="561">
        <v>0</v>
      </c>
      <c r="O8606" s="561">
        <v>0</v>
      </c>
      <c r="P8606" s="561">
        <v>0</v>
      </c>
    </row>
    <row r="8607" spans="1:54">
      <c r="C8607" s="561" t="s">
        <v>1199</v>
      </c>
      <c r="D8607" s="561">
        <v>16649</v>
      </c>
      <c r="E8607" s="561">
        <v>3394.5</v>
      </c>
      <c r="G8607" s="561">
        <v>13254.5</v>
      </c>
      <c r="H8607" s="561">
        <v>1229</v>
      </c>
      <c r="I8607" s="561">
        <v>16837.86363</v>
      </c>
      <c r="J8607" s="561">
        <v>2</v>
      </c>
      <c r="K8607" s="561">
        <v>99.555219999998371</v>
      </c>
      <c r="L8607" s="561">
        <v>1227</v>
      </c>
      <c r="M8607" s="561">
        <v>16738.308410000001</v>
      </c>
      <c r="N8607" s="561">
        <v>16738.308410000001</v>
      </c>
      <c r="O8607" s="561">
        <v>3394.4999999999995</v>
      </c>
      <c r="BB8607" s="561">
        <v>13343.808410000001</v>
      </c>
    </row>
    <row r="8608" spans="1:54">
      <c r="C8608" s="561" t="s">
        <v>1200</v>
      </c>
      <c r="G8608" s="561">
        <v>0</v>
      </c>
      <c r="H8608" s="561">
        <v>0</v>
      </c>
      <c r="I8608" s="561">
        <v>0</v>
      </c>
      <c r="J8608" s="561">
        <v>0</v>
      </c>
      <c r="K8608" s="561">
        <v>0</v>
      </c>
      <c r="L8608" s="561">
        <v>0</v>
      </c>
      <c r="M8608" s="561">
        <v>0</v>
      </c>
      <c r="N8608" s="561">
        <v>0</v>
      </c>
      <c r="O8608" s="561">
        <v>0</v>
      </c>
      <c r="P8608" s="561">
        <v>0</v>
      </c>
    </row>
    <row r="8609" spans="1:54">
      <c r="A8609" s="561">
        <v>11</v>
      </c>
      <c r="B8609" s="561" t="s">
        <v>2023</v>
      </c>
      <c r="C8609" s="561" t="s">
        <v>1196</v>
      </c>
      <c r="D8609" s="561">
        <v>1239580</v>
      </c>
      <c r="E8609" s="561">
        <v>345323.4</v>
      </c>
      <c r="F8609" s="561">
        <v>0</v>
      </c>
      <c r="G8609" s="561">
        <v>894256.6</v>
      </c>
      <c r="H8609" s="561">
        <v>10968</v>
      </c>
      <c r="I8609" s="561">
        <v>1257565.6390500001</v>
      </c>
      <c r="J8609" s="561">
        <v>34</v>
      </c>
      <c r="K8609" s="561">
        <v>17985.634100000374</v>
      </c>
      <c r="L8609" s="561">
        <v>10934</v>
      </c>
      <c r="M8609" s="561">
        <v>1239580.0049499997</v>
      </c>
      <c r="N8609" s="561">
        <v>1239580.0049499997</v>
      </c>
      <c r="O8609" s="561">
        <v>345323.4</v>
      </c>
      <c r="P8609" s="561">
        <v>894256.60494999983</v>
      </c>
    </row>
    <row r="8610" spans="1:54">
      <c r="C8610" s="561" t="s">
        <v>1197</v>
      </c>
      <c r="D8610" s="561">
        <v>1173283</v>
      </c>
      <c r="E8610" s="561">
        <v>336665.7</v>
      </c>
      <c r="G8610" s="561">
        <v>836617.3</v>
      </c>
      <c r="H8610" s="561">
        <v>10054</v>
      </c>
      <c r="I8610" s="561">
        <v>1177352.9175800001</v>
      </c>
      <c r="J8610" s="561">
        <v>34</v>
      </c>
      <c r="K8610" s="561">
        <v>18807.762160000391</v>
      </c>
      <c r="L8610" s="561">
        <v>10020</v>
      </c>
      <c r="M8610" s="561">
        <v>1158545.1554199997</v>
      </c>
      <c r="N8610" s="561">
        <v>1158545.1554199997</v>
      </c>
      <c r="O8610" s="561">
        <v>336665.7</v>
      </c>
    </row>
    <row r="8611" spans="1:54">
      <c r="C8611" s="561" t="s">
        <v>1198</v>
      </c>
      <c r="D8611" s="561">
        <v>43600</v>
      </c>
      <c r="E8611" s="561">
        <v>6388.8</v>
      </c>
      <c r="G8611" s="561">
        <v>37211.199999999997</v>
      </c>
      <c r="H8611" s="561">
        <v>77</v>
      </c>
      <c r="I8611" s="561">
        <v>53574.41977</v>
      </c>
      <c r="J8611" s="561">
        <v>0</v>
      </c>
      <c r="K8611" s="561">
        <v>-756.54928000000655</v>
      </c>
      <c r="L8611" s="561">
        <v>77</v>
      </c>
      <c r="M8611" s="561">
        <v>54330.969050000007</v>
      </c>
      <c r="N8611" s="561">
        <v>54330.969050000007</v>
      </c>
      <c r="O8611" s="561">
        <v>6388.8</v>
      </c>
    </row>
    <row r="8612" spans="1:54">
      <c r="C8612" s="561" t="s">
        <v>1199</v>
      </c>
      <c r="D8612" s="561">
        <v>22697</v>
      </c>
      <c r="E8612" s="561">
        <v>2268.9</v>
      </c>
      <c r="G8612" s="561">
        <v>20428.099999999999</v>
      </c>
      <c r="H8612" s="561">
        <v>837</v>
      </c>
      <c r="I8612" s="561">
        <v>26638.3017</v>
      </c>
      <c r="J8612" s="561">
        <v>0</v>
      </c>
      <c r="K8612" s="561">
        <v>-65.578779999999824</v>
      </c>
      <c r="L8612" s="561">
        <v>837</v>
      </c>
      <c r="M8612" s="561">
        <v>26703.88048</v>
      </c>
      <c r="N8612" s="561">
        <v>26703.88048</v>
      </c>
      <c r="O8612" s="561">
        <v>2268.9</v>
      </c>
      <c r="BB8612" s="561">
        <v>24434.980479999998</v>
      </c>
    </row>
    <row r="8613" spans="1:54">
      <c r="C8613" s="561" t="s">
        <v>1200</v>
      </c>
      <c r="G8613" s="561">
        <v>0</v>
      </c>
      <c r="H8613" s="561">
        <v>0</v>
      </c>
      <c r="I8613" s="561">
        <v>0</v>
      </c>
      <c r="J8613" s="561">
        <v>0</v>
      </c>
      <c r="K8613" s="561">
        <v>0</v>
      </c>
      <c r="L8613" s="561">
        <v>0</v>
      </c>
      <c r="M8613" s="561">
        <v>0</v>
      </c>
      <c r="N8613" s="561">
        <v>0</v>
      </c>
      <c r="O8613" s="561">
        <v>0</v>
      </c>
      <c r="P8613" s="561">
        <v>0</v>
      </c>
    </row>
    <row r="8614" spans="1:54">
      <c r="A8614" s="561">
        <v>12</v>
      </c>
      <c r="B8614" s="561" t="s">
        <v>2024</v>
      </c>
      <c r="C8614" s="561" t="s">
        <v>1196</v>
      </c>
      <c r="D8614" s="561">
        <v>740604</v>
      </c>
      <c r="E8614" s="561">
        <v>216187.49999999997</v>
      </c>
      <c r="F8614" s="561">
        <v>0</v>
      </c>
      <c r="G8614" s="561">
        <v>524416.5</v>
      </c>
      <c r="H8614" s="561">
        <v>10667</v>
      </c>
      <c r="I8614" s="561">
        <v>754635.78028000006</v>
      </c>
      <c r="J8614" s="561">
        <v>12</v>
      </c>
      <c r="K8614" s="561">
        <v>14032.340420000255</v>
      </c>
      <c r="L8614" s="561">
        <v>10655</v>
      </c>
      <c r="M8614" s="561">
        <v>740603.43985999981</v>
      </c>
      <c r="N8614" s="561">
        <v>740603.43985999981</v>
      </c>
      <c r="O8614" s="561">
        <v>216187.49999999997</v>
      </c>
      <c r="P8614" s="561">
        <v>524415.93985999981</v>
      </c>
    </row>
    <row r="8615" spans="1:54">
      <c r="C8615" s="561" t="s">
        <v>1197</v>
      </c>
      <c r="D8615" s="561">
        <v>735103</v>
      </c>
      <c r="E8615" s="561">
        <v>214537.19999999998</v>
      </c>
      <c r="G8615" s="561">
        <v>520565.80000000005</v>
      </c>
      <c r="H8615" s="561">
        <v>10213</v>
      </c>
      <c r="I8615" s="561">
        <v>748536.6089900001</v>
      </c>
      <c r="J8615" s="561">
        <v>12</v>
      </c>
      <c r="K8615" s="561">
        <v>13950.599660000298</v>
      </c>
      <c r="L8615" s="561">
        <v>10201</v>
      </c>
      <c r="M8615" s="561">
        <v>734586.0093299998</v>
      </c>
      <c r="N8615" s="561">
        <v>734586.0093299998</v>
      </c>
      <c r="O8615" s="561">
        <v>214537.19999999998</v>
      </c>
    </row>
    <row r="8616" spans="1:54">
      <c r="C8616" s="561" t="s">
        <v>1198</v>
      </c>
      <c r="G8616" s="561">
        <v>0</v>
      </c>
      <c r="H8616" s="561">
        <v>0</v>
      </c>
      <c r="I8616" s="561">
        <v>0</v>
      </c>
      <c r="J8616" s="561">
        <v>0</v>
      </c>
      <c r="K8616" s="561">
        <v>0</v>
      </c>
      <c r="L8616" s="561">
        <v>0</v>
      </c>
      <c r="M8616" s="561">
        <v>0</v>
      </c>
      <c r="N8616" s="561">
        <v>0</v>
      </c>
      <c r="O8616" s="561">
        <v>0</v>
      </c>
      <c r="P8616" s="561">
        <v>0</v>
      </c>
    </row>
    <row r="8617" spans="1:54">
      <c r="C8617" s="561" t="s">
        <v>1199</v>
      </c>
      <c r="D8617" s="561">
        <v>5501</v>
      </c>
      <c r="E8617" s="561">
        <v>1650.3</v>
      </c>
      <c r="G8617" s="561">
        <v>3850.7</v>
      </c>
      <c r="H8617" s="561">
        <v>454</v>
      </c>
      <c r="I8617" s="561">
        <v>6099.1712900000002</v>
      </c>
      <c r="J8617" s="561">
        <v>0</v>
      </c>
      <c r="K8617" s="561">
        <v>81.740759999999682</v>
      </c>
      <c r="L8617" s="561">
        <v>454</v>
      </c>
      <c r="M8617" s="561">
        <v>6017.4305300000005</v>
      </c>
      <c r="N8617" s="561">
        <v>6017.4305300000005</v>
      </c>
      <c r="O8617" s="561">
        <v>1650.3</v>
      </c>
      <c r="BB8617" s="561">
        <v>4367.1305300000004</v>
      </c>
    </row>
    <row r="8618" spans="1:54">
      <c r="C8618" s="561" t="s">
        <v>1200</v>
      </c>
      <c r="G8618" s="561">
        <v>0</v>
      </c>
      <c r="H8618" s="561">
        <v>0</v>
      </c>
      <c r="I8618" s="561">
        <v>0</v>
      </c>
      <c r="J8618" s="561">
        <v>0</v>
      </c>
      <c r="K8618" s="561">
        <v>0</v>
      </c>
      <c r="L8618" s="561">
        <v>0</v>
      </c>
      <c r="M8618" s="561">
        <v>0</v>
      </c>
      <c r="N8618" s="561">
        <v>0</v>
      </c>
      <c r="O8618" s="561">
        <v>0</v>
      </c>
      <c r="P8618" s="561">
        <v>0</v>
      </c>
    </row>
    <row r="8619" spans="1:54">
      <c r="A8619" s="561">
        <v>13</v>
      </c>
      <c r="B8619" s="561" t="s">
        <v>2025</v>
      </c>
      <c r="C8619" s="561" t="s">
        <v>1196</v>
      </c>
      <c r="D8619" s="561">
        <v>153398.1</v>
      </c>
      <c r="E8619" s="561">
        <v>54132.3</v>
      </c>
      <c r="F8619" s="561">
        <v>0</v>
      </c>
      <c r="G8619" s="561">
        <v>99265.8</v>
      </c>
      <c r="H8619" s="561">
        <v>3583</v>
      </c>
      <c r="I8619" s="561">
        <v>154059.51515999998</v>
      </c>
      <c r="J8619" s="561">
        <v>10</v>
      </c>
      <c r="K8619" s="561">
        <v>664.08408999998937</v>
      </c>
      <c r="L8619" s="561">
        <v>3573</v>
      </c>
      <c r="M8619" s="561">
        <v>153395.43106999999</v>
      </c>
      <c r="N8619" s="561">
        <v>153395.43106999999</v>
      </c>
      <c r="O8619" s="561">
        <v>54132.3</v>
      </c>
      <c r="P8619" s="561">
        <v>99263.131070000003</v>
      </c>
    </row>
    <row r="8620" spans="1:54">
      <c r="C8620" s="561" t="s">
        <v>1197</v>
      </c>
      <c r="D8620" s="561">
        <v>129060.7</v>
      </c>
      <c r="E8620" s="561">
        <v>47331</v>
      </c>
      <c r="G8620" s="561">
        <v>81729.7</v>
      </c>
      <c r="H8620" s="561">
        <v>1910</v>
      </c>
      <c r="I8620" s="561">
        <v>129535.40956999997</v>
      </c>
      <c r="J8620" s="561">
        <v>3</v>
      </c>
      <c r="K8620" s="561">
        <v>504.42808999997214</v>
      </c>
      <c r="L8620" s="561">
        <v>1907</v>
      </c>
      <c r="M8620" s="561">
        <v>129030.98148</v>
      </c>
      <c r="N8620" s="561">
        <v>129030.98148</v>
      </c>
      <c r="O8620" s="561">
        <v>47331</v>
      </c>
    </row>
    <row r="8621" spans="1:54">
      <c r="C8621" s="561" t="s">
        <v>1198</v>
      </c>
      <c r="G8621" s="561">
        <v>0</v>
      </c>
      <c r="H8621" s="561">
        <v>0</v>
      </c>
      <c r="I8621" s="561">
        <v>0</v>
      </c>
      <c r="J8621" s="561">
        <v>0</v>
      </c>
      <c r="K8621" s="561">
        <v>0</v>
      </c>
      <c r="L8621" s="561">
        <v>0</v>
      </c>
      <c r="M8621" s="561">
        <v>0</v>
      </c>
      <c r="N8621" s="561">
        <v>0</v>
      </c>
      <c r="O8621" s="561">
        <v>0</v>
      </c>
      <c r="P8621" s="561">
        <v>0</v>
      </c>
      <c r="AR8621" s="561">
        <v>17563.149590000001</v>
      </c>
    </row>
    <row r="8622" spans="1:54">
      <c r="C8622" s="561" t="s">
        <v>1199</v>
      </c>
      <c r="D8622" s="561">
        <v>24337.4</v>
      </c>
      <c r="E8622" s="561">
        <v>6801.3</v>
      </c>
      <c r="G8622" s="561">
        <v>17536.100000000002</v>
      </c>
      <c r="H8622" s="561">
        <v>1673</v>
      </c>
      <c r="I8622" s="561">
        <v>24524.105590000003</v>
      </c>
      <c r="J8622" s="561">
        <v>7</v>
      </c>
      <c r="K8622" s="561">
        <v>159.65600000000268</v>
      </c>
      <c r="L8622" s="561">
        <v>1666</v>
      </c>
      <c r="M8622" s="561">
        <v>24364.44959</v>
      </c>
      <c r="N8622" s="561">
        <v>24364.44959</v>
      </c>
      <c r="O8622" s="561">
        <v>6801.2999999999993</v>
      </c>
    </row>
    <row r="8623" spans="1:54">
      <c r="C8623" s="561" t="s">
        <v>1200</v>
      </c>
      <c r="G8623" s="561">
        <v>0</v>
      </c>
      <c r="H8623" s="561">
        <v>0</v>
      </c>
      <c r="I8623" s="561">
        <v>0</v>
      </c>
      <c r="J8623" s="561">
        <v>0</v>
      </c>
      <c r="K8623" s="561">
        <v>0</v>
      </c>
      <c r="L8623" s="561">
        <v>0</v>
      </c>
      <c r="M8623" s="561">
        <v>0</v>
      </c>
      <c r="N8623" s="561">
        <v>0</v>
      </c>
      <c r="O8623" s="561">
        <v>0</v>
      </c>
      <c r="P8623" s="561">
        <v>0</v>
      </c>
    </row>
    <row r="8624" spans="1:54">
      <c r="A8624" s="561">
        <v>14</v>
      </c>
      <c r="B8624" s="561" t="s">
        <v>2026</v>
      </c>
      <c r="C8624" s="561" t="s">
        <v>1196</v>
      </c>
      <c r="D8624" s="561">
        <v>312253</v>
      </c>
      <c r="E8624" s="561">
        <v>91308.599999999991</v>
      </c>
      <c r="F8624" s="561">
        <v>0</v>
      </c>
      <c r="G8624" s="561">
        <v>220944.4</v>
      </c>
      <c r="H8624" s="561">
        <v>14032</v>
      </c>
      <c r="I8624" s="561">
        <v>316517.00893499999</v>
      </c>
      <c r="J8624" s="561">
        <v>1987</v>
      </c>
      <c r="K8624" s="561">
        <v>4264.7930000000051</v>
      </c>
      <c r="L8624" s="561">
        <v>12045</v>
      </c>
      <c r="M8624" s="561">
        <v>312252.21593499999</v>
      </c>
      <c r="N8624" s="561">
        <v>312252.21593499999</v>
      </c>
      <c r="O8624" s="561">
        <v>91308.599999999991</v>
      </c>
      <c r="P8624" s="561">
        <v>220943.61593499998</v>
      </c>
    </row>
    <row r="8625" spans="1:54">
      <c r="C8625" s="561" t="s">
        <v>1197</v>
      </c>
      <c r="D8625" s="561">
        <v>284259</v>
      </c>
      <c r="E8625" s="561">
        <v>82910.399999999994</v>
      </c>
      <c r="G8625" s="561">
        <v>201348.6</v>
      </c>
      <c r="H8625" s="561">
        <v>1743</v>
      </c>
      <c r="I8625" s="561">
        <v>284886.212</v>
      </c>
      <c r="J8625" s="561">
        <v>1</v>
      </c>
      <c r="K8625" s="561">
        <v>211.96370000002207</v>
      </c>
      <c r="L8625" s="561">
        <v>1742</v>
      </c>
      <c r="M8625" s="561">
        <v>284674.24829999998</v>
      </c>
      <c r="N8625" s="561">
        <v>284674.24829999998</v>
      </c>
      <c r="O8625" s="561">
        <v>82910.399999999994</v>
      </c>
    </row>
    <row r="8626" spans="1:54">
      <c r="C8626" s="561" t="s">
        <v>1198</v>
      </c>
      <c r="G8626" s="561">
        <v>0</v>
      </c>
      <c r="H8626" s="561">
        <v>0</v>
      </c>
      <c r="I8626" s="561">
        <v>0</v>
      </c>
      <c r="J8626" s="561">
        <v>0</v>
      </c>
      <c r="K8626" s="561">
        <v>0</v>
      </c>
      <c r="L8626" s="561">
        <v>0</v>
      </c>
      <c r="M8626" s="561">
        <v>0</v>
      </c>
      <c r="N8626" s="561">
        <v>0</v>
      </c>
      <c r="O8626" s="561">
        <v>0</v>
      </c>
      <c r="P8626" s="561">
        <v>0</v>
      </c>
    </row>
    <row r="8627" spans="1:54">
      <c r="C8627" s="561" t="s">
        <v>1199</v>
      </c>
      <c r="D8627" s="561">
        <v>5144</v>
      </c>
      <c r="E8627" s="561">
        <v>1543.2</v>
      </c>
      <c r="G8627" s="561">
        <v>3600.8</v>
      </c>
      <c r="H8627" s="561">
        <v>303</v>
      </c>
      <c r="I8627" s="561">
        <v>5284.3448199999993</v>
      </c>
      <c r="J8627" s="561">
        <v>0</v>
      </c>
      <c r="K8627" s="561">
        <v>503.03701999999976</v>
      </c>
      <c r="L8627" s="561">
        <v>303</v>
      </c>
      <c r="M8627" s="561">
        <v>4781.3077999999996</v>
      </c>
      <c r="N8627" s="561">
        <v>4781.3077999999996</v>
      </c>
      <c r="O8627" s="561">
        <v>1543.2</v>
      </c>
      <c r="BB8627" s="561">
        <v>3238.1077999999998</v>
      </c>
    </row>
    <row r="8628" spans="1:54">
      <c r="C8628" s="561" t="s">
        <v>1200</v>
      </c>
      <c r="D8628" s="561">
        <v>22850</v>
      </c>
      <c r="E8628" s="561">
        <v>6855</v>
      </c>
      <c r="G8628" s="561">
        <v>15995</v>
      </c>
      <c r="H8628" s="561">
        <v>11986</v>
      </c>
      <c r="I8628" s="561">
        <v>26346.452114999996</v>
      </c>
      <c r="J8628" s="561">
        <v>1986</v>
      </c>
      <c r="K8628" s="561">
        <v>3549.7922799999978</v>
      </c>
      <c r="L8628" s="561">
        <v>10000</v>
      </c>
      <c r="M8628" s="561">
        <v>22796.659834999999</v>
      </c>
      <c r="N8628" s="561">
        <v>22796.659834999999</v>
      </c>
      <c r="O8628" s="561">
        <v>6855</v>
      </c>
      <c r="P8628" s="561">
        <v>15941.659834999999</v>
      </c>
    </row>
    <row r="8629" spans="1:54">
      <c r="A8629" s="561">
        <v>15</v>
      </c>
      <c r="B8629" s="561" t="s">
        <v>2027</v>
      </c>
      <c r="C8629" s="561" t="s">
        <v>1196</v>
      </c>
      <c r="D8629" s="561">
        <v>2221177</v>
      </c>
      <c r="E8629" s="561">
        <v>580806.6</v>
      </c>
      <c r="F8629" s="561">
        <v>0</v>
      </c>
      <c r="G8629" s="561">
        <v>1640370.4</v>
      </c>
      <c r="H8629" s="561">
        <v>10888</v>
      </c>
      <c r="I8629" s="561">
        <v>2242952.2786100004</v>
      </c>
      <c r="J8629" s="561">
        <v>31</v>
      </c>
      <c r="K8629" s="561">
        <v>21775.763480000664</v>
      </c>
      <c r="L8629" s="561">
        <v>10857</v>
      </c>
      <c r="M8629" s="561">
        <v>2221176.5151299997</v>
      </c>
      <c r="N8629" s="561">
        <v>2221176.5151299997</v>
      </c>
      <c r="O8629" s="561">
        <v>580806.60000000009</v>
      </c>
      <c r="P8629" s="561">
        <v>1640369.9151299996</v>
      </c>
    </row>
    <row r="8630" spans="1:54">
      <c r="C8630" s="561" t="s">
        <v>1197</v>
      </c>
      <c r="D8630" s="561">
        <v>1050010.1000000001</v>
      </c>
      <c r="E8630" s="561">
        <v>350773.8</v>
      </c>
      <c r="G8630" s="561">
        <v>699236.3</v>
      </c>
      <c r="H8630" s="561">
        <v>8250</v>
      </c>
      <c r="I8630" s="561">
        <v>869354.40733999992</v>
      </c>
      <c r="J8630" s="561">
        <v>27</v>
      </c>
      <c r="K8630" s="561">
        <v>11502.057270000107</v>
      </c>
      <c r="L8630" s="561">
        <v>8223</v>
      </c>
      <c r="M8630" s="561">
        <v>857852.35006999981</v>
      </c>
      <c r="N8630" s="561">
        <v>857852.35006999981</v>
      </c>
      <c r="O8630" s="561">
        <v>350773.80000000005</v>
      </c>
    </row>
    <row r="8631" spans="1:54">
      <c r="C8631" s="561" t="s">
        <v>1198</v>
      </c>
      <c r="D8631" s="561">
        <v>1171166.8999999999</v>
      </c>
      <c r="E8631" s="561">
        <v>230032.8</v>
      </c>
      <c r="G8631" s="561">
        <v>941134.09999999986</v>
      </c>
      <c r="H8631" s="561">
        <v>2638</v>
      </c>
      <c r="I8631" s="561">
        <v>1373597.8712700002</v>
      </c>
      <c r="J8631" s="561">
        <v>4</v>
      </c>
      <c r="K8631" s="561">
        <v>10273.706210000208</v>
      </c>
      <c r="L8631" s="561">
        <v>2634</v>
      </c>
      <c r="M8631" s="561">
        <v>1363324.16506</v>
      </c>
      <c r="N8631" s="561">
        <v>1363324.16506</v>
      </c>
      <c r="O8631" s="561">
        <v>230032.8</v>
      </c>
    </row>
    <row r="8632" spans="1:54">
      <c r="C8632" s="561" t="s">
        <v>1199</v>
      </c>
      <c r="G8632" s="561">
        <v>0</v>
      </c>
      <c r="H8632" s="561">
        <v>0</v>
      </c>
      <c r="I8632" s="561">
        <v>0</v>
      </c>
      <c r="J8632" s="561">
        <v>0</v>
      </c>
      <c r="K8632" s="561">
        <v>0</v>
      </c>
      <c r="L8632" s="561">
        <v>0</v>
      </c>
      <c r="M8632" s="561">
        <v>0</v>
      </c>
      <c r="N8632" s="561">
        <v>0</v>
      </c>
      <c r="O8632" s="561">
        <v>0</v>
      </c>
      <c r="P8632" s="561">
        <v>0</v>
      </c>
    </row>
    <row r="8633" spans="1:54">
      <c r="C8633" s="561" t="s">
        <v>1200</v>
      </c>
      <c r="G8633" s="561">
        <v>0</v>
      </c>
      <c r="H8633" s="561">
        <v>0</v>
      </c>
      <c r="I8633" s="561">
        <v>0</v>
      </c>
      <c r="J8633" s="561">
        <v>0</v>
      </c>
      <c r="K8633" s="561">
        <v>0</v>
      </c>
      <c r="L8633" s="561">
        <v>0</v>
      </c>
      <c r="M8633" s="561">
        <v>0</v>
      </c>
      <c r="N8633" s="561">
        <v>0</v>
      </c>
      <c r="O8633" s="561">
        <v>0</v>
      </c>
      <c r="P8633" s="561">
        <v>0</v>
      </c>
    </row>
    <row r="8634" spans="1:54">
      <c r="A8634" s="561">
        <v>16</v>
      </c>
      <c r="B8634" s="561" t="s">
        <v>2028</v>
      </c>
      <c r="C8634" s="561" t="s">
        <v>1196</v>
      </c>
      <c r="D8634" s="561">
        <v>12108</v>
      </c>
      <c r="E8634" s="561">
        <v>4350.6000000000004</v>
      </c>
      <c r="F8634" s="561">
        <v>0</v>
      </c>
      <c r="G8634" s="561">
        <v>7757.4</v>
      </c>
      <c r="H8634" s="561">
        <v>292</v>
      </c>
      <c r="I8634" s="561">
        <v>12331.419120000002</v>
      </c>
      <c r="J8634" s="561">
        <v>5</v>
      </c>
      <c r="K8634" s="561">
        <v>223.42288333333272</v>
      </c>
      <c r="L8634" s="561">
        <v>287</v>
      </c>
      <c r="M8634" s="561">
        <v>12107.99623666667</v>
      </c>
      <c r="N8634" s="561">
        <v>12107.99623666667</v>
      </c>
      <c r="O8634" s="561">
        <v>4350.596999999997</v>
      </c>
      <c r="P8634" s="561">
        <v>7757.3992366666735</v>
      </c>
    </row>
    <row r="8635" spans="1:54">
      <c r="C8635" s="561" t="s">
        <v>1197</v>
      </c>
      <c r="D8635" s="561">
        <v>10434</v>
      </c>
      <c r="E8635" s="561">
        <v>3848.1</v>
      </c>
      <c r="G8635" s="561">
        <v>6585.9</v>
      </c>
      <c r="H8635" s="561">
        <v>170</v>
      </c>
      <c r="I8635" s="561">
        <v>10427.529650000002</v>
      </c>
      <c r="J8635" s="561">
        <v>4</v>
      </c>
      <c r="K8635" s="561">
        <v>211.37025333333258</v>
      </c>
      <c r="L8635" s="561">
        <v>166</v>
      </c>
      <c r="M8635" s="561">
        <v>10216.15939666667</v>
      </c>
      <c r="N8635" s="561">
        <v>10216.15939666667</v>
      </c>
      <c r="O8635" s="561">
        <v>3848.0969999999966</v>
      </c>
    </row>
    <row r="8636" spans="1:54">
      <c r="C8636" s="561" t="s">
        <v>1198</v>
      </c>
      <c r="G8636" s="561">
        <v>0</v>
      </c>
      <c r="H8636" s="561">
        <v>0</v>
      </c>
      <c r="I8636" s="561">
        <v>0</v>
      </c>
      <c r="J8636" s="561">
        <v>0</v>
      </c>
      <c r="K8636" s="561">
        <v>0</v>
      </c>
      <c r="L8636" s="561">
        <v>0</v>
      </c>
      <c r="M8636" s="561">
        <v>0</v>
      </c>
      <c r="N8636" s="561">
        <v>0</v>
      </c>
      <c r="O8636" s="561">
        <v>0</v>
      </c>
      <c r="P8636" s="561">
        <v>0</v>
      </c>
    </row>
    <row r="8637" spans="1:54">
      <c r="C8637" s="561" t="s">
        <v>1199</v>
      </c>
      <c r="D8637" s="561">
        <v>1674</v>
      </c>
      <c r="E8637" s="561">
        <v>502.5</v>
      </c>
      <c r="G8637" s="561">
        <v>1171.5</v>
      </c>
      <c r="H8637" s="561">
        <v>122</v>
      </c>
      <c r="I8637" s="561">
        <v>1903.8894700000001</v>
      </c>
      <c r="J8637" s="561">
        <v>1</v>
      </c>
      <c r="K8637" s="561">
        <v>12.052630000000136</v>
      </c>
      <c r="L8637" s="561">
        <v>121</v>
      </c>
      <c r="M8637" s="561">
        <v>1891.8368399999999</v>
      </c>
      <c r="N8637" s="561">
        <v>1891.8368399999999</v>
      </c>
      <c r="O8637" s="561">
        <v>502.50000000000034</v>
      </c>
      <c r="AL8637" s="561">
        <v>1389.3368399999995</v>
      </c>
    </row>
    <row r="8638" spans="1:54">
      <c r="C8638" s="561" t="s">
        <v>1200</v>
      </c>
      <c r="G8638" s="561">
        <v>0</v>
      </c>
      <c r="H8638" s="561">
        <v>0</v>
      </c>
      <c r="I8638" s="561">
        <v>0</v>
      </c>
      <c r="J8638" s="561">
        <v>0</v>
      </c>
      <c r="K8638" s="561">
        <v>0</v>
      </c>
      <c r="L8638" s="561">
        <v>0</v>
      </c>
      <c r="M8638" s="561">
        <v>0</v>
      </c>
      <c r="N8638" s="561">
        <v>0</v>
      </c>
      <c r="O8638" s="561">
        <v>0</v>
      </c>
      <c r="P8638" s="561">
        <v>0</v>
      </c>
    </row>
    <row r="8639" spans="1:54">
      <c r="A8639" s="561">
        <v>17</v>
      </c>
      <c r="B8639" s="561" t="s">
        <v>2029</v>
      </c>
      <c r="C8639" s="561" t="s">
        <v>1196</v>
      </c>
      <c r="D8639" s="561">
        <v>533557</v>
      </c>
      <c r="E8639" s="561">
        <v>146927.4</v>
      </c>
      <c r="F8639" s="561">
        <v>0</v>
      </c>
      <c r="G8639" s="561">
        <v>386629.6</v>
      </c>
      <c r="H8639" s="561">
        <v>9220</v>
      </c>
      <c r="I8639" s="561">
        <v>556729.43105000001</v>
      </c>
      <c r="J8639" s="561">
        <v>79</v>
      </c>
      <c r="K8639" s="561">
        <v>23174.235730000073</v>
      </c>
      <c r="L8639" s="561">
        <v>9141</v>
      </c>
      <c r="M8639" s="561">
        <v>533555.19531999994</v>
      </c>
      <c r="N8639" s="561">
        <v>533555.19531999994</v>
      </c>
      <c r="O8639" s="561">
        <v>146927.4</v>
      </c>
      <c r="P8639" s="561">
        <v>386627.79531999986</v>
      </c>
    </row>
    <row r="8640" spans="1:54">
      <c r="C8640" s="561" t="s">
        <v>1197</v>
      </c>
      <c r="D8640" s="561">
        <v>507096</v>
      </c>
      <c r="E8640" s="561">
        <v>139130.4</v>
      </c>
      <c r="G8640" s="561">
        <v>367965.6</v>
      </c>
      <c r="H8640" s="561">
        <v>7541</v>
      </c>
      <c r="I8640" s="561">
        <v>516976.07611000002</v>
      </c>
      <c r="J8640" s="561">
        <v>42</v>
      </c>
      <c r="K8640" s="561">
        <v>9793.8749400001252</v>
      </c>
      <c r="L8640" s="561">
        <v>7499</v>
      </c>
      <c r="M8640" s="561">
        <v>507182.2011699999</v>
      </c>
      <c r="N8640" s="561">
        <v>507182.2011699999</v>
      </c>
      <c r="O8640" s="561">
        <v>139130.4</v>
      </c>
    </row>
    <row r="8641" spans="1:56">
      <c r="C8641" s="561" t="s">
        <v>1198</v>
      </c>
      <c r="G8641" s="561">
        <v>0</v>
      </c>
      <c r="H8641" s="561">
        <v>36</v>
      </c>
      <c r="I8641" s="561">
        <v>13268.6443</v>
      </c>
      <c r="J8641" s="561">
        <v>36</v>
      </c>
      <c r="K8641" s="561">
        <v>13268.6443</v>
      </c>
      <c r="L8641" s="561">
        <v>0</v>
      </c>
      <c r="M8641" s="561">
        <v>0</v>
      </c>
      <c r="N8641" s="561">
        <v>0</v>
      </c>
      <c r="O8641" s="561">
        <v>0</v>
      </c>
      <c r="P8641" s="561">
        <v>0</v>
      </c>
    </row>
    <row r="8642" spans="1:56">
      <c r="C8642" s="561" t="s">
        <v>1199</v>
      </c>
      <c r="D8642" s="561">
        <v>26461</v>
      </c>
      <c r="E8642" s="561">
        <v>7797</v>
      </c>
      <c r="G8642" s="561">
        <v>18664</v>
      </c>
      <c r="H8642" s="561">
        <v>1643</v>
      </c>
      <c r="I8642" s="561">
        <v>26484.710640000001</v>
      </c>
      <c r="J8642" s="561">
        <v>1</v>
      </c>
      <c r="K8642" s="561">
        <v>111.71648999999888</v>
      </c>
      <c r="L8642" s="561">
        <v>1642</v>
      </c>
      <c r="M8642" s="561">
        <v>26372.994150000002</v>
      </c>
      <c r="N8642" s="561">
        <v>26372.994150000002</v>
      </c>
      <c r="O8642" s="561">
        <v>7796.9999999999991</v>
      </c>
      <c r="AL8642" s="561">
        <v>18575.994150000002</v>
      </c>
    </row>
    <row r="8643" spans="1:56">
      <c r="C8643" s="561" t="s">
        <v>1200</v>
      </c>
      <c r="G8643" s="561">
        <v>0</v>
      </c>
      <c r="H8643" s="561">
        <v>0</v>
      </c>
      <c r="I8643" s="561">
        <v>0</v>
      </c>
      <c r="J8643" s="561">
        <v>0</v>
      </c>
      <c r="K8643" s="561">
        <v>0</v>
      </c>
      <c r="L8643" s="561">
        <v>0</v>
      </c>
      <c r="M8643" s="561">
        <v>0</v>
      </c>
      <c r="N8643" s="561">
        <v>0</v>
      </c>
      <c r="O8643" s="561">
        <v>0</v>
      </c>
      <c r="P8643" s="561">
        <v>0</v>
      </c>
    </row>
    <row r="8644" spans="1:56">
      <c r="A8644" s="561">
        <v>18</v>
      </c>
      <c r="B8644" s="561" t="s">
        <v>2030</v>
      </c>
      <c r="C8644" s="561" t="s">
        <v>1196</v>
      </c>
      <c r="D8644" s="561">
        <v>6625076</v>
      </c>
      <c r="E8644" s="561">
        <v>1020000</v>
      </c>
      <c r="F8644" s="561">
        <v>415142.95279999997</v>
      </c>
      <c r="G8644" s="561">
        <v>5189933.0471999999</v>
      </c>
      <c r="H8644" s="561">
        <v>6054</v>
      </c>
      <c r="I8644" s="561">
        <v>6758753.2205899991</v>
      </c>
      <c r="J8644" s="561">
        <v>99</v>
      </c>
      <c r="K8644" s="561">
        <v>133677.25461999886</v>
      </c>
      <c r="L8644" s="561">
        <v>5955</v>
      </c>
      <c r="M8644" s="561">
        <v>6625075.9659700003</v>
      </c>
      <c r="N8644" s="561">
        <v>6625075.9659700003</v>
      </c>
      <c r="O8644" s="561">
        <v>1435142.9527999999</v>
      </c>
      <c r="P8644" s="561">
        <v>5189933.0131699992</v>
      </c>
    </row>
    <row r="8645" spans="1:56">
      <c r="C8645" s="561" t="s">
        <v>1197</v>
      </c>
      <c r="D8645" s="561">
        <v>1326101</v>
      </c>
      <c r="E8645" s="561">
        <v>165933.29999999999</v>
      </c>
      <c r="F8645" s="561">
        <v>198266.50880000001</v>
      </c>
      <c r="G8645" s="561">
        <v>961901.1912</v>
      </c>
      <c r="H8645" s="561">
        <v>3984</v>
      </c>
      <c r="I8645" s="561">
        <v>1371537.5258800001</v>
      </c>
      <c r="J8645" s="561">
        <v>67</v>
      </c>
      <c r="K8645" s="561">
        <v>38255.118230000138</v>
      </c>
      <c r="L8645" s="561">
        <v>3917</v>
      </c>
      <c r="M8645" s="561">
        <v>1333282.40765</v>
      </c>
      <c r="N8645" s="561">
        <v>1333282.40765</v>
      </c>
      <c r="O8645" s="561">
        <v>364199.8088</v>
      </c>
    </row>
    <row r="8646" spans="1:56">
      <c r="C8646" s="561" t="s">
        <v>1198</v>
      </c>
      <c r="D8646" s="561">
        <v>5298975</v>
      </c>
      <c r="E8646" s="561">
        <v>854066.7</v>
      </c>
      <c r="F8646" s="561">
        <v>216876.44399999999</v>
      </c>
      <c r="G8646" s="561">
        <v>4228031.8559999997</v>
      </c>
      <c r="H8646" s="561">
        <v>2070</v>
      </c>
      <c r="I8646" s="561">
        <v>5387215.6947099995</v>
      </c>
      <c r="J8646" s="561">
        <v>32</v>
      </c>
      <c r="K8646" s="561">
        <v>95422.13638999965</v>
      </c>
      <c r="L8646" s="561">
        <v>2038</v>
      </c>
      <c r="M8646" s="561">
        <v>5291793.5583199998</v>
      </c>
      <c r="N8646" s="561">
        <v>5291793.5583199998</v>
      </c>
      <c r="O8646" s="561">
        <v>1070943.1439999999</v>
      </c>
    </row>
    <row r="8647" spans="1:56">
      <c r="C8647" s="561" t="s">
        <v>1199</v>
      </c>
      <c r="G8647" s="561">
        <v>0</v>
      </c>
      <c r="H8647" s="561">
        <v>0</v>
      </c>
      <c r="I8647" s="561">
        <v>0</v>
      </c>
      <c r="J8647" s="561">
        <v>0</v>
      </c>
      <c r="K8647" s="561">
        <v>0</v>
      </c>
      <c r="L8647" s="561">
        <v>0</v>
      </c>
      <c r="M8647" s="561">
        <v>0</v>
      </c>
      <c r="N8647" s="561">
        <v>0</v>
      </c>
      <c r="O8647" s="561">
        <v>0</v>
      </c>
      <c r="P8647" s="561">
        <v>0</v>
      </c>
    </row>
    <row r="8648" spans="1:56">
      <c r="C8648" s="561" t="s">
        <v>1200</v>
      </c>
      <c r="G8648" s="561">
        <v>0</v>
      </c>
      <c r="H8648" s="561">
        <v>0</v>
      </c>
      <c r="I8648" s="561">
        <v>0</v>
      </c>
      <c r="J8648" s="561">
        <v>0</v>
      </c>
      <c r="K8648" s="561">
        <v>0</v>
      </c>
      <c r="L8648" s="561">
        <v>0</v>
      </c>
      <c r="M8648" s="561">
        <v>0</v>
      </c>
      <c r="N8648" s="561">
        <v>0</v>
      </c>
      <c r="O8648" s="561">
        <v>0</v>
      </c>
      <c r="P8648" s="561">
        <v>0</v>
      </c>
    </row>
    <row r="8649" spans="1:56">
      <c r="A8649" s="561">
        <v>19</v>
      </c>
      <c r="B8649" s="561" t="s">
        <v>2031</v>
      </c>
      <c r="C8649" s="561" t="s">
        <v>1196</v>
      </c>
      <c r="D8649" s="561">
        <v>94342</v>
      </c>
      <c r="E8649" s="561">
        <v>25053.9</v>
      </c>
      <c r="F8649" s="561">
        <v>0</v>
      </c>
      <c r="G8649" s="561">
        <v>69288.100000000006</v>
      </c>
      <c r="H8649" s="561">
        <v>946</v>
      </c>
      <c r="I8649" s="561">
        <v>97290.462270000018</v>
      </c>
      <c r="J8649" s="561">
        <v>0</v>
      </c>
      <c r="K8649" s="561">
        <v>2948.4637200000143</v>
      </c>
      <c r="L8649" s="561">
        <v>946</v>
      </c>
      <c r="M8649" s="561">
        <v>94341.998550000004</v>
      </c>
      <c r="N8649" s="561">
        <v>94341.998550000004</v>
      </c>
      <c r="O8649" s="561">
        <v>25053.899999999998</v>
      </c>
      <c r="P8649" s="561">
        <v>69288.09855000001</v>
      </c>
    </row>
    <row r="8650" spans="1:56">
      <c r="C8650" s="561" t="s">
        <v>1197</v>
      </c>
      <c r="D8650" s="561">
        <v>87137</v>
      </c>
      <c r="E8650" s="561">
        <v>23932.2</v>
      </c>
      <c r="G8650" s="561">
        <v>63204.800000000003</v>
      </c>
      <c r="H8650" s="561">
        <v>767</v>
      </c>
      <c r="I8650" s="561">
        <v>90432.804910000021</v>
      </c>
      <c r="J8650" s="561">
        <v>0</v>
      </c>
      <c r="K8650" s="561">
        <v>2815.1626133333484</v>
      </c>
      <c r="L8650" s="561">
        <v>767</v>
      </c>
      <c r="M8650" s="561">
        <v>87617.642296666672</v>
      </c>
      <c r="N8650" s="561">
        <v>87617.642296666672</v>
      </c>
      <c r="O8650" s="561">
        <v>23932.199999999997</v>
      </c>
    </row>
    <row r="8651" spans="1:56">
      <c r="C8651" s="561" t="s">
        <v>1198</v>
      </c>
      <c r="G8651" s="561">
        <v>0</v>
      </c>
      <c r="H8651" s="561">
        <v>0</v>
      </c>
      <c r="I8651" s="561">
        <v>0</v>
      </c>
      <c r="J8651" s="561">
        <v>0</v>
      </c>
      <c r="K8651" s="561">
        <v>0</v>
      </c>
      <c r="L8651" s="561">
        <v>0</v>
      </c>
      <c r="M8651" s="561">
        <v>0</v>
      </c>
      <c r="N8651" s="561">
        <v>0</v>
      </c>
      <c r="O8651" s="561">
        <v>0</v>
      </c>
      <c r="P8651" s="561">
        <v>0</v>
      </c>
    </row>
    <row r="8652" spans="1:56">
      <c r="C8652" s="561" t="s">
        <v>1199</v>
      </c>
      <c r="D8652" s="561">
        <v>7205</v>
      </c>
      <c r="E8652" s="561">
        <v>1121.7</v>
      </c>
      <c r="G8652" s="561">
        <v>6083.3</v>
      </c>
      <c r="H8652" s="561">
        <v>179</v>
      </c>
      <c r="I8652" s="561">
        <v>6857.6573600000011</v>
      </c>
      <c r="J8652" s="561">
        <v>0</v>
      </c>
      <c r="K8652" s="561">
        <v>133.30110666666769</v>
      </c>
      <c r="L8652" s="561">
        <v>179</v>
      </c>
      <c r="M8652" s="561">
        <v>6724.3562533333334</v>
      </c>
      <c r="N8652" s="561">
        <v>6724.3562533333334</v>
      </c>
      <c r="O8652" s="561">
        <v>1121.7</v>
      </c>
      <c r="BD8652" s="561">
        <v>5602.6562533333336</v>
      </c>
    </row>
    <row r="8653" spans="1:56">
      <c r="C8653" s="561" t="s">
        <v>1200</v>
      </c>
      <c r="G8653" s="561">
        <v>0</v>
      </c>
      <c r="H8653" s="561">
        <v>0</v>
      </c>
      <c r="I8653" s="561">
        <v>0</v>
      </c>
      <c r="J8653" s="561">
        <v>0</v>
      </c>
      <c r="K8653" s="561">
        <v>0</v>
      </c>
      <c r="L8653" s="561">
        <v>0</v>
      </c>
      <c r="M8653" s="561">
        <v>0</v>
      </c>
      <c r="N8653" s="561">
        <v>0</v>
      </c>
      <c r="O8653" s="561">
        <v>0</v>
      </c>
      <c r="P8653" s="561">
        <v>0</v>
      </c>
    </row>
    <row r="8654" spans="1:56">
      <c r="A8654" s="561">
        <v>20</v>
      </c>
      <c r="B8654" s="561" t="s">
        <v>2032</v>
      </c>
      <c r="C8654" s="561" t="s">
        <v>1196</v>
      </c>
      <c r="D8654" s="561">
        <v>1120026</v>
      </c>
      <c r="E8654" s="561">
        <v>320300.99999999994</v>
      </c>
      <c r="F8654" s="561">
        <v>0</v>
      </c>
      <c r="G8654" s="561">
        <v>799725.00000000012</v>
      </c>
      <c r="H8654" s="561">
        <v>282569</v>
      </c>
      <c r="I8654" s="561">
        <v>1140637.40392</v>
      </c>
      <c r="J8654" s="561">
        <v>6416</v>
      </c>
      <c r="K8654" s="561">
        <v>20611.40748666646</v>
      </c>
      <c r="L8654" s="561">
        <v>276153</v>
      </c>
      <c r="M8654" s="561">
        <v>1120025.9964333335</v>
      </c>
      <c r="N8654" s="561">
        <v>1120025.9964333335</v>
      </c>
      <c r="O8654" s="561">
        <v>320300.99999999994</v>
      </c>
      <c r="P8654" s="561">
        <v>799724.99643333349</v>
      </c>
    </row>
    <row r="8655" spans="1:56">
      <c r="C8655" s="561" t="s">
        <v>1197</v>
      </c>
      <c r="G8655" s="561">
        <v>0</v>
      </c>
      <c r="H8655" s="561">
        <v>0</v>
      </c>
      <c r="I8655" s="561">
        <v>0</v>
      </c>
      <c r="J8655" s="561">
        <v>0</v>
      </c>
      <c r="K8655" s="561">
        <v>0</v>
      </c>
      <c r="L8655" s="561">
        <v>0</v>
      </c>
      <c r="M8655" s="561">
        <v>0</v>
      </c>
      <c r="N8655" s="561">
        <v>0</v>
      </c>
      <c r="O8655" s="561">
        <v>0</v>
      </c>
      <c r="P8655" s="561">
        <v>0</v>
      </c>
    </row>
    <row r="8656" spans="1:56">
      <c r="C8656" s="561" t="s">
        <v>1198</v>
      </c>
      <c r="G8656" s="561">
        <v>0</v>
      </c>
      <c r="H8656" s="561">
        <v>0</v>
      </c>
      <c r="I8656" s="561">
        <v>0</v>
      </c>
      <c r="J8656" s="561">
        <v>0</v>
      </c>
      <c r="K8656" s="561">
        <v>0</v>
      </c>
      <c r="L8656" s="561">
        <v>0</v>
      </c>
      <c r="M8656" s="561">
        <v>0</v>
      </c>
      <c r="N8656" s="561">
        <v>0</v>
      </c>
      <c r="O8656" s="561">
        <v>0</v>
      </c>
      <c r="P8656" s="561">
        <v>0</v>
      </c>
    </row>
    <row r="8657" spans="1:78">
      <c r="C8657" s="561" t="s">
        <v>1199</v>
      </c>
      <c r="D8657" s="561">
        <v>17572</v>
      </c>
      <c r="E8657" s="561">
        <v>5271.5999999999995</v>
      </c>
      <c r="G8657" s="561">
        <v>12300.400000000001</v>
      </c>
      <c r="H8657" s="561">
        <v>991</v>
      </c>
      <c r="I8657" s="561">
        <v>14301.892059999998</v>
      </c>
      <c r="J8657" s="561">
        <v>6</v>
      </c>
      <c r="K8657" s="561">
        <v>227.59804999999687</v>
      </c>
      <c r="L8657" s="561">
        <v>985</v>
      </c>
      <c r="M8657" s="561">
        <v>14074.294010000001</v>
      </c>
      <c r="N8657" s="561">
        <v>14074.294010000001</v>
      </c>
      <c r="O8657" s="561">
        <v>5271.5999999999995</v>
      </c>
      <c r="AM8657" s="561">
        <v>8802.6940100000029</v>
      </c>
    </row>
    <row r="8658" spans="1:78">
      <c r="C8658" s="561" t="s">
        <v>1200</v>
      </c>
      <c r="D8658" s="561">
        <v>1102454</v>
      </c>
      <c r="E8658" s="561">
        <v>315029.39999999997</v>
      </c>
      <c r="G8658" s="561">
        <v>787424.60000000009</v>
      </c>
      <c r="H8658" s="561">
        <v>281578</v>
      </c>
      <c r="I8658" s="561">
        <v>1126335.51186</v>
      </c>
      <c r="J8658" s="561">
        <v>6410</v>
      </c>
      <c r="K8658" s="561">
        <v>20383.809436666546</v>
      </c>
      <c r="L8658" s="561">
        <v>275168</v>
      </c>
      <c r="M8658" s="561">
        <v>1105951.7024233334</v>
      </c>
      <c r="N8658" s="561">
        <v>1105951.7024233334</v>
      </c>
      <c r="O8658" s="561">
        <v>315029.39999999997</v>
      </c>
      <c r="P8658" s="561">
        <v>790922.30242333352</v>
      </c>
    </row>
    <row r="8659" spans="1:78">
      <c r="A8659" s="561">
        <v>21</v>
      </c>
      <c r="B8659" s="561" t="s">
        <v>2033</v>
      </c>
      <c r="C8659" s="561" t="s">
        <v>1196</v>
      </c>
      <c r="D8659" s="561">
        <v>8561</v>
      </c>
      <c r="E8659" s="561">
        <v>2568.2999999999997</v>
      </c>
      <c r="F8659" s="561">
        <v>0</v>
      </c>
      <c r="G8659" s="561">
        <v>5992.7000000000007</v>
      </c>
      <c r="H8659" s="561">
        <v>677</v>
      </c>
      <c r="I8659" s="561">
        <v>8973.0733900000014</v>
      </c>
      <c r="J8659" s="561">
        <v>0</v>
      </c>
      <c r="K8659" s="561">
        <v>412.50309000000016</v>
      </c>
      <c r="L8659" s="561">
        <v>677</v>
      </c>
      <c r="M8659" s="561">
        <v>8560.5703000000012</v>
      </c>
      <c r="N8659" s="561">
        <v>8560.5703000000012</v>
      </c>
      <c r="O8659" s="561">
        <v>2568.2999999999997</v>
      </c>
      <c r="P8659" s="561">
        <v>5992.270300000002</v>
      </c>
    </row>
    <row r="8660" spans="1:78">
      <c r="C8660" s="561" t="s">
        <v>1197</v>
      </c>
      <c r="G8660" s="561">
        <v>0</v>
      </c>
      <c r="H8660" s="561">
        <v>0</v>
      </c>
      <c r="I8660" s="561">
        <v>0</v>
      </c>
      <c r="J8660" s="561">
        <v>0</v>
      </c>
      <c r="K8660" s="561">
        <v>0</v>
      </c>
      <c r="L8660" s="561">
        <v>0</v>
      </c>
      <c r="M8660" s="561">
        <v>0</v>
      </c>
      <c r="N8660" s="561">
        <v>0</v>
      </c>
      <c r="O8660" s="561">
        <v>0</v>
      </c>
      <c r="P8660" s="561">
        <v>0</v>
      </c>
    </row>
    <row r="8661" spans="1:78">
      <c r="C8661" s="561" t="s">
        <v>1198</v>
      </c>
      <c r="G8661" s="561">
        <v>0</v>
      </c>
      <c r="H8661" s="561">
        <v>0</v>
      </c>
      <c r="I8661" s="561">
        <v>0</v>
      </c>
      <c r="J8661" s="561">
        <v>0</v>
      </c>
      <c r="K8661" s="561">
        <v>0</v>
      </c>
      <c r="L8661" s="561">
        <v>0</v>
      </c>
      <c r="M8661" s="561">
        <v>0</v>
      </c>
      <c r="N8661" s="561">
        <v>0</v>
      </c>
      <c r="O8661" s="561">
        <v>0</v>
      </c>
      <c r="P8661" s="561">
        <v>0</v>
      </c>
    </row>
    <row r="8662" spans="1:78">
      <c r="C8662" s="561" t="s">
        <v>1199</v>
      </c>
      <c r="D8662" s="561">
        <v>8561</v>
      </c>
      <c r="E8662" s="561">
        <v>2568.2999999999997</v>
      </c>
      <c r="G8662" s="561">
        <v>5992.7000000000007</v>
      </c>
      <c r="H8662" s="561">
        <v>677</v>
      </c>
      <c r="I8662" s="561">
        <v>8973.0733900000014</v>
      </c>
      <c r="J8662" s="561">
        <v>0</v>
      </c>
      <c r="K8662" s="561">
        <v>412.50309000000016</v>
      </c>
      <c r="L8662" s="561">
        <v>677</v>
      </c>
      <c r="M8662" s="561">
        <v>8560.5703000000012</v>
      </c>
      <c r="N8662" s="561">
        <v>8560.5703000000012</v>
      </c>
      <c r="O8662" s="561">
        <v>2568.2999999999997</v>
      </c>
      <c r="BZ8662" s="561">
        <v>5992.270300000002</v>
      </c>
    </row>
    <row r="8663" spans="1:78">
      <c r="C8663" s="561" t="s">
        <v>1200</v>
      </c>
      <c r="G8663" s="561">
        <v>0</v>
      </c>
      <c r="H8663" s="561">
        <v>0</v>
      </c>
      <c r="I8663" s="561">
        <v>0</v>
      </c>
      <c r="J8663" s="561">
        <v>0</v>
      </c>
      <c r="K8663" s="561">
        <v>0</v>
      </c>
      <c r="L8663" s="561">
        <v>0</v>
      </c>
      <c r="M8663" s="561">
        <v>0</v>
      </c>
      <c r="N8663" s="561">
        <v>0</v>
      </c>
      <c r="O8663" s="561">
        <v>0</v>
      </c>
      <c r="P8663" s="561">
        <v>0</v>
      </c>
    </row>
    <row r="8664" spans="1:78">
      <c r="A8664" s="561">
        <v>22</v>
      </c>
      <c r="B8664" s="561" t="s">
        <v>2034</v>
      </c>
      <c r="C8664" s="561" t="s">
        <v>1196</v>
      </c>
      <c r="D8664" s="561">
        <v>24511</v>
      </c>
      <c r="E8664" s="561">
        <v>7353.3</v>
      </c>
      <c r="F8664" s="561">
        <v>0</v>
      </c>
      <c r="G8664" s="561">
        <v>17157.7</v>
      </c>
      <c r="H8664" s="561">
        <v>1684</v>
      </c>
      <c r="I8664" s="561">
        <v>26023.534830000001</v>
      </c>
      <c r="J8664" s="561">
        <v>24</v>
      </c>
      <c r="K8664" s="561">
        <v>1513.0015499999972</v>
      </c>
      <c r="L8664" s="561">
        <v>1660</v>
      </c>
      <c r="M8664" s="561">
        <v>24510.533280000003</v>
      </c>
      <c r="N8664" s="561">
        <v>24510.533280000003</v>
      </c>
      <c r="O8664" s="561">
        <v>7353.2999999999993</v>
      </c>
      <c r="P8664" s="561">
        <v>17157.233280000004</v>
      </c>
    </row>
    <row r="8665" spans="1:78">
      <c r="C8665" s="561" t="s">
        <v>1197</v>
      </c>
      <c r="G8665" s="561">
        <v>0</v>
      </c>
      <c r="H8665" s="561">
        <v>0</v>
      </c>
      <c r="I8665" s="561">
        <v>0</v>
      </c>
      <c r="J8665" s="561">
        <v>0</v>
      </c>
      <c r="K8665" s="561">
        <v>0</v>
      </c>
      <c r="L8665" s="561">
        <v>0</v>
      </c>
      <c r="M8665" s="561">
        <v>0</v>
      </c>
      <c r="N8665" s="561">
        <v>0</v>
      </c>
      <c r="O8665" s="561">
        <v>0</v>
      </c>
      <c r="P8665" s="561">
        <v>0</v>
      </c>
    </row>
    <row r="8666" spans="1:78">
      <c r="C8666" s="561" t="s">
        <v>1198</v>
      </c>
      <c r="G8666" s="561">
        <v>0</v>
      </c>
      <c r="H8666" s="561">
        <v>0</v>
      </c>
      <c r="I8666" s="561">
        <v>0</v>
      </c>
      <c r="J8666" s="561">
        <v>0</v>
      </c>
      <c r="K8666" s="561">
        <v>0</v>
      </c>
      <c r="L8666" s="561">
        <v>0</v>
      </c>
      <c r="M8666" s="561">
        <v>0</v>
      </c>
      <c r="N8666" s="561">
        <v>0</v>
      </c>
      <c r="O8666" s="561">
        <v>0</v>
      </c>
      <c r="P8666" s="561">
        <v>0</v>
      </c>
    </row>
    <row r="8667" spans="1:78">
      <c r="C8667" s="561" t="s">
        <v>1199</v>
      </c>
      <c r="D8667" s="561">
        <v>24511</v>
      </c>
      <c r="E8667" s="561">
        <v>7353.3</v>
      </c>
      <c r="G8667" s="561">
        <v>17157.7</v>
      </c>
      <c r="H8667" s="561">
        <v>1684</v>
      </c>
      <c r="I8667" s="561">
        <v>26023.534830000001</v>
      </c>
      <c r="J8667" s="561">
        <v>24</v>
      </c>
      <c r="K8667" s="561">
        <v>1513.0015499999972</v>
      </c>
      <c r="L8667" s="561">
        <v>1660</v>
      </c>
      <c r="M8667" s="561">
        <v>24510.533280000003</v>
      </c>
      <c r="N8667" s="561">
        <v>24510.533280000003</v>
      </c>
      <c r="O8667" s="561">
        <v>7353.2999999999993</v>
      </c>
      <c r="BZ8667" s="561">
        <v>17157.233280000004</v>
      </c>
    </row>
    <row r="8668" spans="1:78">
      <c r="C8668" s="561" t="s">
        <v>1200</v>
      </c>
      <c r="G8668" s="561">
        <v>0</v>
      </c>
      <c r="H8668" s="561">
        <v>0</v>
      </c>
      <c r="I8668" s="561">
        <v>0</v>
      </c>
      <c r="J8668" s="561">
        <v>0</v>
      </c>
      <c r="K8668" s="561">
        <v>0</v>
      </c>
      <c r="L8668" s="561">
        <v>0</v>
      </c>
      <c r="M8668" s="561">
        <v>0</v>
      </c>
      <c r="N8668" s="561">
        <v>0</v>
      </c>
      <c r="O8668" s="561">
        <v>0</v>
      </c>
      <c r="P8668" s="561">
        <v>0</v>
      </c>
    </row>
    <row r="8669" spans="1:78">
      <c r="A8669" s="561">
        <v>23</v>
      </c>
      <c r="B8669" s="561" t="s">
        <v>2035</v>
      </c>
      <c r="C8669" s="561" t="s">
        <v>1196</v>
      </c>
      <c r="D8669" s="561">
        <v>3452.4</v>
      </c>
      <c r="E8669" s="561">
        <v>1290.8999999999999</v>
      </c>
      <c r="F8669" s="561">
        <v>0</v>
      </c>
      <c r="G8669" s="561">
        <v>2161.5</v>
      </c>
      <c r="H8669" s="561">
        <v>308</v>
      </c>
      <c r="I8669" s="561">
        <v>3504.4281700000001</v>
      </c>
      <c r="J8669" s="561">
        <v>3</v>
      </c>
      <c r="K8669" s="561">
        <v>52.030559999999696</v>
      </c>
      <c r="L8669" s="561">
        <v>305</v>
      </c>
      <c r="M8669" s="561">
        <v>3452.3976100000004</v>
      </c>
      <c r="N8669" s="561">
        <v>3452.3976100000004</v>
      </c>
      <c r="O8669" s="561">
        <v>1290.9029666666702</v>
      </c>
      <c r="P8669" s="561">
        <v>2161.4946433333303</v>
      </c>
    </row>
    <row r="8670" spans="1:78">
      <c r="C8670" s="561" t="s">
        <v>1197</v>
      </c>
      <c r="G8670" s="561">
        <v>0</v>
      </c>
      <c r="H8670" s="561">
        <v>0</v>
      </c>
      <c r="I8670" s="561">
        <v>0</v>
      </c>
      <c r="J8670" s="561">
        <v>0</v>
      </c>
      <c r="K8670" s="561">
        <v>0</v>
      </c>
      <c r="L8670" s="561">
        <v>0</v>
      </c>
      <c r="M8670" s="561">
        <v>0</v>
      </c>
      <c r="N8670" s="561">
        <v>0</v>
      </c>
      <c r="O8670" s="561">
        <v>0</v>
      </c>
      <c r="P8670" s="561">
        <v>0</v>
      </c>
    </row>
    <row r="8671" spans="1:78">
      <c r="C8671" s="561" t="s">
        <v>1198</v>
      </c>
      <c r="G8671" s="561">
        <v>0</v>
      </c>
      <c r="H8671" s="561">
        <v>0</v>
      </c>
      <c r="I8671" s="561">
        <v>0</v>
      </c>
      <c r="J8671" s="561">
        <v>0</v>
      </c>
      <c r="K8671" s="561">
        <v>0</v>
      </c>
      <c r="L8671" s="561">
        <v>0</v>
      </c>
      <c r="M8671" s="561">
        <v>0</v>
      </c>
      <c r="N8671" s="561">
        <v>0</v>
      </c>
      <c r="O8671" s="561">
        <v>0</v>
      </c>
      <c r="P8671" s="561">
        <v>0</v>
      </c>
    </row>
    <row r="8672" spans="1:78">
      <c r="C8672" s="561" t="s">
        <v>1199</v>
      </c>
      <c r="D8672" s="561">
        <v>3452.4</v>
      </c>
      <c r="E8672" s="561">
        <v>1290.8999999999999</v>
      </c>
      <c r="G8672" s="561">
        <v>2161.5</v>
      </c>
      <c r="H8672" s="561">
        <v>308</v>
      </c>
      <c r="I8672" s="561">
        <v>3504.4281700000001</v>
      </c>
      <c r="J8672" s="561">
        <v>3</v>
      </c>
      <c r="K8672" s="561">
        <v>52.030559999999696</v>
      </c>
      <c r="L8672" s="561">
        <v>305</v>
      </c>
      <c r="M8672" s="561">
        <v>3452.3976100000004</v>
      </c>
      <c r="N8672" s="561">
        <v>3452.3976100000004</v>
      </c>
      <c r="O8672" s="561">
        <v>1290.9029666666702</v>
      </c>
      <c r="BZ8672" s="561">
        <v>2161.4946433333303</v>
      </c>
    </row>
    <row r="8673" spans="1:78">
      <c r="C8673" s="561" t="s">
        <v>1200</v>
      </c>
      <c r="G8673" s="561">
        <v>0</v>
      </c>
      <c r="H8673" s="561">
        <v>0</v>
      </c>
      <c r="I8673" s="561">
        <v>0</v>
      </c>
      <c r="J8673" s="561">
        <v>0</v>
      </c>
      <c r="K8673" s="561">
        <v>0</v>
      </c>
      <c r="L8673" s="561">
        <v>0</v>
      </c>
      <c r="M8673" s="561">
        <v>0</v>
      </c>
      <c r="N8673" s="561">
        <v>0</v>
      </c>
      <c r="O8673" s="561">
        <v>0</v>
      </c>
      <c r="P8673" s="561">
        <v>0</v>
      </c>
    </row>
    <row r="8674" spans="1:78">
      <c r="A8674" s="561">
        <v>24</v>
      </c>
      <c r="B8674" s="561" t="s">
        <v>2036</v>
      </c>
      <c r="C8674" s="561" t="s">
        <v>1196</v>
      </c>
      <c r="D8674" s="561">
        <v>32440</v>
      </c>
      <c r="E8674" s="561">
        <v>9732</v>
      </c>
      <c r="F8674" s="561">
        <v>0</v>
      </c>
      <c r="G8674" s="561">
        <v>22708</v>
      </c>
      <c r="H8674" s="561">
        <v>2097</v>
      </c>
      <c r="I8674" s="561">
        <v>33176.137599999995</v>
      </c>
      <c r="J8674" s="561">
        <v>6</v>
      </c>
      <c r="K8674" s="561">
        <v>736.29747999999381</v>
      </c>
      <c r="L8674" s="561">
        <v>2091</v>
      </c>
      <c r="M8674" s="561">
        <v>32439.840120000001</v>
      </c>
      <c r="N8674" s="561">
        <v>32439.840120000001</v>
      </c>
      <c r="O8674" s="561">
        <v>9732</v>
      </c>
      <c r="P8674" s="561">
        <v>22707.840120000001</v>
      </c>
    </row>
    <row r="8675" spans="1:78">
      <c r="C8675" s="561" t="s">
        <v>1197</v>
      </c>
      <c r="G8675" s="561">
        <v>0</v>
      </c>
      <c r="H8675" s="561">
        <v>0</v>
      </c>
      <c r="I8675" s="561">
        <v>0</v>
      </c>
      <c r="J8675" s="561">
        <v>0</v>
      </c>
      <c r="K8675" s="561">
        <v>0</v>
      </c>
      <c r="L8675" s="561">
        <v>0</v>
      </c>
      <c r="M8675" s="561">
        <v>0</v>
      </c>
      <c r="N8675" s="561">
        <v>0</v>
      </c>
      <c r="O8675" s="561">
        <v>0</v>
      </c>
      <c r="P8675" s="561">
        <v>0</v>
      </c>
    </row>
    <row r="8676" spans="1:78">
      <c r="C8676" s="561" t="s">
        <v>1198</v>
      </c>
      <c r="G8676" s="561">
        <v>0</v>
      </c>
      <c r="H8676" s="561">
        <v>0</v>
      </c>
      <c r="I8676" s="561">
        <v>0</v>
      </c>
      <c r="J8676" s="561">
        <v>0</v>
      </c>
      <c r="K8676" s="561">
        <v>0</v>
      </c>
      <c r="L8676" s="561">
        <v>0</v>
      </c>
      <c r="M8676" s="561">
        <v>0</v>
      </c>
      <c r="N8676" s="561">
        <v>0</v>
      </c>
      <c r="O8676" s="561">
        <v>0</v>
      </c>
      <c r="P8676" s="561">
        <v>0</v>
      </c>
    </row>
    <row r="8677" spans="1:78">
      <c r="C8677" s="561" t="s">
        <v>1199</v>
      </c>
      <c r="D8677" s="561">
        <v>32440</v>
      </c>
      <c r="E8677" s="561">
        <v>9732</v>
      </c>
      <c r="G8677" s="561">
        <v>22708</v>
      </c>
      <c r="H8677" s="561">
        <v>2097</v>
      </c>
      <c r="I8677" s="561">
        <v>33176.137599999995</v>
      </c>
      <c r="J8677" s="561">
        <v>6</v>
      </c>
      <c r="K8677" s="561">
        <v>736.29747999999381</v>
      </c>
      <c r="L8677" s="561">
        <v>2091</v>
      </c>
      <c r="M8677" s="561">
        <v>32439.840120000001</v>
      </c>
      <c r="N8677" s="561">
        <v>32439.840120000001</v>
      </c>
      <c r="O8677" s="561">
        <v>9732</v>
      </c>
      <c r="BZ8677" s="561">
        <v>22707.840120000001</v>
      </c>
    </row>
    <row r="8678" spans="1:78">
      <c r="C8678" s="561" t="s">
        <v>1200</v>
      </c>
      <c r="G8678" s="561">
        <v>0</v>
      </c>
      <c r="H8678" s="561">
        <v>0</v>
      </c>
      <c r="I8678" s="561">
        <v>0</v>
      </c>
      <c r="J8678" s="561">
        <v>0</v>
      </c>
      <c r="K8678" s="561">
        <v>0</v>
      </c>
      <c r="L8678" s="561">
        <v>0</v>
      </c>
      <c r="M8678" s="561">
        <v>0</v>
      </c>
      <c r="N8678" s="561">
        <v>0</v>
      </c>
      <c r="O8678" s="561">
        <v>0</v>
      </c>
      <c r="P8678" s="561">
        <v>0</v>
      </c>
    </row>
    <row r="8679" spans="1:78">
      <c r="A8679" s="561">
        <v>25</v>
      </c>
      <c r="B8679" s="561" t="s">
        <v>1985</v>
      </c>
      <c r="C8679" s="561" t="s">
        <v>1196</v>
      </c>
      <c r="D8679" s="561">
        <v>60296</v>
      </c>
      <c r="E8679" s="561">
        <v>17788.8</v>
      </c>
      <c r="F8679" s="561">
        <v>0</v>
      </c>
      <c r="G8679" s="561">
        <v>42507.199999999997</v>
      </c>
      <c r="H8679" s="561">
        <v>3984</v>
      </c>
      <c r="I8679" s="561">
        <v>61131.623309999995</v>
      </c>
      <c r="J8679" s="561">
        <v>22</v>
      </c>
      <c r="K8679" s="561">
        <v>835.74776999999449</v>
      </c>
      <c r="L8679" s="561">
        <v>3962</v>
      </c>
      <c r="M8679" s="561">
        <v>60295.875540000001</v>
      </c>
      <c r="N8679" s="561">
        <v>60295.875540000001</v>
      </c>
      <c r="O8679" s="561">
        <v>17788.8</v>
      </c>
      <c r="P8679" s="561">
        <v>42507.075540000005</v>
      </c>
    </row>
    <row r="8680" spans="1:78">
      <c r="C8680" s="561" t="s">
        <v>1197</v>
      </c>
      <c r="G8680" s="561">
        <v>0</v>
      </c>
      <c r="H8680" s="561">
        <v>0</v>
      </c>
      <c r="I8680" s="561">
        <v>0</v>
      </c>
      <c r="J8680" s="561">
        <v>0</v>
      </c>
      <c r="K8680" s="561">
        <v>0</v>
      </c>
      <c r="L8680" s="561">
        <v>0</v>
      </c>
      <c r="M8680" s="561">
        <v>0</v>
      </c>
      <c r="N8680" s="561">
        <v>0</v>
      </c>
      <c r="O8680" s="561">
        <v>0</v>
      </c>
      <c r="P8680" s="561">
        <v>0</v>
      </c>
    </row>
    <row r="8681" spans="1:78">
      <c r="C8681" s="561" t="s">
        <v>1198</v>
      </c>
      <c r="G8681" s="561">
        <v>0</v>
      </c>
      <c r="H8681" s="561">
        <v>0</v>
      </c>
      <c r="I8681" s="561">
        <v>0</v>
      </c>
      <c r="J8681" s="561">
        <v>0</v>
      </c>
      <c r="K8681" s="561">
        <v>0</v>
      </c>
      <c r="L8681" s="561">
        <v>0</v>
      </c>
      <c r="M8681" s="561">
        <v>0</v>
      </c>
      <c r="N8681" s="561">
        <v>0</v>
      </c>
      <c r="O8681" s="561">
        <v>0</v>
      </c>
      <c r="P8681" s="561">
        <v>0</v>
      </c>
    </row>
    <row r="8682" spans="1:78">
      <c r="C8682" s="561" t="s">
        <v>1199</v>
      </c>
      <c r="D8682" s="561">
        <v>60296</v>
      </c>
      <c r="E8682" s="561">
        <v>17788.8</v>
      </c>
      <c r="G8682" s="561">
        <v>42507.199999999997</v>
      </c>
      <c r="H8682" s="561">
        <v>3984</v>
      </c>
      <c r="I8682" s="561">
        <v>61131.623309999995</v>
      </c>
      <c r="J8682" s="561">
        <v>22</v>
      </c>
      <c r="K8682" s="561">
        <v>835.74776999999449</v>
      </c>
      <c r="L8682" s="561">
        <v>3962</v>
      </c>
      <c r="M8682" s="561">
        <v>60295.875540000001</v>
      </c>
      <c r="N8682" s="561">
        <v>60295.875540000001</v>
      </c>
      <c r="O8682" s="561">
        <v>17788.8</v>
      </c>
      <c r="BZ8682" s="561">
        <v>42507.075540000005</v>
      </c>
    </row>
    <row r="8683" spans="1:78">
      <c r="C8683" s="561" t="s">
        <v>1200</v>
      </c>
      <c r="G8683" s="561">
        <v>0</v>
      </c>
      <c r="H8683" s="561">
        <v>0</v>
      </c>
      <c r="I8683" s="561">
        <v>0</v>
      </c>
      <c r="J8683" s="561">
        <v>0</v>
      </c>
      <c r="K8683" s="561">
        <v>0</v>
      </c>
      <c r="L8683" s="561">
        <v>0</v>
      </c>
      <c r="M8683" s="561">
        <v>0</v>
      </c>
      <c r="N8683" s="561">
        <v>0</v>
      </c>
      <c r="O8683" s="561">
        <v>0</v>
      </c>
      <c r="P8683" s="561">
        <v>0</v>
      </c>
    </row>
    <row r="8684" spans="1:78">
      <c r="A8684" s="561">
        <v>26</v>
      </c>
      <c r="B8684" s="561" t="s">
        <v>2037</v>
      </c>
      <c r="C8684" s="561" t="s">
        <v>1196</v>
      </c>
      <c r="D8684" s="561">
        <v>32969</v>
      </c>
      <c r="E8684" s="561">
        <v>12818.1</v>
      </c>
      <c r="F8684" s="561">
        <v>0</v>
      </c>
      <c r="G8684" s="561">
        <v>20150.900000000001</v>
      </c>
      <c r="H8684" s="561">
        <v>3058</v>
      </c>
      <c r="I8684" s="561">
        <v>33720.080750000001</v>
      </c>
      <c r="J8684" s="561">
        <v>46</v>
      </c>
      <c r="K8684" s="561">
        <v>751.38504000000103</v>
      </c>
      <c r="L8684" s="561">
        <v>3012</v>
      </c>
      <c r="M8684" s="561">
        <v>32968.69571</v>
      </c>
      <c r="N8684" s="561">
        <v>32968.69571</v>
      </c>
      <c r="O8684" s="561">
        <v>12818.1</v>
      </c>
      <c r="P8684" s="561">
        <v>20150.595710000001</v>
      </c>
    </row>
    <row r="8685" spans="1:78">
      <c r="C8685" s="561" t="s">
        <v>1197</v>
      </c>
      <c r="G8685" s="561">
        <v>0</v>
      </c>
      <c r="H8685" s="561">
        <v>0</v>
      </c>
      <c r="I8685" s="561">
        <v>0</v>
      </c>
      <c r="J8685" s="561">
        <v>0</v>
      </c>
      <c r="K8685" s="561">
        <v>0</v>
      </c>
      <c r="L8685" s="561">
        <v>0</v>
      </c>
      <c r="M8685" s="561">
        <v>0</v>
      </c>
      <c r="N8685" s="561">
        <v>0</v>
      </c>
      <c r="O8685" s="561">
        <v>0</v>
      </c>
      <c r="P8685" s="561">
        <v>0</v>
      </c>
    </row>
    <row r="8686" spans="1:78">
      <c r="C8686" s="561" t="s">
        <v>1198</v>
      </c>
      <c r="G8686" s="561">
        <v>0</v>
      </c>
      <c r="H8686" s="561">
        <v>0</v>
      </c>
      <c r="I8686" s="561">
        <v>0</v>
      </c>
      <c r="J8686" s="561">
        <v>0</v>
      </c>
      <c r="K8686" s="561">
        <v>0</v>
      </c>
      <c r="L8686" s="561">
        <v>0</v>
      </c>
      <c r="M8686" s="561">
        <v>0</v>
      </c>
      <c r="N8686" s="561">
        <v>0</v>
      </c>
      <c r="O8686" s="561">
        <v>0</v>
      </c>
      <c r="P8686" s="561">
        <v>0</v>
      </c>
    </row>
    <row r="8687" spans="1:78">
      <c r="C8687" s="561" t="s">
        <v>1199</v>
      </c>
      <c r="D8687" s="561">
        <v>32969</v>
      </c>
      <c r="E8687" s="561">
        <v>12818.1</v>
      </c>
      <c r="G8687" s="561">
        <v>20150.900000000001</v>
      </c>
      <c r="H8687" s="561">
        <v>3058</v>
      </c>
      <c r="I8687" s="561">
        <v>33720.080750000001</v>
      </c>
      <c r="J8687" s="561">
        <v>46</v>
      </c>
      <c r="K8687" s="561">
        <v>751.38504000000103</v>
      </c>
      <c r="L8687" s="561">
        <v>3012</v>
      </c>
      <c r="M8687" s="561">
        <v>32968.69571</v>
      </c>
      <c r="N8687" s="561">
        <v>32968.69571</v>
      </c>
      <c r="O8687" s="561">
        <v>12818.1</v>
      </c>
      <c r="BZ8687" s="561">
        <v>20150.595710000001</v>
      </c>
    </row>
    <row r="8688" spans="1:78">
      <c r="C8688" s="561" t="s">
        <v>1200</v>
      </c>
      <c r="G8688" s="561">
        <v>0</v>
      </c>
      <c r="H8688" s="561">
        <v>0</v>
      </c>
      <c r="I8688" s="561">
        <v>0</v>
      </c>
      <c r="J8688" s="561">
        <v>0</v>
      </c>
      <c r="K8688" s="561">
        <v>0</v>
      </c>
      <c r="L8688" s="561">
        <v>0</v>
      </c>
      <c r="M8688" s="561">
        <v>0</v>
      </c>
      <c r="N8688" s="561">
        <v>0</v>
      </c>
      <c r="O8688" s="561">
        <v>0</v>
      </c>
      <c r="P8688" s="561">
        <v>0</v>
      </c>
    </row>
    <row r="8689" spans="1:78">
      <c r="A8689" s="561">
        <v>27</v>
      </c>
      <c r="B8689" s="561" t="s">
        <v>2038</v>
      </c>
      <c r="C8689" s="561" t="s">
        <v>1196</v>
      </c>
      <c r="D8689" s="561">
        <v>26202</v>
      </c>
      <c r="E8689" s="561">
        <v>7860.5999999999995</v>
      </c>
      <c r="F8689" s="561">
        <v>0</v>
      </c>
      <c r="G8689" s="561">
        <v>18341.400000000001</v>
      </c>
      <c r="H8689" s="561">
        <v>1643</v>
      </c>
      <c r="I8689" s="561">
        <v>27290.68059</v>
      </c>
      <c r="J8689" s="561">
        <v>4</v>
      </c>
      <c r="K8689" s="561">
        <v>1088.6792400000086</v>
      </c>
      <c r="L8689" s="561">
        <v>1639</v>
      </c>
      <c r="M8689" s="561">
        <v>26202.001349999991</v>
      </c>
      <c r="N8689" s="561">
        <v>26202.001349999991</v>
      </c>
      <c r="O8689" s="561">
        <v>7860.5999999999985</v>
      </c>
      <c r="P8689" s="561">
        <v>18341.401349999993</v>
      </c>
    </row>
    <row r="8690" spans="1:78">
      <c r="C8690" s="561" t="s">
        <v>1197</v>
      </c>
      <c r="G8690" s="561">
        <v>0</v>
      </c>
      <c r="H8690" s="561">
        <v>0</v>
      </c>
      <c r="I8690" s="561">
        <v>0</v>
      </c>
      <c r="J8690" s="561">
        <v>0</v>
      </c>
      <c r="K8690" s="561">
        <v>0</v>
      </c>
      <c r="L8690" s="561">
        <v>0</v>
      </c>
      <c r="M8690" s="561">
        <v>0</v>
      </c>
      <c r="N8690" s="561">
        <v>0</v>
      </c>
      <c r="O8690" s="561">
        <v>0</v>
      </c>
      <c r="P8690" s="561">
        <v>0</v>
      </c>
    </row>
    <row r="8691" spans="1:78">
      <c r="C8691" s="561" t="s">
        <v>1198</v>
      </c>
      <c r="G8691" s="561">
        <v>0</v>
      </c>
      <c r="H8691" s="561">
        <v>0</v>
      </c>
      <c r="I8691" s="561">
        <v>0</v>
      </c>
      <c r="J8691" s="561">
        <v>0</v>
      </c>
      <c r="K8691" s="561">
        <v>0</v>
      </c>
      <c r="L8691" s="561">
        <v>0</v>
      </c>
      <c r="M8691" s="561">
        <v>0</v>
      </c>
      <c r="N8691" s="561">
        <v>0</v>
      </c>
      <c r="O8691" s="561">
        <v>0</v>
      </c>
      <c r="P8691" s="561">
        <v>0</v>
      </c>
    </row>
    <row r="8692" spans="1:78">
      <c r="C8692" s="561" t="s">
        <v>1199</v>
      </c>
      <c r="D8692" s="561">
        <v>26202</v>
      </c>
      <c r="E8692" s="561">
        <v>7860.5999999999995</v>
      </c>
      <c r="G8692" s="561">
        <v>18341.400000000001</v>
      </c>
      <c r="H8692" s="561">
        <v>1643</v>
      </c>
      <c r="I8692" s="561">
        <v>27290.68059</v>
      </c>
      <c r="J8692" s="561">
        <v>4</v>
      </c>
      <c r="K8692" s="561">
        <v>1088.6792400000086</v>
      </c>
      <c r="L8692" s="561">
        <v>1639</v>
      </c>
      <c r="M8692" s="561">
        <v>26202.001349999991</v>
      </c>
      <c r="N8692" s="561">
        <v>26202.001349999991</v>
      </c>
      <c r="O8692" s="561">
        <v>7860.5999999999985</v>
      </c>
      <c r="BZ8692" s="561">
        <v>18341.401349999993</v>
      </c>
    </row>
    <row r="8693" spans="1:78">
      <c r="C8693" s="561" t="s">
        <v>1200</v>
      </c>
      <c r="G8693" s="561">
        <v>0</v>
      </c>
      <c r="H8693" s="561">
        <v>0</v>
      </c>
      <c r="I8693" s="561">
        <v>0</v>
      </c>
      <c r="J8693" s="561">
        <v>0</v>
      </c>
      <c r="K8693" s="561">
        <v>0</v>
      </c>
      <c r="L8693" s="561">
        <v>0</v>
      </c>
      <c r="M8693" s="561">
        <v>0</v>
      </c>
      <c r="N8693" s="561">
        <v>0</v>
      </c>
      <c r="O8693" s="561">
        <v>0</v>
      </c>
      <c r="P8693" s="561">
        <v>0</v>
      </c>
    </row>
    <row r="8694" spans="1:78">
      <c r="A8694" s="561">
        <v>28</v>
      </c>
      <c r="B8694" s="561" t="s">
        <v>2039</v>
      </c>
      <c r="C8694" s="561" t="s">
        <v>1196</v>
      </c>
      <c r="D8694" s="561">
        <v>47153</v>
      </c>
      <c r="E8694" s="561">
        <v>11655.9</v>
      </c>
      <c r="F8694" s="561">
        <v>0</v>
      </c>
      <c r="G8694" s="561">
        <v>35497.1</v>
      </c>
      <c r="H8694" s="561">
        <v>2768</v>
      </c>
      <c r="I8694" s="561">
        <v>48502.497309999999</v>
      </c>
      <c r="J8694" s="561">
        <v>7</v>
      </c>
      <c r="K8694" s="561">
        <v>1349.4997499999954</v>
      </c>
      <c r="L8694" s="561">
        <v>2761</v>
      </c>
      <c r="M8694" s="561">
        <v>47152.997560000003</v>
      </c>
      <c r="N8694" s="561">
        <v>47152.997560000003</v>
      </c>
      <c r="O8694" s="561">
        <v>11655.900000000001</v>
      </c>
      <c r="P8694" s="561">
        <v>35497.097560000002</v>
      </c>
    </row>
    <row r="8695" spans="1:78">
      <c r="C8695" s="561" t="s">
        <v>1197</v>
      </c>
      <c r="G8695" s="561">
        <v>0</v>
      </c>
      <c r="H8695" s="561">
        <v>0</v>
      </c>
      <c r="I8695" s="561">
        <v>0</v>
      </c>
      <c r="J8695" s="561">
        <v>0</v>
      </c>
      <c r="K8695" s="561">
        <v>0</v>
      </c>
      <c r="L8695" s="561">
        <v>0</v>
      </c>
      <c r="M8695" s="561">
        <v>0</v>
      </c>
      <c r="N8695" s="561">
        <v>0</v>
      </c>
      <c r="O8695" s="561">
        <v>0</v>
      </c>
      <c r="P8695" s="561">
        <v>0</v>
      </c>
    </row>
    <row r="8696" spans="1:78">
      <c r="C8696" s="561" t="s">
        <v>1198</v>
      </c>
      <c r="G8696" s="561">
        <v>0</v>
      </c>
      <c r="H8696" s="561">
        <v>0</v>
      </c>
      <c r="I8696" s="561">
        <v>0</v>
      </c>
      <c r="J8696" s="561">
        <v>0</v>
      </c>
      <c r="K8696" s="561">
        <v>0</v>
      </c>
      <c r="L8696" s="561">
        <v>0</v>
      </c>
      <c r="M8696" s="561">
        <v>0</v>
      </c>
      <c r="N8696" s="561">
        <v>0</v>
      </c>
      <c r="O8696" s="561">
        <v>0</v>
      </c>
      <c r="P8696" s="561">
        <v>0</v>
      </c>
    </row>
    <row r="8697" spans="1:78">
      <c r="C8697" s="561" t="s">
        <v>1199</v>
      </c>
      <c r="D8697" s="561">
        <v>47153</v>
      </c>
      <c r="E8697" s="561">
        <v>11655.9</v>
      </c>
      <c r="G8697" s="561">
        <v>35497.1</v>
      </c>
      <c r="H8697" s="561">
        <v>2768</v>
      </c>
      <c r="I8697" s="561">
        <v>48502.497309999999</v>
      </c>
      <c r="J8697" s="561">
        <v>7</v>
      </c>
      <c r="K8697" s="561">
        <v>1349.4997499999954</v>
      </c>
      <c r="L8697" s="561">
        <v>2761</v>
      </c>
      <c r="M8697" s="561">
        <v>47152.997560000003</v>
      </c>
      <c r="N8697" s="561">
        <v>47152.997560000003</v>
      </c>
      <c r="O8697" s="561">
        <v>11655.900000000001</v>
      </c>
      <c r="BZ8697" s="561">
        <v>35497.097560000002</v>
      </c>
    </row>
    <row r="8698" spans="1:78">
      <c r="C8698" s="561" t="s">
        <v>1200</v>
      </c>
      <c r="G8698" s="561">
        <v>0</v>
      </c>
      <c r="H8698" s="561">
        <v>0</v>
      </c>
      <c r="I8698" s="561">
        <v>0</v>
      </c>
      <c r="J8698" s="561">
        <v>0</v>
      </c>
      <c r="K8698" s="561">
        <v>0</v>
      </c>
      <c r="L8698" s="561">
        <v>0</v>
      </c>
      <c r="M8698" s="561">
        <v>0</v>
      </c>
      <c r="N8698" s="561">
        <v>0</v>
      </c>
      <c r="O8698" s="561">
        <v>0</v>
      </c>
      <c r="P8698" s="561">
        <v>0</v>
      </c>
    </row>
    <row r="8699" spans="1:78">
      <c r="A8699" s="561">
        <v>29</v>
      </c>
      <c r="B8699" s="561" t="s">
        <v>2040</v>
      </c>
      <c r="C8699" s="561" t="s">
        <v>1196</v>
      </c>
      <c r="D8699" s="561">
        <v>4094</v>
      </c>
      <c r="E8699" s="561">
        <v>409.4</v>
      </c>
      <c r="F8699" s="561">
        <v>0</v>
      </c>
      <c r="G8699" s="561">
        <v>3684.6</v>
      </c>
      <c r="H8699" s="561">
        <v>284</v>
      </c>
      <c r="I8699" s="561">
        <v>4262.70633</v>
      </c>
      <c r="J8699" s="561">
        <v>1</v>
      </c>
      <c r="K8699" s="561">
        <v>168.70605000000069</v>
      </c>
      <c r="L8699" s="561">
        <v>283</v>
      </c>
      <c r="M8699" s="561">
        <v>4094.0002799999993</v>
      </c>
      <c r="N8699" s="561">
        <v>4094.0002799999993</v>
      </c>
      <c r="O8699" s="561">
        <v>409.40000222222221</v>
      </c>
      <c r="P8699" s="561">
        <v>3684.6002777777771</v>
      </c>
    </row>
    <row r="8700" spans="1:78">
      <c r="C8700" s="561" t="s">
        <v>1197</v>
      </c>
      <c r="G8700" s="561">
        <v>0</v>
      </c>
      <c r="H8700" s="561">
        <v>0</v>
      </c>
      <c r="I8700" s="561">
        <v>0</v>
      </c>
      <c r="J8700" s="561">
        <v>0</v>
      </c>
      <c r="K8700" s="561">
        <v>0</v>
      </c>
      <c r="L8700" s="561">
        <v>0</v>
      </c>
      <c r="M8700" s="561">
        <v>0</v>
      </c>
      <c r="N8700" s="561">
        <v>0</v>
      </c>
      <c r="O8700" s="561">
        <v>0</v>
      </c>
      <c r="P8700" s="561">
        <v>0</v>
      </c>
    </row>
    <row r="8701" spans="1:78">
      <c r="C8701" s="561" t="s">
        <v>1198</v>
      </c>
      <c r="G8701" s="561">
        <v>0</v>
      </c>
      <c r="H8701" s="561">
        <v>0</v>
      </c>
      <c r="I8701" s="561">
        <v>0</v>
      </c>
      <c r="J8701" s="561">
        <v>0</v>
      </c>
      <c r="K8701" s="561">
        <v>0</v>
      </c>
      <c r="L8701" s="561">
        <v>0</v>
      </c>
      <c r="M8701" s="561">
        <v>0</v>
      </c>
      <c r="N8701" s="561">
        <v>0</v>
      </c>
      <c r="O8701" s="561">
        <v>0</v>
      </c>
      <c r="P8701" s="561">
        <v>0</v>
      </c>
    </row>
    <row r="8702" spans="1:78">
      <c r="C8702" s="561" t="s">
        <v>1199</v>
      </c>
      <c r="D8702" s="561">
        <v>4094</v>
      </c>
      <c r="E8702" s="561">
        <v>409.4</v>
      </c>
      <c r="G8702" s="561">
        <v>3684.6</v>
      </c>
      <c r="H8702" s="561">
        <v>284</v>
      </c>
      <c r="I8702" s="561">
        <v>4262.70633</v>
      </c>
      <c r="J8702" s="561">
        <v>1</v>
      </c>
      <c r="K8702" s="561">
        <v>168.70605000000069</v>
      </c>
      <c r="L8702" s="561">
        <v>283</v>
      </c>
      <c r="M8702" s="561">
        <v>4094.0002799999993</v>
      </c>
      <c r="N8702" s="561">
        <v>4094.0002799999993</v>
      </c>
      <c r="O8702" s="561">
        <v>409.40000222222221</v>
      </c>
      <c r="BZ8702" s="561">
        <v>3684.6002777777771</v>
      </c>
    </row>
    <row r="8703" spans="1:78">
      <c r="C8703" s="561" t="s">
        <v>1200</v>
      </c>
      <c r="G8703" s="561">
        <v>0</v>
      </c>
      <c r="H8703" s="561">
        <v>0</v>
      </c>
      <c r="I8703" s="561">
        <v>0</v>
      </c>
      <c r="J8703" s="561">
        <v>0</v>
      </c>
      <c r="K8703" s="561">
        <v>0</v>
      </c>
      <c r="L8703" s="561">
        <v>0</v>
      </c>
      <c r="M8703" s="561">
        <v>0</v>
      </c>
      <c r="N8703" s="561">
        <v>0</v>
      </c>
      <c r="O8703" s="561">
        <v>0</v>
      </c>
      <c r="P8703" s="561">
        <v>0</v>
      </c>
    </row>
    <row r="8704" spans="1:78">
      <c r="A8704" s="561">
        <v>30</v>
      </c>
      <c r="B8704" s="561" t="s">
        <v>2041</v>
      </c>
      <c r="C8704" s="561" t="s">
        <v>1196</v>
      </c>
      <c r="D8704" s="561">
        <v>6857</v>
      </c>
      <c r="E8704" s="561">
        <v>2147.1</v>
      </c>
      <c r="F8704" s="561">
        <v>0</v>
      </c>
      <c r="G8704" s="561">
        <v>4709.8999999999996</v>
      </c>
      <c r="H8704" s="561">
        <v>577</v>
      </c>
      <c r="I8704" s="561">
        <v>8244.6803090000012</v>
      </c>
      <c r="J8704" s="561">
        <v>4</v>
      </c>
      <c r="K8704" s="561">
        <v>1387.6755490000014</v>
      </c>
      <c r="L8704" s="561">
        <v>573</v>
      </c>
      <c r="M8704" s="561">
        <v>6857.0047599999998</v>
      </c>
      <c r="N8704" s="561">
        <v>6857.0047599999998</v>
      </c>
      <c r="O8704" s="561">
        <v>2147.1</v>
      </c>
      <c r="P8704" s="561">
        <v>4709.9047599999994</v>
      </c>
    </row>
    <row r="8705" spans="1:78">
      <c r="C8705" s="561" t="s">
        <v>1197</v>
      </c>
      <c r="G8705" s="561">
        <v>0</v>
      </c>
      <c r="H8705" s="561">
        <v>0</v>
      </c>
      <c r="I8705" s="561">
        <v>0</v>
      </c>
      <c r="J8705" s="561">
        <v>0</v>
      </c>
      <c r="K8705" s="561">
        <v>0</v>
      </c>
      <c r="L8705" s="561">
        <v>0</v>
      </c>
      <c r="M8705" s="561">
        <v>0</v>
      </c>
      <c r="N8705" s="561">
        <v>0</v>
      </c>
      <c r="O8705" s="561">
        <v>0</v>
      </c>
      <c r="P8705" s="561">
        <v>0</v>
      </c>
    </row>
    <row r="8706" spans="1:78">
      <c r="C8706" s="561" t="s">
        <v>1198</v>
      </c>
      <c r="G8706" s="561">
        <v>0</v>
      </c>
      <c r="H8706" s="561">
        <v>0</v>
      </c>
      <c r="I8706" s="561">
        <v>0</v>
      </c>
      <c r="J8706" s="561">
        <v>0</v>
      </c>
      <c r="K8706" s="561">
        <v>0</v>
      </c>
      <c r="L8706" s="561">
        <v>0</v>
      </c>
      <c r="M8706" s="561">
        <v>0</v>
      </c>
      <c r="N8706" s="561">
        <v>0</v>
      </c>
      <c r="O8706" s="561">
        <v>0</v>
      </c>
      <c r="P8706" s="561">
        <v>0</v>
      </c>
      <c r="BZ8706" s="561">
        <v>4709.9047599999994</v>
      </c>
    </row>
    <row r="8707" spans="1:78">
      <c r="C8707" s="561" t="s">
        <v>1199</v>
      </c>
      <c r="D8707" s="561">
        <v>6857</v>
      </c>
      <c r="E8707" s="561">
        <v>2147.1</v>
      </c>
      <c r="G8707" s="561">
        <v>4709.8999999999996</v>
      </c>
      <c r="H8707" s="561">
        <v>577</v>
      </c>
      <c r="I8707" s="561">
        <v>8244.6803090000012</v>
      </c>
      <c r="J8707" s="561">
        <v>4</v>
      </c>
      <c r="K8707" s="561">
        <v>1387.6755490000014</v>
      </c>
      <c r="L8707" s="561">
        <v>573</v>
      </c>
      <c r="M8707" s="561">
        <v>6857.0047599999998</v>
      </c>
      <c r="N8707" s="561">
        <v>6857.0047599999998</v>
      </c>
      <c r="O8707" s="561">
        <v>2147.1</v>
      </c>
    </row>
    <row r="8708" spans="1:78">
      <c r="C8708" s="561" t="s">
        <v>1200</v>
      </c>
      <c r="G8708" s="561">
        <v>0</v>
      </c>
      <c r="H8708" s="561">
        <v>0</v>
      </c>
      <c r="I8708" s="561">
        <v>0</v>
      </c>
      <c r="J8708" s="561">
        <v>0</v>
      </c>
      <c r="K8708" s="561">
        <v>0</v>
      </c>
      <c r="L8708" s="561">
        <v>0</v>
      </c>
      <c r="M8708" s="561">
        <v>0</v>
      </c>
      <c r="N8708" s="561">
        <v>0</v>
      </c>
      <c r="O8708" s="561">
        <v>0</v>
      </c>
      <c r="P8708" s="561">
        <v>0</v>
      </c>
    </row>
    <row r="8709" spans="1:78">
      <c r="A8709" s="561">
        <v>31</v>
      </c>
      <c r="B8709" s="561" t="s">
        <v>2042</v>
      </c>
      <c r="C8709" s="561" t="s">
        <v>1196</v>
      </c>
      <c r="D8709" s="561">
        <v>4310</v>
      </c>
      <c r="E8709" s="561">
        <v>862</v>
      </c>
      <c r="F8709" s="561">
        <v>0</v>
      </c>
      <c r="G8709" s="561">
        <v>3448</v>
      </c>
      <c r="H8709" s="561">
        <v>306</v>
      </c>
      <c r="I8709" s="561">
        <v>4537.3098999999984</v>
      </c>
      <c r="J8709" s="561">
        <v>8</v>
      </c>
      <c r="K8709" s="561">
        <v>227.31198999999924</v>
      </c>
      <c r="L8709" s="561">
        <v>298</v>
      </c>
      <c r="M8709" s="561">
        <v>4309.9979099999991</v>
      </c>
      <c r="N8709" s="561">
        <v>4309.9979099999991</v>
      </c>
      <c r="O8709" s="561">
        <v>862</v>
      </c>
      <c r="P8709" s="561">
        <v>3447.9979099999991</v>
      </c>
    </row>
    <row r="8710" spans="1:78">
      <c r="C8710" s="561" t="s">
        <v>1197</v>
      </c>
      <c r="G8710" s="561">
        <v>0</v>
      </c>
      <c r="H8710" s="561">
        <v>0</v>
      </c>
      <c r="I8710" s="561">
        <v>0</v>
      </c>
      <c r="J8710" s="561">
        <v>0</v>
      </c>
      <c r="K8710" s="561">
        <v>0</v>
      </c>
      <c r="L8710" s="561">
        <v>0</v>
      </c>
      <c r="M8710" s="561">
        <v>0</v>
      </c>
      <c r="N8710" s="561">
        <v>0</v>
      </c>
      <c r="O8710" s="561">
        <v>0</v>
      </c>
      <c r="P8710" s="561">
        <v>0</v>
      </c>
    </row>
    <row r="8711" spans="1:78">
      <c r="C8711" s="561" t="s">
        <v>1198</v>
      </c>
      <c r="G8711" s="561">
        <v>0</v>
      </c>
      <c r="H8711" s="561">
        <v>0</v>
      </c>
      <c r="I8711" s="561">
        <v>0</v>
      </c>
      <c r="J8711" s="561">
        <v>0</v>
      </c>
      <c r="K8711" s="561">
        <v>0</v>
      </c>
      <c r="L8711" s="561">
        <v>0</v>
      </c>
      <c r="M8711" s="561">
        <v>0</v>
      </c>
      <c r="N8711" s="561">
        <v>0</v>
      </c>
      <c r="O8711" s="561">
        <v>0</v>
      </c>
      <c r="P8711" s="561">
        <v>0</v>
      </c>
    </row>
    <row r="8712" spans="1:78">
      <c r="C8712" s="561" t="s">
        <v>1199</v>
      </c>
      <c r="D8712" s="561">
        <v>4310</v>
      </c>
      <c r="E8712" s="561">
        <v>862</v>
      </c>
      <c r="G8712" s="561">
        <v>3448</v>
      </c>
      <c r="H8712" s="561">
        <v>306</v>
      </c>
      <c r="I8712" s="561">
        <v>4537.3098999999984</v>
      </c>
      <c r="J8712" s="561">
        <v>8</v>
      </c>
      <c r="K8712" s="561">
        <v>227.31198999999924</v>
      </c>
      <c r="L8712" s="561">
        <v>298</v>
      </c>
      <c r="M8712" s="561">
        <v>4309.9979099999991</v>
      </c>
      <c r="N8712" s="561">
        <v>4309.9979099999991</v>
      </c>
      <c r="O8712" s="561">
        <v>862</v>
      </c>
      <c r="BZ8712" s="561">
        <v>3447.9979099999991</v>
      </c>
    </row>
    <row r="8713" spans="1:78">
      <c r="C8713" s="561" t="s">
        <v>1200</v>
      </c>
      <c r="G8713" s="561">
        <v>0</v>
      </c>
      <c r="H8713" s="561">
        <v>0</v>
      </c>
      <c r="I8713" s="561">
        <v>0</v>
      </c>
      <c r="J8713" s="561">
        <v>0</v>
      </c>
      <c r="K8713" s="561">
        <v>0</v>
      </c>
      <c r="L8713" s="561">
        <v>0</v>
      </c>
      <c r="M8713" s="561">
        <v>0</v>
      </c>
      <c r="N8713" s="561">
        <v>0</v>
      </c>
      <c r="O8713" s="561">
        <v>0</v>
      </c>
      <c r="P8713" s="561">
        <v>0</v>
      </c>
    </row>
    <row r="8714" spans="1:78">
      <c r="A8714" s="561">
        <v>32</v>
      </c>
      <c r="B8714" s="561" t="s">
        <v>2043</v>
      </c>
      <c r="C8714" s="561" t="s">
        <v>1196</v>
      </c>
      <c r="D8714" s="561">
        <v>286796.59999999998</v>
      </c>
      <c r="E8714" s="561">
        <v>89099.7</v>
      </c>
      <c r="F8714" s="561">
        <v>0</v>
      </c>
      <c r="G8714" s="561">
        <v>197696.89999999997</v>
      </c>
      <c r="H8714" s="561">
        <v>1067</v>
      </c>
      <c r="I8714" s="561">
        <v>287779.29139999999</v>
      </c>
      <c r="J8714" s="561">
        <v>0</v>
      </c>
      <c r="K8714" s="561">
        <v>982.69300000002841</v>
      </c>
      <c r="L8714" s="561">
        <v>1067</v>
      </c>
      <c r="M8714" s="561">
        <v>286796.59839999996</v>
      </c>
      <c r="N8714" s="561">
        <v>286796.59839999996</v>
      </c>
      <c r="O8714" s="561">
        <v>89099.700000000012</v>
      </c>
      <c r="P8714" s="561">
        <v>197696.89839999995</v>
      </c>
    </row>
    <row r="8715" spans="1:78">
      <c r="C8715" s="561" t="s">
        <v>1197</v>
      </c>
      <c r="G8715" s="561">
        <v>0</v>
      </c>
      <c r="H8715" s="561">
        <v>0</v>
      </c>
      <c r="I8715" s="561">
        <v>0</v>
      </c>
      <c r="J8715" s="561">
        <v>0</v>
      </c>
      <c r="K8715" s="561">
        <v>0</v>
      </c>
      <c r="L8715" s="561">
        <v>0</v>
      </c>
      <c r="M8715" s="561">
        <v>0</v>
      </c>
      <c r="N8715" s="561">
        <v>0</v>
      </c>
      <c r="O8715" s="561">
        <v>0</v>
      </c>
      <c r="P8715" s="561">
        <v>0</v>
      </c>
    </row>
    <row r="8716" spans="1:78">
      <c r="C8716" s="561" t="s">
        <v>1198</v>
      </c>
      <c r="G8716" s="561">
        <v>0</v>
      </c>
      <c r="H8716" s="561">
        <v>0</v>
      </c>
      <c r="I8716" s="561">
        <v>0</v>
      </c>
      <c r="J8716" s="561">
        <v>0</v>
      </c>
      <c r="K8716" s="561">
        <v>0</v>
      </c>
      <c r="L8716" s="561">
        <v>0</v>
      </c>
      <c r="M8716" s="561">
        <v>0</v>
      </c>
      <c r="N8716" s="561">
        <v>0</v>
      </c>
      <c r="O8716" s="561">
        <v>0</v>
      </c>
      <c r="P8716" s="561">
        <v>0</v>
      </c>
      <c r="BZ8716" s="561">
        <v>197696.89839999995</v>
      </c>
    </row>
    <row r="8717" spans="1:78">
      <c r="C8717" s="561" t="s">
        <v>1199</v>
      </c>
      <c r="D8717" s="561">
        <v>286796.59999999998</v>
      </c>
      <c r="E8717" s="561">
        <v>89099.7</v>
      </c>
      <c r="G8717" s="561">
        <v>197696.89999999997</v>
      </c>
      <c r="H8717" s="561">
        <v>1067</v>
      </c>
      <c r="I8717" s="561">
        <v>287779.29139999999</v>
      </c>
      <c r="J8717" s="561">
        <v>0</v>
      </c>
      <c r="K8717" s="561">
        <v>982.69300000002841</v>
      </c>
      <c r="L8717" s="561">
        <v>1067</v>
      </c>
      <c r="M8717" s="561">
        <v>286796.59839999996</v>
      </c>
      <c r="N8717" s="561">
        <v>286796.59839999996</v>
      </c>
      <c r="O8717" s="561">
        <v>89099.700000000012</v>
      </c>
    </row>
    <row r="8718" spans="1:78">
      <c r="C8718" s="561" t="s">
        <v>1200</v>
      </c>
      <c r="G8718" s="561">
        <v>0</v>
      </c>
      <c r="H8718" s="561">
        <v>0</v>
      </c>
      <c r="I8718" s="561">
        <v>0</v>
      </c>
      <c r="J8718" s="561">
        <v>0</v>
      </c>
      <c r="K8718" s="561">
        <v>0</v>
      </c>
      <c r="L8718" s="561">
        <v>0</v>
      </c>
      <c r="M8718" s="561">
        <v>0</v>
      </c>
      <c r="N8718" s="561">
        <v>0</v>
      </c>
      <c r="O8718" s="561">
        <v>0</v>
      </c>
      <c r="P8718" s="561">
        <v>0</v>
      </c>
    </row>
    <row r="8719" spans="1:78">
      <c r="A8719" s="561">
        <v>33</v>
      </c>
      <c r="B8719" s="561" t="s">
        <v>2044</v>
      </c>
      <c r="C8719" s="561" t="s">
        <v>1196</v>
      </c>
      <c r="D8719" s="561">
        <v>20987</v>
      </c>
      <c r="E8719" s="561">
        <v>6296.0999999999995</v>
      </c>
      <c r="F8719" s="561">
        <v>0</v>
      </c>
      <c r="G8719" s="561">
        <v>14690.900000000001</v>
      </c>
      <c r="H8719" s="561">
        <v>1200</v>
      </c>
      <c r="I8719" s="561">
        <v>21416.686339999997</v>
      </c>
      <c r="J8719" s="561">
        <v>0</v>
      </c>
      <c r="K8719" s="561">
        <v>432.54478999999628</v>
      </c>
      <c r="L8719" s="561">
        <v>1200</v>
      </c>
      <c r="M8719" s="561">
        <v>20984.14155</v>
      </c>
      <c r="N8719" s="561">
        <v>20984.14155</v>
      </c>
      <c r="O8719" s="561">
        <v>6296.0999999999995</v>
      </c>
      <c r="P8719" s="561">
        <v>14688.041550000002</v>
      </c>
    </row>
    <row r="8720" spans="1:78">
      <c r="C8720" s="561" t="s">
        <v>1197</v>
      </c>
      <c r="G8720" s="561">
        <v>0</v>
      </c>
      <c r="H8720" s="561">
        <v>0</v>
      </c>
      <c r="I8720" s="561">
        <v>0</v>
      </c>
      <c r="J8720" s="561">
        <v>0</v>
      </c>
      <c r="K8720" s="561">
        <v>0</v>
      </c>
      <c r="L8720" s="561">
        <v>0</v>
      </c>
      <c r="M8720" s="561">
        <v>0</v>
      </c>
      <c r="N8720" s="561">
        <v>0</v>
      </c>
      <c r="O8720" s="561">
        <v>0</v>
      </c>
      <c r="P8720" s="561">
        <v>0</v>
      </c>
    </row>
    <row r="8721" spans="1:78">
      <c r="C8721" s="561" t="s">
        <v>1198</v>
      </c>
      <c r="G8721" s="561">
        <v>0</v>
      </c>
      <c r="H8721" s="561">
        <v>0</v>
      </c>
      <c r="I8721" s="561">
        <v>0</v>
      </c>
      <c r="J8721" s="561">
        <v>0</v>
      </c>
      <c r="K8721" s="561">
        <v>0</v>
      </c>
      <c r="L8721" s="561">
        <v>0</v>
      </c>
      <c r="M8721" s="561">
        <v>0</v>
      </c>
      <c r="N8721" s="561">
        <v>0</v>
      </c>
      <c r="O8721" s="561">
        <v>0</v>
      </c>
      <c r="P8721" s="561">
        <v>0</v>
      </c>
      <c r="BZ8721" s="561">
        <v>14688.041550000002</v>
      </c>
    </row>
    <row r="8722" spans="1:78">
      <c r="C8722" s="561" t="s">
        <v>1199</v>
      </c>
      <c r="D8722" s="561">
        <v>20987</v>
      </c>
      <c r="E8722" s="561">
        <v>6296.0999999999995</v>
      </c>
      <c r="G8722" s="561">
        <v>14690.900000000001</v>
      </c>
      <c r="H8722" s="561">
        <v>1200</v>
      </c>
      <c r="I8722" s="561">
        <v>21416.686339999997</v>
      </c>
      <c r="J8722" s="561">
        <v>0</v>
      </c>
      <c r="K8722" s="561">
        <v>432.54478999999628</v>
      </c>
      <c r="L8722" s="561">
        <v>1200</v>
      </c>
      <c r="M8722" s="561">
        <v>20984.14155</v>
      </c>
      <c r="N8722" s="561">
        <v>20984.14155</v>
      </c>
      <c r="O8722" s="561">
        <v>6296.0999999999995</v>
      </c>
    </row>
    <row r="8723" spans="1:78">
      <c r="C8723" s="561" t="s">
        <v>1200</v>
      </c>
      <c r="G8723" s="561">
        <v>0</v>
      </c>
      <c r="H8723" s="561">
        <v>0</v>
      </c>
      <c r="I8723" s="561">
        <v>0</v>
      </c>
      <c r="J8723" s="561">
        <v>0</v>
      </c>
      <c r="K8723" s="561">
        <v>0</v>
      </c>
      <c r="L8723" s="561">
        <v>0</v>
      </c>
      <c r="M8723" s="561">
        <v>0</v>
      </c>
      <c r="N8723" s="561">
        <v>0</v>
      </c>
      <c r="O8723" s="561">
        <v>0</v>
      </c>
      <c r="P8723" s="561">
        <v>0</v>
      </c>
    </row>
    <row r="8724" spans="1:78">
      <c r="A8724" s="561">
        <v>34</v>
      </c>
      <c r="B8724" s="561" t="s">
        <v>2045</v>
      </c>
      <c r="C8724" s="561" t="s">
        <v>1196</v>
      </c>
      <c r="D8724" s="561">
        <v>79514.494999999995</v>
      </c>
      <c r="E8724" s="561">
        <v>0</v>
      </c>
      <c r="F8724" s="561">
        <v>0</v>
      </c>
      <c r="G8724" s="561">
        <v>79514.494999999995</v>
      </c>
      <c r="H8724" s="561">
        <v>99</v>
      </c>
      <c r="I8724" s="561">
        <v>79514.507139999987</v>
      </c>
      <c r="J8724" s="561">
        <v>0</v>
      </c>
      <c r="K8724" s="561">
        <v>1.0339999993448146E-2</v>
      </c>
      <c r="L8724" s="561">
        <v>99</v>
      </c>
      <c r="M8724" s="561">
        <v>79514.496799999994</v>
      </c>
      <c r="N8724" s="561">
        <v>79514.496799999994</v>
      </c>
      <c r="O8724" s="561">
        <v>0</v>
      </c>
      <c r="P8724" s="561">
        <v>79514.496799999994</v>
      </c>
    </row>
    <row r="8725" spans="1:78">
      <c r="C8725" s="561" t="s">
        <v>1197</v>
      </c>
      <c r="G8725" s="561">
        <v>0</v>
      </c>
      <c r="H8725" s="561">
        <v>0</v>
      </c>
      <c r="I8725" s="561">
        <v>0</v>
      </c>
      <c r="J8725" s="561">
        <v>0</v>
      </c>
      <c r="K8725" s="561">
        <v>0</v>
      </c>
      <c r="L8725" s="561">
        <v>0</v>
      </c>
      <c r="M8725" s="561">
        <v>0</v>
      </c>
      <c r="N8725" s="561">
        <v>0</v>
      </c>
      <c r="O8725" s="561">
        <v>0</v>
      </c>
      <c r="P8725" s="561">
        <v>0</v>
      </c>
    </row>
    <row r="8726" spans="1:78">
      <c r="C8726" s="561" t="s">
        <v>1198</v>
      </c>
      <c r="D8726" s="561">
        <v>79514.494999999995</v>
      </c>
      <c r="G8726" s="561">
        <v>79514.494999999995</v>
      </c>
      <c r="H8726" s="561">
        <v>99</v>
      </c>
      <c r="I8726" s="561">
        <v>79514.507139999987</v>
      </c>
      <c r="J8726" s="561">
        <v>0</v>
      </c>
      <c r="K8726" s="561">
        <v>1.0339999993448146E-2</v>
      </c>
      <c r="L8726" s="561">
        <v>99</v>
      </c>
      <c r="M8726" s="561">
        <v>79514.496799999994</v>
      </c>
      <c r="N8726" s="561">
        <v>79514.496799999994</v>
      </c>
      <c r="O8726" s="561">
        <v>0</v>
      </c>
      <c r="P8726" s="561">
        <v>79514.496799999994</v>
      </c>
    </row>
    <row r="8727" spans="1:78">
      <c r="C8727" s="561" t="s">
        <v>1199</v>
      </c>
      <c r="G8727" s="561">
        <v>0</v>
      </c>
      <c r="H8727" s="561">
        <v>0</v>
      </c>
      <c r="I8727" s="561">
        <v>0</v>
      </c>
      <c r="J8727" s="561">
        <v>0</v>
      </c>
      <c r="K8727" s="561">
        <v>0</v>
      </c>
      <c r="L8727" s="561">
        <v>0</v>
      </c>
      <c r="M8727" s="561">
        <v>0</v>
      </c>
      <c r="N8727" s="561">
        <v>0</v>
      </c>
      <c r="O8727" s="561">
        <v>0</v>
      </c>
      <c r="P8727" s="561">
        <v>0</v>
      </c>
    </row>
    <row r="8728" spans="1:78">
      <c r="C8728" s="561" t="s">
        <v>1200</v>
      </c>
      <c r="G8728" s="561">
        <v>0</v>
      </c>
      <c r="H8728" s="561">
        <v>0</v>
      </c>
      <c r="I8728" s="561">
        <v>0</v>
      </c>
      <c r="J8728" s="561">
        <v>0</v>
      </c>
      <c r="K8728" s="561">
        <v>0</v>
      </c>
      <c r="L8728" s="561">
        <v>0</v>
      </c>
      <c r="M8728" s="561">
        <v>0</v>
      </c>
      <c r="N8728" s="561">
        <v>0</v>
      </c>
      <c r="O8728" s="561">
        <v>0</v>
      </c>
      <c r="P8728" s="561">
        <v>0</v>
      </c>
    </row>
    <row r="8729" spans="1:78">
      <c r="A8729" s="561">
        <v>35</v>
      </c>
      <c r="B8729" s="561" t="s">
        <v>2046</v>
      </c>
      <c r="C8729" s="561" t="s">
        <v>1196</v>
      </c>
      <c r="D8729" s="561">
        <v>215656</v>
      </c>
      <c r="E8729" s="561">
        <v>57196.799999999996</v>
      </c>
      <c r="F8729" s="561">
        <v>0</v>
      </c>
      <c r="G8729" s="561">
        <v>158459.20000000001</v>
      </c>
      <c r="H8729" s="561">
        <v>412308</v>
      </c>
      <c r="I8729" s="561">
        <v>224360.36504999999</v>
      </c>
      <c r="J8729" s="561">
        <v>12283</v>
      </c>
      <c r="K8729" s="561">
        <v>8704.4859099999594</v>
      </c>
      <c r="L8729" s="561">
        <v>400025</v>
      </c>
      <c r="M8729" s="561">
        <v>215655.87914000003</v>
      </c>
      <c r="N8729" s="561">
        <v>215655.87914000003</v>
      </c>
      <c r="O8729" s="561">
        <v>57196.799999999996</v>
      </c>
      <c r="P8729" s="561">
        <v>158459.07914000005</v>
      </c>
    </row>
    <row r="8730" spans="1:78">
      <c r="C8730" s="561" t="s">
        <v>1197</v>
      </c>
      <c r="G8730" s="561">
        <v>0</v>
      </c>
      <c r="H8730" s="561">
        <v>0</v>
      </c>
      <c r="I8730" s="561">
        <v>0</v>
      </c>
      <c r="J8730" s="561">
        <v>0</v>
      </c>
      <c r="K8730" s="561">
        <v>0</v>
      </c>
      <c r="L8730" s="561">
        <v>0</v>
      </c>
      <c r="M8730" s="561">
        <v>0</v>
      </c>
      <c r="N8730" s="561">
        <v>0</v>
      </c>
      <c r="O8730" s="561">
        <v>0</v>
      </c>
      <c r="P8730" s="561">
        <v>0</v>
      </c>
    </row>
    <row r="8731" spans="1:78">
      <c r="C8731" s="561" t="s">
        <v>1198</v>
      </c>
      <c r="G8731" s="561">
        <v>0</v>
      </c>
      <c r="H8731" s="561">
        <v>0</v>
      </c>
      <c r="I8731" s="561">
        <v>0</v>
      </c>
      <c r="J8731" s="561">
        <v>0</v>
      </c>
      <c r="K8731" s="561">
        <v>0</v>
      </c>
      <c r="L8731" s="561">
        <v>0</v>
      </c>
      <c r="M8731" s="561">
        <v>0</v>
      </c>
      <c r="N8731" s="561">
        <v>0</v>
      </c>
      <c r="O8731" s="561">
        <v>0</v>
      </c>
      <c r="P8731" s="561">
        <v>0</v>
      </c>
    </row>
    <row r="8732" spans="1:78">
      <c r="C8732" s="561" t="s">
        <v>1199</v>
      </c>
      <c r="G8732" s="561">
        <v>0</v>
      </c>
      <c r="H8732" s="561">
        <v>0</v>
      </c>
      <c r="I8732" s="561">
        <v>0</v>
      </c>
      <c r="J8732" s="561">
        <v>0</v>
      </c>
      <c r="K8732" s="561">
        <v>0</v>
      </c>
      <c r="L8732" s="561">
        <v>0</v>
      </c>
      <c r="M8732" s="561">
        <v>0</v>
      </c>
      <c r="N8732" s="561">
        <v>0</v>
      </c>
      <c r="O8732" s="561">
        <v>0</v>
      </c>
      <c r="P8732" s="561">
        <v>0</v>
      </c>
    </row>
    <row r="8733" spans="1:78">
      <c r="C8733" s="561" t="s">
        <v>1200</v>
      </c>
      <c r="D8733" s="561">
        <v>215656</v>
      </c>
      <c r="E8733" s="561">
        <v>57196.799999999996</v>
      </c>
      <c r="G8733" s="561">
        <v>158459.20000000001</v>
      </c>
      <c r="H8733" s="561">
        <v>412308</v>
      </c>
      <c r="I8733" s="561">
        <v>224360.36504999999</v>
      </c>
      <c r="J8733" s="561">
        <v>12283</v>
      </c>
      <c r="K8733" s="561">
        <v>8704.4859099999594</v>
      </c>
      <c r="L8733" s="561">
        <v>400025</v>
      </c>
      <c r="M8733" s="561">
        <v>215655.87914000003</v>
      </c>
      <c r="N8733" s="561">
        <v>215655.87914000003</v>
      </c>
      <c r="O8733" s="561">
        <v>57196.799999999996</v>
      </c>
      <c r="P8733" s="561">
        <v>158459.07914000005</v>
      </c>
    </row>
  </sheetData>
  <autoFilter ref="A18:WZJ18"/>
  <mergeCells count="1214">
    <mergeCell ref="AE4:AE5"/>
    <mergeCell ref="AF4:AF5"/>
    <mergeCell ref="AG4:AG5"/>
    <mergeCell ref="AH4:AH5"/>
    <mergeCell ref="AI4:AI5"/>
    <mergeCell ref="A11:P11"/>
    <mergeCell ref="U4:U5"/>
    <mergeCell ref="V4:W4"/>
    <mergeCell ref="X4:Y4"/>
    <mergeCell ref="Z4:AA4"/>
    <mergeCell ref="AB4:AB5"/>
    <mergeCell ref="AC4:AD4"/>
    <mergeCell ref="U3:AI3"/>
    <mergeCell ref="F4:F5"/>
    <mergeCell ref="G4:H4"/>
    <mergeCell ref="I4:J4"/>
    <mergeCell ref="K4:L4"/>
    <mergeCell ref="M4:M5"/>
    <mergeCell ref="N4:O4"/>
    <mergeCell ref="P4:P5"/>
    <mergeCell ref="Q4:Q5"/>
    <mergeCell ref="R4:R5"/>
    <mergeCell ref="A3:A5"/>
    <mergeCell ref="B3:B5"/>
    <mergeCell ref="C3:C5"/>
    <mergeCell ref="D3:D5"/>
    <mergeCell ref="E3:E5"/>
    <mergeCell ref="F3:T3"/>
    <mergeCell ref="S4:S5"/>
    <mergeCell ref="T4:T5"/>
    <mergeCell ref="A34:A37"/>
    <mergeCell ref="B34:B37"/>
    <mergeCell ref="A38:A40"/>
    <mergeCell ref="B38:B40"/>
    <mergeCell ref="A41:A43"/>
    <mergeCell ref="B41:B43"/>
    <mergeCell ref="A26:A28"/>
    <mergeCell ref="B26:B28"/>
    <mergeCell ref="A29:A31"/>
    <mergeCell ref="B29:B31"/>
    <mergeCell ref="A32:A33"/>
    <mergeCell ref="B32:B33"/>
    <mergeCell ref="A12:P12"/>
    <mergeCell ref="A13:A17"/>
    <mergeCell ref="B13:B17"/>
    <mergeCell ref="A18:A21"/>
    <mergeCell ref="B18:B21"/>
    <mergeCell ref="A22:A25"/>
    <mergeCell ref="B22:B25"/>
    <mergeCell ref="A57:A59"/>
    <mergeCell ref="B57:B59"/>
    <mergeCell ref="A60:A62"/>
    <mergeCell ref="B60:B62"/>
    <mergeCell ref="A63:A65"/>
    <mergeCell ref="B63:B65"/>
    <mergeCell ref="A50:A51"/>
    <mergeCell ref="B50:B51"/>
    <mergeCell ref="A52:A54"/>
    <mergeCell ref="B52:B54"/>
    <mergeCell ref="A55:A56"/>
    <mergeCell ref="B55:B56"/>
    <mergeCell ref="A44:A45"/>
    <mergeCell ref="B44:B45"/>
    <mergeCell ref="A46:A47"/>
    <mergeCell ref="B46:B47"/>
    <mergeCell ref="A48:A49"/>
    <mergeCell ref="B48:B49"/>
    <mergeCell ref="A83:A85"/>
    <mergeCell ref="B83:B85"/>
    <mergeCell ref="A86:A88"/>
    <mergeCell ref="B86:B88"/>
    <mergeCell ref="A89:A91"/>
    <mergeCell ref="B89:B91"/>
    <mergeCell ref="A75:A76"/>
    <mergeCell ref="B75:B76"/>
    <mergeCell ref="A77:A79"/>
    <mergeCell ref="B77:B79"/>
    <mergeCell ref="A80:A82"/>
    <mergeCell ref="B80:B82"/>
    <mergeCell ref="A66:A68"/>
    <mergeCell ref="B66:B68"/>
    <mergeCell ref="A69:A71"/>
    <mergeCell ref="B69:B71"/>
    <mergeCell ref="A72:A74"/>
    <mergeCell ref="B72:B74"/>
    <mergeCell ref="A109:A110"/>
    <mergeCell ref="B109:B110"/>
    <mergeCell ref="A111:A112"/>
    <mergeCell ref="B111:B112"/>
    <mergeCell ref="A113:P113"/>
    <mergeCell ref="U113:AH113"/>
    <mergeCell ref="A101:A103"/>
    <mergeCell ref="B101:B103"/>
    <mergeCell ref="A104:A106"/>
    <mergeCell ref="B104:B106"/>
    <mergeCell ref="A107:A108"/>
    <mergeCell ref="B107:B108"/>
    <mergeCell ref="A92:A94"/>
    <mergeCell ref="B92:B94"/>
    <mergeCell ref="A95:A97"/>
    <mergeCell ref="B95:B97"/>
    <mergeCell ref="A98:A100"/>
    <mergeCell ref="B98:B100"/>
    <mergeCell ref="B148:B150"/>
    <mergeCell ref="B151:B152"/>
    <mergeCell ref="B153:B155"/>
    <mergeCell ref="B156:B158"/>
    <mergeCell ref="B159:B161"/>
    <mergeCell ref="B162:B164"/>
    <mergeCell ref="B134:B136"/>
    <mergeCell ref="B137:B139"/>
    <mergeCell ref="B140:B141"/>
    <mergeCell ref="B142:B143"/>
    <mergeCell ref="B144:B145"/>
    <mergeCell ref="B146:B147"/>
    <mergeCell ref="B114:B117"/>
    <mergeCell ref="B118:B121"/>
    <mergeCell ref="B122:B124"/>
    <mergeCell ref="B125:B127"/>
    <mergeCell ref="B128:B129"/>
    <mergeCell ref="B130:B133"/>
    <mergeCell ref="B200:B202"/>
    <mergeCell ref="B203:B204"/>
    <mergeCell ref="B205:B206"/>
    <mergeCell ref="B207:B208"/>
    <mergeCell ref="A209:P209"/>
    <mergeCell ref="B210:B213"/>
    <mergeCell ref="B182:B184"/>
    <mergeCell ref="B185:B187"/>
    <mergeCell ref="B188:B190"/>
    <mergeCell ref="B191:B193"/>
    <mergeCell ref="B194:B196"/>
    <mergeCell ref="B197:B199"/>
    <mergeCell ref="B165:B167"/>
    <mergeCell ref="B168:B170"/>
    <mergeCell ref="B171:B172"/>
    <mergeCell ref="B173:B175"/>
    <mergeCell ref="B176:B178"/>
    <mergeCell ref="B179:B181"/>
    <mergeCell ref="B247:B248"/>
    <mergeCell ref="B249:B251"/>
    <mergeCell ref="B252:B254"/>
    <mergeCell ref="B255:B257"/>
    <mergeCell ref="B258:B260"/>
    <mergeCell ref="B261:B263"/>
    <mergeCell ref="B233:B235"/>
    <mergeCell ref="B236:B237"/>
    <mergeCell ref="B238:B239"/>
    <mergeCell ref="B240:B241"/>
    <mergeCell ref="B242:B243"/>
    <mergeCell ref="B244:B246"/>
    <mergeCell ref="B214:B217"/>
    <mergeCell ref="B218:B220"/>
    <mergeCell ref="B221:B223"/>
    <mergeCell ref="B224:B225"/>
    <mergeCell ref="B226:B229"/>
    <mergeCell ref="B230:B232"/>
    <mergeCell ref="B299:B300"/>
    <mergeCell ref="B301:B302"/>
    <mergeCell ref="B303:B304"/>
    <mergeCell ref="A305:A308"/>
    <mergeCell ref="C305:P305"/>
    <mergeCell ref="A311:P311"/>
    <mergeCell ref="B281:B283"/>
    <mergeCell ref="B284:B286"/>
    <mergeCell ref="B287:B289"/>
    <mergeCell ref="B290:B292"/>
    <mergeCell ref="B293:B295"/>
    <mergeCell ref="B296:B298"/>
    <mergeCell ref="B264:B266"/>
    <mergeCell ref="B267:B268"/>
    <mergeCell ref="B269:B271"/>
    <mergeCell ref="B272:B274"/>
    <mergeCell ref="B275:B277"/>
    <mergeCell ref="B278:B280"/>
    <mergeCell ref="A338:A341"/>
    <mergeCell ref="B338:B341"/>
    <mergeCell ref="A342:A345"/>
    <mergeCell ref="B342:B345"/>
    <mergeCell ref="A346:A349"/>
    <mergeCell ref="B346:B349"/>
    <mergeCell ref="A325:A328"/>
    <mergeCell ref="B325:B328"/>
    <mergeCell ref="A330:A333"/>
    <mergeCell ref="B330:B333"/>
    <mergeCell ref="A334:A337"/>
    <mergeCell ref="B334:B337"/>
    <mergeCell ref="A312:A315"/>
    <mergeCell ref="B312:B315"/>
    <mergeCell ref="A317:A320"/>
    <mergeCell ref="B317:B320"/>
    <mergeCell ref="A321:A324"/>
    <mergeCell ref="B321:B324"/>
    <mergeCell ref="A374:A377"/>
    <mergeCell ref="B374:B377"/>
    <mergeCell ref="A378:A381"/>
    <mergeCell ref="B378:B381"/>
    <mergeCell ref="A382:A385"/>
    <mergeCell ref="B382:B385"/>
    <mergeCell ref="A362:A365"/>
    <mergeCell ref="B362:B365"/>
    <mergeCell ref="A366:A369"/>
    <mergeCell ref="B366:B369"/>
    <mergeCell ref="A370:A373"/>
    <mergeCell ref="B370:B373"/>
    <mergeCell ref="A350:A353"/>
    <mergeCell ref="B350:B353"/>
    <mergeCell ref="A354:A357"/>
    <mergeCell ref="B354:B357"/>
    <mergeCell ref="A358:A361"/>
    <mergeCell ref="B358:B361"/>
    <mergeCell ref="A410:A413"/>
    <mergeCell ref="B410:B413"/>
    <mergeCell ref="A414:A417"/>
    <mergeCell ref="B414:B417"/>
    <mergeCell ref="A418:A421"/>
    <mergeCell ref="B418:B421"/>
    <mergeCell ref="A398:A401"/>
    <mergeCell ref="B398:B401"/>
    <mergeCell ref="A402:A405"/>
    <mergeCell ref="B402:B405"/>
    <mergeCell ref="A406:A409"/>
    <mergeCell ref="B406:B409"/>
    <mergeCell ref="A386:A389"/>
    <mergeCell ref="B386:B389"/>
    <mergeCell ref="A390:A393"/>
    <mergeCell ref="B390:B393"/>
    <mergeCell ref="A394:A397"/>
    <mergeCell ref="B394:B397"/>
    <mergeCell ref="A446:A449"/>
    <mergeCell ref="B446:B449"/>
    <mergeCell ref="A450:A453"/>
    <mergeCell ref="B450:B453"/>
    <mergeCell ref="A454:A457"/>
    <mergeCell ref="B454:B457"/>
    <mergeCell ref="A434:A437"/>
    <mergeCell ref="B434:B437"/>
    <mergeCell ref="A438:A441"/>
    <mergeCell ref="B438:B441"/>
    <mergeCell ref="A442:A445"/>
    <mergeCell ref="B442:B445"/>
    <mergeCell ref="A422:A425"/>
    <mergeCell ref="B422:B425"/>
    <mergeCell ref="A426:A429"/>
    <mergeCell ref="B426:B429"/>
    <mergeCell ref="A430:A433"/>
    <mergeCell ref="B430:B433"/>
    <mergeCell ref="A484:A487"/>
    <mergeCell ref="B484:B487"/>
    <mergeCell ref="A489:A492"/>
    <mergeCell ref="B489:B492"/>
    <mergeCell ref="A493:A496"/>
    <mergeCell ref="B493:B496"/>
    <mergeCell ref="A470:P470"/>
    <mergeCell ref="A471:A474"/>
    <mergeCell ref="B471:B474"/>
    <mergeCell ref="A476:A479"/>
    <mergeCell ref="B476:B479"/>
    <mergeCell ref="A480:A483"/>
    <mergeCell ref="B480:B483"/>
    <mergeCell ref="A458:A461"/>
    <mergeCell ref="B458:B461"/>
    <mergeCell ref="A462:A465"/>
    <mergeCell ref="B462:B465"/>
    <mergeCell ref="A466:A469"/>
    <mergeCell ref="B466:B469"/>
    <mergeCell ref="A521:A524"/>
    <mergeCell ref="B521:B524"/>
    <mergeCell ref="A525:A528"/>
    <mergeCell ref="B525:B528"/>
    <mergeCell ref="A529:A532"/>
    <mergeCell ref="B529:B532"/>
    <mergeCell ref="A509:A512"/>
    <mergeCell ref="B509:B512"/>
    <mergeCell ref="A513:A516"/>
    <mergeCell ref="B513:B516"/>
    <mergeCell ref="A517:A520"/>
    <mergeCell ref="B517:B520"/>
    <mergeCell ref="A497:A500"/>
    <mergeCell ref="B497:B500"/>
    <mergeCell ref="A501:A504"/>
    <mergeCell ref="B501:B504"/>
    <mergeCell ref="A505:A508"/>
    <mergeCell ref="B505:B508"/>
    <mergeCell ref="A557:A560"/>
    <mergeCell ref="B557:B560"/>
    <mergeCell ref="A561:A564"/>
    <mergeCell ref="B561:B564"/>
    <mergeCell ref="A565:A568"/>
    <mergeCell ref="B565:B568"/>
    <mergeCell ref="A545:A548"/>
    <mergeCell ref="B545:B548"/>
    <mergeCell ref="A549:A552"/>
    <mergeCell ref="B549:B552"/>
    <mergeCell ref="A553:A556"/>
    <mergeCell ref="B553:B556"/>
    <mergeCell ref="A533:A536"/>
    <mergeCell ref="B533:B536"/>
    <mergeCell ref="A537:A540"/>
    <mergeCell ref="B537:B540"/>
    <mergeCell ref="A541:A544"/>
    <mergeCell ref="B541:B544"/>
    <mergeCell ref="A593:A596"/>
    <mergeCell ref="B593:B596"/>
    <mergeCell ref="A597:A600"/>
    <mergeCell ref="B597:B600"/>
    <mergeCell ref="A601:A604"/>
    <mergeCell ref="B601:B604"/>
    <mergeCell ref="A581:A584"/>
    <mergeCell ref="B581:B584"/>
    <mergeCell ref="A585:A588"/>
    <mergeCell ref="B585:B588"/>
    <mergeCell ref="A589:A592"/>
    <mergeCell ref="B589:B592"/>
    <mergeCell ref="A569:A572"/>
    <mergeCell ref="B569:B572"/>
    <mergeCell ref="A573:A576"/>
    <mergeCell ref="B573:B576"/>
    <mergeCell ref="A577:A580"/>
    <mergeCell ref="B577:B580"/>
    <mergeCell ref="A629:P629"/>
    <mergeCell ref="A630:A633"/>
    <mergeCell ref="B630:B633"/>
    <mergeCell ref="A635:A638"/>
    <mergeCell ref="B635:B638"/>
    <mergeCell ref="A639:A642"/>
    <mergeCell ref="B639:B642"/>
    <mergeCell ref="A617:A620"/>
    <mergeCell ref="B617:B620"/>
    <mergeCell ref="A621:A624"/>
    <mergeCell ref="B621:B624"/>
    <mergeCell ref="A625:A628"/>
    <mergeCell ref="B625:B628"/>
    <mergeCell ref="A605:A608"/>
    <mergeCell ref="B605:B608"/>
    <mergeCell ref="A609:A612"/>
    <mergeCell ref="B609:B612"/>
    <mergeCell ref="A613:A616"/>
    <mergeCell ref="B613:B616"/>
    <mergeCell ref="A668:A671"/>
    <mergeCell ref="B668:B671"/>
    <mergeCell ref="A672:A675"/>
    <mergeCell ref="B672:B675"/>
    <mergeCell ref="A676:A679"/>
    <mergeCell ref="B676:B679"/>
    <mergeCell ref="A656:A659"/>
    <mergeCell ref="B656:B659"/>
    <mergeCell ref="A660:A663"/>
    <mergeCell ref="B660:B663"/>
    <mergeCell ref="A664:A667"/>
    <mergeCell ref="B664:B667"/>
    <mergeCell ref="A643:A646"/>
    <mergeCell ref="B643:B646"/>
    <mergeCell ref="A648:A651"/>
    <mergeCell ref="B648:B651"/>
    <mergeCell ref="A652:A655"/>
    <mergeCell ref="B652:B655"/>
    <mergeCell ref="A704:A707"/>
    <mergeCell ref="B704:B707"/>
    <mergeCell ref="A708:A711"/>
    <mergeCell ref="B708:B711"/>
    <mergeCell ref="A712:A715"/>
    <mergeCell ref="B712:B715"/>
    <mergeCell ref="A692:A695"/>
    <mergeCell ref="B692:B695"/>
    <mergeCell ref="A696:A699"/>
    <mergeCell ref="B696:B699"/>
    <mergeCell ref="A700:A703"/>
    <mergeCell ref="B700:B703"/>
    <mergeCell ref="A680:A683"/>
    <mergeCell ref="B680:B683"/>
    <mergeCell ref="A684:A687"/>
    <mergeCell ref="B684:B687"/>
    <mergeCell ref="A688:A691"/>
    <mergeCell ref="B688:B691"/>
    <mergeCell ref="A740:A743"/>
    <mergeCell ref="B740:B743"/>
    <mergeCell ref="A744:A747"/>
    <mergeCell ref="B744:B747"/>
    <mergeCell ref="A748:A751"/>
    <mergeCell ref="B748:B751"/>
    <mergeCell ref="A728:A731"/>
    <mergeCell ref="B728:B731"/>
    <mergeCell ref="A732:A735"/>
    <mergeCell ref="B732:B735"/>
    <mergeCell ref="A736:A739"/>
    <mergeCell ref="B736:B739"/>
    <mergeCell ref="A716:A719"/>
    <mergeCell ref="B716:B719"/>
    <mergeCell ref="A720:A723"/>
    <mergeCell ref="B720:B723"/>
    <mergeCell ref="A724:A727"/>
    <mergeCell ref="B724:B727"/>
    <mergeCell ref="A776:A779"/>
    <mergeCell ref="B776:B779"/>
    <mergeCell ref="A780:A783"/>
    <mergeCell ref="B780:B783"/>
    <mergeCell ref="A784:A787"/>
    <mergeCell ref="B784:B787"/>
    <mergeCell ref="A764:A767"/>
    <mergeCell ref="B764:B767"/>
    <mergeCell ref="A768:A771"/>
    <mergeCell ref="B768:B771"/>
    <mergeCell ref="A772:A775"/>
    <mergeCell ref="B772:B775"/>
    <mergeCell ref="A752:A755"/>
    <mergeCell ref="B752:B755"/>
    <mergeCell ref="A756:A759"/>
    <mergeCell ref="B756:B759"/>
    <mergeCell ref="A760:A763"/>
    <mergeCell ref="B760:B763"/>
    <mergeCell ref="A810:A812"/>
    <mergeCell ref="B810:B812"/>
    <mergeCell ref="A813:A815"/>
    <mergeCell ref="B813:B815"/>
    <mergeCell ref="A816:A818"/>
    <mergeCell ref="B816:B818"/>
    <mergeCell ref="A797:A800"/>
    <mergeCell ref="B797:B800"/>
    <mergeCell ref="A801:A803"/>
    <mergeCell ref="B801:B803"/>
    <mergeCell ref="A807:A809"/>
    <mergeCell ref="B807:B809"/>
    <mergeCell ref="A788:P788"/>
    <mergeCell ref="A789:P789"/>
    <mergeCell ref="A790:A793"/>
    <mergeCell ref="B790:B793"/>
    <mergeCell ref="A794:A796"/>
    <mergeCell ref="B794:B796"/>
    <mergeCell ref="A837:A839"/>
    <mergeCell ref="B837:B839"/>
    <mergeCell ref="A841:A843"/>
    <mergeCell ref="B841:B843"/>
    <mergeCell ref="A844:A846"/>
    <mergeCell ref="B844:B846"/>
    <mergeCell ref="A828:A830"/>
    <mergeCell ref="B828:B830"/>
    <mergeCell ref="A831:A833"/>
    <mergeCell ref="B831:B833"/>
    <mergeCell ref="A834:A836"/>
    <mergeCell ref="B834:B836"/>
    <mergeCell ref="A819:A821"/>
    <mergeCell ref="B819:B821"/>
    <mergeCell ref="A822:A824"/>
    <mergeCell ref="B822:B824"/>
    <mergeCell ref="A825:A827"/>
    <mergeCell ref="B825:B827"/>
    <mergeCell ref="A869:A871"/>
    <mergeCell ref="B869:B871"/>
    <mergeCell ref="A872:A874"/>
    <mergeCell ref="B872:B874"/>
    <mergeCell ref="A875:A877"/>
    <mergeCell ref="B875:B877"/>
    <mergeCell ref="A858:A861"/>
    <mergeCell ref="B858:B861"/>
    <mergeCell ref="A862:A864"/>
    <mergeCell ref="B862:B864"/>
    <mergeCell ref="A865:A867"/>
    <mergeCell ref="B865:B867"/>
    <mergeCell ref="A848:A850"/>
    <mergeCell ref="B848:B850"/>
    <mergeCell ref="A852:A854"/>
    <mergeCell ref="B852:B854"/>
    <mergeCell ref="A855:A857"/>
    <mergeCell ref="B855:B857"/>
    <mergeCell ref="A898:A900"/>
    <mergeCell ref="B898:B900"/>
    <mergeCell ref="A906:A908"/>
    <mergeCell ref="B906:B908"/>
    <mergeCell ref="A909:A911"/>
    <mergeCell ref="B909:B911"/>
    <mergeCell ref="A888:A890"/>
    <mergeCell ref="B888:B890"/>
    <mergeCell ref="A892:A894"/>
    <mergeCell ref="B892:B894"/>
    <mergeCell ref="A895:A897"/>
    <mergeCell ref="B895:B897"/>
    <mergeCell ref="A879:A881"/>
    <mergeCell ref="B879:B881"/>
    <mergeCell ref="A882:A884"/>
    <mergeCell ref="B882:B884"/>
    <mergeCell ref="A885:A887"/>
    <mergeCell ref="B885:B887"/>
    <mergeCell ref="A932:A934"/>
    <mergeCell ref="B932:B934"/>
    <mergeCell ref="A937:A940"/>
    <mergeCell ref="B937:B940"/>
    <mergeCell ref="A942:A944"/>
    <mergeCell ref="B942:B944"/>
    <mergeCell ref="A921:A923"/>
    <mergeCell ref="B921:B923"/>
    <mergeCell ref="A926:A928"/>
    <mergeCell ref="B926:B928"/>
    <mergeCell ref="A929:A931"/>
    <mergeCell ref="B929:B931"/>
    <mergeCell ref="A912:A914"/>
    <mergeCell ref="B912:B914"/>
    <mergeCell ref="A915:A917"/>
    <mergeCell ref="B915:B917"/>
    <mergeCell ref="A918:A920"/>
    <mergeCell ref="B918:B920"/>
    <mergeCell ref="A979:A981"/>
    <mergeCell ref="B979:B981"/>
    <mergeCell ref="A982:A985"/>
    <mergeCell ref="B982:B985"/>
    <mergeCell ref="A986:A988"/>
    <mergeCell ref="B986:B988"/>
    <mergeCell ref="A956:A959"/>
    <mergeCell ref="B956:B959"/>
    <mergeCell ref="A964:A966"/>
    <mergeCell ref="B964:B966"/>
    <mergeCell ref="A974:P974"/>
    <mergeCell ref="A975:A978"/>
    <mergeCell ref="B975:B978"/>
    <mergeCell ref="A945:A947"/>
    <mergeCell ref="B945:B947"/>
    <mergeCell ref="A949:A951"/>
    <mergeCell ref="B949:B951"/>
    <mergeCell ref="A953:A955"/>
    <mergeCell ref="B953:B955"/>
    <mergeCell ref="A1010:A1012"/>
    <mergeCell ref="B1010:B1012"/>
    <mergeCell ref="A1013:A1015"/>
    <mergeCell ref="B1013:B1015"/>
    <mergeCell ref="A1016:A1018"/>
    <mergeCell ref="B1016:B1018"/>
    <mergeCell ref="A1001:A1003"/>
    <mergeCell ref="B1001:B1003"/>
    <mergeCell ref="A1004:A1006"/>
    <mergeCell ref="B1004:B1006"/>
    <mergeCell ref="A1007:A1009"/>
    <mergeCell ref="B1007:B1009"/>
    <mergeCell ref="A992:A994"/>
    <mergeCell ref="B992:B994"/>
    <mergeCell ref="A995:A997"/>
    <mergeCell ref="B995:B997"/>
    <mergeCell ref="A998:A1000"/>
    <mergeCell ref="B998:B1000"/>
    <mergeCell ref="A1040:A1042"/>
    <mergeCell ref="B1040:B1042"/>
    <mergeCell ref="A1043:A1046"/>
    <mergeCell ref="B1043:B1046"/>
    <mergeCell ref="A1047:A1049"/>
    <mergeCell ref="B1047:B1049"/>
    <mergeCell ref="A1029:A1031"/>
    <mergeCell ref="B1029:B1031"/>
    <mergeCell ref="A1033:A1035"/>
    <mergeCell ref="B1033:B1035"/>
    <mergeCell ref="A1037:A1039"/>
    <mergeCell ref="B1037:B1039"/>
    <mergeCell ref="A1019:A1021"/>
    <mergeCell ref="B1019:B1021"/>
    <mergeCell ref="A1022:A1024"/>
    <mergeCell ref="B1022:B1024"/>
    <mergeCell ref="A1026:A1028"/>
    <mergeCell ref="B1026:B1028"/>
    <mergeCell ref="A1070:A1072"/>
    <mergeCell ref="B1070:B1072"/>
    <mergeCell ref="A1073:A1075"/>
    <mergeCell ref="B1073:B1075"/>
    <mergeCell ref="A1077:A1079"/>
    <mergeCell ref="B1077:B1079"/>
    <mergeCell ref="A1060:A1062"/>
    <mergeCell ref="B1060:B1062"/>
    <mergeCell ref="A1064:A1066"/>
    <mergeCell ref="B1064:B1066"/>
    <mergeCell ref="A1067:A1069"/>
    <mergeCell ref="B1067:B1069"/>
    <mergeCell ref="A1050:A1052"/>
    <mergeCell ref="B1050:B1052"/>
    <mergeCell ref="A1054:A1056"/>
    <mergeCell ref="B1054:B1056"/>
    <mergeCell ref="A1057:A1059"/>
    <mergeCell ref="B1057:B1059"/>
    <mergeCell ref="A1103:A1105"/>
    <mergeCell ref="B1103:B1105"/>
    <mergeCell ref="A1106:A1108"/>
    <mergeCell ref="B1106:B1108"/>
    <mergeCell ref="A1111:A1113"/>
    <mergeCell ref="B1111:B1113"/>
    <mergeCell ref="A1094:A1096"/>
    <mergeCell ref="B1094:B1096"/>
    <mergeCell ref="A1097:A1099"/>
    <mergeCell ref="B1097:B1099"/>
    <mergeCell ref="A1100:A1102"/>
    <mergeCell ref="B1100:B1102"/>
    <mergeCell ref="A1080:A1082"/>
    <mergeCell ref="B1080:B1082"/>
    <mergeCell ref="A1083:A1085"/>
    <mergeCell ref="B1083:B1085"/>
    <mergeCell ref="A1091:A1093"/>
    <mergeCell ref="B1091:B1093"/>
    <mergeCell ref="A1138:A1140"/>
    <mergeCell ref="B1138:B1140"/>
    <mergeCell ref="A1141:A1144"/>
    <mergeCell ref="B1141:B1144"/>
    <mergeCell ref="A1149:A1151"/>
    <mergeCell ref="B1149:B1151"/>
    <mergeCell ref="A1127:A1129"/>
    <mergeCell ref="B1127:B1129"/>
    <mergeCell ref="A1130:A1132"/>
    <mergeCell ref="B1130:B1132"/>
    <mergeCell ref="A1134:A1136"/>
    <mergeCell ref="B1134:B1136"/>
    <mergeCell ref="A1114:A1116"/>
    <mergeCell ref="B1114:B1116"/>
    <mergeCell ref="A1117:A1119"/>
    <mergeCell ref="B1117:B1119"/>
    <mergeCell ref="A1122:A1125"/>
    <mergeCell ref="B1122:B1125"/>
    <mergeCell ref="A1183:A1185"/>
    <mergeCell ref="B1183:B1185"/>
    <mergeCell ref="A1186:A1188"/>
    <mergeCell ref="B1186:B1188"/>
    <mergeCell ref="A1189:A1191"/>
    <mergeCell ref="B1189:B1191"/>
    <mergeCell ref="A1171:A1173"/>
    <mergeCell ref="B1171:B1173"/>
    <mergeCell ref="A1177:A1179"/>
    <mergeCell ref="B1177:B1179"/>
    <mergeCell ref="A1180:A1182"/>
    <mergeCell ref="B1180:B1182"/>
    <mergeCell ref="A1159:P1159"/>
    <mergeCell ref="A1160:A1163"/>
    <mergeCell ref="B1160:B1163"/>
    <mergeCell ref="A1164:A1166"/>
    <mergeCell ref="B1164:B1166"/>
    <mergeCell ref="A1167:A1170"/>
    <mergeCell ref="B1167:B1170"/>
    <mergeCell ref="A1211:A1213"/>
    <mergeCell ref="B1211:B1213"/>
    <mergeCell ref="A1214:A1216"/>
    <mergeCell ref="B1214:B1216"/>
    <mergeCell ref="A1218:A1220"/>
    <mergeCell ref="B1218:B1220"/>
    <mergeCell ref="A1201:A1203"/>
    <mergeCell ref="B1201:B1203"/>
    <mergeCell ref="A1204:A1206"/>
    <mergeCell ref="B1204:B1206"/>
    <mergeCell ref="A1207:A1209"/>
    <mergeCell ref="B1207:B1209"/>
    <mergeCell ref="A1192:A1194"/>
    <mergeCell ref="B1192:B1194"/>
    <mergeCell ref="A1195:A1197"/>
    <mergeCell ref="B1195:B1197"/>
    <mergeCell ref="A1198:A1200"/>
    <mergeCell ref="B1198:B1200"/>
    <mergeCell ref="A1242:A1244"/>
    <mergeCell ref="B1242:B1244"/>
    <mergeCell ref="A1245:A1247"/>
    <mergeCell ref="B1245:B1247"/>
    <mergeCell ref="A1249:A1251"/>
    <mergeCell ref="B1249:B1251"/>
    <mergeCell ref="A1232:A1234"/>
    <mergeCell ref="B1232:B1234"/>
    <mergeCell ref="A1235:A1237"/>
    <mergeCell ref="B1235:B1237"/>
    <mergeCell ref="A1239:A1241"/>
    <mergeCell ref="B1239:B1241"/>
    <mergeCell ref="A1222:A1224"/>
    <mergeCell ref="B1222:B1224"/>
    <mergeCell ref="A1225:A1227"/>
    <mergeCell ref="B1225:B1227"/>
    <mergeCell ref="A1228:A1231"/>
    <mergeCell ref="B1228:B1231"/>
    <mergeCell ref="A1276:A1278"/>
    <mergeCell ref="B1276:B1278"/>
    <mergeCell ref="A1279:A1281"/>
    <mergeCell ref="B1279:B1281"/>
    <mergeCell ref="A1282:A1284"/>
    <mergeCell ref="B1282:B1284"/>
    <mergeCell ref="A1262:A1264"/>
    <mergeCell ref="B1262:B1264"/>
    <mergeCell ref="A1265:A1267"/>
    <mergeCell ref="B1265:B1267"/>
    <mergeCell ref="A1268:A1270"/>
    <mergeCell ref="B1268:B1270"/>
    <mergeCell ref="A1252:A1254"/>
    <mergeCell ref="B1252:B1254"/>
    <mergeCell ref="A1255:A1257"/>
    <mergeCell ref="B1255:B1257"/>
    <mergeCell ref="A1258:A1260"/>
    <mergeCell ref="B1258:B1260"/>
    <mergeCell ref="A1307:A1310"/>
    <mergeCell ref="B1307:B1310"/>
    <mergeCell ref="A1312:A1314"/>
    <mergeCell ref="B1312:B1314"/>
    <mergeCell ref="A1315:A1317"/>
    <mergeCell ref="B1315:B1317"/>
    <mergeCell ref="A1296:A1298"/>
    <mergeCell ref="B1296:B1298"/>
    <mergeCell ref="A1299:A1301"/>
    <mergeCell ref="B1299:B1301"/>
    <mergeCell ref="A1302:A1304"/>
    <mergeCell ref="B1302:B1304"/>
    <mergeCell ref="A1285:A1287"/>
    <mergeCell ref="B1285:B1287"/>
    <mergeCell ref="A1288:A1290"/>
    <mergeCell ref="B1288:B1290"/>
    <mergeCell ref="A1291:A1293"/>
    <mergeCell ref="B1291:B1293"/>
    <mergeCell ref="A1591:P1591"/>
    <mergeCell ref="A1592:P1592"/>
    <mergeCell ref="A1963:P1963"/>
    <mergeCell ref="A2334:P2334"/>
    <mergeCell ref="A2704:P2704"/>
    <mergeCell ref="A2705:AI2705"/>
    <mergeCell ref="A1334:A1336"/>
    <mergeCell ref="B1334:B1336"/>
    <mergeCell ref="A1344:P1344"/>
    <mergeCell ref="A1345:P1345"/>
    <mergeCell ref="A1427:P1427"/>
    <mergeCell ref="A1509:P1509"/>
    <mergeCell ref="A1319:A1321"/>
    <mergeCell ref="B1319:B1321"/>
    <mergeCell ref="A1323:A1325"/>
    <mergeCell ref="B1323:B1325"/>
    <mergeCell ref="A1326:A1329"/>
    <mergeCell ref="B1326:B1329"/>
    <mergeCell ref="A5076:P5076"/>
    <mergeCell ref="A5217:P5217"/>
    <mergeCell ref="A5358:P5358"/>
    <mergeCell ref="A5359:P5359"/>
    <mergeCell ref="A5504:P5504"/>
    <mergeCell ref="A5649:P5649"/>
    <mergeCell ref="A3937:P3937"/>
    <mergeCell ref="A3938:P3938"/>
    <mergeCell ref="A4270:P4270"/>
    <mergeCell ref="A4602:P4602"/>
    <mergeCell ref="A4934:P4934"/>
    <mergeCell ref="A4935:P4935"/>
    <mergeCell ref="A2991:P2991"/>
    <mergeCell ref="A3276:P3276"/>
    <mergeCell ref="A3561:P3561"/>
    <mergeCell ref="A3562:AI3562"/>
    <mergeCell ref="A3687:P3687"/>
    <mergeCell ref="A3812:P3812"/>
    <mergeCell ref="A6826:P6826"/>
    <mergeCell ref="A6827:P6827"/>
    <mergeCell ref="A7079:P7079"/>
    <mergeCell ref="A7331:P7331"/>
    <mergeCell ref="A7583:P7583"/>
    <mergeCell ref="A7584:P7584"/>
    <mergeCell ref="A6254:P6254"/>
    <mergeCell ref="A6361:P6361"/>
    <mergeCell ref="A6468:P6468"/>
    <mergeCell ref="A6469:P6469"/>
    <mergeCell ref="A6588:P6588"/>
    <mergeCell ref="A6707:P6707"/>
    <mergeCell ref="A5794:P5794"/>
    <mergeCell ref="A5795:P5795"/>
    <mergeCell ref="A5912:P5912"/>
    <mergeCell ref="A6029:P6029"/>
    <mergeCell ref="A6146:P6146"/>
    <mergeCell ref="A6147:P6147"/>
    <mergeCell ref="A7609:A7611"/>
    <mergeCell ref="B7609:B7611"/>
    <mergeCell ref="A7612:A7614"/>
    <mergeCell ref="B7612:B7614"/>
    <mergeCell ref="B7615:B7617"/>
    <mergeCell ref="A7618:A7620"/>
    <mergeCell ref="B7618:B7620"/>
    <mergeCell ref="A7595:A7598"/>
    <mergeCell ref="B7595:B7598"/>
    <mergeCell ref="A7599:A7603"/>
    <mergeCell ref="B7599:B7603"/>
    <mergeCell ref="A7604:A7608"/>
    <mergeCell ref="B7604:B7608"/>
    <mergeCell ref="A7585:A7588"/>
    <mergeCell ref="B7585:B7588"/>
    <mergeCell ref="A7589:A7591"/>
    <mergeCell ref="B7589:B7591"/>
    <mergeCell ref="A7592:A7594"/>
    <mergeCell ref="B7592:B7594"/>
    <mergeCell ref="A7639:A7641"/>
    <mergeCell ref="B7639:B7641"/>
    <mergeCell ref="A7642:A7644"/>
    <mergeCell ref="B7642:B7644"/>
    <mergeCell ref="A7645:A7647"/>
    <mergeCell ref="B7645:B7647"/>
    <mergeCell ref="A7630:A7632"/>
    <mergeCell ref="B7630:B7632"/>
    <mergeCell ref="A7633:A7635"/>
    <mergeCell ref="B7633:B7635"/>
    <mergeCell ref="A7636:A7638"/>
    <mergeCell ref="B7636:B7638"/>
    <mergeCell ref="A7621:A7623"/>
    <mergeCell ref="B7621:B7623"/>
    <mergeCell ref="A7624:A7626"/>
    <mergeCell ref="B7624:B7626"/>
    <mergeCell ref="A7627:A7629"/>
    <mergeCell ref="B7627:B7629"/>
    <mergeCell ref="A7670:A7673"/>
    <mergeCell ref="B7670:B7673"/>
    <mergeCell ref="A7674:A7677"/>
    <mergeCell ref="B7674:B7677"/>
    <mergeCell ref="A7678:A7681"/>
    <mergeCell ref="B7678:B7681"/>
    <mergeCell ref="A7658:A7660"/>
    <mergeCell ref="B7658:B7660"/>
    <mergeCell ref="A7661:A7664"/>
    <mergeCell ref="B7661:B7664"/>
    <mergeCell ref="A7665:A7669"/>
    <mergeCell ref="B7665:B7669"/>
    <mergeCell ref="A7648:A7651"/>
    <mergeCell ref="B7648:B7651"/>
    <mergeCell ref="A7652:A7655"/>
    <mergeCell ref="B7652:B7655"/>
    <mergeCell ref="A7656:A7657"/>
    <mergeCell ref="B7656:B7657"/>
    <mergeCell ref="A7698:A7700"/>
    <mergeCell ref="B7698:B7700"/>
    <mergeCell ref="A7701:A7704"/>
    <mergeCell ref="B7701:B7704"/>
    <mergeCell ref="A7705:A7706"/>
    <mergeCell ref="B7705:B7706"/>
    <mergeCell ref="A7692:A7693"/>
    <mergeCell ref="B7692:B7693"/>
    <mergeCell ref="A7694:A7695"/>
    <mergeCell ref="B7694:B7695"/>
    <mergeCell ref="A7696:A7697"/>
    <mergeCell ref="B7696:B7697"/>
    <mergeCell ref="A7682:A7685"/>
    <mergeCell ref="B7682:B7685"/>
    <mergeCell ref="A7686:A7689"/>
    <mergeCell ref="B7686:B7689"/>
    <mergeCell ref="A7690:A7691"/>
    <mergeCell ref="B7690:B7691"/>
    <mergeCell ref="A7722:A7723"/>
    <mergeCell ref="B7722:B7723"/>
    <mergeCell ref="A7724:A7725"/>
    <mergeCell ref="B7724:B7725"/>
    <mergeCell ref="A7726:A7727"/>
    <mergeCell ref="B7726:B7727"/>
    <mergeCell ref="A7716:A7717"/>
    <mergeCell ref="B7716:B7717"/>
    <mergeCell ref="A7718:A7719"/>
    <mergeCell ref="B7718:B7719"/>
    <mergeCell ref="A7720:A7721"/>
    <mergeCell ref="B7720:B7721"/>
    <mergeCell ref="A7707:A7710"/>
    <mergeCell ref="B7707:B7710"/>
    <mergeCell ref="A7711:A7713"/>
    <mergeCell ref="B7711:B7713"/>
    <mergeCell ref="A7714:A7715"/>
    <mergeCell ref="B7714:B7715"/>
    <mergeCell ref="A7740:A7741"/>
    <mergeCell ref="B7740:B7741"/>
    <mergeCell ref="A7742:A7743"/>
    <mergeCell ref="B7742:B7743"/>
    <mergeCell ref="A7744:A7745"/>
    <mergeCell ref="B7744:B7745"/>
    <mergeCell ref="A7734:A7735"/>
    <mergeCell ref="B7734:B7735"/>
    <mergeCell ref="A7736:A7737"/>
    <mergeCell ref="B7736:B7737"/>
    <mergeCell ref="A7738:A7739"/>
    <mergeCell ref="B7738:B7739"/>
    <mergeCell ref="A7728:A7729"/>
    <mergeCell ref="B7728:B7729"/>
    <mergeCell ref="A7730:A7731"/>
    <mergeCell ref="B7730:B7731"/>
    <mergeCell ref="A7732:A7733"/>
    <mergeCell ref="B7732:B7733"/>
    <mergeCell ref="A7758:A7759"/>
    <mergeCell ref="B7758:B7759"/>
    <mergeCell ref="A7760:A7761"/>
    <mergeCell ref="B7760:B7761"/>
    <mergeCell ref="A7762:A7763"/>
    <mergeCell ref="B7762:B7763"/>
    <mergeCell ref="A7752:A7753"/>
    <mergeCell ref="B7752:B7753"/>
    <mergeCell ref="A7754:A7755"/>
    <mergeCell ref="B7754:B7755"/>
    <mergeCell ref="A7756:A7757"/>
    <mergeCell ref="B7756:B7757"/>
    <mergeCell ref="A7746:A7747"/>
    <mergeCell ref="B7746:B7747"/>
    <mergeCell ref="A7748:A7749"/>
    <mergeCell ref="B7748:B7749"/>
    <mergeCell ref="A7750:A7751"/>
    <mergeCell ref="B7750:B7751"/>
    <mergeCell ref="A7776:A7777"/>
    <mergeCell ref="B7776:B7777"/>
    <mergeCell ref="A7778:A7780"/>
    <mergeCell ref="B7778:B7780"/>
    <mergeCell ref="A7781:A7782"/>
    <mergeCell ref="B7781:B7782"/>
    <mergeCell ref="A7770:A7771"/>
    <mergeCell ref="B7770:B7771"/>
    <mergeCell ref="A7772:A7773"/>
    <mergeCell ref="B7772:B7773"/>
    <mergeCell ref="A7774:A7775"/>
    <mergeCell ref="B7774:B7775"/>
    <mergeCell ref="A7764:A7765"/>
    <mergeCell ref="B7764:B7765"/>
    <mergeCell ref="A7766:A7767"/>
    <mergeCell ref="B7766:B7767"/>
    <mergeCell ref="A7768:A7769"/>
    <mergeCell ref="B7768:B7769"/>
    <mergeCell ref="A7801:A7804"/>
    <mergeCell ref="B7801:B7804"/>
    <mergeCell ref="A7805:A7809"/>
    <mergeCell ref="B7805:B7809"/>
    <mergeCell ref="A7810:A7814"/>
    <mergeCell ref="B7810:B7814"/>
    <mergeCell ref="A7790:P7790"/>
    <mergeCell ref="A7791:A7794"/>
    <mergeCell ref="B7791:B7794"/>
    <mergeCell ref="A7795:A7797"/>
    <mergeCell ref="B7795:B7797"/>
    <mergeCell ref="A7798:A7800"/>
    <mergeCell ref="B7798:B7800"/>
    <mergeCell ref="A7783:A7784"/>
    <mergeCell ref="B7783:B7784"/>
    <mergeCell ref="A7785:A7787"/>
    <mergeCell ref="B7785:B7787"/>
    <mergeCell ref="A7788:A7789"/>
    <mergeCell ref="B7788:B7789"/>
    <mergeCell ref="A7836:A7838"/>
    <mergeCell ref="B7836:B7838"/>
    <mergeCell ref="A7839:A7841"/>
    <mergeCell ref="B7839:B7841"/>
    <mergeCell ref="A7842:A7844"/>
    <mergeCell ref="B7842:B7844"/>
    <mergeCell ref="A7827:A7829"/>
    <mergeCell ref="B7827:B7829"/>
    <mergeCell ref="A7830:A7832"/>
    <mergeCell ref="B7830:B7832"/>
    <mergeCell ref="A7833:A7835"/>
    <mergeCell ref="B7833:B7835"/>
    <mergeCell ref="A7815:A7817"/>
    <mergeCell ref="B7815:B7817"/>
    <mergeCell ref="A7818:A7820"/>
    <mergeCell ref="B7818:B7820"/>
    <mergeCell ref="B7821:B7823"/>
    <mergeCell ref="A7824:A7826"/>
    <mergeCell ref="B7824:B7826"/>
    <mergeCell ref="A7864:A7866"/>
    <mergeCell ref="B7864:B7866"/>
    <mergeCell ref="A7867:A7870"/>
    <mergeCell ref="B7867:B7870"/>
    <mergeCell ref="A7871:A7875"/>
    <mergeCell ref="B7871:B7875"/>
    <mergeCell ref="A7854:A7857"/>
    <mergeCell ref="B7854:B7857"/>
    <mergeCell ref="A7858:A7861"/>
    <mergeCell ref="B7858:B7861"/>
    <mergeCell ref="A7862:A7863"/>
    <mergeCell ref="B7862:B7863"/>
    <mergeCell ref="A7845:A7847"/>
    <mergeCell ref="B7845:B7847"/>
    <mergeCell ref="A7848:A7850"/>
    <mergeCell ref="B7848:B7850"/>
    <mergeCell ref="A7851:A7853"/>
    <mergeCell ref="B7851:B7853"/>
    <mergeCell ref="A7898:A7899"/>
    <mergeCell ref="B7898:B7899"/>
    <mergeCell ref="A7900:A7901"/>
    <mergeCell ref="B7900:B7901"/>
    <mergeCell ref="A7902:A7903"/>
    <mergeCell ref="B7902:B7903"/>
    <mergeCell ref="A7888:A7891"/>
    <mergeCell ref="B7888:B7891"/>
    <mergeCell ref="A7892:A7895"/>
    <mergeCell ref="B7892:B7895"/>
    <mergeCell ref="A7896:A7897"/>
    <mergeCell ref="B7896:B7897"/>
    <mergeCell ref="A7876:A7879"/>
    <mergeCell ref="B7876:B7879"/>
    <mergeCell ref="A7880:A7883"/>
    <mergeCell ref="B7880:B7883"/>
    <mergeCell ref="A7884:A7887"/>
    <mergeCell ref="B7884:B7887"/>
    <mergeCell ref="A7922:A7923"/>
    <mergeCell ref="B7922:B7923"/>
    <mergeCell ref="A7924:A7925"/>
    <mergeCell ref="B7924:B7925"/>
    <mergeCell ref="A7926:A7927"/>
    <mergeCell ref="B7926:B7927"/>
    <mergeCell ref="A7913:A7916"/>
    <mergeCell ref="B7913:B7916"/>
    <mergeCell ref="A7917:A7919"/>
    <mergeCell ref="B7917:B7919"/>
    <mergeCell ref="A7920:A7921"/>
    <mergeCell ref="B7920:B7921"/>
    <mergeCell ref="A7904:A7906"/>
    <mergeCell ref="B7904:B7906"/>
    <mergeCell ref="A7907:A7910"/>
    <mergeCell ref="B7907:B7910"/>
    <mergeCell ref="A7911:A7912"/>
    <mergeCell ref="B7911:B7912"/>
    <mergeCell ref="A7940:A7941"/>
    <mergeCell ref="B7940:B7941"/>
    <mergeCell ref="A7942:A7943"/>
    <mergeCell ref="B7942:B7943"/>
    <mergeCell ref="A7944:A7945"/>
    <mergeCell ref="B7944:B7945"/>
    <mergeCell ref="A7934:A7935"/>
    <mergeCell ref="B7934:B7935"/>
    <mergeCell ref="A7936:A7937"/>
    <mergeCell ref="B7936:B7937"/>
    <mergeCell ref="A7938:A7939"/>
    <mergeCell ref="B7938:B7939"/>
    <mergeCell ref="A7928:A7929"/>
    <mergeCell ref="B7928:B7929"/>
    <mergeCell ref="A7930:A7931"/>
    <mergeCell ref="B7930:B7931"/>
    <mergeCell ref="A7932:A7933"/>
    <mergeCell ref="B7932:B7933"/>
    <mergeCell ref="A7958:A7959"/>
    <mergeCell ref="B7958:B7959"/>
    <mergeCell ref="A7960:A7961"/>
    <mergeCell ref="B7960:B7961"/>
    <mergeCell ref="A7962:A7963"/>
    <mergeCell ref="B7962:B7963"/>
    <mergeCell ref="A7952:A7953"/>
    <mergeCell ref="B7952:B7953"/>
    <mergeCell ref="A7954:A7955"/>
    <mergeCell ref="B7954:B7955"/>
    <mergeCell ref="A7956:A7957"/>
    <mergeCell ref="B7956:B7957"/>
    <mergeCell ref="A7946:A7947"/>
    <mergeCell ref="B7946:B7947"/>
    <mergeCell ref="A7948:A7949"/>
    <mergeCell ref="B7948:B7949"/>
    <mergeCell ref="A7950:A7951"/>
    <mergeCell ref="B7950:B7951"/>
    <mergeCell ref="A7976:A7977"/>
    <mergeCell ref="B7976:B7977"/>
    <mergeCell ref="A7978:A7979"/>
    <mergeCell ref="B7978:B7979"/>
    <mergeCell ref="A7980:A7981"/>
    <mergeCell ref="B7980:B7981"/>
    <mergeCell ref="A7970:A7971"/>
    <mergeCell ref="B7970:B7971"/>
    <mergeCell ref="A7972:A7973"/>
    <mergeCell ref="B7972:B7973"/>
    <mergeCell ref="A7974:A7975"/>
    <mergeCell ref="B7974:B7975"/>
    <mergeCell ref="A7964:A7965"/>
    <mergeCell ref="B7964:B7965"/>
    <mergeCell ref="A7966:A7967"/>
    <mergeCell ref="B7966:B7967"/>
    <mergeCell ref="A7968:A7969"/>
    <mergeCell ref="B7968:B7969"/>
    <mergeCell ref="A7996:P7996"/>
    <mergeCell ref="A7997:A8000"/>
    <mergeCell ref="B7997:B8000"/>
    <mergeCell ref="A8001:A8003"/>
    <mergeCell ref="B8001:B8003"/>
    <mergeCell ref="A8004:A8006"/>
    <mergeCell ref="B8004:B8006"/>
    <mergeCell ref="A7989:A7990"/>
    <mergeCell ref="B7989:B7990"/>
    <mergeCell ref="A7991:A7993"/>
    <mergeCell ref="B7991:B7993"/>
    <mergeCell ref="A7994:A7995"/>
    <mergeCell ref="B7994:B7995"/>
    <mergeCell ref="A7982:A7983"/>
    <mergeCell ref="B7982:B7983"/>
    <mergeCell ref="A7984:A7986"/>
    <mergeCell ref="B7984:B7986"/>
    <mergeCell ref="A7987:A7988"/>
    <mergeCell ref="B7987:B7988"/>
    <mergeCell ref="A8033:A8035"/>
    <mergeCell ref="B8033:B8035"/>
    <mergeCell ref="A8036:A8038"/>
    <mergeCell ref="B8036:B8038"/>
    <mergeCell ref="A8039:A8041"/>
    <mergeCell ref="B8039:B8041"/>
    <mergeCell ref="A8021:A8023"/>
    <mergeCell ref="B8021:B8023"/>
    <mergeCell ref="A8024:A8026"/>
    <mergeCell ref="B8024:B8026"/>
    <mergeCell ref="B8027:B8029"/>
    <mergeCell ref="A8030:A8032"/>
    <mergeCell ref="B8030:B8032"/>
    <mergeCell ref="A8007:A8010"/>
    <mergeCell ref="B8007:B8010"/>
    <mergeCell ref="A8011:A8015"/>
    <mergeCell ref="B8011:B8015"/>
    <mergeCell ref="A8016:A8020"/>
    <mergeCell ref="B8016:B8020"/>
    <mergeCell ref="A8060:A8063"/>
    <mergeCell ref="B8060:B8063"/>
    <mergeCell ref="A8064:A8067"/>
    <mergeCell ref="B8064:B8067"/>
    <mergeCell ref="A8068:A8069"/>
    <mergeCell ref="B8068:B8069"/>
    <mergeCell ref="A8051:A8053"/>
    <mergeCell ref="B8051:B8053"/>
    <mergeCell ref="A8054:A8056"/>
    <mergeCell ref="B8054:B8056"/>
    <mergeCell ref="A8057:A8059"/>
    <mergeCell ref="B8057:B8059"/>
    <mergeCell ref="A8042:A8044"/>
    <mergeCell ref="B8042:B8044"/>
    <mergeCell ref="A8045:A8047"/>
    <mergeCell ref="B8045:B8047"/>
    <mergeCell ref="A8048:A8050"/>
    <mergeCell ref="B8048:B8050"/>
    <mergeCell ref="A8094:A8097"/>
    <mergeCell ref="B8094:B8097"/>
    <mergeCell ref="A8098:A8101"/>
    <mergeCell ref="B8098:B8101"/>
    <mergeCell ref="A8102:A8103"/>
    <mergeCell ref="B8102:B8103"/>
    <mergeCell ref="A8082:A8085"/>
    <mergeCell ref="B8082:B8085"/>
    <mergeCell ref="A8086:A8089"/>
    <mergeCell ref="B8086:B8089"/>
    <mergeCell ref="A8090:A8093"/>
    <mergeCell ref="B8090:B8093"/>
    <mergeCell ref="A8070:A8072"/>
    <mergeCell ref="B8070:B8072"/>
    <mergeCell ref="A8073:A8076"/>
    <mergeCell ref="B8073:B8076"/>
    <mergeCell ref="A8077:A8081"/>
    <mergeCell ref="B8077:B8081"/>
    <mergeCell ref="A8119:A8122"/>
    <mergeCell ref="B8119:B8122"/>
    <mergeCell ref="A8123:A8125"/>
    <mergeCell ref="B8123:B8125"/>
    <mergeCell ref="A8126:A8127"/>
    <mergeCell ref="B8126:B8127"/>
    <mergeCell ref="A8110:A8112"/>
    <mergeCell ref="B8110:B8112"/>
    <mergeCell ref="A8113:A8116"/>
    <mergeCell ref="B8113:B8116"/>
    <mergeCell ref="A8117:A8118"/>
    <mergeCell ref="B8117:B8118"/>
    <mergeCell ref="A8104:A8105"/>
    <mergeCell ref="B8104:B8105"/>
    <mergeCell ref="A8106:A8107"/>
    <mergeCell ref="B8106:B8107"/>
    <mergeCell ref="A8108:A8109"/>
    <mergeCell ref="B8108:B8109"/>
    <mergeCell ref="A8140:A8141"/>
    <mergeCell ref="B8140:B8141"/>
    <mergeCell ref="A8142:A8143"/>
    <mergeCell ref="B8142:B8143"/>
    <mergeCell ref="A8144:A8145"/>
    <mergeCell ref="B8144:B8145"/>
    <mergeCell ref="A8134:A8135"/>
    <mergeCell ref="B8134:B8135"/>
    <mergeCell ref="A8136:A8137"/>
    <mergeCell ref="B8136:B8137"/>
    <mergeCell ref="A8138:A8139"/>
    <mergeCell ref="B8138:B8139"/>
    <mergeCell ref="A8128:A8129"/>
    <mergeCell ref="B8128:B8129"/>
    <mergeCell ref="A8130:A8131"/>
    <mergeCell ref="B8130:B8131"/>
    <mergeCell ref="A8132:A8133"/>
    <mergeCell ref="B8132:B8133"/>
    <mergeCell ref="A8158:A8159"/>
    <mergeCell ref="B8158:B8159"/>
    <mergeCell ref="A8160:A8161"/>
    <mergeCell ref="B8160:B8161"/>
    <mergeCell ref="A8162:A8163"/>
    <mergeCell ref="B8162:B8163"/>
    <mergeCell ref="A8152:A8153"/>
    <mergeCell ref="B8152:B8153"/>
    <mergeCell ref="A8154:A8155"/>
    <mergeCell ref="B8154:B8155"/>
    <mergeCell ref="A8156:A8157"/>
    <mergeCell ref="B8156:B8157"/>
    <mergeCell ref="A8146:A8147"/>
    <mergeCell ref="B8146:B8147"/>
    <mergeCell ref="A8148:A8149"/>
    <mergeCell ref="B8148:B8149"/>
    <mergeCell ref="A8150:A8151"/>
    <mergeCell ref="B8150:B8151"/>
    <mergeCell ref="A8176:A8177"/>
    <mergeCell ref="B8176:B8177"/>
    <mergeCell ref="A8178:A8179"/>
    <mergeCell ref="B8178:B8179"/>
    <mergeCell ref="A8180:A8181"/>
    <mergeCell ref="B8180:B8181"/>
    <mergeCell ref="A8170:A8171"/>
    <mergeCell ref="B8170:B8171"/>
    <mergeCell ref="A8172:A8173"/>
    <mergeCell ref="B8172:B8173"/>
    <mergeCell ref="A8174:A8175"/>
    <mergeCell ref="B8174:B8175"/>
    <mergeCell ref="A8164:A8165"/>
    <mergeCell ref="B8164:B8165"/>
    <mergeCell ref="A8166:A8167"/>
    <mergeCell ref="B8166:B8167"/>
    <mergeCell ref="A8168:A8169"/>
    <mergeCell ref="B8168:B8169"/>
    <mergeCell ref="A8202:P8202"/>
    <mergeCell ref="A8203:P8203"/>
    <mergeCell ref="A8380:P8380"/>
    <mergeCell ref="A8557:P8557"/>
    <mergeCell ref="A8195:A8196"/>
    <mergeCell ref="B8195:B8196"/>
    <mergeCell ref="A8197:A8199"/>
    <mergeCell ref="B8197:B8199"/>
    <mergeCell ref="A8200:A8201"/>
    <mergeCell ref="B8200:B8201"/>
    <mergeCell ref="A8188:A8189"/>
    <mergeCell ref="B8188:B8189"/>
    <mergeCell ref="A8190:A8192"/>
    <mergeCell ref="B8190:B8192"/>
    <mergeCell ref="A8193:A8194"/>
    <mergeCell ref="B8193:B8194"/>
    <mergeCell ref="A8182:A8183"/>
    <mergeCell ref="B8182:B8183"/>
    <mergeCell ref="A8184:A8185"/>
    <mergeCell ref="B8184:B8185"/>
    <mergeCell ref="A8186:A8187"/>
    <mergeCell ref="B8186:B8187"/>
  </mergeCells>
  <pageMargins left="0" right="0" top="0" bottom="0" header="0.51181102362204722" footer="0.51181102362204722"/>
  <pageSetup paperSize="9" scale="66" orientation="landscape" r:id="rId1"/>
  <headerFooter alignWithMargins="0"/>
  <rowBreaks count="1" manualBreakCount="1">
    <brk id="65" max="16383" man="1"/>
  </rowBreaks>
  <colBreaks count="1" manualBreakCount="1">
    <brk id="2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2"/>
  <dimension ref="A1:N26"/>
  <sheetViews>
    <sheetView topLeftCell="E4" workbookViewId="0">
      <selection activeCell="C21" sqref="C21"/>
    </sheetView>
  </sheetViews>
  <sheetFormatPr defaultRowHeight="12.75"/>
  <cols>
    <col min="1" max="1" width="26.85546875" style="676" customWidth="1"/>
    <col min="2" max="2" width="13.85546875" style="561" customWidth="1"/>
    <col min="3" max="3" width="13.42578125" style="561" customWidth="1"/>
    <col min="4" max="4" width="14.42578125" style="561" customWidth="1"/>
    <col min="5" max="5" width="12.7109375" style="561" customWidth="1"/>
    <col min="6" max="6" width="13" style="561" customWidth="1"/>
    <col min="7" max="7" width="12.42578125" style="561" customWidth="1"/>
    <col min="8" max="8" width="13.42578125" style="561" customWidth="1"/>
    <col min="9" max="9" width="13.7109375" style="561" customWidth="1"/>
    <col min="10" max="10" width="14.5703125" style="561" customWidth="1"/>
    <col min="11" max="11" width="26.85546875" style="561" customWidth="1"/>
    <col min="12" max="256" width="9.140625" style="561"/>
    <col min="257" max="257" width="26.85546875" style="561" customWidth="1"/>
    <col min="258" max="258" width="13.85546875" style="561" customWidth="1"/>
    <col min="259" max="259" width="13.5703125" style="561" customWidth="1"/>
    <col min="260" max="260" width="11.5703125" style="561" customWidth="1"/>
    <col min="261" max="261" width="11.140625" style="561" customWidth="1"/>
    <col min="262" max="262" width="10.7109375" style="561" customWidth="1"/>
    <col min="263" max="263" width="12.42578125" style="561" customWidth="1"/>
    <col min="264" max="264" width="13.42578125" style="561" customWidth="1"/>
    <col min="265" max="265" width="13.7109375" style="561" customWidth="1"/>
    <col min="266" max="266" width="14.5703125" style="561" customWidth="1"/>
    <col min="267" max="267" width="26.85546875" style="561" customWidth="1"/>
    <col min="268" max="512" width="9.140625" style="561"/>
    <col min="513" max="513" width="26.85546875" style="561" customWidth="1"/>
    <col min="514" max="514" width="13.85546875" style="561" customWidth="1"/>
    <col min="515" max="515" width="13.5703125" style="561" customWidth="1"/>
    <col min="516" max="516" width="11.5703125" style="561" customWidth="1"/>
    <col min="517" max="517" width="11.140625" style="561" customWidth="1"/>
    <col min="518" max="518" width="10.7109375" style="561" customWidth="1"/>
    <col min="519" max="519" width="12.42578125" style="561" customWidth="1"/>
    <col min="520" max="520" width="13.42578125" style="561" customWidth="1"/>
    <col min="521" max="521" width="13.7109375" style="561" customWidth="1"/>
    <col min="522" max="522" width="14.5703125" style="561" customWidth="1"/>
    <col min="523" max="523" width="26.85546875" style="561" customWidth="1"/>
    <col min="524" max="768" width="9.140625" style="561"/>
    <col min="769" max="769" width="26.85546875" style="561" customWidth="1"/>
    <col min="770" max="770" width="13.85546875" style="561" customWidth="1"/>
    <col min="771" max="771" width="13.5703125" style="561" customWidth="1"/>
    <col min="772" max="772" width="11.5703125" style="561" customWidth="1"/>
    <col min="773" max="773" width="11.140625" style="561" customWidth="1"/>
    <col min="774" max="774" width="10.7109375" style="561" customWidth="1"/>
    <col min="775" max="775" width="12.42578125" style="561" customWidth="1"/>
    <col min="776" max="776" width="13.42578125" style="561" customWidth="1"/>
    <col min="777" max="777" width="13.7109375" style="561" customWidth="1"/>
    <col min="778" max="778" width="14.5703125" style="561" customWidth="1"/>
    <col min="779" max="779" width="26.85546875" style="561" customWidth="1"/>
    <col min="780" max="1024" width="9.140625" style="561"/>
    <col min="1025" max="1025" width="26.85546875" style="561" customWidth="1"/>
    <col min="1026" max="1026" width="13.85546875" style="561" customWidth="1"/>
    <col min="1027" max="1027" width="13.5703125" style="561" customWidth="1"/>
    <col min="1028" max="1028" width="11.5703125" style="561" customWidth="1"/>
    <col min="1029" max="1029" width="11.140625" style="561" customWidth="1"/>
    <col min="1030" max="1030" width="10.7109375" style="561" customWidth="1"/>
    <col min="1031" max="1031" width="12.42578125" style="561" customWidth="1"/>
    <col min="1032" max="1032" width="13.42578125" style="561" customWidth="1"/>
    <col min="1033" max="1033" width="13.7109375" style="561" customWidth="1"/>
    <col min="1034" max="1034" width="14.5703125" style="561" customWidth="1"/>
    <col min="1035" max="1035" width="26.85546875" style="561" customWidth="1"/>
    <col min="1036" max="1280" width="9.140625" style="561"/>
    <col min="1281" max="1281" width="26.85546875" style="561" customWidth="1"/>
    <col min="1282" max="1282" width="13.85546875" style="561" customWidth="1"/>
    <col min="1283" max="1283" width="13.5703125" style="561" customWidth="1"/>
    <col min="1284" max="1284" width="11.5703125" style="561" customWidth="1"/>
    <col min="1285" max="1285" width="11.140625" style="561" customWidth="1"/>
    <col min="1286" max="1286" width="10.7109375" style="561" customWidth="1"/>
    <col min="1287" max="1287" width="12.42578125" style="561" customWidth="1"/>
    <col min="1288" max="1288" width="13.42578125" style="561" customWidth="1"/>
    <col min="1289" max="1289" width="13.7109375" style="561" customWidth="1"/>
    <col min="1290" max="1290" width="14.5703125" style="561" customWidth="1"/>
    <col min="1291" max="1291" width="26.85546875" style="561" customWidth="1"/>
    <col min="1292" max="1536" width="9.140625" style="561"/>
    <col min="1537" max="1537" width="26.85546875" style="561" customWidth="1"/>
    <col min="1538" max="1538" width="13.85546875" style="561" customWidth="1"/>
    <col min="1539" max="1539" width="13.5703125" style="561" customWidth="1"/>
    <col min="1540" max="1540" width="11.5703125" style="561" customWidth="1"/>
    <col min="1541" max="1541" width="11.140625" style="561" customWidth="1"/>
    <col min="1542" max="1542" width="10.7109375" style="561" customWidth="1"/>
    <col min="1543" max="1543" width="12.42578125" style="561" customWidth="1"/>
    <col min="1544" max="1544" width="13.42578125" style="561" customWidth="1"/>
    <col min="1545" max="1545" width="13.7109375" style="561" customWidth="1"/>
    <col min="1546" max="1546" width="14.5703125" style="561" customWidth="1"/>
    <col min="1547" max="1547" width="26.85546875" style="561" customWidth="1"/>
    <col min="1548" max="1792" width="9.140625" style="561"/>
    <col min="1793" max="1793" width="26.85546875" style="561" customWidth="1"/>
    <col min="1794" max="1794" width="13.85546875" style="561" customWidth="1"/>
    <col min="1795" max="1795" width="13.5703125" style="561" customWidth="1"/>
    <col min="1796" max="1796" width="11.5703125" style="561" customWidth="1"/>
    <col min="1797" max="1797" width="11.140625" style="561" customWidth="1"/>
    <col min="1798" max="1798" width="10.7109375" style="561" customWidth="1"/>
    <col min="1799" max="1799" width="12.42578125" style="561" customWidth="1"/>
    <col min="1800" max="1800" width="13.42578125" style="561" customWidth="1"/>
    <col min="1801" max="1801" width="13.7109375" style="561" customWidth="1"/>
    <col min="1802" max="1802" width="14.5703125" style="561" customWidth="1"/>
    <col min="1803" max="1803" width="26.85546875" style="561" customWidth="1"/>
    <col min="1804" max="2048" width="9.140625" style="561"/>
    <col min="2049" max="2049" width="26.85546875" style="561" customWidth="1"/>
    <col min="2050" max="2050" width="13.85546875" style="561" customWidth="1"/>
    <col min="2051" max="2051" width="13.5703125" style="561" customWidth="1"/>
    <col min="2052" max="2052" width="11.5703125" style="561" customWidth="1"/>
    <col min="2053" max="2053" width="11.140625" style="561" customWidth="1"/>
    <col min="2054" max="2054" width="10.7109375" style="561" customWidth="1"/>
    <col min="2055" max="2055" width="12.42578125" style="561" customWidth="1"/>
    <col min="2056" max="2056" width="13.42578125" style="561" customWidth="1"/>
    <col min="2057" max="2057" width="13.7109375" style="561" customWidth="1"/>
    <col min="2058" max="2058" width="14.5703125" style="561" customWidth="1"/>
    <col min="2059" max="2059" width="26.85546875" style="561" customWidth="1"/>
    <col min="2060" max="2304" width="9.140625" style="561"/>
    <col min="2305" max="2305" width="26.85546875" style="561" customWidth="1"/>
    <col min="2306" max="2306" width="13.85546875" style="561" customWidth="1"/>
    <col min="2307" max="2307" width="13.5703125" style="561" customWidth="1"/>
    <col min="2308" max="2308" width="11.5703125" style="561" customWidth="1"/>
    <col min="2309" max="2309" width="11.140625" style="561" customWidth="1"/>
    <col min="2310" max="2310" width="10.7109375" style="561" customWidth="1"/>
    <col min="2311" max="2311" width="12.42578125" style="561" customWidth="1"/>
    <col min="2312" max="2312" width="13.42578125" style="561" customWidth="1"/>
    <col min="2313" max="2313" width="13.7109375" style="561" customWidth="1"/>
    <col min="2314" max="2314" width="14.5703125" style="561" customWidth="1"/>
    <col min="2315" max="2315" width="26.85546875" style="561" customWidth="1"/>
    <col min="2316" max="2560" width="9.140625" style="561"/>
    <col min="2561" max="2561" width="26.85546875" style="561" customWidth="1"/>
    <col min="2562" max="2562" width="13.85546875" style="561" customWidth="1"/>
    <col min="2563" max="2563" width="13.5703125" style="561" customWidth="1"/>
    <col min="2564" max="2564" width="11.5703125" style="561" customWidth="1"/>
    <col min="2565" max="2565" width="11.140625" style="561" customWidth="1"/>
    <col min="2566" max="2566" width="10.7109375" style="561" customWidth="1"/>
    <col min="2567" max="2567" width="12.42578125" style="561" customWidth="1"/>
    <col min="2568" max="2568" width="13.42578125" style="561" customWidth="1"/>
    <col min="2569" max="2569" width="13.7109375" style="561" customWidth="1"/>
    <col min="2570" max="2570" width="14.5703125" style="561" customWidth="1"/>
    <col min="2571" max="2571" width="26.85546875" style="561" customWidth="1"/>
    <col min="2572" max="2816" width="9.140625" style="561"/>
    <col min="2817" max="2817" width="26.85546875" style="561" customWidth="1"/>
    <col min="2818" max="2818" width="13.85546875" style="561" customWidth="1"/>
    <col min="2819" max="2819" width="13.5703125" style="561" customWidth="1"/>
    <col min="2820" max="2820" width="11.5703125" style="561" customWidth="1"/>
    <col min="2821" max="2821" width="11.140625" style="561" customWidth="1"/>
    <col min="2822" max="2822" width="10.7109375" style="561" customWidth="1"/>
    <col min="2823" max="2823" width="12.42578125" style="561" customWidth="1"/>
    <col min="2824" max="2824" width="13.42578125" style="561" customWidth="1"/>
    <col min="2825" max="2825" width="13.7109375" style="561" customWidth="1"/>
    <col min="2826" max="2826" width="14.5703125" style="561" customWidth="1"/>
    <col min="2827" max="2827" width="26.85546875" style="561" customWidth="1"/>
    <col min="2828" max="3072" width="9.140625" style="561"/>
    <col min="3073" max="3073" width="26.85546875" style="561" customWidth="1"/>
    <col min="3074" max="3074" width="13.85546875" style="561" customWidth="1"/>
    <col min="3075" max="3075" width="13.5703125" style="561" customWidth="1"/>
    <col min="3076" max="3076" width="11.5703125" style="561" customWidth="1"/>
    <col min="3077" max="3077" width="11.140625" style="561" customWidth="1"/>
    <col min="3078" max="3078" width="10.7109375" style="561" customWidth="1"/>
    <col min="3079" max="3079" width="12.42578125" style="561" customWidth="1"/>
    <col min="3080" max="3080" width="13.42578125" style="561" customWidth="1"/>
    <col min="3081" max="3081" width="13.7109375" style="561" customWidth="1"/>
    <col min="3082" max="3082" width="14.5703125" style="561" customWidth="1"/>
    <col min="3083" max="3083" width="26.85546875" style="561" customWidth="1"/>
    <col min="3084" max="3328" width="9.140625" style="561"/>
    <col min="3329" max="3329" width="26.85546875" style="561" customWidth="1"/>
    <col min="3330" max="3330" width="13.85546875" style="561" customWidth="1"/>
    <col min="3331" max="3331" width="13.5703125" style="561" customWidth="1"/>
    <col min="3332" max="3332" width="11.5703125" style="561" customWidth="1"/>
    <col min="3333" max="3333" width="11.140625" style="561" customWidth="1"/>
    <col min="3334" max="3334" width="10.7109375" style="561" customWidth="1"/>
    <col min="3335" max="3335" width="12.42578125" style="561" customWidth="1"/>
    <col min="3336" max="3336" width="13.42578125" style="561" customWidth="1"/>
    <col min="3337" max="3337" width="13.7109375" style="561" customWidth="1"/>
    <col min="3338" max="3338" width="14.5703125" style="561" customWidth="1"/>
    <col min="3339" max="3339" width="26.85546875" style="561" customWidth="1"/>
    <col min="3340" max="3584" width="9.140625" style="561"/>
    <col min="3585" max="3585" width="26.85546875" style="561" customWidth="1"/>
    <col min="3586" max="3586" width="13.85546875" style="561" customWidth="1"/>
    <col min="3587" max="3587" width="13.5703125" style="561" customWidth="1"/>
    <col min="3588" max="3588" width="11.5703125" style="561" customWidth="1"/>
    <col min="3589" max="3589" width="11.140625" style="561" customWidth="1"/>
    <col min="3590" max="3590" width="10.7109375" style="561" customWidth="1"/>
    <col min="3591" max="3591" width="12.42578125" style="561" customWidth="1"/>
    <col min="3592" max="3592" width="13.42578125" style="561" customWidth="1"/>
    <col min="3593" max="3593" width="13.7109375" style="561" customWidth="1"/>
    <col min="3594" max="3594" width="14.5703125" style="561" customWidth="1"/>
    <col min="3595" max="3595" width="26.85546875" style="561" customWidth="1"/>
    <col min="3596" max="3840" width="9.140625" style="561"/>
    <col min="3841" max="3841" width="26.85546875" style="561" customWidth="1"/>
    <col min="3842" max="3842" width="13.85546875" style="561" customWidth="1"/>
    <col min="3843" max="3843" width="13.5703125" style="561" customWidth="1"/>
    <col min="3844" max="3844" width="11.5703125" style="561" customWidth="1"/>
    <col min="3845" max="3845" width="11.140625" style="561" customWidth="1"/>
    <col min="3846" max="3846" width="10.7109375" style="561" customWidth="1"/>
    <col min="3847" max="3847" width="12.42578125" style="561" customWidth="1"/>
    <col min="3848" max="3848" width="13.42578125" style="561" customWidth="1"/>
    <col min="3849" max="3849" width="13.7109375" style="561" customWidth="1"/>
    <col min="3850" max="3850" width="14.5703125" style="561" customWidth="1"/>
    <col min="3851" max="3851" width="26.85546875" style="561" customWidth="1"/>
    <col min="3852" max="4096" width="9.140625" style="561"/>
    <col min="4097" max="4097" width="26.85546875" style="561" customWidth="1"/>
    <col min="4098" max="4098" width="13.85546875" style="561" customWidth="1"/>
    <col min="4099" max="4099" width="13.5703125" style="561" customWidth="1"/>
    <col min="4100" max="4100" width="11.5703125" style="561" customWidth="1"/>
    <col min="4101" max="4101" width="11.140625" style="561" customWidth="1"/>
    <col min="4102" max="4102" width="10.7109375" style="561" customWidth="1"/>
    <col min="4103" max="4103" width="12.42578125" style="561" customWidth="1"/>
    <col min="4104" max="4104" width="13.42578125" style="561" customWidth="1"/>
    <col min="4105" max="4105" width="13.7109375" style="561" customWidth="1"/>
    <col min="4106" max="4106" width="14.5703125" style="561" customWidth="1"/>
    <col min="4107" max="4107" width="26.85546875" style="561" customWidth="1"/>
    <col min="4108" max="4352" width="9.140625" style="561"/>
    <col min="4353" max="4353" width="26.85546875" style="561" customWidth="1"/>
    <col min="4354" max="4354" width="13.85546875" style="561" customWidth="1"/>
    <col min="4355" max="4355" width="13.5703125" style="561" customWidth="1"/>
    <col min="4356" max="4356" width="11.5703125" style="561" customWidth="1"/>
    <col min="4357" max="4357" width="11.140625" style="561" customWidth="1"/>
    <col min="4358" max="4358" width="10.7109375" style="561" customWidth="1"/>
    <col min="4359" max="4359" width="12.42578125" style="561" customWidth="1"/>
    <col min="4360" max="4360" width="13.42578125" style="561" customWidth="1"/>
    <col min="4361" max="4361" width="13.7109375" style="561" customWidth="1"/>
    <col min="4362" max="4362" width="14.5703125" style="561" customWidth="1"/>
    <col min="4363" max="4363" width="26.85546875" style="561" customWidth="1"/>
    <col min="4364" max="4608" width="9.140625" style="561"/>
    <col min="4609" max="4609" width="26.85546875" style="561" customWidth="1"/>
    <col min="4610" max="4610" width="13.85546875" style="561" customWidth="1"/>
    <col min="4611" max="4611" width="13.5703125" style="561" customWidth="1"/>
    <col min="4612" max="4612" width="11.5703125" style="561" customWidth="1"/>
    <col min="4613" max="4613" width="11.140625" style="561" customWidth="1"/>
    <col min="4614" max="4614" width="10.7109375" style="561" customWidth="1"/>
    <col min="4615" max="4615" width="12.42578125" style="561" customWidth="1"/>
    <col min="4616" max="4616" width="13.42578125" style="561" customWidth="1"/>
    <col min="4617" max="4617" width="13.7109375" style="561" customWidth="1"/>
    <col min="4618" max="4618" width="14.5703125" style="561" customWidth="1"/>
    <col min="4619" max="4619" width="26.85546875" style="561" customWidth="1"/>
    <col min="4620" max="4864" width="9.140625" style="561"/>
    <col min="4865" max="4865" width="26.85546875" style="561" customWidth="1"/>
    <col min="4866" max="4866" width="13.85546875" style="561" customWidth="1"/>
    <col min="4867" max="4867" width="13.5703125" style="561" customWidth="1"/>
    <col min="4868" max="4868" width="11.5703125" style="561" customWidth="1"/>
    <col min="4869" max="4869" width="11.140625" style="561" customWidth="1"/>
    <col min="4870" max="4870" width="10.7109375" style="561" customWidth="1"/>
    <col min="4871" max="4871" width="12.42578125" style="561" customWidth="1"/>
    <col min="4872" max="4872" width="13.42578125" style="561" customWidth="1"/>
    <col min="4873" max="4873" width="13.7109375" style="561" customWidth="1"/>
    <col min="4874" max="4874" width="14.5703125" style="561" customWidth="1"/>
    <col min="4875" max="4875" width="26.85546875" style="561" customWidth="1"/>
    <col min="4876" max="5120" width="9.140625" style="561"/>
    <col min="5121" max="5121" width="26.85546875" style="561" customWidth="1"/>
    <col min="5122" max="5122" width="13.85546875" style="561" customWidth="1"/>
    <col min="5123" max="5123" width="13.5703125" style="561" customWidth="1"/>
    <col min="5124" max="5124" width="11.5703125" style="561" customWidth="1"/>
    <col min="5125" max="5125" width="11.140625" style="561" customWidth="1"/>
    <col min="5126" max="5126" width="10.7109375" style="561" customWidth="1"/>
    <col min="5127" max="5127" width="12.42578125" style="561" customWidth="1"/>
    <col min="5128" max="5128" width="13.42578125" style="561" customWidth="1"/>
    <col min="5129" max="5129" width="13.7109375" style="561" customWidth="1"/>
    <col min="5130" max="5130" width="14.5703125" style="561" customWidth="1"/>
    <col min="5131" max="5131" width="26.85546875" style="561" customWidth="1"/>
    <col min="5132" max="5376" width="9.140625" style="561"/>
    <col min="5377" max="5377" width="26.85546875" style="561" customWidth="1"/>
    <col min="5378" max="5378" width="13.85546875" style="561" customWidth="1"/>
    <col min="5379" max="5379" width="13.5703125" style="561" customWidth="1"/>
    <col min="5380" max="5380" width="11.5703125" style="561" customWidth="1"/>
    <col min="5381" max="5381" width="11.140625" style="561" customWidth="1"/>
    <col min="5382" max="5382" width="10.7109375" style="561" customWidth="1"/>
    <col min="5383" max="5383" width="12.42578125" style="561" customWidth="1"/>
    <col min="5384" max="5384" width="13.42578125" style="561" customWidth="1"/>
    <col min="5385" max="5385" width="13.7109375" style="561" customWidth="1"/>
    <col min="5386" max="5386" width="14.5703125" style="561" customWidth="1"/>
    <col min="5387" max="5387" width="26.85546875" style="561" customWidth="1"/>
    <col min="5388" max="5632" width="9.140625" style="561"/>
    <col min="5633" max="5633" width="26.85546875" style="561" customWidth="1"/>
    <col min="5634" max="5634" width="13.85546875" style="561" customWidth="1"/>
    <col min="5635" max="5635" width="13.5703125" style="561" customWidth="1"/>
    <col min="5636" max="5636" width="11.5703125" style="561" customWidth="1"/>
    <col min="5637" max="5637" width="11.140625" style="561" customWidth="1"/>
    <col min="5638" max="5638" width="10.7109375" style="561" customWidth="1"/>
    <col min="5639" max="5639" width="12.42578125" style="561" customWidth="1"/>
    <col min="5640" max="5640" width="13.42578125" style="561" customWidth="1"/>
    <col min="5641" max="5641" width="13.7109375" style="561" customWidth="1"/>
    <col min="5642" max="5642" width="14.5703125" style="561" customWidth="1"/>
    <col min="5643" max="5643" width="26.85546875" style="561" customWidth="1"/>
    <col min="5644" max="5888" width="9.140625" style="561"/>
    <col min="5889" max="5889" width="26.85546875" style="561" customWidth="1"/>
    <col min="5890" max="5890" width="13.85546875" style="561" customWidth="1"/>
    <col min="5891" max="5891" width="13.5703125" style="561" customWidth="1"/>
    <col min="5892" max="5892" width="11.5703125" style="561" customWidth="1"/>
    <col min="5893" max="5893" width="11.140625" style="561" customWidth="1"/>
    <col min="5894" max="5894" width="10.7109375" style="561" customWidth="1"/>
    <col min="5895" max="5895" width="12.42578125" style="561" customWidth="1"/>
    <col min="5896" max="5896" width="13.42578125" style="561" customWidth="1"/>
    <col min="5897" max="5897" width="13.7109375" style="561" customWidth="1"/>
    <col min="5898" max="5898" width="14.5703125" style="561" customWidth="1"/>
    <col min="5899" max="5899" width="26.85546875" style="561" customWidth="1"/>
    <col min="5900" max="6144" width="9.140625" style="561"/>
    <col min="6145" max="6145" width="26.85546875" style="561" customWidth="1"/>
    <col min="6146" max="6146" width="13.85546875" style="561" customWidth="1"/>
    <col min="6147" max="6147" width="13.5703125" style="561" customWidth="1"/>
    <col min="6148" max="6148" width="11.5703125" style="561" customWidth="1"/>
    <col min="6149" max="6149" width="11.140625" style="561" customWidth="1"/>
    <col min="6150" max="6150" width="10.7109375" style="561" customWidth="1"/>
    <col min="6151" max="6151" width="12.42578125" style="561" customWidth="1"/>
    <col min="6152" max="6152" width="13.42578125" style="561" customWidth="1"/>
    <col min="6153" max="6153" width="13.7109375" style="561" customWidth="1"/>
    <col min="6154" max="6154" width="14.5703125" style="561" customWidth="1"/>
    <col min="6155" max="6155" width="26.85546875" style="561" customWidth="1"/>
    <col min="6156" max="6400" width="9.140625" style="561"/>
    <col min="6401" max="6401" width="26.85546875" style="561" customWidth="1"/>
    <col min="6402" max="6402" width="13.85546875" style="561" customWidth="1"/>
    <col min="6403" max="6403" width="13.5703125" style="561" customWidth="1"/>
    <col min="6404" max="6404" width="11.5703125" style="561" customWidth="1"/>
    <col min="6405" max="6405" width="11.140625" style="561" customWidth="1"/>
    <col min="6406" max="6406" width="10.7109375" style="561" customWidth="1"/>
    <col min="6407" max="6407" width="12.42578125" style="561" customWidth="1"/>
    <col min="6408" max="6408" width="13.42578125" style="561" customWidth="1"/>
    <col min="6409" max="6409" width="13.7109375" style="561" customWidth="1"/>
    <col min="6410" max="6410" width="14.5703125" style="561" customWidth="1"/>
    <col min="6411" max="6411" width="26.85546875" style="561" customWidth="1"/>
    <col min="6412" max="6656" width="9.140625" style="561"/>
    <col min="6657" max="6657" width="26.85546875" style="561" customWidth="1"/>
    <col min="6658" max="6658" width="13.85546875" style="561" customWidth="1"/>
    <col min="6659" max="6659" width="13.5703125" style="561" customWidth="1"/>
    <col min="6660" max="6660" width="11.5703125" style="561" customWidth="1"/>
    <col min="6661" max="6661" width="11.140625" style="561" customWidth="1"/>
    <col min="6662" max="6662" width="10.7109375" style="561" customWidth="1"/>
    <col min="6663" max="6663" width="12.42578125" style="561" customWidth="1"/>
    <col min="6664" max="6664" width="13.42578125" style="561" customWidth="1"/>
    <col min="6665" max="6665" width="13.7109375" style="561" customWidth="1"/>
    <col min="6666" max="6666" width="14.5703125" style="561" customWidth="1"/>
    <col min="6667" max="6667" width="26.85546875" style="561" customWidth="1"/>
    <col min="6668" max="6912" width="9.140625" style="561"/>
    <col min="6913" max="6913" width="26.85546875" style="561" customWidth="1"/>
    <col min="6914" max="6914" width="13.85546875" style="561" customWidth="1"/>
    <col min="6915" max="6915" width="13.5703125" style="561" customWidth="1"/>
    <col min="6916" max="6916" width="11.5703125" style="561" customWidth="1"/>
    <col min="6917" max="6917" width="11.140625" style="561" customWidth="1"/>
    <col min="6918" max="6918" width="10.7109375" style="561" customWidth="1"/>
    <col min="6919" max="6919" width="12.42578125" style="561" customWidth="1"/>
    <col min="6920" max="6920" width="13.42578125" style="561" customWidth="1"/>
    <col min="6921" max="6921" width="13.7109375" style="561" customWidth="1"/>
    <col min="6922" max="6922" width="14.5703125" style="561" customWidth="1"/>
    <col min="6923" max="6923" width="26.85546875" style="561" customWidth="1"/>
    <col min="6924" max="7168" width="9.140625" style="561"/>
    <col min="7169" max="7169" width="26.85546875" style="561" customWidth="1"/>
    <col min="7170" max="7170" width="13.85546875" style="561" customWidth="1"/>
    <col min="7171" max="7171" width="13.5703125" style="561" customWidth="1"/>
    <col min="7172" max="7172" width="11.5703125" style="561" customWidth="1"/>
    <col min="7173" max="7173" width="11.140625" style="561" customWidth="1"/>
    <col min="7174" max="7174" width="10.7109375" style="561" customWidth="1"/>
    <col min="7175" max="7175" width="12.42578125" style="561" customWidth="1"/>
    <col min="7176" max="7176" width="13.42578125" style="561" customWidth="1"/>
    <col min="7177" max="7177" width="13.7109375" style="561" customWidth="1"/>
    <col min="7178" max="7178" width="14.5703125" style="561" customWidth="1"/>
    <col min="7179" max="7179" width="26.85546875" style="561" customWidth="1"/>
    <col min="7180" max="7424" width="9.140625" style="561"/>
    <col min="7425" max="7425" width="26.85546875" style="561" customWidth="1"/>
    <col min="7426" max="7426" width="13.85546875" style="561" customWidth="1"/>
    <col min="7427" max="7427" width="13.5703125" style="561" customWidth="1"/>
    <col min="7428" max="7428" width="11.5703125" style="561" customWidth="1"/>
    <col min="7429" max="7429" width="11.140625" style="561" customWidth="1"/>
    <col min="7430" max="7430" width="10.7109375" style="561" customWidth="1"/>
    <col min="7431" max="7431" width="12.42578125" style="561" customWidth="1"/>
    <col min="7432" max="7432" width="13.42578125" style="561" customWidth="1"/>
    <col min="7433" max="7433" width="13.7109375" style="561" customWidth="1"/>
    <col min="7434" max="7434" width="14.5703125" style="561" customWidth="1"/>
    <col min="7435" max="7435" width="26.85546875" style="561" customWidth="1"/>
    <col min="7436" max="7680" width="9.140625" style="561"/>
    <col min="7681" max="7681" width="26.85546875" style="561" customWidth="1"/>
    <col min="7682" max="7682" width="13.85546875" style="561" customWidth="1"/>
    <col min="7683" max="7683" width="13.5703125" style="561" customWidth="1"/>
    <col min="7684" max="7684" width="11.5703125" style="561" customWidth="1"/>
    <col min="7685" max="7685" width="11.140625" style="561" customWidth="1"/>
    <col min="7686" max="7686" width="10.7109375" style="561" customWidth="1"/>
    <col min="7687" max="7687" width="12.42578125" style="561" customWidth="1"/>
    <col min="7688" max="7688" width="13.42578125" style="561" customWidth="1"/>
    <col min="7689" max="7689" width="13.7109375" style="561" customWidth="1"/>
    <col min="7690" max="7690" width="14.5703125" style="561" customWidth="1"/>
    <col min="7691" max="7691" width="26.85546875" style="561" customWidth="1"/>
    <col min="7692" max="7936" width="9.140625" style="561"/>
    <col min="7937" max="7937" width="26.85546875" style="561" customWidth="1"/>
    <col min="7938" max="7938" width="13.85546875" style="561" customWidth="1"/>
    <col min="7939" max="7939" width="13.5703125" style="561" customWidth="1"/>
    <col min="7940" max="7940" width="11.5703125" style="561" customWidth="1"/>
    <col min="7941" max="7941" width="11.140625" style="561" customWidth="1"/>
    <col min="7942" max="7942" width="10.7109375" style="561" customWidth="1"/>
    <col min="7943" max="7943" width="12.42578125" style="561" customWidth="1"/>
    <col min="7944" max="7944" width="13.42578125" style="561" customWidth="1"/>
    <col min="7945" max="7945" width="13.7109375" style="561" customWidth="1"/>
    <col min="7946" max="7946" width="14.5703125" style="561" customWidth="1"/>
    <col min="7947" max="7947" width="26.85546875" style="561" customWidth="1"/>
    <col min="7948" max="8192" width="9.140625" style="561"/>
    <col min="8193" max="8193" width="26.85546875" style="561" customWidth="1"/>
    <col min="8194" max="8194" width="13.85546875" style="561" customWidth="1"/>
    <col min="8195" max="8195" width="13.5703125" style="561" customWidth="1"/>
    <col min="8196" max="8196" width="11.5703125" style="561" customWidth="1"/>
    <col min="8197" max="8197" width="11.140625" style="561" customWidth="1"/>
    <col min="8198" max="8198" width="10.7109375" style="561" customWidth="1"/>
    <col min="8199" max="8199" width="12.42578125" style="561" customWidth="1"/>
    <col min="8200" max="8200" width="13.42578125" style="561" customWidth="1"/>
    <col min="8201" max="8201" width="13.7109375" style="561" customWidth="1"/>
    <col min="8202" max="8202" width="14.5703125" style="561" customWidth="1"/>
    <col min="8203" max="8203" width="26.85546875" style="561" customWidth="1"/>
    <col min="8204" max="8448" width="9.140625" style="561"/>
    <col min="8449" max="8449" width="26.85546875" style="561" customWidth="1"/>
    <col min="8450" max="8450" width="13.85546875" style="561" customWidth="1"/>
    <col min="8451" max="8451" width="13.5703125" style="561" customWidth="1"/>
    <col min="8452" max="8452" width="11.5703125" style="561" customWidth="1"/>
    <col min="8453" max="8453" width="11.140625" style="561" customWidth="1"/>
    <col min="8454" max="8454" width="10.7109375" style="561" customWidth="1"/>
    <col min="8455" max="8455" width="12.42578125" style="561" customWidth="1"/>
    <col min="8456" max="8456" width="13.42578125" style="561" customWidth="1"/>
    <col min="8457" max="8457" width="13.7109375" style="561" customWidth="1"/>
    <col min="8458" max="8458" width="14.5703125" style="561" customWidth="1"/>
    <col min="8459" max="8459" width="26.85546875" style="561" customWidth="1"/>
    <col min="8460" max="8704" width="9.140625" style="561"/>
    <col min="8705" max="8705" width="26.85546875" style="561" customWidth="1"/>
    <col min="8706" max="8706" width="13.85546875" style="561" customWidth="1"/>
    <col min="8707" max="8707" width="13.5703125" style="561" customWidth="1"/>
    <col min="8708" max="8708" width="11.5703125" style="561" customWidth="1"/>
    <col min="8709" max="8709" width="11.140625" style="561" customWidth="1"/>
    <col min="8710" max="8710" width="10.7109375" style="561" customWidth="1"/>
    <col min="8711" max="8711" width="12.42578125" style="561" customWidth="1"/>
    <col min="8712" max="8712" width="13.42578125" style="561" customWidth="1"/>
    <col min="8713" max="8713" width="13.7109375" style="561" customWidth="1"/>
    <col min="8714" max="8714" width="14.5703125" style="561" customWidth="1"/>
    <col min="8715" max="8715" width="26.85546875" style="561" customWidth="1"/>
    <col min="8716" max="8960" width="9.140625" style="561"/>
    <col min="8961" max="8961" width="26.85546875" style="561" customWidth="1"/>
    <col min="8962" max="8962" width="13.85546875" style="561" customWidth="1"/>
    <col min="8963" max="8963" width="13.5703125" style="561" customWidth="1"/>
    <col min="8964" max="8964" width="11.5703125" style="561" customWidth="1"/>
    <col min="8965" max="8965" width="11.140625" style="561" customWidth="1"/>
    <col min="8966" max="8966" width="10.7109375" style="561" customWidth="1"/>
    <col min="8967" max="8967" width="12.42578125" style="561" customWidth="1"/>
    <col min="8968" max="8968" width="13.42578125" style="561" customWidth="1"/>
    <col min="8969" max="8969" width="13.7109375" style="561" customWidth="1"/>
    <col min="8970" max="8970" width="14.5703125" style="561" customWidth="1"/>
    <col min="8971" max="8971" width="26.85546875" style="561" customWidth="1"/>
    <col min="8972" max="9216" width="9.140625" style="561"/>
    <col min="9217" max="9217" width="26.85546875" style="561" customWidth="1"/>
    <col min="9218" max="9218" width="13.85546875" style="561" customWidth="1"/>
    <col min="9219" max="9219" width="13.5703125" style="561" customWidth="1"/>
    <col min="9220" max="9220" width="11.5703125" style="561" customWidth="1"/>
    <col min="9221" max="9221" width="11.140625" style="561" customWidth="1"/>
    <col min="9222" max="9222" width="10.7109375" style="561" customWidth="1"/>
    <col min="9223" max="9223" width="12.42578125" style="561" customWidth="1"/>
    <col min="9224" max="9224" width="13.42578125" style="561" customWidth="1"/>
    <col min="9225" max="9225" width="13.7109375" style="561" customWidth="1"/>
    <col min="9226" max="9226" width="14.5703125" style="561" customWidth="1"/>
    <col min="9227" max="9227" width="26.85546875" style="561" customWidth="1"/>
    <col min="9228" max="9472" width="9.140625" style="561"/>
    <col min="9473" max="9473" width="26.85546875" style="561" customWidth="1"/>
    <col min="9474" max="9474" width="13.85546875" style="561" customWidth="1"/>
    <col min="9475" max="9475" width="13.5703125" style="561" customWidth="1"/>
    <col min="9476" max="9476" width="11.5703125" style="561" customWidth="1"/>
    <col min="9477" max="9477" width="11.140625" style="561" customWidth="1"/>
    <col min="9478" max="9478" width="10.7109375" style="561" customWidth="1"/>
    <col min="9479" max="9479" width="12.42578125" style="561" customWidth="1"/>
    <col min="9480" max="9480" width="13.42578125" style="561" customWidth="1"/>
    <col min="9481" max="9481" width="13.7109375" style="561" customWidth="1"/>
    <col min="9482" max="9482" width="14.5703125" style="561" customWidth="1"/>
    <col min="9483" max="9483" width="26.85546875" style="561" customWidth="1"/>
    <col min="9484" max="9728" width="9.140625" style="561"/>
    <col min="9729" max="9729" width="26.85546875" style="561" customWidth="1"/>
    <col min="9730" max="9730" width="13.85546875" style="561" customWidth="1"/>
    <col min="9731" max="9731" width="13.5703125" style="561" customWidth="1"/>
    <col min="9732" max="9732" width="11.5703125" style="561" customWidth="1"/>
    <col min="9733" max="9733" width="11.140625" style="561" customWidth="1"/>
    <col min="9734" max="9734" width="10.7109375" style="561" customWidth="1"/>
    <col min="9735" max="9735" width="12.42578125" style="561" customWidth="1"/>
    <col min="9736" max="9736" width="13.42578125" style="561" customWidth="1"/>
    <col min="9737" max="9737" width="13.7109375" style="561" customWidth="1"/>
    <col min="9738" max="9738" width="14.5703125" style="561" customWidth="1"/>
    <col min="9739" max="9739" width="26.85546875" style="561" customWidth="1"/>
    <col min="9740" max="9984" width="9.140625" style="561"/>
    <col min="9985" max="9985" width="26.85546875" style="561" customWidth="1"/>
    <col min="9986" max="9986" width="13.85546875" style="561" customWidth="1"/>
    <col min="9987" max="9987" width="13.5703125" style="561" customWidth="1"/>
    <col min="9988" max="9988" width="11.5703125" style="561" customWidth="1"/>
    <col min="9989" max="9989" width="11.140625" style="561" customWidth="1"/>
    <col min="9990" max="9990" width="10.7109375" style="561" customWidth="1"/>
    <col min="9991" max="9991" width="12.42578125" style="561" customWidth="1"/>
    <col min="9992" max="9992" width="13.42578125" style="561" customWidth="1"/>
    <col min="9993" max="9993" width="13.7109375" style="561" customWidth="1"/>
    <col min="9994" max="9994" width="14.5703125" style="561" customWidth="1"/>
    <col min="9995" max="9995" width="26.85546875" style="561" customWidth="1"/>
    <col min="9996" max="10240" width="9.140625" style="561"/>
    <col min="10241" max="10241" width="26.85546875" style="561" customWidth="1"/>
    <col min="10242" max="10242" width="13.85546875" style="561" customWidth="1"/>
    <col min="10243" max="10243" width="13.5703125" style="561" customWidth="1"/>
    <col min="10244" max="10244" width="11.5703125" style="561" customWidth="1"/>
    <col min="10245" max="10245" width="11.140625" style="561" customWidth="1"/>
    <col min="10246" max="10246" width="10.7109375" style="561" customWidth="1"/>
    <col min="10247" max="10247" width="12.42578125" style="561" customWidth="1"/>
    <col min="10248" max="10248" width="13.42578125" style="561" customWidth="1"/>
    <col min="10249" max="10249" width="13.7109375" style="561" customWidth="1"/>
    <col min="10250" max="10250" width="14.5703125" style="561" customWidth="1"/>
    <col min="10251" max="10251" width="26.85546875" style="561" customWidth="1"/>
    <col min="10252" max="10496" width="9.140625" style="561"/>
    <col min="10497" max="10497" width="26.85546875" style="561" customWidth="1"/>
    <col min="10498" max="10498" width="13.85546875" style="561" customWidth="1"/>
    <col min="10499" max="10499" width="13.5703125" style="561" customWidth="1"/>
    <col min="10500" max="10500" width="11.5703125" style="561" customWidth="1"/>
    <col min="10501" max="10501" width="11.140625" style="561" customWidth="1"/>
    <col min="10502" max="10502" width="10.7109375" style="561" customWidth="1"/>
    <col min="10503" max="10503" width="12.42578125" style="561" customWidth="1"/>
    <col min="10504" max="10504" width="13.42578125" style="561" customWidth="1"/>
    <col min="10505" max="10505" width="13.7109375" style="561" customWidth="1"/>
    <col min="10506" max="10506" width="14.5703125" style="561" customWidth="1"/>
    <col min="10507" max="10507" width="26.85546875" style="561" customWidth="1"/>
    <col min="10508" max="10752" width="9.140625" style="561"/>
    <col min="10753" max="10753" width="26.85546875" style="561" customWidth="1"/>
    <col min="10754" max="10754" width="13.85546875" style="561" customWidth="1"/>
    <col min="10755" max="10755" width="13.5703125" style="561" customWidth="1"/>
    <col min="10756" max="10756" width="11.5703125" style="561" customWidth="1"/>
    <col min="10757" max="10757" width="11.140625" style="561" customWidth="1"/>
    <col min="10758" max="10758" width="10.7109375" style="561" customWidth="1"/>
    <col min="10759" max="10759" width="12.42578125" style="561" customWidth="1"/>
    <col min="10760" max="10760" width="13.42578125" style="561" customWidth="1"/>
    <col min="10761" max="10761" width="13.7109375" style="561" customWidth="1"/>
    <col min="10762" max="10762" width="14.5703125" style="561" customWidth="1"/>
    <col min="10763" max="10763" width="26.85546875" style="561" customWidth="1"/>
    <col min="10764" max="11008" width="9.140625" style="561"/>
    <col min="11009" max="11009" width="26.85546875" style="561" customWidth="1"/>
    <col min="11010" max="11010" width="13.85546875" style="561" customWidth="1"/>
    <col min="11011" max="11011" width="13.5703125" style="561" customWidth="1"/>
    <col min="11012" max="11012" width="11.5703125" style="561" customWidth="1"/>
    <col min="11013" max="11013" width="11.140625" style="561" customWidth="1"/>
    <col min="11014" max="11014" width="10.7109375" style="561" customWidth="1"/>
    <col min="11015" max="11015" width="12.42578125" style="561" customWidth="1"/>
    <col min="11016" max="11016" width="13.42578125" style="561" customWidth="1"/>
    <col min="11017" max="11017" width="13.7109375" style="561" customWidth="1"/>
    <col min="11018" max="11018" width="14.5703125" style="561" customWidth="1"/>
    <col min="11019" max="11019" width="26.85546875" style="561" customWidth="1"/>
    <col min="11020" max="11264" width="9.140625" style="561"/>
    <col min="11265" max="11265" width="26.85546875" style="561" customWidth="1"/>
    <col min="11266" max="11266" width="13.85546875" style="561" customWidth="1"/>
    <col min="11267" max="11267" width="13.5703125" style="561" customWidth="1"/>
    <col min="11268" max="11268" width="11.5703125" style="561" customWidth="1"/>
    <col min="11269" max="11269" width="11.140625" style="561" customWidth="1"/>
    <col min="11270" max="11270" width="10.7109375" style="561" customWidth="1"/>
    <col min="11271" max="11271" width="12.42578125" style="561" customWidth="1"/>
    <col min="11272" max="11272" width="13.42578125" style="561" customWidth="1"/>
    <col min="11273" max="11273" width="13.7109375" style="561" customWidth="1"/>
    <col min="11274" max="11274" width="14.5703125" style="561" customWidth="1"/>
    <col min="11275" max="11275" width="26.85546875" style="561" customWidth="1"/>
    <col min="11276" max="11520" width="9.140625" style="561"/>
    <col min="11521" max="11521" width="26.85546875" style="561" customWidth="1"/>
    <col min="11522" max="11522" width="13.85546875" style="561" customWidth="1"/>
    <col min="11523" max="11523" width="13.5703125" style="561" customWidth="1"/>
    <col min="11524" max="11524" width="11.5703125" style="561" customWidth="1"/>
    <col min="11525" max="11525" width="11.140625" style="561" customWidth="1"/>
    <col min="11526" max="11526" width="10.7109375" style="561" customWidth="1"/>
    <col min="11527" max="11527" width="12.42578125" style="561" customWidth="1"/>
    <col min="11528" max="11528" width="13.42578125" style="561" customWidth="1"/>
    <col min="11529" max="11529" width="13.7109375" style="561" customWidth="1"/>
    <col min="11530" max="11530" width="14.5703125" style="561" customWidth="1"/>
    <col min="11531" max="11531" width="26.85546875" style="561" customWidth="1"/>
    <col min="11532" max="11776" width="9.140625" style="561"/>
    <col min="11777" max="11777" width="26.85546875" style="561" customWidth="1"/>
    <col min="11778" max="11778" width="13.85546875" style="561" customWidth="1"/>
    <col min="11779" max="11779" width="13.5703125" style="561" customWidth="1"/>
    <col min="11780" max="11780" width="11.5703125" style="561" customWidth="1"/>
    <col min="11781" max="11781" width="11.140625" style="561" customWidth="1"/>
    <col min="11782" max="11782" width="10.7109375" style="561" customWidth="1"/>
    <col min="11783" max="11783" width="12.42578125" style="561" customWidth="1"/>
    <col min="11784" max="11784" width="13.42578125" style="561" customWidth="1"/>
    <col min="11785" max="11785" width="13.7109375" style="561" customWidth="1"/>
    <col min="11786" max="11786" width="14.5703125" style="561" customWidth="1"/>
    <col min="11787" max="11787" width="26.85546875" style="561" customWidth="1"/>
    <col min="11788" max="12032" width="9.140625" style="561"/>
    <col min="12033" max="12033" width="26.85546875" style="561" customWidth="1"/>
    <col min="12034" max="12034" width="13.85546875" style="561" customWidth="1"/>
    <col min="12035" max="12035" width="13.5703125" style="561" customWidth="1"/>
    <col min="12036" max="12036" width="11.5703125" style="561" customWidth="1"/>
    <col min="12037" max="12037" width="11.140625" style="561" customWidth="1"/>
    <col min="12038" max="12038" width="10.7109375" style="561" customWidth="1"/>
    <col min="12039" max="12039" width="12.42578125" style="561" customWidth="1"/>
    <col min="12040" max="12040" width="13.42578125" style="561" customWidth="1"/>
    <col min="12041" max="12041" width="13.7109375" style="561" customWidth="1"/>
    <col min="12042" max="12042" width="14.5703125" style="561" customWidth="1"/>
    <col min="12043" max="12043" width="26.85546875" style="561" customWidth="1"/>
    <col min="12044" max="12288" width="9.140625" style="561"/>
    <col min="12289" max="12289" width="26.85546875" style="561" customWidth="1"/>
    <col min="12290" max="12290" width="13.85546875" style="561" customWidth="1"/>
    <col min="12291" max="12291" width="13.5703125" style="561" customWidth="1"/>
    <col min="12292" max="12292" width="11.5703125" style="561" customWidth="1"/>
    <col min="12293" max="12293" width="11.140625" style="561" customWidth="1"/>
    <col min="12294" max="12294" width="10.7109375" style="561" customWidth="1"/>
    <col min="12295" max="12295" width="12.42578125" style="561" customWidth="1"/>
    <col min="12296" max="12296" width="13.42578125" style="561" customWidth="1"/>
    <col min="12297" max="12297" width="13.7109375" style="561" customWidth="1"/>
    <col min="12298" max="12298" width="14.5703125" style="561" customWidth="1"/>
    <col min="12299" max="12299" width="26.85546875" style="561" customWidth="1"/>
    <col min="12300" max="12544" width="9.140625" style="561"/>
    <col min="12545" max="12545" width="26.85546875" style="561" customWidth="1"/>
    <col min="12546" max="12546" width="13.85546875" style="561" customWidth="1"/>
    <col min="12547" max="12547" width="13.5703125" style="561" customWidth="1"/>
    <col min="12548" max="12548" width="11.5703125" style="561" customWidth="1"/>
    <col min="12549" max="12549" width="11.140625" style="561" customWidth="1"/>
    <col min="12550" max="12550" width="10.7109375" style="561" customWidth="1"/>
    <col min="12551" max="12551" width="12.42578125" style="561" customWidth="1"/>
    <col min="12552" max="12552" width="13.42578125" style="561" customWidth="1"/>
    <col min="12553" max="12553" width="13.7109375" style="561" customWidth="1"/>
    <col min="12554" max="12554" width="14.5703125" style="561" customWidth="1"/>
    <col min="12555" max="12555" width="26.85546875" style="561" customWidth="1"/>
    <col min="12556" max="12800" width="9.140625" style="561"/>
    <col min="12801" max="12801" width="26.85546875" style="561" customWidth="1"/>
    <col min="12802" max="12802" width="13.85546875" style="561" customWidth="1"/>
    <col min="12803" max="12803" width="13.5703125" style="561" customWidth="1"/>
    <col min="12804" max="12804" width="11.5703125" style="561" customWidth="1"/>
    <col min="12805" max="12805" width="11.140625" style="561" customWidth="1"/>
    <col min="12806" max="12806" width="10.7109375" style="561" customWidth="1"/>
    <col min="12807" max="12807" width="12.42578125" style="561" customWidth="1"/>
    <col min="12808" max="12808" width="13.42578125" style="561" customWidth="1"/>
    <col min="12809" max="12809" width="13.7109375" style="561" customWidth="1"/>
    <col min="12810" max="12810" width="14.5703125" style="561" customWidth="1"/>
    <col min="12811" max="12811" width="26.85546875" style="561" customWidth="1"/>
    <col min="12812" max="13056" width="9.140625" style="561"/>
    <col min="13057" max="13057" width="26.85546875" style="561" customWidth="1"/>
    <col min="13058" max="13058" width="13.85546875" style="561" customWidth="1"/>
    <col min="13059" max="13059" width="13.5703125" style="561" customWidth="1"/>
    <col min="13060" max="13060" width="11.5703125" style="561" customWidth="1"/>
    <col min="13061" max="13061" width="11.140625" style="561" customWidth="1"/>
    <col min="13062" max="13062" width="10.7109375" style="561" customWidth="1"/>
    <col min="13063" max="13063" width="12.42578125" style="561" customWidth="1"/>
    <col min="13064" max="13064" width="13.42578125" style="561" customWidth="1"/>
    <col min="13065" max="13065" width="13.7109375" style="561" customWidth="1"/>
    <col min="13066" max="13066" width="14.5703125" style="561" customWidth="1"/>
    <col min="13067" max="13067" width="26.85546875" style="561" customWidth="1"/>
    <col min="13068" max="13312" width="9.140625" style="561"/>
    <col min="13313" max="13313" width="26.85546875" style="561" customWidth="1"/>
    <col min="13314" max="13314" width="13.85546875" style="561" customWidth="1"/>
    <col min="13315" max="13315" width="13.5703125" style="561" customWidth="1"/>
    <col min="13316" max="13316" width="11.5703125" style="561" customWidth="1"/>
    <col min="13317" max="13317" width="11.140625" style="561" customWidth="1"/>
    <col min="13318" max="13318" width="10.7109375" style="561" customWidth="1"/>
    <col min="13319" max="13319" width="12.42578125" style="561" customWidth="1"/>
    <col min="13320" max="13320" width="13.42578125" style="561" customWidth="1"/>
    <col min="13321" max="13321" width="13.7109375" style="561" customWidth="1"/>
    <col min="13322" max="13322" width="14.5703125" style="561" customWidth="1"/>
    <col min="13323" max="13323" width="26.85546875" style="561" customWidth="1"/>
    <col min="13324" max="13568" width="9.140625" style="561"/>
    <col min="13569" max="13569" width="26.85546875" style="561" customWidth="1"/>
    <col min="13570" max="13570" width="13.85546875" style="561" customWidth="1"/>
    <col min="13571" max="13571" width="13.5703125" style="561" customWidth="1"/>
    <col min="13572" max="13572" width="11.5703125" style="561" customWidth="1"/>
    <col min="13573" max="13573" width="11.140625" style="561" customWidth="1"/>
    <col min="13574" max="13574" width="10.7109375" style="561" customWidth="1"/>
    <col min="13575" max="13575" width="12.42578125" style="561" customWidth="1"/>
    <col min="13576" max="13576" width="13.42578125" style="561" customWidth="1"/>
    <col min="13577" max="13577" width="13.7109375" style="561" customWidth="1"/>
    <col min="13578" max="13578" width="14.5703125" style="561" customWidth="1"/>
    <col min="13579" max="13579" width="26.85546875" style="561" customWidth="1"/>
    <col min="13580" max="13824" width="9.140625" style="561"/>
    <col min="13825" max="13825" width="26.85546875" style="561" customWidth="1"/>
    <col min="13826" max="13826" width="13.85546875" style="561" customWidth="1"/>
    <col min="13827" max="13827" width="13.5703125" style="561" customWidth="1"/>
    <col min="13828" max="13828" width="11.5703125" style="561" customWidth="1"/>
    <col min="13829" max="13829" width="11.140625" style="561" customWidth="1"/>
    <col min="13830" max="13830" width="10.7109375" style="561" customWidth="1"/>
    <col min="13831" max="13831" width="12.42578125" style="561" customWidth="1"/>
    <col min="13832" max="13832" width="13.42578125" style="561" customWidth="1"/>
    <col min="13833" max="13833" width="13.7109375" style="561" customWidth="1"/>
    <col min="13834" max="13834" width="14.5703125" style="561" customWidth="1"/>
    <col min="13835" max="13835" width="26.85546875" style="561" customWidth="1"/>
    <col min="13836" max="14080" width="9.140625" style="561"/>
    <col min="14081" max="14081" width="26.85546875" style="561" customWidth="1"/>
    <col min="14082" max="14082" width="13.85546875" style="561" customWidth="1"/>
    <col min="14083" max="14083" width="13.5703125" style="561" customWidth="1"/>
    <col min="14084" max="14084" width="11.5703125" style="561" customWidth="1"/>
    <col min="14085" max="14085" width="11.140625" style="561" customWidth="1"/>
    <col min="14086" max="14086" width="10.7109375" style="561" customWidth="1"/>
    <col min="14087" max="14087" width="12.42578125" style="561" customWidth="1"/>
    <col min="14088" max="14088" width="13.42578125" style="561" customWidth="1"/>
    <col min="14089" max="14089" width="13.7109375" style="561" customWidth="1"/>
    <col min="14090" max="14090" width="14.5703125" style="561" customWidth="1"/>
    <col min="14091" max="14091" width="26.85546875" style="561" customWidth="1"/>
    <col min="14092" max="14336" width="9.140625" style="561"/>
    <col min="14337" max="14337" width="26.85546875" style="561" customWidth="1"/>
    <col min="14338" max="14338" width="13.85546875" style="561" customWidth="1"/>
    <col min="14339" max="14339" width="13.5703125" style="561" customWidth="1"/>
    <col min="14340" max="14340" width="11.5703125" style="561" customWidth="1"/>
    <col min="14341" max="14341" width="11.140625" style="561" customWidth="1"/>
    <col min="14342" max="14342" width="10.7109375" style="561" customWidth="1"/>
    <col min="14343" max="14343" width="12.42578125" style="561" customWidth="1"/>
    <col min="14344" max="14344" width="13.42578125" style="561" customWidth="1"/>
    <col min="14345" max="14345" width="13.7109375" style="561" customWidth="1"/>
    <col min="14346" max="14346" width="14.5703125" style="561" customWidth="1"/>
    <col min="14347" max="14347" width="26.85546875" style="561" customWidth="1"/>
    <col min="14348" max="14592" width="9.140625" style="561"/>
    <col min="14593" max="14593" width="26.85546875" style="561" customWidth="1"/>
    <col min="14594" max="14594" width="13.85546875" style="561" customWidth="1"/>
    <col min="14595" max="14595" width="13.5703125" style="561" customWidth="1"/>
    <col min="14596" max="14596" width="11.5703125" style="561" customWidth="1"/>
    <col min="14597" max="14597" width="11.140625" style="561" customWidth="1"/>
    <col min="14598" max="14598" width="10.7109375" style="561" customWidth="1"/>
    <col min="14599" max="14599" width="12.42578125" style="561" customWidth="1"/>
    <col min="14600" max="14600" width="13.42578125" style="561" customWidth="1"/>
    <col min="14601" max="14601" width="13.7109375" style="561" customWidth="1"/>
    <col min="14602" max="14602" width="14.5703125" style="561" customWidth="1"/>
    <col min="14603" max="14603" width="26.85546875" style="561" customWidth="1"/>
    <col min="14604" max="14848" width="9.140625" style="561"/>
    <col min="14849" max="14849" width="26.85546875" style="561" customWidth="1"/>
    <col min="14850" max="14850" width="13.85546875" style="561" customWidth="1"/>
    <col min="14851" max="14851" width="13.5703125" style="561" customWidth="1"/>
    <col min="14852" max="14852" width="11.5703125" style="561" customWidth="1"/>
    <col min="14853" max="14853" width="11.140625" style="561" customWidth="1"/>
    <col min="14854" max="14854" width="10.7109375" style="561" customWidth="1"/>
    <col min="14855" max="14855" width="12.42578125" style="561" customWidth="1"/>
    <col min="14856" max="14856" width="13.42578125" style="561" customWidth="1"/>
    <col min="14857" max="14857" width="13.7109375" style="561" customWidth="1"/>
    <col min="14858" max="14858" width="14.5703125" style="561" customWidth="1"/>
    <col min="14859" max="14859" width="26.85546875" style="561" customWidth="1"/>
    <col min="14860" max="15104" width="9.140625" style="561"/>
    <col min="15105" max="15105" width="26.85546875" style="561" customWidth="1"/>
    <col min="15106" max="15106" width="13.85546875" style="561" customWidth="1"/>
    <col min="15107" max="15107" width="13.5703125" style="561" customWidth="1"/>
    <col min="15108" max="15108" width="11.5703125" style="561" customWidth="1"/>
    <col min="15109" max="15109" width="11.140625" style="561" customWidth="1"/>
    <col min="15110" max="15110" width="10.7109375" style="561" customWidth="1"/>
    <col min="15111" max="15111" width="12.42578125" style="561" customWidth="1"/>
    <col min="15112" max="15112" width="13.42578125" style="561" customWidth="1"/>
    <col min="15113" max="15113" width="13.7109375" style="561" customWidth="1"/>
    <col min="15114" max="15114" width="14.5703125" style="561" customWidth="1"/>
    <col min="15115" max="15115" width="26.85546875" style="561" customWidth="1"/>
    <col min="15116" max="15360" width="9.140625" style="561"/>
    <col min="15361" max="15361" width="26.85546875" style="561" customWidth="1"/>
    <col min="15362" max="15362" width="13.85546875" style="561" customWidth="1"/>
    <col min="15363" max="15363" width="13.5703125" style="561" customWidth="1"/>
    <col min="15364" max="15364" width="11.5703125" style="561" customWidth="1"/>
    <col min="15365" max="15365" width="11.140625" style="561" customWidth="1"/>
    <col min="15366" max="15366" width="10.7109375" style="561" customWidth="1"/>
    <col min="15367" max="15367" width="12.42578125" style="561" customWidth="1"/>
    <col min="15368" max="15368" width="13.42578125" style="561" customWidth="1"/>
    <col min="15369" max="15369" width="13.7109375" style="561" customWidth="1"/>
    <col min="15370" max="15370" width="14.5703125" style="561" customWidth="1"/>
    <col min="15371" max="15371" width="26.85546875" style="561" customWidth="1"/>
    <col min="15372" max="15616" width="9.140625" style="561"/>
    <col min="15617" max="15617" width="26.85546875" style="561" customWidth="1"/>
    <col min="15618" max="15618" width="13.85546875" style="561" customWidth="1"/>
    <col min="15619" max="15619" width="13.5703125" style="561" customWidth="1"/>
    <col min="15620" max="15620" width="11.5703125" style="561" customWidth="1"/>
    <col min="15621" max="15621" width="11.140625" style="561" customWidth="1"/>
    <col min="15622" max="15622" width="10.7109375" style="561" customWidth="1"/>
    <col min="15623" max="15623" width="12.42578125" style="561" customWidth="1"/>
    <col min="15624" max="15624" width="13.42578125" style="561" customWidth="1"/>
    <col min="15625" max="15625" width="13.7109375" style="561" customWidth="1"/>
    <col min="15626" max="15626" width="14.5703125" style="561" customWidth="1"/>
    <col min="15627" max="15627" width="26.85546875" style="561" customWidth="1"/>
    <col min="15628" max="15872" width="9.140625" style="561"/>
    <col min="15873" max="15873" width="26.85546875" style="561" customWidth="1"/>
    <col min="15874" max="15874" width="13.85546875" style="561" customWidth="1"/>
    <col min="15875" max="15875" width="13.5703125" style="561" customWidth="1"/>
    <col min="15876" max="15876" width="11.5703125" style="561" customWidth="1"/>
    <col min="15877" max="15877" width="11.140625" style="561" customWidth="1"/>
    <col min="15878" max="15878" width="10.7109375" style="561" customWidth="1"/>
    <col min="15879" max="15879" width="12.42578125" style="561" customWidth="1"/>
    <col min="15880" max="15880" width="13.42578125" style="561" customWidth="1"/>
    <col min="15881" max="15881" width="13.7109375" style="561" customWidth="1"/>
    <col min="15882" max="15882" width="14.5703125" style="561" customWidth="1"/>
    <col min="15883" max="15883" width="26.85546875" style="561" customWidth="1"/>
    <col min="15884" max="16128" width="9.140625" style="561"/>
    <col min="16129" max="16129" width="26.85546875" style="561" customWidth="1"/>
    <col min="16130" max="16130" width="13.85546875" style="561" customWidth="1"/>
    <col min="16131" max="16131" width="13.5703125" style="561" customWidth="1"/>
    <col min="16132" max="16132" width="11.5703125" style="561" customWidth="1"/>
    <col min="16133" max="16133" width="11.140625" style="561" customWidth="1"/>
    <col min="16134" max="16134" width="10.7109375" style="561" customWidth="1"/>
    <col min="16135" max="16135" width="12.42578125" style="561" customWidth="1"/>
    <col min="16136" max="16136" width="13.42578125" style="561" customWidth="1"/>
    <col min="16137" max="16137" width="13.7109375" style="561" customWidth="1"/>
    <col min="16138" max="16138" width="14.5703125" style="561" customWidth="1"/>
    <col min="16139" max="16139" width="26.85546875" style="561" customWidth="1"/>
    <col min="16140" max="16384" width="9.140625" style="561"/>
  </cols>
  <sheetData>
    <row r="1" spans="1:14" ht="30.75" customHeight="1">
      <c r="A1" s="1813" t="s">
        <v>2059</v>
      </c>
      <c r="B1" s="1814"/>
      <c r="C1" s="1814"/>
      <c r="D1" s="1814"/>
      <c r="E1" s="1814"/>
      <c r="F1" s="1814"/>
      <c r="G1" s="1814"/>
      <c r="H1" s="1814"/>
      <c r="I1" s="1814"/>
      <c r="J1" s="1814"/>
      <c r="K1" s="1814"/>
    </row>
    <row r="2" spans="1:14" ht="12.75" customHeight="1">
      <c r="A2" s="1815"/>
      <c r="B2" s="1815"/>
      <c r="C2" s="1815"/>
      <c r="D2" s="1815"/>
      <c r="E2" s="1815"/>
      <c r="F2" s="1815"/>
      <c r="G2" s="1815"/>
      <c r="H2" s="1815"/>
      <c r="I2" s="1815"/>
      <c r="J2" s="1815"/>
      <c r="K2" s="1815"/>
    </row>
    <row r="3" spans="1:14" ht="26.25" customHeight="1">
      <c r="A3" s="1815" t="s">
        <v>2112</v>
      </c>
      <c r="B3" s="1815"/>
      <c r="C3" s="1815"/>
      <c r="D3" s="1815"/>
      <c r="E3" s="1815"/>
      <c r="F3" s="1815"/>
      <c r="G3" s="1815"/>
      <c r="H3" s="1815"/>
      <c r="I3" s="1815"/>
      <c r="J3" s="1815"/>
      <c r="K3" s="1815"/>
    </row>
    <row r="4" spans="1:14" ht="12.75" customHeight="1">
      <c r="A4" s="1815"/>
      <c r="B4" s="1815"/>
      <c r="C4" s="1815"/>
      <c r="D4" s="1815"/>
      <c r="E4" s="1815"/>
      <c r="F4" s="1815"/>
      <c r="G4" s="1815"/>
      <c r="H4" s="1815"/>
      <c r="I4" s="1815"/>
      <c r="J4" s="1815"/>
      <c r="K4" s="1815"/>
    </row>
    <row r="5" spans="1:14" s="660" customFormat="1" ht="12" customHeight="1">
      <c r="A5" s="1716" t="s">
        <v>2062</v>
      </c>
      <c r="B5" s="1716"/>
      <c r="C5" s="1716"/>
      <c r="D5" s="1716"/>
      <c r="E5" s="1716"/>
      <c r="F5" s="1716"/>
      <c r="G5" s="1716"/>
      <c r="H5" s="1716"/>
      <c r="I5" s="1716"/>
      <c r="J5" s="1716"/>
      <c r="K5" s="1716"/>
      <c r="L5" s="561"/>
      <c r="M5" s="561"/>
      <c r="N5" s="561"/>
    </row>
    <row r="6" spans="1:14" ht="12" customHeight="1">
      <c r="A6" s="1695" t="s">
        <v>846</v>
      </c>
      <c r="B6" s="1698" t="s">
        <v>2063</v>
      </c>
      <c r="C6" s="1699" t="s">
        <v>2064</v>
      </c>
      <c r="D6" s="1700"/>
      <c r="E6" s="1700"/>
      <c r="F6" s="1700"/>
      <c r="G6" s="1700"/>
      <c r="H6" s="1700"/>
      <c r="I6" s="1700"/>
      <c r="J6" s="1701"/>
      <c r="K6" s="1705"/>
    </row>
    <row r="7" spans="1:14" ht="12" customHeight="1">
      <c r="A7" s="1696"/>
      <c r="B7" s="1698"/>
      <c r="C7" s="1708" t="s">
        <v>2065</v>
      </c>
      <c r="D7" s="1699" t="s">
        <v>2066</v>
      </c>
      <c r="E7" s="1700"/>
      <c r="F7" s="1700"/>
      <c r="G7" s="1700"/>
      <c r="H7" s="1701"/>
      <c r="I7" s="1710" t="s">
        <v>2067</v>
      </c>
      <c r="J7" s="1708" t="s">
        <v>2068</v>
      </c>
      <c r="K7" s="1706"/>
    </row>
    <row r="8" spans="1:14" ht="68.25" customHeight="1">
      <c r="A8" s="1696"/>
      <c r="B8" s="1698"/>
      <c r="C8" s="1709"/>
      <c r="D8" s="661" t="s">
        <v>2069</v>
      </c>
      <c r="E8" s="661" t="s">
        <v>2070</v>
      </c>
      <c r="F8" s="661" t="s">
        <v>2071</v>
      </c>
      <c r="G8" s="661" t="s">
        <v>2072</v>
      </c>
      <c r="H8" s="661" t="s">
        <v>2073</v>
      </c>
      <c r="I8" s="1710"/>
      <c r="J8" s="1709"/>
      <c r="K8" s="1706"/>
    </row>
    <row r="9" spans="1:14" ht="12.75" customHeight="1">
      <c r="A9" s="1696"/>
      <c r="B9" s="1702" t="s">
        <v>2074</v>
      </c>
      <c r="C9" s="1711" t="s">
        <v>2075</v>
      </c>
      <c r="D9" s="1712"/>
      <c r="E9" s="1712"/>
      <c r="F9" s="1712"/>
      <c r="G9" s="1712"/>
      <c r="H9" s="1712"/>
      <c r="I9" s="1712"/>
      <c r="J9" s="1713"/>
      <c r="K9" s="1706"/>
    </row>
    <row r="10" spans="1:14" ht="12.75" customHeight="1">
      <c r="A10" s="1696"/>
      <c r="B10" s="1703"/>
      <c r="C10" s="1714" t="s">
        <v>2076</v>
      </c>
      <c r="D10" s="1710" t="s">
        <v>2077</v>
      </c>
      <c r="E10" s="1710"/>
      <c r="F10" s="1710"/>
      <c r="G10" s="1710"/>
      <c r="H10" s="1710"/>
      <c r="I10" s="1710" t="s">
        <v>2078</v>
      </c>
      <c r="J10" s="1708" t="s">
        <v>2079</v>
      </c>
      <c r="K10" s="1706"/>
    </row>
    <row r="11" spans="1:14" ht="68.25" customHeight="1">
      <c r="A11" s="1697"/>
      <c r="B11" s="1704"/>
      <c r="C11" s="1715"/>
      <c r="D11" s="661" t="s">
        <v>2080</v>
      </c>
      <c r="E11" s="661" t="s">
        <v>2081</v>
      </c>
      <c r="F11" s="661" t="s">
        <v>2082</v>
      </c>
      <c r="G11" s="661" t="s">
        <v>2083</v>
      </c>
      <c r="H11" s="661" t="s">
        <v>2084</v>
      </c>
      <c r="I11" s="1710"/>
      <c r="J11" s="1816"/>
      <c r="K11" s="1707"/>
    </row>
    <row r="12" spans="1:14" s="666" customFormat="1" ht="15" customHeight="1">
      <c r="A12" s="663" t="s">
        <v>2085</v>
      </c>
      <c r="B12" s="664">
        <v>87527808.099999994</v>
      </c>
      <c r="C12" s="664">
        <v>85934490.599999994</v>
      </c>
      <c r="D12" s="664">
        <v>43739805.899999999</v>
      </c>
      <c r="E12" s="664">
        <v>12665460.1</v>
      </c>
      <c r="F12" s="664">
        <v>5043083.4000000004</v>
      </c>
      <c r="G12" s="664">
        <v>7142414.9000000004</v>
      </c>
      <c r="H12" s="664">
        <v>17343726.300000001</v>
      </c>
      <c r="I12" s="664">
        <v>627901.9</v>
      </c>
      <c r="J12" s="664">
        <v>965415.6</v>
      </c>
      <c r="K12" s="680" t="s">
        <v>2086</v>
      </c>
      <c r="L12" s="561"/>
      <c r="M12" s="561"/>
      <c r="N12" s="561"/>
    </row>
    <row r="13" spans="1:14" ht="15" customHeight="1">
      <c r="A13" s="667" t="s">
        <v>2087</v>
      </c>
      <c r="B13" s="668">
        <v>26872290.899999999</v>
      </c>
      <c r="C13" s="668">
        <v>26386321.399999999</v>
      </c>
      <c r="D13" s="668">
        <v>20922280.699999999</v>
      </c>
      <c r="E13" s="668">
        <v>2237845.7000000002</v>
      </c>
      <c r="F13" s="668">
        <v>1030074.8</v>
      </c>
      <c r="G13" s="668">
        <v>1076034.5</v>
      </c>
      <c r="H13" s="668">
        <v>1120085.7</v>
      </c>
      <c r="I13" s="668">
        <v>350345.4</v>
      </c>
      <c r="J13" s="668">
        <v>135624.1</v>
      </c>
      <c r="K13" s="681" t="s">
        <v>2088</v>
      </c>
    </row>
    <row r="14" spans="1:14" ht="15" customHeight="1">
      <c r="A14" s="670" t="s">
        <v>2089</v>
      </c>
      <c r="B14" s="668">
        <v>18115604.699999999</v>
      </c>
      <c r="C14" s="668">
        <v>17999677.600000001</v>
      </c>
      <c r="D14" s="668">
        <v>16430606.6</v>
      </c>
      <c r="E14" s="668">
        <v>388085.3</v>
      </c>
      <c r="F14" s="668">
        <v>360508.7</v>
      </c>
      <c r="G14" s="668">
        <v>9167</v>
      </c>
      <c r="H14" s="668">
        <v>811310</v>
      </c>
      <c r="I14" s="668">
        <v>108117</v>
      </c>
      <c r="J14" s="668">
        <v>7810.1</v>
      </c>
      <c r="K14" s="682" t="s">
        <v>2113</v>
      </c>
    </row>
    <row r="15" spans="1:14" ht="15" customHeight="1">
      <c r="A15" s="671" t="s">
        <v>2091</v>
      </c>
      <c r="B15" s="668">
        <v>30011.7</v>
      </c>
      <c r="C15" s="668">
        <v>30011.7</v>
      </c>
      <c r="D15" s="668">
        <v>26277</v>
      </c>
      <c r="E15" s="668">
        <v>234.7</v>
      </c>
      <c r="F15" s="668">
        <v>3500</v>
      </c>
      <c r="G15" s="672" t="s">
        <v>8</v>
      </c>
      <c r="H15" s="672" t="s">
        <v>8</v>
      </c>
      <c r="I15" s="672" t="s">
        <v>8</v>
      </c>
      <c r="J15" s="672" t="s">
        <v>8</v>
      </c>
      <c r="K15" s="683" t="s">
        <v>2092</v>
      </c>
    </row>
    <row r="16" spans="1:14" ht="15" customHeight="1">
      <c r="A16" s="670" t="s">
        <v>2093</v>
      </c>
      <c r="B16" s="668">
        <v>8140201.7999999998</v>
      </c>
      <c r="C16" s="668">
        <v>8002311.5999999996</v>
      </c>
      <c r="D16" s="668">
        <v>4175801.9</v>
      </c>
      <c r="E16" s="668">
        <v>1803483.4</v>
      </c>
      <c r="F16" s="668">
        <v>668584.1</v>
      </c>
      <c r="G16" s="668">
        <v>1065144.5</v>
      </c>
      <c r="H16" s="668">
        <v>289297.7</v>
      </c>
      <c r="I16" s="668">
        <v>96285.2</v>
      </c>
      <c r="J16" s="668">
        <v>41605</v>
      </c>
      <c r="K16" s="682" t="s">
        <v>2094</v>
      </c>
    </row>
    <row r="17" spans="1:11" ht="36">
      <c r="A17" s="670" t="s">
        <v>2095</v>
      </c>
      <c r="B17" s="668">
        <v>616484.4</v>
      </c>
      <c r="C17" s="668">
        <v>384332.2</v>
      </c>
      <c r="D17" s="668">
        <v>315872.2</v>
      </c>
      <c r="E17" s="668">
        <v>46277</v>
      </c>
      <c r="F17" s="668">
        <v>982</v>
      </c>
      <c r="G17" s="668">
        <v>1723</v>
      </c>
      <c r="H17" s="668">
        <v>19478</v>
      </c>
      <c r="I17" s="668">
        <v>145943.20000000001</v>
      </c>
      <c r="J17" s="668">
        <v>86209</v>
      </c>
      <c r="K17" s="682" t="s">
        <v>2096</v>
      </c>
    </row>
    <row r="18" spans="1:11">
      <c r="A18" s="671" t="s">
        <v>2097</v>
      </c>
      <c r="B18" s="668">
        <v>49798</v>
      </c>
      <c r="C18" s="668">
        <v>19478</v>
      </c>
      <c r="D18" s="672" t="s">
        <v>8</v>
      </c>
      <c r="E18" s="672" t="s">
        <v>8</v>
      </c>
      <c r="F18" s="672" t="s">
        <v>8</v>
      </c>
      <c r="G18" s="672" t="s">
        <v>8</v>
      </c>
      <c r="H18" s="668">
        <v>19478</v>
      </c>
      <c r="I18" s="668">
        <v>28224</v>
      </c>
      <c r="J18" s="668">
        <v>2096</v>
      </c>
      <c r="K18" s="683" t="s">
        <v>2098</v>
      </c>
    </row>
    <row r="19" spans="1:11" ht="48">
      <c r="A19" s="667" t="s">
        <v>2099</v>
      </c>
      <c r="B19" s="668">
        <v>52337012.899999999</v>
      </c>
      <c r="C19" s="668">
        <v>51360388</v>
      </c>
      <c r="D19" s="668">
        <v>16130362.800000001</v>
      </c>
      <c r="E19" s="668">
        <v>9856225.4000000004</v>
      </c>
      <c r="F19" s="668">
        <v>3922836.5</v>
      </c>
      <c r="G19" s="668">
        <v>5849268.7000000002</v>
      </c>
      <c r="H19" s="668">
        <v>15601694.6</v>
      </c>
      <c r="I19" s="668">
        <v>164237</v>
      </c>
      <c r="J19" s="668">
        <v>812387.9</v>
      </c>
      <c r="K19" s="681" t="s">
        <v>2100</v>
      </c>
    </row>
    <row r="20" spans="1:11" ht="36">
      <c r="A20" s="667" t="s">
        <v>2101</v>
      </c>
      <c r="B20" s="668">
        <v>5343570.7</v>
      </c>
      <c r="C20" s="668">
        <v>5343570.7</v>
      </c>
      <c r="D20" s="668">
        <v>4925780.5999999996</v>
      </c>
      <c r="E20" s="668">
        <v>143330.5</v>
      </c>
      <c r="F20" s="668">
        <v>8273</v>
      </c>
      <c r="G20" s="668">
        <v>86581.6</v>
      </c>
      <c r="H20" s="668">
        <v>179605</v>
      </c>
      <c r="I20" s="672" t="s">
        <v>8</v>
      </c>
      <c r="J20" s="672" t="s">
        <v>8</v>
      </c>
      <c r="K20" s="681" t="s">
        <v>2102</v>
      </c>
    </row>
    <row r="21" spans="1:11" ht="24">
      <c r="A21" s="667" t="s">
        <v>2103</v>
      </c>
      <c r="B21" s="668">
        <v>533643.69999999995</v>
      </c>
      <c r="C21" s="698">
        <v>533643.69999999995</v>
      </c>
      <c r="D21" s="668">
        <v>378950.7</v>
      </c>
      <c r="E21" s="668">
        <v>139860</v>
      </c>
      <c r="F21" s="668">
        <v>77</v>
      </c>
      <c r="G21" s="672" t="s">
        <v>8</v>
      </c>
      <c r="H21" s="668">
        <v>14756</v>
      </c>
      <c r="I21" s="672" t="s">
        <v>8</v>
      </c>
      <c r="J21" s="672" t="s">
        <v>8</v>
      </c>
      <c r="K21" s="684" t="s">
        <v>2104</v>
      </c>
    </row>
    <row r="22" spans="1:11" ht="15" customHeight="1">
      <c r="A22" s="670" t="s">
        <v>2105</v>
      </c>
      <c r="B22" s="668">
        <v>520278.7</v>
      </c>
      <c r="C22" s="668">
        <v>520278.7</v>
      </c>
      <c r="D22" s="668">
        <v>375800.7</v>
      </c>
      <c r="E22" s="668">
        <v>139860</v>
      </c>
      <c r="F22" s="668">
        <v>77</v>
      </c>
      <c r="G22" s="672" t="s">
        <v>8</v>
      </c>
      <c r="H22" s="668">
        <v>4541</v>
      </c>
      <c r="I22" s="672" t="s">
        <v>8</v>
      </c>
      <c r="J22" s="672" t="s">
        <v>8</v>
      </c>
      <c r="K22" s="682" t="s">
        <v>2106</v>
      </c>
    </row>
    <row r="23" spans="1:11" ht="15" customHeight="1">
      <c r="A23" s="670" t="s">
        <v>2107</v>
      </c>
      <c r="B23" s="668">
        <v>13365</v>
      </c>
      <c r="C23" s="668">
        <v>13365</v>
      </c>
      <c r="D23" s="668">
        <v>3150</v>
      </c>
      <c r="E23" s="672" t="s">
        <v>8</v>
      </c>
      <c r="F23" s="672" t="s">
        <v>8</v>
      </c>
      <c r="G23" s="672" t="s">
        <v>8</v>
      </c>
      <c r="H23" s="668">
        <v>10215</v>
      </c>
      <c r="I23" s="672" t="s">
        <v>8</v>
      </c>
      <c r="J23" s="672" t="s">
        <v>8</v>
      </c>
      <c r="K23" s="682" t="s">
        <v>2108</v>
      </c>
    </row>
    <row r="24" spans="1:11" ht="48">
      <c r="A24" s="673" t="s">
        <v>2109</v>
      </c>
      <c r="B24" s="674">
        <v>2441289.9</v>
      </c>
      <c r="C24" s="674">
        <v>2310566.7999999998</v>
      </c>
      <c r="D24" s="674">
        <v>1382431.1</v>
      </c>
      <c r="E24" s="674">
        <v>288198.5</v>
      </c>
      <c r="F24" s="674">
        <v>81822.100000000006</v>
      </c>
      <c r="G24" s="674">
        <v>130530.1</v>
      </c>
      <c r="H24" s="674">
        <v>427585</v>
      </c>
      <c r="I24" s="674">
        <v>113319.5</v>
      </c>
      <c r="J24" s="674">
        <v>17403.599999999999</v>
      </c>
      <c r="K24" s="685" t="s">
        <v>2110</v>
      </c>
    </row>
    <row r="26" spans="1:11">
      <c r="C26" s="942"/>
    </row>
  </sheetData>
  <mergeCells count="19">
    <mergeCell ref="A6:A11"/>
    <mergeCell ref="B6:B8"/>
    <mergeCell ref="C6:J6"/>
    <mergeCell ref="K6:K11"/>
    <mergeCell ref="C7:C8"/>
    <mergeCell ref="D7:H7"/>
    <mergeCell ref="I7:I8"/>
    <mergeCell ref="J7:J8"/>
    <mergeCell ref="B9:B11"/>
    <mergeCell ref="C9:J9"/>
    <mergeCell ref="C10:C11"/>
    <mergeCell ref="D10:H10"/>
    <mergeCell ref="I10:I11"/>
    <mergeCell ref="J10:J11"/>
    <mergeCell ref="A1:K1"/>
    <mergeCell ref="A2:K2"/>
    <mergeCell ref="A3:K3"/>
    <mergeCell ref="A4:K4"/>
    <mergeCell ref="A5:K5"/>
  </mergeCells>
  <printOptions horizontalCentered="1"/>
  <pageMargins left="0.51181102362204722" right="0.51181102362204722" top="0.78740157480314965" bottom="0.78740157480314965" header="0.59055118110236227" footer="0.59055118110236227"/>
  <pageSetup paperSize="9" scale="82" firstPageNumber="22" orientation="landscape" useFirstPageNumber="1" r:id="rId1"/>
  <headerFooter alignWithMargins="0">
    <oddFooter>&amp;R&amp;P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J30"/>
  <sheetViews>
    <sheetView zoomScale="90" zoomScaleNormal="90" workbookViewId="0">
      <selection activeCell="E13" sqref="E13"/>
    </sheetView>
  </sheetViews>
  <sheetFormatPr defaultRowHeight="12.75"/>
  <cols>
    <col min="1" max="1" width="22.42578125" style="699" customWidth="1"/>
    <col min="2" max="2" width="10.5703125" style="699" customWidth="1"/>
    <col min="3" max="3" width="11.42578125" style="699" customWidth="1"/>
    <col min="4" max="4" width="10.42578125" style="699" customWidth="1"/>
    <col min="5" max="5" width="11.85546875" style="699" customWidth="1"/>
    <col min="6" max="6" width="8.42578125" style="699" customWidth="1"/>
    <col min="7" max="7" width="15.7109375" style="699" customWidth="1"/>
    <col min="8" max="8" width="11.140625" style="699" customWidth="1"/>
    <col min="9" max="9" width="9.28515625" style="699" customWidth="1"/>
    <col min="10" max="10" width="23" style="699" customWidth="1"/>
    <col min="11" max="256" width="9.140625" style="699"/>
    <col min="257" max="257" width="22.42578125" style="699" customWidth="1"/>
    <col min="258" max="258" width="10.5703125" style="699" customWidth="1"/>
    <col min="259" max="259" width="11.42578125" style="699" customWidth="1"/>
    <col min="260" max="260" width="10.42578125" style="699" customWidth="1"/>
    <col min="261" max="261" width="11.85546875" style="699" customWidth="1"/>
    <col min="262" max="262" width="8.42578125" style="699" customWidth="1"/>
    <col min="263" max="263" width="15.7109375" style="699" customWidth="1"/>
    <col min="264" max="264" width="11.140625" style="699" customWidth="1"/>
    <col min="265" max="265" width="9.28515625" style="699" customWidth="1"/>
    <col min="266" max="266" width="23" style="699" customWidth="1"/>
    <col min="267" max="512" width="9.140625" style="699"/>
    <col min="513" max="513" width="22.42578125" style="699" customWidth="1"/>
    <col min="514" max="514" width="10.5703125" style="699" customWidth="1"/>
    <col min="515" max="515" width="11.42578125" style="699" customWidth="1"/>
    <col min="516" max="516" width="10.42578125" style="699" customWidth="1"/>
    <col min="517" max="517" width="11.85546875" style="699" customWidth="1"/>
    <col min="518" max="518" width="8.42578125" style="699" customWidth="1"/>
    <col min="519" max="519" width="15.7109375" style="699" customWidth="1"/>
    <col min="520" max="520" width="11.140625" style="699" customWidth="1"/>
    <col min="521" max="521" width="9.28515625" style="699" customWidth="1"/>
    <col min="522" max="522" width="23" style="699" customWidth="1"/>
    <col min="523" max="768" width="9.140625" style="699"/>
    <col min="769" max="769" width="22.42578125" style="699" customWidth="1"/>
    <col min="770" max="770" width="10.5703125" style="699" customWidth="1"/>
    <col min="771" max="771" width="11.42578125" style="699" customWidth="1"/>
    <col min="772" max="772" width="10.42578125" style="699" customWidth="1"/>
    <col min="773" max="773" width="11.85546875" style="699" customWidth="1"/>
    <col min="774" max="774" width="8.42578125" style="699" customWidth="1"/>
    <col min="775" max="775" width="15.7109375" style="699" customWidth="1"/>
    <col min="776" max="776" width="11.140625" style="699" customWidth="1"/>
    <col min="777" max="777" width="9.28515625" style="699" customWidth="1"/>
    <col min="778" max="778" width="23" style="699" customWidth="1"/>
    <col min="779" max="1024" width="9.140625" style="699"/>
    <col min="1025" max="1025" width="22.42578125" style="699" customWidth="1"/>
    <col min="1026" max="1026" width="10.5703125" style="699" customWidth="1"/>
    <col min="1027" max="1027" width="11.42578125" style="699" customWidth="1"/>
    <col min="1028" max="1028" width="10.42578125" style="699" customWidth="1"/>
    <col min="1029" max="1029" width="11.85546875" style="699" customWidth="1"/>
    <col min="1030" max="1030" width="8.42578125" style="699" customWidth="1"/>
    <col min="1031" max="1031" width="15.7109375" style="699" customWidth="1"/>
    <col min="1032" max="1032" width="11.140625" style="699" customWidth="1"/>
    <col min="1033" max="1033" width="9.28515625" style="699" customWidth="1"/>
    <col min="1034" max="1034" width="23" style="699" customWidth="1"/>
    <col min="1035" max="1280" width="9.140625" style="699"/>
    <col min="1281" max="1281" width="22.42578125" style="699" customWidth="1"/>
    <col min="1282" max="1282" width="10.5703125" style="699" customWidth="1"/>
    <col min="1283" max="1283" width="11.42578125" style="699" customWidth="1"/>
    <col min="1284" max="1284" width="10.42578125" style="699" customWidth="1"/>
    <col min="1285" max="1285" width="11.85546875" style="699" customWidth="1"/>
    <col min="1286" max="1286" width="8.42578125" style="699" customWidth="1"/>
    <col min="1287" max="1287" width="15.7109375" style="699" customWidth="1"/>
    <col min="1288" max="1288" width="11.140625" style="699" customWidth="1"/>
    <col min="1289" max="1289" width="9.28515625" style="699" customWidth="1"/>
    <col min="1290" max="1290" width="23" style="699" customWidth="1"/>
    <col min="1291" max="1536" width="9.140625" style="699"/>
    <col min="1537" max="1537" width="22.42578125" style="699" customWidth="1"/>
    <col min="1538" max="1538" width="10.5703125" style="699" customWidth="1"/>
    <col min="1539" max="1539" width="11.42578125" style="699" customWidth="1"/>
    <col min="1540" max="1540" width="10.42578125" style="699" customWidth="1"/>
    <col min="1541" max="1541" width="11.85546875" style="699" customWidth="1"/>
    <col min="1542" max="1542" width="8.42578125" style="699" customWidth="1"/>
    <col min="1543" max="1543" width="15.7109375" style="699" customWidth="1"/>
    <col min="1544" max="1544" width="11.140625" style="699" customWidth="1"/>
    <col min="1545" max="1545" width="9.28515625" style="699" customWidth="1"/>
    <col min="1546" max="1546" width="23" style="699" customWidth="1"/>
    <col min="1547" max="1792" width="9.140625" style="699"/>
    <col min="1793" max="1793" width="22.42578125" style="699" customWidth="1"/>
    <col min="1794" max="1794" width="10.5703125" style="699" customWidth="1"/>
    <col min="1795" max="1795" width="11.42578125" style="699" customWidth="1"/>
    <col min="1796" max="1796" width="10.42578125" style="699" customWidth="1"/>
    <col min="1797" max="1797" width="11.85546875" style="699" customWidth="1"/>
    <col min="1798" max="1798" width="8.42578125" style="699" customWidth="1"/>
    <col min="1799" max="1799" width="15.7109375" style="699" customWidth="1"/>
    <col min="1800" max="1800" width="11.140625" style="699" customWidth="1"/>
    <col min="1801" max="1801" width="9.28515625" style="699" customWidth="1"/>
    <col min="1802" max="1802" width="23" style="699" customWidth="1"/>
    <col min="1803" max="2048" width="9.140625" style="699"/>
    <col min="2049" max="2049" width="22.42578125" style="699" customWidth="1"/>
    <col min="2050" max="2050" width="10.5703125" style="699" customWidth="1"/>
    <col min="2051" max="2051" width="11.42578125" style="699" customWidth="1"/>
    <col min="2052" max="2052" width="10.42578125" style="699" customWidth="1"/>
    <col min="2053" max="2053" width="11.85546875" style="699" customWidth="1"/>
    <col min="2054" max="2054" width="8.42578125" style="699" customWidth="1"/>
    <col min="2055" max="2055" width="15.7109375" style="699" customWidth="1"/>
    <col min="2056" max="2056" width="11.140625" style="699" customWidth="1"/>
    <col min="2057" max="2057" width="9.28515625" style="699" customWidth="1"/>
    <col min="2058" max="2058" width="23" style="699" customWidth="1"/>
    <col min="2059" max="2304" width="9.140625" style="699"/>
    <col min="2305" max="2305" width="22.42578125" style="699" customWidth="1"/>
    <col min="2306" max="2306" width="10.5703125" style="699" customWidth="1"/>
    <col min="2307" max="2307" width="11.42578125" style="699" customWidth="1"/>
    <col min="2308" max="2308" width="10.42578125" style="699" customWidth="1"/>
    <col min="2309" max="2309" width="11.85546875" style="699" customWidth="1"/>
    <col min="2310" max="2310" width="8.42578125" style="699" customWidth="1"/>
    <col min="2311" max="2311" width="15.7109375" style="699" customWidth="1"/>
    <col min="2312" max="2312" width="11.140625" style="699" customWidth="1"/>
    <col min="2313" max="2313" width="9.28515625" style="699" customWidth="1"/>
    <col min="2314" max="2314" width="23" style="699" customWidth="1"/>
    <col min="2315" max="2560" width="9.140625" style="699"/>
    <col min="2561" max="2561" width="22.42578125" style="699" customWidth="1"/>
    <col min="2562" max="2562" width="10.5703125" style="699" customWidth="1"/>
    <col min="2563" max="2563" width="11.42578125" style="699" customWidth="1"/>
    <col min="2564" max="2564" width="10.42578125" style="699" customWidth="1"/>
    <col min="2565" max="2565" width="11.85546875" style="699" customWidth="1"/>
    <col min="2566" max="2566" width="8.42578125" style="699" customWidth="1"/>
    <col min="2567" max="2567" width="15.7109375" style="699" customWidth="1"/>
    <col min="2568" max="2568" width="11.140625" style="699" customWidth="1"/>
    <col min="2569" max="2569" width="9.28515625" style="699" customWidth="1"/>
    <col min="2570" max="2570" width="23" style="699" customWidth="1"/>
    <col min="2571" max="2816" width="9.140625" style="699"/>
    <col min="2817" max="2817" width="22.42578125" style="699" customWidth="1"/>
    <col min="2818" max="2818" width="10.5703125" style="699" customWidth="1"/>
    <col min="2819" max="2819" width="11.42578125" style="699" customWidth="1"/>
    <col min="2820" max="2820" width="10.42578125" style="699" customWidth="1"/>
    <col min="2821" max="2821" width="11.85546875" style="699" customWidth="1"/>
    <col min="2822" max="2822" width="8.42578125" style="699" customWidth="1"/>
    <col min="2823" max="2823" width="15.7109375" style="699" customWidth="1"/>
    <col min="2824" max="2824" width="11.140625" style="699" customWidth="1"/>
    <col min="2825" max="2825" width="9.28515625" style="699" customWidth="1"/>
    <col min="2826" max="2826" width="23" style="699" customWidth="1"/>
    <col min="2827" max="3072" width="9.140625" style="699"/>
    <col min="3073" max="3073" width="22.42578125" style="699" customWidth="1"/>
    <col min="3074" max="3074" width="10.5703125" style="699" customWidth="1"/>
    <col min="3075" max="3075" width="11.42578125" style="699" customWidth="1"/>
    <col min="3076" max="3076" width="10.42578125" style="699" customWidth="1"/>
    <col min="3077" max="3077" width="11.85546875" style="699" customWidth="1"/>
    <col min="3078" max="3078" width="8.42578125" style="699" customWidth="1"/>
    <col min="3079" max="3079" width="15.7109375" style="699" customWidth="1"/>
    <col min="3080" max="3080" width="11.140625" style="699" customWidth="1"/>
    <col min="3081" max="3081" width="9.28515625" style="699" customWidth="1"/>
    <col min="3082" max="3082" width="23" style="699" customWidth="1"/>
    <col min="3083" max="3328" width="9.140625" style="699"/>
    <col min="3329" max="3329" width="22.42578125" style="699" customWidth="1"/>
    <col min="3330" max="3330" width="10.5703125" style="699" customWidth="1"/>
    <col min="3331" max="3331" width="11.42578125" style="699" customWidth="1"/>
    <col min="3332" max="3332" width="10.42578125" style="699" customWidth="1"/>
    <col min="3333" max="3333" width="11.85546875" style="699" customWidth="1"/>
    <col min="3334" max="3334" width="8.42578125" style="699" customWidth="1"/>
    <col min="3335" max="3335" width="15.7109375" style="699" customWidth="1"/>
    <col min="3336" max="3336" width="11.140625" style="699" customWidth="1"/>
    <col min="3337" max="3337" width="9.28515625" style="699" customWidth="1"/>
    <col min="3338" max="3338" width="23" style="699" customWidth="1"/>
    <col min="3339" max="3584" width="9.140625" style="699"/>
    <col min="3585" max="3585" width="22.42578125" style="699" customWidth="1"/>
    <col min="3586" max="3586" width="10.5703125" style="699" customWidth="1"/>
    <col min="3587" max="3587" width="11.42578125" style="699" customWidth="1"/>
    <col min="3588" max="3588" width="10.42578125" style="699" customWidth="1"/>
    <col min="3589" max="3589" width="11.85546875" style="699" customWidth="1"/>
    <col min="3590" max="3590" width="8.42578125" style="699" customWidth="1"/>
    <col min="3591" max="3591" width="15.7109375" style="699" customWidth="1"/>
    <col min="3592" max="3592" width="11.140625" style="699" customWidth="1"/>
    <col min="3593" max="3593" width="9.28515625" style="699" customWidth="1"/>
    <col min="3594" max="3594" width="23" style="699" customWidth="1"/>
    <col min="3595" max="3840" width="9.140625" style="699"/>
    <col min="3841" max="3841" width="22.42578125" style="699" customWidth="1"/>
    <col min="3842" max="3842" width="10.5703125" style="699" customWidth="1"/>
    <col min="3843" max="3843" width="11.42578125" style="699" customWidth="1"/>
    <col min="3844" max="3844" width="10.42578125" style="699" customWidth="1"/>
    <col min="3845" max="3845" width="11.85546875" style="699" customWidth="1"/>
    <col min="3846" max="3846" width="8.42578125" style="699" customWidth="1"/>
    <col min="3847" max="3847" width="15.7109375" style="699" customWidth="1"/>
    <col min="3848" max="3848" width="11.140625" style="699" customWidth="1"/>
    <col min="3849" max="3849" width="9.28515625" style="699" customWidth="1"/>
    <col min="3850" max="3850" width="23" style="699" customWidth="1"/>
    <col min="3851" max="4096" width="9.140625" style="699"/>
    <col min="4097" max="4097" width="22.42578125" style="699" customWidth="1"/>
    <col min="4098" max="4098" width="10.5703125" style="699" customWidth="1"/>
    <col min="4099" max="4099" width="11.42578125" style="699" customWidth="1"/>
    <col min="4100" max="4100" width="10.42578125" style="699" customWidth="1"/>
    <col min="4101" max="4101" width="11.85546875" style="699" customWidth="1"/>
    <col min="4102" max="4102" width="8.42578125" style="699" customWidth="1"/>
    <col min="4103" max="4103" width="15.7109375" style="699" customWidth="1"/>
    <col min="4104" max="4104" width="11.140625" style="699" customWidth="1"/>
    <col min="4105" max="4105" width="9.28515625" style="699" customWidth="1"/>
    <col min="4106" max="4106" width="23" style="699" customWidth="1"/>
    <col min="4107" max="4352" width="9.140625" style="699"/>
    <col min="4353" max="4353" width="22.42578125" style="699" customWidth="1"/>
    <col min="4354" max="4354" width="10.5703125" style="699" customWidth="1"/>
    <col min="4355" max="4355" width="11.42578125" style="699" customWidth="1"/>
    <col min="4356" max="4356" width="10.42578125" style="699" customWidth="1"/>
    <col min="4357" max="4357" width="11.85546875" style="699" customWidth="1"/>
    <col min="4358" max="4358" width="8.42578125" style="699" customWidth="1"/>
    <col min="4359" max="4359" width="15.7109375" style="699" customWidth="1"/>
    <col min="4360" max="4360" width="11.140625" style="699" customWidth="1"/>
    <col min="4361" max="4361" width="9.28515625" style="699" customWidth="1"/>
    <col min="4362" max="4362" width="23" style="699" customWidth="1"/>
    <col min="4363" max="4608" width="9.140625" style="699"/>
    <col min="4609" max="4609" width="22.42578125" style="699" customWidth="1"/>
    <col min="4610" max="4610" width="10.5703125" style="699" customWidth="1"/>
    <col min="4611" max="4611" width="11.42578125" style="699" customWidth="1"/>
    <col min="4612" max="4612" width="10.42578125" style="699" customWidth="1"/>
    <col min="4613" max="4613" width="11.85546875" style="699" customWidth="1"/>
    <col min="4614" max="4614" width="8.42578125" style="699" customWidth="1"/>
    <col min="4615" max="4615" width="15.7109375" style="699" customWidth="1"/>
    <col min="4616" max="4616" width="11.140625" style="699" customWidth="1"/>
    <col min="4617" max="4617" width="9.28515625" style="699" customWidth="1"/>
    <col min="4618" max="4618" width="23" style="699" customWidth="1"/>
    <col min="4619" max="4864" width="9.140625" style="699"/>
    <col min="4865" max="4865" width="22.42578125" style="699" customWidth="1"/>
    <col min="4866" max="4866" width="10.5703125" style="699" customWidth="1"/>
    <col min="4867" max="4867" width="11.42578125" style="699" customWidth="1"/>
    <col min="4868" max="4868" width="10.42578125" style="699" customWidth="1"/>
    <col min="4869" max="4869" width="11.85546875" style="699" customWidth="1"/>
    <col min="4870" max="4870" width="8.42578125" style="699" customWidth="1"/>
    <col min="4871" max="4871" width="15.7109375" style="699" customWidth="1"/>
    <col min="4872" max="4872" width="11.140625" style="699" customWidth="1"/>
    <col min="4873" max="4873" width="9.28515625" style="699" customWidth="1"/>
    <col min="4874" max="4874" width="23" style="699" customWidth="1"/>
    <col min="4875" max="5120" width="9.140625" style="699"/>
    <col min="5121" max="5121" width="22.42578125" style="699" customWidth="1"/>
    <col min="5122" max="5122" width="10.5703125" style="699" customWidth="1"/>
    <col min="5123" max="5123" width="11.42578125" style="699" customWidth="1"/>
    <col min="5124" max="5124" width="10.42578125" style="699" customWidth="1"/>
    <col min="5125" max="5125" width="11.85546875" style="699" customWidth="1"/>
    <col min="5126" max="5126" width="8.42578125" style="699" customWidth="1"/>
    <col min="5127" max="5127" width="15.7109375" style="699" customWidth="1"/>
    <col min="5128" max="5128" width="11.140625" style="699" customWidth="1"/>
    <col min="5129" max="5129" width="9.28515625" style="699" customWidth="1"/>
    <col min="5130" max="5130" width="23" style="699" customWidth="1"/>
    <col min="5131" max="5376" width="9.140625" style="699"/>
    <col min="5377" max="5377" width="22.42578125" style="699" customWidth="1"/>
    <col min="5378" max="5378" width="10.5703125" style="699" customWidth="1"/>
    <col min="5379" max="5379" width="11.42578125" style="699" customWidth="1"/>
    <col min="5380" max="5380" width="10.42578125" style="699" customWidth="1"/>
    <col min="5381" max="5381" width="11.85546875" style="699" customWidth="1"/>
    <col min="5382" max="5382" width="8.42578125" style="699" customWidth="1"/>
    <col min="5383" max="5383" width="15.7109375" style="699" customWidth="1"/>
    <col min="5384" max="5384" width="11.140625" style="699" customWidth="1"/>
    <col min="5385" max="5385" width="9.28515625" style="699" customWidth="1"/>
    <col min="5386" max="5386" width="23" style="699" customWidth="1"/>
    <col min="5387" max="5632" width="9.140625" style="699"/>
    <col min="5633" max="5633" width="22.42578125" style="699" customWidth="1"/>
    <col min="5634" max="5634" width="10.5703125" style="699" customWidth="1"/>
    <col min="5635" max="5635" width="11.42578125" style="699" customWidth="1"/>
    <col min="5636" max="5636" width="10.42578125" style="699" customWidth="1"/>
    <col min="5637" max="5637" width="11.85546875" style="699" customWidth="1"/>
    <col min="5638" max="5638" width="8.42578125" style="699" customWidth="1"/>
    <col min="5639" max="5639" width="15.7109375" style="699" customWidth="1"/>
    <col min="5640" max="5640" width="11.140625" style="699" customWidth="1"/>
    <col min="5641" max="5641" width="9.28515625" style="699" customWidth="1"/>
    <col min="5642" max="5642" width="23" style="699" customWidth="1"/>
    <col min="5643" max="5888" width="9.140625" style="699"/>
    <col min="5889" max="5889" width="22.42578125" style="699" customWidth="1"/>
    <col min="5890" max="5890" width="10.5703125" style="699" customWidth="1"/>
    <col min="5891" max="5891" width="11.42578125" style="699" customWidth="1"/>
    <col min="5892" max="5892" width="10.42578125" style="699" customWidth="1"/>
    <col min="5893" max="5893" width="11.85546875" style="699" customWidth="1"/>
    <col min="5894" max="5894" width="8.42578125" style="699" customWidth="1"/>
    <col min="5895" max="5895" width="15.7109375" style="699" customWidth="1"/>
    <col min="5896" max="5896" width="11.140625" style="699" customWidth="1"/>
    <col min="5897" max="5897" width="9.28515625" style="699" customWidth="1"/>
    <col min="5898" max="5898" width="23" style="699" customWidth="1"/>
    <col min="5899" max="6144" width="9.140625" style="699"/>
    <col min="6145" max="6145" width="22.42578125" style="699" customWidth="1"/>
    <col min="6146" max="6146" width="10.5703125" style="699" customWidth="1"/>
    <col min="6147" max="6147" width="11.42578125" style="699" customWidth="1"/>
    <col min="6148" max="6148" width="10.42578125" style="699" customWidth="1"/>
    <col min="6149" max="6149" width="11.85546875" style="699" customWidth="1"/>
    <col min="6150" max="6150" width="8.42578125" style="699" customWidth="1"/>
    <col min="6151" max="6151" width="15.7109375" style="699" customWidth="1"/>
    <col min="6152" max="6152" width="11.140625" style="699" customWidth="1"/>
    <col min="6153" max="6153" width="9.28515625" style="699" customWidth="1"/>
    <col min="6154" max="6154" width="23" style="699" customWidth="1"/>
    <col min="6155" max="6400" width="9.140625" style="699"/>
    <col min="6401" max="6401" width="22.42578125" style="699" customWidth="1"/>
    <col min="6402" max="6402" width="10.5703125" style="699" customWidth="1"/>
    <col min="6403" max="6403" width="11.42578125" style="699" customWidth="1"/>
    <col min="6404" max="6404" width="10.42578125" style="699" customWidth="1"/>
    <col min="6405" max="6405" width="11.85546875" style="699" customWidth="1"/>
    <col min="6406" max="6406" width="8.42578125" style="699" customWidth="1"/>
    <col min="6407" max="6407" width="15.7109375" style="699" customWidth="1"/>
    <col min="6408" max="6408" width="11.140625" style="699" customWidth="1"/>
    <col min="6409" max="6409" width="9.28515625" style="699" customWidth="1"/>
    <col min="6410" max="6410" width="23" style="699" customWidth="1"/>
    <col min="6411" max="6656" width="9.140625" style="699"/>
    <col min="6657" max="6657" width="22.42578125" style="699" customWidth="1"/>
    <col min="6658" max="6658" width="10.5703125" style="699" customWidth="1"/>
    <col min="6659" max="6659" width="11.42578125" style="699" customWidth="1"/>
    <col min="6660" max="6660" width="10.42578125" style="699" customWidth="1"/>
    <col min="6661" max="6661" width="11.85546875" style="699" customWidth="1"/>
    <col min="6662" max="6662" width="8.42578125" style="699" customWidth="1"/>
    <col min="6663" max="6663" width="15.7109375" style="699" customWidth="1"/>
    <col min="6664" max="6664" width="11.140625" style="699" customWidth="1"/>
    <col min="6665" max="6665" width="9.28515625" style="699" customWidth="1"/>
    <col min="6666" max="6666" width="23" style="699" customWidth="1"/>
    <col min="6667" max="6912" width="9.140625" style="699"/>
    <col min="6913" max="6913" width="22.42578125" style="699" customWidth="1"/>
    <col min="6914" max="6914" width="10.5703125" style="699" customWidth="1"/>
    <col min="6915" max="6915" width="11.42578125" style="699" customWidth="1"/>
    <col min="6916" max="6916" width="10.42578125" style="699" customWidth="1"/>
    <col min="6917" max="6917" width="11.85546875" style="699" customWidth="1"/>
    <col min="6918" max="6918" width="8.42578125" style="699" customWidth="1"/>
    <col min="6919" max="6919" width="15.7109375" style="699" customWidth="1"/>
    <col min="6920" max="6920" width="11.140625" style="699" customWidth="1"/>
    <col min="6921" max="6921" width="9.28515625" style="699" customWidth="1"/>
    <col min="6922" max="6922" width="23" style="699" customWidth="1"/>
    <col min="6923" max="7168" width="9.140625" style="699"/>
    <col min="7169" max="7169" width="22.42578125" style="699" customWidth="1"/>
    <col min="7170" max="7170" width="10.5703125" style="699" customWidth="1"/>
    <col min="7171" max="7171" width="11.42578125" style="699" customWidth="1"/>
    <col min="7172" max="7172" width="10.42578125" style="699" customWidth="1"/>
    <col min="7173" max="7173" width="11.85546875" style="699" customWidth="1"/>
    <col min="7174" max="7174" width="8.42578125" style="699" customWidth="1"/>
    <col min="7175" max="7175" width="15.7109375" style="699" customWidth="1"/>
    <col min="7176" max="7176" width="11.140625" style="699" customWidth="1"/>
    <col min="7177" max="7177" width="9.28515625" style="699" customWidth="1"/>
    <col min="7178" max="7178" width="23" style="699" customWidth="1"/>
    <col min="7179" max="7424" width="9.140625" style="699"/>
    <col min="7425" max="7425" width="22.42578125" style="699" customWidth="1"/>
    <col min="7426" max="7426" width="10.5703125" style="699" customWidth="1"/>
    <col min="7427" max="7427" width="11.42578125" style="699" customWidth="1"/>
    <col min="7428" max="7428" width="10.42578125" style="699" customWidth="1"/>
    <col min="7429" max="7429" width="11.85546875" style="699" customWidth="1"/>
    <col min="7430" max="7430" width="8.42578125" style="699" customWidth="1"/>
    <col min="7431" max="7431" width="15.7109375" style="699" customWidth="1"/>
    <col min="7432" max="7432" width="11.140625" style="699" customWidth="1"/>
    <col min="7433" max="7433" width="9.28515625" style="699" customWidth="1"/>
    <col min="7434" max="7434" width="23" style="699" customWidth="1"/>
    <col min="7435" max="7680" width="9.140625" style="699"/>
    <col min="7681" max="7681" width="22.42578125" style="699" customWidth="1"/>
    <col min="7682" max="7682" width="10.5703125" style="699" customWidth="1"/>
    <col min="7683" max="7683" width="11.42578125" style="699" customWidth="1"/>
    <col min="7684" max="7684" width="10.42578125" style="699" customWidth="1"/>
    <col min="7685" max="7685" width="11.85546875" style="699" customWidth="1"/>
    <col min="7686" max="7686" width="8.42578125" style="699" customWidth="1"/>
    <col min="7687" max="7687" width="15.7109375" style="699" customWidth="1"/>
    <col min="7688" max="7688" width="11.140625" style="699" customWidth="1"/>
    <col min="7689" max="7689" width="9.28515625" style="699" customWidth="1"/>
    <col min="7690" max="7690" width="23" style="699" customWidth="1"/>
    <col min="7691" max="7936" width="9.140625" style="699"/>
    <col min="7937" max="7937" width="22.42578125" style="699" customWidth="1"/>
    <col min="7938" max="7938" width="10.5703125" style="699" customWidth="1"/>
    <col min="7939" max="7939" width="11.42578125" style="699" customWidth="1"/>
    <col min="7940" max="7940" width="10.42578125" style="699" customWidth="1"/>
    <col min="7941" max="7941" width="11.85546875" style="699" customWidth="1"/>
    <col min="7942" max="7942" width="8.42578125" style="699" customWidth="1"/>
    <col min="7943" max="7943" width="15.7109375" style="699" customWidth="1"/>
    <col min="7944" max="7944" width="11.140625" style="699" customWidth="1"/>
    <col min="7945" max="7945" width="9.28515625" style="699" customWidth="1"/>
    <col min="7946" max="7946" width="23" style="699" customWidth="1"/>
    <col min="7947" max="8192" width="9.140625" style="699"/>
    <col min="8193" max="8193" width="22.42578125" style="699" customWidth="1"/>
    <col min="8194" max="8194" width="10.5703125" style="699" customWidth="1"/>
    <col min="8195" max="8195" width="11.42578125" style="699" customWidth="1"/>
    <col min="8196" max="8196" width="10.42578125" style="699" customWidth="1"/>
    <col min="8197" max="8197" width="11.85546875" style="699" customWidth="1"/>
    <col min="8198" max="8198" width="8.42578125" style="699" customWidth="1"/>
    <col min="8199" max="8199" width="15.7109375" style="699" customWidth="1"/>
    <col min="8200" max="8200" width="11.140625" style="699" customWidth="1"/>
    <col min="8201" max="8201" width="9.28515625" style="699" customWidth="1"/>
    <col min="8202" max="8202" width="23" style="699" customWidth="1"/>
    <col min="8203" max="8448" width="9.140625" style="699"/>
    <col min="8449" max="8449" width="22.42578125" style="699" customWidth="1"/>
    <col min="8450" max="8450" width="10.5703125" style="699" customWidth="1"/>
    <col min="8451" max="8451" width="11.42578125" style="699" customWidth="1"/>
    <col min="8452" max="8452" width="10.42578125" style="699" customWidth="1"/>
    <col min="8453" max="8453" width="11.85546875" style="699" customWidth="1"/>
    <col min="8454" max="8454" width="8.42578125" style="699" customWidth="1"/>
    <col min="8455" max="8455" width="15.7109375" style="699" customWidth="1"/>
    <col min="8456" max="8456" width="11.140625" style="699" customWidth="1"/>
    <col min="8457" max="8457" width="9.28515625" style="699" customWidth="1"/>
    <col min="8458" max="8458" width="23" style="699" customWidth="1"/>
    <col min="8459" max="8704" width="9.140625" style="699"/>
    <col min="8705" max="8705" width="22.42578125" style="699" customWidth="1"/>
    <col min="8706" max="8706" width="10.5703125" style="699" customWidth="1"/>
    <col min="8707" max="8707" width="11.42578125" style="699" customWidth="1"/>
    <col min="8708" max="8708" width="10.42578125" style="699" customWidth="1"/>
    <col min="8709" max="8709" width="11.85546875" style="699" customWidth="1"/>
    <col min="8710" max="8710" width="8.42578125" style="699" customWidth="1"/>
    <col min="8711" max="8711" width="15.7109375" style="699" customWidth="1"/>
    <col min="8712" max="8712" width="11.140625" style="699" customWidth="1"/>
    <col min="8713" max="8713" width="9.28515625" style="699" customWidth="1"/>
    <col min="8714" max="8714" width="23" style="699" customWidth="1"/>
    <col min="8715" max="8960" width="9.140625" style="699"/>
    <col min="8961" max="8961" width="22.42578125" style="699" customWidth="1"/>
    <col min="8962" max="8962" width="10.5703125" style="699" customWidth="1"/>
    <col min="8963" max="8963" width="11.42578125" style="699" customWidth="1"/>
    <col min="8964" max="8964" width="10.42578125" style="699" customWidth="1"/>
    <col min="8965" max="8965" width="11.85546875" style="699" customWidth="1"/>
    <col min="8966" max="8966" width="8.42578125" style="699" customWidth="1"/>
    <col min="8967" max="8967" width="15.7109375" style="699" customWidth="1"/>
    <col min="8968" max="8968" width="11.140625" style="699" customWidth="1"/>
    <col min="8969" max="8969" width="9.28515625" style="699" customWidth="1"/>
    <col min="8970" max="8970" width="23" style="699" customWidth="1"/>
    <col min="8971" max="9216" width="9.140625" style="699"/>
    <col min="9217" max="9217" width="22.42578125" style="699" customWidth="1"/>
    <col min="9218" max="9218" width="10.5703125" style="699" customWidth="1"/>
    <col min="9219" max="9219" width="11.42578125" style="699" customWidth="1"/>
    <col min="9220" max="9220" width="10.42578125" style="699" customWidth="1"/>
    <col min="9221" max="9221" width="11.85546875" style="699" customWidth="1"/>
    <col min="9222" max="9222" width="8.42578125" style="699" customWidth="1"/>
    <col min="9223" max="9223" width="15.7109375" style="699" customWidth="1"/>
    <col min="9224" max="9224" width="11.140625" style="699" customWidth="1"/>
    <col min="9225" max="9225" width="9.28515625" style="699" customWidth="1"/>
    <col min="9226" max="9226" width="23" style="699" customWidth="1"/>
    <col min="9227" max="9472" width="9.140625" style="699"/>
    <col min="9473" max="9473" width="22.42578125" style="699" customWidth="1"/>
    <col min="9474" max="9474" width="10.5703125" style="699" customWidth="1"/>
    <col min="9475" max="9475" width="11.42578125" style="699" customWidth="1"/>
    <col min="9476" max="9476" width="10.42578125" style="699" customWidth="1"/>
    <col min="9477" max="9477" width="11.85546875" style="699" customWidth="1"/>
    <col min="9478" max="9478" width="8.42578125" style="699" customWidth="1"/>
    <col min="9479" max="9479" width="15.7109375" style="699" customWidth="1"/>
    <col min="9480" max="9480" width="11.140625" style="699" customWidth="1"/>
    <col min="9481" max="9481" width="9.28515625" style="699" customWidth="1"/>
    <col min="9482" max="9482" width="23" style="699" customWidth="1"/>
    <col min="9483" max="9728" width="9.140625" style="699"/>
    <col min="9729" max="9729" width="22.42578125" style="699" customWidth="1"/>
    <col min="9730" max="9730" width="10.5703125" style="699" customWidth="1"/>
    <col min="9731" max="9731" width="11.42578125" style="699" customWidth="1"/>
    <col min="9732" max="9732" width="10.42578125" style="699" customWidth="1"/>
    <col min="9733" max="9733" width="11.85546875" style="699" customWidth="1"/>
    <col min="9734" max="9734" width="8.42578125" style="699" customWidth="1"/>
    <col min="9735" max="9735" width="15.7109375" style="699" customWidth="1"/>
    <col min="9736" max="9736" width="11.140625" style="699" customWidth="1"/>
    <col min="9737" max="9737" width="9.28515625" style="699" customWidth="1"/>
    <col min="9738" max="9738" width="23" style="699" customWidth="1"/>
    <col min="9739" max="9984" width="9.140625" style="699"/>
    <col min="9985" max="9985" width="22.42578125" style="699" customWidth="1"/>
    <col min="9986" max="9986" width="10.5703125" style="699" customWidth="1"/>
    <col min="9987" max="9987" width="11.42578125" style="699" customWidth="1"/>
    <col min="9988" max="9988" width="10.42578125" style="699" customWidth="1"/>
    <col min="9989" max="9989" width="11.85546875" style="699" customWidth="1"/>
    <col min="9990" max="9990" width="8.42578125" style="699" customWidth="1"/>
    <col min="9991" max="9991" width="15.7109375" style="699" customWidth="1"/>
    <col min="9992" max="9992" width="11.140625" style="699" customWidth="1"/>
    <col min="9993" max="9993" width="9.28515625" style="699" customWidth="1"/>
    <col min="9994" max="9994" width="23" style="699" customWidth="1"/>
    <col min="9995" max="10240" width="9.140625" style="699"/>
    <col min="10241" max="10241" width="22.42578125" style="699" customWidth="1"/>
    <col min="10242" max="10242" width="10.5703125" style="699" customWidth="1"/>
    <col min="10243" max="10243" width="11.42578125" style="699" customWidth="1"/>
    <col min="10244" max="10244" width="10.42578125" style="699" customWidth="1"/>
    <col min="10245" max="10245" width="11.85546875" style="699" customWidth="1"/>
    <col min="10246" max="10246" width="8.42578125" style="699" customWidth="1"/>
    <col min="10247" max="10247" width="15.7109375" style="699" customWidth="1"/>
    <col min="10248" max="10248" width="11.140625" style="699" customWidth="1"/>
    <col min="10249" max="10249" width="9.28515625" style="699" customWidth="1"/>
    <col min="10250" max="10250" width="23" style="699" customWidth="1"/>
    <col min="10251" max="10496" width="9.140625" style="699"/>
    <col min="10497" max="10497" width="22.42578125" style="699" customWidth="1"/>
    <col min="10498" max="10498" width="10.5703125" style="699" customWidth="1"/>
    <col min="10499" max="10499" width="11.42578125" style="699" customWidth="1"/>
    <col min="10500" max="10500" width="10.42578125" style="699" customWidth="1"/>
    <col min="10501" max="10501" width="11.85546875" style="699" customWidth="1"/>
    <col min="10502" max="10502" width="8.42578125" style="699" customWidth="1"/>
    <col min="10503" max="10503" width="15.7109375" style="699" customWidth="1"/>
    <col min="10504" max="10504" width="11.140625" style="699" customWidth="1"/>
    <col min="10505" max="10505" width="9.28515625" style="699" customWidth="1"/>
    <col min="10506" max="10506" width="23" style="699" customWidth="1"/>
    <col min="10507" max="10752" width="9.140625" style="699"/>
    <col min="10753" max="10753" width="22.42578125" style="699" customWidth="1"/>
    <col min="10754" max="10754" width="10.5703125" style="699" customWidth="1"/>
    <col min="10755" max="10755" width="11.42578125" style="699" customWidth="1"/>
    <col min="10756" max="10756" width="10.42578125" style="699" customWidth="1"/>
    <col min="10757" max="10757" width="11.85546875" style="699" customWidth="1"/>
    <col min="10758" max="10758" width="8.42578125" style="699" customWidth="1"/>
    <col min="10759" max="10759" width="15.7109375" style="699" customWidth="1"/>
    <col min="10760" max="10760" width="11.140625" style="699" customWidth="1"/>
    <col min="10761" max="10761" width="9.28515625" style="699" customWidth="1"/>
    <col min="10762" max="10762" width="23" style="699" customWidth="1"/>
    <col min="10763" max="11008" width="9.140625" style="699"/>
    <col min="11009" max="11009" width="22.42578125" style="699" customWidth="1"/>
    <col min="11010" max="11010" width="10.5703125" style="699" customWidth="1"/>
    <col min="11011" max="11011" width="11.42578125" style="699" customWidth="1"/>
    <col min="11012" max="11012" width="10.42578125" style="699" customWidth="1"/>
    <col min="11013" max="11013" width="11.85546875" style="699" customWidth="1"/>
    <col min="11014" max="11014" width="8.42578125" style="699" customWidth="1"/>
    <col min="11015" max="11015" width="15.7109375" style="699" customWidth="1"/>
    <col min="11016" max="11016" width="11.140625" style="699" customWidth="1"/>
    <col min="11017" max="11017" width="9.28515625" style="699" customWidth="1"/>
    <col min="11018" max="11018" width="23" style="699" customWidth="1"/>
    <col min="11019" max="11264" width="9.140625" style="699"/>
    <col min="11265" max="11265" width="22.42578125" style="699" customWidth="1"/>
    <col min="11266" max="11266" width="10.5703125" style="699" customWidth="1"/>
    <col min="11267" max="11267" width="11.42578125" style="699" customWidth="1"/>
    <col min="11268" max="11268" width="10.42578125" style="699" customWidth="1"/>
    <col min="11269" max="11269" width="11.85546875" style="699" customWidth="1"/>
    <col min="11270" max="11270" width="8.42578125" style="699" customWidth="1"/>
    <col min="11271" max="11271" width="15.7109375" style="699" customWidth="1"/>
    <col min="11272" max="11272" width="11.140625" style="699" customWidth="1"/>
    <col min="11273" max="11273" width="9.28515625" style="699" customWidth="1"/>
    <col min="11274" max="11274" width="23" style="699" customWidth="1"/>
    <col min="11275" max="11520" width="9.140625" style="699"/>
    <col min="11521" max="11521" width="22.42578125" style="699" customWidth="1"/>
    <col min="11522" max="11522" width="10.5703125" style="699" customWidth="1"/>
    <col min="11523" max="11523" width="11.42578125" style="699" customWidth="1"/>
    <col min="11524" max="11524" width="10.42578125" style="699" customWidth="1"/>
    <col min="11525" max="11525" width="11.85546875" style="699" customWidth="1"/>
    <col min="11526" max="11526" width="8.42578125" style="699" customWidth="1"/>
    <col min="11527" max="11527" width="15.7109375" style="699" customWidth="1"/>
    <col min="11528" max="11528" width="11.140625" style="699" customWidth="1"/>
    <col min="11529" max="11529" width="9.28515625" style="699" customWidth="1"/>
    <col min="11530" max="11530" width="23" style="699" customWidth="1"/>
    <col min="11531" max="11776" width="9.140625" style="699"/>
    <col min="11777" max="11777" width="22.42578125" style="699" customWidth="1"/>
    <col min="11778" max="11778" width="10.5703125" style="699" customWidth="1"/>
    <col min="11779" max="11779" width="11.42578125" style="699" customWidth="1"/>
    <col min="11780" max="11780" width="10.42578125" style="699" customWidth="1"/>
    <col min="11781" max="11781" width="11.85546875" style="699" customWidth="1"/>
    <col min="11782" max="11782" width="8.42578125" style="699" customWidth="1"/>
    <col min="11783" max="11783" width="15.7109375" style="699" customWidth="1"/>
    <col min="11784" max="11784" width="11.140625" style="699" customWidth="1"/>
    <col min="11785" max="11785" width="9.28515625" style="699" customWidth="1"/>
    <col min="11786" max="11786" width="23" style="699" customWidth="1"/>
    <col min="11787" max="12032" width="9.140625" style="699"/>
    <col min="12033" max="12033" width="22.42578125" style="699" customWidth="1"/>
    <col min="12034" max="12034" width="10.5703125" style="699" customWidth="1"/>
    <col min="12035" max="12035" width="11.42578125" style="699" customWidth="1"/>
    <col min="12036" max="12036" width="10.42578125" style="699" customWidth="1"/>
    <col min="12037" max="12037" width="11.85546875" style="699" customWidth="1"/>
    <col min="12038" max="12038" width="8.42578125" style="699" customWidth="1"/>
    <col min="12039" max="12039" width="15.7109375" style="699" customWidth="1"/>
    <col min="12040" max="12040" width="11.140625" style="699" customWidth="1"/>
    <col min="12041" max="12041" width="9.28515625" style="699" customWidth="1"/>
    <col min="12042" max="12042" width="23" style="699" customWidth="1"/>
    <col min="12043" max="12288" width="9.140625" style="699"/>
    <col min="12289" max="12289" width="22.42578125" style="699" customWidth="1"/>
    <col min="12290" max="12290" width="10.5703125" style="699" customWidth="1"/>
    <col min="12291" max="12291" width="11.42578125" style="699" customWidth="1"/>
    <col min="12292" max="12292" width="10.42578125" style="699" customWidth="1"/>
    <col min="12293" max="12293" width="11.85546875" style="699" customWidth="1"/>
    <col min="12294" max="12294" width="8.42578125" style="699" customWidth="1"/>
    <col min="12295" max="12295" width="15.7109375" style="699" customWidth="1"/>
    <col min="12296" max="12296" width="11.140625" style="699" customWidth="1"/>
    <col min="12297" max="12297" width="9.28515625" style="699" customWidth="1"/>
    <col min="12298" max="12298" width="23" style="699" customWidth="1"/>
    <col min="12299" max="12544" width="9.140625" style="699"/>
    <col min="12545" max="12545" width="22.42578125" style="699" customWidth="1"/>
    <col min="12546" max="12546" width="10.5703125" style="699" customWidth="1"/>
    <col min="12547" max="12547" width="11.42578125" style="699" customWidth="1"/>
    <col min="12548" max="12548" width="10.42578125" style="699" customWidth="1"/>
    <col min="12549" max="12549" width="11.85546875" style="699" customWidth="1"/>
    <col min="12550" max="12550" width="8.42578125" style="699" customWidth="1"/>
    <col min="12551" max="12551" width="15.7109375" style="699" customWidth="1"/>
    <col min="12552" max="12552" width="11.140625" style="699" customWidth="1"/>
    <col min="12553" max="12553" width="9.28515625" style="699" customWidth="1"/>
    <col min="12554" max="12554" width="23" style="699" customWidth="1"/>
    <col min="12555" max="12800" width="9.140625" style="699"/>
    <col min="12801" max="12801" width="22.42578125" style="699" customWidth="1"/>
    <col min="12802" max="12802" width="10.5703125" style="699" customWidth="1"/>
    <col min="12803" max="12803" width="11.42578125" style="699" customWidth="1"/>
    <col min="12804" max="12804" width="10.42578125" style="699" customWidth="1"/>
    <col min="12805" max="12805" width="11.85546875" style="699" customWidth="1"/>
    <col min="12806" max="12806" width="8.42578125" style="699" customWidth="1"/>
    <col min="12807" max="12807" width="15.7109375" style="699" customWidth="1"/>
    <col min="12808" max="12808" width="11.140625" style="699" customWidth="1"/>
    <col min="12809" max="12809" width="9.28515625" style="699" customWidth="1"/>
    <col min="12810" max="12810" width="23" style="699" customWidth="1"/>
    <col min="12811" max="13056" width="9.140625" style="699"/>
    <col min="13057" max="13057" width="22.42578125" style="699" customWidth="1"/>
    <col min="13058" max="13058" width="10.5703125" style="699" customWidth="1"/>
    <col min="13059" max="13059" width="11.42578125" style="699" customWidth="1"/>
    <col min="13060" max="13060" width="10.42578125" style="699" customWidth="1"/>
    <col min="13061" max="13061" width="11.85546875" style="699" customWidth="1"/>
    <col min="13062" max="13062" width="8.42578125" style="699" customWidth="1"/>
    <col min="13063" max="13063" width="15.7109375" style="699" customWidth="1"/>
    <col min="13064" max="13064" width="11.140625" style="699" customWidth="1"/>
    <col min="13065" max="13065" width="9.28515625" style="699" customWidth="1"/>
    <col min="13066" max="13066" width="23" style="699" customWidth="1"/>
    <col min="13067" max="13312" width="9.140625" style="699"/>
    <col min="13313" max="13313" width="22.42578125" style="699" customWidth="1"/>
    <col min="13314" max="13314" width="10.5703125" style="699" customWidth="1"/>
    <col min="13315" max="13315" width="11.42578125" style="699" customWidth="1"/>
    <col min="13316" max="13316" width="10.42578125" style="699" customWidth="1"/>
    <col min="13317" max="13317" width="11.85546875" style="699" customWidth="1"/>
    <col min="13318" max="13318" width="8.42578125" style="699" customWidth="1"/>
    <col min="13319" max="13319" width="15.7109375" style="699" customWidth="1"/>
    <col min="13320" max="13320" width="11.140625" style="699" customWidth="1"/>
    <col min="13321" max="13321" width="9.28515625" style="699" customWidth="1"/>
    <col min="13322" max="13322" width="23" style="699" customWidth="1"/>
    <col min="13323" max="13568" width="9.140625" style="699"/>
    <col min="13569" max="13569" width="22.42578125" style="699" customWidth="1"/>
    <col min="13570" max="13570" width="10.5703125" style="699" customWidth="1"/>
    <col min="13571" max="13571" width="11.42578125" style="699" customWidth="1"/>
    <col min="13572" max="13572" width="10.42578125" style="699" customWidth="1"/>
    <col min="13573" max="13573" width="11.85546875" style="699" customWidth="1"/>
    <col min="13574" max="13574" width="8.42578125" style="699" customWidth="1"/>
    <col min="13575" max="13575" width="15.7109375" style="699" customWidth="1"/>
    <col min="13576" max="13576" width="11.140625" style="699" customWidth="1"/>
    <col min="13577" max="13577" width="9.28515625" style="699" customWidth="1"/>
    <col min="13578" max="13578" width="23" style="699" customWidth="1"/>
    <col min="13579" max="13824" width="9.140625" style="699"/>
    <col min="13825" max="13825" width="22.42578125" style="699" customWidth="1"/>
    <col min="13826" max="13826" width="10.5703125" style="699" customWidth="1"/>
    <col min="13827" max="13827" width="11.42578125" style="699" customWidth="1"/>
    <col min="13828" max="13828" width="10.42578125" style="699" customWidth="1"/>
    <col min="13829" max="13829" width="11.85546875" style="699" customWidth="1"/>
    <col min="13830" max="13830" width="8.42578125" style="699" customWidth="1"/>
    <col min="13831" max="13831" width="15.7109375" style="699" customWidth="1"/>
    <col min="13832" max="13832" width="11.140625" style="699" customWidth="1"/>
    <col min="13833" max="13833" width="9.28515625" style="699" customWidth="1"/>
    <col min="13834" max="13834" width="23" style="699" customWidth="1"/>
    <col min="13835" max="14080" width="9.140625" style="699"/>
    <col min="14081" max="14081" width="22.42578125" style="699" customWidth="1"/>
    <col min="14082" max="14082" width="10.5703125" style="699" customWidth="1"/>
    <col min="14083" max="14083" width="11.42578125" style="699" customWidth="1"/>
    <col min="14084" max="14084" width="10.42578125" style="699" customWidth="1"/>
    <col min="14085" max="14085" width="11.85546875" style="699" customWidth="1"/>
    <col min="14086" max="14086" width="8.42578125" style="699" customWidth="1"/>
    <col min="14087" max="14087" width="15.7109375" style="699" customWidth="1"/>
    <col min="14088" max="14088" width="11.140625" style="699" customWidth="1"/>
    <col min="14089" max="14089" width="9.28515625" style="699" customWidth="1"/>
    <col min="14090" max="14090" width="23" style="699" customWidth="1"/>
    <col min="14091" max="14336" width="9.140625" style="699"/>
    <col min="14337" max="14337" width="22.42578125" style="699" customWidth="1"/>
    <col min="14338" max="14338" width="10.5703125" style="699" customWidth="1"/>
    <col min="14339" max="14339" width="11.42578125" style="699" customWidth="1"/>
    <col min="14340" max="14340" width="10.42578125" style="699" customWidth="1"/>
    <col min="14341" max="14341" width="11.85546875" style="699" customWidth="1"/>
    <col min="14342" max="14342" width="8.42578125" style="699" customWidth="1"/>
    <col min="14343" max="14343" width="15.7109375" style="699" customWidth="1"/>
    <col min="14344" max="14344" width="11.140625" style="699" customWidth="1"/>
    <col min="14345" max="14345" width="9.28515625" style="699" customWidth="1"/>
    <col min="14346" max="14346" width="23" style="699" customWidth="1"/>
    <col min="14347" max="14592" width="9.140625" style="699"/>
    <col min="14593" max="14593" width="22.42578125" style="699" customWidth="1"/>
    <col min="14594" max="14594" width="10.5703125" style="699" customWidth="1"/>
    <col min="14595" max="14595" width="11.42578125" style="699" customWidth="1"/>
    <col min="14596" max="14596" width="10.42578125" style="699" customWidth="1"/>
    <col min="14597" max="14597" width="11.85546875" style="699" customWidth="1"/>
    <col min="14598" max="14598" width="8.42578125" style="699" customWidth="1"/>
    <col min="14599" max="14599" width="15.7109375" style="699" customWidth="1"/>
    <col min="14600" max="14600" width="11.140625" style="699" customWidth="1"/>
    <col min="14601" max="14601" width="9.28515625" style="699" customWidth="1"/>
    <col min="14602" max="14602" width="23" style="699" customWidth="1"/>
    <col min="14603" max="14848" width="9.140625" style="699"/>
    <col min="14849" max="14849" width="22.42578125" style="699" customWidth="1"/>
    <col min="14850" max="14850" width="10.5703125" style="699" customWidth="1"/>
    <col min="14851" max="14851" width="11.42578125" style="699" customWidth="1"/>
    <col min="14852" max="14852" width="10.42578125" style="699" customWidth="1"/>
    <col min="14853" max="14853" width="11.85546875" style="699" customWidth="1"/>
    <col min="14854" max="14854" width="8.42578125" style="699" customWidth="1"/>
    <col min="14855" max="14855" width="15.7109375" style="699" customWidth="1"/>
    <col min="14856" max="14856" width="11.140625" style="699" customWidth="1"/>
    <col min="14857" max="14857" width="9.28515625" style="699" customWidth="1"/>
    <col min="14858" max="14858" width="23" style="699" customWidth="1"/>
    <col min="14859" max="15104" width="9.140625" style="699"/>
    <col min="15105" max="15105" width="22.42578125" style="699" customWidth="1"/>
    <col min="15106" max="15106" width="10.5703125" style="699" customWidth="1"/>
    <col min="15107" max="15107" width="11.42578125" style="699" customWidth="1"/>
    <col min="15108" max="15108" width="10.42578125" style="699" customWidth="1"/>
    <col min="15109" max="15109" width="11.85546875" style="699" customWidth="1"/>
    <col min="15110" max="15110" width="8.42578125" style="699" customWidth="1"/>
    <col min="15111" max="15111" width="15.7109375" style="699" customWidth="1"/>
    <col min="15112" max="15112" width="11.140625" style="699" customWidth="1"/>
    <col min="15113" max="15113" width="9.28515625" style="699" customWidth="1"/>
    <col min="15114" max="15114" width="23" style="699" customWidth="1"/>
    <col min="15115" max="15360" width="9.140625" style="699"/>
    <col min="15361" max="15361" width="22.42578125" style="699" customWidth="1"/>
    <col min="15362" max="15362" width="10.5703125" style="699" customWidth="1"/>
    <col min="15363" max="15363" width="11.42578125" style="699" customWidth="1"/>
    <col min="15364" max="15364" width="10.42578125" style="699" customWidth="1"/>
    <col min="15365" max="15365" width="11.85546875" style="699" customWidth="1"/>
    <col min="15366" max="15366" width="8.42578125" style="699" customWidth="1"/>
    <col min="15367" max="15367" width="15.7109375" style="699" customWidth="1"/>
    <col min="15368" max="15368" width="11.140625" style="699" customWidth="1"/>
    <col min="15369" max="15369" width="9.28515625" style="699" customWidth="1"/>
    <col min="15370" max="15370" width="23" style="699" customWidth="1"/>
    <col min="15371" max="15616" width="9.140625" style="699"/>
    <col min="15617" max="15617" width="22.42578125" style="699" customWidth="1"/>
    <col min="15618" max="15618" width="10.5703125" style="699" customWidth="1"/>
    <col min="15619" max="15619" width="11.42578125" style="699" customWidth="1"/>
    <col min="15620" max="15620" width="10.42578125" style="699" customWidth="1"/>
    <col min="15621" max="15621" width="11.85546875" style="699" customWidth="1"/>
    <col min="15622" max="15622" width="8.42578125" style="699" customWidth="1"/>
    <col min="15623" max="15623" width="15.7109375" style="699" customWidth="1"/>
    <col min="15624" max="15624" width="11.140625" style="699" customWidth="1"/>
    <col min="15625" max="15625" width="9.28515625" style="699" customWidth="1"/>
    <col min="15626" max="15626" width="23" style="699" customWidth="1"/>
    <col min="15627" max="15872" width="9.140625" style="699"/>
    <col min="15873" max="15873" width="22.42578125" style="699" customWidth="1"/>
    <col min="15874" max="15874" width="10.5703125" style="699" customWidth="1"/>
    <col min="15875" max="15875" width="11.42578125" style="699" customWidth="1"/>
    <col min="15876" max="15876" width="10.42578125" style="699" customWidth="1"/>
    <col min="15877" max="15877" width="11.85546875" style="699" customWidth="1"/>
    <col min="15878" max="15878" width="8.42578125" style="699" customWidth="1"/>
    <col min="15879" max="15879" width="15.7109375" style="699" customWidth="1"/>
    <col min="15880" max="15880" width="11.140625" style="699" customWidth="1"/>
    <col min="15881" max="15881" width="9.28515625" style="699" customWidth="1"/>
    <col min="15882" max="15882" width="23" style="699" customWidth="1"/>
    <col min="15883" max="16128" width="9.140625" style="699"/>
    <col min="16129" max="16129" width="22.42578125" style="699" customWidth="1"/>
    <col min="16130" max="16130" width="10.5703125" style="699" customWidth="1"/>
    <col min="16131" max="16131" width="11.42578125" style="699" customWidth="1"/>
    <col min="16132" max="16132" width="10.42578125" style="699" customWidth="1"/>
    <col min="16133" max="16133" width="11.85546875" style="699" customWidth="1"/>
    <col min="16134" max="16134" width="8.42578125" style="699" customWidth="1"/>
    <col min="16135" max="16135" width="15.7109375" style="699" customWidth="1"/>
    <col min="16136" max="16136" width="11.140625" style="699" customWidth="1"/>
    <col min="16137" max="16137" width="9.28515625" style="699" customWidth="1"/>
    <col min="16138" max="16138" width="23" style="699" customWidth="1"/>
    <col min="16139" max="16384" width="9.140625" style="699"/>
  </cols>
  <sheetData>
    <row r="1" spans="1:10" ht="15" customHeight="1">
      <c r="A1" s="1817" t="s">
        <v>2247</v>
      </c>
      <c r="B1" s="1817"/>
      <c r="C1" s="1817"/>
      <c r="D1" s="1817"/>
      <c r="E1" s="1817"/>
      <c r="F1" s="1817"/>
      <c r="G1" s="1817"/>
      <c r="H1" s="1817"/>
      <c r="I1" s="1817"/>
      <c r="J1" s="1817"/>
    </row>
    <row r="2" spans="1:10" ht="15" customHeight="1">
      <c r="A2" s="1818" t="s">
        <v>2248</v>
      </c>
      <c r="B2" s="1818"/>
      <c r="C2" s="1818"/>
      <c r="D2" s="1818"/>
      <c r="E2" s="1818"/>
      <c r="F2" s="1818"/>
      <c r="G2" s="1818"/>
      <c r="H2" s="1818"/>
      <c r="I2" s="1818"/>
      <c r="J2" s="1818"/>
    </row>
    <row r="3" spans="1:10" s="704" customFormat="1" ht="11.25" customHeight="1">
      <c r="A3" s="700" t="s">
        <v>2249</v>
      </c>
      <c r="B3" s="701" t="s">
        <v>846</v>
      </c>
      <c r="C3" s="702"/>
      <c r="D3" s="702"/>
      <c r="E3" s="702"/>
      <c r="F3" s="702"/>
      <c r="G3" s="702"/>
      <c r="H3" s="702"/>
      <c r="I3" s="702"/>
      <c r="J3" s="703" t="s">
        <v>2250</v>
      </c>
    </row>
    <row r="4" spans="1:10" s="704" customFormat="1" ht="11.25" customHeight="1">
      <c r="A4" s="700" t="s">
        <v>2251</v>
      </c>
      <c r="B4" s="705"/>
      <c r="C4" s="705"/>
      <c r="D4" s="705"/>
      <c r="E4" s="705"/>
      <c r="F4" s="705"/>
      <c r="G4" s="705"/>
      <c r="H4" s="705"/>
      <c r="I4" s="705"/>
      <c r="J4" s="703" t="s">
        <v>2252</v>
      </c>
    </row>
    <row r="5" spans="1:10">
      <c r="A5" s="1819"/>
      <c r="B5" s="1822" t="s">
        <v>2253</v>
      </c>
      <c r="C5" s="1823"/>
      <c r="D5" s="1823"/>
      <c r="E5" s="1823"/>
      <c r="F5" s="1823"/>
      <c r="G5" s="1823"/>
      <c r="H5" s="1823"/>
      <c r="I5" s="1824"/>
      <c r="J5" s="1825" t="s">
        <v>846</v>
      </c>
    </row>
    <row r="6" spans="1:10">
      <c r="A6" s="1820"/>
      <c r="B6" s="1822" t="s">
        <v>2254</v>
      </c>
      <c r="C6" s="1823" t="s">
        <v>2064</v>
      </c>
      <c r="D6" s="1823"/>
      <c r="E6" s="1823"/>
      <c r="F6" s="1823"/>
      <c r="G6" s="1823"/>
      <c r="H6" s="1823"/>
      <c r="I6" s="1824"/>
      <c r="J6" s="1826"/>
    </row>
    <row r="7" spans="1:10">
      <c r="A7" s="1820"/>
      <c r="B7" s="1822"/>
      <c r="C7" s="1823" t="s">
        <v>2255</v>
      </c>
      <c r="D7" s="1823" t="s">
        <v>2064</v>
      </c>
      <c r="E7" s="1823"/>
      <c r="F7" s="1823"/>
      <c r="G7" s="1823" t="s">
        <v>2256</v>
      </c>
      <c r="H7" s="1823" t="s">
        <v>2257</v>
      </c>
      <c r="I7" s="1824" t="s">
        <v>2258</v>
      </c>
      <c r="J7" s="1826"/>
    </row>
    <row r="8" spans="1:10" ht="39.75" customHeight="1">
      <c r="A8" s="1820"/>
      <c r="B8" s="1822"/>
      <c r="C8" s="1823"/>
      <c r="D8" s="706" t="s">
        <v>2259</v>
      </c>
      <c r="E8" s="706" t="s">
        <v>2260</v>
      </c>
      <c r="F8" s="706" t="s">
        <v>2261</v>
      </c>
      <c r="G8" s="1823"/>
      <c r="H8" s="1823"/>
      <c r="I8" s="1824"/>
      <c r="J8" s="1826"/>
    </row>
    <row r="9" spans="1:10">
      <c r="A9" s="1820"/>
      <c r="B9" s="1822" t="s">
        <v>2262</v>
      </c>
      <c r="C9" s="1823"/>
      <c r="D9" s="1823"/>
      <c r="E9" s="1823"/>
      <c r="F9" s="1823"/>
      <c r="G9" s="1823"/>
      <c r="H9" s="1823"/>
      <c r="I9" s="1824"/>
      <c r="J9" s="1826"/>
    </row>
    <row r="10" spans="1:10">
      <c r="A10" s="1820"/>
      <c r="B10" s="1822" t="s">
        <v>2263</v>
      </c>
      <c r="C10" s="1823" t="s">
        <v>2264</v>
      </c>
      <c r="D10" s="1823"/>
      <c r="E10" s="1823"/>
      <c r="F10" s="1823"/>
      <c r="G10" s="1823"/>
      <c r="H10" s="1823"/>
      <c r="I10" s="1824"/>
      <c r="J10" s="1826"/>
    </row>
    <row r="11" spans="1:10">
      <c r="A11" s="1820"/>
      <c r="B11" s="1822"/>
      <c r="C11" s="1823" t="s">
        <v>2265</v>
      </c>
      <c r="D11" s="1823" t="s">
        <v>2266</v>
      </c>
      <c r="E11" s="1823"/>
      <c r="F11" s="1823"/>
      <c r="G11" s="1823" t="s">
        <v>2267</v>
      </c>
      <c r="H11" s="1823" t="s">
        <v>2268</v>
      </c>
      <c r="I11" s="1824" t="s">
        <v>2269</v>
      </c>
      <c r="J11" s="1826"/>
    </row>
    <row r="12" spans="1:10" ht="45.75" customHeight="1">
      <c r="A12" s="1821"/>
      <c r="B12" s="1822"/>
      <c r="C12" s="1823"/>
      <c r="D12" s="706" t="s">
        <v>2270</v>
      </c>
      <c r="E12" s="706" t="s">
        <v>2271</v>
      </c>
      <c r="F12" s="706" t="s">
        <v>2272</v>
      </c>
      <c r="G12" s="1823"/>
      <c r="H12" s="1823"/>
      <c r="I12" s="1824"/>
      <c r="J12" s="1827"/>
    </row>
    <row r="13" spans="1:10" ht="24">
      <c r="A13" s="707" t="s">
        <v>2273</v>
      </c>
      <c r="B13" s="781">
        <v>382636</v>
      </c>
      <c r="C13" s="781">
        <v>355556</v>
      </c>
      <c r="D13" s="781">
        <v>167188</v>
      </c>
      <c r="E13" s="781">
        <v>109917</v>
      </c>
      <c r="F13" s="781">
        <v>78451</v>
      </c>
      <c r="G13" s="781">
        <v>13201</v>
      </c>
      <c r="H13" s="781">
        <v>634</v>
      </c>
      <c r="I13" s="781">
        <v>13245</v>
      </c>
      <c r="J13" s="709" t="s">
        <v>2274</v>
      </c>
    </row>
    <row r="14" spans="1:10">
      <c r="A14" s="710" t="s">
        <v>2275</v>
      </c>
      <c r="B14" s="782">
        <v>362238</v>
      </c>
      <c r="C14" s="782">
        <v>325894</v>
      </c>
      <c r="D14" s="782">
        <v>145573</v>
      </c>
      <c r="E14" s="782">
        <v>110723</v>
      </c>
      <c r="F14" s="782">
        <v>69598</v>
      </c>
      <c r="G14" s="782">
        <v>15531</v>
      </c>
      <c r="H14" s="782">
        <v>662</v>
      </c>
      <c r="I14" s="782">
        <v>20151</v>
      </c>
      <c r="J14" s="712" t="s">
        <v>2276</v>
      </c>
    </row>
    <row r="15" spans="1:10">
      <c r="A15" s="710" t="s">
        <v>2277</v>
      </c>
      <c r="B15" s="782">
        <v>398001</v>
      </c>
      <c r="C15" s="782">
        <v>363751</v>
      </c>
      <c r="D15" s="782">
        <v>169279</v>
      </c>
      <c r="E15" s="782">
        <v>116633</v>
      </c>
      <c r="F15" s="782">
        <v>77839</v>
      </c>
      <c r="G15" s="782">
        <v>16309</v>
      </c>
      <c r="H15" s="782">
        <v>442</v>
      </c>
      <c r="I15" s="782">
        <v>17499</v>
      </c>
      <c r="J15" s="712" t="s">
        <v>2278</v>
      </c>
    </row>
    <row r="16" spans="1:10">
      <c r="A16" s="710" t="s">
        <v>1937</v>
      </c>
      <c r="B16" s="782">
        <v>419374</v>
      </c>
      <c r="C16" s="782">
        <v>392668</v>
      </c>
      <c r="D16" s="782">
        <v>189534</v>
      </c>
      <c r="E16" s="782">
        <v>132473</v>
      </c>
      <c r="F16" s="782">
        <v>70661</v>
      </c>
      <c r="G16" s="782">
        <v>7988</v>
      </c>
      <c r="H16" s="782">
        <v>894</v>
      </c>
      <c r="I16" s="782">
        <v>17824</v>
      </c>
      <c r="J16" s="712" t="s">
        <v>2279</v>
      </c>
    </row>
    <row r="17" spans="1:10">
      <c r="A17" s="710" t="s">
        <v>2280</v>
      </c>
      <c r="B17" s="782">
        <v>370376</v>
      </c>
      <c r="C17" s="782">
        <v>339947</v>
      </c>
      <c r="D17" s="782">
        <v>174982</v>
      </c>
      <c r="E17" s="782">
        <v>101035</v>
      </c>
      <c r="F17" s="782">
        <v>63930</v>
      </c>
      <c r="G17" s="782">
        <v>18027</v>
      </c>
      <c r="H17" s="782">
        <v>418</v>
      </c>
      <c r="I17" s="782">
        <v>11984</v>
      </c>
      <c r="J17" s="712" t="s">
        <v>2281</v>
      </c>
    </row>
    <row r="18" spans="1:10">
      <c r="A18" s="710" t="s">
        <v>2282</v>
      </c>
      <c r="B18" s="782">
        <v>327209</v>
      </c>
      <c r="C18" s="782">
        <v>303123</v>
      </c>
      <c r="D18" s="782">
        <v>143907</v>
      </c>
      <c r="E18" s="782">
        <v>91069</v>
      </c>
      <c r="F18" s="782">
        <v>68147</v>
      </c>
      <c r="G18" s="782">
        <v>8939</v>
      </c>
      <c r="H18" s="782">
        <v>326</v>
      </c>
      <c r="I18" s="782">
        <v>14821</v>
      </c>
      <c r="J18" s="712" t="s">
        <v>2283</v>
      </c>
    </row>
    <row r="19" spans="1:10">
      <c r="A19" s="710" t="s">
        <v>1207</v>
      </c>
      <c r="B19" s="782">
        <v>277319</v>
      </c>
      <c r="C19" s="782">
        <v>267914</v>
      </c>
      <c r="D19" s="782">
        <v>137017</v>
      </c>
      <c r="E19" s="782">
        <v>79463</v>
      </c>
      <c r="F19" s="782">
        <v>51434</v>
      </c>
      <c r="G19" s="782">
        <v>4957</v>
      </c>
      <c r="H19" s="782">
        <v>239</v>
      </c>
      <c r="I19" s="782">
        <v>4209</v>
      </c>
      <c r="J19" s="712" t="s">
        <v>2284</v>
      </c>
    </row>
    <row r="20" spans="1:10">
      <c r="A20" s="710" t="s">
        <v>2285</v>
      </c>
      <c r="B20" s="782">
        <v>478444</v>
      </c>
      <c r="C20" s="782">
        <v>412633</v>
      </c>
      <c r="D20" s="782">
        <v>181629</v>
      </c>
      <c r="E20" s="782">
        <v>129077</v>
      </c>
      <c r="F20" s="782">
        <v>101927</v>
      </c>
      <c r="G20" s="782">
        <v>26693</v>
      </c>
      <c r="H20" s="782">
        <v>1105</v>
      </c>
      <c r="I20" s="782">
        <v>38013</v>
      </c>
      <c r="J20" s="712" t="s">
        <v>2286</v>
      </c>
    </row>
    <row r="21" spans="1:10">
      <c r="A21" s="710" t="s">
        <v>2287</v>
      </c>
      <c r="B21" s="782">
        <v>346163</v>
      </c>
      <c r="C21" s="782">
        <v>313773</v>
      </c>
      <c r="D21" s="782">
        <v>135317</v>
      </c>
      <c r="E21" s="782">
        <v>103256</v>
      </c>
      <c r="F21" s="782">
        <v>75200</v>
      </c>
      <c r="G21" s="782">
        <v>17426</v>
      </c>
      <c r="H21" s="782">
        <v>837</v>
      </c>
      <c r="I21" s="782">
        <v>14127</v>
      </c>
      <c r="J21" s="712" t="s">
        <v>2288</v>
      </c>
    </row>
    <row r="22" spans="1:10">
      <c r="A22" s="710" t="s">
        <v>2289</v>
      </c>
      <c r="B22" s="782">
        <v>359311</v>
      </c>
      <c r="C22" s="782">
        <v>332389</v>
      </c>
      <c r="D22" s="782">
        <v>176079</v>
      </c>
      <c r="E22" s="782">
        <v>105978</v>
      </c>
      <c r="F22" s="782">
        <v>50332</v>
      </c>
      <c r="G22" s="782">
        <v>16740</v>
      </c>
      <c r="H22" s="782">
        <v>229</v>
      </c>
      <c r="I22" s="782">
        <v>9953</v>
      </c>
      <c r="J22" s="712" t="s">
        <v>2290</v>
      </c>
    </row>
    <row r="23" spans="1:10">
      <c r="A23" s="710" t="s">
        <v>2291</v>
      </c>
      <c r="B23" s="782">
        <v>357174</v>
      </c>
      <c r="C23" s="782">
        <v>345633</v>
      </c>
      <c r="D23" s="782">
        <v>137750</v>
      </c>
      <c r="E23" s="782">
        <v>120760</v>
      </c>
      <c r="F23" s="782">
        <v>87123</v>
      </c>
      <c r="G23" s="782">
        <v>4147</v>
      </c>
      <c r="H23" s="782">
        <v>358</v>
      </c>
      <c r="I23" s="782">
        <v>7036</v>
      </c>
      <c r="J23" s="712" t="s">
        <v>2292</v>
      </c>
    </row>
    <row r="24" spans="1:10">
      <c r="A24" s="710" t="s">
        <v>2293</v>
      </c>
      <c r="B24" s="782">
        <v>245750</v>
      </c>
      <c r="C24" s="782">
        <v>236229</v>
      </c>
      <c r="D24" s="782">
        <v>115726</v>
      </c>
      <c r="E24" s="782">
        <v>78723</v>
      </c>
      <c r="F24" s="782">
        <v>41780</v>
      </c>
      <c r="G24" s="782">
        <v>8673</v>
      </c>
      <c r="H24" s="782">
        <v>318</v>
      </c>
      <c r="I24" s="782">
        <v>530</v>
      </c>
      <c r="J24" s="713" t="s">
        <v>2294</v>
      </c>
    </row>
    <row r="25" spans="1:10">
      <c r="A25" s="710" t="s">
        <v>1209</v>
      </c>
      <c r="B25" s="782">
        <v>374792</v>
      </c>
      <c r="C25" s="782">
        <v>353055</v>
      </c>
      <c r="D25" s="782">
        <v>184117</v>
      </c>
      <c r="E25" s="782">
        <v>101220</v>
      </c>
      <c r="F25" s="782">
        <v>67718</v>
      </c>
      <c r="G25" s="782">
        <v>8693</v>
      </c>
      <c r="H25" s="782">
        <v>538</v>
      </c>
      <c r="I25" s="782">
        <v>12506</v>
      </c>
      <c r="J25" s="713" t="s">
        <v>2295</v>
      </c>
    </row>
    <row r="26" spans="1:10">
      <c r="A26" s="710" t="s">
        <v>2296</v>
      </c>
      <c r="B26" s="782">
        <v>358528</v>
      </c>
      <c r="C26" s="782">
        <v>318018</v>
      </c>
      <c r="D26" s="782">
        <v>131284</v>
      </c>
      <c r="E26" s="782">
        <v>118776</v>
      </c>
      <c r="F26" s="782">
        <v>67958</v>
      </c>
      <c r="G26" s="782">
        <v>20841</v>
      </c>
      <c r="H26" s="782">
        <v>923</v>
      </c>
      <c r="I26" s="782">
        <v>18746</v>
      </c>
      <c r="J26" s="713" t="s">
        <v>2297</v>
      </c>
    </row>
    <row r="27" spans="1:10">
      <c r="A27" s="710" t="s">
        <v>2298</v>
      </c>
      <c r="B27" s="782">
        <v>388787</v>
      </c>
      <c r="C27" s="782">
        <v>354691</v>
      </c>
      <c r="D27" s="782">
        <v>175494</v>
      </c>
      <c r="E27" s="782">
        <v>104572</v>
      </c>
      <c r="F27" s="782">
        <v>74625</v>
      </c>
      <c r="G27" s="782">
        <v>15217</v>
      </c>
      <c r="H27" s="782">
        <v>819</v>
      </c>
      <c r="I27" s="782">
        <v>18060</v>
      </c>
      <c r="J27" s="713" t="s">
        <v>2299</v>
      </c>
    </row>
    <row r="28" spans="1:10">
      <c r="A28" s="710" t="s">
        <v>2300</v>
      </c>
      <c r="B28" s="782">
        <v>492127</v>
      </c>
      <c r="C28" s="782">
        <v>458249</v>
      </c>
      <c r="D28" s="782">
        <v>193022</v>
      </c>
      <c r="E28" s="782">
        <v>130212</v>
      </c>
      <c r="F28" s="782">
        <v>135015</v>
      </c>
      <c r="G28" s="782">
        <v>20043</v>
      </c>
      <c r="H28" s="782">
        <v>909</v>
      </c>
      <c r="I28" s="782">
        <v>12926</v>
      </c>
      <c r="J28" s="713" t="s">
        <v>1213</v>
      </c>
    </row>
    <row r="29" spans="1:10">
      <c r="A29" s="714" t="s">
        <v>2301</v>
      </c>
      <c r="B29" s="783">
        <v>592504</v>
      </c>
      <c r="C29" s="783">
        <v>574395</v>
      </c>
      <c r="D29" s="783">
        <v>266320</v>
      </c>
      <c r="E29" s="783">
        <v>145296</v>
      </c>
      <c r="F29" s="783">
        <v>162779</v>
      </c>
      <c r="G29" s="783">
        <v>12027</v>
      </c>
      <c r="H29" s="783">
        <v>801</v>
      </c>
      <c r="I29" s="783">
        <v>5281</v>
      </c>
      <c r="J29" s="716" t="s">
        <v>1212</v>
      </c>
    </row>
    <row r="30" spans="1:10">
      <c r="G30" s="699" t="s">
        <v>846</v>
      </c>
    </row>
  </sheetData>
  <mergeCells count="20">
    <mergeCell ref="D11:F11"/>
    <mergeCell ref="G11:G12"/>
    <mergeCell ref="H11:H12"/>
    <mergeCell ref="I11:I12"/>
    <mergeCell ref="A1:J1"/>
    <mergeCell ref="A2:J2"/>
    <mergeCell ref="A5:A12"/>
    <mergeCell ref="B5:I5"/>
    <mergeCell ref="J5:J12"/>
    <mergeCell ref="B6:B8"/>
    <mergeCell ref="C6:I6"/>
    <mergeCell ref="C7:C8"/>
    <mergeCell ref="D7:F7"/>
    <mergeCell ref="G7:G8"/>
    <mergeCell ref="H7:H8"/>
    <mergeCell ref="I7:I8"/>
    <mergeCell ref="B9:I9"/>
    <mergeCell ref="B10:B12"/>
    <mergeCell ref="C10:I10"/>
    <mergeCell ref="C11:C12"/>
  </mergeCells>
  <pageMargins left="0.78740157480314965" right="0.59055118110236227" top="0.59055118110236227" bottom="0.59055118110236227" header="0.51181102362204722" footer="0.51181102362204722"/>
  <pageSetup paperSize="9" orientation="landscape" r:id="rId1"/>
  <headerFooter alignWithMargins="0">
    <oddFooter>&amp;R8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E20"/>
  <sheetViews>
    <sheetView zoomScale="85" zoomScaleNormal="85" workbookViewId="0">
      <selection activeCell="E16" sqref="E16"/>
    </sheetView>
  </sheetViews>
  <sheetFormatPr defaultRowHeight="29.25" customHeight="1"/>
  <cols>
    <col min="1" max="1" width="38.7109375" style="718" customWidth="1"/>
    <col min="2" max="2" width="17.7109375" style="718" customWidth="1"/>
    <col min="3" max="3" width="18.7109375" style="718" customWidth="1"/>
    <col min="4" max="4" width="20.140625" style="718" customWidth="1"/>
    <col min="5" max="5" width="38.5703125" style="718" customWidth="1"/>
    <col min="6" max="6" width="9.42578125" style="718" customWidth="1"/>
    <col min="7" max="7" width="10" style="718" customWidth="1"/>
    <col min="8" max="8" width="9.140625" style="718"/>
    <col min="9" max="9" width="10.28515625" style="718" customWidth="1"/>
    <col min="10" max="10" width="27.28515625" style="718" customWidth="1"/>
    <col min="11" max="256" width="9.140625" style="718"/>
    <col min="257" max="257" width="38.7109375" style="718" customWidth="1"/>
    <col min="258" max="258" width="17.7109375" style="718" customWidth="1"/>
    <col min="259" max="259" width="18.7109375" style="718" customWidth="1"/>
    <col min="260" max="260" width="20.140625" style="718" customWidth="1"/>
    <col min="261" max="261" width="38.5703125" style="718" customWidth="1"/>
    <col min="262" max="262" width="9.42578125" style="718" customWidth="1"/>
    <col min="263" max="263" width="10" style="718" customWidth="1"/>
    <col min="264" max="264" width="9.140625" style="718"/>
    <col min="265" max="265" width="10.28515625" style="718" customWidth="1"/>
    <col min="266" max="266" width="27.28515625" style="718" customWidth="1"/>
    <col min="267" max="512" width="9.140625" style="718"/>
    <col min="513" max="513" width="38.7109375" style="718" customWidth="1"/>
    <col min="514" max="514" width="17.7109375" style="718" customWidth="1"/>
    <col min="515" max="515" width="18.7109375" style="718" customWidth="1"/>
    <col min="516" max="516" width="20.140625" style="718" customWidth="1"/>
    <col min="517" max="517" width="38.5703125" style="718" customWidth="1"/>
    <col min="518" max="518" width="9.42578125" style="718" customWidth="1"/>
    <col min="519" max="519" width="10" style="718" customWidth="1"/>
    <col min="520" max="520" width="9.140625" style="718"/>
    <col min="521" max="521" width="10.28515625" style="718" customWidth="1"/>
    <col min="522" max="522" width="27.28515625" style="718" customWidth="1"/>
    <col min="523" max="768" width="9.140625" style="718"/>
    <col min="769" max="769" width="38.7109375" style="718" customWidth="1"/>
    <col min="770" max="770" width="17.7109375" style="718" customWidth="1"/>
    <col min="771" max="771" width="18.7109375" style="718" customWidth="1"/>
    <col min="772" max="772" width="20.140625" style="718" customWidth="1"/>
    <col min="773" max="773" width="38.5703125" style="718" customWidth="1"/>
    <col min="774" max="774" width="9.42578125" style="718" customWidth="1"/>
    <col min="775" max="775" width="10" style="718" customWidth="1"/>
    <col min="776" max="776" width="9.140625" style="718"/>
    <col min="777" max="777" width="10.28515625" style="718" customWidth="1"/>
    <col min="778" max="778" width="27.28515625" style="718" customWidth="1"/>
    <col min="779" max="1024" width="9.140625" style="718"/>
    <col min="1025" max="1025" width="38.7109375" style="718" customWidth="1"/>
    <col min="1026" max="1026" width="17.7109375" style="718" customWidth="1"/>
    <col min="1027" max="1027" width="18.7109375" style="718" customWidth="1"/>
    <col min="1028" max="1028" width="20.140625" style="718" customWidth="1"/>
    <col min="1029" max="1029" width="38.5703125" style="718" customWidth="1"/>
    <col min="1030" max="1030" width="9.42578125" style="718" customWidth="1"/>
    <col min="1031" max="1031" width="10" style="718" customWidth="1"/>
    <col min="1032" max="1032" width="9.140625" style="718"/>
    <col min="1033" max="1033" width="10.28515625" style="718" customWidth="1"/>
    <col min="1034" max="1034" width="27.28515625" style="718" customWidth="1"/>
    <col min="1035" max="1280" width="9.140625" style="718"/>
    <col min="1281" max="1281" width="38.7109375" style="718" customWidth="1"/>
    <col min="1282" max="1282" width="17.7109375" style="718" customWidth="1"/>
    <col min="1283" max="1283" width="18.7109375" style="718" customWidth="1"/>
    <col min="1284" max="1284" width="20.140625" style="718" customWidth="1"/>
    <col min="1285" max="1285" width="38.5703125" style="718" customWidth="1"/>
    <col min="1286" max="1286" width="9.42578125" style="718" customWidth="1"/>
    <col min="1287" max="1287" width="10" style="718" customWidth="1"/>
    <col min="1288" max="1288" width="9.140625" style="718"/>
    <col min="1289" max="1289" width="10.28515625" style="718" customWidth="1"/>
    <col min="1290" max="1290" width="27.28515625" style="718" customWidth="1"/>
    <col min="1291" max="1536" width="9.140625" style="718"/>
    <col min="1537" max="1537" width="38.7109375" style="718" customWidth="1"/>
    <col min="1538" max="1538" width="17.7109375" style="718" customWidth="1"/>
    <col min="1539" max="1539" width="18.7109375" style="718" customWidth="1"/>
    <col min="1540" max="1540" width="20.140625" style="718" customWidth="1"/>
    <col min="1541" max="1541" width="38.5703125" style="718" customWidth="1"/>
    <col min="1542" max="1542" width="9.42578125" style="718" customWidth="1"/>
    <col min="1543" max="1543" width="10" style="718" customWidth="1"/>
    <col min="1544" max="1544" width="9.140625" style="718"/>
    <col min="1545" max="1545" width="10.28515625" style="718" customWidth="1"/>
    <col min="1546" max="1546" width="27.28515625" style="718" customWidth="1"/>
    <col min="1547" max="1792" width="9.140625" style="718"/>
    <col min="1793" max="1793" width="38.7109375" style="718" customWidth="1"/>
    <col min="1794" max="1794" width="17.7109375" style="718" customWidth="1"/>
    <col min="1795" max="1795" width="18.7109375" style="718" customWidth="1"/>
    <col min="1796" max="1796" width="20.140625" style="718" customWidth="1"/>
    <col min="1797" max="1797" width="38.5703125" style="718" customWidth="1"/>
    <col min="1798" max="1798" width="9.42578125" style="718" customWidth="1"/>
    <col min="1799" max="1799" width="10" style="718" customWidth="1"/>
    <col min="1800" max="1800" width="9.140625" style="718"/>
    <col min="1801" max="1801" width="10.28515625" style="718" customWidth="1"/>
    <col min="1802" max="1802" width="27.28515625" style="718" customWidth="1"/>
    <col min="1803" max="2048" width="9.140625" style="718"/>
    <col min="2049" max="2049" width="38.7109375" style="718" customWidth="1"/>
    <col min="2050" max="2050" width="17.7109375" style="718" customWidth="1"/>
    <col min="2051" max="2051" width="18.7109375" style="718" customWidth="1"/>
    <col min="2052" max="2052" width="20.140625" style="718" customWidth="1"/>
    <col min="2053" max="2053" width="38.5703125" style="718" customWidth="1"/>
    <col min="2054" max="2054" width="9.42578125" style="718" customWidth="1"/>
    <col min="2055" max="2055" width="10" style="718" customWidth="1"/>
    <col min="2056" max="2056" width="9.140625" style="718"/>
    <col min="2057" max="2057" width="10.28515625" style="718" customWidth="1"/>
    <col min="2058" max="2058" width="27.28515625" style="718" customWidth="1"/>
    <col min="2059" max="2304" width="9.140625" style="718"/>
    <col min="2305" max="2305" width="38.7109375" style="718" customWidth="1"/>
    <col min="2306" max="2306" width="17.7109375" style="718" customWidth="1"/>
    <col min="2307" max="2307" width="18.7109375" style="718" customWidth="1"/>
    <col min="2308" max="2308" width="20.140625" style="718" customWidth="1"/>
    <col min="2309" max="2309" width="38.5703125" style="718" customWidth="1"/>
    <col min="2310" max="2310" width="9.42578125" style="718" customWidth="1"/>
    <col min="2311" max="2311" width="10" style="718" customWidth="1"/>
    <col min="2312" max="2312" width="9.140625" style="718"/>
    <col min="2313" max="2313" width="10.28515625" style="718" customWidth="1"/>
    <col min="2314" max="2314" width="27.28515625" style="718" customWidth="1"/>
    <col min="2315" max="2560" width="9.140625" style="718"/>
    <col min="2561" max="2561" width="38.7109375" style="718" customWidth="1"/>
    <col min="2562" max="2562" width="17.7109375" style="718" customWidth="1"/>
    <col min="2563" max="2563" width="18.7109375" style="718" customWidth="1"/>
    <col min="2564" max="2564" width="20.140625" style="718" customWidth="1"/>
    <col min="2565" max="2565" width="38.5703125" style="718" customWidth="1"/>
    <col min="2566" max="2566" width="9.42578125" style="718" customWidth="1"/>
    <col min="2567" max="2567" width="10" style="718" customWidth="1"/>
    <col min="2568" max="2568" width="9.140625" style="718"/>
    <col min="2569" max="2569" width="10.28515625" style="718" customWidth="1"/>
    <col min="2570" max="2570" width="27.28515625" style="718" customWidth="1"/>
    <col min="2571" max="2816" width="9.140625" style="718"/>
    <col min="2817" max="2817" width="38.7109375" style="718" customWidth="1"/>
    <col min="2818" max="2818" width="17.7109375" style="718" customWidth="1"/>
    <col min="2819" max="2819" width="18.7109375" style="718" customWidth="1"/>
    <col min="2820" max="2820" width="20.140625" style="718" customWidth="1"/>
    <col min="2821" max="2821" width="38.5703125" style="718" customWidth="1"/>
    <col min="2822" max="2822" width="9.42578125" style="718" customWidth="1"/>
    <col min="2823" max="2823" width="10" style="718" customWidth="1"/>
    <col min="2824" max="2824" width="9.140625" style="718"/>
    <col min="2825" max="2825" width="10.28515625" style="718" customWidth="1"/>
    <col min="2826" max="2826" width="27.28515625" style="718" customWidth="1"/>
    <col min="2827" max="3072" width="9.140625" style="718"/>
    <col min="3073" max="3073" width="38.7109375" style="718" customWidth="1"/>
    <col min="3074" max="3074" width="17.7109375" style="718" customWidth="1"/>
    <col min="3075" max="3075" width="18.7109375" style="718" customWidth="1"/>
    <col min="3076" max="3076" width="20.140625" style="718" customWidth="1"/>
    <col min="3077" max="3077" width="38.5703125" style="718" customWidth="1"/>
    <col min="3078" max="3078" width="9.42578125" style="718" customWidth="1"/>
    <col min="3079" max="3079" width="10" style="718" customWidth="1"/>
    <col min="3080" max="3080" width="9.140625" style="718"/>
    <col min="3081" max="3081" width="10.28515625" style="718" customWidth="1"/>
    <col min="3082" max="3082" width="27.28515625" style="718" customWidth="1"/>
    <col min="3083" max="3328" width="9.140625" style="718"/>
    <col min="3329" max="3329" width="38.7109375" style="718" customWidth="1"/>
    <col min="3330" max="3330" width="17.7109375" style="718" customWidth="1"/>
    <col min="3331" max="3331" width="18.7109375" style="718" customWidth="1"/>
    <col min="3332" max="3332" width="20.140625" style="718" customWidth="1"/>
    <col min="3333" max="3333" width="38.5703125" style="718" customWidth="1"/>
    <col min="3334" max="3334" width="9.42578125" style="718" customWidth="1"/>
    <col min="3335" max="3335" width="10" style="718" customWidth="1"/>
    <col min="3336" max="3336" width="9.140625" style="718"/>
    <col min="3337" max="3337" width="10.28515625" style="718" customWidth="1"/>
    <col min="3338" max="3338" width="27.28515625" style="718" customWidth="1"/>
    <col min="3339" max="3584" width="9.140625" style="718"/>
    <col min="3585" max="3585" width="38.7109375" style="718" customWidth="1"/>
    <col min="3586" max="3586" width="17.7109375" style="718" customWidth="1"/>
    <col min="3587" max="3587" width="18.7109375" style="718" customWidth="1"/>
    <col min="3588" max="3588" width="20.140625" style="718" customWidth="1"/>
    <col min="3589" max="3589" width="38.5703125" style="718" customWidth="1"/>
    <col min="3590" max="3590" width="9.42578125" style="718" customWidth="1"/>
    <col min="3591" max="3591" width="10" style="718" customWidth="1"/>
    <col min="3592" max="3592" width="9.140625" style="718"/>
    <col min="3593" max="3593" width="10.28515625" style="718" customWidth="1"/>
    <col min="3594" max="3594" width="27.28515625" style="718" customWidth="1"/>
    <col min="3595" max="3840" width="9.140625" style="718"/>
    <col min="3841" max="3841" width="38.7109375" style="718" customWidth="1"/>
    <col min="3842" max="3842" width="17.7109375" style="718" customWidth="1"/>
    <col min="3843" max="3843" width="18.7109375" style="718" customWidth="1"/>
    <col min="3844" max="3844" width="20.140625" style="718" customWidth="1"/>
    <col min="3845" max="3845" width="38.5703125" style="718" customWidth="1"/>
    <col min="3846" max="3846" width="9.42578125" style="718" customWidth="1"/>
    <col min="3847" max="3847" width="10" style="718" customWidth="1"/>
    <col min="3848" max="3848" width="9.140625" style="718"/>
    <col min="3849" max="3849" width="10.28515625" style="718" customWidth="1"/>
    <col min="3850" max="3850" width="27.28515625" style="718" customWidth="1"/>
    <col min="3851" max="4096" width="9.140625" style="718"/>
    <col min="4097" max="4097" width="38.7109375" style="718" customWidth="1"/>
    <col min="4098" max="4098" width="17.7109375" style="718" customWidth="1"/>
    <col min="4099" max="4099" width="18.7109375" style="718" customWidth="1"/>
    <col min="4100" max="4100" width="20.140625" style="718" customWidth="1"/>
    <col min="4101" max="4101" width="38.5703125" style="718" customWidth="1"/>
    <col min="4102" max="4102" width="9.42578125" style="718" customWidth="1"/>
    <col min="4103" max="4103" width="10" style="718" customWidth="1"/>
    <col min="4104" max="4104" width="9.140625" style="718"/>
    <col min="4105" max="4105" width="10.28515625" style="718" customWidth="1"/>
    <col min="4106" max="4106" width="27.28515625" style="718" customWidth="1"/>
    <col min="4107" max="4352" width="9.140625" style="718"/>
    <col min="4353" max="4353" width="38.7109375" style="718" customWidth="1"/>
    <col min="4354" max="4354" width="17.7109375" style="718" customWidth="1"/>
    <col min="4355" max="4355" width="18.7109375" style="718" customWidth="1"/>
    <col min="4356" max="4356" width="20.140625" style="718" customWidth="1"/>
    <col min="4357" max="4357" width="38.5703125" style="718" customWidth="1"/>
    <col min="4358" max="4358" width="9.42578125" style="718" customWidth="1"/>
    <col min="4359" max="4359" width="10" style="718" customWidth="1"/>
    <col min="4360" max="4360" width="9.140625" style="718"/>
    <col min="4361" max="4361" width="10.28515625" style="718" customWidth="1"/>
    <col min="4362" max="4362" width="27.28515625" style="718" customWidth="1"/>
    <col min="4363" max="4608" width="9.140625" style="718"/>
    <col min="4609" max="4609" width="38.7109375" style="718" customWidth="1"/>
    <col min="4610" max="4610" width="17.7109375" style="718" customWidth="1"/>
    <col min="4611" max="4611" width="18.7109375" style="718" customWidth="1"/>
    <col min="4612" max="4612" width="20.140625" style="718" customWidth="1"/>
    <col min="4613" max="4613" width="38.5703125" style="718" customWidth="1"/>
    <col min="4614" max="4614" width="9.42578125" style="718" customWidth="1"/>
    <col min="4615" max="4615" width="10" style="718" customWidth="1"/>
    <col min="4616" max="4616" width="9.140625" style="718"/>
    <col min="4617" max="4617" width="10.28515625" style="718" customWidth="1"/>
    <col min="4618" max="4618" width="27.28515625" style="718" customWidth="1"/>
    <col min="4619" max="4864" width="9.140625" style="718"/>
    <col min="4865" max="4865" width="38.7109375" style="718" customWidth="1"/>
    <col min="4866" max="4866" width="17.7109375" style="718" customWidth="1"/>
    <col min="4867" max="4867" width="18.7109375" style="718" customWidth="1"/>
    <col min="4868" max="4868" width="20.140625" style="718" customWidth="1"/>
    <col min="4869" max="4869" width="38.5703125" style="718" customWidth="1"/>
    <col min="4870" max="4870" width="9.42578125" style="718" customWidth="1"/>
    <col min="4871" max="4871" width="10" style="718" customWidth="1"/>
    <col min="4872" max="4872" width="9.140625" style="718"/>
    <col min="4873" max="4873" width="10.28515625" style="718" customWidth="1"/>
    <col min="4874" max="4874" width="27.28515625" style="718" customWidth="1"/>
    <col min="4875" max="5120" width="9.140625" style="718"/>
    <col min="5121" max="5121" width="38.7109375" style="718" customWidth="1"/>
    <col min="5122" max="5122" width="17.7109375" style="718" customWidth="1"/>
    <col min="5123" max="5123" width="18.7109375" style="718" customWidth="1"/>
    <col min="5124" max="5124" width="20.140625" style="718" customWidth="1"/>
    <col min="5125" max="5125" width="38.5703125" style="718" customWidth="1"/>
    <col min="5126" max="5126" width="9.42578125" style="718" customWidth="1"/>
    <col min="5127" max="5127" width="10" style="718" customWidth="1"/>
    <col min="5128" max="5128" width="9.140625" style="718"/>
    <col min="5129" max="5129" width="10.28515625" style="718" customWidth="1"/>
    <col min="5130" max="5130" width="27.28515625" style="718" customWidth="1"/>
    <col min="5131" max="5376" width="9.140625" style="718"/>
    <col min="5377" max="5377" width="38.7109375" style="718" customWidth="1"/>
    <col min="5378" max="5378" width="17.7109375" style="718" customWidth="1"/>
    <col min="5379" max="5379" width="18.7109375" style="718" customWidth="1"/>
    <col min="5380" max="5380" width="20.140625" style="718" customWidth="1"/>
    <col min="5381" max="5381" width="38.5703125" style="718" customWidth="1"/>
    <col min="5382" max="5382" width="9.42578125" style="718" customWidth="1"/>
    <col min="5383" max="5383" width="10" style="718" customWidth="1"/>
    <col min="5384" max="5384" width="9.140625" style="718"/>
    <col min="5385" max="5385" width="10.28515625" style="718" customWidth="1"/>
    <col min="5386" max="5386" width="27.28515625" style="718" customWidth="1"/>
    <col min="5387" max="5632" width="9.140625" style="718"/>
    <col min="5633" max="5633" width="38.7109375" style="718" customWidth="1"/>
    <col min="5634" max="5634" width="17.7109375" style="718" customWidth="1"/>
    <col min="5635" max="5635" width="18.7109375" style="718" customWidth="1"/>
    <col min="5636" max="5636" width="20.140625" style="718" customWidth="1"/>
    <col min="5637" max="5637" width="38.5703125" style="718" customWidth="1"/>
    <col min="5638" max="5638" width="9.42578125" style="718" customWidth="1"/>
    <col min="5639" max="5639" width="10" style="718" customWidth="1"/>
    <col min="5640" max="5640" width="9.140625" style="718"/>
    <col min="5641" max="5641" width="10.28515625" style="718" customWidth="1"/>
    <col min="5642" max="5642" width="27.28515625" style="718" customWidth="1"/>
    <col min="5643" max="5888" width="9.140625" style="718"/>
    <col min="5889" max="5889" width="38.7109375" style="718" customWidth="1"/>
    <col min="5890" max="5890" width="17.7109375" style="718" customWidth="1"/>
    <col min="5891" max="5891" width="18.7109375" style="718" customWidth="1"/>
    <col min="5892" max="5892" width="20.140625" style="718" customWidth="1"/>
    <col min="5893" max="5893" width="38.5703125" style="718" customWidth="1"/>
    <col min="5894" max="5894" width="9.42578125" style="718" customWidth="1"/>
    <col min="5895" max="5895" width="10" style="718" customWidth="1"/>
    <col min="5896" max="5896" width="9.140625" style="718"/>
    <col min="5897" max="5897" width="10.28515625" style="718" customWidth="1"/>
    <col min="5898" max="5898" width="27.28515625" style="718" customWidth="1"/>
    <col min="5899" max="6144" width="9.140625" style="718"/>
    <col min="6145" max="6145" width="38.7109375" style="718" customWidth="1"/>
    <col min="6146" max="6146" width="17.7109375" style="718" customWidth="1"/>
    <col min="6147" max="6147" width="18.7109375" style="718" customWidth="1"/>
    <col min="6148" max="6148" width="20.140625" style="718" customWidth="1"/>
    <col min="6149" max="6149" width="38.5703125" style="718" customWidth="1"/>
    <col min="6150" max="6150" width="9.42578125" style="718" customWidth="1"/>
    <col min="6151" max="6151" width="10" style="718" customWidth="1"/>
    <col min="6152" max="6152" width="9.140625" style="718"/>
    <col min="6153" max="6153" width="10.28515625" style="718" customWidth="1"/>
    <col min="6154" max="6154" width="27.28515625" style="718" customWidth="1"/>
    <col min="6155" max="6400" width="9.140625" style="718"/>
    <col min="6401" max="6401" width="38.7109375" style="718" customWidth="1"/>
    <col min="6402" max="6402" width="17.7109375" style="718" customWidth="1"/>
    <col min="6403" max="6403" width="18.7109375" style="718" customWidth="1"/>
    <col min="6404" max="6404" width="20.140625" style="718" customWidth="1"/>
    <col min="6405" max="6405" width="38.5703125" style="718" customWidth="1"/>
    <col min="6406" max="6406" width="9.42578125" style="718" customWidth="1"/>
    <col min="6407" max="6407" width="10" style="718" customWidth="1"/>
    <col min="6408" max="6408" width="9.140625" style="718"/>
    <col min="6409" max="6409" width="10.28515625" style="718" customWidth="1"/>
    <col min="6410" max="6410" width="27.28515625" style="718" customWidth="1"/>
    <col min="6411" max="6656" width="9.140625" style="718"/>
    <col min="6657" max="6657" width="38.7109375" style="718" customWidth="1"/>
    <col min="6658" max="6658" width="17.7109375" style="718" customWidth="1"/>
    <col min="6659" max="6659" width="18.7109375" style="718" customWidth="1"/>
    <col min="6660" max="6660" width="20.140625" style="718" customWidth="1"/>
    <col min="6661" max="6661" width="38.5703125" style="718" customWidth="1"/>
    <col min="6662" max="6662" width="9.42578125" style="718" customWidth="1"/>
    <col min="6663" max="6663" width="10" style="718" customWidth="1"/>
    <col min="6664" max="6664" width="9.140625" style="718"/>
    <col min="6665" max="6665" width="10.28515625" style="718" customWidth="1"/>
    <col min="6666" max="6666" width="27.28515625" style="718" customWidth="1"/>
    <col min="6667" max="6912" width="9.140625" style="718"/>
    <col min="6913" max="6913" width="38.7109375" style="718" customWidth="1"/>
    <col min="6914" max="6914" width="17.7109375" style="718" customWidth="1"/>
    <col min="6915" max="6915" width="18.7109375" style="718" customWidth="1"/>
    <col min="6916" max="6916" width="20.140625" style="718" customWidth="1"/>
    <col min="6917" max="6917" width="38.5703125" style="718" customWidth="1"/>
    <col min="6918" max="6918" width="9.42578125" style="718" customWidth="1"/>
    <col min="6919" max="6919" width="10" style="718" customWidth="1"/>
    <col min="6920" max="6920" width="9.140625" style="718"/>
    <col min="6921" max="6921" width="10.28515625" style="718" customWidth="1"/>
    <col min="6922" max="6922" width="27.28515625" style="718" customWidth="1"/>
    <col min="6923" max="7168" width="9.140625" style="718"/>
    <col min="7169" max="7169" width="38.7109375" style="718" customWidth="1"/>
    <col min="7170" max="7170" width="17.7109375" style="718" customWidth="1"/>
    <col min="7171" max="7171" width="18.7109375" style="718" customWidth="1"/>
    <col min="7172" max="7172" width="20.140625" style="718" customWidth="1"/>
    <col min="7173" max="7173" width="38.5703125" style="718" customWidth="1"/>
    <col min="7174" max="7174" width="9.42578125" style="718" customWidth="1"/>
    <col min="7175" max="7175" width="10" style="718" customWidth="1"/>
    <col min="7176" max="7176" width="9.140625" style="718"/>
    <col min="7177" max="7177" width="10.28515625" style="718" customWidth="1"/>
    <col min="7178" max="7178" width="27.28515625" style="718" customWidth="1"/>
    <col min="7179" max="7424" width="9.140625" style="718"/>
    <col min="7425" max="7425" width="38.7109375" style="718" customWidth="1"/>
    <col min="7426" max="7426" width="17.7109375" style="718" customWidth="1"/>
    <col min="7427" max="7427" width="18.7109375" style="718" customWidth="1"/>
    <col min="7428" max="7428" width="20.140625" style="718" customWidth="1"/>
    <col min="7429" max="7429" width="38.5703125" style="718" customWidth="1"/>
    <col min="7430" max="7430" width="9.42578125" style="718" customWidth="1"/>
    <col min="7431" max="7431" width="10" style="718" customWidth="1"/>
    <col min="7432" max="7432" width="9.140625" style="718"/>
    <col min="7433" max="7433" width="10.28515625" style="718" customWidth="1"/>
    <col min="7434" max="7434" width="27.28515625" style="718" customWidth="1"/>
    <col min="7435" max="7680" width="9.140625" style="718"/>
    <col min="7681" max="7681" width="38.7109375" style="718" customWidth="1"/>
    <col min="7682" max="7682" width="17.7109375" style="718" customWidth="1"/>
    <col min="7683" max="7683" width="18.7109375" style="718" customWidth="1"/>
    <col min="7684" max="7684" width="20.140625" style="718" customWidth="1"/>
    <col min="7685" max="7685" width="38.5703125" style="718" customWidth="1"/>
    <col min="7686" max="7686" width="9.42578125" style="718" customWidth="1"/>
    <col min="7687" max="7687" width="10" style="718" customWidth="1"/>
    <col min="7688" max="7688" width="9.140625" style="718"/>
    <col min="7689" max="7689" width="10.28515625" style="718" customWidth="1"/>
    <col min="7690" max="7690" width="27.28515625" style="718" customWidth="1"/>
    <col min="7691" max="7936" width="9.140625" style="718"/>
    <col min="7937" max="7937" width="38.7109375" style="718" customWidth="1"/>
    <col min="7938" max="7938" width="17.7109375" style="718" customWidth="1"/>
    <col min="7939" max="7939" width="18.7109375" style="718" customWidth="1"/>
    <col min="7940" max="7940" width="20.140625" style="718" customWidth="1"/>
    <col min="7941" max="7941" width="38.5703125" style="718" customWidth="1"/>
    <col min="7942" max="7942" width="9.42578125" style="718" customWidth="1"/>
    <col min="7943" max="7943" width="10" style="718" customWidth="1"/>
    <col min="7944" max="7944" width="9.140625" style="718"/>
    <col min="7945" max="7945" width="10.28515625" style="718" customWidth="1"/>
    <col min="7946" max="7946" width="27.28515625" style="718" customWidth="1"/>
    <col min="7947" max="8192" width="9.140625" style="718"/>
    <col min="8193" max="8193" width="38.7109375" style="718" customWidth="1"/>
    <col min="8194" max="8194" width="17.7109375" style="718" customWidth="1"/>
    <col min="8195" max="8195" width="18.7109375" style="718" customWidth="1"/>
    <col min="8196" max="8196" width="20.140625" style="718" customWidth="1"/>
    <col min="8197" max="8197" width="38.5703125" style="718" customWidth="1"/>
    <col min="8198" max="8198" width="9.42578125" style="718" customWidth="1"/>
    <col min="8199" max="8199" width="10" style="718" customWidth="1"/>
    <col min="8200" max="8200" width="9.140625" style="718"/>
    <col min="8201" max="8201" width="10.28515625" style="718" customWidth="1"/>
    <col min="8202" max="8202" width="27.28515625" style="718" customWidth="1"/>
    <col min="8203" max="8448" width="9.140625" style="718"/>
    <col min="8449" max="8449" width="38.7109375" style="718" customWidth="1"/>
    <col min="8450" max="8450" width="17.7109375" style="718" customWidth="1"/>
    <col min="8451" max="8451" width="18.7109375" style="718" customWidth="1"/>
    <col min="8452" max="8452" width="20.140625" style="718" customWidth="1"/>
    <col min="8453" max="8453" width="38.5703125" style="718" customWidth="1"/>
    <col min="8454" max="8454" width="9.42578125" style="718" customWidth="1"/>
    <col min="8455" max="8455" width="10" style="718" customWidth="1"/>
    <col min="8456" max="8456" width="9.140625" style="718"/>
    <col min="8457" max="8457" width="10.28515625" style="718" customWidth="1"/>
    <col min="8458" max="8458" width="27.28515625" style="718" customWidth="1"/>
    <col min="8459" max="8704" width="9.140625" style="718"/>
    <col min="8705" max="8705" width="38.7109375" style="718" customWidth="1"/>
    <col min="8706" max="8706" width="17.7109375" style="718" customWidth="1"/>
    <col min="8707" max="8707" width="18.7109375" style="718" customWidth="1"/>
    <col min="8708" max="8708" width="20.140625" style="718" customWidth="1"/>
    <col min="8709" max="8709" width="38.5703125" style="718" customWidth="1"/>
    <col min="8710" max="8710" width="9.42578125" style="718" customWidth="1"/>
    <col min="8711" max="8711" width="10" style="718" customWidth="1"/>
    <col min="8712" max="8712" width="9.140625" style="718"/>
    <col min="8713" max="8713" width="10.28515625" style="718" customWidth="1"/>
    <col min="8714" max="8714" width="27.28515625" style="718" customWidth="1"/>
    <col min="8715" max="8960" width="9.140625" style="718"/>
    <col min="8961" max="8961" width="38.7109375" style="718" customWidth="1"/>
    <col min="8962" max="8962" width="17.7109375" style="718" customWidth="1"/>
    <col min="8963" max="8963" width="18.7109375" style="718" customWidth="1"/>
    <col min="8964" max="8964" width="20.140625" style="718" customWidth="1"/>
    <col min="8965" max="8965" width="38.5703125" style="718" customWidth="1"/>
    <col min="8966" max="8966" width="9.42578125" style="718" customWidth="1"/>
    <col min="8967" max="8967" width="10" style="718" customWidth="1"/>
    <col min="8968" max="8968" width="9.140625" style="718"/>
    <col min="8969" max="8969" width="10.28515625" style="718" customWidth="1"/>
    <col min="8970" max="8970" width="27.28515625" style="718" customWidth="1"/>
    <col min="8971" max="9216" width="9.140625" style="718"/>
    <col min="9217" max="9217" width="38.7109375" style="718" customWidth="1"/>
    <col min="9218" max="9218" width="17.7109375" style="718" customWidth="1"/>
    <col min="9219" max="9219" width="18.7109375" style="718" customWidth="1"/>
    <col min="9220" max="9220" width="20.140625" style="718" customWidth="1"/>
    <col min="9221" max="9221" width="38.5703125" style="718" customWidth="1"/>
    <col min="9222" max="9222" width="9.42578125" style="718" customWidth="1"/>
    <col min="9223" max="9223" width="10" style="718" customWidth="1"/>
    <col min="9224" max="9224" width="9.140625" style="718"/>
    <col min="9225" max="9225" width="10.28515625" style="718" customWidth="1"/>
    <col min="9226" max="9226" width="27.28515625" style="718" customWidth="1"/>
    <col min="9227" max="9472" width="9.140625" style="718"/>
    <col min="9473" max="9473" width="38.7109375" style="718" customWidth="1"/>
    <col min="9474" max="9474" width="17.7109375" style="718" customWidth="1"/>
    <col min="9475" max="9475" width="18.7109375" style="718" customWidth="1"/>
    <col min="9476" max="9476" width="20.140625" style="718" customWidth="1"/>
    <col min="9477" max="9477" width="38.5703125" style="718" customWidth="1"/>
    <col min="9478" max="9478" width="9.42578125" style="718" customWidth="1"/>
    <col min="9479" max="9479" width="10" style="718" customWidth="1"/>
    <col min="9480" max="9480" width="9.140625" style="718"/>
    <col min="9481" max="9481" width="10.28515625" style="718" customWidth="1"/>
    <col min="9482" max="9482" width="27.28515625" style="718" customWidth="1"/>
    <col min="9483" max="9728" width="9.140625" style="718"/>
    <col min="9729" max="9729" width="38.7109375" style="718" customWidth="1"/>
    <col min="9730" max="9730" width="17.7109375" style="718" customWidth="1"/>
    <col min="9731" max="9731" width="18.7109375" style="718" customWidth="1"/>
    <col min="9732" max="9732" width="20.140625" style="718" customWidth="1"/>
    <col min="9733" max="9733" width="38.5703125" style="718" customWidth="1"/>
    <col min="9734" max="9734" width="9.42578125" style="718" customWidth="1"/>
    <col min="9735" max="9735" width="10" style="718" customWidth="1"/>
    <col min="9736" max="9736" width="9.140625" style="718"/>
    <col min="9737" max="9737" width="10.28515625" style="718" customWidth="1"/>
    <col min="9738" max="9738" width="27.28515625" style="718" customWidth="1"/>
    <col min="9739" max="9984" width="9.140625" style="718"/>
    <col min="9985" max="9985" width="38.7109375" style="718" customWidth="1"/>
    <col min="9986" max="9986" width="17.7109375" style="718" customWidth="1"/>
    <col min="9987" max="9987" width="18.7109375" style="718" customWidth="1"/>
    <col min="9988" max="9988" width="20.140625" style="718" customWidth="1"/>
    <col min="9989" max="9989" width="38.5703125" style="718" customWidth="1"/>
    <col min="9990" max="9990" width="9.42578125" style="718" customWidth="1"/>
    <col min="9991" max="9991" width="10" style="718" customWidth="1"/>
    <col min="9992" max="9992" width="9.140625" style="718"/>
    <col min="9993" max="9993" width="10.28515625" style="718" customWidth="1"/>
    <col min="9994" max="9994" width="27.28515625" style="718" customWidth="1"/>
    <col min="9995" max="10240" width="9.140625" style="718"/>
    <col min="10241" max="10241" width="38.7109375" style="718" customWidth="1"/>
    <col min="10242" max="10242" width="17.7109375" style="718" customWidth="1"/>
    <col min="10243" max="10243" width="18.7109375" style="718" customWidth="1"/>
    <col min="10244" max="10244" width="20.140625" style="718" customWidth="1"/>
    <col min="10245" max="10245" width="38.5703125" style="718" customWidth="1"/>
    <col min="10246" max="10246" width="9.42578125" style="718" customWidth="1"/>
    <col min="10247" max="10247" width="10" style="718" customWidth="1"/>
    <col min="10248" max="10248" width="9.140625" style="718"/>
    <col min="10249" max="10249" width="10.28515625" style="718" customWidth="1"/>
    <col min="10250" max="10250" width="27.28515625" style="718" customWidth="1"/>
    <col min="10251" max="10496" width="9.140625" style="718"/>
    <col min="10497" max="10497" width="38.7109375" style="718" customWidth="1"/>
    <col min="10498" max="10498" width="17.7109375" style="718" customWidth="1"/>
    <col min="10499" max="10499" width="18.7109375" style="718" customWidth="1"/>
    <col min="10500" max="10500" width="20.140625" style="718" customWidth="1"/>
    <col min="10501" max="10501" width="38.5703125" style="718" customWidth="1"/>
    <col min="10502" max="10502" width="9.42578125" style="718" customWidth="1"/>
    <col min="10503" max="10503" width="10" style="718" customWidth="1"/>
    <col min="10504" max="10504" width="9.140625" style="718"/>
    <col min="10505" max="10505" width="10.28515625" style="718" customWidth="1"/>
    <col min="10506" max="10506" width="27.28515625" style="718" customWidth="1"/>
    <col min="10507" max="10752" width="9.140625" style="718"/>
    <col min="10753" max="10753" width="38.7109375" style="718" customWidth="1"/>
    <col min="10754" max="10754" width="17.7109375" style="718" customWidth="1"/>
    <col min="10755" max="10755" width="18.7109375" style="718" customWidth="1"/>
    <col min="10756" max="10756" width="20.140625" style="718" customWidth="1"/>
    <col min="10757" max="10757" width="38.5703125" style="718" customWidth="1"/>
    <col min="10758" max="10758" width="9.42578125" style="718" customWidth="1"/>
    <col min="10759" max="10759" width="10" style="718" customWidth="1"/>
    <col min="10760" max="10760" width="9.140625" style="718"/>
    <col min="10761" max="10761" width="10.28515625" style="718" customWidth="1"/>
    <col min="10762" max="10762" width="27.28515625" style="718" customWidth="1"/>
    <col min="10763" max="11008" width="9.140625" style="718"/>
    <col min="11009" max="11009" width="38.7109375" style="718" customWidth="1"/>
    <col min="11010" max="11010" width="17.7109375" style="718" customWidth="1"/>
    <col min="11011" max="11011" width="18.7109375" style="718" customWidth="1"/>
    <col min="11012" max="11012" width="20.140625" style="718" customWidth="1"/>
    <col min="11013" max="11013" width="38.5703125" style="718" customWidth="1"/>
    <col min="11014" max="11014" width="9.42578125" style="718" customWidth="1"/>
    <col min="11015" max="11015" width="10" style="718" customWidth="1"/>
    <col min="11016" max="11016" width="9.140625" style="718"/>
    <col min="11017" max="11017" width="10.28515625" style="718" customWidth="1"/>
    <col min="11018" max="11018" width="27.28515625" style="718" customWidth="1"/>
    <col min="11019" max="11264" width="9.140625" style="718"/>
    <col min="11265" max="11265" width="38.7109375" style="718" customWidth="1"/>
    <col min="11266" max="11266" width="17.7109375" style="718" customWidth="1"/>
    <col min="11267" max="11267" width="18.7109375" style="718" customWidth="1"/>
    <col min="11268" max="11268" width="20.140625" style="718" customWidth="1"/>
    <col min="11269" max="11269" width="38.5703125" style="718" customWidth="1"/>
    <col min="11270" max="11270" width="9.42578125" style="718" customWidth="1"/>
    <col min="11271" max="11271" width="10" style="718" customWidth="1"/>
    <col min="11272" max="11272" width="9.140625" style="718"/>
    <col min="11273" max="11273" width="10.28515625" style="718" customWidth="1"/>
    <col min="11274" max="11274" width="27.28515625" style="718" customWidth="1"/>
    <col min="11275" max="11520" width="9.140625" style="718"/>
    <col min="11521" max="11521" width="38.7109375" style="718" customWidth="1"/>
    <col min="11522" max="11522" width="17.7109375" style="718" customWidth="1"/>
    <col min="11523" max="11523" width="18.7109375" style="718" customWidth="1"/>
    <col min="11524" max="11524" width="20.140625" style="718" customWidth="1"/>
    <col min="11525" max="11525" width="38.5703125" style="718" customWidth="1"/>
    <col min="11526" max="11526" width="9.42578125" style="718" customWidth="1"/>
    <col min="11527" max="11527" width="10" style="718" customWidth="1"/>
    <col min="11528" max="11528" width="9.140625" style="718"/>
    <col min="11529" max="11529" width="10.28515625" style="718" customWidth="1"/>
    <col min="11530" max="11530" width="27.28515625" style="718" customWidth="1"/>
    <col min="11531" max="11776" width="9.140625" style="718"/>
    <col min="11777" max="11777" width="38.7109375" style="718" customWidth="1"/>
    <col min="11778" max="11778" width="17.7109375" style="718" customWidth="1"/>
    <col min="11779" max="11779" width="18.7109375" style="718" customWidth="1"/>
    <col min="11780" max="11780" width="20.140625" style="718" customWidth="1"/>
    <col min="11781" max="11781" width="38.5703125" style="718" customWidth="1"/>
    <col min="11782" max="11782" width="9.42578125" style="718" customWidth="1"/>
    <col min="11783" max="11783" width="10" style="718" customWidth="1"/>
    <col min="11784" max="11784" width="9.140625" style="718"/>
    <col min="11785" max="11785" width="10.28515625" style="718" customWidth="1"/>
    <col min="11786" max="11786" width="27.28515625" style="718" customWidth="1"/>
    <col min="11787" max="12032" width="9.140625" style="718"/>
    <col min="12033" max="12033" width="38.7109375" style="718" customWidth="1"/>
    <col min="12034" max="12034" width="17.7109375" style="718" customWidth="1"/>
    <col min="12035" max="12035" width="18.7109375" style="718" customWidth="1"/>
    <col min="12036" max="12036" width="20.140625" style="718" customWidth="1"/>
    <col min="12037" max="12037" width="38.5703125" style="718" customWidth="1"/>
    <col min="12038" max="12038" width="9.42578125" style="718" customWidth="1"/>
    <col min="12039" max="12039" width="10" style="718" customWidth="1"/>
    <col min="12040" max="12040" width="9.140625" style="718"/>
    <col min="12041" max="12041" width="10.28515625" style="718" customWidth="1"/>
    <col min="12042" max="12042" width="27.28515625" style="718" customWidth="1"/>
    <col min="12043" max="12288" width="9.140625" style="718"/>
    <col min="12289" max="12289" width="38.7109375" style="718" customWidth="1"/>
    <col min="12290" max="12290" width="17.7109375" style="718" customWidth="1"/>
    <col min="12291" max="12291" width="18.7109375" style="718" customWidth="1"/>
    <col min="12292" max="12292" width="20.140625" style="718" customWidth="1"/>
    <col min="12293" max="12293" width="38.5703125" style="718" customWidth="1"/>
    <col min="12294" max="12294" width="9.42578125" style="718" customWidth="1"/>
    <col min="12295" max="12295" width="10" style="718" customWidth="1"/>
    <col min="12296" max="12296" width="9.140625" style="718"/>
    <col min="12297" max="12297" width="10.28515625" style="718" customWidth="1"/>
    <col min="12298" max="12298" width="27.28515625" style="718" customWidth="1"/>
    <col min="12299" max="12544" width="9.140625" style="718"/>
    <col min="12545" max="12545" width="38.7109375" style="718" customWidth="1"/>
    <col min="12546" max="12546" width="17.7109375" style="718" customWidth="1"/>
    <col min="12547" max="12547" width="18.7109375" style="718" customWidth="1"/>
    <col min="12548" max="12548" width="20.140625" style="718" customWidth="1"/>
    <col min="12549" max="12549" width="38.5703125" style="718" customWidth="1"/>
    <col min="12550" max="12550" width="9.42578125" style="718" customWidth="1"/>
    <col min="12551" max="12551" width="10" style="718" customWidth="1"/>
    <col min="12552" max="12552" width="9.140625" style="718"/>
    <col min="12553" max="12553" width="10.28515625" style="718" customWidth="1"/>
    <col min="12554" max="12554" width="27.28515625" style="718" customWidth="1"/>
    <col min="12555" max="12800" width="9.140625" style="718"/>
    <col min="12801" max="12801" width="38.7109375" style="718" customWidth="1"/>
    <col min="12802" max="12802" width="17.7109375" style="718" customWidth="1"/>
    <col min="12803" max="12803" width="18.7109375" style="718" customWidth="1"/>
    <col min="12804" max="12804" width="20.140625" style="718" customWidth="1"/>
    <col min="12805" max="12805" width="38.5703125" style="718" customWidth="1"/>
    <col min="12806" max="12806" width="9.42578125" style="718" customWidth="1"/>
    <col min="12807" max="12807" width="10" style="718" customWidth="1"/>
    <col min="12808" max="12808" width="9.140625" style="718"/>
    <col min="12809" max="12809" width="10.28515625" style="718" customWidth="1"/>
    <col min="12810" max="12810" width="27.28515625" style="718" customWidth="1"/>
    <col min="12811" max="13056" width="9.140625" style="718"/>
    <col min="13057" max="13057" width="38.7109375" style="718" customWidth="1"/>
    <col min="13058" max="13058" width="17.7109375" style="718" customWidth="1"/>
    <col min="13059" max="13059" width="18.7109375" style="718" customWidth="1"/>
    <col min="13060" max="13060" width="20.140625" style="718" customWidth="1"/>
    <col min="13061" max="13061" width="38.5703125" style="718" customWidth="1"/>
    <col min="13062" max="13062" width="9.42578125" style="718" customWidth="1"/>
    <col min="13063" max="13063" width="10" style="718" customWidth="1"/>
    <col min="13064" max="13064" width="9.140625" style="718"/>
    <col min="13065" max="13065" width="10.28515625" style="718" customWidth="1"/>
    <col min="13066" max="13066" width="27.28515625" style="718" customWidth="1"/>
    <col min="13067" max="13312" width="9.140625" style="718"/>
    <col min="13313" max="13313" width="38.7109375" style="718" customWidth="1"/>
    <col min="13314" max="13314" width="17.7109375" style="718" customWidth="1"/>
    <col min="13315" max="13315" width="18.7109375" style="718" customWidth="1"/>
    <col min="13316" max="13316" width="20.140625" style="718" customWidth="1"/>
    <col min="13317" max="13317" width="38.5703125" style="718" customWidth="1"/>
    <col min="13318" max="13318" width="9.42578125" style="718" customWidth="1"/>
    <col min="13319" max="13319" width="10" style="718" customWidth="1"/>
    <col min="13320" max="13320" width="9.140625" style="718"/>
    <col min="13321" max="13321" width="10.28515625" style="718" customWidth="1"/>
    <col min="13322" max="13322" width="27.28515625" style="718" customWidth="1"/>
    <col min="13323" max="13568" width="9.140625" style="718"/>
    <col min="13569" max="13569" width="38.7109375" style="718" customWidth="1"/>
    <col min="13570" max="13570" width="17.7109375" style="718" customWidth="1"/>
    <col min="13571" max="13571" width="18.7109375" style="718" customWidth="1"/>
    <col min="13572" max="13572" width="20.140625" style="718" customWidth="1"/>
    <col min="13573" max="13573" width="38.5703125" style="718" customWidth="1"/>
    <col min="13574" max="13574" width="9.42578125" style="718" customWidth="1"/>
    <col min="13575" max="13575" width="10" style="718" customWidth="1"/>
    <col min="13576" max="13576" width="9.140625" style="718"/>
    <col min="13577" max="13577" width="10.28515625" style="718" customWidth="1"/>
    <col min="13578" max="13578" width="27.28515625" style="718" customWidth="1"/>
    <col min="13579" max="13824" width="9.140625" style="718"/>
    <col min="13825" max="13825" width="38.7109375" style="718" customWidth="1"/>
    <col min="13826" max="13826" width="17.7109375" style="718" customWidth="1"/>
    <col min="13827" max="13827" width="18.7109375" style="718" customWidth="1"/>
    <col min="13828" max="13828" width="20.140625" style="718" customWidth="1"/>
    <col min="13829" max="13829" width="38.5703125" style="718" customWidth="1"/>
    <col min="13830" max="13830" width="9.42578125" style="718" customWidth="1"/>
    <col min="13831" max="13831" width="10" style="718" customWidth="1"/>
    <col min="13832" max="13832" width="9.140625" style="718"/>
    <col min="13833" max="13833" width="10.28515625" style="718" customWidth="1"/>
    <col min="13834" max="13834" width="27.28515625" style="718" customWidth="1"/>
    <col min="13835" max="14080" width="9.140625" style="718"/>
    <col min="14081" max="14081" width="38.7109375" style="718" customWidth="1"/>
    <col min="14082" max="14082" width="17.7109375" style="718" customWidth="1"/>
    <col min="14083" max="14083" width="18.7109375" style="718" customWidth="1"/>
    <col min="14084" max="14084" width="20.140625" style="718" customWidth="1"/>
    <col min="14085" max="14085" width="38.5703125" style="718" customWidth="1"/>
    <col min="14086" max="14086" width="9.42578125" style="718" customWidth="1"/>
    <col min="14087" max="14087" width="10" style="718" customWidth="1"/>
    <col min="14088" max="14088" width="9.140625" style="718"/>
    <col min="14089" max="14089" width="10.28515625" style="718" customWidth="1"/>
    <col min="14090" max="14090" width="27.28515625" style="718" customWidth="1"/>
    <col min="14091" max="14336" width="9.140625" style="718"/>
    <col min="14337" max="14337" width="38.7109375" style="718" customWidth="1"/>
    <col min="14338" max="14338" width="17.7109375" style="718" customWidth="1"/>
    <col min="14339" max="14339" width="18.7109375" style="718" customWidth="1"/>
    <col min="14340" max="14340" width="20.140625" style="718" customWidth="1"/>
    <col min="14341" max="14341" width="38.5703125" style="718" customWidth="1"/>
    <col min="14342" max="14342" width="9.42578125" style="718" customWidth="1"/>
    <col min="14343" max="14343" width="10" style="718" customWidth="1"/>
    <col min="14344" max="14344" width="9.140625" style="718"/>
    <col min="14345" max="14345" width="10.28515625" style="718" customWidth="1"/>
    <col min="14346" max="14346" width="27.28515625" style="718" customWidth="1"/>
    <col min="14347" max="14592" width="9.140625" style="718"/>
    <col min="14593" max="14593" width="38.7109375" style="718" customWidth="1"/>
    <col min="14594" max="14594" width="17.7109375" style="718" customWidth="1"/>
    <col min="14595" max="14595" width="18.7109375" style="718" customWidth="1"/>
    <col min="14596" max="14596" width="20.140625" style="718" customWidth="1"/>
    <col min="14597" max="14597" width="38.5703125" style="718" customWidth="1"/>
    <col min="14598" max="14598" width="9.42578125" style="718" customWidth="1"/>
    <col min="14599" max="14599" width="10" style="718" customWidth="1"/>
    <col min="14600" max="14600" width="9.140625" style="718"/>
    <col min="14601" max="14601" width="10.28515625" style="718" customWidth="1"/>
    <col min="14602" max="14602" width="27.28515625" style="718" customWidth="1"/>
    <col min="14603" max="14848" width="9.140625" style="718"/>
    <col min="14849" max="14849" width="38.7109375" style="718" customWidth="1"/>
    <col min="14850" max="14850" width="17.7109375" style="718" customWidth="1"/>
    <col min="14851" max="14851" width="18.7109375" style="718" customWidth="1"/>
    <col min="14852" max="14852" width="20.140625" style="718" customWidth="1"/>
    <col min="14853" max="14853" width="38.5703125" style="718" customWidth="1"/>
    <col min="14854" max="14854" width="9.42578125" style="718" customWidth="1"/>
    <col min="14855" max="14855" width="10" style="718" customWidth="1"/>
    <col min="14856" max="14856" width="9.140625" style="718"/>
    <col min="14857" max="14857" width="10.28515625" style="718" customWidth="1"/>
    <col min="14858" max="14858" width="27.28515625" style="718" customWidth="1"/>
    <col min="14859" max="15104" width="9.140625" style="718"/>
    <col min="15105" max="15105" width="38.7109375" style="718" customWidth="1"/>
    <col min="15106" max="15106" width="17.7109375" style="718" customWidth="1"/>
    <col min="15107" max="15107" width="18.7109375" style="718" customWidth="1"/>
    <col min="15108" max="15108" width="20.140625" style="718" customWidth="1"/>
    <col min="15109" max="15109" width="38.5703125" style="718" customWidth="1"/>
    <col min="15110" max="15110" width="9.42578125" style="718" customWidth="1"/>
    <col min="15111" max="15111" width="10" style="718" customWidth="1"/>
    <col min="15112" max="15112" width="9.140625" style="718"/>
    <col min="15113" max="15113" width="10.28515625" style="718" customWidth="1"/>
    <col min="15114" max="15114" width="27.28515625" style="718" customWidth="1"/>
    <col min="15115" max="15360" width="9.140625" style="718"/>
    <col min="15361" max="15361" width="38.7109375" style="718" customWidth="1"/>
    <col min="15362" max="15362" width="17.7109375" style="718" customWidth="1"/>
    <col min="15363" max="15363" width="18.7109375" style="718" customWidth="1"/>
    <col min="15364" max="15364" width="20.140625" style="718" customWidth="1"/>
    <col min="15365" max="15365" width="38.5703125" style="718" customWidth="1"/>
    <col min="15366" max="15366" width="9.42578125" style="718" customWidth="1"/>
    <col min="15367" max="15367" width="10" style="718" customWidth="1"/>
    <col min="15368" max="15368" width="9.140625" style="718"/>
    <col min="15369" max="15369" width="10.28515625" style="718" customWidth="1"/>
    <col min="15370" max="15370" width="27.28515625" style="718" customWidth="1"/>
    <col min="15371" max="15616" width="9.140625" style="718"/>
    <col min="15617" max="15617" width="38.7109375" style="718" customWidth="1"/>
    <col min="15618" max="15618" width="17.7109375" style="718" customWidth="1"/>
    <col min="15619" max="15619" width="18.7109375" style="718" customWidth="1"/>
    <col min="15620" max="15620" width="20.140625" style="718" customWidth="1"/>
    <col min="15621" max="15621" width="38.5703125" style="718" customWidth="1"/>
    <col min="15622" max="15622" width="9.42578125" style="718" customWidth="1"/>
    <col min="15623" max="15623" width="10" style="718" customWidth="1"/>
    <col min="15624" max="15624" width="9.140625" style="718"/>
    <col min="15625" max="15625" width="10.28515625" style="718" customWidth="1"/>
    <col min="15626" max="15626" width="27.28515625" style="718" customWidth="1"/>
    <col min="15627" max="15872" width="9.140625" style="718"/>
    <col min="15873" max="15873" width="38.7109375" style="718" customWidth="1"/>
    <col min="15874" max="15874" width="17.7109375" style="718" customWidth="1"/>
    <col min="15875" max="15875" width="18.7109375" style="718" customWidth="1"/>
    <col min="15876" max="15876" width="20.140625" style="718" customWidth="1"/>
    <col min="15877" max="15877" width="38.5703125" style="718" customWidth="1"/>
    <col min="15878" max="15878" width="9.42578125" style="718" customWidth="1"/>
    <col min="15879" max="15879" width="10" style="718" customWidth="1"/>
    <col min="15880" max="15880" width="9.140625" style="718"/>
    <col min="15881" max="15881" width="10.28515625" style="718" customWidth="1"/>
    <col min="15882" max="15882" width="27.28515625" style="718" customWidth="1"/>
    <col min="15883" max="16128" width="9.140625" style="718"/>
    <col min="16129" max="16129" width="38.7109375" style="718" customWidth="1"/>
    <col min="16130" max="16130" width="17.7109375" style="718" customWidth="1"/>
    <col min="16131" max="16131" width="18.7109375" style="718" customWidth="1"/>
    <col min="16132" max="16132" width="20.140625" style="718" customWidth="1"/>
    <col min="16133" max="16133" width="38.5703125" style="718" customWidth="1"/>
    <col min="16134" max="16134" width="9.42578125" style="718" customWidth="1"/>
    <col min="16135" max="16135" width="10" style="718" customWidth="1"/>
    <col min="16136" max="16136" width="9.140625" style="718"/>
    <col min="16137" max="16137" width="10.28515625" style="718" customWidth="1"/>
    <col min="16138" max="16138" width="27.28515625" style="718" customWidth="1"/>
    <col min="16139" max="16384" width="9.140625" style="718"/>
  </cols>
  <sheetData>
    <row r="1" spans="1:5" ht="17.25" customHeight="1">
      <c r="A1" s="1828" t="s">
        <v>2302</v>
      </c>
      <c r="B1" s="1828"/>
      <c r="C1" s="1828"/>
      <c r="D1" s="1828"/>
      <c r="E1" s="1828"/>
    </row>
    <row r="2" spans="1:5" ht="18.75" customHeight="1">
      <c r="A2" s="1828" t="s">
        <v>2303</v>
      </c>
      <c r="B2" s="1828"/>
      <c r="C2" s="1828"/>
      <c r="D2" s="1828"/>
      <c r="E2" s="1828"/>
    </row>
    <row r="3" spans="1:5" s="719" customFormat="1" ht="12.75" customHeight="1">
      <c r="A3" s="891" t="s">
        <v>2304</v>
      </c>
      <c r="B3" s="891"/>
      <c r="C3" s="891"/>
      <c r="D3" s="891"/>
      <c r="E3" s="892" t="s">
        <v>2305</v>
      </c>
    </row>
    <row r="4" spans="1:5" s="720" customFormat="1" ht="15.75" customHeight="1">
      <c r="A4" s="1829"/>
      <c r="B4" s="1832" t="s">
        <v>2306</v>
      </c>
      <c r="C4" s="1833"/>
      <c r="D4" s="1834"/>
      <c r="E4" s="1835"/>
    </row>
    <row r="5" spans="1:5" s="720" customFormat="1" ht="15.75" customHeight="1">
      <c r="A5" s="1830"/>
      <c r="B5" s="1838" t="s">
        <v>2307</v>
      </c>
      <c r="C5" s="1840" t="s">
        <v>2064</v>
      </c>
      <c r="D5" s="1841"/>
      <c r="E5" s="1836"/>
    </row>
    <row r="6" spans="1:5" s="720" customFormat="1" ht="14.25" customHeight="1">
      <c r="A6" s="1830"/>
      <c r="B6" s="1839"/>
      <c r="C6" s="893" t="s">
        <v>2308</v>
      </c>
      <c r="D6" s="893" t="s">
        <v>2309</v>
      </c>
      <c r="E6" s="1836"/>
    </row>
    <row r="7" spans="1:5" s="720" customFormat="1" ht="15.75" customHeight="1">
      <c r="A7" s="1830"/>
      <c r="B7" s="1840" t="s">
        <v>2262</v>
      </c>
      <c r="C7" s="1842"/>
      <c r="D7" s="1841"/>
      <c r="E7" s="1836"/>
    </row>
    <row r="8" spans="1:5" s="720" customFormat="1" ht="15.75" customHeight="1">
      <c r="A8" s="1830"/>
      <c r="B8" s="1838" t="s">
        <v>2310</v>
      </c>
      <c r="C8" s="1840" t="s">
        <v>2264</v>
      </c>
      <c r="D8" s="1841"/>
      <c r="E8" s="1836"/>
    </row>
    <row r="9" spans="1:5" s="720" customFormat="1" ht="15.75" customHeight="1">
      <c r="A9" s="1831"/>
      <c r="B9" s="1839"/>
      <c r="C9" s="894" t="s">
        <v>2311</v>
      </c>
      <c r="D9" s="893" t="s">
        <v>2312</v>
      </c>
      <c r="E9" s="1837"/>
    </row>
    <row r="10" spans="1:5" s="719" customFormat="1" ht="14.25" customHeight="1">
      <c r="A10" s="887" t="s">
        <v>2313</v>
      </c>
      <c r="B10" s="781">
        <v>9899</v>
      </c>
      <c r="C10" s="781">
        <v>12536</v>
      </c>
      <c r="D10" s="781">
        <v>6718</v>
      </c>
      <c r="E10" s="887" t="s">
        <v>2314</v>
      </c>
    </row>
    <row r="11" spans="1:5" s="719" customFormat="1" ht="15" customHeight="1">
      <c r="A11" s="889" t="s">
        <v>2385</v>
      </c>
      <c r="B11" s="782">
        <v>4946</v>
      </c>
      <c r="C11" s="782">
        <v>6140</v>
      </c>
      <c r="D11" s="782">
        <v>3506</v>
      </c>
      <c r="E11" s="888" t="s">
        <v>2381</v>
      </c>
    </row>
    <row r="12" spans="1:5" s="722" customFormat="1" ht="13.5" customHeight="1">
      <c r="A12" s="889" t="s">
        <v>2317</v>
      </c>
      <c r="B12" s="782">
        <v>118</v>
      </c>
      <c r="C12" s="782">
        <v>135</v>
      </c>
      <c r="D12" s="782">
        <v>100</v>
      </c>
      <c r="E12" s="888" t="s">
        <v>2318</v>
      </c>
    </row>
    <row r="13" spans="1:5" s="722" customFormat="1" ht="15" customHeight="1">
      <c r="A13" s="889" t="s">
        <v>2315</v>
      </c>
      <c r="B13" s="782">
        <v>396</v>
      </c>
      <c r="C13" s="782">
        <v>497</v>
      </c>
      <c r="D13" s="782">
        <v>274</v>
      </c>
      <c r="E13" s="889" t="s">
        <v>2316</v>
      </c>
    </row>
    <row r="14" spans="1:5" s="723" customFormat="1" ht="14.25" customHeight="1">
      <c r="A14" s="889" t="s">
        <v>2386</v>
      </c>
      <c r="B14" s="782">
        <v>346</v>
      </c>
      <c r="C14" s="782">
        <v>442</v>
      </c>
      <c r="D14" s="782">
        <v>230</v>
      </c>
      <c r="E14" s="889" t="s">
        <v>2382</v>
      </c>
    </row>
    <row r="15" spans="1:5" s="723" customFormat="1" ht="13.5" customHeight="1">
      <c r="A15" s="889" t="s">
        <v>2387</v>
      </c>
      <c r="B15" s="782">
        <v>2216</v>
      </c>
      <c r="C15" s="782">
        <v>2992</v>
      </c>
      <c r="D15" s="782">
        <v>1280</v>
      </c>
      <c r="E15" s="889" t="s">
        <v>2324</v>
      </c>
    </row>
    <row r="16" spans="1:5" s="723" customFormat="1" ht="13.5" customHeight="1">
      <c r="A16" s="889" t="s">
        <v>2325</v>
      </c>
      <c r="B16" s="782">
        <v>553</v>
      </c>
      <c r="C16" s="782">
        <v>780</v>
      </c>
      <c r="D16" s="782">
        <v>280</v>
      </c>
      <c r="E16" s="889" t="s">
        <v>2326</v>
      </c>
    </row>
    <row r="17" spans="1:5" s="723" customFormat="1" ht="12.75" customHeight="1">
      <c r="A17" s="889" t="s">
        <v>2327</v>
      </c>
      <c r="B17" s="782">
        <v>1070</v>
      </c>
      <c r="C17" s="782">
        <v>1280</v>
      </c>
      <c r="D17" s="782">
        <v>816</v>
      </c>
      <c r="E17" s="889" t="s">
        <v>2328</v>
      </c>
    </row>
    <row r="18" spans="1:5" s="723" customFormat="1" ht="26.25" customHeight="1">
      <c r="A18" s="889" t="s">
        <v>2388</v>
      </c>
      <c r="B18" s="782">
        <v>154</v>
      </c>
      <c r="C18" s="782">
        <v>146</v>
      </c>
      <c r="D18" s="782">
        <v>162</v>
      </c>
      <c r="E18" s="889" t="s">
        <v>2383</v>
      </c>
    </row>
    <row r="19" spans="1:5" s="723" customFormat="1" ht="24.75" customHeight="1">
      <c r="A19" s="890" t="s">
        <v>2389</v>
      </c>
      <c r="B19" s="783">
        <v>100</v>
      </c>
      <c r="C19" s="783">
        <v>124</v>
      </c>
      <c r="D19" s="783">
        <v>70</v>
      </c>
      <c r="E19" s="890" t="s">
        <v>2384</v>
      </c>
    </row>
    <row r="20" spans="1:5" s="723" customFormat="1" ht="15" customHeight="1"/>
  </sheetData>
  <mergeCells count="10">
    <mergeCell ref="A1:E1"/>
    <mergeCell ref="A2:E2"/>
    <mergeCell ref="A4:A9"/>
    <mergeCell ref="B4:D4"/>
    <mergeCell ref="E4:E9"/>
    <mergeCell ref="B5:B6"/>
    <mergeCell ref="C5:D5"/>
    <mergeCell ref="B7:D7"/>
    <mergeCell ref="B8:B9"/>
    <mergeCell ref="C8:D8"/>
  </mergeCells>
  <pageMargins left="0.78740157480314965" right="0.59055118110236227" top="0.59055118110236227" bottom="0.59055118110236227" header="0" footer="0.35433070866141736"/>
  <pageSetup paperSize="9" orientation="landscape" horizontalDpi="300" verticalDpi="300" r:id="rId1"/>
  <headerFooter alignWithMargins="0">
    <oddFooter>&amp;R64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J21"/>
  <sheetViews>
    <sheetView zoomScaleNormal="100" workbookViewId="0">
      <selection activeCell="B7" sqref="B7:D7"/>
    </sheetView>
  </sheetViews>
  <sheetFormatPr defaultRowHeight="13.5" customHeight="1"/>
  <cols>
    <col min="1" max="1" width="38.7109375" style="718" customWidth="1"/>
    <col min="2" max="3" width="17.7109375" style="718" customWidth="1"/>
    <col min="4" max="4" width="19.85546875" style="718" customWidth="1"/>
    <col min="5" max="5" width="38.5703125" style="718" customWidth="1"/>
    <col min="6" max="6" width="9.42578125" style="718" customWidth="1"/>
    <col min="7" max="7" width="10" style="718" customWidth="1"/>
    <col min="8" max="8" width="9.140625" style="718" customWidth="1"/>
    <col min="9" max="9" width="10.28515625" style="718" customWidth="1"/>
    <col min="10" max="10" width="27.28515625" style="718" customWidth="1"/>
    <col min="11" max="256" width="9.140625" style="718"/>
    <col min="257" max="257" width="38.7109375" style="718" customWidth="1"/>
    <col min="258" max="259" width="17.7109375" style="718" customWidth="1"/>
    <col min="260" max="260" width="19.85546875" style="718" customWidth="1"/>
    <col min="261" max="261" width="38.5703125" style="718" customWidth="1"/>
    <col min="262" max="262" width="9.42578125" style="718" customWidth="1"/>
    <col min="263" max="263" width="10" style="718" customWidth="1"/>
    <col min="264" max="264" width="9.140625" style="718" customWidth="1"/>
    <col min="265" max="265" width="10.28515625" style="718" customWidth="1"/>
    <col min="266" max="266" width="27.28515625" style="718" customWidth="1"/>
    <col min="267" max="512" width="9.140625" style="718"/>
    <col min="513" max="513" width="38.7109375" style="718" customWidth="1"/>
    <col min="514" max="515" width="17.7109375" style="718" customWidth="1"/>
    <col min="516" max="516" width="19.85546875" style="718" customWidth="1"/>
    <col min="517" max="517" width="38.5703125" style="718" customWidth="1"/>
    <col min="518" max="518" width="9.42578125" style="718" customWidth="1"/>
    <col min="519" max="519" width="10" style="718" customWidth="1"/>
    <col min="520" max="520" width="9.140625" style="718" customWidth="1"/>
    <col min="521" max="521" width="10.28515625" style="718" customWidth="1"/>
    <col min="522" max="522" width="27.28515625" style="718" customWidth="1"/>
    <col min="523" max="768" width="9.140625" style="718"/>
    <col min="769" max="769" width="38.7109375" style="718" customWidth="1"/>
    <col min="770" max="771" width="17.7109375" style="718" customWidth="1"/>
    <col min="772" max="772" width="19.85546875" style="718" customWidth="1"/>
    <col min="773" max="773" width="38.5703125" style="718" customWidth="1"/>
    <col min="774" max="774" width="9.42578125" style="718" customWidth="1"/>
    <col min="775" max="775" width="10" style="718" customWidth="1"/>
    <col min="776" max="776" width="9.140625" style="718" customWidth="1"/>
    <col min="777" max="777" width="10.28515625" style="718" customWidth="1"/>
    <col min="778" max="778" width="27.28515625" style="718" customWidth="1"/>
    <col min="779" max="1024" width="9.140625" style="718"/>
    <col min="1025" max="1025" width="38.7109375" style="718" customWidth="1"/>
    <col min="1026" max="1027" width="17.7109375" style="718" customWidth="1"/>
    <col min="1028" max="1028" width="19.85546875" style="718" customWidth="1"/>
    <col min="1029" max="1029" width="38.5703125" style="718" customWidth="1"/>
    <col min="1030" max="1030" width="9.42578125" style="718" customWidth="1"/>
    <col min="1031" max="1031" width="10" style="718" customWidth="1"/>
    <col min="1032" max="1032" width="9.140625" style="718" customWidth="1"/>
    <col min="1033" max="1033" width="10.28515625" style="718" customWidth="1"/>
    <col min="1034" max="1034" width="27.28515625" style="718" customWidth="1"/>
    <col min="1035" max="1280" width="9.140625" style="718"/>
    <col min="1281" max="1281" width="38.7109375" style="718" customWidth="1"/>
    <col min="1282" max="1283" width="17.7109375" style="718" customWidth="1"/>
    <col min="1284" max="1284" width="19.85546875" style="718" customWidth="1"/>
    <col min="1285" max="1285" width="38.5703125" style="718" customWidth="1"/>
    <col min="1286" max="1286" width="9.42578125" style="718" customWidth="1"/>
    <col min="1287" max="1287" width="10" style="718" customWidth="1"/>
    <col min="1288" max="1288" width="9.140625" style="718" customWidth="1"/>
    <col min="1289" max="1289" width="10.28515625" style="718" customWidth="1"/>
    <col min="1290" max="1290" width="27.28515625" style="718" customWidth="1"/>
    <col min="1291" max="1536" width="9.140625" style="718"/>
    <col min="1537" max="1537" width="38.7109375" style="718" customWidth="1"/>
    <col min="1538" max="1539" width="17.7109375" style="718" customWidth="1"/>
    <col min="1540" max="1540" width="19.85546875" style="718" customWidth="1"/>
    <col min="1541" max="1541" width="38.5703125" style="718" customWidth="1"/>
    <col min="1542" max="1542" width="9.42578125" style="718" customWidth="1"/>
    <col min="1543" max="1543" width="10" style="718" customWidth="1"/>
    <col min="1544" max="1544" width="9.140625" style="718" customWidth="1"/>
    <col min="1545" max="1545" width="10.28515625" style="718" customWidth="1"/>
    <col min="1546" max="1546" width="27.28515625" style="718" customWidth="1"/>
    <col min="1547" max="1792" width="9.140625" style="718"/>
    <col min="1793" max="1793" width="38.7109375" style="718" customWidth="1"/>
    <col min="1794" max="1795" width="17.7109375" style="718" customWidth="1"/>
    <col min="1796" max="1796" width="19.85546875" style="718" customWidth="1"/>
    <col min="1797" max="1797" width="38.5703125" style="718" customWidth="1"/>
    <col min="1798" max="1798" width="9.42578125" style="718" customWidth="1"/>
    <col min="1799" max="1799" width="10" style="718" customWidth="1"/>
    <col min="1800" max="1800" width="9.140625" style="718" customWidth="1"/>
    <col min="1801" max="1801" width="10.28515625" style="718" customWidth="1"/>
    <col min="1802" max="1802" width="27.28515625" style="718" customWidth="1"/>
    <col min="1803" max="2048" width="9.140625" style="718"/>
    <col min="2049" max="2049" width="38.7109375" style="718" customWidth="1"/>
    <col min="2050" max="2051" width="17.7109375" style="718" customWidth="1"/>
    <col min="2052" max="2052" width="19.85546875" style="718" customWidth="1"/>
    <col min="2053" max="2053" width="38.5703125" style="718" customWidth="1"/>
    <col min="2054" max="2054" width="9.42578125" style="718" customWidth="1"/>
    <col min="2055" max="2055" width="10" style="718" customWidth="1"/>
    <col min="2056" max="2056" width="9.140625" style="718" customWidth="1"/>
    <col min="2057" max="2057" width="10.28515625" style="718" customWidth="1"/>
    <col min="2058" max="2058" width="27.28515625" style="718" customWidth="1"/>
    <col min="2059" max="2304" width="9.140625" style="718"/>
    <col min="2305" max="2305" width="38.7109375" style="718" customWidth="1"/>
    <col min="2306" max="2307" width="17.7109375" style="718" customWidth="1"/>
    <col min="2308" max="2308" width="19.85546875" style="718" customWidth="1"/>
    <col min="2309" max="2309" width="38.5703125" style="718" customWidth="1"/>
    <col min="2310" max="2310" width="9.42578125" style="718" customWidth="1"/>
    <col min="2311" max="2311" width="10" style="718" customWidth="1"/>
    <col min="2312" max="2312" width="9.140625" style="718" customWidth="1"/>
    <col min="2313" max="2313" width="10.28515625" style="718" customWidth="1"/>
    <col min="2314" max="2314" width="27.28515625" style="718" customWidth="1"/>
    <col min="2315" max="2560" width="9.140625" style="718"/>
    <col min="2561" max="2561" width="38.7109375" style="718" customWidth="1"/>
    <col min="2562" max="2563" width="17.7109375" style="718" customWidth="1"/>
    <col min="2564" max="2564" width="19.85546875" style="718" customWidth="1"/>
    <col min="2565" max="2565" width="38.5703125" style="718" customWidth="1"/>
    <col min="2566" max="2566" width="9.42578125" style="718" customWidth="1"/>
    <col min="2567" max="2567" width="10" style="718" customWidth="1"/>
    <col min="2568" max="2568" width="9.140625" style="718" customWidth="1"/>
    <col min="2569" max="2569" width="10.28515625" style="718" customWidth="1"/>
    <col min="2570" max="2570" width="27.28515625" style="718" customWidth="1"/>
    <col min="2571" max="2816" width="9.140625" style="718"/>
    <col min="2817" max="2817" width="38.7109375" style="718" customWidth="1"/>
    <col min="2818" max="2819" width="17.7109375" style="718" customWidth="1"/>
    <col min="2820" max="2820" width="19.85546875" style="718" customWidth="1"/>
    <col min="2821" max="2821" width="38.5703125" style="718" customWidth="1"/>
    <col min="2822" max="2822" width="9.42578125" style="718" customWidth="1"/>
    <col min="2823" max="2823" width="10" style="718" customWidth="1"/>
    <col min="2824" max="2824" width="9.140625" style="718" customWidth="1"/>
    <col min="2825" max="2825" width="10.28515625" style="718" customWidth="1"/>
    <col min="2826" max="2826" width="27.28515625" style="718" customWidth="1"/>
    <col min="2827" max="3072" width="9.140625" style="718"/>
    <col min="3073" max="3073" width="38.7109375" style="718" customWidth="1"/>
    <col min="3074" max="3075" width="17.7109375" style="718" customWidth="1"/>
    <col min="3076" max="3076" width="19.85546875" style="718" customWidth="1"/>
    <col min="3077" max="3077" width="38.5703125" style="718" customWidth="1"/>
    <col min="3078" max="3078" width="9.42578125" style="718" customWidth="1"/>
    <col min="3079" max="3079" width="10" style="718" customWidth="1"/>
    <col min="3080" max="3080" width="9.140625" style="718" customWidth="1"/>
    <col min="3081" max="3081" width="10.28515625" style="718" customWidth="1"/>
    <col min="3082" max="3082" width="27.28515625" style="718" customWidth="1"/>
    <col min="3083" max="3328" width="9.140625" style="718"/>
    <col min="3329" max="3329" width="38.7109375" style="718" customWidth="1"/>
    <col min="3330" max="3331" width="17.7109375" style="718" customWidth="1"/>
    <col min="3332" max="3332" width="19.85546875" style="718" customWidth="1"/>
    <col min="3333" max="3333" width="38.5703125" style="718" customWidth="1"/>
    <col min="3334" max="3334" width="9.42578125" style="718" customWidth="1"/>
    <col min="3335" max="3335" width="10" style="718" customWidth="1"/>
    <col min="3336" max="3336" width="9.140625" style="718" customWidth="1"/>
    <col min="3337" max="3337" width="10.28515625" style="718" customWidth="1"/>
    <col min="3338" max="3338" width="27.28515625" style="718" customWidth="1"/>
    <col min="3339" max="3584" width="9.140625" style="718"/>
    <col min="3585" max="3585" width="38.7109375" style="718" customWidth="1"/>
    <col min="3586" max="3587" width="17.7109375" style="718" customWidth="1"/>
    <col min="3588" max="3588" width="19.85546875" style="718" customWidth="1"/>
    <col min="3589" max="3589" width="38.5703125" style="718" customWidth="1"/>
    <col min="3590" max="3590" width="9.42578125" style="718" customWidth="1"/>
    <col min="3591" max="3591" width="10" style="718" customWidth="1"/>
    <col min="3592" max="3592" width="9.140625" style="718" customWidth="1"/>
    <col min="3593" max="3593" width="10.28515625" style="718" customWidth="1"/>
    <col min="3594" max="3594" width="27.28515625" style="718" customWidth="1"/>
    <col min="3595" max="3840" width="9.140625" style="718"/>
    <col min="3841" max="3841" width="38.7109375" style="718" customWidth="1"/>
    <col min="3842" max="3843" width="17.7109375" style="718" customWidth="1"/>
    <col min="3844" max="3844" width="19.85546875" style="718" customWidth="1"/>
    <col min="3845" max="3845" width="38.5703125" style="718" customWidth="1"/>
    <col min="3846" max="3846" width="9.42578125" style="718" customWidth="1"/>
    <col min="3847" max="3847" width="10" style="718" customWidth="1"/>
    <col min="3848" max="3848" width="9.140625" style="718" customWidth="1"/>
    <col min="3849" max="3849" width="10.28515625" style="718" customWidth="1"/>
    <col min="3850" max="3850" width="27.28515625" style="718" customWidth="1"/>
    <col min="3851" max="4096" width="9.140625" style="718"/>
    <col min="4097" max="4097" width="38.7109375" style="718" customWidth="1"/>
    <col min="4098" max="4099" width="17.7109375" style="718" customWidth="1"/>
    <col min="4100" max="4100" width="19.85546875" style="718" customWidth="1"/>
    <col min="4101" max="4101" width="38.5703125" style="718" customWidth="1"/>
    <col min="4102" max="4102" width="9.42578125" style="718" customWidth="1"/>
    <col min="4103" max="4103" width="10" style="718" customWidth="1"/>
    <col min="4104" max="4104" width="9.140625" style="718" customWidth="1"/>
    <col min="4105" max="4105" width="10.28515625" style="718" customWidth="1"/>
    <col min="4106" max="4106" width="27.28515625" style="718" customWidth="1"/>
    <col min="4107" max="4352" width="9.140625" style="718"/>
    <col min="4353" max="4353" width="38.7109375" style="718" customWidth="1"/>
    <col min="4354" max="4355" width="17.7109375" style="718" customWidth="1"/>
    <col min="4356" max="4356" width="19.85546875" style="718" customWidth="1"/>
    <col min="4357" max="4357" width="38.5703125" style="718" customWidth="1"/>
    <col min="4358" max="4358" width="9.42578125" style="718" customWidth="1"/>
    <col min="4359" max="4359" width="10" style="718" customWidth="1"/>
    <col min="4360" max="4360" width="9.140625" style="718" customWidth="1"/>
    <col min="4361" max="4361" width="10.28515625" style="718" customWidth="1"/>
    <col min="4362" max="4362" width="27.28515625" style="718" customWidth="1"/>
    <col min="4363" max="4608" width="9.140625" style="718"/>
    <col min="4609" max="4609" width="38.7109375" style="718" customWidth="1"/>
    <col min="4610" max="4611" width="17.7109375" style="718" customWidth="1"/>
    <col min="4612" max="4612" width="19.85546875" style="718" customWidth="1"/>
    <col min="4613" max="4613" width="38.5703125" style="718" customWidth="1"/>
    <col min="4614" max="4614" width="9.42578125" style="718" customWidth="1"/>
    <col min="4615" max="4615" width="10" style="718" customWidth="1"/>
    <col min="4616" max="4616" width="9.140625" style="718" customWidth="1"/>
    <col min="4617" max="4617" width="10.28515625" style="718" customWidth="1"/>
    <col min="4618" max="4618" width="27.28515625" style="718" customWidth="1"/>
    <col min="4619" max="4864" width="9.140625" style="718"/>
    <col min="4865" max="4865" width="38.7109375" style="718" customWidth="1"/>
    <col min="4866" max="4867" width="17.7109375" style="718" customWidth="1"/>
    <col min="4868" max="4868" width="19.85546875" style="718" customWidth="1"/>
    <col min="4869" max="4869" width="38.5703125" style="718" customWidth="1"/>
    <col min="4870" max="4870" width="9.42578125" style="718" customWidth="1"/>
    <col min="4871" max="4871" width="10" style="718" customWidth="1"/>
    <col min="4872" max="4872" width="9.140625" style="718" customWidth="1"/>
    <col min="4873" max="4873" width="10.28515625" style="718" customWidth="1"/>
    <col min="4874" max="4874" width="27.28515625" style="718" customWidth="1"/>
    <col min="4875" max="5120" width="9.140625" style="718"/>
    <col min="5121" max="5121" width="38.7109375" style="718" customWidth="1"/>
    <col min="5122" max="5123" width="17.7109375" style="718" customWidth="1"/>
    <col min="5124" max="5124" width="19.85546875" style="718" customWidth="1"/>
    <col min="5125" max="5125" width="38.5703125" style="718" customWidth="1"/>
    <col min="5126" max="5126" width="9.42578125" style="718" customWidth="1"/>
    <col min="5127" max="5127" width="10" style="718" customWidth="1"/>
    <col min="5128" max="5128" width="9.140625" style="718" customWidth="1"/>
    <col min="5129" max="5129" width="10.28515625" style="718" customWidth="1"/>
    <col min="5130" max="5130" width="27.28515625" style="718" customWidth="1"/>
    <col min="5131" max="5376" width="9.140625" style="718"/>
    <col min="5377" max="5377" width="38.7109375" style="718" customWidth="1"/>
    <col min="5378" max="5379" width="17.7109375" style="718" customWidth="1"/>
    <col min="5380" max="5380" width="19.85546875" style="718" customWidth="1"/>
    <col min="5381" max="5381" width="38.5703125" style="718" customWidth="1"/>
    <col min="5382" max="5382" width="9.42578125" style="718" customWidth="1"/>
    <col min="5383" max="5383" width="10" style="718" customWidth="1"/>
    <col min="5384" max="5384" width="9.140625" style="718" customWidth="1"/>
    <col min="5385" max="5385" width="10.28515625" style="718" customWidth="1"/>
    <col min="5386" max="5386" width="27.28515625" style="718" customWidth="1"/>
    <col min="5387" max="5632" width="9.140625" style="718"/>
    <col min="5633" max="5633" width="38.7109375" style="718" customWidth="1"/>
    <col min="5634" max="5635" width="17.7109375" style="718" customWidth="1"/>
    <col min="5636" max="5636" width="19.85546875" style="718" customWidth="1"/>
    <col min="5637" max="5637" width="38.5703125" style="718" customWidth="1"/>
    <col min="5638" max="5638" width="9.42578125" style="718" customWidth="1"/>
    <col min="5639" max="5639" width="10" style="718" customWidth="1"/>
    <col min="5640" max="5640" width="9.140625" style="718" customWidth="1"/>
    <col min="5641" max="5641" width="10.28515625" style="718" customWidth="1"/>
    <col min="5642" max="5642" width="27.28515625" style="718" customWidth="1"/>
    <col min="5643" max="5888" width="9.140625" style="718"/>
    <col min="5889" max="5889" width="38.7109375" style="718" customWidth="1"/>
    <col min="5890" max="5891" width="17.7109375" style="718" customWidth="1"/>
    <col min="5892" max="5892" width="19.85546875" style="718" customWidth="1"/>
    <col min="5893" max="5893" width="38.5703125" style="718" customWidth="1"/>
    <col min="5894" max="5894" width="9.42578125" style="718" customWidth="1"/>
    <col min="5895" max="5895" width="10" style="718" customWidth="1"/>
    <col min="5896" max="5896" width="9.140625" style="718" customWidth="1"/>
    <col min="5897" max="5897" width="10.28515625" style="718" customWidth="1"/>
    <col min="5898" max="5898" width="27.28515625" style="718" customWidth="1"/>
    <col min="5899" max="6144" width="9.140625" style="718"/>
    <col min="6145" max="6145" width="38.7109375" style="718" customWidth="1"/>
    <col min="6146" max="6147" width="17.7109375" style="718" customWidth="1"/>
    <col min="6148" max="6148" width="19.85546875" style="718" customWidth="1"/>
    <col min="6149" max="6149" width="38.5703125" style="718" customWidth="1"/>
    <col min="6150" max="6150" width="9.42578125" style="718" customWidth="1"/>
    <col min="6151" max="6151" width="10" style="718" customWidth="1"/>
    <col min="6152" max="6152" width="9.140625" style="718" customWidth="1"/>
    <col min="6153" max="6153" width="10.28515625" style="718" customWidth="1"/>
    <col min="6154" max="6154" width="27.28515625" style="718" customWidth="1"/>
    <col min="6155" max="6400" width="9.140625" style="718"/>
    <col min="6401" max="6401" width="38.7109375" style="718" customWidth="1"/>
    <col min="6402" max="6403" width="17.7109375" style="718" customWidth="1"/>
    <col min="6404" max="6404" width="19.85546875" style="718" customWidth="1"/>
    <col min="6405" max="6405" width="38.5703125" style="718" customWidth="1"/>
    <col min="6406" max="6406" width="9.42578125" style="718" customWidth="1"/>
    <col min="6407" max="6407" width="10" style="718" customWidth="1"/>
    <col min="6408" max="6408" width="9.140625" style="718" customWidth="1"/>
    <col min="6409" max="6409" width="10.28515625" style="718" customWidth="1"/>
    <col min="6410" max="6410" width="27.28515625" style="718" customWidth="1"/>
    <col min="6411" max="6656" width="9.140625" style="718"/>
    <col min="6657" max="6657" width="38.7109375" style="718" customWidth="1"/>
    <col min="6658" max="6659" width="17.7109375" style="718" customWidth="1"/>
    <col min="6660" max="6660" width="19.85546875" style="718" customWidth="1"/>
    <col min="6661" max="6661" width="38.5703125" style="718" customWidth="1"/>
    <col min="6662" max="6662" width="9.42578125" style="718" customWidth="1"/>
    <col min="6663" max="6663" width="10" style="718" customWidth="1"/>
    <col min="6664" max="6664" width="9.140625" style="718" customWidth="1"/>
    <col min="6665" max="6665" width="10.28515625" style="718" customWidth="1"/>
    <col min="6666" max="6666" width="27.28515625" style="718" customWidth="1"/>
    <col min="6667" max="6912" width="9.140625" style="718"/>
    <col min="6913" max="6913" width="38.7109375" style="718" customWidth="1"/>
    <col min="6914" max="6915" width="17.7109375" style="718" customWidth="1"/>
    <col min="6916" max="6916" width="19.85546875" style="718" customWidth="1"/>
    <col min="6917" max="6917" width="38.5703125" style="718" customWidth="1"/>
    <col min="6918" max="6918" width="9.42578125" style="718" customWidth="1"/>
    <col min="6919" max="6919" width="10" style="718" customWidth="1"/>
    <col min="6920" max="6920" width="9.140625" style="718" customWidth="1"/>
    <col min="6921" max="6921" width="10.28515625" style="718" customWidth="1"/>
    <col min="6922" max="6922" width="27.28515625" style="718" customWidth="1"/>
    <col min="6923" max="7168" width="9.140625" style="718"/>
    <col min="7169" max="7169" width="38.7109375" style="718" customWidth="1"/>
    <col min="7170" max="7171" width="17.7109375" style="718" customWidth="1"/>
    <col min="7172" max="7172" width="19.85546875" style="718" customWidth="1"/>
    <col min="7173" max="7173" width="38.5703125" style="718" customWidth="1"/>
    <col min="7174" max="7174" width="9.42578125" style="718" customWidth="1"/>
    <col min="7175" max="7175" width="10" style="718" customWidth="1"/>
    <col min="7176" max="7176" width="9.140625" style="718" customWidth="1"/>
    <col min="7177" max="7177" width="10.28515625" style="718" customWidth="1"/>
    <col min="7178" max="7178" width="27.28515625" style="718" customWidth="1"/>
    <col min="7179" max="7424" width="9.140625" style="718"/>
    <col min="7425" max="7425" width="38.7109375" style="718" customWidth="1"/>
    <col min="7426" max="7427" width="17.7109375" style="718" customWidth="1"/>
    <col min="7428" max="7428" width="19.85546875" style="718" customWidth="1"/>
    <col min="7429" max="7429" width="38.5703125" style="718" customWidth="1"/>
    <col min="7430" max="7430" width="9.42578125" style="718" customWidth="1"/>
    <col min="7431" max="7431" width="10" style="718" customWidth="1"/>
    <col min="7432" max="7432" width="9.140625" style="718" customWidth="1"/>
    <col min="7433" max="7433" width="10.28515625" style="718" customWidth="1"/>
    <col min="7434" max="7434" width="27.28515625" style="718" customWidth="1"/>
    <col min="7435" max="7680" width="9.140625" style="718"/>
    <col min="7681" max="7681" width="38.7109375" style="718" customWidth="1"/>
    <col min="7682" max="7683" width="17.7109375" style="718" customWidth="1"/>
    <col min="7684" max="7684" width="19.85546875" style="718" customWidth="1"/>
    <col min="7685" max="7685" width="38.5703125" style="718" customWidth="1"/>
    <col min="7686" max="7686" width="9.42578125" style="718" customWidth="1"/>
    <col min="7687" max="7687" width="10" style="718" customWidth="1"/>
    <col min="7688" max="7688" width="9.140625" style="718" customWidth="1"/>
    <col min="7689" max="7689" width="10.28515625" style="718" customWidth="1"/>
    <col min="7690" max="7690" width="27.28515625" style="718" customWidth="1"/>
    <col min="7691" max="7936" width="9.140625" style="718"/>
    <col min="7937" max="7937" width="38.7109375" style="718" customWidth="1"/>
    <col min="7938" max="7939" width="17.7109375" style="718" customWidth="1"/>
    <col min="7940" max="7940" width="19.85546875" style="718" customWidth="1"/>
    <col min="7941" max="7941" width="38.5703125" style="718" customWidth="1"/>
    <col min="7942" max="7942" width="9.42578125" style="718" customWidth="1"/>
    <col min="7943" max="7943" width="10" style="718" customWidth="1"/>
    <col min="7944" max="7944" width="9.140625" style="718" customWidth="1"/>
    <col min="7945" max="7945" width="10.28515625" style="718" customWidth="1"/>
    <col min="7946" max="7946" width="27.28515625" style="718" customWidth="1"/>
    <col min="7947" max="8192" width="9.140625" style="718"/>
    <col min="8193" max="8193" width="38.7109375" style="718" customWidth="1"/>
    <col min="8194" max="8195" width="17.7109375" style="718" customWidth="1"/>
    <col min="8196" max="8196" width="19.85546875" style="718" customWidth="1"/>
    <col min="8197" max="8197" width="38.5703125" style="718" customWidth="1"/>
    <col min="8198" max="8198" width="9.42578125" style="718" customWidth="1"/>
    <col min="8199" max="8199" width="10" style="718" customWidth="1"/>
    <col min="8200" max="8200" width="9.140625" style="718" customWidth="1"/>
    <col min="8201" max="8201" width="10.28515625" style="718" customWidth="1"/>
    <col min="8202" max="8202" width="27.28515625" style="718" customWidth="1"/>
    <col min="8203" max="8448" width="9.140625" style="718"/>
    <col min="8449" max="8449" width="38.7109375" style="718" customWidth="1"/>
    <col min="8450" max="8451" width="17.7109375" style="718" customWidth="1"/>
    <col min="8452" max="8452" width="19.85546875" style="718" customWidth="1"/>
    <col min="8453" max="8453" width="38.5703125" style="718" customWidth="1"/>
    <col min="8454" max="8454" width="9.42578125" style="718" customWidth="1"/>
    <col min="8455" max="8455" width="10" style="718" customWidth="1"/>
    <col min="8456" max="8456" width="9.140625" style="718" customWidth="1"/>
    <col min="8457" max="8457" width="10.28515625" style="718" customWidth="1"/>
    <col min="8458" max="8458" width="27.28515625" style="718" customWidth="1"/>
    <col min="8459" max="8704" width="9.140625" style="718"/>
    <col min="8705" max="8705" width="38.7109375" style="718" customWidth="1"/>
    <col min="8706" max="8707" width="17.7109375" style="718" customWidth="1"/>
    <col min="8708" max="8708" width="19.85546875" style="718" customWidth="1"/>
    <col min="8709" max="8709" width="38.5703125" style="718" customWidth="1"/>
    <col min="8710" max="8710" width="9.42578125" style="718" customWidth="1"/>
    <col min="8711" max="8711" width="10" style="718" customWidth="1"/>
    <col min="8712" max="8712" width="9.140625" style="718" customWidth="1"/>
    <col min="8713" max="8713" width="10.28515625" style="718" customWidth="1"/>
    <col min="8714" max="8714" width="27.28515625" style="718" customWidth="1"/>
    <col min="8715" max="8960" width="9.140625" style="718"/>
    <col min="8961" max="8961" width="38.7109375" style="718" customWidth="1"/>
    <col min="8962" max="8963" width="17.7109375" style="718" customWidth="1"/>
    <col min="8964" max="8964" width="19.85546875" style="718" customWidth="1"/>
    <col min="8965" max="8965" width="38.5703125" style="718" customWidth="1"/>
    <col min="8966" max="8966" width="9.42578125" style="718" customWidth="1"/>
    <col min="8967" max="8967" width="10" style="718" customWidth="1"/>
    <col min="8968" max="8968" width="9.140625" style="718" customWidth="1"/>
    <col min="8969" max="8969" width="10.28515625" style="718" customWidth="1"/>
    <col min="8970" max="8970" width="27.28515625" style="718" customWidth="1"/>
    <col min="8971" max="9216" width="9.140625" style="718"/>
    <col min="9217" max="9217" width="38.7109375" style="718" customWidth="1"/>
    <col min="9218" max="9219" width="17.7109375" style="718" customWidth="1"/>
    <col min="9220" max="9220" width="19.85546875" style="718" customWidth="1"/>
    <col min="9221" max="9221" width="38.5703125" style="718" customWidth="1"/>
    <col min="9222" max="9222" width="9.42578125" style="718" customWidth="1"/>
    <col min="9223" max="9223" width="10" style="718" customWidth="1"/>
    <col min="9224" max="9224" width="9.140625" style="718" customWidth="1"/>
    <col min="9225" max="9225" width="10.28515625" style="718" customWidth="1"/>
    <col min="9226" max="9226" width="27.28515625" style="718" customWidth="1"/>
    <col min="9227" max="9472" width="9.140625" style="718"/>
    <col min="9473" max="9473" width="38.7109375" style="718" customWidth="1"/>
    <col min="9474" max="9475" width="17.7109375" style="718" customWidth="1"/>
    <col min="9476" max="9476" width="19.85546875" style="718" customWidth="1"/>
    <col min="9477" max="9477" width="38.5703125" style="718" customWidth="1"/>
    <col min="9478" max="9478" width="9.42578125" style="718" customWidth="1"/>
    <col min="9479" max="9479" width="10" style="718" customWidth="1"/>
    <col min="9480" max="9480" width="9.140625" style="718" customWidth="1"/>
    <col min="9481" max="9481" width="10.28515625" style="718" customWidth="1"/>
    <col min="9482" max="9482" width="27.28515625" style="718" customWidth="1"/>
    <col min="9483" max="9728" width="9.140625" style="718"/>
    <col min="9729" max="9729" width="38.7109375" style="718" customWidth="1"/>
    <col min="9730" max="9731" width="17.7109375" style="718" customWidth="1"/>
    <col min="9732" max="9732" width="19.85546875" style="718" customWidth="1"/>
    <col min="9733" max="9733" width="38.5703125" style="718" customWidth="1"/>
    <col min="9734" max="9734" width="9.42578125" style="718" customWidth="1"/>
    <col min="9735" max="9735" width="10" style="718" customWidth="1"/>
    <col min="9736" max="9736" width="9.140625" style="718" customWidth="1"/>
    <col min="9737" max="9737" width="10.28515625" style="718" customWidth="1"/>
    <col min="9738" max="9738" width="27.28515625" style="718" customWidth="1"/>
    <col min="9739" max="9984" width="9.140625" style="718"/>
    <col min="9985" max="9985" width="38.7109375" style="718" customWidth="1"/>
    <col min="9986" max="9987" width="17.7109375" style="718" customWidth="1"/>
    <col min="9988" max="9988" width="19.85546875" style="718" customWidth="1"/>
    <col min="9989" max="9989" width="38.5703125" style="718" customWidth="1"/>
    <col min="9990" max="9990" width="9.42578125" style="718" customWidth="1"/>
    <col min="9991" max="9991" width="10" style="718" customWidth="1"/>
    <col min="9992" max="9992" width="9.140625" style="718" customWidth="1"/>
    <col min="9993" max="9993" width="10.28515625" style="718" customWidth="1"/>
    <col min="9994" max="9994" width="27.28515625" style="718" customWidth="1"/>
    <col min="9995" max="10240" width="9.140625" style="718"/>
    <col min="10241" max="10241" width="38.7109375" style="718" customWidth="1"/>
    <col min="10242" max="10243" width="17.7109375" style="718" customWidth="1"/>
    <col min="10244" max="10244" width="19.85546875" style="718" customWidth="1"/>
    <col min="10245" max="10245" width="38.5703125" style="718" customWidth="1"/>
    <col min="10246" max="10246" width="9.42578125" style="718" customWidth="1"/>
    <col min="10247" max="10247" width="10" style="718" customWidth="1"/>
    <col min="10248" max="10248" width="9.140625" style="718" customWidth="1"/>
    <col min="10249" max="10249" width="10.28515625" style="718" customWidth="1"/>
    <col min="10250" max="10250" width="27.28515625" style="718" customWidth="1"/>
    <col min="10251" max="10496" width="9.140625" style="718"/>
    <col min="10497" max="10497" width="38.7109375" style="718" customWidth="1"/>
    <col min="10498" max="10499" width="17.7109375" style="718" customWidth="1"/>
    <col min="10500" max="10500" width="19.85546875" style="718" customWidth="1"/>
    <col min="10501" max="10501" width="38.5703125" style="718" customWidth="1"/>
    <col min="10502" max="10502" width="9.42578125" style="718" customWidth="1"/>
    <col min="10503" max="10503" width="10" style="718" customWidth="1"/>
    <col min="10504" max="10504" width="9.140625" style="718" customWidth="1"/>
    <col min="10505" max="10505" width="10.28515625" style="718" customWidth="1"/>
    <col min="10506" max="10506" width="27.28515625" style="718" customWidth="1"/>
    <col min="10507" max="10752" width="9.140625" style="718"/>
    <col min="10753" max="10753" width="38.7109375" style="718" customWidth="1"/>
    <col min="10754" max="10755" width="17.7109375" style="718" customWidth="1"/>
    <col min="10756" max="10756" width="19.85546875" style="718" customWidth="1"/>
    <col min="10757" max="10757" width="38.5703125" style="718" customWidth="1"/>
    <col min="10758" max="10758" width="9.42578125" style="718" customWidth="1"/>
    <col min="10759" max="10759" width="10" style="718" customWidth="1"/>
    <col min="10760" max="10760" width="9.140625" style="718" customWidth="1"/>
    <col min="10761" max="10761" width="10.28515625" style="718" customWidth="1"/>
    <col min="10762" max="10762" width="27.28515625" style="718" customWidth="1"/>
    <col min="10763" max="11008" width="9.140625" style="718"/>
    <col min="11009" max="11009" width="38.7109375" style="718" customWidth="1"/>
    <col min="11010" max="11011" width="17.7109375" style="718" customWidth="1"/>
    <col min="11012" max="11012" width="19.85546875" style="718" customWidth="1"/>
    <col min="11013" max="11013" width="38.5703125" style="718" customWidth="1"/>
    <col min="11014" max="11014" width="9.42578125" style="718" customWidth="1"/>
    <col min="11015" max="11015" width="10" style="718" customWidth="1"/>
    <col min="11016" max="11016" width="9.140625" style="718" customWidth="1"/>
    <col min="11017" max="11017" width="10.28515625" style="718" customWidth="1"/>
    <col min="11018" max="11018" width="27.28515625" style="718" customWidth="1"/>
    <col min="11019" max="11264" width="9.140625" style="718"/>
    <col min="11265" max="11265" width="38.7109375" style="718" customWidth="1"/>
    <col min="11266" max="11267" width="17.7109375" style="718" customWidth="1"/>
    <col min="11268" max="11268" width="19.85546875" style="718" customWidth="1"/>
    <col min="11269" max="11269" width="38.5703125" style="718" customWidth="1"/>
    <col min="11270" max="11270" width="9.42578125" style="718" customWidth="1"/>
    <col min="11271" max="11271" width="10" style="718" customWidth="1"/>
    <col min="11272" max="11272" width="9.140625" style="718" customWidth="1"/>
    <col min="11273" max="11273" width="10.28515625" style="718" customWidth="1"/>
    <col min="11274" max="11274" width="27.28515625" style="718" customWidth="1"/>
    <col min="11275" max="11520" width="9.140625" style="718"/>
    <col min="11521" max="11521" width="38.7109375" style="718" customWidth="1"/>
    <col min="11522" max="11523" width="17.7109375" style="718" customWidth="1"/>
    <col min="11524" max="11524" width="19.85546875" style="718" customWidth="1"/>
    <col min="11525" max="11525" width="38.5703125" style="718" customWidth="1"/>
    <col min="11526" max="11526" width="9.42578125" style="718" customWidth="1"/>
    <col min="11527" max="11527" width="10" style="718" customWidth="1"/>
    <col min="11528" max="11528" width="9.140625" style="718" customWidth="1"/>
    <col min="11529" max="11529" width="10.28515625" style="718" customWidth="1"/>
    <col min="11530" max="11530" width="27.28515625" style="718" customWidth="1"/>
    <col min="11531" max="11776" width="9.140625" style="718"/>
    <col min="11777" max="11777" width="38.7109375" style="718" customWidth="1"/>
    <col min="11778" max="11779" width="17.7109375" style="718" customWidth="1"/>
    <col min="11780" max="11780" width="19.85546875" style="718" customWidth="1"/>
    <col min="11781" max="11781" width="38.5703125" style="718" customWidth="1"/>
    <col min="11782" max="11782" width="9.42578125" style="718" customWidth="1"/>
    <col min="11783" max="11783" width="10" style="718" customWidth="1"/>
    <col min="11784" max="11784" width="9.140625" style="718" customWidth="1"/>
    <col min="11785" max="11785" width="10.28515625" style="718" customWidth="1"/>
    <col min="11786" max="11786" width="27.28515625" style="718" customWidth="1"/>
    <col min="11787" max="12032" width="9.140625" style="718"/>
    <col min="12033" max="12033" width="38.7109375" style="718" customWidth="1"/>
    <col min="12034" max="12035" width="17.7109375" style="718" customWidth="1"/>
    <col min="12036" max="12036" width="19.85546875" style="718" customWidth="1"/>
    <col min="12037" max="12037" width="38.5703125" style="718" customWidth="1"/>
    <col min="12038" max="12038" width="9.42578125" style="718" customWidth="1"/>
    <col min="12039" max="12039" width="10" style="718" customWidth="1"/>
    <col min="12040" max="12040" width="9.140625" style="718" customWidth="1"/>
    <col min="12041" max="12041" width="10.28515625" style="718" customWidth="1"/>
    <col min="12042" max="12042" width="27.28515625" style="718" customWidth="1"/>
    <col min="12043" max="12288" width="9.140625" style="718"/>
    <col min="12289" max="12289" width="38.7109375" style="718" customWidth="1"/>
    <col min="12290" max="12291" width="17.7109375" style="718" customWidth="1"/>
    <col min="12292" max="12292" width="19.85546875" style="718" customWidth="1"/>
    <col min="12293" max="12293" width="38.5703125" style="718" customWidth="1"/>
    <col min="12294" max="12294" width="9.42578125" style="718" customWidth="1"/>
    <col min="12295" max="12295" width="10" style="718" customWidth="1"/>
    <col min="12296" max="12296" width="9.140625" style="718" customWidth="1"/>
    <col min="12297" max="12297" width="10.28515625" style="718" customWidth="1"/>
    <col min="12298" max="12298" width="27.28515625" style="718" customWidth="1"/>
    <col min="12299" max="12544" width="9.140625" style="718"/>
    <col min="12545" max="12545" width="38.7109375" style="718" customWidth="1"/>
    <col min="12546" max="12547" width="17.7109375" style="718" customWidth="1"/>
    <col min="12548" max="12548" width="19.85546875" style="718" customWidth="1"/>
    <col min="12549" max="12549" width="38.5703125" style="718" customWidth="1"/>
    <col min="12550" max="12550" width="9.42578125" style="718" customWidth="1"/>
    <col min="12551" max="12551" width="10" style="718" customWidth="1"/>
    <col min="12552" max="12552" width="9.140625" style="718" customWidth="1"/>
    <col min="12553" max="12553" width="10.28515625" style="718" customWidth="1"/>
    <col min="12554" max="12554" width="27.28515625" style="718" customWidth="1"/>
    <col min="12555" max="12800" width="9.140625" style="718"/>
    <col min="12801" max="12801" width="38.7109375" style="718" customWidth="1"/>
    <col min="12802" max="12803" width="17.7109375" style="718" customWidth="1"/>
    <col min="12804" max="12804" width="19.85546875" style="718" customWidth="1"/>
    <col min="12805" max="12805" width="38.5703125" style="718" customWidth="1"/>
    <col min="12806" max="12806" width="9.42578125" style="718" customWidth="1"/>
    <col min="12807" max="12807" width="10" style="718" customWidth="1"/>
    <col min="12808" max="12808" width="9.140625" style="718" customWidth="1"/>
    <col min="12809" max="12809" width="10.28515625" style="718" customWidth="1"/>
    <col min="12810" max="12810" width="27.28515625" style="718" customWidth="1"/>
    <col min="12811" max="13056" width="9.140625" style="718"/>
    <col min="13057" max="13057" width="38.7109375" style="718" customWidth="1"/>
    <col min="13058" max="13059" width="17.7109375" style="718" customWidth="1"/>
    <col min="13060" max="13060" width="19.85546875" style="718" customWidth="1"/>
    <col min="13061" max="13061" width="38.5703125" style="718" customWidth="1"/>
    <col min="13062" max="13062" width="9.42578125" style="718" customWidth="1"/>
    <col min="13063" max="13063" width="10" style="718" customWidth="1"/>
    <col min="13064" max="13064" width="9.140625" style="718" customWidth="1"/>
    <col min="13065" max="13065" width="10.28515625" style="718" customWidth="1"/>
    <col min="13066" max="13066" width="27.28515625" style="718" customWidth="1"/>
    <col min="13067" max="13312" width="9.140625" style="718"/>
    <col min="13313" max="13313" width="38.7109375" style="718" customWidth="1"/>
    <col min="13314" max="13315" width="17.7109375" style="718" customWidth="1"/>
    <col min="13316" max="13316" width="19.85546875" style="718" customWidth="1"/>
    <col min="13317" max="13317" width="38.5703125" style="718" customWidth="1"/>
    <col min="13318" max="13318" width="9.42578125" style="718" customWidth="1"/>
    <col min="13319" max="13319" width="10" style="718" customWidth="1"/>
    <col min="13320" max="13320" width="9.140625" style="718" customWidth="1"/>
    <col min="13321" max="13321" width="10.28515625" style="718" customWidth="1"/>
    <col min="13322" max="13322" width="27.28515625" style="718" customWidth="1"/>
    <col min="13323" max="13568" width="9.140625" style="718"/>
    <col min="13569" max="13569" width="38.7109375" style="718" customWidth="1"/>
    <col min="13570" max="13571" width="17.7109375" style="718" customWidth="1"/>
    <col min="13572" max="13572" width="19.85546875" style="718" customWidth="1"/>
    <col min="13573" max="13573" width="38.5703125" style="718" customWidth="1"/>
    <col min="13574" max="13574" width="9.42578125" style="718" customWidth="1"/>
    <col min="13575" max="13575" width="10" style="718" customWidth="1"/>
    <col min="13576" max="13576" width="9.140625" style="718" customWidth="1"/>
    <col min="13577" max="13577" width="10.28515625" style="718" customWidth="1"/>
    <col min="13578" max="13578" width="27.28515625" style="718" customWidth="1"/>
    <col min="13579" max="13824" width="9.140625" style="718"/>
    <col min="13825" max="13825" width="38.7109375" style="718" customWidth="1"/>
    <col min="13826" max="13827" width="17.7109375" style="718" customWidth="1"/>
    <col min="13828" max="13828" width="19.85546875" style="718" customWidth="1"/>
    <col min="13829" max="13829" width="38.5703125" style="718" customWidth="1"/>
    <col min="13830" max="13830" width="9.42578125" style="718" customWidth="1"/>
    <col min="13831" max="13831" width="10" style="718" customWidth="1"/>
    <col min="13832" max="13832" width="9.140625" style="718" customWidth="1"/>
    <col min="13833" max="13833" width="10.28515625" style="718" customWidth="1"/>
    <col min="13834" max="13834" width="27.28515625" style="718" customWidth="1"/>
    <col min="13835" max="14080" width="9.140625" style="718"/>
    <col min="14081" max="14081" width="38.7109375" style="718" customWidth="1"/>
    <col min="14082" max="14083" width="17.7109375" style="718" customWidth="1"/>
    <col min="14084" max="14084" width="19.85546875" style="718" customWidth="1"/>
    <col min="14085" max="14085" width="38.5703125" style="718" customWidth="1"/>
    <col min="14086" max="14086" width="9.42578125" style="718" customWidth="1"/>
    <col min="14087" max="14087" width="10" style="718" customWidth="1"/>
    <col min="14088" max="14088" width="9.140625" style="718" customWidth="1"/>
    <col min="14089" max="14089" width="10.28515625" style="718" customWidth="1"/>
    <col min="14090" max="14090" width="27.28515625" style="718" customWidth="1"/>
    <col min="14091" max="14336" width="9.140625" style="718"/>
    <col min="14337" max="14337" width="38.7109375" style="718" customWidth="1"/>
    <col min="14338" max="14339" width="17.7109375" style="718" customWidth="1"/>
    <col min="14340" max="14340" width="19.85546875" style="718" customWidth="1"/>
    <col min="14341" max="14341" width="38.5703125" style="718" customWidth="1"/>
    <col min="14342" max="14342" width="9.42578125" style="718" customWidth="1"/>
    <col min="14343" max="14343" width="10" style="718" customWidth="1"/>
    <col min="14344" max="14344" width="9.140625" style="718" customWidth="1"/>
    <col min="14345" max="14345" width="10.28515625" style="718" customWidth="1"/>
    <col min="14346" max="14346" width="27.28515625" style="718" customWidth="1"/>
    <col min="14347" max="14592" width="9.140625" style="718"/>
    <col min="14593" max="14593" width="38.7109375" style="718" customWidth="1"/>
    <col min="14594" max="14595" width="17.7109375" style="718" customWidth="1"/>
    <col min="14596" max="14596" width="19.85546875" style="718" customWidth="1"/>
    <col min="14597" max="14597" width="38.5703125" style="718" customWidth="1"/>
    <col min="14598" max="14598" width="9.42578125" style="718" customWidth="1"/>
    <col min="14599" max="14599" width="10" style="718" customWidth="1"/>
    <col min="14600" max="14600" width="9.140625" style="718" customWidth="1"/>
    <col min="14601" max="14601" width="10.28515625" style="718" customWidth="1"/>
    <col min="14602" max="14602" width="27.28515625" style="718" customWidth="1"/>
    <col min="14603" max="14848" width="9.140625" style="718"/>
    <col min="14849" max="14849" width="38.7109375" style="718" customWidth="1"/>
    <col min="14850" max="14851" width="17.7109375" style="718" customWidth="1"/>
    <col min="14852" max="14852" width="19.85546875" style="718" customWidth="1"/>
    <col min="14853" max="14853" width="38.5703125" style="718" customWidth="1"/>
    <col min="14854" max="14854" width="9.42578125" style="718" customWidth="1"/>
    <col min="14855" max="14855" width="10" style="718" customWidth="1"/>
    <col min="14856" max="14856" width="9.140625" style="718" customWidth="1"/>
    <col min="14857" max="14857" width="10.28515625" style="718" customWidth="1"/>
    <col min="14858" max="14858" width="27.28515625" style="718" customWidth="1"/>
    <col min="14859" max="15104" width="9.140625" style="718"/>
    <col min="15105" max="15105" width="38.7109375" style="718" customWidth="1"/>
    <col min="15106" max="15107" width="17.7109375" style="718" customWidth="1"/>
    <col min="15108" max="15108" width="19.85546875" style="718" customWidth="1"/>
    <col min="15109" max="15109" width="38.5703125" style="718" customWidth="1"/>
    <col min="15110" max="15110" width="9.42578125" style="718" customWidth="1"/>
    <col min="15111" max="15111" width="10" style="718" customWidth="1"/>
    <col min="15112" max="15112" width="9.140625" style="718" customWidth="1"/>
    <col min="15113" max="15113" width="10.28515625" style="718" customWidth="1"/>
    <col min="15114" max="15114" width="27.28515625" style="718" customWidth="1"/>
    <col min="15115" max="15360" width="9.140625" style="718"/>
    <col min="15361" max="15361" width="38.7109375" style="718" customWidth="1"/>
    <col min="15362" max="15363" width="17.7109375" style="718" customWidth="1"/>
    <col min="15364" max="15364" width="19.85546875" style="718" customWidth="1"/>
    <col min="15365" max="15365" width="38.5703125" style="718" customWidth="1"/>
    <col min="15366" max="15366" width="9.42578125" style="718" customWidth="1"/>
    <col min="15367" max="15367" width="10" style="718" customWidth="1"/>
    <col min="15368" max="15368" width="9.140625" style="718" customWidth="1"/>
    <col min="15369" max="15369" width="10.28515625" style="718" customWidth="1"/>
    <col min="15370" max="15370" width="27.28515625" style="718" customWidth="1"/>
    <col min="15371" max="15616" width="9.140625" style="718"/>
    <col min="15617" max="15617" width="38.7109375" style="718" customWidth="1"/>
    <col min="15618" max="15619" width="17.7109375" style="718" customWidth="1"/>
    <col min="15620" max="15620" width="19.85546875" style="718" customWidth="1"/>
    <col min="15621" max="15621" width="38.5703125" style="718" customWidth="1"/>
    <col min="15622" max="15622" width="9.42578125" style="718" customWidth="1"/>
    <col min="15623" max="15623" width="10" style="718" customWidth="1"/>
    <col min="15624" max="15624" width="9.140625" style="718" customWidth="1"/>
    <col min="15625" max="15625" width="10.28515625" style="718" customWidth="1"/>
    <col min="15626" max="15626" width="27.28515625" style="718" customWidth="1"/>
    <col min="15627" max="15872" width="9.140625" style="718"/>
    <col min="15873" max="15873" width="38.7109375" style="718" customWidth="1"/>
    <col min="15874" max="15875" width="17.7109375" style="718" customWidth="1"/>
    <col min="15876" max="15876" width="19.85546875" style="718" customWidth="1"/>
    <col min="15877" max="15877" width="38.5703125" style="718" customWidth="1"/>
    <col min="15878" max="15878" width="9.42578125" style="718" customWidth="1"/>
    <col min="15879" max="15879" width="10" style="718" customWidth="1"/>
    <col min="15880" max="15880" width="9.140625" style="718" customWidth="1"/>
    <col min="15881" max="15881" width="10.28515625" style="718" customWidth="1"/>
    <col min="15882" max="15882" width="27.28515625" style="718" customWidth="1"/>
    <col min="15883" max="16128" width="9.140625" style="718"/>
    <col min="16129" max="16129" width="38.7109375" style="718" customWidth="1"/>
    <col min="16130" max="16131" width="17.7109375" style="718" customWidth="1"/>
    <col min="16132" max="16132" width="19.85546875" style="718" customWidth="1"/>
    <col min="16133" max="16133" width="38.5703125" style="718" customWidth="1"/>
    <col min="16134" max="16134" width="9.42578125" style="718" customWidth="1"/>
    <col min="16135" max="16135" width="10" style="718" customWidth="1"/>
    <col min="16136" max="16136" width="9.140625" style="718" customWidth="1"/>
    <col min="16137" max="16137" width="10.28515625" style="718" customWidth="1"/>
    <col min="16138" max="16138" width="27.28515625" style="718" customWidth="1"/>
    <col min="16139" max="16384" width="9.140625" style="718"/>
  </cols>
  <sheetData>
    <row r="1" spans="1:10" ht="13.5" customHeight="1">
      <c r="A1" s="1843" t="s">
        <v>2349</v>
      </c>
      <c r="B1" s="1843"/>
      <c r="C1" s="1843"/>
      <c r="D1" s="1843"/>
      <c r="E1" s="1843"/>
      <c r="F1" s="717"/>
      <c r="G1" s="717"/>
      <c r="H1" s="717"/>
      <c r="I1" s="717"/>
      <c r="J1" s="717"/>
    </row>
    <row r="2" spans="1:10" ht="13.5" customHeight="1">
      <c r="A2" s="1843" t="s">
        <v>2350</v>
      </c>
      <c r="B2" s="1843"/>
      <c r="C2" s="1843"/>
      <c r="D2" s="1843"/>
      <c r="E2" s="1843"/>
      <c r="F2" s="717"/>
      <c r="G2" s="717"/>
      <c r="H2" s="717"/>
      <c r="I2" s="717"/>
      <c r="J2" s="717"/>
    </row>
    <row r="3" spans="1:10" s="786" customFormat="1" ht="13.5" customHeight="1">
      <c r="A3" s="784" t="s">
        <v>2304</v>
      </c>
      <c r="B3" s="784"/>
      <c r="C3" s="784"/>
      <c r="D3" s="784"/>
      <c r="E3" s="785" t="s">
        <v>2305</v>
      </c>
    </row>
    <row r="4" spans="1:10" s="720" customFormat="1" ht="13.5" customHeight="1">
      <c r="A4" s="1844"/>
      <c r="B4" s="1847" t="s">
        <v>2351</v>
      </c>
      <c r="C4" s="1848"/>
      <c r="D4" s="1849"/>
      <c r="E4" s="1850"/>
    </row>
    <row r="5" spans="1:10" s="720" customFormat="1" ht="13.5" customHeight="1">
      <c r="A5" s="1845"/>
      <c r="B5" s="1714" t="s">
        <v>2307</v>
      </c>
      <c r="C5" s="1711" t="s">
        <v>2064</v>
      </c>
      <c r="D5" s="1713"/>
      <c r="E5" s="1851"/>
    </row>
    <row r="6" spans="1:10" s="720" customFormat="1" ht="13.5" customHeight="1">
      <c r="A6" s="1845"/>
      <c r="B6" s="1715"/>
      <c r="C6" s="661" t="s">
        <v>2308</v>
      </c>
      <c r="D6" s="661" t="s">
        <v>2309</v>
      </c>
      <c r="E6" s="1851"/>
    </row>
    <row r="7" spans="1:10" s="720" customFormat="1" ht="13.5" customHeight="1">
      <c r="A7" s="1845"/>
      <c r="B7" s="1711" t="s">
        <v>2352</v>
      </c>
      <c r="C7" s="1712"/>
      <c r="D7" s="1713"/>
      <c r="E7" s="1851"/>
    </row>
    <row r="8" spans="1:10" s="720" customFormat="1" ht="13.5" customHeight="1">
      <c r="A8" s="1845"/>
      <c r="B8" s="1714" t="s">
        <v>2310</v>
      </c>
      <c r="C8" s="1711" t="s">
        <v>2264</v>
      </c>
      <c r="D8" s="1713"/>
      <c r="E8" s="1851"/>
    </row>
    <row r="9" spans="1:10" s="720" customFormat="1" ht="13.5" customHeight="1">
      <c r="A9" s="1846"/>
      <c r="B9" s="1715"/>
      <c r="C9" s="662" t="s">
        <v>2311</v>
      </c>
      <c r="D9" s="661" t="s">
        <v>2312</v>
      </c>
      <c r="E9" s="1852"/>
    </row>
    <row r="10" spans="1:10" s="719" customFormat="1" ht="12">
      <c r="A10" s="721" t="s">
        <v>2313</v>
      </c>
      <c r="B10" s="708">
        <v>30570</v>
      </c>
      <c r="C10" s="708">
        <v>34966</v>
      </c>
      <c r="D10" s="708">
        <v>23549</v>
      </c>
      <c r="E10" s="721" t="s">
        <v>2314</v>
      </c>
    </row>
    <row r="11" spans="1:10" s="719" customFormat="1" ht="12">
      <c r="A11" s="787" t="s">
        <v>2315</v>
      </c>
      <c r="B11" s="711">
        <v>1144</v>
      </c>
      <c r="C11" s="711">
        <v>1402</v>
      </c>
      <c r="D11" s="711">
        <v>733</v>
      </c>
      <c r="E11" s="787" t="s">
        <v>2316</v>
      </c>
    </row>
    <row r="12" spans="1:10" s="722" customFormat="1" ht="24">
      <c r="A12" s="787" t="s">
        <v>2317</v>
      </c>
      <c r="B12" s="711">
        <v>759</v>
      </c>
      <c r="C12" s="711">
        <v>602</v>
      </c>
      <c r="D12" s="711">
        <v>1009</v>
      </c>
      <c r="E12" s="788" t="s">
        <v>2318</v>
      </c>
    </row>
    <row r="13" spans="1:10" s="722" customFormat="1" ht="12">
      <c r="A13" s="787" t="s">
        <v>2319</v>
      </c>
      <c r="B13" s="711">
        <v>15673</v>
      </c>
      <c r="C13" s="711">
        <v>17593</v>
      </c>
      <c r="D13" s="711">
        <v>12605</v>
      </c>
      <c r="E13" s="788" t="s">
        <v>2320</v>
      </c>
    </row>
    <row r="14" spans="1:10" s="723" customFormat="1" ht="12">
      <c r="A14" s="787" t="s">
        <v>2321</v>
      </c>
      <c r="B14" s="711">
        <v>934</v>
      </c>
      <c r="C14" s="711">
        <v>1143</v>
      </c>
      <c r="D14" s="711">
        <v>600</v>
      </c>
      <c r="E14" s="787" t="s">
        <v>2322</v>
      </c>
    </row>
    <row r="15" spans="1:10" s="723" customFormat="1" ht="12">
      <c r="A15" s="787" t="s">
        <v>2323</v>
      </c>
      <c r="B15" s="711">
        <v>6482</v>
      </c>
      <c r="C15" s="711">
        <v>7959</v>
      </c>
      <c r="D15" s="711">
        <v>4124</v>
      </c>
      <c r="E15" s="787" t="s">
        <v>2324</v>
      </c>
    </row>
    <row r="16" spans="1:10" s="723" customFormat="1" ht="12">
      <c r="A16" s="787" t="s">
        <v>2325</v>
      </c>
      <c r="B16" s="711">
        <v>1503</v>
      </c>
      <c r="C16" s="711">
        <v>1875</v>
      </c>
      <c r="D16" s="711">
        <v>909</v>
      </c>
      <c r="E16" s="787" t="s">
        <v>2326</v>
      </c>
    </row>
    <row r="17" spans="1:5" s="723" customFormat="1" ht="12">
      <c r="A17" s="787" t="s">
        <v>2327</v>
      </c>
      <c r="B17" s="711">
        <v>1404</v>
      </c>
      <c r="C17" s="711">
        <v>1639</v>
      </c>
      <c r="D17" s="711">
        <v>1029</v>
      </c>
      <c r="E17" s="787" t="s">
        <v>2328</v>
      </c>
    </row>
    <row r="18" spans="1:5" s="723" customFormat="1" ht="24">
      <c r="A18" s="787" t="s">
        <v>2329</v>
      </c>
      <c r="B18" s="711">
        <v>1882</v>
      </c>
      <c r="C18" s="711">
        <v>1989</v>
      </c>
      <c r="D18" s="711">
        <v>1711</v>
      </c>
      <c r="E18" s="787" t="s">
        <v>2330</v>
      </c>
    </row>
    <row r="19" spans="1:5" s="723" customFormat="1" ht="24">
      <c r="A19" s="787" t="s">
        <v>2331</v>
      </c>
      <c r="B19" s="711">
        <v>417</v>
      </c>
      <c r="C19" s="711">
        <v>332</v>
      </c>
      <c r="D19" s="711">
        <v>553</v>
      </c>
      <c r="E19" s="787" t="s">
        <v>2332</v>
      </c>
    </row>
    <row r="20" spans="1:5" s="723" customFormat="1" ht="12">
      <c r="A20" s="789" t="s">
        <v>2333</v>
      </c>
      <c r="B20" s="715">
        <v>372</v>
      </c>
      <c r="C20" s="715">
        <v>432</v>
      </c>
      <c r="D20" s="715">
        <v>276</v>
      </c>
      <c r="E20" s="789" t="s">
        <v>322</v>
      </c>
    </row>
    <row r="21" spans="1:5" ht="29.25" customHeight="1">
      <c r="B21" s="724"/>
      <c r="C21" s="724"/>
      <c r="D21" s="724"/>
    </row>
  </sheetData>
  <mergeCells count="10">
    <mergeCell ref="A1:E1"/>
    <mergeCell ref="A2:E2"/>
    <mergeCell ref="A4:A9"/>
    <mergeCell ref="B4:D4"/>
    <mergeCell ref="E4:E9"/>
    <mergeCell ref="B5:B6"/>
    <mergeCell ref="C5:D5"/>
    <mergeCell ref="B7:D7"/>
    <mergeCell ref="B8:B9"/>
    <mergeCell ref="C8:D8"/>
  </mergeCells>
  <pageMargins left="0.78740157480314965" right="0.59055118110236227" top="0.59055118110236227" bottom="0.59055118110236227" header="0" footer="0.35433070866141736"/>
  <pageSetup paperSize="9" orientation="landscape" horizontalDpi="300" verticalDpi="300" r:id="rId1"/>
  <headerFooter alignWithMargins="0">
    <oddFooter>&amp;R39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0"/>
  </sheetPr>
  <dimension ref="A1:P125"/>
  <sheetViews>
    <sheetView view="pageBreakPreview" zoomScale="85" zoomScaleNormal="80" zoomScaleSheetLayoutView="85" workbookViewId="0">
      <selection activeCell="F53" sqref="F53"/>
    </sheetView>
  </sheetViews>
  <sheetFormatPr defaultRowHeight="15"/>
  <cols>
    <col min="1" max="1" width="10.28515625" style="42" customWidth="1"/>
    <col min="2" max="2" width="24.85546875" style="128" customWidth="1"/>
    <col min="3" max="3" width="16.85546875" style="109" customWidth="1"/>
    <col min="4" max="4" width="10.28515625" style="109" customWidth="1"/>
    <col min="5" max="5" width="11" style="109" customWidth="1"/>
    <col min="6" max="6" width="31.140625" style="109" customWidth="1"/>
    <col min="7" max="7" width="11.5703125" style="109" customWidth="1"/>
    <col min="8" max="8" width="14.5703125" style="109" customWidth="1"/>
    <col min="9" max="9" width="31.42578125" style="109" customWidth="1"/>
    <col min="10" max="10" width="9.85546875" style="109" hidden="1" customWidth="1"/>
    <col min="11" max="11" width="40" style="109" hidden="1" customWidth="1"/>
    <col min="12" max="12" width="40.7109375" style="109" hidden="1" customWidth="1"/>
    <col min="13" max="13" width="43" style="109" hidden="1" customWidth="1"/>
    <col min="14" max="14" width="37" style="109" customWidth="1"/>
    <col min="15" max="15" width="48.42578125" style="132" customWidth="1"/>
    <col min="16" max="16384" width="9.140625" style="42"/>
  </cols>
  <sheetData>
    <row r="1" spans="1:16" s="39" customFormat="1" ht="23.25" thickBot="1">
      <c r="A1" s="1853" t="s">
        <v>332</v>
      </c>
      <c r="B1" s="1854"/>
      <c r="C1" s="1854"/>
      <c r="D1" s="1854"/>
      <c r="E1" s="1854"/>
      <c r="F1" s="1854"/>
      <c r="G1" s="1854"/>
      <c r="H1" s="1854"/>
      <c r="I1" s="1854"/>
      <c r="J1" s="1854"/>
      <c r="K1" s="1854"/>
      <c r="L1" s="1854"/>
      <c r="M1" s="1854"/>
      <c r="N1" s="1854"/>
      <c r="O1" s="1855"/>
    </row>
    <row r="2" spans="1:16" ht="72" customHeight="1" thickBot="1">
      <c r="A2" s="1856" t="s">
        <v>579</v>
      </c>
      <c r="B2" s="1857"/>
      <c r="C2" s="40"/>
      <c r="D2" s="1858" t="s">
        <v>580</v>
      </c>
      <c r="E2" s="1859"/>
      <c r="F2" s="1860"/>
      <c r="G2" s="1858" t="s">
        <v>581</v>
      </c>
      <c r="H2" s="1859"/>
      <c r="I2" s="1860"/>
      <c r="J2" s="1861" t="s">
        <v>582</v>
      </c>
      <c r="K2" s="1862"/>
      <c r="L2" s="1862"/>
      <c r="M2" s="1862"/>
      <c r="N2" s="41" t="s">
        <v>583</v>
      </c>
      <c r="O2" s="41" t="s">
        <v>584</v>
      </c>
    </row>
    <row r="3" spans="1:16" s="52" customFormat="1" ht="47.25" customHeight="1">
      <c r="A3" s="43" t="s">
        <v>0</v>
      </c>
      <c r="B3" s="44" t="s">
        <v>1</v>
      </c>
      <c r="C3" s="45" t="s">
        <v>2</v>
      </c>
      <c r="D3" s="43" t="s">
        <v>0</v>
      </c>
      <c r="E3" s="46" t="s">
        <v>1</v>
      </c>
      <c r="F3" s="47" t="s">
        <v>2</v>
      </c>
      <c r="G3" s="43" t="s">
        <v>0</v>
      </c>
      <c r="H3" s="46" t="s">
        <v>1</v>
      </c>
      <c r="I3" s="47" t="s">
        <v>2</v>
      </c>
      <c r="J3" s="48" t="s">
        <v>0</v>
      </c>
      <c r="K3" s="46" t="s">
        <v>333</v>
      </c>
      <c r="L3" s="46" t="s">
        <v>3</v>
      </c>
      <c r="M3" s="49" t="s">
        <v>585</v>
      </c>
      <c r="N3" s="50" t="s">
        <v>586</v>
      </c>
      <c r="O3" s="51" t="s">
        <v>586</v>
      </c>
    </row>
    <row r="4" spans="1:16" s="52" customFormat="1" ht="33.75" customHeight="1">
      <c r="A4" s="53" t="s">
        <v>587</v>
      </c>
      <c r="B4" s="54" t="s">
        <v>588</v>
      </c>
      <c r="C4" s="55" t="s">
        <v>336</v>
      </c>
      <c r="D4" s="53" t="s">
        <v>587</v>
      </c>
      <c r="E4" s="56" t="s">
        <v>588</v>
      </c>
      <c r="F4" s="57" t="s">
        <v>336</v>
      </c>
      <c r="G4" s="53" t="s">
        <v>587</v>
      </c>
      <c r="H4" s="56" t="s">
        <v>588</v>
      </c>
      <c r="I4" s="57" t="s">
        <v>336</v>
      </c>
      <c r="J4" s="58" t="s">
        <v>334</v>
      </c>
      <c r="K4" s="59" t="s">
        <v>335</v>
      </c>
      <c r="L4" s="59" t="s">
        <v>589</v>
      </c>
      <c r="M4" s="60" t="s">
        <v>589</v>
      </c>
      <c r="N4" s="61" t="s">
        <v>590</v>
      </c>
      <c r="O4" s="62" t="s">
        <v>8</v>
      </c>
    </row>
    <row r="5" spans="1:16" ht="30">
      <c r="A5" s="63" t="s">
        <v>591</v>
      </c>
      <c r="B5" s="64" t="s">
        <v>592</v>
      </c>
      <c r="C5" s="65" t="s">
        <v>339</v>
      </c>
      <c r="D5" s="63" t="s">
        <v>591</v>
      </c>
      <c r="E5" s="66" t="s">
        <v>592</v>
      </c>
      <c r="F5" s="67" t="s">
        <v>339</v>
      </c>
      <c r="G5" s="63" t="s">
        <v>591</v>
      </c>
      <c r="H5" s="66" t="s">
        <v>592</v>
      </c>
      <c r="I5" s="67" t="s">
        <v>339</v>
      </c>
      <c r="J5" s="68" t="s">
        <v>337</v>
      </c>
      <c r="K5" s="69" t="s">
        <v>338</v>
      </c>
      <c r="L5" s="69" t="s">
        <v>339</v>
      </c>
      <c r="M5" s="70" t="s">
        <v>339</v>
      </c>
      <c r="N5" s="71" t="s">
        <v>8</v>
      </c>
      <c r="O5" s="62" t="s">
        <v>8</v>
      </c>
    </row>
    <row r="6" spans="1:16">
      <c r="A6" s="72" t="s">
        <v>8</v>
      </c>
      <c r="B6" s="73" t="s">
        <v>8</v>
      </c>
      <c r="C6" s="74" t="s">
        <v>8</v>
      </c>
      <c r="D6" s="72" t="s">
        <v>593</v>
      </c>
      <c r="E6" s="75"/>
      <c r="F6" s="76" t="s">
        <v>341</v>
      </c>
      <c r="G6" s="72" t="s">
        <v>593</v>
      </c>
      <c r="H6" s="75"/>
      <c r="I6" s="76" t="s">
        <v>341</v>
      </c>
      <c r="J6" s="77"/>
      <c r="K6" s="69"/>
      <c r="L6" s="69"/>
      <c r="M6" s="70"/>
      <c r="N6" s="71" t="s">
        <v>8</v>
      </c>
      <c r="O6" s="62" t="s">
        <v>8</v>
      </c>
    </row>
    <row r="7" spans="1:16" ht="62.25" customHeight="1">
      <c r="A7" s="72" t="s">
        <v>8</v>
      </c>
      <c r="B7" s="73" t="s">
        <v>8</v>
      </c>
      <c r="C7" s="74" t="s">
        <v>8</v>
      </c>
      <c r="D7" s="72" t="s">
        <v>342</v>
      </c>
      <c r="E7" s="75"/>
      <c r="F7" s="76" t="s">
        <v>594</v>
      </c>
      <c r="G7" s="72" t="s">
        <v>342</v>
      </c>
      <c r="H7" s="75"/>
      <c r="I7" s="76" t="s">
        <v>594</v>
      </c>
      <c r="J7" s="77"/>
      <c r="K7" s="69"/>
      <c r="L7" s="69"/>
      <c r="M7" s="70"/>
      <c r="N7" s="71" t="s">
        <v>8</v>
      </c>
      <c r="O7" s="62" t="s">
        <v>8</v>
      </c>
    </row>
    <row r="8" spans="1:16" ht="33" customHeight="1">
      <c r="A8" s="72" t="s">
        <v>8</v>
      </c>
      <c r="B8" s="73" t="s">
        <v>8</v>
      </c>
      <c r="C8" s="74" t="s">
        <v>8</v>
      </c>
      <c r="D8" s="72" t="s">
        <v>344</v>
      </c>
      <c r="E8" s="75"/>
      <c r="F8" s="76" t="s">
        <v>595</v>
      </c>
      <c r="G8" s="72" t="s">
        <v>344</v>
      </c>
      <c r="H8" s="75"/>
      <c r="I8" s="76" t="s">
        <v>596</v>
      </c>
      <c r="J8" s="77"/>
      <c r="K8" s="69"/>
      <c r="L8" s="69"/>
      <c r="M8" s="70"/>
      <c r="N8" s="71" t="s">
        <v>8</v>
      </c>
      <c r="O8" s="62" t="s">
        <v>8</v>
      </c>
    </row>
    <row r="9" spans="1:16" ht="21" customHeight="1">
      <c r="A9" s="72" t="s">
        <v>8</v>
      </c>
      <c r="B9" s="73" t="s">
        <v>8</v>
      </c>
      <c r="C9" s="74" t="s">
        <v>8</v>
      </c>
      <c r="D9" s="72" t="s">
        <v>597</v>
      </c>
      <c r="E9" s="75"/>
      <c r="F9" s="76" t="s">
        <v>598</v>
      </c>
      <c r="G9" s="72" t="s">
        <v>597</v>
      </c>
      <c r="H9" s="75"/>
      <c r="I9" s="76" t="s">
        <v>598</v>
      </c>
      <c r="J9" s="77"/>
      <c r="K9" s="69"/>
      <c r="L9" s="69"/>
      <c r="M9" s="70"/>
      <c r="N9" s="78" t="s">
        <v>598</v>
      </c>
      <c r="O9" s="62" t="s">
        <v>8</v>
      </c>
    </row>
    <row r="10" spans="1:16" ht="63" customHeight="1">
      <c r="A10" s="63" t="s">
        <v>599</v>
      </c>
      <c r="B10" s="64" t="s">
        <v>600</v>
      </c>
      <c r="C10" s="65" t="s">
        <v>348</v>
      </c>
      <c r="D10" s="63" t="s">
        <v>599</v>
      </c>
      <c r="E10" s="66" t="s">
        <v>600</v>
      </c>
      <c r="F10" s="67" t="s">
        <v>348</v>
      </c>
      <c r="G10" s="63" t="s">
        <v>599</v>
      </c>
      <c r="H10" s="66" t="s">
        <v>600</v>
      </c>
      <c r="I10" s="67" t="s">
        <v>348</v>
      </c>
      <c r="J10" s="68" t="s">
        <v>346</v>
      </c>
      <c r="K10" s="69" t="s">
        <v>347</v>
      </c>
      <c r="L10" s="69" t="s">
        <v>601</v>
      </c>
      <c r="M10" s="70" t="s">
        <v>601</v>
      </c>
      <c r="N10" s="71" t="s">
        <v>8</v>
      </c>
      <c r="O10" s="62" t="s">
        <v>8</v>
      </c>
    </row>
    <row r="11" spans="1:16" ht="48" customHeight="1">
      <c r="A11" s="72" t="s">
        <v>8</v>
      </c>
      <c r="B11" s="73" t="s">
        <v>8</v>
      </c>
      <c r="C11" s="74" t="s">
        <v>8</v>
      </c>
      <c r="D11" s="72" t="s">
        <v>602</v>
      </c>
      <c r="E11" s="75"/>
      <c r="F11" s="76" t="s">
        <v>603</v>
      </c>
      <c r="G11" s="72" t="s">
        <v>602</v>
      </c>
      <c r="H11" s="75"/>
      <c r="I11" s="76" t="s">
        <v>603</v>
      </c>
      <c r="J11" s="79" t="s">
        <v>603</v>
      </c>
      <c r="K11" s="76" t="s">
        <v>603</v>
      </c>
      <c r="L11" s="76" t="s">
        <v>603</v>
      </c>
      <c r="M11" s="80" t="s">
        <v>603</v>
      </c>
      <c r="N11" s="78" t="s">
        <v>604</v>
      </c>
      <c r="O11" s="81" t="s">
        <v>605</v>
      </c>
    </row>
    <row r="12" spans="1:16" ht="30.75" customHeight="1">
      <c r="A12" s="72" t="s">
        <v>8</v>
      </c>
      <c r="B12" s="73" t="s">
        <v>8</v>
      </c>
      <c r="C12" s="74" t="s">
        <v>8</v>
      </c>
      <c r="D12" s="72" t="s">
        <v>606</v>
      </c>
      <c r="E12" s="75"/>
      <c r="F12" s="76" t="s">
        <v>607</v>
      </c>
      <c r="G12" s="72" t="s">
        <v>606</v>
      </c>
      <c r="H12" s="75"/>
      <c r="I12" s="76" t="s">
        <v>607</v>
      </c>
      <c r="J12" s="77"/>
      <c r="K12" s="69"/>
      <c r="L12" s="69"/>
      <c r="M12" s="70"/>
      <c r="N12" s="78"/>
      <c r="O12" s="81" t="s">
        <v>607</v>
      </c>
    </row>
    <row r="13" spans="1:16" ht="30">
      <c r="A13" s="72" t="s">
        <v>8</v>
      </c>
      <c r="B13" s="73" t="s">
        <v>8</v>
      </c>
      <c r="C13" s="74" t="s">
        <v>8</v>
      </c>
      <c r="D13" s="72" t="s">
        <v>351</v>
      </c>
      <c r="E13" s="75"/>
      <c r="F13" s="76" t="s">
        <v>608</v>
      </c>
      <c r="G13" s="72" t="s">
        <v>351</v>
      </c>
      <c r="H13" s="75"/>
      <c r="I13" s="76" t="s">
        <v>608</v>
      </c>
      <c r="J13" s="77"/>
      <c r="K13" s="69"/>
      <c r="L13" s="69"/>
      <c r="M13" s="70"/>
      <c r="N13" s="78" t="s">
        <v>609</v>
      </c>
      <c r="O13" s="81" t="s">
        <v>608</v>
      </c>
    </row>
    <row r="14" spans="1:16" ht="34.5" customHeight="1">
      <c r="A14" s="72" t="s">
        <v>8</v>
      </c>
      <c r="B14" s="73" t="s">
        <v>8</v>
      </c>
      <c r="C14" s="74" t="s">
        <v>8</v>
      </c>
      <c r="D14" s="72" t="s">
        <v>610</v>
      </c>
      <c r="E14" s="75"/>
      <c r="F14" s="76" t="s">
        <v>611</v>
      </c>
      <c r="G14" s="72" t="s">
        <v>610</v>
      </c>
      <c r="H14" s="75"/>
      <c r="I14" s="76" t="s">
        <v>611</v>
      </c>
      <c r="J14" s="77"/>
      <c r="K14" s="69"/>
      <c r="L14" s="69"/>
      <c r="M14" s="70"/>
      <c r="N14" s="71" t="s">
        <v>8</v>
      </c>
      <c r="O14" s="71" t="s">
        <v>8</v>
      </c>
    </row>
    <row r="15" spans="1:16" ht="75.75" customHeight="1">
      <c r="A15" s="63" t="s">
        <v>612</v>
      </c>
      <c r="B15" s="64" t="s">
        <v>613</v>
      </c>
      <c r="C15" s="65" t="s">
        <v>614</v>
      </c>
      <c r="D15" s="63" t="s">
        <v>612</v>
      </c>
      <c r="E15" s="66" t="s">
        <v>613</v>
      </c>
      <c r="F15" s="67" t="s">
        <v>614</v>
      </c>
      <c r="G15" s="63" t="s">
        <v>612</v>
      </c>
      <c r="H15" s="66" t="s">
        <v>613</v>
      </c>
      <c r="I15" s="67" t="s">
        <v>614</v>
      </c>
      <c r="J15" s="68" t="s">
        <v>353</v>
      </c>
      <c r="K15" s="69" t="s">
        <v>615</v>
      </c>
      <c r="L15" s="69" t="s">
        <v>616</v>
      </c>
      <c r="M15" s="70" t="s">
        <v>354</v>
      </c>
      <c r="N15" s="71" t="s">
        <v>8</v>
      </c>
      <c r="O15" s="81" t="s">
        <v>617</v>
      </c>
      <c r="P15" s="42" t="s">
        <v>618</v>
      </c>
    </row>
    <row r="16" spans="1:16" ht="30.75" customHeight="1">
      <c r="A16" s="72" t="s">
        <v>8</v>
      </c>
      <c r="B16" s="73" t="s">
        <v>8</v>
      </c>
      <c r="C16" s="74" t="s">
        <v>8</v>
      </c>
      <c r="D16" s="72" t="s">
        <v>355</v>
      </c>
      <c r="E16" s="75"/>
      <c r="F16" s="76" t="s">
        <v>356</v>
      </c>
      <c r="G16" s="72" t="s">
        <v>355</v>
      </c>
      <c r="H16" s="75"/>
      <c r="I16" s="76" t="s">
        <v>356</v>
      </c>
      <c r="J16" s="77"/>
      <c r="K16" s="69"/>
      <c r="L16" s="69"/>
      <c r="M16" s="70"/>
      <c r="N16" s="78" t="s">
        <v>356</v>
      </c>
      <c r="O16" s="81" t="s">
        <v>619</v>
      </c>
    </row>
    <row r="17" spans="1:15" ht="30" customHeight="1">
      <c r="A17" s="72" t="s">
        <v>8</v>
      </c>
      <c r="B17" s="73" t="s">
        <v>8</v>
      </c>
      <c r="C17" s="74" t="s">
        <v>8</v>
      </c>
      <c r="D17" s="82" t="s">
        <v>373</v>
      </c>
      <c r="E17" s="75"/>
      <c r="F17" s="76" t="s">
        <v>374</v>
      </c>
      <c r="G17" s="82" t="s">
        <v>373</v>
      </c>
      <c r="H17" s="75"/>
      <c r="I17" s="76" t="s">
        <v>374</v>
      </c>
      <c r="J17" s="77"/>
      <c r="K17" s="69"/>
      <c r="L17" s="69"/>
      <c r="M17" s="70"/>
      <c r="N17" s="78" t="s">
        <v>620</v>
      </c>
      <c r="O17" s="81" t="s">
        <v>621</v>
      </c>
    </row>
    <row r="18" spans="1:15" ht="28.5" customHeight="1">
      <c r="A18" s="72" t="s">
        <v>8</v>
      </c>
      <c r="B18" s="73" t="s">
        <v>8</v>
      </c>
      <c r="C18" s="74" t="s">
        <v>8</v>
      </c>
      <c r="D18" s="82" t="s">
        <v>375</v>
      </c>
      <c r="E18" s="75"/>
      <c r="F18" s="76" t="s">
        <v>376</v>
      </c>
      <c r="G18" s="82" t="s">
        <v>375</v>
      </c>
      <c r="H18" s="75"/>
      <c r="I18" s="76" t="s">
        <v>376</v>
      </c>
      <c r="J18" s="77"/>
      <c r="K18" s="69"/>
      <c r="L18" s="69"/>
      <c r="M18" s="70"/>
      <c r="N18" s="71" t="s">
        <v>8</v>
      </c>
      <c r="O18" s="71" t="s">
        <v>8</v>
      </c>
    </row>
    <row r="19" spans="1:15">
      <c r="A19" s="72" t="s">
        <v>8</v>
      </c>
      <c r="B19" s="73" t="s">
        <v>8</v>
      </c>
      <c r="C19" s="74" t="s">
        <v>8</v>
      </c>
      <c r="D19" s="82" t="s">
        <v>377</v>
      </c>
      <c r="E19" s="75"/>
      <c r="F19" s="76" t="s">
        <v>378</v>
      </c>
      <c r="G19" s="82" t="s">
        <v>377</v>
      </c>
      <c r="H19" s="75"/>
      <c r="I19" s="76" t="s">
        <v>378</v>
      </c>
      <c r="J19" s="77"/>
      <c r="K19" s="69"/>
      <c r="L19" s="69"/>
      <c r="M19" s="70"/>
      <c r="N19" s="71" t="s">
        <v>8</v>
      </c>
      <c r="O19" s="71" t="s">
        <v>8</v>
      </c>
    </row>
    <row r="20" spans="1:15" ht="15.75" customHeight="1">
      <c r="A20" s="72" t="s">
        <v>8</v>
      </c>
      <c r="B20" s="73" t="s">
        <v>8</v>
      </c>
      <c r="C20" s="74" t="s">
        <v>8</v>
      </c>
      <c r="D20" s="72" t="s">
        <v>357</v>
      </c>
      <c r="E20" s="75"/>
      <c r="F20" s="76" t="s">
        <v>358</v>
      </c>
      <c r="G20" s="72" t="s">
        <v>357</v>
      </c>
      <c r="H20" s="75"/>
      <c r="I20" s="76" t="s">
        <v>358</v>
      </c>
      <c r="J20" s="77"/>
      <c r="K20" s="69"/>
      <c r="L20" s="69"/>
      <c r="M20" s="70"/>
      <c r="N20" s="71" t="s">
        <v>8</v>
      </c>
      <c r="O20" s="71" t="s">
        <v>8</v>
      </c>
    </row>
    <row r="21" spans="1:15" ht="19.5" customHeight="1">
      <c r="A21" s="72" t="s">
        <v>8</v>
      </c>
      <c r="B21" s="73" t="s">
        <v>8</v>
      </c>
      <c r="C21" s="74" t="s">
        <v>8</v>
      </c>
      <c r="D21" s="72" t="s">
        <v>359</v>
      </c>
      <c r="E21" s="75"/>
      <c r="F21" s="76" t="s">
        <v>360</v>
      </c>
      <c r="G21" s="72" t="s">
        <v>359</v>
      </c>
      <c r="H21" s="75"/>
      <c r="I21" s="76" t="s">
        <v>360</v>
      </c>
      <c r="J21" s="77"/>
      <c r="K21" s="69"/>
      <c r="L21" s="69"/>
      <c r="M21" s="70"/>
      <c r="N21" s="71" t="s">
        <v>8</v>
      </c>
      <c r="O21" s="81" t="s">
        <v>622</v>
      </c>
    </row>
    <row r="22" spans="1:15" ht="31.5" customHeight="1">
      <c r="A22" s="72" t="s">
        <v>8</v>
      </c>
      <c r="B22" s="73" t="s">
        <v>8</v>
      </c>
      <c r="C22" s="74" t="s">
        <v>8</v>
      </c>
      <c r="D22" s="72" t="s">
        <v>361</v>
      </c>
      <c r="E22" s="75"/>
      <c r="F22" s="76" t="s">
        <v>362</v>
      </c>
      <c r="G22" s="72" t="s">
        <v>361</v>
      </c>
      <c r="H22" s="75"/>
      <c r="I22" s="76" t="s">
        <v>362</v>
      </c>
      <c r="J22" s="79" t="s">
        <v>362</v>
      </c>
      <c r="K22" s="76" t="s">
        <v>362</v>
      </c>
      <c r="L22" s="76" t="s">
        <v>362</v>
      </c>
      <c r="M22" s="80" t="s">
        <v>362</v>
      </c>
      <c r="N22" s="78" t="s">
        <v>623</v>
      </c>
      <c r="O22" s="81" t="s">
        <v>362</v>
      </c>
    </row>
    <row r="23" spans="1:15" ht="18" customHeight="1">
      <c r="A23" s="72" t="s">
        <v>8</v>
      </c>
      <c r="B23" s="73" t="s">
        <v>8</v>
      </c>
      <c r="C23" s="74" t="s">
        <v>8</v>
      </c>
      <c r="D23" s="72" t="s">
        <v>363</v>
      </c>
      <c r="E23" s="75"/>
      <c r="F23" s="76" t="s">
        <v>364</v>
      </c>
      <c r="G23" s="72" t="s">
        <v>363</v>
      </c>
      <c r="H23" s="75"/>
      <c r="I23" s="76" t="s">
        <v>364</v>
      </c>
      <c r="J23" s="79" t="s">
        <v>364</v>
      </c>
      <c r="K23" s="76" t="s">
        <v>364</v>
      </c>
      <c r="L23" s="76" t="s">
        <v>364</v>
      </c>
      <c r="M23" s="80" t="s">
        <v>364</v>
      </c>
      <c r="N23" s="78" t="s">
        <v>364</v>
      </c>
      <c r="O23" s="81" t="s">
        <v>364</v>
      </c>
    </row>
    <row r="24" spans="1:15" ht="18.75" customHeight="1">
      <c r="A24" s="72" t="s">
        <v>8</v>
      </c>
      <c r="B24" s="73" t="s">
        <v>8</v>
      </c>
      <c r="C24" s="74" t="s">
        <v>8</v>
      </c>
      <c r="D24" s="72" t="s">
        <v>365</v>
      </c>
      <c r="E24" s="75"/>
      <c r="F24" s="76" t="s">
        <v>366</v>
      </c>
      <c r="G24" s="72" t="s">
        <v>365</v>
      </c>
      <c r="H24" s="75"/>
      <c r="I24" s="76" t="s">
        <v>366</v>
      </c>
      <c r="J24" s="79" t="s">
        <v>366</v>
      </c>
      <c r="K24" s="76" t="s">
        <v>366</v>
      </c>
      <c r="L24" s="76" t="s">
        <v>366</v>
      </c>
      <c r="M24" s="80" t="s">
        <v>366</v>
      </c>
      <c r="N24" s="83" t="s">
        <v>8</v>
      </c>
      <c r="O24" s="81" t="s">
        <v>366</v>
      </c>
    </row>
    <row r="25" spans="1:15" ht="30.75" customHeight="1">
      <c r="A25" s="72" t="s">
        <v>8</v>
      </c>
      <c r="B25" s="73" t="s">
        <v>8</v>
      </c>
      <c r="C25" s="74" t="s">
        <v>8</v>
      </c>
      <c r="D25" s="72" t="s">
        <v>367</v>
      </c>
      <c r="E25" s="75"/>
      <c r="F25" s="76" t="s">
        <v>368</v>
      </c>
      <c r="G25" s="72" t="s">
        <v>367</v>
      </c>
      <c r="H25" s="75"/>
      <c r="I25" s="76" t="s">
        <v>368</v>
      </c>
      <c r="J25" s="79" t="s">
        <v>368</v>
      </c>
      <c r="K25" s="76" t="s">
        <v>368</v>
      </c>
      <c r="L25" s="76" t="s">
        <v>368</v>
      </c>
      <c r="M25" s="80" t="s">
        <v>368</v>
      </c>
      <c r="N25" s="78" t="s">
        <v>624</v>
      </c>
      <c r="O25" s="81" t="s">
        <v>368</v>
      </c>
    </row>
    <row r="26" spans="1:15" ht="15" customHeight="1">
      <c r="A26" s="72" t="s">
        <v>8</v>
      </c>
      <c r="B26" s="73" t="s">
        <v>8</v>
      </c>
      <c r="C26" s="74" t="s">
        <v>8</v>
      </c>
      <c r="D26" s="72" t="s">
        <v>369</v>
      </c>
      <c r="E26" s="75"/>
      <c r="F26" s="76" t="s">
        <v>370</v>
      </c>
      <c r="G26" s="72" t="s">
        <v>369</v>
      </c>
      <c r="H26" s="75"/>
      <c r="I26" s="76" t="s">
        <v>370</v>
      </c>
      <c r="J26" s="77"/>
      <c r="K26" s="69"/>
      <c r="L26" s="69"/>
      <c r="M26" s="70"/>
      <c r="N26" s="78" t="s">
        <v>625</v>
      </c>
      <c r="O26" s="81" t="s">
        <v>626</v>
      </c>
    </row>
    <row r="27" spans="1:15" ht="23.25" customHeight="1">
      <c r="A27" s="72" t="s">
        <v>8</v>
      </c>
      <c r="B27" s="73" t="s">
        <v>8</v>
      </c>
      <c r="C27" s="74" t="s">
        <v>8</v>
      </c>
      <c r="D27" s="72" t="s">
        <v>371</v>
      </c>
      <c r="E27" s="75"/>
      <c r="F27" s="76" t="s">
        <v>372</v>
      </c>
      <c r="G27" s="72" t="s">
        <v>371</v>
      </c>
      <c r="H27" s="75"/>
      <c r="I27" s="76" t="s">
        <v>372</v>
      </c>
      <c r="J27" s="79" t="s">
        <v>372</v>
      </c>
      <c r="K27" s="76" t="s">
        <v>372</v>
      </c>
      <c r="L27" s="76" t="s">
        <v>372</v>
      </c>
      <c r="M27" s="80" t="s">
        <v>372</v>
      </c>
      <c r="N27" s="83" t="s">
        <v>8</v>
      </c>
      <c r="O27" s="81" t="s">
        <v>372</v>
      </c>
    </row>
    <row r="28" spans="1:15" s="52" customFormat="1" ht="46.5" customHeight="1">
      <c r="A28" s="53" t="s">
        <v>627</v>
      </c>
      <c r="B28" s="54" t="s">
        <v>628</v>
      </c>
      <c r="C28" s="55" t="s">
        <v>382</v>
      </c>
      <c r="D28" s="53" t="s">
        <v>627</v>
      </c>
      <c r="E28" s="56" t="s">
        <v>628</v>
      </c>
      <c r="F28" s="57" t="s">
        <v>382</v>
      </c>
      <c r="G28" s="53" t="s">
        <v>627</v>
      </c>
      <c r="H28" s="56" t="s">
        <v>628</v>
      </c>
      <c r="I28" s="57" t="s">
        <v>382</v>
      </c>
      <c r="J28" s="58" t="s">
        <v>379</v>
      </c>
      <c r="K28" s="59" t="s">
        <v>380</v>
      </c>
      <c r="L28" s="59" t="s">
        <v>381</v>
      </c>
      <c r="M28" s="60" t="s">
        <v>381</v>
      </c>
      <c r="N28" s="84" t="s">
        <v>8</v>
      </c>
      <c r="O28" s="84" t="s">
        <v>8</v>
      </c>
    </row>
    <row r="29" spans="1:15" ht="32.25" customHeight="1">
      <c r="A29" s="63" t="s">
        <v>629</v>
      </c>
      <c r="B29" s="64" t="s">
        <v>630</v>
      </c>
      <c r="C29" s="65" t="s">
        <v>386</v>
      </c>
      <c r="D29" s="63" t="s">
        <v>629</v>
      </c>
      <c r="E29" s="66" t="s">
        <v>630</v>
      </c>
      <c r="F29" s="67" t="s">
        <v>386</v>
      </c>
      <c r="G29" s="63" t="s">
        <v>629</v>
      </c>
      <c r="H29" s="66" t="s">
        <v>630</v>
      </c>
      <c r="I29" s="67" t="s">
        <v>386</v>
      </c>
      <c r="J29" s="68" t="s">
        <v>383</v>
      </c>
      <c r="K29" s="69" t="s">
        <v>384</v>
      </c>
      <c r="L29" s="69" t="s">
        <v>385</v>
      </c>
      <c r="M29" s="70" t="s">
        <v>385</v>
      </c>
      <c r="N29" s="84" t="s">
        <v>8</v>
      </c>
      <c r="O29" s="84" t="s">
        <v>8</v>
      </c>
    </row>
    <row r="30" spans="1:15" ht="17.25" customHeight="1">
      <c r="A30" s="72" t="s">
        <v>8</v>
      </c>
      <c r="B30" s="73" t="s">
        <v>8</v>
      </c>
      <c r="C30" s="74" t="s">
        <v>8</v>
      </c>
      <c r="D30" s="72" t="s">
        <v>631</v>
      </c>
      <c r="E30" s="75"/>
      <c r="F30" s="76" t="s">
        <v>632</v>
      </c>
      <c r="G30" s="72" t="s">
        <v>631</v>
      </c>
      <c r="H30" s="75"/>
      <c r="I30" s="76" t="s">
        <v>632</v>
      </c>
      <c r="J30" s="77"/>
      <c r="K30" s="69"/>
      <c r="L30" s="69"/>
      <c r="M30" s="70"/>
      <c r="N30" s="78" t="s">
        <v>633</v>
      </c>
      <c r="O30" s="85" t="s">
        <v>634</v>
      </c>
    </row>
    <row r="31" spans="1:15">
      <c r="A31" s="72" t="s">
        <v>8</v>
      </c>
      <c r="B31" s="73" t="s">
        <v>8</v>
      </c>
      <c r="C31" s="74" t="s">
        <v>8</v>
      </c>
      <c r="D31" s="72" t="s">
        <v>389</v>
      </c>
      <c r="E31" s="75"/>
      <c r="F31" s="76" t="s">
        <v>390</v>
      </c>
      <c r="G31" s="72" t="s">
        <v>389</v>
      </c>
      <c r="H31" s="75"/>
      <c r="I31" s="76" t="s">
        <v>390</v>
      </c>
      <c r="J31" s="77"/>
      <c r="K31" s="69"/>
      <c r="L31" s="69"/>
      <c r="M31" s="70"/>
      <c r="N31" s="71" t="s">
        <v>8</v>
      </c>
      <c r="O31" s="62" t="s">
        <v>8</v>
      </c>
    </row>
    <row r="32" spans="1:15" ht="96" customHeight="1">
      <c r="A32" s="63" t="s">
        <v>635</v>
      </c>
      <c r="B32" s="64" t="s">
        <v>636</v>
      </c>
      <c r="C32" s="65" t="s">
        <v>637</v>
      </c>
      <c r="D32" s="63" t="s">
        <v>635</v>
      </c>
      <c r="E32" s="66" t="s">
        <v>636</v>
      </c>
      <c r="F32" s="67" t="s">
        <v>637</v>
      </c>
      <c r="G32" s="63" t="s">
        <v>635</v>
      </c>
      <c r="H32" s="66" t="s">
        <v>636</v>
      </c>
      <c r="I32" s="67" t="s">
        <v>637</v>
      </c>
      <c r="J32" s="68" t="s">
        <v>391</v>
      </c>
      <c r="K32" s="69" t="s">
        <v>392</v>
      </c>
      <c r="L32" s="69" t="s">
        <v>638</v>
      </c>
      <c r="M32" s="70" t="s">
        <v>638</v>
      </c>
      <c r="N32" s="71" t="s">
        <v>8</v>
      </c>
      <c r="O32" s="62" t="s">
        <v>8</v>
      </c>
    </row>
    <row r="33" spans="1:15" ht="46.5" customHeight="1">
      <c r="A33" s="63" t="s">
        <v>394</v>
      </c>
      <c r="B33" s="64" t="s">
        <v>639</v>
      </c>
      <c r="C33" s="65" t="s">
        <v>640</v>
      </c>
      <c r="D33" s="63" t="s">
        <v>394</v>
      </c>
      <c r="E33" s="66" t="s">
        <v>639</v>
      </c>
      <c r="F33" s="67" t="s">
        <v>640</v>
      </c>
      <c r="G33" s="63" t="s">
        <v>394</v>
      </c>
      <c r="H33" s="66" t="s">
        <v>639</v>
      </c>
      <c r="I33" s="67" t="s">
        <v>395</v>
      </c>
      <c r="J33" s="77"/>
      <c r="K33" s="69"/>
      <c r="L33" s="69"/>
      <c r="M33" s="70"/>
      <c r="N33" s="71" t="s">
        <v>8</v>
      </c>
      <c r="O33" s="62" t="s">
        <v>8</v>
      </c>
    </row>
    <row r="34" spans="1:15" ht="50.25" customHeight="1">
      <c r="A34" s="63" t="s">
        <v>641</v>
      </c>
      <c r="B34" s="64" t="s">
        <v>642</v>
      </c>
      <c r="C34" s="65" t="s">
        <v>399</v>
      </c>
      <c r="D34" s="63" t="s">
        <v>641</v>
      </c>
      <c r="E34" s="66" t="s">
        <v>642</v>
      </c>
      <c r="F34" s="67" t="s">
        <v>399</v>
      </c>
      <c r="G34" s="63" t="s">
        <v>641</v>
      </c>
      <c r="H34" s="66" t="s">
        <v>642</v>
      </c>
      <c r="I34" s="67" t="s">
        <v>399</v>
      </c>
      <c r="J34" s="68" t="s">
        <v>396</v>
      </c>
      <c r="K34" s="69" t="s">
        <v>397</v>
      </c>
      <c r="L34" s="69" t="s">
        <v>643</v>
      </c>
      <c r="M34" s="70" t="s">
        <v>643</v>
      </c>
      <c r="N34" s="71" t="s">
        <v>8</v>
      </c>
      <c r="O34" s="62" t="s">
        <v>8</v>
      </c>
    </row>
    <row r="35" spans="1:15">
      <c r="A35" s="72" t="s">
        <v>8</v>
      </c>
      <c r="B35" s="86" t="s">
        <v>8</v>
      </c>
      <c r="C35" s="87"/>
      <c r="D35" s="72" t="s">
        <v>644</v>
      </c>
      <c r="E35" s="75"/>
      <c r="F35" s="76" t="s">
        <v>401</v>
      </c>
      <c r="G35" s="72" t="s">
        <v>644</v>
      </c>
      <c r="H35" s="75"/>
      <c r="I35" s="76" t="s">
        <v>401</v>
      </c>
      <c r="J35" s="77"/>
      <c r="K35" s="69"/>
      <c r="L35" s="69"/>
      <c r="M35" s="70"/>
      <c r="N35" s="71" t="s">
        <v>8</v>
      </c>
      <c r="O35" s="81" t="s">
        <v>645</v>
      </c>
    </row>
    <row r="36" spans="1:15" s="52" customFormat="1" ht="49.5" customHeight="1">
      <c r="A36" s="53" t="s">
        <v>646</v>
      </c>
      <c r="B36" s="54" t="s">
        <v>647</v>
      </c>
      <c r="C36" s="55" t="s">
        <v>648</v>
      </c>
      <c r="D36" s="53" t="s">
        <v>646</v>
      </c>
      <c r="E36" s="56" t="s">
        <v>647</v>
      </c>
      <c r="F36" s="57" t="s">
        <v>648</v>
      </c>
      <c r="G36" s="53" t="s">
        <v>646</v>
      </c>
      <c r="H36" s="56" t="s">
        <v>647</v>
      </c>
      <c r="I36" s="57" t="s">
        <v>648</v>
      </c>
      <c r="J36" s="58" t="s">
        <v>402</v>
      </c>
      <c r="K36" s="59" t="s">
        <v>403</v>
      </c>
      <c r="L36" s="59" t="s">
        <v>649</v>
      </c>
      <c r="M36" s="60" t="s">
        <v>649</v>
      </c>
      <c r="N36" s="61" t="s">
        <v>650</v>
      </c>
      <c r="O36" s="81" t="s">
        <v>651</v>
      </c>
    </row>
    <row r="37" spans="1:15" ht="48" customHeight="1">
      <c r="A37" s="63" t="s">
        <v>652</v>
      </c>
      <c r="B37" s="64" t="s">
        <v>653</v>
      </c>
      <c r="C37" s="65" t="s">
        <v>405</v>
      </c>
      <c r="D37" s="63" t="s">
        <v>652</v>
      </c>
      <c r="E37" s="66" t="s">
        <v>653</v>
      </c>
      <c r="F37" s="67" t="s">
        <v>405</v>
      </c>
      <c r="G37" s="63" t="s">
        <v>652</v>
      </c>
      <c r="H37" s="66" t="s">
        <v>653</v>
      </c>
      <c r="I37" s="67" t="s">
        <v>405</v>
      </c>
      <c r="J37" s="88" t="s">
        <v>405</v>
      </c>
      <c r="K37" s="67" t="s">
        <v>405</v>
      </c>
      <c r="L37" s="67" t="s">
        <v>405</v>
      </c>
      <c r="M37" s="70" t="s">
        <v>405</v>
      </c>
      <c r="N37" s="78" t="s">
        <v>654</v>
      </c>
      <c r="O37" s="62" t="s">
        <v>8</v>
      </c>
    </row>
    <row r="38" spans="1:15" ht="48" customHeight="1">
      <c r="A38" s="63" t="s">
        <v>655</v>
      </c>
      <c r="B38" s="64" t="s">
        <v>656</v>
      </c>
      <c r="C38" s="65" t="s">
        <v>417</v>
      </c>
      <c r="D38" s="63" t="s">
        <v>655</v>
      </c>
      <c r="E38" s="66" t="s">
        <v>656</v>
      </c>
      <c r="F38" s="67" t="s">
        <v>417</v>
      </c>
      <c r="G38" s="63" t="s">
        <v>655</v>
      </c>
      <c r="H38" s="66" t="s">
        <v>656</v>
      </c>
      <c r="I38" s="67" t="s">
        <v>417</v>
      </c>
      <c r="J38" s="68" t="s">
        <v>415</v>
      </c>
      <c r="K38" s="69" t="s">
        <v>416</v>
      </c>
      <c r="L38" s="69" t="s">
        <v>657</v>
      </c>
      <c r="M38" s="70" t="s">
        <v>657</v>
      </c>
      <c r="N38" s="71" t="s">
        <v>8</v>
      </c>
      <c r="O38" s="85" t="s">
        <v>658</v>
      </c>
    </row>
    <row r="39" spans="1:15" ht="35.25" customHeight="1">
      <c r="A39" s="63" t="s">
        <v>659</v>
      </c>
      <c r="B39" s="64" t="s">
        <v>660</v>
      </c>
      <c r="C39" s="65" t="s">
        <v>420</v>
      </c>
      <c r="D39" s="63" t="s">
        <v>659</v>
      </c>
      <c r="E39" s="66" t="s">
        <v>660</v>
      </c>
      <c r="F39" s="67" t="s">
        <v>420</v>
      </c>
      <c r="G39" s="63" t="s">
        <v>659</v>
      </c>
      <c r="H39" s="66" t="s">
        <v>660</v>
      </c>
      <c r="I39" s="67" t="s">
        <v>420</v>
      </c>
      <c r="J39" s="68" t="s">
        <v>418</v>
      </c>
      <c r="K39" s="69" t="s">
        <v>419</v>
      </c>
      <c r="L39" s="69" t="s">
        <v>661</v>
      </c>
      <c r="M39" s="70" t="s">
        <v>661</v>
      </c>
      <c r="N39" s="71" t="s">
        <v>8</v>
      </c>
      <c r="O39" s="71" t="s">
        <v>8</v>
      </c>
    </row>
    <row r="40" spans="1:15" ht="20.25" customHeight="1">
      <c r="A40" s="63" t="s">
        <v>662</v>
      </c>
      <c r="B40" s="64" t="s">
        <v>663</v>
      </c>
      <c r="C40" s="65" t="s">
        <v>422</v>
      </c>
      <c r="D40" s="63" t="s">
        <v>662</v>
      </c>
      <c r="E40" s="66" t="s">
        <v>663</v>
      </c>
      <c r="F40" s="67" t="s">
        <v>422</v>
      </c>
      <c r="G40" s="63" t="s">
        <v>662</v>
      </c>
      <c r="H40" s="66" t="s">
        <v>663</v>
      </c>
      <c r="I40" s="67" t="s">
        <v>422</v>
      </c>
      <c r="J40" s="68" t="s">
        <v>421</v>
      </c>
      <c r="K40" s="69" t="s">
        <v>664</v>
      </c>
      <c r="L40" s="69" t="s">
        <v>665</v>
      </c>
      <c r="M40" s="70" t="s">
        <v>665</v>
      </c>
      <c r="N40" s="71" t="s">
        <v>8</v>
      </c>
      <c r="O40" s="71" t="s">
        <v>8</v>
      </c>
    </row>
    <row r="41" spans="1:15" ht="33" customHeight="1">
      <c r="A41" s="89" t="s">
        <v>666</v>
      </c>
      <c r="B41" s="64" t="s">
        <v>667</v>
      </c>
      <c r="C41" s="65" t="s">
        <v>668</v>
      </c>
      <c r="D41" s="89" t="s">
        <v>666</v>
      </c>
      <c r="E41" s="66" t="s">
        <v>667</v>
      </c>
      <c r="F41" s="67" t="s">
        <v>668</v>
      </c>
      <c r="G41" s="89" t="s">
        <v>666</v>
      </c>
      <c r="H41" s="66" t="s">
        <v>667</v>
      </c>
      <c r="I41" s="67" t="s">
        <v>668</v>
      </c>
      <c r="J41" s="90" t="s">
        <v>423</v>
      </c>
      <c r="K41" s="69" t="s">
        <v>669</v>
      </c>
      <c r="L41" s="69" t="s">
        <v>670</v>
      </c>
      <c r="M41" s="70" t="s">
        <v>670</v>
      </c>
      <c r="N41" s="71" t="s">
        <v>8</v>
      </c>
      <c r="O41" s="81" t="s">
        <v>671</v>
      </c>
    </row>
    <row r="42" spans="1:15" ht="63" customHeight="1">
      <c r="A42" s="89" t="s">
        <v>427</v>
      </c>
      <c r="B42" s="64" t="s">
        <v>672</v>
      </c>
      <c r="C42" s="65" t="s">
        <v>673</v>
      </c>
      <c r="D42" s="89" t="s">
        <v>427</v>
      </c>
      <c r="E42" s="66" t="s">
        <v>672</v>
      </c>
      <c r="F42" s="67" t="s">
        <v>673</v>
      </c>
      <c r="G42" s="89" t="s">
        <v>427</v>
      </c>
      <c r="H42" s="66" t="s">
        <v>672</v>
      </c>
      <c r="I42" s="67" t="s">
        <v>673</v>
      </c>
      <c r="J42" s="90" t="s">
        <v>425</v>
      </c>
      <c r="K42" s="69" t="s">
        <v>674</v>
      </c>
      <c r="L42" s="69" t="s">
        <v>675</v>
      </c>
      <c r="M42" s="70" t="s">
        <v>675</v>
      </c>
      <c r="N42" s="71" t="s">
        <v>8</v>
      </c>
      <c r="O42" s="71" t="s">
        <v>8</v>
      </c>
    </row>
    <row r="43" spans="1:15" ht="37.5" customHeight="1">
      <c r="A43" s="89" t="s">
        <v>430</v>
      </c>
      <c r="B43" s="64" t="s">
        <v>676</v>
      </c>
      <c r="C43" s="65" t="s">
        <v>677</v>
      </c>
      <c r="D43" s="89" t="s">
        <v>430</v>
      </c>
      <c r="E43" s="66" t="s">
        <v>676</v>
      </c>
      <c r="F43" s="67" t="s">
        <v>677</v>
      </c>
      <c r="G43" s="89" t="s">
        <v>430</v>
      </c>
      <c r="H43" s="66" t="s">
        <v>676</v>
      </c>
      <c r="I43" s="67" t="s">
        <v>677</v>
      </c>
      <c r="J43" s="90" t="s">
        <v>428</v>
      </c>
      <c r="K43" s="69" t="s">
        <v>678</v>
      </c>
      <c r="L43" s="69" t="s">
        <v>679</v>
      </c>
      <c r="M43" s="70" t="s">
        <v>679</v>
      </c>
      <c r="N43" s="71" t="s">
        <v>8</v>
      </c>
      <c r="O43" s="91" t="s">
        <v>677</v>
      </c>
    </row>
    <row r="44" spans="1:15" ht="16.5" customHeight="1">
      <c r="A44" s="89" t="s">
        <v>433</v>
      </c>
      <c r="B44" s="64" t="s">
        <v>680</v>
      </c>
      <c r="C44" s="65"/>
      <c r="D44" s="89" t="s">
        <v>433</v>
      </c>
      <c r="E44" s="92" t="s">
        <v>8</v>
      </c>
      <c r="F44" s="93" t="s">
        <v>8</v>
      </c>
      <c r="G44" s="89" t="s">
        <v>433</v>
      </c>
      <c r="H44" s="92" t="s">
        <v>8</v>
      </c>
      <c r="I44" s="93" t="s">
        <v>8</v>
      </c>
      <c r="J44" s="94"/>
      <c r="K44" s="95"/>
      <c r="L44" s="95"/>
      <c r="M44" s="96"/>
      <c r="N44" s="71" t="s">
        <v>8</v>
      </c>
      <c r="O44" s="71" t="s">
        <v>8</v>
      </c>
    </row>
    <row r="45" spans="1:15" ht="75.75" customHeight="1">
      <c r="A45" s="89" t="s">
        <v>434</v>
      </c>
      <c r="B45" s="97" t="s">
        <v>681</v>
      </c>
      <c r="C45" s="65" t="s">
        <v>435</v>
      </c>
      <c r="D45" s="89" t="s">
        <v>434</v>
      </c>
      <c r="E45" s="66" t="s">
        <v>681</v>
      </c>
      <c r="F45" s="67" t="s">
        <v>435</v>
      </c>
      <c r="G45" s="89" t="s">
        <v>434</v>
      </c>
      <c r="H45" s="66" t="s">
        <v>681</v>
      </c>
      <c r="I45" s="67" t="s">
        <v>435</v>
      </c>
      <c r="J45" s="90" t="s">
        <v>438</v>
      </c>
      <c r="K45" s="69" t="s">
        <v>682</v>
      </c>
      <c r="L45" s="69" t="s">
        <v>683</v>
      </c>
      <c r="M45" s="70" t="s">
        <v>683</v>
      </c>
      <c r="N45" s="71" t="s">
        <v>8</v>
      </c>
      <c r="O45" s="71" t="s">
        <v>8</v>
      </c>
    </row>
    <row r="46" spans="1:15" ht="69.75" customHeight="1">
      <c r="A46" s="72" t="s">
        <v>8</v>
      </c>
      <c r="B46" s="86" t="s">
        <v>8</v>
      </c>
      <c r="C46" s="98" t="s">
        <v>8</v>
      </c>
      <c r="D46" s="82" t="s">
        <v>436</v>
      </c>
      <c r="E46" s="75"/>
      <c r="F46" s="76" t="s">
        <v>684</v>
      </c>
      <c r="G46" s="82" t="s">
        <v>436</v>
      </c>
      <c r="H46" s="75"/>
      <c r="I46" s="76" t="s">
        <v>684</v>
      </c>
      <c r="J46" s="94"/>
      <c r="K46" s="95"/>
      <c r="L46" s="95"/>
      <c r="M46" s="96"/>
      <c r="N46" s="78" t="s">
        <v>685</v>
      </c>
      <c r="O46" s="81" t="s">
        <v>686</v>
      </c>
    </row>
    <row r="47" spans="1:15" ht="47.25" customHeight="1">
      <c r="A47" s="89" t="s">
        <v>440</v>
      </c>
      <c r="B47" s="64" t="s">
        <v>687</v>
      </c>
      <c r="C47" s="65" t="s">
        <v>439</v>
      </c>
      <c r="D47" s="89" t="s">
        <v>440</v>
      </c>
      <c r="E47" s="66" t="s">
        <v>687</v>
      </c>
      <c r="F47" s="67" t="s">
        <v>439</v>
      </c>
      <c r="G47" s="89" t="s">
        <v>440</v>
      </c>
      <c r="H47" s="66" t="s">
        <v>687</v>
      </c>
      <c r="I47" s="67" t="s">
        <v>439</v>
      </c>
      <c r="J47" s="77"/>
      <c r="K47" s="69"/>
      <c r="L47" s="69"/>
      <c r="M47" s="70"/>
      <c r="N47" s="71" t="s">
        <v>8</v>
      </c>
      <c r="O47" s="71" t="s">
        <v>8</v>
      </c>
    </row>
    <row r="48" spans="1:15" ht="18" customHeight="1">
      <c r="A48" s="72" t="s">
        <v>8</v>
      </c>
      <c r="B48" s="86" t="s">
        <v>8</v>
      </c>
      <c r="C48" s="87"/>
      <c r="D48" s="82" t="s">
        <v>688</v>
      </c>
      <c r="E48" s="75"/>
      <c r="F48" s="76" t="s">
        <v>442</v>
      </c>
      <c r="G48" s="82" t="s">
        <v>688</v>
      </c>
      <c r="H48" s="75"/>
      <c r="I48" s="76" t="s">
        <v>442</v>
      </c>
      <c r="J48" s="94"/>
      <c r="K48" s="95"/>
      <c r="L48" s="95"/>
      <c r="M48" s="96"/>
      <c r="N48" s="71" t="s">
        <v>8</v>
      </c>
      <c r="O48" s="91" t="s">
        <v>442</v>
      </c>
    </row>
    <row r="49" spans="1:15" ht="34.5" customHeight="1">
      <c r="A49" s="63" t="s">
        <v>689</v>
      </c>
      <c r="B49" s="64" t="s">
        <v>690</v>
      </c>
      <c r="C49" s="87"/>
      <c r="D49" s="63" t="s">
        <v>689</v>
      </c>
      <c r="E49" s="66"/>
      <c r="F49" s="76"/>
      <c r="G49" s="63" t="s">
        <v>689</v>
      </c>
      <c r="H49" s="66"/>
      <c r="I49" s="76"/>
      <c r="J49" s="94"/>
      <c r="K49" s="95"/>
      <c r="L49" s="95"/>
      <c r="M49" s="96"/>
      <c r="N49" s="71" t="s">
        <v>8</v>
      </c>
      <c r="O49" s="71" t="s">
        <v>8</v>
      </c>
    </row>
    <row r="50" spans="1:15" ht="28.5" customHeight="1">
      <c r="A50" s="63" t="s">
        <v>691</v>
      </c>
      <c r="B50" s="64" t="s">
        <v>692</v>
      </c>
      <c r="C50" s="87"/>
      <c r="D50" s="63" t="s">
        <v>691</v>
      </c>
      <c r="E50" s="66"/>
      <c r="F50" s="76"/>
      <c r="G50" s="63" t="s">
        <v>691</v>
      </c>
      <c r="H50" s="66"/>
      <c r="I50" s="76"/>
      <c r="J50" s="94"/>
      <c r="K50" s="95"/>
      <c r="L50" s="95"/>
      <c r="M50" s="96"/>
      <c r="N50" s="71" t="s">
        <v>8</v>
      </c>
      <c r="O50" s="71" t="s">
        <v>8</v>
      </c>
    </row>
    <row r="51" spans="1:15" ht="45.75" customHeight="1">
      <c r="A51" s="63" t="s">
        <v>693</v>
      </c>
      <c r="B51" s="64" t="s">
        <v>694</v>
      </c>
      <c r="C51" s="65" t="s">
        <v>695</v>
      </c>
      <c r="D51" s="63" t="s">
        <v>693</v>
      </c>
      <c r="E51" s="66"/>
      <c r="F51" s="67" t="s">
        <v>695</v>
      </c>
      <c r="G51" s="63" t="s">
        <v>693</v>
      </c>
      <c r="H51" s="66"/>
      <c r="I51" s="67" t="s">
        <v>695</v>
      </c>
      <c r="J51" s="94"/>
      <c r="K51" s="95"/>
      <c r="L51" s="95"/>
      <c r="M51" s="96"/>
      <c r="N51" s="71" t="s">
        <v>8</v>
      </c>
      <c r="O51" s="71" t="s">
        <v>8</v>
      </c>
    </row>
    <row r="52" spans="1:15" ht="34.5" customHeight="1">
      <c r="A52" s="89" t="s">
        <v>696</v>
      </c>
      <c r="B52" s="64" t="s">
        <v>697</v>
      </c>
      <c r="C52" s="65" t="s">
        <v>698</v>
      </c>
      <c r="D52" s="89" t="s">
        <v>696</v>
      </c>
      <c r="E52" s="66" t="s">
        <v>697</v>
      </c>
      <c r="F52" s="67" t="s">
        <v>698</v>
      </c>
      <c r="G52" s="89" t="s">
        <v>696</v>
      </c>
      <c r="H52" s="66" t="s">
        <v>697</v>
      </c>
      <c r="I52" s="67" t="s">
        <v>698</v>
      </c>
      <c r="J52" s="94"/>
      <c r="K52" s="95"/>
      <c r="L52" s="95"/>
      <c r="M52" s="96"/>
      <c r="N52" s="78" t="s">
        <v>699</v>
      </c>
      <c r="O52" s="81" t="s">
        <v>700</v>
      </c>
    </row>
    <row r="53" spans="1:15" ht="48" customHeight="1">
      <c r="A53" s="89" t="s">
        <v>701</v>
      </c>
      <c r="B53" s="64" t="s">
        <v>702</v>
      </c>
      <c r="C53" s="65" t="s">
        <v>703</v>
      </c>
      <c r="D53" s="89" t="s">
        <v>701</v>
      </c>
      <c r="E53" s="66" t="s">
        <v>702</v>
      </c>
      <c r="F53" s="67" t="s">
        <v>703</v>
      </c>
      <c r="G53" s="89" t="s">
        <v>701</v>
      </c>
      <c r="H53" s="66" t="s">
        <v>702</v>
      </c>
      <c r="I53" s="67" t="s">
        <v>703</v>
      </c>
      <c r="J53" s="94"/>
      <c r="K53" s="95"/>
      <c r="L53" s="95"/>
      <c r="M53" s="96"/>
      <c r="N53" s="78" t="s">
        <v>704</v>
      </c>
      <c r="O53" s="91" t="s">
        <v>703</v>
      </c>
    </row>
    <row r="54" spans="1:15" ht="31.5" customHeight="1">
      <c r="A54" s="89" t="s">
        <v>705</v>
      </c>
      <c r="B54" s="64" t="s">
        <v>706</v>
      </c>
      <c r="C54" s="65"/>
      <c r="D54" s="89" t="s">
        <v>8</v>
      </c>
      <c r="E54" s="92"/>
      <c r="F54" s="93" t="s">
        <v>8</v>
      </c>
      <c r="G54" s="89" t="s">
        <v>8</v>
      </c>
      <c r="H54" s="92"/>
      <c r="I54" s="93" t="s">
        <v>8</v>
      </c>
      <c r="J54" s="94"/>
      <c r="K54" s="95"/>
      <c r="L54" s="95"/>
      <c r="M54" s="96"/>
      <c r="N54" s="71" t="s">
        <v>8</v>
      </c>
      <c r="O54" s="71" t="s">
        <v>8</v>
      </c>
    </row>
    <row r="55" spans="1:15" ht="35.25" customHeight="1">
      <c r="A55" s="72" t="s">
        <v>8</v>
      </c>
      <c r="B55" s="86" t="s">
        <v>8</v>
      </c>
      <c r="C55" s="87"/>
      <c r="D55" s="72" t="s">
        <v>707</v>
      </c>
      <c r="E55" s="75"/>
      <c r="F55" s="76" t="s">
        <v>708</v>
      </c>
      <c r="G55" s="72" t="s">
        <v>707</v>
      </c>
      <c r="H55" s="75"/>
      <c r="I55" s="76" t="s">
        <v>708</v>
      </c>
      <c r="J55" s="79" t="s">
        <v>708</v>
      </c>
      <c r="K55" s="76" t="s">
        <v>708</v>
      </c>
      <c r="L55" s="76" t="s">
        <v>708</v>
      </c>
      <c r="M55" s="80" t="s">
        <v>708</v>
      </c>
      <c r="N55" s="78" t="s">
        <v>708</v>
      </c>
      <c r="O55" s="81" t="s">
        <v>708</v>
      </c>
    </row>
    <row r="56" spans="1:15" ht="50.25" customHeight="1">
      <c r="A56" s="89" t="s">
        <v>709</v>
      </c>
      <c r="B56" s="64" t="s">
        <v>710</v>
      </c>
      <c r="C56" s="65" t="s">
        <v>711</v>
      </c>
      <c r="D56" s="89" t="s">
        <v>709</v>
      </c>
      <c r="E56" s="66" t="s">
        <v>710</v>
      </c>
      <c r="F56" s="67" t="s">
        <v>711</v>
      </c>
      <c r="G56" s="89" t="s">
        <v>709</v>
      </c>
      <c r="H56" s="66" t="s">
        <v>710</v>
      </c>
      <c r="I56" s="67" t="s">
        <v>711</v>
      </c>
      <c r="J56" s="77"/>
      <c r="K56" s="69"/>
      <c r="L56" s="69"/>
      <c r="M56" s="70"/>
      <c r="N56" s="71" t="s">
        <v>8</v>
      </c>
      <c r="O56" s="71" t="s">
        <v>8</v>
      </c>
    </row>
    <row r="57" spans="1:15" s="52" customFormat="1" ht="57.75" customHeight="1">
      <c r="A57" s="53" t="s">
        <v>712</v>
      </c>
      <c r="B57" s="54" t="s">
        <v>713</v>
      </c>
      <c r="C57" s="55" t="s">
        <v>714</v>
      </c>
      <c r="D57" s="53" t="s">
        <v>712</v>
      </c>
      <c r="E57" s="56" t="s">
        <v>713</v>
      </c>
      <c r="F57" s="57" t="s">
        <v>714</v>
      </c>
      <c r="G57" s="53" t="s">
        <v>712</v>
      </c>
      <c r="H57" s="56" t="s">
        <v>713</v>
      </c>
      <c r="I57" s="57" t="s">
        <v>714</v>
      </c>
      <c r="J57" s="58" t="s">
        <v>458</v>
      </c>
      <c r="K57" s="59" t="s">
        <v>459</v>
      </c>
      <c r="L57" s="59" t="s">
        <v>715</v>
      </c>
      <c r="M57" s="60" t="s">
        <v>715</v>
      </c>
      <c r="N57" s="71" t="s">
        <v>8</v>
      </c>
      <c r="O57" s="71" t="s">
        <v>8</v>
      </c>
    </row>
    <row r="58" spans="1:15" ht="45.75" customHeight="1">
      <c r="A58" s="63" t="s">
        <v>716</v>
      </c>
      <c r="B58" s="64" t="s">
        <v>717</v>
      </c>
      <c r="C58" s="65" t="s">
        <v>463</v>
      </c>
      <c r="D58" s="63" t="s">
        <v>716</v>
      </c>
      <c r="E58" s="66" t="s">
        <v>717</v>
      </c>
      <c r="F58" s="67" t="s">
        <v>463</v>
      </c>
      <c r="G58" s="63" t="s">
        <v>716</v>
      </c>
      <c r="H58" s="66" t="s">
        <v>717</v>
      </c>
      <c r="I58" s="67" t="s">
        <v>463</v>
      </c>
      <c r="J58" s="68" t="s">
        <v>460</v>
      </c>
      <c r="K58" s="69" t="s">
        <v>461</v>
      </c>
      <c r="L58" s="69" t="s">
        <v>462</v>
      </c>
      <c r="M58" s="70" t="s">
        <v>462</v>
      </c>
      <c r="N58" s="78" t="s">
        <v>718</v>
      </c>
      <c r="O58" s="91" t="s">
        <v>719</v>
      </c>
    </row>
    <row r="59" spans="1:15" ht="60" customHeight="1">
      <c r="A59" s="72" t="s">
        <v>8</v>
      </c>
      <c r="B59" s="86" t="s">
        <v>8</v>
      </c>
      <c r="C59" s="87"/>
      <c r="D59" s="72" t="s">
        <v>720</v>
      </c>
      <c r="E59" s="75"/>
      <c r="F59" s="76" t="s">
        <v>721</v>
      </c>
      <c r="G59" s="72" t="s">
        <v>720</v>
      </c>
      <c r="H59" s="75"/>
      <c r="I59" s="76" t="s">
        <v>721</v>
      </c>
      <c r="J59" s="77"/>
      <c r="K59" s="69"/>
      <c r="L59" s="69"/>
      <c r="M59" s="70"/>
      <c r="N59" s="78" t="s">
        <v>722</v>
      </c>
      <c r="O59" s="81" t="s">
        <v>723</v>
      </c>
    </row>
    <row r="60" spans="1:15" ht="48" customHeight="1">
      <c r="A60" s="63" t="s">
        <v>467</v>
      </c>
      <c r="B60" s="64" t="s">
        <v>724</v>
      </c>
      <c r="C60" s="65" t="s">
        <v>468</v>
      </c>
      <c r="D60" s="63" t="s">
        <v>467</v>
      </c>
      <c r="E60" s="66" t="s">
        <v>724</v>
      </c>
      <c r="F60" s="67" t="s">
        <v>468</v>
      </c>
      <c r="G60" s="63" t="s">
        <v>467</v>
      </c>
      <c r="H60" s="66" t="s">
        <v>724</v>
      </c>
      <c r="I60" s="67" t="s">
        <v>468</v>
      </c>
      <c r="J60" s="77"/>
      <c r="K60" s="69"/>
      <c r="L60" s="69"/>
      <c r="M60" s="70"/>
      <c r="N60" s="71" t="s">
        <v>8</v>
      </c>
      <c r="O60" s="71" t="s">
        <v>8</v>
      </c>
    </row>
    <row r="61" spans="1:15">
      <c r="A61" s="72" t="s">
        <v>8</v>
      </c>
      <c r="B61" s="86" t="s">
        <v>8</v>
      </c>
      <c r="C61" s="87"/>
      <c r="D61" s="72" t="s">
        <v>725</v>
      </c>
      <c r="E61" s="75"/>
      <c r="F61" s="76" t="s">
        <v>726</v>
      </c>
      <c r="G61" s="72" t="s">
        <v>725</v>
      </c>
      <c r="H61" s="75"/>
      <c r="I61" s="76" t="s">
        <v>726</v>
      </c>
      <c r="J61" s="77"/>
      <c r="K61" s="69"/>
      <c r="L61" s="69"/>
      <c r="M61" s="70"/>
      <c r="N61" s="71" t="s">
        <v>8</v>
      </c>
      <c r="O61" s="81" t="s">
        <v>726</v>
      </c>
    </row>
    <row r="62" spans="1:15" ht="62.25" customHeight="1">
      <c r="A62" s="72" t="s">
        <v>8</v>
      </c>
      <c r="B62" s="86" t="s">
        <v>8</v>
      </c>
      <c r="C62" s="87"/>
      <c r="D62" s="72" t="s">
        <v>727</v>
      </c>
      <c r="E62" s="75"/>
      <c r="F62" s="76" t="s">
        <v>728</v>
      </c>
      <c r="G62" s="72" t="s">
        <v>727</v>
      </c>
      <c r="H62" s="75"/>
      <c r="I62" s="76" t="s">
        <v>728</v>
      </c>
      <c r="J62" s="77"/>
      <c r="K62" s="69"/>
      <c r="L62" s="69"/>
      <c r="M62" s="70"/>
      <c r="N62" s="71" t="s">
        <v>8</v>
      </c>
      <c r="O62" s="71" t="s">
        <v>8</v>
      </c>
    </row>
    <row r="63" spans="1:15" ht="45.75" customHeight="1">
      <c r="A63" s="63" t="s">
        <v>471</v>
      </c>
      <c r="B63" s="64" t="s">
        <v>729</v>
      </c>
      <c r="C63" s="65" t="s">
        <v>470</v>
      </c>
      <c r="D63" s="63" t="s">
        <v>471</v>
      </c>
      <c r="E63" s="66" t="s">
        <v>729</v>
      </c>
      <c r="F63" s="67" t="s">
        <v>470</v>
      </c>
      <c r="G63" s="63" t="s">
        <v>471</v>
      </c>
      <c r="H63" s="66" t="s">
        <v>729</v>
      </c>
      <c r="I63" s="67" t="s">
        <v>470</v>
      </c>
      <c r="J63" s="77"/>
      <c r="K63" s="69"/>
      <c r="L63" s="69"/>
      <c r="M63" s="70"/>
      <c r="N63" s="71" t="s">
        <v>8</v>
      </c>
      <c r="O63" s="71" t="s">
        <v>8</v>
      </c>
    </row>
    <row r="64" spans="1:15" ht="117.75" customHeight="1">
      <c r="A64" s="63" t="s">
        <v>474</v>
      </c>
      <c r="B64" s="64" t="s">
        <v>730</v>
      </c>
      <c r="C64" s="65" t="s">
        <v>473</v>
      </c>
      <c r="D64" s="63" t="s">
        <v>474</v>
      </c>
      <c r="E64" s="66" t="s">
        <v>730</v>
      </c>
      <c r="F64" s="67" t="s">
        <v>473</v>
      </c>
      <c r="G64" s="63" t="s">
        <v>474</v>
      </c>
      <c r="H64" s="66" t="s">
        <v>730</v>
      </c>
      <c r="I64" s="67" t="s">
        <v>473</v>
      </c>
      <c r="J64" s="68" t="s">
        <v>464</v>
      </c>
      <c r="K64" s="69" t="s">
        <v>465</v>
      </c>
      <c r="L64" s="69" t="s">
        <v>731</v>
      </c>
      <c r="M64" s="70" t="s">
        <v>731</v>
      </c>
      <c r="N64" s="71" t="s">
        <v>8</v>
      </c>
      <c r="O64" s="71" t="s">
        <v>8</v>
      </c>
    </row>
    <row r="65" spans="1:15" ht="49.5" customHeight="1">
      <c r="A65" s="72" t="s">
        <v>8</v>
      </c>
      <c r="B65" s="86" t="s">
        <v>8</v>
      </c>
      <c r="C65" s="87"/>
      <c r="D65" s="72" t="s">
        <v>732</v>
      </c>
      <c r="E65" s="75"/>
      <c r="F65" s="76" t="s">
        <v>733</v>
      </c>
      <c r="G65" s="72" t="s">
        <v>732</v>
      </c>
      <c r="H65" s="75"/>
      <c r="I65" s="76" t="s">
        <v>733</v>
      </c>
      <c r="J65" s="77"/>
      <c r="K65" s="69"/>
      <c r="L65" s="69"/>
      <c r="M65" s="70"/>
      <c r="N65" s="71" t="s">
        <v>8</v>
      </c>
      <c r="O65" s="85" t="s">
        <v>734</v>
      </c>
    </row>
    <row r="66" spans="1:15" ht="63" customHeight="1">
      <c r="A66" s="63" t="s">
        <v>478</v>
      </c>
      <c r="B66" s="64" t="s">
        <v>735</v>
      </c>
      <c r="C66" s="65" t="s">
        <v>479</v>
      </c>
      <c r="D66" s="63" t="s">
        <v>478</v>
      </c>
      <c r="E66" s="66" t="s">
        <v>735</v>
      </c>
      <c r="F66" s="67" t="s">
        <v>479</v>
      </c>
      <c r="G66" s="63" t="s">
        <v>478</v>
      </c>
      <c r="H66" s="66" t="s">
        <v>735</v>
      </c>
      <c r="I66" s="67" t="s">
        <v>479</v>
      </c>
      <c r="J66" s="68" t="s">
        <v>475</v>
      </c>
      <c r="K66" s="69" t="s">
        <v>476</v>
      </c>
      <c r="L66" s="69" t="s">
        <v>736</v>
      </c>
      <c r="M66" s="70" t="s">
        <v>736</v>
      </c>
      <c r="N66" s="71" t="s">
        <v>8</v>
      </c>
      <c r="O66" s="71" t="s">
        <v>8</v>
      </c>
    </row>
    <row r="67" spans="1:15" s="52" customFormat="1" ht="45.75" customHeight="1">
      <c r="A67" s="53" t="s">
        <v>737</v>
      </c>
      <c r="B67" s="54" t="s">
        <v>738</v>
      </c>
      <c r="C67" s="55" t="s">
        <v>739</v>
      </c>
      <c r="D67" s="53" t="s">
        <v>737</v>
      </c>
      <c r="E67" s="56" t="s">
        <v>738</v>
      </c>
      <c r="F67" s="57" t="s">
        <v>739</v>
      </c>
      <c r="G67" s="53" t="s">
        <v>737</v>
      </c>
      <c r="H67" s="56" t="s">
        <v>738</v>
      </c>
      <c r="I67" s="57" t="s">
        <v>739</v>
      </c>
      <c r="J67" s="99"/>
      <c r="K67" s="100"/>
      <c r="L67" s="100"/>
      <c r="M67" s="101"/>
      <c r="N67" s="71" t="s">
        <v>8</v>
      </c>
      <c r="O67" s="71" t="s">
        <v>8</v>
      </c>
    </row>
    <row r="68" spans="1:15" s="52" customFormat="1" ht="85.5">
      <c r="A68" s="53" t="s">
        <v>486</v>
      </c>
      <c r="B68" s="54" t="s">
        <v>740</v>
      </c>
      <c r="C68" s="55" t="s">
        <v>487</v>
      </c>
      <c r="D68" s="53" t="s">
        <v>486</v>
      </c>
      <c r="E68" s="56" t="s">
        <v>740</v>
      </c>
      <c r="F68" s="57" t="s">
        <v>487</v>
      </c>
      <c r="G68" s="53" t="s">
        <v>486</v>
      </c>
      <c r="H68" s="56" t="s">
        <v>740</v>
      </c>
      <c r="I68" s="57" t="s">
        <v>487</v>
      </c>
      <c r="J68" s="58" t="s">
        <v>483</v>
      </c>
      <c r="K68" s="59" t="s">
        <v>484</v>
      </c>
      <c r="L68" s="59" t="s">
        <v>485</v>
      </c>
      <c r="M68" s="60" t="s">
        <v>485</v>
      </c>
      <c r="N68" s="71" t="s">
        <v>8</v>
      </c>
      <c r="O68" s="71" t="s">
        <v>8</v>
      </c>
    </row>
    <row r="69" spans="1:15" ht="48" customHeight="1">
      <c r="A69" s="102" t="s">
        <v>491</v>
      </c>
      <c r="B69" s="64" t="s">
        <v>741</v>
      </c>
      <c r="C69" s="65" t="s">
        <v>492</v>
      </c>
      <c r="D69" s="102" t="s">
        <v>491</v>
      </c>
      <c r="E69" s="66" t="s">
        <v>741</v>
      </c>
      <c r="F69" s="67" t="s">
        <v>492</v>
      </c>
      <c r="G69" s="102" t="s">
        <v>491</v>
      </c>
      <c r="H69" s="66" t="s">
        <v>741</v>
      </c>
      <c r="I69" s="67" t="s">
        <v>492</v>
      </c>
      <c r="J69" s="68" t="s">
        <v>488</v>
      </c>
      <c r="K69" s="69" t="s">
        <v>489</v>
      </c>
      <c r="L69" s="69" t="s">
        <v>742</v>
      </c>
      <c r="M69" s="70" t="s">
        <v>742</v>
      </c>
      <c r="N69" s="71" t="s">
        <v>8</v>
      </c>
      <c r="O69" s="71" t="s">
        <v>8</v>
      </c>
    </row>
    <row r="70" spans="1:15">
      <c r="A70" s="72" t="s">
        <v>8</v>
      </c>
      <c r="B70" s="86" t="s">
        <v>8</v>
      </c>
      <c r="C70" s="87"/>
      <c r="D70" s="72" t="s">
        <v>495</v>
      </c>
      <c r="E70" s="75"/>
      <c r="F70" s="76" t="s">
        <v>494</v>
      </c>
      <c r="G70" s="72" t="s">
        <v>495</v>
      </c>
      <c r="H70" s="75"/>
      <c r="I70" s="76" t="s">
        <v>494</v>
      </c>
      <c r="J70" s="77"/>
      <c r="K70" s="69"/>
      <c r="L70" s="69"/>
      <c r="M70" s="70"/>
      <c r="N70" s="71" t="s">
        <v>8</v>
      </c>
      <c r="O70" s="71" t="s">
        <v>8</v>
      </c>
    </row>
    <row r="71" spans="1:15" ht="45">
      <c r="A71" s="72" t="s">
        <v>8</v>
      </c>
      <c r="B71" s="86" t="s">
        <v>8</v>
      </c>
      <c r="C71" s="87"/>
      <c r="D71" s="72" t="s">
        <v>497</v>
      </c>
      <c r="E71" s="75"/>
      <c r="F71" s="76" t="s">
        <v>77</v>
      </c>
      <c r="G71" s="72" t="s">
        <v>497</v>
      </c>
      <c r="H71" s="75"/>
      <c r="I71" s="76" t="s">
        <v>77</v>
      </c>
      <c r="J71" s="77"/>
      <c r="K71" s="69"/>
      <c r="L71" s="69"/>
      <c r="M71" s="70"/>
      <c r="N71" s="71" t="s">
        <v>8</v>
      </c>
      <c r="O71" s="71" t="s">
        <v>8</v>
      </c>
    </row>
    <row r="72" spans="1:15" ht="22.5" customHeight="1">
      <c r="A72" s="102" t="s">
        <v>743</v>
      </c>
      <c r="B72" s="103" t="s">
        <v>744</v>
      </c>
      <c r="C72" s="87"/>
      <c r="D72" s="102" t="s">
        <v>743</v>
      </c>
      <c r="E72" s="75"/>
      <c r="F72" s="76"/>
      <c r="G72" s="102" t="s">
        <v>743</v>
      </c>
      <c r="H72" s="75"/>
      <c r="I72" s="76"/>
      <c r="J72" s="77"/>
      <c r="K72" s="69"/>
      <c r="L72" s="69"/>
      <c r="M72" s="70"/>
      <c r="N72" s="71" t="s">
        <v>8</v>
      </c>
      <c r="O72" s="71" t="s">
        <v>8</v>
      </c>
    </row>
    <row r="73" spans="1:15" ht="19.5" customHeight="1">
      <c r="A73" s="102" t="s">
        <v>745</v>
      </c>
      <c r="B73" s="103" t="s">
        <v>746</v>
      </c>
      <c r="C73" s="87"/>
      <c r="D73" s="102" t="s">
        <v>745</v>
      </c>
      <c r="E73" s="75"/>
      <c r="F73" s="76"/>
      <c r="G73" s="102" t="s">
        <v>745</v>
      </c>
      <c r="H73" s="75"/>
      <c r="I73" s="76"/>
      <c r="J73" s="68" t="s">
        <v>747</v>
      </c>
      <c r="K73" s="69" t="s">
        <v>503</v>
      </c>
      <c r="L73" s="69" t="s">
        <v>748</v>
      </c>
      <c r="M73" s="70" t="s">
        <v>748</v>
      </c>
      <c r="N73" s="71" t="s">
        <v>8</v>
      </c>
      <c r="O73" s="71" t="s">
        <v>8</v>
      </c>
    </row>
    <row r="74" spans="1:15" ht="35.25" customHeight="1">
      <c r="A74" s="102" t="s">
        <v>501</v>
      </c>
      <c r="B74" s="64" t="s">
        <v>749</v>
      </c>
      <c r="C74" s="65" t="s">
        <v>251</v>
      </c>
      <c r="D74" s="102" t="s">
        <v>501</v>
      </c>
      <c r="E74" s="66" t="s">
        <v>749</v>
      </c>
      <c r="F74" s="67" t="s">
        <v>251</v>
      </c>
      <c r="G74" s="102" t="s">
        <v>501</v>
      </c>
      <c r="H74" s="66" t="s">
        <v>749</v>
      </c>
      <c r="I74" s="67" t="s">
        <v>251</v>
      </c>
      <c r="J74" s="77"/>
      <c r="K74" s="69"/>
      <c r="L74" s="69"/>
      <c r="M74" s="70"/>
      <c r="N74" s="71" t="s">
        <v>8</v>
      </c>
      <c r="O74" s="71" t="s">
        <v>8</v>
      </c>
    </row>
    <row r="75" spans="1:15" ht="35.25" customHeight="1">
      <c r="A75" s="72" t="s">
        <v>8</v>
      </c>
      <c r="B75" s="86" t="s">
        <v>8</v>
      </c>
      <c r="C75" s="87"/>
      <c r="D75" s="82" t="s">
        <v>505</v>
      </c>
      <c r="E75" s="75"/>
      <c r="F75" s="76" t="s">
        <v>506</v>
      </c>
      <c r="G75" s="82" t="s">
        <v>505</v>
      </c>
      <c r="H75" s="75"/>
      <c r="I75" s="76" t="s">
        <v>506</v>
      </c>
      <c r="J75" s="77"/>
      <c r="K75" s="69"/>
      <c r="L75" s="69"/>
      <c r="M75" s="70"/>
      <c r="N75" s="71" t="s">
        <v>8</v>
      </c>
      <c r="O75" s="71" t="s">
        <v>8</v>
      </c>
    </row>
    <row r="76" spans="1:15" ht="36" customHeight="1">
      <c r="A76" s="102" t="s">
        <v>510</v>
      </c>
      <c r="B76" s="64" t="s">
        <v>750</v>
      </c>
      <c r="C76" s="65" t="s">
        <v>511</v>
      </c>
      <c r="D76" s="102" t="s">
        <v>510</v>
      </c>
      <c r="E76" s="66" t="s">
        <v>750</v>
      </c>
      <c r="F76" s="67" t="s">
        <v>511</v>
      </c>
      <c r="G76" s="102" t="s">
        <v>510</v>
      </c>
      <c r="H76" s="66" t="s">
        <v>750</v>
      </c>
      <c r="I76" s="67" t="s">
        <v>511</v>
      </c>
      <c r="J76" s="68" t="s">
        <v>751</v>
      </c>
      <c r="K76" s="69" t="s">
        <v>508</v>
      </c>
      <c r="L76" s="69" t="s">
        <v>509</v>
      </c>
      <c r="M76" s="70" t="s">
        <v>509</v>
      </c>
      <c r="N76" s="71" t="s">
        <v>8</v>
      </c>
      <c r="O76" s="71" t="s">
        <v>8</v>
      </c>
    </row>
    <row r="77" spans="1:15" ht="51" customHeight="1">
      <c r="A77" s="72" t="s">
        <v>8</v>
      </c>
      <c r="B77" s="86" t="s">
        <v>8</v>
      </c>
      <c r="C77" s="87"/>
      <c r="D77" s="72" t="s">
        <v>512</v>
      </c>
      <c r="E77" s="75"/>
      <c r="F77" s="76" t="s">
        <v>513</v>
      </c>
      <c r="G77" s="72" t="s">
        <v>512</v>
      </c>
      <c r="H77" s="75"/>
      <c r="I77" s="76" t="s">
        <v>513</v>
      </c>
      <c r="J77" s="94"/>
      <c r="K77" s="95"/>
      <c r="L77" s="95"/>
      <c r="M77" s="96"/>
      <c r="N77" s="71" t="s">
        <v>8</v>
      </c>
      <c r="O77" s="71" t="s">
        <v>8</v>
      </c>
    </row>
    <row r="78" spans="1:15" ht="50.25" customHeight="1">
      <c r="A78" s="72" t="s">
        <v>8</v>
      </c>
      <c r="B78" s="86" t="s">
        <v>8</v>
      </c>
      <c r="C78" s="87"/>
      <c r="D78" s="72" t="s">
        <v>514</v>
      </c>
      <c r="E78" s="75"/>
      <c r="F78" s="76" t="s">
        <v>515</v>
      </c>
      <c r="G78" s="72" t="s">
        <v>514</v>
      </c>
      <c r="H78" s="75"/>
      <c r="I78" s="76" t="s">
        <v>515</v>
      </c>
      <c r="J78" s="77"/>
      <c r="K78" s="69"/>
      <c r="L78" s="69"/>
      <c r="M78" s="70"/>
      <c r="N78" s="71" t="s">
        <v>8</v>
      </c>
      <c r="O78" s="71" t="s">
        <v>8</v>
      </c>
    </row>
    <row r="79" spans="1:15" s="52" customFormat="1" ht="32.25" customHeight="1">
      <c r="A79" s="53" t="s">
        <v>752</v>
      </c>
      <c r="B79" s="54" t="s">
        <v>753</v>
      </c>
      <c r="C79" s="55" t="s">
        <v>518</v>
      </c>
      <c r="D79" s="53" t="s">
        <v>752</v>
      </c>
      <c r="E79" s="56" t="s">
        <v>753</v>
      </c>
      <c r="F79" s="57" t="s">
        <v>518</v>
      </c>
      <c r="G79" s="53" t="s">
        <v>752</v>
      </c>
      <c r="H79" s="56" t="s">
        <v>753</v>
      </c>
      <c r="I79" s="57" t="s">
        <v>518</v>
      </c>
      <c r="J79" s="58" t="s">
        <v>568</v>
      </c>
      <c r="K79" s="59" t="s">
        <v>569</v>
      </c>
      <c r="L79" s="59" t="s">
        <v>40</v>
      </c>
      <c r="M79" s="60" t="s">
        <v>40</v>
      </c>
      <c r="N79" s="71" t="s">
        <v>8</v>
      </c>
      <c r="O79" s="71" t="s">
        <v>8</v>
      </c>
    </row>
    <row r="80" spans="1:15" ht="82.5" customHeight="1">
      <c r="A80" s="102" t="s">
        <v>526</v>
      </c>
      <c r="B80" s="64" t="s">
        <v>754</v>
      </c>
      <c r="C80" s="65" t="s">
        <v>525</v>
      </c>
      <c r="D80" s="102" t="s">
        <v>526</v>
      </c>
      <c r="E80" s="66" t="s">
        <v>754</v>
      </c>
      <c r="F80" s="67" t="s">
        <v>525</v>
      </c>
      <c r="G80" s="102" t="s">
        <v>526</v>
      </c>
      <c r="H80" s="66" t="s">
        <v>754</v>
      </c>
      <c r="I80" s="67" t="s">
        <v>525</v>
      </c>
      <c r="J80" s="77"/>
      <c r="K80" s="69"/>
      <c r="L80" s="69"/>
      <c r="M80" s="70"/>
      <c r="N80" s="71" t="s">
        <v>8</v>
      </c>
      <c r="O80" s="71" t="s">
        <v>8</v>
      </c>
    </row>
    <row r="81" spans="1:15" ht="38.25" customHeight="1" thickBot="1">
      <c r="A81" s="102" t="s">
        <v>522</v>
      </c>
      <c r="B81" s="64" t="s">
        <v>755</v>
      </c>
      <c r="C81" s="65" t="s">
        <v>523</v>
      </c>
      <c r="D81" s="102" t="s">
        <v>522</v>
      </c>
      <c r="E81" s="66" t="s">
        <v>755</v>
      </c>
      <c r="F81" s="67" t="s">
        <v>523</v>
      </c>
      <c r="G81" s="102" t="s">
        <v>522</v>
      </c>
      <c r="H81" s="66" t="s">
        <v>755</v>
      </c>
      <c r="I81" s="67" t="s">
        <v>523</v>
      </c>
      <c r="J81" s="104" t="s">
        <v>443</v>
      </c>
      <c r="K81" s="105" t="s">
        <v>444</v>
      </c>
      <c r="L81" s="105" t="s">
        <v>445</v>
      </c>
      <c r="M81" s="106" t="s">
        <v>445</v>
      </c>
      <c r="N81" s="71" t="s">
        <v>8</v>
      </c>
      <c r="O81" s="71" t="s">
        <v>8</v>
      </c>
    </row>
    <row r="82" spans="1:15" ht="48" customHeight="1">
      <c r="A82" s="102" t="s">
        <v>502</v>
      </c>
      <c r="B82" s="64" t="s">
        <v>756</v>
      </c>
      <c r="C82" s="65"/>
      <c r="D82" s="89" t="s">
        <v>8</v>
      </c>
      <c r="E82" s="107" t="s">
        <v>8</v>
      </c>
      <c r="F82" s="108" t="s">
        <v>8</v>
      </c>
      <c r="G82" s="89" t="s">
        <v>8</v>
      </c>
      <c r="H82" s="107" t="s">
        <v>8</v>
      </c>
      <c r="I82" s="108" t="s">
        <v>8</v>
      </c>
      <c r="N82" s="71" t="s">
        <v>8</v>
      </c>
      <c r="O82" s="71" t="s">
        <v>8</v>
      </c>
    </row>
    <row r="83" spans="1:15" ht="30" customHeight="1">
      <c r="A83" s="72" t="s">
        <v>8</v>
      </c>
      <c r="B83" s="86" t="s">
        <v>8</v>
      </c>
      <c r="C83" s="87"/>
      <c r="D83" s="82" t="s">
        <v>530</v>
      </c>
      <c r="E83" s="75"/>
      <c r="F83" s="76" t="s">
        <v>531</v>
      </c>
      <c r="G83" s="82" t="s">
        <v>530</v>
      </c>
      <c r="H83" s="75"/>
      <c r="I83" s="76" t="s">
        <v>531</v>
      </c>
      <c r="N83" s="71" t="s">
        <v>8</v>
      </c>
      <c r="O83" s="71" t="s">
        <v>8</v>
      </c>
    </row>
    <row r="84" spans="1:15" ht="30">
      <c r="A84" s="72" t="s">
        <v>8</v>
      </c>
      <c r="B84" s="86" t="s">
        <v>8</v>
      </c>
      <c r="C84" s="87" t="s">
        <v>533</v>
      </c>
      <c r="D84" s="72" t="s">
        <v>534</v>
      </c>
      <c r="E84" s="75"/>
      <c r="F84" s="76" t="s">
        <v>533</v>
      </c>
      <c r="G84" s="72" t="s">
        <v>534</v>
      </c>
      <c r="H84" s="75"/>
      <c r="I84" s="76" t="s">
        <v>533</v>
      </c>
      <c r="N84" s="71" t="s">
        <v>8</v>
      </c>
      <c r="O84" s="71" t="s">
        <v>8</v>
      </c>
    </row>
    <row r="85" spans="1:15" s="52" customFormat="1" ht="56.25" customHeight="1">
      <c r="A85" s="53" t="s">
        <v>538</v>
      </c>
      <c r="B85" s="54" t="s">
        <v>757</v>
      </c>
      <c r="C85" s="55" t="s">
        <v>758</v>
      </c>
      <c r="D85" s="53" t="s">
        <v>538</v>
      </c>
      <c r="E85" s="56" t="s">
        <v>757</v>
      </c>
      <c r="F85" s="57" t="s">
        <v>537</v>
      </c>
      <c r="G85" s="53" t="s">
        <v>538</v>
      </c>
      <c r="H85" s="56" t="s">
        <v>757</v>
      </c>
      <c r="I85" s="57" t="s">
        <v>537</v>
      </c>
      <c r="N85" s="71" t="s">
        <v>8</v>
      </c>
      <c r="O85" s="71" t="s">
        <v>8</v>
      </c>
    </row>
    <row r="86" spans="1:15" ht="30">
      <c r="A86" s="102" t="s">
        <v>540</v>
      </c>
      <c r="B86" s="64" t="s">
        <v>759</v>
      </c>
      <c r="C86" s="65" t="s">
        <v>539</v>
      </c>
      <c r="D86" s="102" t="s">
        <v>540</v>
      </c>
      <c r="E86" s="66" t="s">
        <v>759</v>
      </c>
      <c r="F86" s="67" t="s">
        <v>539</v>
      </c>
      <c r="G86" s="102" t="s">
        <v>540</v>
      </c>
      <c r="H86" s="66" t="s">
        <v>759</v>
      </c>
      <c r="I86" s="67" t="s">
        <v>539</v>
      </c>
      <c r="N86" s="78" t="s">
        <v>760</v>
      </c>
      <c r="O86" s="71" t="s">
        <v>8</v>
      </c>
    </row>
    <row r="87" spans="1:15" ht="45">
      <c r="A87" s="102" t="s">
        <v>524</v>
      </c>
      <c r="B87" s="64" t="s">
        <v>761</v>
      </c>
      <c r="C87" s="65" t="s">
        <v>541</v>
      </c>
      <c r="D87" s="102" t="s">
        <v>524</v>
      </c>
      <c r="E87" s="66" t="s">
        <v>761</v>
      </c>
      <c r="F87" s="67" t="s">
        <v>541</v>
      </c>
      <c r="G87" s="102" t="s">
        <v>524</v>
      </c>
      <c r="H87" s="66" t="s">
        <v>761</v>
      </c>
      <c r="I87" s="67" t="s">
        <v>541</v>
      </c>
      <c r="N87" s="78" t="s">
        <v>762</v>
      </c>
      <c r="O87" s="71" t="s">
        <v>8</v>
      </c>
    </row>
    <row r="88" spans="1:15" ht="45">
      <c r="A88" s="72" t="s">
        <v>8</v>
      </c>
      <c r="B88" s="73" t="s">
        <v>8</v>
      </c>
      <c r="C88" s="87" t="s">
        <v>542</v>
      </c>
      <c r="D88" s="72" t="s">
        <v>543</v>
      </c>
      <c r="E88" s="75"/>
      <c r="F88" s="76" t="s">
        <v>542</v>
      </c>
      <c r="G88" s="72" t="s">
        <v>543</v>
      </c>
      <c r="H88" s="75"/>
      <c r="I88" s="76" t="s">
        <v>542</v>
      </c>
      <c r="N88" s="78" t="s">
        <v>763</v>
      </c>
      <c r="O88" s="71" t="s">
        <v>8</v>
      </c>
    </row>
    <row r="89" spans="1:15" ht="45">
      <c r="A89" s="72" t="s">
        <v>8</v>
      </c>
      <c r="B89" s="73" t="s">
        <v>8</v>
      </c>
      <c r="C89" s="87" t="s">
        <v>544</v>
      </c>
      <c r="D89" s="72" t="s">
        <v>545</v>
      </c>
      <c r="E89" s="75"/>
      <c r="F89" s="76" t="s">
        <v>544</v>
      </c>
      <c r="G89" s="72" t="s">
        <v>545</v>
      </c>
      <c r="H89" s="75"/>
      <c r="I89" s="76" t="s">
        <v>544</v>
      </c>
      <c r="N89" s="78" t="s">
        <v>764</v>
      </c>
      <c r="O89" s="71" t="s">
        <v>8</v>
      </c>
    </row>
    <row r="90" spans="1:15" ht="32.25" customHeight="1">
      <c r="A90" s="72" t="s">
        <v>8</v>
      </c>
      <c r="B90" s="73" t="s">
        <v>8</v>
      </c>
      <c r="C90" s="87" t="s">
        <v>765</v>
      </c>
      <c r="D90" s="72" t="s">
        <v>546</v>
      </c>
      <c r="E90" s="75"/>
      <c r="F90" s="76" t="s">
        <v>765</v>
      </c>
      <c r="G90" s="72" t="s">
        <v>546</v>
      </c>
      <c r="H90" s="75"/>
      <c r="I90" s="76" t="s">
        <v>765</v>
      </c>
      <c r="N90" s="71" t="s">
        <v>8</v>
      </c>
      <c r="O90" s="71" t="s">
        <v>8</v>
      </c>
    </row>
    <row r="91" spans="1:15" ht="30.75" customHeight="1">
      <c r="A91" s="102" t="s">
        <v>766</v>
      </c>
      <c r="B91" s="64" t="s">
        <v>767</v>
      </c>
      <c r="C91" s="65"/>
      <c r="D91" s="89" t="s">
        <v>8</v>
      </c>
      <c r="E91" s="92"/>
      <c r="F91" s="93" t="s">
        <v>8</v>
      </c>
      <c r="G91" s="89" t="s">
        <v>8</v>
      </c>
      <c r="H91" s="92"/>
      <c r="I91" s="93" t="s">
        <v>8</v>
      </c>
      <c r="J91" s="110"/>
      <c r="K91" s="110"/>
      <c r="L91" s="110"/>
      <c r="M91" s="110"/>
      <c r="N91" s="71" t="s">
        <v>8</v>
      </c>
      <c r="O91" s="71" t="s">
        <v>8</v>
      </c>
    </row>
    <row r="92" spans="1:15">
      <c r="A92" s="89" t="s">
        <v>8</v>
      </c>
      <c r="B92" s="108" t="s">
        <v>8</v>
      </c>
      <c r="C92" s="65"/>
      <c r="D92" s="89" t="s">
        <v>8</v>
      </c>
      <c r="E92" s="92"/>
      <c r="F92" s="93" t="s">
        <v>8</v>
      </c>
      <c r="G92" s="89" t="s">
        <v>8</v>
      </c>
      <c r="H92" s="92"/>
      <c r="I92" s="93" t="s">
        <v>8</v>
      </c>
      <c r="J92" s="110"/>
      <c r="K92" s="110"/>
      <c r="L92" s="110"/>
      <c r="M92" s="110"/>
      <c r="N92" s="71" t="s">
        <v>8</v>
      </c>
      <c r="O92" s="71" t="s">
        <v>8</v>
      </c>
    </row>
    <row r="93" spans="1:15" ht="30">
      <c r="A93" s="89" t="s">
        <v>8</v>
      </c>
      <c r="B93" s="108" t="s">
        <v>8</v>
      </c>
      <c r="C93" s="87"/>
      <c r="D93" s="111" t="s">
        <v>547</v>
      </c>
      <c r="E93" s="75"/>
      <c r="F93" s="76" t="s">
        <v>768</v>
      </c>
      <c r="G93" s="111" t="s">
        <v>547</v>
      </c>
      <c r="H93" s="75"/>
      <c r="I93" s="76" t="s">
        <v>768</v>
      </c>
      <c r="N93" s="71" t="s">
        <v>8</v>
      </c>
      <c r="O93" s="71" t="s">
        <v>8</v>
      </c>
    </row>
    <row r="94" spans="1:15" ht="51.75" customHeight="1">
      <c r="A94" s="89" t="s">
        <v>8</v>
      </c>
      <c r="B94" s="108" t="s">
        <v>8</v>
      </c>
      <c r="C94" s="87"/>
      <c r="D94" s="72" t="s">
        <v>549</v>
      </c>
      <c r="E94" s="75"/>
      <c r="F94" s="76" t="s">
        <v>548</v>
      </c>
      <c r="G94" s="72" t="s">
        <v>549</v>
      </c>
      <c r="H94" s="75"/>
      <c r="I94" s="76" t="s">
        <v>548</v>
      </c>
      <c r="N94" s="78" t="s">
        <v>769</v>
      </c>
      <c r="O94" s="81" t="s">
        <v>770</v>
      </c>
    </row>
    <row r="95" spans="1:15" ht="47.25" customHeight="1">
      <c r="A95" s="89" t="s">
        <v>8</v>
      </c>
      <c r="B95" s="108" t="s">
        <v>8</v>
      </c>
      <c r="C95" s="87"/>
      <c r="D95" s="82" t="s">
        <v>551</v>
      </c>
      <c r="E95" s="75"/>
      <c r="F95" s="76" t="s">
        <v>550</v>
      </c>
      <c r="G95" s="82" t="s">
        <v>551</v>
      </c>
      <c r="H95" s="75"/>
      <c r="I95" s="76" t="s">
        <v>550</v>
      </c>
      <c r="N95" s="78" t="s">
        <v>771</v>
      </c>
      <c r="O95" s="85" t="s">
        <v>772</v>
      </c>
    </row>
    <row r="96" spans="1:15" ht="61.5" customHeight="1">
      <c r="A96" s="89" t="s">
        <v>8</v>
      </c>
      <c r="B96" s="108" t="s">
        <v>8</v>
      </c>
      <c r="C96" s="87"/>
      <c r="D96" s="82" t="s">
        <v>552</v>
      </c>
      <c r="E96" s="75"/>
      <c r="F96" s="76" t="s">
        <v>773</v>
      </c>
      <c r="G96" s="82" t="s">
        <v>552</v>
      </c>
      <c r="H96" s="75"/>
      <c r="I96" s="76" t="s">
        <v>773</v>
      </c>
      <c r="N96" s="112" t="s">
        <v>8</v>
      </c>
      <c r="O96" s="81" t="s">
        <v>774</v>
      </c>
    </row>
    <row r="97" spans="1:15" ht="49.5" customHeight="1">
      <c r="A97" s="89" t="s">
        <v>8</v>
      </c>
      <c r="B97" s="108" t="s">
        <v>8</v>
      </c>
      <c r="C97" s="87"/>
      <c r="D97" s="72" t="s">
        <v>554</v>
      </c>
      <c r="E97" s="75"/>
      <c r="F97" s="76" t="s">
        <v>553</v>
      </c>
      <c r="G97" s="72" t="s">
        <v>554</v>
      </c>
      <c r="H97" s="75"/>
      <c r="I97" s="76" t="s">
        <v>553</v>
      </c>
      <c r="N97" s="78" t="s">
        <v>775</v>
      </c>
      <c r="O97" s="62" t="s">
        <v>8</v>
      </c>
    </row>
    <row r="98" spans="1:15" ht="107.25" customHeight="1">
      <c r="A98" s="89" t="s">
        <v>8</v>
      </c>
      <c r="B98" s="108" t="s">
        <v>8</v>
      </c>
      <c r="C98" s="87"/>
      <c r="D98" s="72" t="s">
        <v>556</v>
      </c>
      <c r="E98" s="75"/>
      <c r="F98" s="76" t="s">
        <v>555</v>
      </c>
      <c r="G98" s="72" t="s">
        <v>556</v>
      </c>
      <c r="H98" s="75"/>
      <c r="I98" s="76" t="s">
        <v>555</v>
      </c>
      <c r="N98" s="71" t="s">
        <v>8</v>
      </c>
      <c r="O98" s="81" t="s">
        <v>776</v>
      </c>
    </row>
    <row r="99" spans="1:15" ht="20.25" customHeight="1">
      <c r="A99" s="89" t="s">
        <v>8</v>
      </c>
      <c r="B99" s="108" t="s">
        <v>8</v>
      </c>
      <c r="C99" s="87"/>
      <c r="D99" s="72" t="s">
        <v>558</v>
      </c>
      <c r="E99" s="75"/>
      <c r="F99" s="76" t="s">
        <v>557</v>
      </c>
      <c r="G99" s="72" t="s">
        <v>558</v>
      </c>
      <c r="H99" s="75"/>
      <c r="I99" s="76" t="s">
        <v>557</v>
      </c>
      <c r="J99" s="79" t="s">
        <v>557</v>
      </c>
      <c r="K99" s="76" t="s">
        <v>557</v>
      </c>
      <c r="L99" s="76" t="s">
        <v>557</v>
      </c>
      <c r="M99" s="80" t="s">
        <v>557</v>
      </c>
      <c r="N99" s="78" t="s">
        <v>557</v>
      </c>
      <c r="O99" s="91" t="s">
        <v>557</v>
      </c>
    </row>
    <row r="100" spans="1:15" ht="17.25" customHeight="1">
      <c r="A100" s="89" t="s">
        <v>8</v>
      </c>
      <c r="B100" s="108" t="s">
        <v>8</v>
      </c>
      <c r="C100" s="87"/>
      <c r="D100" s="72" t="s">
        <v>560</v>
      </c>
      <c r="E100" s="75"/>
      <c r="F100" s="76" t="s">
        <v>559</v>
      </c>
      <c r="G100" s="72" t="s">
        <v>560</v>
      </c>
      <c r="H100" s="75"/>
      <c r="I100" s="76" t="s">
        <v>559</v>
      </c>
      <c r="J100" s="79" t="s">
        <v>559</v>
      </c>
      <c r="K100" s="76" t="s">
        <v>559</v>
      </c>
      <c r="L100" s="76" t="s">
        <v>559</v>
      </c>
      <c r="M100" s="80" t="s">
        <v>559</v>
      </c>
      <c r="N100" s="78" t="s">
        <v>559</v>
      </c>
      <c r="O100" s="91" t="s">
        <v>559</v>
      </c>
    </row>
    <row r="101" spans="1:15" ht="30.75" customHeight="1">
      <c r="A101" s="89" t="s">
        <v>8</v>
      </c>
      <c r="B101" s="108" t="s">
        <v>8</v>
      </c>
      <c r="C101" s="87"/>
      <c r="D101" s="72" t="s">
        <v>562</v>
      </c>
      <c r="E101" s="75"/>
      <c r="F101" s="76" t="s">
        <v>561</v>
      </c>
      <c r="G101" s="72" t="s">
        <v>562</v>
      </c>
      <c r="H101" s="75"/>
      <c r="I101" s="76" t="s">
        <v>561</v>
      </c>
      <c r="N101" s="71" t="s">
        <v>8</v>
      </c>
      <c r="O101" s="81" t="s">
        <v>561</v>
      </c>
    </row>
    <row r="102" spans="1:15" ht="25.5" customHeight="1">
      <c r="A102" s="89" t="s">
        <v>8</v>
      </c>
      <c r="B102" s="108" t="s">
        <v>8</v>
      </c>
      <c r="C102" s="87"/>
      <c r="D102" s="72" t="s">
        <v>563</v>
      </c>
      <c r="E102" s="75"/>
      <c r="F102" s="76" t="s">
        <v>777</v>
      </c>
      <c r="G102" s="72" t="s">
        <v>563</v>
      </c>
      <c r="H102" s="75"/>
      <c r="I102" s="76" t="s">
        <v>777</v>
      </c>
      <c r="J102" s="79" t="s">
        <v>777</v>
      </c>
      <c r="K102" s="76" t="s">
        <v>777</v>
      </c>
      <c r="L102" s="76" t="s">
        <v>777</v>
      </c>
      <c r="M102" s="80" t="s">
        <v>777</v>
      </c>
      <c r="N102" s="78" t="s">
        <v>777</v>
      </c>
      <c r="O102" s="91" t="s">
        <v>777</v>
      </c>
    </row>
    <row r="103" spans="1:15" ht="37.5" customHeight="1">
      <c r="A103" s="89" t="s">
        <v>8</v>
      </c>
      <c r="B103" s="108" t="s">
        <v>8</v>
      </c>
      <c r="C103" s="87"/>
      <c r="D103" s="72" t="s">
        <v>565</v>
      </c>
      <c r="E103" s="75"/>
      <c r="F103" s="76" t="s">
        <v>564</v>
      </c>
      <c r="G103" s="72" t="s">
        <v>565</v>
      </c>
      <c r="H103" s="75"/>
      <c r="I103" s="76" t="s">
        <v>564</v>
      </c>
      <c r="J103" s="79" t="s">
        <v>564</v>
      </c>
      <c r="K103" s="76" t="s">
        <v>564</v>
      </c>
      <c r="L103" s="76" t="s">
        <v>564</v>
      </c>
      <c r="M103" s="80" t="s">
        <v>564</v>
      </c>
      <c r="N103" s="78" t="s">
        <v>564</v>
      </c>
      <c r="O103" s="91" t="s">
        <v>564</v>
      </c>
    </row>
    <row r="104" spans="1:15" ht="30">
      <c r="A104" s="89" t="s">
        <v>8</v>
      </c>
      <c r="B104" s="108" t="s">
        <v>8</v>
      </c>
      <c r="C104" s="87"/>
      <c r="D104" s="72" t="s">
        <v>567</v>
      </c>
      <c r="E104" s="75"/>
      <c r="F104" s="76" t="s">
        <v>566</v>
      </c>
      <c r="G104" s="72" t="s">
        <v>567</v>
      </c>
      <c r="H104" s="75"/>
      <c r="I104" s="76" t="s">
        <v>566</v>
      </c>
      <c r="N104" s="78" t="s">
        <v>778</v>
      </c>
      <c r="O104" s="81" t="s">
        <v>779</v>
      </c>
    </row>
    <row r="105" spans="1:15" hidden="1">
      <c r="A105" s="89" t="s">
        <v>8</v>
      </c>
      <c r="B105" s="108" t="s">
        <v>8</v>
      </c>
      <c r="C105" s="87"/>
      <c r="D105" s="72"/>
      <c r="E105" s="75"/>
      <c r="F105" s="76"/>
      <c r="G105" s="72"/>
      <c r="H105" s="75"/>
      <c r="I105" s="76"/>
      <c r="N105" s="71" t="s">
        <v>8</v>
      </c>
      <c r="O105" s="71" t="s">
        <v>8</v>
      </c>
    </row>
    <row r="106" spans="1:15" ht="21" customHeight="1">
      <c r="A106" s="63" t="s">
        <v>780</v>
      </c>
      <c r="B106" s="103" t="s">
        <v>123</v>
      </c>
      <c r="C106" s="87"/>
      <c r="D106" s="89" t="s">
        <v>8</v>
      </c>
      <c r="E106" s="113"/>
      <c r="F106" s="86" t="s">
        <v>8</v>
      </c>
      <c r="G106" s="89" t="s">
        <v>8</v>
      </c>
      <c r="H106" s="113" t="s">
        <v>123</v>
      </c>
      <c r="I106" s="86" t="s">
        <v>8</v>
      </c>
      <c r="N106" s="71" t="s">
        <v>8</v>
      </c>
      <c r="O106" s="71" t="s">
        <v>8</v>
      </c>
    </row>
    <row r="107" spans="1:15" s="52" customFormat="1" ht="43.5" customHeight="1">
      <c r="A107" s="53" t="s">
        <v>572</v>
      </c>
      <c r="B107" s="54" t="s">
        <v>781</v>
      </c>
      <c r="C107" s="55" t="s">
        <v>571</v>
      </c>
      <c r="D107" s="53" t="s">
        <v>572</v>
      </c>
      <c r="E107" s="56" t="s">
        <v>781</v>
      </c>
      <c r="F107" s="57" t="s">
        <v>571</v>
      </c>
      <c r="G107" s="53" t="s">
        <v>572</v>
      </c>
      <c r="H107" s="56" t="s">
        <v>781</v>
      </c>
      <c r="I107" s="57" t="s">
        <v>571</v>
      </c>
      <c r="J107" s="114"/>
      <c r="K107" s="114"/>
      <c r="L107" s="114"/>
      <c r="M107" s="114"/>
      <c r="N107" s="71" t="s">
        <v>8</v>
      </c>
      <c r="O107" s="71" t="s">
        <v>8</v>
      </c>
    </row>
    <row r="108" spans="1:15" s="52" customFormat="1" ht="62.25" customHeight="1">
      <c r="A108" s="115" t="s">
        <v>8</v>
      </c>
      <c r="B108" s="116" t="s">
        <v>8</v>
      </c>
      <c r="C108" s="117"/>
      <c r="D108" s="118" t="s">
        <v>575</v>
      </c>
      <c r="E108" s="119"/>
      <c r="F108" s="120" t="s">
        <v>574</v>
      </c>
      <c r="G108" s="118" t="s">
        <v>575</v>
      </c>
      <c r="H108" s="119"/>
      <c r="I108" s="120" t="s">
        <v>574</v>
      </c>
      <c r="N108" s="71" t="s">
        <v>8</v>
      </c>
      <c r="O108" s="71" t="s">
        <v>8</v>
      </c>
    </row>
    <row r="109" spans="1:15" s="52" customFormat="1" ht="30.75" thickBot="1">
      <c r="A109" s="121" t="s">
        <v>8</v>
      </c>
      <c r="B109" s="122" t="s">
        <v>8</v>
      </c>
      <c r="C109" s="123"/>
      <c r="D109" s="124" t="s">
        <v>578</v>
      </c>
      <c r="E109" s="125"/>
      <c r="F109" s="126" t="s">
        <v>577</v>
      </c>
      <c r="G109" s="124" t="s">
        <v>578</v>
      </c>
      <c r="H109" s="125"/>
      <c r="I109" s="126" t="s">
        <v>577</v>
      </c>
      <c r="N109" s="127" t="s">
        <v>8</v>
      </c>
      <c r="O109" s="127" t="s">
        <v>8</v>
      </c>
    </row>
    <row r="110" spans="1:15">
      <c r="J110" s="129" t="s">
        <v>406</v>
      </c>
      <c r="K110" s="130" t="s">
        <v>407</v>
      </c>
      <c r="L110" s="130" t="s">
        <v>782</v>
      </c>
      <c r="M110" s="131" t="s">
        <v>782</v>
      </c>
    </row>
    <row r="111" spans="1:15">
      <c r="J111" s="133" t="s">
        <v>409</v>
      </c>
      <c r="K111" s="69" t="s">
        <v>410</v>
      </c>
      <c r="L111" s="69" t="s">
        <v>783</v>
      </c>
      <c r="M111" s="67" t="s">
        <v>783</v>
      </c>
    </row>
    <row r="112" spans="1:15" ht="30">
      <c r="J112" s="133" t="s">
        <v>412</v>
      </c>
      <c r="K112" s="69" t="s">
        <v>413</v>
      </c>
      <c r="L112" s="69" t="s">
        <v>784</v>
      </c>
      <c r="M112" s="67" t="s">
        <v>784</v>
      </c>
    </row>
    <row r="113" spans="10:13">
      <c r="J113" s="133" t="s">
        <v>431</v>
      </c>
      <c r="K113" s="69" t="s">
        <v>785</v>
      </c>
      <c r="L113" s="69" t="s">
        <v>786</v>
      </c>
      <c r="M113" s="67" t="s">
        <v>786</v>
      </c>
    </row>
    <row r="114" spans="10:13" ht="28.5">
      <c r="J114" s="134" t="s">
        <v>446</v>
      </c>
      <c r="K114" s="59" t="s">
        <v>447</v>
      </c>
      <c r="L114" s="59" t="s">
        <v>448</v>
      </c>
      <c r="M114" s="57" t="s">
        <v>448</v>
      </c>
    </row>
    <row r="115" spans="10:13" ht="45">
      <c r="J115" s="135" t="s">
        <v>449</v>
      </c>
      <c r="K115" s="69" t="s">
        <v>450</v>
      </c>
      <c r="L115" s="69" t="s">
        <v>787</v>
      </c>
      <c r="M115" s="67" t="s">
        <v>787</v>
      </c>
    </row>
    <row r="116" spans="10:13" ht="30">
      <c r="J116" s="135" t="s">
        <v>452</v>
      </c>
      <c r="K116" s="69" t="s">
        <v>453</v>
      </c>
      <c r="L116" s="69" t="s">
        <v>454</v>
      </c>
      <c r="M116" s="67" t="s">
        <v>454</v>
      </c>
    </row>
    <row r="117" spans="10:13" ht="30">
      <c r="J117" s="135" t="s">
        <v>455</v>
      </c>
      <c r="K117" s="69" t="s">
        <v>456</v>
      </c>
      <c r="L117" s="69" t="s">
        <v>788</v>
      </c>
      <c r="M117" s="67" t="s">
        <v>788</v>
      </c>
    </row>
    <row r="118" spans="10:13">
      <c r="J118" s="136"/>
      <c r="K118" s="137"/>
      <c r="L118" s="137"/>
      <c r="M118" s="138"/>
    </row>
    <row r="119" spans="10:13" ht="28.5">
      <c r="J119" s="134" t="s">
        <v>480</v>
      </c>
      <c r="K119" s="59" t="s">
        <v>481</v>
      </c>
      <c r="L119" s="59" t="s">
        <v>789</v>
      </c>
      <c r="M119" s="57" t="s">
        <v>789</v>
      </c>
    </row>
    <row r="120" spans="10:13">
      <c r="J120" s="136"/>
      <c r="K120" s="137"/>
      <c r="L120" s="137"/>
      <c r="M120" s="138"/>
    </row>
    <row r="121" spans="10:13">
      <c r="J121" s="135" t="s">
        <v>498</v>
      </c>
      <c r="K121" s="69" t="s">
        <v>499</v>
      </c>
      <c r="L121" s="69" t="s">
        <v>500</v>
      </c>
      <c r="M121" s="67" t="s">
        <v>500</v>
      </c>
    </row>
    <row r="122" spans="10:13">
      <c r="J122" s="136"/>
      <c r="K122" s="137"/>
      <c r="L122" s="137"/>
      <c r="M122" s="138"/>
    </row>
    <row r="123" spans="10:13" ht="45">
      <c r="J123" s="135" t="s">
        <v>519</v>
      </c>
      <c r="K123" s="69" t="s">
        <v>520</v>
      </c>
      <c r="L123" s="69" t="s">
        <v>790</v>
      </c>
      <c r="M123" s="67" t="s">
        <v>790</v>
      </c>
    </row>
    <row r="124" spans="10:13" ht="45">
      <c r="J124" s="135" t="s">
        <v>527</v>
      </c>
      <c r="K124" s="69" t="s">
        <v>528</v>
      </c>
      <c r="L124" s="69" t="s">
        <v>529</v>
      </c>
      <c r="M124" s="67" t="s">
        <v>529</v>
      </c>
    </row>
    <row r="125" spans="10:13" ht="15.75" thickBot="1">
      <c r="J125" s="139" t="s">
        <v>535</v>
      </c>
      <c r="K125" s="105" t="s">
        <v>791</v>
      </c>
      <c r="L125" s="105" t="s">
        <v>536</v>
      </c>
      <c r="M125" s="140" t="s">
        <v>536</v>
      </c>
    </row>
  </sheetData>
  <mergeCells count="5">
    <mergeCell ref="A1:O1"/>
    <mergeCell ref="A2:B2"/>
    <mergeCell ref="D2:F2"/>
    <mergeCell ref="G2:I2"/>
    <mergeCell ref="J2:M2"/>
  </mergeCells>
  <pageMargins left="0.75" right="0.75" top="1" bottom="1" header="0.5" footer="0.5"/>
  <pageSetup paperSize="9" scale="50" orientation="landscape" r:id="rId1"/>
  <headerFooter alignWithMargins="0"/>
  <rowBreaks count="5" manualBreakCount="5">
    <brk id="15" max="16383" man="1"/>
    <brk id="35" max="16383" man="1"/>
    <brk id="63" max="15" man="1"/>
    <brk id="78" max="16383" man="1"/>
    <brk id="9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92D050"/>
  </sheetPr>
  <dimension ref="A1:CX72"/>
  <sheetViews>
    <sheetView zoomScale="70" zoomScaleNormal="70" zoomScaleSheetLayoutView="70" workbookViewId="0">
      <pane xSplit="2" ySplit="3" topLeftCell="I4" activePane="bottomRight" state="frozen"/>
      <selection activeCell="BV105" sqref="BV105"/>
      <selection pane="topRight" activeCell="BV105" sqref="BV105"/>
      <selection pane="bottomLeft" activeCell="BV105" sqref="BV105"/>
      <selection pane="bottomRight" activeCell="I4" sqref="I4:AC39"/>
    </sheetView>
  </sheetViews>
  <sheetFormatPr defaultRowHeight="12.75"/>
  <cols>
    <col min="1" max="1" width="18.5703125" style="149" customWidth="1"/>
    <col min="2" max="2" width="50" style="149" customWidth="1"/>
    <col min="3" max="3" width="16" style="178" customWidth="1"/>
    <col min="4" max="4" width="17" style="179" bestFit="1" customWidth="1"/>
    <col min="5" max="5" width="17" style="180" bestFit="1" customWidth="1"/>
    <col min="6" max="8" width="25.42578125" style="177" customWidth="1"/>
    <col min="9" max="9" width="29.140625" style="156" customWidth="1"/>
    <col min="10" max="11" width="29.140625" style="156" hidden="1" customWidth="1"/>
    <col min="12" max="12" width="22.5703125" style="156" customWidth="1"/>
    <col min="13" max="13" width="21.140625" style="156" customWidth="1"/>
    <col min="14" max="14" width="16.85546875" style="156" customWidth="1"/>
    <col min="15" max="16" width="18.5703125" style="156" customWidth="1"/>
    <col min="17" max="17" width="20.85546875" style="156" customWidth="1"/>
    <col min="18" max="18" width="19.5703125" style="156" customWidth="1"/>
    <col min="19" max="19" width="16.28515625" style="156" customWidth="1"/>
    <col min="20" max="21" width="18.7109375" style="156" customWidth="1"/>
    <col min="22" max="22" width="20.5703125" style="156" customWidth="1"/>
    <col min="23" max="23" width="21.140625" style="149" bestFit="1" customWidth="1"/>
    <col min="24" max="24" width="15.42578125" style="346" customWidth="1"/>
    <col min="25" max="28" width="9.140625" style="346"/>
    <col min="29" max="29" width="12.5703125" style="346" customWidth="1"/>
    <col min="30" max="85" width="9.140625" style="346"/>
    <col min="86" max="16384" width="9.140625" style="149"/>
  </cols>
  <sheetData>
    <row r="1" spans="1:102" s="963" customFormat="1" ht="64.5" customHeight="1">
      <c r="A1" s="1632"/>
      <c r="B1" s="1632"/>
      <c r="C1" s="1630" t="s">
        <v>2378</v>
      </c>
      <c r="D1" s="1631"/>
      <c r="E1" s="1631"/>
      <c r="F1" s="1631"/>
      <c r="G1" s="1631"/>
      <c r="H1" s="1633"/>
      <c r="I1" s="1630" t="s">
        <v>819</v>
      </c>
      <c r="J1" s="1631"/>
      <c r="K1" s="1633"/>
      <c r="L1" s="1630" t="s">
        <v>820</v>
      </c>
      <c r="M1" s="1631"/>
      <c r="N1" s="1631"/>
      <c r="O1" s="1631"/>
      <c r="P1" s="1634" t="s">
        <v>2642</v>
      </c>
      <c r="Q1" s="1635"/>
      <c r="R1" s="1635"/>
      <c r="S1" s="1635"/>
      <c r="T1" s="1636"/>
      <c r="U1" s="1637" t="s">
        <v>2653</v>
      </c>
      <c r="V1" s="1638"/>
      <c r="W1" s="1629" t="s">
        <v>816</v>
      </c>
    </row>
    <row r="2" spans="1:102" s="346" customFormat="1" ht="37.5" customHeight="1">
      <c r="A2" s="1632"/>
      <c r="B2" s="1632"/>
      <c r="C2" s="939" t="s">
        <v>4</v>
      </c>
      <c r="D2" s="939" t="s">
        <v>6</v>
      </c>
      <c r="E2" s="939" t="s">
        <v>9</v>
      </c>
      <c r="F2" s="954" t="s">
        <v>15</v>
      </c>
      <c r="G2" s="954" t="s">
        <v>2656</v>
      </c>
      <c r="H2" s="954" t="s">
        <v>2657</v>
      </c>
      <c r="I2" s="940" t="s">
        <v>17</v>
      </c>
      <c r="J2" s="940" t="s">
        <v>19</v>
      </c>
      <c r="K2" s="940" t="s">
        <v>21</v>
      </c>
      <c r="L2" s="940" t="s">
        <v>25</v>
      </c>
      <c r="M2" s="940" t="s">
        <v>28</v>
      </c>
      <c r="N2" s="932" t="s">
        <v>33</v>
      </c>
      <c r="O2" s="933" t="s">
        <v>34</v>
      </c>
      <c r="P2" s="950" t="s">
        <v>2643</v>
      </c>
      <c r="Q2" s="950" t="s">
        <v>2644</v>
      </c>
      <c r="R2" s="950" t="s">
        <v>2645</v>
      </c>
      <c r="S2" s="950" t="s">
        <v>2646</v>
      </c>
      <c r="T2" s="950" t="s">
        <v>2647</v>
      </c>
      <c r="U2" s="952" t="s">
        <v>41</v>
      </c>
      <c r="V2" s="951" t="s">
        <v>2379</v>
      </c>
      <c r="W2" s="1629"/>
    </row>
    <row r="3" spans="1:102" s="346" customFormat="1" ht="78" customHeight="1">
      <c r="A3" s="1632"/>
      <c r="B3" s="1632"/>
      <c r="C3" s="937" t="s">
        <v>792</v>
      </c>
      <c r="D3" s="938" t="s">
        <v>793</v>
      </c>
      <c r="E3" s="937" t="s">
        <v>794</v>
      </c>
      <c r="F3" s="955" t="s">
        <v>16</v>
      </c>
      <c r="G3" s="955" t="s">
        <v>12</v>
      </c>
      <c r="H3" s="955" t="s">
        <v>14</v>
      </c>
      <c r="I3" s="223" t="s">
        <v>18</v>
      </c>
      <c r="J3" s="223" t="s">
        <v>20</v>
      </c>
      <c r="K3" s="223" t="s">
        <v>22</v>
      </c>
      <c r="L3" s="223" t="s">
        <v>26</v>
      </c>
      <c r="M3" s="223" t="s">
        <v>29</v>
      </c>
      <c r="N3" s="225" t="s">
        <v>27</v>
      </c>
      <c r="O3" s="225" t="s">
        <v>35</v>
      </c>
      <c r="P3" s="951" t="s">
        <v>2648</v>
      </c>
      <c r="Q3" s="951" t="s">
        <v>2649</v>
      </c>
      <c r="R3" s="951" t="s">
        <v>2650</v>
      </c>
      <c r="S3" s="951" t="s">
        <v>2651</v>
      </c>
      <c r="T3" s="951" t="s">
        <v>2652</v>
      </c>
      <c r="U3" s="953" t="s">
        <v>42</v>
      </c>
      <c r="V3" s="951" t="s">
        <v>43</v>
      </c>
      <c r="W3" s="1629"/>
    </row>
    <row r="4" spans="1:102" s="156" customFormat="1" ht="25.5">
      <c r="A4" s="202" t="s">
        <v>44</v>
      </c>
      <c r="B4" s="202" t="s">
        <v>795</v>
      </c>
      <c r="C4" s="152"/>
      <c r="D4" s="153"/>
      <c r="E4" s="153"/>
      <c r="F4" s="153"/>
      <c r="G4" s="153"/>
      <c r="H4" s="153"/>
      <c r="I4" s="875"/>
      <c r="J4" s="875">
        <f>[4]Отчет!P28</f>
        <v>99.641091707261936</v>
      </c>
      <c r="K4" s="875" t="s">
        <v>846</v>
      </c>
      <c r="L4" s="875"/>
      <c r="M4" s="875"/>
      <c r="N4" s="875"/>
      <c r="O4" s="878"/>
      <c r="P4" s="878"/>
      <c r="Q4" s="878"/>
      <c r="R4" s="878"/>
      <c r="S4" s="878"/>
      <c r="T4" s="878"/>
      <c r="U4" s="878"/>
      <c r="V4" s="878"/>
      <c r="W4" s="878"/>
      <c r="X4" s="878"/>
      <c r="Y4" s="879"/>
      <c r="Z4" s="879"/>
      <c r="AA4" s="879"/>
      <c r="AB4" s="879"/>
      <c r="AC4" s="154">
        <f t="shared" ref="AC4:AC38" si="0">SUM(I4:AB4)</f>
        <v>99.641091707261936</v>
      </c>
      <c r="AD4" s="346"/>
      <c r="AE4" s="346"/>
      <c r="AF4" s="346"/>
      <c r="AG4" s="346"/>
      <c r="AH4" s="346"/>
      <c r="AI4" s="346"/>
      <c r="AJ4" s="346"/>
      <c r="AK4" s="346"/>
      <c r="AL4" s="346"/>
      <c r="AM4" s="346"/>
      <c r="AN4" s="346"/>
      <c r="AO4" s="346"/>
      <c r="AP4" s="346"/>
      <c r="AQ4" s="346"/>
      <c r="AR4" s="346"/>
      <c r="AS4" s="346"/>
      <c r="AT4" s="346"/>
      <c r="AU4" s="346"/>
      <c r="AV4" s="346"/>
      <c r="AW4" s="346"/>
      <c r="AX4" s="346"/>
      <c r="AY4" s="346"/>
      <c r="AZ4" s="346"/>
      <c r="BA4" s="346"/>
      <c r="BB4" s="346"/>
      <c r="BC4" s="346"/>
      <c r="BD4" s="346"/>
      <c r="BE4" s="346"/>
      <c r="BF4" s="346"/>
      <c r="BG4" s="346"/>
      <c r="BH4" s="346"/>
      <c r="BI4" s="346"/>
      <c r="BJ4" s="346"/>
      <c r="BK4" s="346"/>
      <c r="BL4" s="346"/>
      <c r="BM4" s="346"/>
      <c r="BN4" s="346"/>
      <c r="BO4" s="346"/>
      <c r="BP4" s="346"/>
      <c r="BQ4" s="346"/>
      <c r="BR4" s="346"/>
      <c r="BS4" s="346"/>
      <c r="BT4" s="346"/>
      <c r="BU4" s="346"/>
      <c r="BV4" s="346"/>
      <c r="BW4" s="346"/>
      <c r="BX4" s="346"/>
      <c r="BY4" s="346"/>
      <c r="BZ4" s="346"/>
      <c r="CA4" s="346"/>
      <c r="CB4" s="346"/>
      <c r="CC4" s="346"/>
      <c r="CD4" s="346"/>
      <c r="CE4" s="346"/>
      <c r="CF4" s="346"/>
      <c r="CG4" s="346"/>
    </row>
    <row r="5" spans="1:102" s="159" customFormat="1" ht="18.75">
      <c r="A5" s="203" t="s">
        <v>47</v>
      </c>
      <c r="B5" s="202" t="s">
        <v>48</v>
      </c>
      <c r="C5" s="157"/>
      <c r="D5" s="157"/>
      <c r="E5" s="157"/>
      <c r="F5" s="157"/>
      <c r="G5" s="157"/>
      <c r="H5" s="157"/>
      <c r="I5" s="875"/>
      <c r="J5" s="875">
        <f>[4]Отчет!P41</f>
        <v>99.999563817025631</v>
      </c>
      <c r="K5" s="875"/>
      <c r="L5" s="875"/>
      <c r="M5" s="875"/>
      <c r="N5" s="875"/>
      <c r="O5" s="875"/>
      <c r="P5" s="875"/>
      <c r="Q5" s="875"/>
      <c r="R5" s="875"/>
      <c r="S5" s="875"/>
      <c r="T5" s="875"/>
      <c r="U5" s="875"/>
      <c r="V5" s="875"/>
      <c r="W5" s="875"/>
      <c r="X5" s="875"/>
      <c r="Y5" s="877"/>
      <c r="Z5" s="877"/>
      <c r="AA5" s="877"/>
      <c r="AB5" s="877"/>
      <c r="AC5" s="154">
        <f t="shared" si="0"/>
        <v>99.999563817025631</v>
      </c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  <c r="BB5" s="346"/>
      <c r="BC5" s="346"/>
      <c r="BD5" s="346"/>
      <c r="BE5" s="346"/>
      <c r="BF5" s="346"/>
      <c r="BG5" s="346"/>
      <c r="BH5" s="346"/>
      <c r="BI5" s="346"/>
      <c r="BJ5" s="346"/>
      <c r="BK5" s="346"/>
      <c r="BL5" s="346"/>
      <c r="BM5" s="346"/>
      <c r="BN5" s="346"/>
      <c r="BO5" s="346"/>
      <c r="BP5" s="346"/>
      <c r="BQ5" s="346"/>
      <c r="BR5" s="346"/>
      <c r="BS5" s="346"/>
      <c r="BT5" s="346"/>
      <c r="BU5" s="346"/>
      <c r="BV5" s="346"/>
      <c r="BW5" s="346"/>
      <c r="BX5" s="346"/>
      <c r="BY5" s="346"/>
      <c r="BZ5" s="346"/>
      <c r="CA5" s="346"/>
      <c r="CB5" s="346"/>
      <c r="CC5" s="346"/>
      <c r="CD5" s="346"/>
      <c r="CE5" s="346"/>
      <c r="CF5" s="346"/>
      <c r="CG5" s="346"/>
    </row>
    <row r="6" spans="1:102" s="162" customFormat="1" ht="25.5">
      <c r="A6" s="204" t="s">
        <v>51</v>
      </c>
      <c r="B6" s="214" t="s">
        <v>796</v>
      </c>
      <c r="C6" s="160"/>
      <c r="D6" s="160"/>
      <c r="E6" s="160"/>
      <c r="F6" s="160"/>
      <c r="G6" s="160"/>
      <c r="H6" s="160"/>
      <c r="I6" s="875"/>
      <c r="J6" s="875">
        <f>[4]Отчет!P30</f>
        <v>99.259901795805391</v>
      </c>
      <c r="K6" s="875"/>
      <c r="L6" s="875"/>
      <c r="M6" s="875"/>
      <c r="N6" s="875"/>
      <c r="O6" s="875"/>
      <c r="P6" s="875"/>
      <c r="Q6" s="875"/>
      <c r="R6" s="875"/>
      <c r="S6" s="875"/>
      <c r="T6" s="875"/>
      <c r="U6" s="875"/>
      <c r="V6" s="875"/>
      <c r="W6" s="875"/>
      <c r="X6" s="875"/>
      <c r="Y6" s="877"/>
      <c r="Z6" s="877"/>
      <c r="AA6" s="877"/>
      <c r="AB6" s="877"/>
      <c r="AC6" s="154">
        <f t="shared" si="0"/>
        <v>99.259901795805391</v>
      </c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346"/>
      <c r="AO6" s="346"/>
      <c r="AP6" s="346"/>
      <c r="AQ6" s="346"/>
      <c r="AR6" s="346"/>
      <c r="AS6" s="346"/>
      <c r="AT6" s="346"/>
      <c r="AU6" s="346"/>
      <c r="AV6" s="346"/>
      <c r="AW6" s="346"/>
      <c r="AX6" s="346"/>
      <c r="AY6" s="346"/>
      <c r="AZ6" s="346"/>
      <c r="BA6" s="346"/>
      <c r="BB6" s="346"/>
      <c r="BC6" s="346"/>
      <c r="BD6" s="346"/>
      <c r="BE6" s="346"/>
      <c r="BF6" s="346"/>
      <c r="BG6" s="346"/>
      <c r="BH6" s="346"/>
      <c r="BI6" s="346"/>
      <c r="BJ6" s="346"/>
      <c r="BK6" s="346"/>
      <c r="BL6" s="346"/>
      <c r="BM6" s="346"/>
      <c r="BN6" s="346"/>
      <c r="BO6" s="346"/>
      <c r="BP6" s="346"/>
      <c r="BQ6" s="346"/>
      <c r="BR6" s="346"/>
      <c r="BS6" s="346"/>
      <c r="BT6" s="346"/>
      <c r="BU6" s="346"/>
      <c r="BV6" s="346"/>
      <c r="BW6" s="346"/>
      <c r="BX6" s="346"/>
      <c r="BY6" s="346"/>
      <c r="BZ6" s="346"/>
      <c r="CA6" s="346"/>
      <c r="CB6" s="346"/>
      <c r="CC6" s="346"/>
      <c r="CD6" s="346"/>
      <c r="CE6" s="346"/>
      <c r="CF6" s="346"/>
      <c r="CG6" s="346"/>
      <c r="CH6" s="162">
        <v>0</v>
      </c>
    </row>
    <row r="7" spans="1:102" s="165" customFormat="1" ht="18.75">
      <c r="A7" s="215" t="s">
        <v>54</v>
      </c>
      <c r="B7" s="216" t="s">
        <v>55</v>
      </c>
      <c r="C7" s="875"/>
      <c r="D7" s="875">
        <f>301508950.842845+Дэф!C3+Дэф!C4+Дэф!C5+Дэф!C7</f>
        <v>305632608.84284502</v>
      </c>
      <c r="E7" s="875"/>
      <c r="F7" s="875"/>
      <c r="G7" s="875"/>
      <c r="H7" s="875"/>
      <c r="I7" s="875"/>
      <c r="J7" s="875">
        <f>[4]Отчет!P76+[4]Отчет!P77+[4]Отчет!P251+[4]Отчет!P253</f>
        <v>391.08361550101563</v>
      </c>
      <c r="K7" s="875"/>
      <c r="L7" s="875"/>
      <c r="M7" s="875"/>
      <c r="N7" s="875"/>
      <c r="O7" s="875"/>
      <c r="P7" s="875"/>
      <c r="Q7" s="875"/>
      <c r="R7" s="875"/>
      <c r="S7" s="875"/>
      <c r="T7" s="875"/>
      <c r="U7" s="875"/>
      <c r="V7" s="875"/>
      <c r="W7" s="875"/>
      <c r="X7" s="875"/>
      <c r="Y7" s="877"/>
      <c r="Z7" s="877"/>
      <c r="AA7" s="877"/>
      <c r="AB7" s="877"/>
      <c r="AC7" s="154">
        <f t="shared" si="0"/>
        <v>391.08361550101563</v>
      </c>
      <c r="AD7" s="346"/>
      <c r="AE7" s="346"/>
      <c r="AF7" s="346"/>
      <c r="AG7" s="346"/>
      <c r="AH7" s="346"/>
      <c r="AI7" s="346"/>
      <c r="AJ7" s="346"/>
      <c r="AK7" s="346"/>
      <c r="AL7" s="346"/>
      <c r="AM7" s="346"/>
      <c r="AN7" s="346"/>
      <c r="AO7" s="346"/>
      <c r="AP7" s="346"/>
      <c r="AQ7" s="346"/>
      <c r="AR7" s="346"/>
      <c r="AS7" s="346"/>
      <c r="AT7" s="346"/>
      <c r="AU7" s="346"/>
      <c r="AV7" s="346"/>
      <c r="AW7" s="346"/>
      <c r="AX7" s="346"/>
      <c r="AY7" s="346"/>
      <c r="AZ7" s="346"/>
      <c r="BA7" s="346"/>
      <c r="BB7" s="346"/>
      <c r="BC7" s="346"/>
      <c r="BD7" s="346"/>
      <c r="BE7" s="346"/>
      <c r="BF7" s="346"/>
      <c r="BG7" s="346"/>
      <c r="BH7" s="346"/>
      <c r="BI7" s="346"/>
      <c r="BJ7" s="346"/>
      <c r="BK7" s="346"/>
      <c r="BL7" s="346"/>
      <c r="BM7" s="346"/>
      <c r="BN7" s="346"/>
      <c r="BO7" s="346"/>
      <c r="BP7" s="346"/>
      <c r="BQ7" s="346"/>
      <c r="BR7" s="346"/>
      <c r="BS7" s="346"/>
      <c r="BT7" s="346"/>
      <c r="BU7" s="346"/>
      <c r="BV7" s="346"/>
      <c r="BW7" s="346"/>
      <c r="BX7" s="346"/>
      <c r="BY7" s="346"/>
      <c r="BZ7" s="346"/>
      <c r="CA7" s="346"/>
      <c r="CB7" s="346"/>
      <c r="CC7" s="346"/>
      <c r="CD7" s="346"/>
      <c r="CE7" s="346"/>
      <c r="CF7" s="346"/>
      <c r="CG7" s="346"/>
    </row>
    <row r="8" spans="1:102" s="165" customFormat="1" ht="18.75">
      <c r="A8" s="215" t="s">
        <v>56</v>
      </c>
      <c r="B8" s="216" t="s">
        <v>57</v>
      </c>
      <c r="C8" s="875"/>
      <c r="D8" s="875">
        <f>Отчет!J32+Отчет!J175</f>
        <v>4488160</v>
      </c>
      <c r="E8" s="875" t="s">
        <v>846</v>
      </c>
      <c r="F8" s="875"/>
      <c r="G8" s="875"/>
      <c r="H8" s="875"/>
      <c r="I8" s="875"/>
      <c r="J8" s="875"/>
      <c r="K8" s="875"/>
      <c r="L8" s="875"/>
      <c r="M8" s="875"/>
      <c r="N8" s="875"/>
      <c r="O8" s="875"/>
      <c r="P8" s="875"/>
      <c r="Q8" s="875"/>
      <c r="R8" s="875"/>
      <c r="S8" s="875"/>
      <c r="T8" s="875"/>
      <c r="U8" s="875"/>
      <c r="V8" s="875"/>
      <c r="W8" s="875"/>
      <c r="X8" s="875"/>
      <c r="Y8" s="877"/>
      <c r="Z8" s="877"/>
      <c r="AA8" s="877"/>
      <c r="AB8" s="877"/>
      <c r="AC8" s="154">
        <f t="shared" si="0"/>
        <v>0</v>
      </c>
      <c r="AD8" s="346"/>
      <c r="AE8" s="346"/>
      <c r="AF8" s="346"/>
      <c r="AG8" s="346"/>
      <c r="AH8" s="346"/>
      <c r="AI8" s="346"/>
      <c r="AJ8" s="346"/>
      <c r="AK8" s="346"/>
      <c r="AL8" s="346"/>
      <c r="AM8" s="346"/>
      <c r="AN8" s="346"/>
      <c r="AO8" s="346"/>
      <c r="AP8" s="346"/>
      <c r="AQ8" s="346"/>
      <c r="AR8" s="346"/>
      <c r="AS8" s="346"/>
      <c r="AT8" s="346"/>
      <c r="AU8" s="346"/>
      <c r="AV8" s="346"/>
      <c r="AW8" s="346"/>
      <c r="AX8" s="346"/>
      <c r="AY8" s="346"/>
      <c r="AZ8" s="346"/>
      <c r="BA8" s="346"/>
      <c r="BB8" s="346"/>
      <c r="BC8" s="346"/>
      <c r="BD8" s="346"/>
      <c r="BE8" s="346"/>
      <c r="BF8" s="346"/>
      <c r="BG8" s="346"/>
      <c r="BH8" s="346"/>
      <c r="BI8" s="346"/>
      <c r="BJ8" s="346"/>
      <c r="BK8" s="346"/>
      <c r="BL8" s="346"/>
      <c r="BM8" s="346"/>
      <c r="BN8" s="346"/>
      <c r="BO8" s="346"/>
      <c r="BP8" s="346"/>
      <c r="BQ8" s="346"/>
      <c r="BR8" s="346"/>
      <c r="BS8" s="346"/>
      <c r="BT8" s="346"/>
      <c r="BU8" s="346"/>
      <c r="BV8" s="346"/>
      <c r="BW8" s="346"/>
      <c r="BX8" s="346"/>
      <c r="BY8" s="346"/>
      <c r="BZ8" s="346"/>
      <c r="CA8" s="346"/>
      <c r="CB8" s="346"/>
      <c r="CC8" s="346"/>
      <c r="CD8" s="346"/>
      <c r="CE8" s="346"/>
      <c r="CF8" s="346"/>
      <c r="CG8" s="346"/>
    </row>
    <row r="9" spans="1:102" s="165" customFormat="1" ht="25.5">
      <c r="A9" s="215" t="s">
        <v>58</v>
      </c>
      <c r="B9" s="216" t="s">
        <v>59</v>
      </c>
      <c r="C9" s="875"/>
      <c r="D9" s="875"/>
      <c r="E9" s="875"/>
      <c r="F9" s="875"/>
      <c r="G9" s="875"/>
      <c r="H9" s="875"/>
      <c r="I9" s="875"/>
      <c r="J9" s="875"/>
      <c r="K9" s="875"/>
      <c r="L9" s="875"/>
      <c r="M9" s="875"/>
      <c r="N9" s="875"/>
      <c r="O9" s="875"/>
      <c r="P9" s="875"/>
      <c r="Q9" s="875"/>
      <c r="R9" s="875"/>
      <c r="S9" s="875"/>
      <c r="T9" s="875"/>
      <c r="U9" s="875"/>
      <c r="V9" s="875"/>
      <c r="W9" s="875"/>
      <c r="X9" s="875"/>
      <c r="Y9" s="877"/>
      <c r="Z9" s="877"/>
      <c r="AA9" s="877"/>
      <c r="AB9" s="877"/>
      <c r="AC9" s="154">
        <f t="shared" si="0"/>
        <v>0</v>
      </c>
      <c r="AD9" s="345"/>
      <c r="AE9" s="345"/>
      <c r="AF9" s="345"/>
      <c r="AG9" s="345"/>
      <c r="AH9" s="345"/>
      <c r="AI9" s="345"/>
      <c r="AJ9" s="345"/>
      <c r="AK9" s="345"/>
      <c r="AL9" s="345"/>
      <c r="AM9" s="345"/>
      <c r="AN9" s="345"/>
      <c r="AO9" s="345"/>
      <c r="AP9" s="345"/>
      <c r="AQ9" s="345"/>
      <c r="AR9" s="345"/>
      <c r="AS9" s="345"/>
      <c r="AT9" s="345"/>
      <c r="AU9" s="345"/>
      <c r="AV9" s="345"/>
      <c r="AW9" s="345"/>
      <c r="AX9" s="345"/>
      <c r="AY9" s="345"/>
      <c r="AZ9" s="345"/>
      <c r="BA9" s="345"/>
      <c r="BB9" s="345"/>
      <c r="BC9" s="345"/>
      <c r="BD9" s="345"/>
      <c r="BE9" s="345"/>
      <c r="BF9" s="345"/>
      <c r="BG9" s="345"/>
      <c r="BH9" s="345"/>
      <c r="BI9" s="345"/>
      <c r="BJ9" s="345"/>
      <c r="BK9" s="345"/>
      <c r="BL9" s="345"/>
      <c r="BM9" s="345"/>
      <c r="BN9" s="345"/>
      <c r="BO9" s="345"/>
      <c r="BP9" s="345"/>
      <c r="BQ9" s="345"/>
      <c r="BR9" s="345"/>
      <c r="BS9" s="345"/>
      <c r="BT9" s="345"/>
      <c r="BU9" s="345"/>
      <c r="BV9" s="345"/>
      <c r="BW9" s="345"/>
      <c r="BX9" s="345"/>
      <c r="BY9" s="345"/>
      <c r="BZ9" s="345"/>
      <c r="CA9" s="345"/>
      <c r="CB9" s="345"/>
      <c r="CC9" s="345"/>
      <c r="CD9" s="345"/>
      <c r="CE9" s="345"/>
      <c r="CF9" s="345"/>
      <c r="CG9" s="345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</row>
    <row r="10" spans="1:102" s="165" customFormat="1" ht="18.75">
      <c r="A10" s="215" t="s">
        <v>60</v>
      </c>
      <c r="B10" s="216" t="s">
        <v>61</v>
      </c>
      <c r="C10" s="875"/>
      <c r="D10" s="875">
        <f>Отчет!J34</f>
        <v>3999890</v>
      </c>
      <c r="E10" s="875"/>
      <c r="F10" s="875"/>
      <c r="G10" s="875"/>
      <c r="H10" s="875"/>
      <c r="I10" s="875"/>
      <c r="J10" s="875"/>
      <c r="K10" s="875"/>
      <c r="L10" s="875"/>
      <c r="M10" s="875"/>
      <c r="N10" s="875"/>
      <c r="O10" s="875"/>
      <c r="P10" s="875"/>
      <c r="Q10" s="875"/>
      <c r="R10" s="875"/>
      <c r="S10" s="875"/>
      <c r="T10" s="875"/>
      <c r="U10" s="875"/>
      <c r="V10" s="875"/>
      <c r="W10" s="875"/>
      <c r="X10" s="875"/>
      <c r="Y10" s="877"/>
      <c r="Z10" s="877"/>
      <c r="AA10" s="877"/>
      <c r="AB10" s="877"/>
      <c r="AC10" s="154">
        <f t="shared" si="0"/>
        <v>0</v>
      </c>
      <c r="AD10" s="345"/>
      <c r="AE10" s="345"/>
      <c r="AF10" s="345"/>
      <c r="AG10" s="345"/>
      <c r="AH10" s="345"/>
      <c r="AI10" s="345"/>
      <c r="AJ10" s="345"/>
      <c r="AK10" s="345"/>
      <c r="AL10" s="345"/>
      <c r="AM10" s="345"/>
      <c r="AN10" s="345"/>
      <c r="AO10" s="345"/>
      <c r="AP10" s="345"/>
      <c r="AQ10" s="345"/>
      <c r="AR10" s="345"/>
      <c r="AS10" s="345"/>
      <c r="AT10" s="345"/>
      <c r="AU10" s="345"/>
      <c r="AV10" s="345"/>
      <c r="AW10" s="345"/>
      <c r="AX10" s="345"/>
      <c r="AY10" s="345"/>
      <c r="AZ10" s="345"/>
      <c r="BA10" s="345"/>
      <c r="BB10" s="345"/>
      <c r="BC10" s="345"/>
      <c r="BD10" s="345"/>
      <c r="BE10" s="345"/>
      <c r="BF10" s="345"/>
      <c r="BG10" s="345"/>
      <c r="BH10" s="345"/>
      <c r="BI10" s="345"/>
      <c r="BJ10" s="345"/>
      <c r="BK10" s="345"/>
      <c r="BL10" s="345"/>
      <c r="BM10" s="345"/>
      <c r="BN10" s="345"/>
      <c r="BO10" s="345"/>
      <c r="BP10" s="345"/>
      <c r="BQ10" s="345"/>
      <c r="BR10" s="345"/>
      <c r="BS10" s="345"/>
      <c r="BT10" s="345"/>
      <c r="BU10" s="345"/>
      <c r="BV10" s="345"/>
      <c r="BW10" s="345"/>
      <c r="BX10" s="345"/>
      <c r="BY10" s="345"/>
      <c r="BZ10" s="345"/>
      <c r="CA10" s="345"/>
      <c r="CB10" s="345"/>
      <c r="CC10" s="345"/>
      <c r="CD10" s="345"/>
      <c r="CE10" s="345"/>
      <c r="CF10" s="345"/>
      <c r="CG10" s="345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</row>
    <row r="11" spans="1:102" s="165" customFormat="1" ht="18.75">
      <c r="A11" s="215" t="s">
        <v>62</v>
      </c>
      <c r="B11" s="216" t="s">
        <v>63</v>
      </c>
      <c r="C11" s="875"/>
      <c r="D11" s="875">
        <f>Отчет!J80+Отчет!J81+Отчет!J255+Отчет!J257</f>
        <v>4822608</v>
      </c>
      <c r="E11" s="875"/>
      <c r="F11" s="875"/>
      <c r="G11" s="875"/>
      <c r="H11" s="875"/>
      <c r="I11" s="875"/>
      <c r="J11" s="875">
        <f>[4]Отчет!P274</f>
        <v>99.949008891375996</v>
      </c>
      <c r="K11" s="875"/>
      <c r="L11" s="875"/>
      <c r="M11" s="875"/>
      <c r="N11" s="875"/>
      <c r="O11" s="875"/>
      <c r="P11" s="875"/>
      <c r="Q11" s="875"/>
      <c r="R11" s="875"/>
      <c r="S11" s="875"/>
      <c r="T11" s="875"/>
      <c r="U11" s="875"/>
      <c r="V11" s="875"/>
      <c r="W11" s="875"/>
      <c r="X11" s="875"/>
      <c r="Y11" s="877"/>
      <c r="Z11" s="877"/>
      <c r="AA11" s="877"/>
      <c r="AB11" s="877"/>
      <c r="AC11" s="154">
        <f t="shared" si="0"/>
        <v>99.949008891375996</v>
      </c>
      <c r="AD11" s="345"/>
      <c r="AE11" s="345"/>
      <c r="AF11" s="345"/>
      <c r="AG11" s="345"/>
      <c r="AH11" s="345"/>
      <c r="AI11" s="345"/>
      <c r="AJ11" s="345"/>
      <c r="AK11" s="345"/>
      <c r="AL11" s="345"/>
      <c r="AM11" s="345"/>
      <c r="AN11" s="345"/>
      <c r="AO11" s="345"/>
      <c r="AP11" s="345"/>
      <c r="AQ11" s="345"/>
      <c r="AR11" s="345"/>
      <c r="AS11" s="345"/>
      <c r="AT11" s="345"/>
      <c r="AU11" s="345"/>
      <c r="AV11" s="345"/>
      <c r="AW11" s="345"/>
      <c r="AX11" s="345"/>
      <c r="AY11" s="345"/>
      <c r="AZ11" s="345"/>
      <c r="BA11" s="345"/>
      <c r="BB11" s="345"/>
      <c r="BC11" s="345"/>
      <c r="BD11" s="345"/>
      <c r="BE11" s="345"/>
      <c r="BF11" s="345"/>
      <c r="BG11" s="345"/>
      <c r="BH11" s="345"/>
      <c r="BI11" s="345"/>
      <c r="BJ11" s="345"/>
      <c r="BK11" s="345"/>
      <c r="BL11" s="345"/>
      <c r="BM11" s="345"/>
      <c r="BN11" s="345"/>
      <c r="BO11" s="345"/>
      <c r="BP11" s="345"/>
      <c r="BQ11" s="345"/>
      <c r="BR11" s="345"/>
      <c r="BS11" s="345"/>
      <c r="BT11" s="345"/>
      <c r="BU11" s="345"/>
      <c r="BV11" s="345"/>
      <c r="BW11" s="345"/>
      <c r="BX11" s="345"/>
      <c r="BY11" s="345"/>
      <c r="BZ11" s="345"/>
      <c r="CA11" s="345"/>
      <c r="CB11" s="345"/>
      <c r="CC11" s="345"/>
      <c r="CD11" s="345"/>
      <c r="CE11" s="345"/>
      <c r="CF11" s="345"/>
      <c r="CG11" s="345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</row>
    <row r="12" spans="1:102" s="165" customFormat="1" ht="25.5" hidden="1">
      <c r="A12" s="215" t="s">
        <v>64</v>
      </c>
      <c r="B12" s="216" t="s">
        <v>65</v>
      </c>
      <c r="C12" s="875"/>
      <c r="D12" s="875"/>
      <c r="E12" s="875"/>
      <c r="F12" s="875"/>
      <c r="G12" s="875"/>
      <c r="H12" s="875"/>
      <c r="I12" s="875"/>
      <c r="J12" s="875">
        <f>[4]Отчет!P173</f>
        <v>80.675216345402859</v>
      </c>
      <c r="K12" s="875"/>
      <c r="L12" s="875"/>
      <c r="M12" s="875"/>
      <c r="N12" s="875"/>
      <c r="O12" s="875"/>
      <c r="P12" s="875"/>
      <c r="Q12" s="875"/>
      <c r="R12" s="875"/>
      <c r="S12" s="875"/>
      <c r="T12" s="875"/>
      <c r="U12" s="875"/>
      <c r="V12" s="875"/>
      <c r="W12" s="875"/>
      <c r="X12" s="875"/>
      <c r="Y12" s="877"/>
      <c r="Z12" s="877"/>
      <c r="AA12" s="877"/>
      <c r="AB12" s="877"/>
      <c r="AC12" s="154">
        <f t="shared" si="0"/>
        <v>80.675216345402859</v>
      </c>
      <c r="AD12" s="345"/>
      <c r="AE12" s="345"/>
      <c r="AF12" s="345"/>
      <c r="AG12" s="345"/>
      <c r="AH12" s="345"/>
      <c r="AI12" s="345"/>
      <c r="AJ12" s="345"/>
      <c r="AK12" s="345"/>
      <c r="AL12" s="345"/>
      <c r="AM12" s="345"/>
      <c r="AN12" s="345"/>
      <c r="AO12" s="345"/>
      <c r="AP12" s="345"/>
      <c r="AQ12" s="345"/>
      <c r="AR12" s="345"/>
      <c r="AS12" s="345"/>
      <c r="AT12" s="345"/>
      <c r="AU12" s="345"/>
      <c r="AV12" s="345"/>
      <c r="AW12" s="345"/>
      <c r="AX12" s="345"/>
      <c r="AY12" s="345"/>
      <c r="AZ12" s="345"/>
      <c r="BA12" s="345"/>
      <c r="BB12" s="345"/>
      <c r="BC12" s="345"/>
      <c r="BD12" s="345"/>
      <c r="BE12" s="345"/>
      <c r="BF12" s="345"/>
      <c r="BG12" s="345"/>
      <c r="BH12" s="345"/>
      <c r="BI12" s="345"/>
      <c r="BJ12" s="345"/>
      <c r="BK12" s="345"/>
      <c r="BL12" s="345"/>
      <c r="BM12" s="345"/>
      <c r="BN12" s="345"/>
      <c r="BO12" s="345"/>
      <c r="BP12" s="345"/>
      <c r="BQ12" s="345"/>
      <c r="BR12" s="345"/>
      <c r="BS12" s="345"/>
      <c r="BT12" s="345"/>
      <c r="BU12" s="345"/>
      <c r="BV12" s="345"/>
      <c r="BW12" s="345"/>
      <c r="BX12" s="345"/>
      <c r="BY12" s="345"/>
      <c r="BZ12" s="345"/>
      <c r="CA12" s="345"/>
      <c r="CB12" s="345"/>
      <c r="CC12" s="345"/>
      <c r="CD12" s="345"/>
      <c r="CE12" s="345"/>
      <c r="CF12" s="345"/>
      <c r="CG12" s="345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</row>
    <row r="13" spans="1:102" s="165" customFormat="1" ht="18.75" hidden="1">
      <c r="A13" s="215" t="s">
        <v>66</v>
      </c>
      <c r="B13" s="216" t="s">
        <v>67</v>
      </c>
      <c r="C13" s="875"/>
      <c r="D13" s="875"/>
      <c r="E13" s="875"/>
      <c r="F13" s="875"/>
      <c r="G13" s="875"/>
      <c r="H13" s="875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212"/>
      <c r="Z13" s="212"/>
      <c r="AA13" s="212"/>
      <c r="AB13" s="212"/>
      <c r="AC13" s="154">
        <f t="shared" si="0"/>
        <v>0</v>
      </c>
      <c r="AD13" s="345"/>
      <c r="AE13" s="345"/>
      <c r="AF13" s="345"/>
      <c r="AG13" s="345"/>
      <c r="AH13" s="345"/>
      <c r="AI13" s="345"/>
      <c r="AJ13" s="345"/>
      <c r="AK13" s="345"/>
      <c r="AL13" s="345"/>
      <c r="AM13" s="345"/>
      <c r="AN13" s="345"/>
      <c r="AO13" s="345"/>
      <c r="AP13" s="345"/>
      <c r="AQ13" s="345"/>
      <c r="AR13" s="345"/>
      <c r="AS13" s="345"/>
      <c r="AT13" s="345"/>
      <c r="AU13" s="345"/>
      <c r="AV13" s="345"/>
      <c r="AW13" s="345"/>
      <c r="AX13" s="345"/>
      <c r="AY13" s="345"/>
      <c r="AZ13" s="345"/>
      <c r="BA13" s="345"/>
      <c r="BB13" s="345"/>
      <c r="BC13" s="345"/>
      <c r="BD13" s="345"/>
      <c r="BE13" s="345"/>
      <c r="BF13" s="345"/>
      <c r="BG13" s="345"/>
      <c r="BH13" s="345"/>
      <c r="BI13" s="345"/>
      <c r="BJ13" s="345"/>
      <c r="BK13" s="345"/>
      <c r="BL13" s="345"/>
      <c r="BM13" s="345"/>
      <c r="BN13" s="345"/>
      <c r="BO13" s="345"/>
      <c r="BP13" s="345"/>
      <c r="BQ13" s="345"/>
      <c r="BR13" s="345"/>
      <c r="BS13" s="345"/>
      <c r="BT13" s="345"/>
      <c r="BU13" s="345"/>
      <c r="BV13" s="345"/>
      <c r="BW13" s="345"/>
      <c r="BX13" s="345"/>
      <c r="BY13" s="345"/>
      <c r="BZ13" s="345"/>
      <c r="CA13" s="345"/>
      <c r="CB13" s="345"/>
      <c r="CC13" s="345"/>
      <c r="CD13" s="345"/>
      <c r="CE13" s="345"/>
      <c r="CF13" s="345"/>
      <c r="CG13" s="345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</row>
    <row r="14" spans="1:102" ht="25.5" hidden="1">
      <c r="A14" s="215" t="s">
        <v>68</v>
      </c>
      <c r="B14" s="216" t="s">
        <v>69</v>
      </c>
      <c r="C14" s="875"/>
      <c r="D14" s="875"/>
      <c r="E14" s="875"/>
      <c r="F14" s="875"/>
      <c r="G14" s="875"/>
      <c r="H14" s="875"/>
      <c r="I14" s="875"/>
      <c r="J14" s="876">
        <f>[4]Отчет!P34+[4]Отчет!P38+[4]Отчет!P54+[4]Отчет!P57+[4]Отчет!P64+[4]Отчет!P67+[4]Отчет!P81+[4]Отчет!P84+[4]Отчет!P87+[4]Отчет!P90+[4]Отчет!P93+[4]Отчет!P96+[4]Отчет!P99+[4]Отчет!P102+[4]Отчет!P104+[4]Отчет!P105+[4]Отчет!P106+[4]Отчет!P107+[4]Отчет!P108+[4]Отчет!P111+[4]Отчет!P114+[4]Отчет!P116+[4]Отчет!P118+[4]Отчет!P120+[4]Отчет!P123+[4]Отчет!P125+[4]Отчет!P128+[4]Отчет!P129+[4]Отчет!P138+[4]Отчет!P146+[4]Отчет!P150+[4]Отчет!P156+[4]Отчет!P199+[4]Отчет!P208+[4]Отчет!P228+[4]Отчет!P234+[4]Отчет!P238</f>
        <v>3693.3416699343538</v>
      </c>
      <c r="K14" s="876">
        <f>[4]Отчет!P35+[4]Отчет!P39+[4]Отчет!P51+[4]Отчет!P52+[4]Отчет!P55+[4]Отчет!P58+[4]Отчет!P61+[4]Отчет!P62+[4]Отчет!P65+[4]Отчет!P68+[4]Отчет!P82+[4]Отчет!P85+[4]Отчет!P88+[4]Отчет!P91+[4]Отчет!P94+[4]Отчет!P100+[4]Отчет!P112+[4]Отчет!P121+[4]Отчет!P126+[4]Отчет!P139+[4]Отчет!P141+[4]Отчет!P142+[4]Отчет!P143+[4]Отчет!P144+[4]Отчет!P147+[4]Отчет!P151+[4]Отчет!P153+[4]Отчет!P154+[4]Отчет!P157+[4]Отчет!P161+[4]Отчет!P162+[4]Отчет!P165+[4]Отчет!P166+[4]Отчет!P197+[4]Отчет!P200+[4]Отчет!P201+[4]Отчет!P202+[4]Отчет!P203+[4]Отчет!P204+[4]Отчет!P205+[4]Отчет!P206+[4]Отчет!P209+[4]Отчет!P210+[4]Отчет!P211+[4]Отчет!P212+[4]Отчет!P213+[4]Отчет!P226+[4]Отчет!P229+[4]Отчет!P230+[4]Отчет!P231+[4]Отчет!P232+[4]Отчет!P235+[4]Отчет!P236+[4]Отчет!P239+[4]Отчет!P97+[4]Отчет!P169+[4]Отчет!P11+[4]Отчет!P12+[4]Отчет!P15+[4]Отчет!P16+[4]Отчет!P19+823273</f>
        <v>829243.26127033471</v>
      </c>
      <c r="L14" s="875"/>
      <c r="M14" s="875"/>
      <c r="N14" s="875"/>
      <c r="O14" s="875"/>
      <c r="P14" s="875"/>
      <c r="Q14" s="875"/>
      <c r="R14" s="875"/>
      <c r="S14" s="875"/>
      <c r="T14" s="875"/>
      <c r="U14" s="875"/>
      <c r="V14" s="875"/>
      <c r="W14" s="875"/>
      <c r="X14" s="875"/>
      <c r="Y14" s="877"/>
      <c r="Z14" s="877"/>
      <c r="AA14" s="877"/>
      <c r="AB14" s="877"/>
      <c r="AC14" s="154">
        <f t="shared" si="0"/>
        <v>832936.60294026905</v>
      </c>
    </row>
    <row r="15" spans="1:102" ht="25.5">
      <c r="A15" s="215" t="s">
        <v>70</v>
      </c>
      <c r="B15" s="216" t="s">
        <v>71</v>
      </c>
      <c r="C15" s="875"/>
      <c r="D15" s="875">
        <f>Отчет!J278</f>
        <v>11472</v>
      </c>
      <c r="E15" s="875"/>
      <c r="F15" s="875"/>
      <c r="G15" s="875"/>
      <c r="H15" s="875"/>
      <c r="I15" s="875"/>
      <c r="J15" s="876"/>
      <c r="K15" s="876"/>
      <c r="L15" s="875"/>
      <c r="M15" s="875"/>
      <c r="N15" s="875"/>
      <c r="O15" s="875"/>
      <c r="P15" s="875"/>
      <c r="Q15" s="875"/>
      <c r="R15" s="875"/>
      <c r="S15" s="875"/>
      <c r="T15" s="875"/>
      <c r="U15" s="875"/>
      <c r="V15" s="875"/>
      <c r="W15" s="875"/>
      <c r="X15" s="875"/>
      <c r="Y15" s="877"/>
      <c r="Z15" s="877"/>
      <c r="AA15" s="877"/>
      <c r="AB15" s="877"/>
      <c r="AC15" s="154">
        <f t="shared" si="0"/>
        <v>0</v>
      </c>
    </row>
    <row r="16" spans="1:102" s="165" customFormat="1" ht="18.75">
      <c r="A16" s="215" t="s">
        <v>2637</v>
      </c>
      <c r="B16" s="216" t="s">
        <v>1071</v>
      </c>
      <c r="C16" s="875"/>
      <c r="D16" s="875">
        <f>Отчет!J177</f>
        <v>16986840</v>
      </c>
      <c r="E16" s="875"/>
      <c r="F16" s="875"/>
      <c r="G16" s="875"/>
      <c r="H16" s="875"/>
      <c r="I16" s="875"/>
      <c r="J16" s="875">
        <f>[4]Отчет!P70+[4]Отчет!P72+[4]Отчет!P74</f>
        <v>299.83627458443783</v>
      </c>
      <c r="K16" s="875"/>
      <c r="L16" s="875"/>
      <c r="M16" s="875"/>
      <c r="N16" s="875"/>
      <c r="O16" s="875"/>
      <c r="P16" s="875"/>
      <c r="Q16" s="875"/>
      <c r="R16" s="875"/>
      <c r="S16" s="875"/>
      <c r="T16" s="875"/>
      <c r="U16" s="875"/>
      <c r="V16" s="875"/>
      <c r="W16" s="875"/>
      <c r="X16" s="875"/>
      <c r="Y16" s="877"/>
      <c r="Z16" s="877"/>
      <c r="AA16" s="877"/>
      <c r="AB16" s="877"/>
      <c r="AC16" s="154">
        <f t="shared" si="0"/>
        <v>299.83627458443783</v>
      </c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  <c r="AR16" s="345"/>
      <c r="AS16" s="345"/>
      <c r="AT16" s="345"/>
      <c r="AU16" s="345"/>
      <c r="AV16" s="345"/>
      <c r="AW16" s="345"/>
      <c r="AX16" s="345"/>
      <c r="AY16" s="345"/>
      <c r="AZ16" s="345"/>
      <c r="BA16" s="345"/>
      <c r="BB16" s="345"/>
      <c r="BC16" s="345"/>
      <c r="BD16" s="345"/>
      <c r="BE16" s="345"/>
      <c r="BF16" s="345"/>
      <c r="BG16" s="345"/>
      <c r="BH16" s="345"/>
      <c r="BI16" s="345"/>
      <c r="BJ16" s="345"/>
      <c r="BK16" s="345"/>
      <c r="BL16" s="345"/>
      <c r="BM16" s="345"/>
      <c r="BN16" s="345"/>
      <c r="BO16" s="345"/>
      <c r="BP16" s="345"/>
      <c r="BQ16" s="345"/>
      <c r="BR16" s="345"/>
      <c r="BS16" s="345"/>
      <c r="BT16" s="345"/>
      <c r="BU16" s="345"/>
      <c r="BV16" s="345"/>
      <c r="BW16" s="345"/>
      <c r="BX16" s="345"/>
      <c r="BY16" s="345"/>
      <c r="BZ16" s="345"/>
      <c r="CA16" s="345"/>
      <c r="CB16" s="345"/>
      <c r="CC16" s="345"/>
      <c r="CD16" s="345"/>
      <c r="CE16" s="345"/>
      <c r="CF16" s="345"/>
      <c r="CG16" s="345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</row>
    <row r="17" spans="1:102" s="165" customFormat="1" ht="18.75">
      <c r="A17" s="205" t="s">
        <v>73</v>
      </c>
      <c r="B17" s="214" t="s">
        <v>797</v>
      </c>
      <c r="C17" s="160"/>
      <c r="D17" s="160"/>
      <c r="E17" s="160"/>
      <c r="F17" s="160"/>
      <c r="G17" s="160"/>
      <c r="H17" s="160"/>
      <c r="I17" s="875"/>
      <c r="J17" s="875"/>
      <c r="K17" s="875"/>
      <c r="L17" s="875"/>
      <c r="M17" s="875"/>
      <c r="N17" s="875"/>
      <c r="O17" s="875"/>
      <c r="P17" s="875"/>
      <c r="Q17" s="875"/>
      <c r="R17" s="875"/>
      <c r="S17" s="875"/>
      <c r="T17" s="875"/>
      <c r="U17" s="875"/>
      <c r="V17" s="875"/>
      <c r="W17" s="875"/>
      <c r="X17" s="875"/>
      <c r="Y17" s="877"/>
      <c r="Z17" s="877"/>
      <c r="AA17" s="877"/>
      <c r="AB17" s="877"/>
      <c r="AC17" s="154">
        <f t="shared" si="0"/>
        <v>0</v>
      </c>
      <c r="AD17" s="345"/>
      <c r="AE17" s="345"/>
      <c r="AF17" s="345"/>
      <c r="AG17" s="345"/>
      <c r="AH17" s="345"/>
      <c r="AI17" s="345"/>
      <c r="AJ17" s="345"/>
      <c r="AK17" s="345"/>
      <c r="AL17" s="345"/>
      <c r="AM17" s="345"/>
      <c r="AN17" s="345"/>
      <c r="AO17" s="345"/>
      <c r="AP17" s="345"/>
      <c r="AQ17" s="345"/>
      <c r="AR17" s="345"/>
      <c r="AS17" s="345"/>
      <c r="AT17" s="345"/>
      <c r="AU17" s="345"/>
      <c r="AV17" s="345"/>
      <c r="AW17" s="345"/>
      <c r="AX17" s="345"/>
      <c r="AY17" s="345"/>
      <c r="AZ17" s="345"/>
      <c r="BA17" s="345"/>
      <c r="BB17" s="345"/>
      <c r="BC17" s="345"/>
      <c r="BD17" s="345"/>
      <c r="BE17" s="345"/>
      <c r="BF17" s="345"/>
      <c r="BG17" s="345"/>
      <c r="BH17" s="345"/>
      <c r="BI17" s="345"/>
      <c r="BJ17" s="345"/>
      <c r="BK17" s="345"/>
      <c r="BL17" s="345"/>
      <c r="BM17" s="345"/>
      <c r="BN17" s="345"/>
      <c r="BO17" s="345"/>
      <c r="BP17" s="345"/>
      <c r="BQ17" s="345"/>
      <c r="BR17" s="345"/>
      <c r="BS17" s="345"/>
      <c r="BT17" s="345"/>
      <c r="BU17" s="345"/>
      <c r="BV17" s="345"/>
      <c r="BW17" s="345"/>
      <c r="BX17" s="345"/>
      <c r="BY17" s="345"/>
      <c r="BZ17" s="345"/>
      <c r="CA17" s="345"/>
      <c r="CB17" s="345"/>
      <c r="CC17" s="345"/>
      <c r="CD17" s="345"/>
      <c r="CE17" s="345"/>
      <c r="CF17" s="345"/>
      <c r="CG17" s="345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</row>
    <row r="18" spans="1:102" s="165" customFormat="1" ht="25.5">
      <c r="A18" s="215" t="s">
        <v>76</v>
      </c>
      <c r="B18" s="217" t="s">
        <v>77</v>
      </c>
      <c r="C18" s="875"/>
      <c r="D18" s="876">
        <f>Отчет!J38+Отчет!J42+Отчет!J58+Отчет!J61+Отчет!J68+Отчет!J71+Отчет!J85+Отчет!J88+Отчет!J91+Отчет!J94+Отчет!J97+Отчет!J100+Отчет!J103+Отчет!J106+Отчет!J108+Отчет!J109+Отчет!J110+Отчет!J111+Отчет!J112+Отчет!J115+Отчет!J118+Отчет!J120+Отчет!J122+Отчет!J124+Отчет!J127+Отчет!J129+Отчет!J132+Отчет!J133+Отчет!J142+Отчет!J150+Отчет!J154+Отчет!J160+Отчет!J203+Отчет!J212+Отчет!J232+Отчет!J238+Отчет!J242</f>
        <v>103622503</v>
      </c>
      <c r="E18" s="876">
        <f>Отчет!J39+Отчет!J43+Отчет!J55+Отчет!J56+Отчет!J59+Отчет!J62+Отчет!J65+Отчет!J66+Отчет!J69+Отчет!J72+Отчет!J86+Отчет!J89+Отчет!J92+Отчет!J95+Отчет!J98+Отчет!J104+Отчет!J116+Отчет!J125+Отчет!J130+Отчет!J143+Отчет!J145+Отчет!J146+Отчет!J147+Отчет!J148+Отчет!J151+Отчет!J155+Отчет!J157+Отчет!J158+Отчет!J161+Отчет!J165+Отчет!J166+Отчет!J169+Отчет!J170+Отчет!J201+Отчет!J204+Отчет!J205+Отчет!J206+Отчет!J207+Отчет!J208+Отчет!J209+Отчет!J213+Отчет!J214+Отчет!J215+Отчет!J216+Отчет!J217+Отчет!J230+Отчет!J233+Отчет!J236+Отчет!J239+Отчет!J243+Отчет!J101+Отчет!J173+823273</f>
        <v>266137477.90000004</v>
      </c>
      <c r="F18" s="875"/>
      <c r="G18" s="875"/>
      <c r="H18" s="875"/>
      <c r="I18" s="875"/>
      <c r="J18" s="875"/>
      <c r="K18" s="875"/>
      <c r="L18" s="875"/>
      <c r="M18" s="875"/>
      <c r="N18" s="875"/>
      <c r="O18" s="875"/>
      <c r="P18" s="875"/>
      <c r="Q18" s="875"/>
      <c r="R18" s="875"/>
      <c r="S18" s="875"/>
      <c r="T18" s="875"/>
      <c r="U18" s="875"/>
      <c r="V18" s="875"/>
      <c r="W18" s="875"/>
      <c r="X18" s="875"/>
      <c r="Y18" s="877"/>
      <c r="Z18" s="877"/>
      <c r="AA18" s="877"/>
      <c r="AB18" s="877"/>
      <c r="AC18" s="154">
        <f t="shared" si="0"/>
        <v>0</v>
      </c>
      <c r="AD18" s="345"/>
      <c r="AE18" s="345"/>
      <c r="AF18" s="345"/>
      <c r="AG18" s="345"/>
      <c r="AH18" s="345"/>
      <c r="AI18" s="345"/>
      <c r="AJ18" s="345"/>
      <c r="AK18" s="345"/>
      <c r="AL18" s="345"/>
      <c r="AM18" s="345"/>
      <c r="AN18" s="345"/>
      <c r="AO18" s="345"/>
      <c r="AP18" s="345"/>
      <c r="AQ18" s="345"/>
      <c r="AR18" s="345"/>
      <c r="AS18" s="345"/>
      <c r="AT18" s="345"/>
      <c r="AU18" s="345"/>
      <c r="AV18" s="345"/>
      <c r="AW18" s="345"/>
      <c r="AX18" s="345"/>
      <c r="AY18" s="345"/>
      <c r="AZ18" s="345"/>
      <c r="BA18" s="345"/>
      <c r="BB18" s="345"/>
      <c r="BC18" s="345"/>
      <c r="BD18" s="345"/>
      <c r="BE18" s="345"/>
      <c r="BF18" s="345"/>
      <c r="BG18" s="345"/>
      <c r="BH18" s="345"/>
      <c r="BI18" s="345"/>
      <c r="BJ18" s="345"/>
      <c r="BK18" s="345"/>
      <c r="BL18" s="345"/>
      <c r="BM18" s="345"/>
      <c r="BN18" s="345"/>
      <c r="BO18" s="345"/>
      <c r="BP18" s="345"/>
      <c r="BQ18" s="345"/>
      <c r="BR18" s="345"/>
      <c r="BS18" s="345"/>
      <c r="BT18" s="345"/>
      <c r="BU18" s="345"/>
      <c r="BV18" s="345"/>
      <c r="BW18" s="345"/>
      <c r="BX18" s="345"/>
      <c r="BY18" s="345"/>
      <c r="BZ18" s="345"/>
      <c r="CA18" s="345"/>
      <c r="CB18" s="345"/>
      <c r="CC18" s="345"/>
      <c r="CD18" s="345"/>
      <c r="CE18" s="345"/>
      <c r="CF18" s="345"/>
      <c r="CG18" s="345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</row>
    <row r="19" spans="1:102" s="165" customFormat="1" ht="18.75">
      <c r="A19" s="215" t="s">
        <v>80</v>
      </c>
      <c r="B19" s="217" t="s">
        <v>79</v>
      </c>
      <c r="C19" s="875"/>
      <c r="D19" s="876"/>
      <c r="E19" s="876"/>
      <c r="F19" s="875"/>
      <c r="G19" s="875"/>
      <c r="H19" s="875"/>
      <c r="I19" s="875"/>
      <c r="J19" s="875"/>
      <c r="K19" s="875"/>
      <c r="L19" s="875"/>
      <c r="M19" s="875"/>
      <c r="N19" s="875"/>
      <c r="O19" s="875"/>
      <c r="P19" s="875"/>
      <c r="Q19" s="875"/>
      <c r="R19" s="875"/>
      <c r="S19" s="875"/>
      <c r="T19" s="875"/>
      <c r="U19" s="875"/>
      <c r="V19" s="875"/>
      <c r="W19" s="875"/>
      <c r="X19" s="875"/>
      <c r="Y19" s="877"/>
      <c r="Z19" s="877"/>
      <c r="AA19" s="877"/>
      <c r="AB19" s="877"/>
      <c r="AC19" s="154">
        <f t="shared" si="0"/>
        <v>0</v>
      </c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  <c r="AR19" s="345"/>
      <c r="AS19" s="345"/>
      <c r="AT19" s="345"/>
      <c r="AU19" s="345"/>
      <c r="AV19" s="345"/>
      <c r="AW19" s="345"/>
      <c r="AX19" s="345"/>
      <c r="AY19" s="345"/>
      <c r="AZ19" s="345"/>
      <c r="BA19" s="345"/>
      <c r="BB19" s="345"/>
      <c r="BC19" s="345"/>
      <c r="BD19" s="345"/>
      <c r="BE19" s="345"/>
      <c r="BF19" s="345"/>
      <c r="BG19" s="345"/>
      <c r="BH19" s="345"/>
      <c r="BI19" s="345"/>
      <c r="BJ19" s="345"/>
      <c r="BK19" s="345"/>
      <c r="BL19" s="345"/>
      <c r="BM19" s="345"/>
      <c r="BN19" s="345"/>
      <c r="BO19" s="345"/>
      <c r="BP19" s="345"/>
      <c r="BQ19" s="345"/>
      <c r="BR19" s="345"/>
      <c r="BS19" s="345"/>
      <c r="BT19" s="345"/>
      <c r="BU19" s="345"/>
      <c r="BV19" s="345"/>
      <c r="BW19" s="345"/>
      <c r="BX19" s="345"/>
      <c r="BY19" s="345"/>
      <c r="BZ19" s="345"/>
      <c r="CA19" s="345"/>
      <c r="CB19" s="345"/>
      <c r="CC19" s="345"/>
      <c r="CD19" s="345"/>
      <c r="CE19" s="345"/>
      <c r="CF19" s="345"/>
      <c r="CG19" s="345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</row>
    <row r="20" spans="1:102" s="165" customFormat="1" ht="18.75">
      <c r="A20" s="215" t="s">
        <v>82</v>
      </c>
      <c r="B20" s="217" t="s">
        <v>81</v>
      </c>
      <c r="C20" s="875"/>
      <c r="D20" s="875"/>
      <c r="E20" s="875"/>
      <c r="F20" s="875"/>
      <c r="G20" s="875"/>
      <c r="H20" s="875"/>
      <c r="I20" s="875"/>
      <c r="J20" s="875">
        <f>[4]Отчет!P216+[4]Отчет!P219+[4]Отчет!P223+[4]Отчет!P242+[4]Отчет!P245+[4]Отчет!P248</f>
        <v>543.99152298176011</v>
      </c>
      <c r="K20" s="875">
        <f>[4]Отчет!P217+[4]Отчет!P220+[4]Отчет!P224+[4]Отчет!P243+[4]Отчет!P249+[4]Отчет!P246</f>
        <v>581.87519363656986</v>
      </c>
      <c r="L20" s="875"/>
      <c r="M20" s="875"/>
      <c r="N20" s="875"/>
      <c r="O20" s="875"/>
      <c r="P20" s="875"/>
      <c r="Q20" s="875"/>
      <c r="R20" s="875"/>
      <c r="S20" s="875"/>
      <c r="T20" s="875"/>
      <c r="U20" s="875"/>
      <c r="V20" s="875"/>
      <c r="W20" s="875"/>
      <c r="X20" s="875"/>
      <c r="Y20" s="877"/>
      <c r="Z20" s="877"/>
      <c r="AA20" s="877"/>
      <c r="AB20" s="877"/>
      <c r="AC20" s="154">
        <f t="shared" si="0"/>
        <v>1125.86671661833</v>
      </c>
      <c r="AD20" s="345"/>
      <c r="AE20" s="345"/>
      <c r="AF20" s="345"/>
      <c r="AG20" s="345"/>
      <c r="AH20" s="345"/>
      <c r="AI20" s="345"/>
      <c r="AJ20" s="345"/>
      <c r="AK20" s="345"/>
      <c r="AL20" s="345"/>
      <c r="AM20" s="345"/>
      <c r="AN20" s="345"/>
      <c r="AO20" s="345"/>
      <c r="AP20" s="345"/>
      <c r="AQ20" s="345"/>
      <c r="AR20" s="345"/>
      <c r="AS20" s="345"/>
      <c r="AT20" s="345"/>
      <c r="AU20" s="345"/>
      <c r="AV20" s="345"/>
      <c r="AW20" s="345"/>
      <c r="AX20" s="345"/>
      <c r="AY20" s="345"/>
      <c r="AZ20" s="345"/>
      <c r="BA20" s="345"/>
      <c r="BB20" s="345"/>
      <c r="BC20" s="345"/>
      <c r="BD20" s="345"/>
      <c r="BE20" s="345"/>
      <c r="BF20" s="345"/>
      <c r="BG20" s="345"/>
      <c r="BH20" s="345"/>
      <c r="BI20" s="345"/>
      <c r="BJ20" s="345"/>
      <c r="BK20" s="345"/>
      <c r="BL20" s="345"/>
      <c r="BM20" s="345"/>
      <c r="BN20" s="345"/>
      <c r="BO20" s="345"/>
      <c r="BP20" s="345"/>
      <c r="BQ20" s="345"/>
      <c r="BR20" s="345"/>
      <c r="BS20" s="345"/>
      <c r="BT20" s="345"/>
      <c r="BU20" s="345"/>
      <c r="BV20" s="345"/>
      <c r="BW20" s="345"/>
      <c r="BX20" s="345"/>
      <c r="BY20" s="345"/>
      <c r="BZ20" s="345"/>
      <c r="CA20" s="345"/>
      <c r="CB20" s="345"/>
      <c r="CC20" s="345"/>
      <c r="CD20" s="345"/>
      <c r="CE20" s="345"/>
      <c r="CF20" s="345"/>
      <c r="CG20" s="345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</row>
    <row r="21" spans="1:102" s="162" customFormat="1" ht="25.5">
      <c r="A21" s="215" t="s">
        <v>84</v>
      </c>
      <c r="B21" s="217" t="s">
        <v>83</v>
      </c>
      <c r="C21" s="875"/>
      <c r="D21" s="875"/>
      <c r="E21" s="875"/>
      <c r="F21" s="875"/>
      <c r="G21" s="875"/>
      <c r="H21" s="875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213"/>
      <c r="Z21" s="213"/>
      <c r="AA21" s="213"/>
      <c r="AB21" s="213"/>
      <c r="AC21" s="154">
        <f t="shared" si="0"/>
        <v>0</v>
      </c>
      <c r="AD21" s="345"/>
      <c r="AE21" s="345"/>
      <c r="AF21" s="345"/>
      <c r="AG21" s="345"/>
      <c r="AH21" s="345"/>
      <c r="AI21" s="345"/>
      <c r="AJ21" s="345"/>
      <c r="AK21" s="345"/>
      <c r="AL21" s="345"/>
      <c r="AM21" s="345"/>
      <c r="AN21" s="345"/>
      <c r="AO21" s="345"/>
      <c r="AP21" s="345"/>
      <c r="AQ21" s="345"/>
      <c r="AR21" s="345"/>
      <c r="AS21" s="345"/>
      <c r="AT21" s="345"/>
      <c r="AU21" s="345"/>
      <c r="AV21" s="345"/>
      <c r="AW21" s="345"/>
      <c r="AX21" s="345"/>
      <c r="AY21" s="345"/>
      <c r="AZ21" s="345"/>
      <c r="BA21" s="345"/>
      <c r="BB21" s="345"/>
      <c r="BC21" s="345"/>
      <c r="BD21" s="345"/>
      <c r="BE21" s="345"/>
      <c r="BF21" s="345"/>
      <c r="BG21" s="345"/>
      <c r="BH21" s="345"/>
      <c r="BI21" s="345"/>
      <c r="BJ21" s="345"/>
      <c r="BK21" s="345"/>
      <c r="BL21" s="345"/>
      <c r="BM21" s="345"/>
      <c r="BN21" s="345"/>
      <c r="BO21" s="345"/>
      <c r="BP21" s="345"/>
      <c r="BQ21" s="345"/>
      <c r="BR21" s="345"/>
      <c r="BS21" s="345"/>
      <c r="BT21" s="345"/>
      <c r="BU21" s="345"/>
      <c r="BV21" s="345"/>
      <c r="BW21" s="345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</row>
    <row r="22" spans="1:102" s="165" customFormat="1" ht="18.75">
      <c r="A22" s="215" t="s">
        <v>86</v>
      </c>
      <c r="B22" s="217" t="s">
        <v>85</v>
      </c>
      <c r="C22" s="875"/>
      <c r="D22" s="875"/>
      <c r="E22" s="875"/>
      <c r="F22" s="875"/>
      <c r="G22" s="875"/>
      <c r="H22" s="875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211"/>
      <c r="Z22" s="211"/>
      <c r="AA22" s="211"/>
      <c r="AB22" s="211"/>
      <c r="AC22" s="154">
        <f t="shared" si="0"/>
        <v>0</v>
      </c>
      <c r="AD22" s="345"/>
      <c r="AE22" s="345"/>
      <c r="AF22" s="345"/>
      <c r="AG22" s="345"/>
      <c r="AH22" s="345"/>
      <c r="AI22" s="345"/>
      <c r="AJ22" s="345"/>
      <c r="AK22" s="345"/>
      <c r="AL22" s="345"/>
      <c r="AM22" s="345"/>
      <c r="AN22" s="345"/>
      <c r="AO22" s="345"/>
      <c r="AP22" s="345"/>
      <c r="AQ22" s="345"/>
      <c r="AR22" s="345"/>
      <c r="AS22" s="345"/>
      <c r="AT22" s="345"/>
      <c r="AU22" s="345"/>
      <c r="AV22" s="345"/>
      <c r="AW22" s="345"/>
      <c r="AX22" s="345"/>
      <c r="AY22" s="345"/>
      <c r="AZ22" s="345"/>
      <c r="BA22" s="345"/>
      <c r="BB22" s="345"/>
      <c r="BC22" s="345"/>
      <c r="BD22" s="345"/>
      <c r="BE22" s="345"/>
      <c r="BF22" s="345"/>
      <c r="BG22" s="345"/>
      <c r="BH22" s="345"/>
      <c r="BI22" s="345"/>
      <c r="BJ22" s="345"/>
      <c r="BK22" s="345"/>
      <c r="BL22" s="345"/>
      <c r="BM22" s="345"/>
      <c r="BN22" s="345"/>
      <c r="BO22" s="345"/>
      <c r="BP22" s="345"/>
      <c r="BQ22" s="345"/>
      <c r="BR22" s="345"/>
      <c r="BS22" s="345"/>
      <c r="BT22" s="345"/>
      <c r="BU22" s="345"/>
      <c r="BV22" s="345"/>
      <c r="BW22" s="345"/>
      <c r="BX22" s="345"/>
      <c r="BY22" s="345"/>
      <c r="BZ22" s="345"/>
      <c r="CA22" s="345"/>
      <c r="CB22" s="345"/>
      <c r="CC22" s="345"/>
      <c r="CD22" s="345"/>
      <c r="CE22" s="345"/>
      <c r="CF22" s="345"/>
      <c r="CG22" s="345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  <c r="CV22" s="164"/>
      <c r="CW22" s="164"/>
      <c r="CX22" s="164"/>
    </row>
    <row r="23" spans="1:102" s="159" customFormat="1" ht="18.75">
      <c r="A23" s="215" t="s">
        <v>88</v>
      </c>
      <c r="B23" s="217" t="s">
        <v>87</v>
      </c>
      <c r="C23" s="875"/>
      <c r="D23" s="875"/>
      <c r="E23" s="875"/>
      <c r="F23" s="875"/>
      <c r="G23" s="875"/>
      <c r="H23" s="875"/>
      <c r="I23" s="157"/>
      <c r="J23" s="157"/>
      <c r="K23" s="157"/>
      <c r="L23" s="157"/>
      <c r="M23" s="157"/>
      <c r="N23" s="157"/>
      <c r="O23" s="157" t="e">
        <f>'[4]АФН страх'!Z20</f>
        <v>#REF!</v>
      </c>
      <c r="P23" s="157"/>
      <c r="Q23" s="157"/>
      <c r="R23" s="157"/>
      <c r="S23" s="157"/>
      <c r="T23" s="157"/>
      <c r="U23" s="157"/>
      <c r="V23" s="157"/>
      <c r="W23" s="157"/>
      <c r="X23" s="157"/>
      <c r="Y23" s="211"/>
      <c r="Z23" s="211"/>
      <c r="AA23" s="211"/>
      <c r="AB23" s="211"/>
      <c r="AC23" s="154">
        <v>0</v>
      </c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5"/>
      <c r="AV23" s="345"/>
      <c r="AW23" s="345"/>
      <c r="AX23" s="345"/>
      <c r="AY23" s="345"/>
      <c r="AZ23" s="345"/>
      <c r="BA23" s="345"/>
      <c r="BB23" s="345"/>
      <c r="BC23" s="345"/>
      <c r="BD23" s="345"/>
      <c r="BE23" s="345"/>
      <c r="BF23" s="345"/>
      <c r="BG23" s="345"/>
      <c r="BH23" s="345"/>
      <c r="BI23" s="345"/>
      <c r="BJ23" s="345"/>
      <c r="BK23" s="345"/>
      <c r="BL23" s="345"/>
      <c r="BM23" s="345"/>
      <c r="BN23" s="345"/>
      <c r="BO23" s="345"/>
      <c r="BP23" s="345"/>
      <c r="BQ23" s="345"/>
      <c r="BR23" s="345"/>
      <c r="BS23" s="345"/>
      <c r="BT23" s="345"/>
      <c r="BU23" s="345"/>
      <c r="BV23" s="345"/>
      <c r="BW23" s="345"/>
      <c r="BX23" s="345"/>
      <c r="BY23" s="345"/>
      <c r="BZ23" s="345"/>
      <c r="CA23" s="345"/>
      <c r="CB23" s="345"/>
      <c r="CC23" s="345"/>
      <c r="CD23" s="345"/>
      <c r="CE23" s="345"/>
      <c r="CF23" s="345"/>
      <c r="CG23" s="345"/>
      <c r="CH23" s="158"/>
      <c r="CI23" s="158"/>
      <c r="CJ23" s="158"/>
      <c r="CK23" s="158"/>
      <c r="CL23" s="158"/>
      <c r="CM23" s="158"/>
      <c r="CN23" s="158"/>
      <c r="CO23" s="158"/>
      <c r="CP23" s="158"/>
      <c r="CQ23" s="158"/>
      <c r="CR23" s="158"/>
      <c r="CS23" s="158"/>
      <c r="CT23" s="158"/>
      <c r="CU23" s="158"/>
      <c r="CV23" s="158"/>
      <c r="CW23" s="158"/>
      <c r="CX23" s="158"/>
    </row>
    <row r="24" spans="1:102" s="162" customFormat="1" ht="25.5">
      <c r="A24" s="215" t="s">
        <v>1063</v>
      </c>
      <c r="B24" s="217" t="s">
        <v>2380</v>
      </c>
      <c r="C24" s="875"/>
      <c r="D24" s="875">
        <f>Отчет!J220+Отчет!J223+Отчет!J227+Отчет!J246+Отчет!J249+Отчет!J252</f>
        <v>45058923</v>
      </c>
      <c r="E24" s="875">
        <f>Отчет!J221+Отчет!J224+Отчет!J228+Отчет!J247+Отчет!J253+Отчет!J250</f>
        <v>13921289.699999999</v>
      </c>
      <c r="F24" s="875"/>
      <c r="G24" s="875"/>
      <c r="H24" s="875"/>
      <c r="I24" s="152"/>
      <c r="J24" s="870"/>
      <c r="K24" s="871"/>
      <c r="L24" s="872"/>
      <c r="M24" s="872"/>
      <c r="N24" s="872"/>
      <c r="O24" s="222" t="e">
        <f>'[4]Афн премии'!W25-'[4]АФН страх'!Z20</f>
        <v>#REF!</v>
      </c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154" t="e">
        <f t="shared" si="0"/>
        <v>#REF!</v>
      </c>
      <c r="AD24" s="345"/>
      <c r="AE24" s="345"/>
      <c r="AF24" s="345"/>
      <c r="AG24" s="345"/>
      <c r="AH24" s="345"/>
      <c r="AI24" s="345"/>
      <c r="AJ24" s="345"/>
      <c r="AK24" s="345"/>
      <c r="AL24" s="345"/>
      <c r="AM24" s="345"/>
      <c r="AN24" s="345"/>
      <c r="AO24" s="345"/>
      <c r="AP24" s="345"/>
      <c r="AQ24" s="345"/>
      <c r="AR24" s="345"/>
      <c r="AS24" s="345"/>
      <c r="AT24" s="345"/>
      <c r="AU24" s="345"/>
      <c r="AV24" s="345"/>
      <c r="AW24" s="345"/>
      <c r="AX24" s="345"/>
      <c r="AY24" s="345"/>
      <c r="AZ24" s="345"/>
      <c r="BA24" s="345"/>
      <c r="BB24" s="345"/>
      <c r="BC24" s="345"/>
      <c r="BD24" s="345"/>
      <c r="BE24" s="345"/>
      <c r="BF24" s="345"/>
      <c r="BG24" s="345"/>
      <c r="BH24" s="345"/>
      <c r="BI24" s="345"/>
      <c r="BJ24" s="345"/>
      <c r="BK24" s="345"/>
      <c r="BL24" s="345"/>
      <c r="BM24" s="345"/>
      <c r="BN24" s="345"/>
      <c r="BO24" s="345"/>
      <c r="BP24" s="345"/>
      <c r="BQ24" s="345"/>
      <c r="BR24" s="345"/>
      <c r="BS24" s="345"/>
      <c r="BT24" s="345"/>
      <c r="BU24" s="345"/>
      <c r="BV24" s="345"/>
      <c r="BW24" s="345"/>
      <c r="BX24" s="345"/>
      <c r="BY24" s="345"/>
      <c r="BZ24" s="345"/>
      <c r="CA24" s="345"/>
      <c r="CB24" s="345"/>
      <c r="CC24" s="345"/>
      <c r="CD24" s="345"/>
      <c r="CE24" s="345"/>
      <c r="CF24" s="345"/>
      <c r="CG24" s="345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</row>
    <row r="25" spans="1:102" s="156" customFormat="1" ht="18.75">
      <c r="A25" s="206" t="s">
        <v>90</v>
      </c>
      <c r="B25" s="202" t="s">
        <v>91</v>
      </c>
      <c r="C25" s="152"/>
      <c r="D25" s="152"/>
      <c r="E25" s="152"/>
      <c r="F25" s="152"/>
      <c r="G25" s="152"/>
      <c r="H25" s="152"/>
      <c r="I25" s="160"/>
      <c r="J25" s="167"/>
      <c r="K25" s="220"/>
      <c r="L25" s="221"/>
      <c r="M25" s="177"/>
      <c r="N25" s="177"/>
      <c r="O25" s="843"/>
      <c r="P25" s="843"/>
      <c r="Q25" s="843"/>
      <c r="R25" s="843"/>
      <c r="S25" s="843" t="e">
        <f>'[4]Соцфин 9.1'!L8</f>
        <v>#REF!</v>
      </c>
      <c r="T25" s="843"/>
      <c r="U25" s="843"/>
      <c r="V25" s="843"/>
      <c r="W25" s="843"/>
      <c r="X25" s="843"/>
      <c r="Y25" s="843"/>
      <c r="Z25" s="843"/>
      <c r="AA25" s="843"/>
      <c r="AB25" s="843"/>
      <c r="AC25" s="154" t="e">
        <f t="shared" si="0"/>
        <v>#REF!</v>
      </c>
      <c r="AD25" s="345"/>
      <c r="AE25" s="345"/>
      <c r="AF25" s="345"/>
      <c r="AG25" s="345"/>
      <c r="AH25" s="345"/>
      <c r="AI25" s="345"/>
      <c r="AJ25" s="345"/>
      <c r="AK25" s="345"/>
      <c r="AL25" s="345"/>
      <c r="AM25" s="345"/>
      <c r="AN25" s="345"/>
      <c r="AO25" s="345"/>
      <c r="AP25" s="345"/>
      <c r="AQ25" s="345"/>
      <c r="AR25" s="345"/>
      <c r="AS25" s="345"/>
      <c r="AT25" s="345"/>
      <c r="AU25" s="345"/>
      <c r="AV25" s="345"/>
      <c r="AW25" s="345"/>
      <c r="AX25" s="345"/>
      <c r="AY25" s="345"/>
      <c r="AZ25" s="345"/>
      <c r="BA25" s="345"/>
      <c r="BB25" s="345"/>
      <c r="BC25" s="345"/>
      <c r="BD25" s="345"/>
      <c r="BE25" s="345"/>
      <c r="BF25" s="345"/>
      <c r="BG25" s="345"/>
      <c r="BH25" s="345"/>
      <c r="BI25" s="345"/>
      <c r="BJ25" s="345"/>
      <c r="BK25" s="345"/>
      <c r="BL25" s="345"/>
      <c r="BM25" s="345"/>
      <c r="BN25" s="345"/>
      <c r="BO25" s="345"/>
      <c r="BP25" s="345"/>
      <c r="BQ25" s="345"/>
      <c r="BR25" s="345"/>
      <c r="BS25" s="345"/>
      <c r="BT25" s="345"/>
      <c r="BU25" s="345"/>
      <c r="BV25" s="345"/>
      <c r="BW25" s="345"/>
      <c r="BX25" s="345"/>
      <c r="BY25" s="345"/>
      <c r="BZ25" s="345"/>
      <c r="CA25" s="345"/>
      <c r="CB25" s="345"/>
      <c r="CC25" s="345"/>
      <c r="CD25" s="345"/>
      <c r="CE25" s="345"/>
      <c r="CF25" s="345"/>
      <c r="CG25" s="345"/>
      <c r="CH25" s="155"/>
      <c r="CI25" s="155"/>
      <c r="CJ25" s="155"/>
      <c r="CK25" s="155"/>
      <c r="CL25" s="155"/>
      <c r="CM25" s="155"/>
      <c r="CN25" s="155"/>
      <c r="CO25" s="155"/>
      <c r="CP25" s="155"/>
      <c r="CQ25" s="155"/>
      <c r="CR25" s="155"/>
      <c r="CS25" s="155"/>
      <c r="CT25" s="155"/>
      <c r="CU25" s="155"/>
      <c r="CV25" s="155"/>
      <c r="CW25" s="155"/>
      <c r="CX25" s="155"/>
    </row>
    <row r="26" spans="1:102" s="159" customFormat="1" ht="18.75">
      <c r="A26" s="207" t="s">
        <v>93</v>
      </c>
      <c r="B26" s="202" t="s">
        <v>94</v>
      </c>
      <c r="C26" s="157"/>
      <c r="D26" s="157"/>
      <c r="E26" s="157"/>
      <c r="F26" s="157"/>
      <c r="G26" s="157"/>
      <c r="H26" s="157"/>
      <c r="I26" s="160"/>
      <c r="J26" s="167"/>
      <c r="K26" s="220"/>
      <c r="L26" s="221"/>
      <c r="M26" s="221"/>
      <c r="N26" s="221"/>
      <c r="O26" s="843"/>
      <c r="P26" s="843"/>
      <c r="Q26" s="843"/>
      <c r="R26" s="843"/>
      <c r="S26" s="843"/>
      <c r="T26" s="843"/>
      <c r="U26" s="843"/>
      <c r="V26" s="843"/>
      <c r="W26" s="843"/>
      <c r="X26" s="843"/>
      <c r="Y26" s="843"/>
      <c r="Z26" s="843"/>
      <c r="AA26" s="843"/>
      <c r="AB26" s="843"/>
      <c r="AC26" s="154">
        <f t="shared" si="0"/>
        <v>0</v>
      </c>
      <c r="AD26" s="345"/>
      <c r="AE26" s="345"/>
      <c r="AF26" s="345"/>
      <c r="AG26" s="345"/>
      <c r="AH26" s="345"/>
      <c r="AI26" s="345"/>
      <c r="AJ26" s="345"/>
      <c r="AK26" s="345"/>
      <c r="AL26" s="345"/>
      <c r="AM26" s="345"/>
      <c r="AN26" s="345"/>
      <c r="AO26" s="345"/>
      <c r="AP26" s="345"/>
      <c r="AQ26" s="345"/>
      <c r="AR26" s="345"/>
      <c r="AS26" s="345"/>
      <c r="AT26" s="345"/>
      <c r="AU26" s="345"/>
      <c r="AV26" s="345"/>
      <c r="AW26" s="345"/>
      <c r="AX26" s="345"/>
      <c r="AY26" s="345"/>
      <c r="AZ26" s="345"/>
      <c r="BA26" s="345"/>
      <c r="BB26" s="345"/>
      <c r="BC26" s="345"/>
      <c r="BD26" s="345"/>
      <c r="BE26" s="345"/>
      <c r="BF26" s="345"/>
      <c r="BG26" s="345"/>
      <c r="BH26" s="345"/>
      <c r="BI26" s="345"/>
      <c r="BJ26" s="345"/>
      <c r="BK26" s="345"/>
      <c r="BL26" s="345"/>
      <c r="BM26" s="345"/>
      <c r="BN26" s="345"/>
      <c r="BO26" s="345"/>
      <c r="BP26" s="345"/>
      <c r="BQ26" s="345"/>
      <c r="BR26" s="345"/>
      <c r="BS26" s="345"/>
      <c r="BT26" s="345"/>
      <c r="BU26" s="345"/>
      <c r="BV26" s="345"/>
      <c r="BW26" s="345"/>
      <c r="BX26" s="345"/>
      <c r="BY26" s="345"/>
      <c r="BZ26" s="345"/>
      <c r="CA26" s="345"/>
      <c r="CB26" s="345"/>
      <c r="CC26" s="345"/>
      <c r="CD26" s="345"/>
      <c r="CE26" s="345"/>
      <c r="CF26" s="345"/>
      <c r="CG26" s="345"/>
      <c r="CH26" s="158"/>
      <c r="CI26" s="158"/>
      <c r="CJ26" s="158"/>
      <c r="CK26" s="158"/>
      <c r="CL26" s="158"/>
      <c r="CM26" s="158"/>
      <c r="CN26" s="158"/>
      <c r="CO26" s="158"/>
      <c r="CP26" s="158"/>
      <c r="CQ26" s="158"/>
      <c r="CR26" s="158"/>
      <c r="CS26" s="158"/>
      <c r="CT26" s="158"/>
      <c r="CU26" s="158"/>
      <c r="CV26" s="158"/>
      <c r="CW26" s="158"/>
      <c r="CX26" s="158"/>
    </row>
    <row r="27" spans="1:102" s="159" customFormat="1" ht="18.75">
      <c r="A27" s="207" t="s">
        <v>97</v>
      </c>
      <c r="B27" s="202" t="s">
        <v>98</v>
      </c>
      <c r="C27" s="157"/>
      <c r="D27" s="157"/>
      <c r="E27" s="157"/>
      <c r="F27" s="157"/>
      <c r="G27" s="157"/>
      <c r="H27" s="157"/>
      <c r="I27" s="152"/>
      <c r="J27" s="870"/>
      <c r="K27" s="871"/>
      <c r="L27" s="872"/>
      <c r="M27" s="872"/>
      <c r="N27" s="872"/>
      <c r="O27" s="222"/>
      <c r="P27" s="222"/>
      <c r="Q27" s="222"/>
      <c r="R27" s="222" t="e">
        <f>[4]Домохоз!#REF!</f>
        <v>#REF!</v>
      </c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154" t="e">
        <f t="shared" si="0"/>
        <v>#REF!</v>
      </c>
      <c r="AD27" s="345"/>
      <c r="AE27" s="345"/>
      <c r="AF27" s="345"/>
      <c r="AG27" s="345"/>
      <c r="AH27" s="345"/>
      <c r="AI27" s="345"/>
      <c r="AJ27" s="345"/>
      <c r="AK27" s="345"/>
      <c r="AL27" s="345"/>
      <c r="AM27" s="345"/>
      <c r="AN27" s="345"/>
      <c r="AO27" s="345"/>
      <c r="AP27" s="345"/>
      <c r="AQ27" s="345"/>
      <c r="AR27" s="345"/>
      <c r="AS27" s="345"/>
      <c r="AT27" s="345"/>
      <c r="AU27" s="345"/>
      <c r="AV27" s="345"/>
      <c r="AW27" s="345"/>
      <c r="AX27" s="345"/>
      <c r="AY27" s="345"/>
      <c r="AZ27" s="345"/>
      <c r="BA27" s="345"/>
      <c r="BB27" s="345"/>
      <c r="BC27" s="345"/>
      <c r="BD27" s="345"/>
      <c r="BE27" s="345"/>
      <c r="BF27" s="345"/>
      <c r="BG27" s="345"/>
      <c r="BH27" s="345"/>
      <c r="BI27" s="345"/>
      <c r="BJ27" s="345"/>
      <c r="BK27" s="345"/>
      <c r="BL27" s="345"/>
      <c r="BM27" s="345"/>
      <c r="BN27" s="345"/>
      <c r="BO27" s="345"/>
      <c r="BP27" s="345"/>
      <c r="BQ27" s="345"/>
      <c r="BR27" s="345"/>
      <c r="BS27" s="345"/>
      <c r="BT27" s="345"/>
      <c r="BU27" s="345"/>
      <c r="BV27" s="345"/>
      <c r="BW27" s="345"/>
      <c r="BX27" s="345"/>
      <c r="BY27" s="345"/>
      <c r="BZ27" s="345"/>
      <c r="CA27" s="345"/>
      <c r="CB27" s="345"/>
      <c r="CC27" s="345"/>
      <c r="CD27" s="345"/>
      <c r="CE27" s="345"/>
      <c r="CF27" s="345"/>
      <c r="CG27" s="345"/>
      <c r="CH27" s="158"/>
      <c r="CI27" s="158"/>
      <c r="CJ27" s="158"/>
      <c r="CK27" s="158"/>
      <c r="CL27" s="158"/>
      <c r="CM27" s="158"/>
      <c r="CN27" s="158"/>
      <c r="CO27" s="158"/>
      <c r="CP27" s="158"/>
      <c r="CQ27" s="158"/>
      <c r="CR27" s="158"/>
      <c r="CS27" s="158"/>
      <c r="CT27" s="158"/>
      <c r="CU27" s="158"/>
      <c r="CV27" s="158"/>
      <c r="CW27" s="158"/>
      <c r="CX27" s="158"/>
    </row>
    <row r="28" spans="1:102" ht="18.75">
      <c r="A28" s="218" t="s">
        <v>106</v>
      </c>
      <c r="B28" s="202" t="s">
        <v>798</v>
      </c>
      <c r="C28" s="152"/>
      <c r="D28" s="870"/>
      <c r="E28" s="871"/>
      <c r="F28" s="872"/>
      <c r="G28" s="872"/>
      <c r="H28" s="872"/>
      <c r="I28" s="157"/>
      <c r="J28" s="869"/>
      <c r="K28" s="873"/>
      <c r="L28" s="219"/>
      <c r="M28" s="219"/>
      <c r="N28" s="219"/>
      <c r="O28" s="874"/>
      <c r="P28" s="874"/>
      <c r="Q28" s="874"/>
      <c r="R28" s="874"/>
      <c r="S28" s="874"/>
      <c r="T28" s="874"/>
      <c r="U28" s="874"/>
      <c r="V28" s="874"/>
      <c r="W28" s="874"/>
      <c r="X28" s="874"/>
      <c r="Y28" s="874"/>
      <c r="Z28" s="874"/>
      <c r="AA28" s="874"/>
      <c r="AB28" s="874"/>
      <c r="AC28" s="154">
        <f t="shared" si="0"/>
        <v>0</v>
      </c>
    </row>
    <row r="29" spans="1:102" ht="25.5">
      <c r="A29" s="218" t="s">
        <v>107</v>
      </c>
      <c r="B29" s="214" t="s">
        <v>799</v>
      </c>
      <c r="C29" s="160"/>
      <c r="D29" s="167"/>
      <c r="E29" s="220"/>
      <c r="F29" s="221"/>
      <c r="I29" s="157"/>
      <c r="J29" s="869"/>
      <c r="K29" s="873"/>
      <c r="L29" s="219"/>
      <c r="M29" s="219"/>
      <c r="N29" s="219"/>
      <c r="O29" s="874"/>
      <c r="P29" s="874"/>
      <c r="Q29" s="874"/>
      <c r="R29" s="874"/>
      <c r="S29" s="874"/>
      <c r="T29" s="874"/>
      <c r="U29" s="874"/>
      <c r="V29" s="874"/>
      <c r="W29" s="874"/>
      <c r="X29" s="874"/>
      <c r="Y29" s="874"/>
      <c r="Z29" s="874"/>
      <c r="AA29" s="874"/>
      <c r="AB29" s="874"/>
      <c r="AC29" s="154">
        <f t="shared" si="0"/>
        <v>0</v>
      </c>
    </row>
    <row r="30" spans="1:102" ht="18.75">
      <c r="A30" s="218" t="s">
        <v>110</v>
      </c>
      <c r="B30" s="214" t="s">
        <v>111</v>
      </c>
      <c r="C30" s="160"/>
      <c r="D30" s="167"/>
      <c r="E30" s="220"/>
      <c r="F30" s="221"/>
      <c r="G30" s="221"/>
      <c r="H30" s="221"/>
      <c r="I30" s="152"/>
      <c r="J30" s="870"/>
      <c r="K30" s="871"/>
      <c r="L30" s="872"/>
      <c r="M30" s="872"/>
      <c r="N30" s="87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154">
        <f t="shared" si="0"/>
        <v>0</v>
      </c>
    </row>
    <row r="31" spans="1:102" ht="18.75">
      <c r="A31" s="218" t="s">
        <v>112</v>
      </c>
      <c r="B31" s="202" t="s">
        <v>113</v>
      </c>
      <c r="C31" s="152"/>
      <c r="D31" s="870"/>
      <c r="E31" s="871"/>
      <c r="F31" s="872"/>
      <c r="G31" s="872"/>
      <c r="H31" s="872"/>
      <c r="I31" s="157"/>
      <c r="J31" s="869"/>
      <c r="K31" s="873"/>
      <c r="L31" s="219"/>
      <c r="M31" s="219"/>
      <c r="N31" s="219"/>
      <c r="O31" s="874"/>
      <c r="P31" s="874"/>
      <c r="Q31" s="874"/>
      <c r="R31" s="874"/>
      <c r="S31" s="874"/>
      <c r="T31" s="874"/>
      <c r="U31" s="874"/>
      <c r="V31" s="874"/>
      <c r="W31" s="874"/>
      <c r="X31" s="874"/>
      <c r="Y31" s="874"/>
      <c r="Z31" s="874"/>
      <c r="AA31" s="874"/>
      <c r="AB31" s="874"/>
      <c r="AC31" s="154">
        <f t="shared" si="0"/>
        <v>0</v>
      </c>
    </row>
    <row r="32" spans="1:102" ht="18.75">
      <c r="A32" s="218" t="s">
        <v>114</v>
      </c>
      <c r="B32" s="202" t="s">
        <v>800</v>
      </c>
      <c r="C32" s="157"/>
      <c r="D32" s="869"/>
      <c r="E32" s="873"/>
      <c r="F32" s="219"/>
      <c r="G32" s="219"/>
      <c r="H32" s="219"/>
      <c r="I32" s="160"/>
      <c r="J32" s="167"/>
      <c r="K32" s="220"/>
      <c r="L32" s="221"/>
      <c r="M32" s="221"/>
      <c r="N32" s="221"/>
      <c r="O32" s="843"/>
      <c r="P32" s="843"/>
      <c r="Q32" s="843"/>
      <c r="R32" s="843"/>
      <c r="S32" s="843"/>
      <c r="T32" s="843"/>
      <c r="U32" s="843"/>
      <c r="V32" s="843"/>
      <c r="W32" s="843"/>
      <c r="X32" s="843"/>
      <c r="Y32" s="843"/>
      <c r="Z32" s="843"/>
      <c r="AA32" s="843"/>
      <c r="AB32" s="843"/>
      <c r="AC32" s="154">
        <f t="shared" si="0"/>
        <v>0</v>
      </c>
    </row>
    <row r="33" spans="1:85" ht="18.75">
      <c r="A33" s="218" t="s">
        <v>117</v>
      </c>
      <c r="B33" s="202" t="s">
        <v>118</v>
      </c>
      <c r="C33" s="157"/>
      <c r="D33" s="869"/>
      <c r="E33" s="873"/>
      <c r="F33" s="219"/>
      <c r="G33" s="219"/>
      <c r="H33" s="219"/>
      <c r="I33" s="160"/>
      <c r="J33" s="167"/>
      <c r="K33" s="220"/>
      <c r="L33" s="221"/>
      <c r="M33" s="221"/>
      <c r="N33" s="221"/>
      <c r="O33" s="843"/>
      <c r="P33" s="843"/>
      <c r="Q33" s="843"/>
      <c r="R33" s="843"/>
      <c r="S33" s="843"/>
      <c r="T33" s="843"/>
      <c r="U33" s="843"/>
      <c r="V33" s="843"/>
      <c r="W33" s="843"/>
      <c r="X33" s="843"/>
      <c r="Y33" s="843"/>
      <c r="Z33" s="843"/>
      <c r="AA33" s="843"/>
      <c r="AB33" s="843"/>
      <c r="AC33" s="154">
        <f t="shared" si="0"/>
        <v>0</v>
      </c>
    </row>
    <row r="34" spans="1:85" ht="18.75">
      <c r="A34" s="218" t="s">
        <v>122</v>
      </c>
      <c r="B34" s="202" t="s">
        <v>802</v>
      </c>
      <c r="C34" s="152"/>
      <c r="D34" s="870"/>
      <c r="E34" s="871"/>
      <c r="F34" s="872"/>
      <c r="G34" s="872"/>
      <c r="H34" s="872"/>
      <c r="I34" s="152"/>
      <c r="J34" s="870"/>
      <c r="K34" s="871"/>
      <c r="L34" s="872"/>
      <c r="M34" s="872"/>
      <c r="N34" s="87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>
        <f>'[4]Соцфин 2.1'!I14+'[4]Соцфин 3.1'!I15</f>
        <v>1663206</v>
      </c>
      <c r="AA34" s="222"/>
      <c r="AB34" s="222"/>
      <c r="AC34" s="154">
        <f t="shared" si="0"/>
        <v>1663206</v>
      </c>
    </row>
    <row r="35" spans="1:85" ht="18.75">
      <c r="A35" s="218" t="s">
        <v>124</v>
      </c>
      <c r="B35" s="202" t="s">
        <v>803</v>
      </c>
      <c r="C35" s="157"/>
      <c r="D35" s="869"/>
      <c r="E35" s="873"/>
      <c r="F35" s="219"/>
      <c r="G35" s="219"/>
      <c r="H35" s="219"/>
      <c r="I35" s="157"/>
      <c r="J35" s="869"/>
      <c r="K35" s="873"/>
      <c r="L35" s="219"/>
      <c r="M35" s="219"/>
      <c r="N35" s="219"/>
      <c r="O35" s="874"/>
      <c r="P35" s="874"/>
      <c r="Q35" s="874"/>
      <c r="R35" s="874"/>
      <c r="S35" s="874"/>
      <c r="T35" s="874"/>
      <c r="U35" s="874"/>
      <c r="V35" s="874"/>
      <c r="W35" s="874"/>
      <c r="X35" s="874"/>
      <c r="Y35" s="874"/>
      <c r="Z35" s="874"/>
      <c r="AA35" s="874"/>
      <c r="AB35" s="874"/>
      <c r="AC35" s="154">
        <f t="shared" si="0"/>
        <v>0</v>
      </c>
    </row>
    <row r="36" spans="1:85" ht="18.75">
      <c r="A36" s="218" t="s">
        <v>125</v>
      </c>
      <c r="B36" s="214" t="s">
        <v>91</v>
      </c>
      <c r="C36" s="160"/>
      <c r="D36" s="167"/>
      <c r="E36" s="220"/>
      <c r="F36" s="221"/>
      <c r="G36" s="221"/>
      <c r="H36" s="221"/>
      <c r="I36" s="157"/>
      <c r="J36" s="869"/>
      <c r="K36" s="873"/>
      <c r="L36" s="219"/>
      <c r="M36" s="219"/>
      <c r="N36" s="219"/>
      <c r="O36" s="874"/>
      <c r="P36" s="874"/>
      <c r="Q36" s="874"/>
      <c r="R36" s="874"/>
      <c r="S36" s="874"/>
      <c r="T36" s="874"/>
      <c r="U36" s="874"/>
      <c r="V36" s="874"/>
      <c r="W36" s="874"/>
      <c r="X36" s="874"/>
      <c r="Y36" s="874"/>
      <c r="Z36" s="874"/>
      <c r="AA36" s="874"/>
      <c r="AB36" s="874"/>
      <c r="AC36" s="154">
        <f t="shared" si="0"/>
        <v>0</v>
      </c>
    </row>
    <row r="37" spans="1:85" ht="18.75">
      <c r="A37" s="218" t="s">
        <v>126</v>
      </c>
      <c r="B37" s="214" t="s">
        <v>804</v>
      </c>
      <c r="C37" s="160"/>
      <c r="D37" s="167"/>
      <c r="E37" s="220"/>
      <c r="F37" s="221"/>
      <c r="G37" s="221"/>
      <c r="H37" s="221"/>
      <c r="I37" s="160"/>
      <c r="J37" s="167"/>
      <c r="K37" s="220"/>
      <c r="L37" s="221"/>
      <c r="M37" s="221"/>
      <c r="N37" s="221"/>
      <c r="O37" s="843"/>
      <c r="P37" s="843"/>
      <c r="Q37" s="843"/>
      <c r="R37" s="843"/>
      <c r="S37" s="843"/>
      <c r="T37" s="843"/>
      <c r="U37" s="843"/>
      <c r="V37" s="843"/>
      <c r="W37" s="1163">
        <v>1039992.6006224368</v>
      </c>
      <c r="X37" s="1163"/>
      <c r="Y37" s="843"/>
      <c r="Z37" s="843"/>
      <c r="AA37" s="843"/>
      <c r="AB37" s="843"/>
      <c r="AC37" s="154">
        <f t="shared" si="0"/>
        <v>1039992.6006224368</v>
      </c>
    </row>
    <row r="38" spans="1:85" ht="18.75">
      <c r="A38" s="218" t="s">
        <v>127</v>
      </c>
      <c r="B38" s="202" t="s">
        <v>805</v>
      </c>
      <c r="C38" s="152"/>
      <c r="D38" s="870"/>
      <c r="E38" s="871"/>
      <c r="F38" s="872"/>
      <c r="G38" s="872"/>
      <c r="H38" s="872"/>
      <c r="I38" s="966"/>
      <c r="J38" s="967"/>
      <c r="K38" s="968"/>
      <c r="L38" s="969"/>
      <c r="M38" s="969"/>
      <c r="N38" s="969"/>
      <c r="O38" s="970"/>
      <c r="P38" s="970"/>
      <c r="Q38" s="970"/>
      <c r="R38" s="970"/>
      <c r="S38" s="970"/>
      <c r="T38" s="970"/>
      <c r="U38" s="970"/>
      <c r="V38" s="970"/>
      <c r="W38" s="1164"/>
      <c r="X38" s="1165">
        <v>2819710.932282398</v>
      </c>
      <c r="Y38" s="970"/>
      <c r="Z38" s="970"/>
      <c r="AA38" s="970"/>
      <c r="AB38" s="970"/>
      <c r="AC38" s="154">
        <f t="shared" si="0"/>
        <v>2819710.932282398</v>
      </c>
    </row>
    <row r="39" spans="1:85" ht="18">
      <c r="A39" s="218" t="s">
        <v>128</v>
      </c>
      <c r="B39" s="214" t="s">
        <v>806</v>
      </c>
      <c r="C39" s="157"/>
      <c r="D39" s="869"/>
      <c r="E39" s="873"/>
      <c r="F39" s="219"/>
      <c r="G39" s="219"/>
      <c r="H39" s="219"/>
      <c r="I39" s="1167" t="e">
        <f t="shared" ref="I39" si="1">SUM(#REF!)</f>
        <v>#REF!</v>
      </c>
      <c r="J39" s="1167" t="e">
        <f t="shared" ref="J39" si="2">SUM(#REF!)</f>
        <v>#REF!</v>
      </c>
      <c r="K39" s="1167" t="e">
        <f t="shared" ref="K39" si="3">SUM(#REF!)</f>
        <v>#REF!</v>
      </c>
      <c r="L39" s="1167" t="e">
        <f t="shared" ref="L39" si="4">SUM(#REF!)</f>
        <v>#REF!</v>
      </c>
      <c r="M39" s="1167"/>
      <c r="N39" s="1167"/>
      <c r="O39" s="1167" t="e">
        <f>O24</f>
        <v>#REF!</v>
      </c>
      <c r="P39" s="1167" t="e">
        <f t="shared" ref="P39" si="5">SUM(#REF!)</f>
        <v>#REF!</v>
      </c>
      <c r="Q39" s="1167" t="e">
        <f t="shared" ref="Q39" si="6">SUM(#REF!)</f>
        <v>#REF!</v>
      </c>
      <c r="R39" s="1167" t="e">
        <f t="shared" ref="R39" si="7">SUM(#REF!)</f>
        <v>#REF!</v>
      </c>
      <c r="S39" s="1167" t="e">
        <f t="shared" ref="S39" si="8">SUM(#REF!)</f>
        <v>#REF!</v>
      </c>
      <c r="T39" s="1167" t="e">
        <f t="shared" ref="T39" si="9">SUM(#REF!)</f>
        <v>#REF!</v>
      </c>
      <c r="U39" s="1167" t="e">
        <f t="shared" ref="U39" si="10">SUM(#REF!)</f>
        <v>#REF!</v>
      </c>
      <c r="V39" s="1167" t="e">
        <f t="shared" ref="V39" si="11">SUM(#REF!)</f>
        <v>#REF!</v>
      </c>
      <c r="W39" s="1167" t="e">
        <f t="shared" ref="W39" si="12">SUM(#REF!)</f>
        <v>#REF!</v>
      </c>
      <c r="X39" s="1167" t="e">
        <f t="shared" ref="X39" si="13">SUM(#REF!)</f>
        <v>#REF!</v>
      </c>
      <c r="Y39" s="1167" t="e">
        <f t="shared" ref="Y39" si="14">SUM(#REF!)</f>
        <v>#REF!</v>
      </c>
      <c r="Z39" s="1167" t="e">
        <f t="shared" ref="Z39" si="15">SUM(#REF!)</f>
        <v>#REF!</v>
      </c>
      <c r="AA39" s="1167" t="e">
        <f t="shared" ref="AA39" si="16">SUM(#REF!)</f>
        <v>#REF!</v>
      </c>
      <c r="AB39" s="1167" t="e">
        <f t="shared" ref="AB39" si="17">SUM(#REF!)</f>
        <v>#REF!</v>
      </c>
      <c r="AC39" s="1160" t="e">
        <f>SUM(#REF!)</f>
        <v>#REF!</v>
      </c>
    </row>
    <row r="40" spans="1:85" ht="18.75">
      <c r="A40" s="218" t="s">
        <v>129</v>
      </c>
      <c r="B40" s="214" t="s">
        <v>807</v>
      </c>
      <c r="C40" s="157"/>
      <c r="D40" s="869"/>
      <c r="E40" s="873"/>
      <c r="F40" s="219"/>
      <c r="G40" s="219"/>
      <c r="H40" s="219"/>
      <c r="I40" s="874"/>
      <c r="J40" s="874"/>
      <c r="K40" s="874"/>
      <c r="L40" s="874"/>
      <c r="M40" s="874"/>
      <c r="N40" s="874"/>
      <c r="O40" s="874"/>
      <c r="P40" s="874"/>
      <c r="Q40" s="874"/>
      <c r="R40" s="874"/>
      <c r="S40" s="874"/>
      <c r="T40" s="874"/>
      <c r="U40" s="874"/>
      <c r="V40" s="874"/>
      <c r="W40" s="154">
        <f t="shared" ref="W40:W42" si="18">SUM(C40:V40)</f>
        <v>0</v>
      </c>
    </row>
    <row r="41" spans="1:85" ht="25.5">
      <c r="A41" s="218" t="s">
        <v>130</v>
      </c>
      <c r="B41" s="214" t="s">
        <v>131</v>
      </c>
      <c r="C41" s="160"/>
      <c r="D41" s="167"/>
      <c r="E41" s="220"/>
      <c r="F41" s="221"/>
      <c r="G41" s="221"/>
      <c r="H41" s="221"/>
      <c r="I41" s="843"/>
      <c r="J41" s="843"/>
      <c r="K41" s="843"/>
      <c r="L41" s="843"/>
      <c r="M41" s="843"/>
      <c r="N41" s="843"/>
      <c r="O41" s="843"/>
      <c r="P41" s="843"/>
      <c r="Q41" s="1163">
        <v>1039992.6006224368</v>
      </c>
      <c r="R41" s="1163"/>
      <c r="S41" s="843"/>
      <c r="T41" s="843"/>
      <c r="U41" s="843"/>
      <c r="V41" s="843"/>
      <c r="W41" s="154">
        <f t="shared" si="18"/>
        <v>1039992.6006224368</v>
      </c>
    </row>
    <row r="42" spans="1:85" ht="25.5">
      <c r="A42" s="964" t="s">
        <v>134</v>
      </c>
      <c r="B42" s="965" t="s">
        <v>135</v>
      </c>
      <c r="C42" s="966"/>
      <c r="D42" s="967"/>
      <c r="E42" s="968"/>
      <c r="F42" s="969"/>
      <c r="G42" s="969"/>
      <c r="H42" s="969"/>
      <c r="I42" s="970"/>
      <c r="J42" s="970"/>
      <c r="K42" s="970"/>
      <c r="L42" s="970"/>
      <c r="M42" s="970"/>
      <c r="N42" s="970"/>
      <c r="O42" s="970"/>
      <c r="P42" s="970"/>
      <c r="Q42" s="1164"/>
      <c r="R42" s="1165">
        <v>2819710.932282398</v>
      </c>
      <c r="S42" s="970"/>
      <c r="T42" s="970"/>
      <c r="U42" s="970"/>
      <c r="V42" s="970"/>
      <c r="W42" s="154">
        <f t="shared" si="18"/>
        <v>2819710.932282398</v>
      </c>
    </row>
    <row r="43" spans="1:85" s="1162" customFormat="1" ht="18">
      <c r="A43" s="1166"/>
      <c r="B43" s="1166" t="s">
        <v>1211</v>
      </c>
      <c r="C43" s="1167">
        <f>SUM(C4:C42)</f>
        <v>0</v>
      </c>
      <c r="D43" s="1167">
        <f>SUM(D4:D42)</f>
        <v>484623004.84284502</v>
      </c>
      <c r="E43" s="1167">
        <f>SUM(E4:E42)</f>
        <v>280058767.60000002</v>
      </c>
      <c r="F43" s="1167">
        <f>SUM(F4:F42)</f>
        <v>0</v>
      </c>
      <c r="G43" s="1167"/>
      <c r="H43" s="1167"/>
      <c r="I43" s="1167">
        <f>I28</f>
        <v>0</v>
      </c>
      <c r="J43" s="1167" t="e">
        <f t="shared" ref="J43:O43" si="19">SUM(J4:J42)</f>
        <v>#REF!</v>
      </c>
      <c r="K43" s="1167" t="e">
        <f t="shared" si="19"/>
        <v>#REF!</v>
      </c>
      <c r="L43" s="1167" t="e">
        <f t="shared" si="19"/>
        <v>#REF!</v>
      </c>
      <c r="M43" s="1167">
        <f t="shared" si="19"/>
        <v>0</v>
      </c>
      <c r="N43" s="1167">
        <f t="shared" si="19"/>
        <v>0</v>
      </c>
      <c r="O43" s="1167" t="e">
        <f t="shared" si="19"/>
        <v>#REF!</v>
      </c>
      <c r="P43" s="1167" t="e">
        <f t="shared" ref="P43:W43" si="20">SUM(P4:P42)</f>
        <v>#REF!</v>
      </c>
      <c r="Q43" s="1167" t="e">
        <f t="shared" si="20"/>
        <v>#REF!</v>
      </c>
      <c r="R43" s="1167" t="e">
        <f t="shared" si="20"/>
        <v>#REF!</v>
      </c>
      <c r="S43" s="1167" t="e">
        <f t="shared" si="20"/>
        <v>#REF!</v>
      </c>
      <c r="T43" s="1167" t="e">
        <f t="shared" si="20"/>
        <v>#REF!</v>
      </c>
      <c r="U43" s="1167" t="e">
        <f t="shared" si="20"/>
        <v>#REF!</v>
      </c>
      <c r="V43" s="1167" t="e">
        <f t="shared" si="20"/>
        <v>#REF!</v>
      </c>
      <c r="W43" s="1160" t="e">
        <f t="shared" si="20"/>
        <v>#REF!</v>
      </c>
      <c r="X43" s="1161"/>
      <c r="Y43" s="1161"/>
      <c r="Z43" s="1161"/>
      <c r="AA43" s="1161"/>
      <c r="AB43" s="1161"/>
      <c r="AC43" s="1161"/>
      <c r="AD43" s="1161"/>
      <c r="AE43" s="1161"/>
      <c r="AF43" s="1161"/>
      <c r="AG43" s="1161"/>
      <c r="AH43" s="1161"/>
      <c r="AI43" s="1161"/>
      <c r="AJ43" s="1161"/>
      <c r="AK43" s="1161"/>
      <c r="AL43" s="1161"/>
      <c r="AM43" s="1161"/>
      <c r="AN43" s="1161"/>
      <c r="AO43" s="1161"/>
      <c r="AP43" s="1161"/>
      <c r="AQ43" s="1161"/>
      <c r="AR43" s="1161"/>
      <c r="AS43" s="1161"/>
      <c r="AT43" s="1161"/>
      <c r="AU43" s="1161"/>
      <c r="AV43" s="1161"/>
      <c r="AW43" s="1161"/>
      <c r="AX43" s="1161"/>
      <c r="AY43" s="1161"/>
      <c r="AZ43" s="1161"/>
      <c r="BA43" s="1161"/>
      <c r="BB43" s="1161"/>
      <c r="BC43" s="1161"/>
      <c r="BD43" s="1161"/>
      <c r="BE43" s="1161"/>
      <c r="BF43" s="1161"/>
      <c r="BG43" s="1161"/>
      <c r="BH43" s="1161"/>
      <c r="BI43" s="1161"/>
      <c r="BJ43" s="1161"/>
      <c r="BK43" s="1161"/>
      <c r="BL43" s="1161"/>
      <c r="BM43" s="1161"/>
      <c r="BN43" s="1161"/>
      <c r="BO43" s="1161"/>
      <c r="BP43" s="1161"/>
      <c r="BQ43" s="1161"/>
      <c r="BR43" s="1161"/>
      <c r="BS43" s="1161"/>
      <c r="BT43" s="1161"/>
      <c r="BU43" s="1161"/>
      <c r="BV43" s="1161"/>
      <c r="BW43" s="1161"/>
      <c r="BX43" s="1161"/>
      <c r="BY43" s="1161"/>
      <c r="BZ43" s="1161"/>
      <c r="CA43" s="1161"/>
      <c r="CB43" s="1161"/>
      <c r="CC43" s="1161"/>
      <c r="CD43" s="1161"/>
      <c r="CE43" s="1161"/>
      <c r="CF43" s="1161"/>
      <c r="CG43" s="1161"/>
    </row>
    <row r="44" spans="1:85" s="346" customFormat="1">
      <c r="A44" s="956"/>
      <c r="B44" s="956"/>
      <c r="C44" s="957"/>
      <c r="D44" s="958"/>
      <c r="E44" s="959"/>
      <c r="F44" s="960"/>
      <c r="G44" s="960"/>
      <c r="H44" s="960"/>
      <c r="M44" s="346">
        <f>M43+G43+N44</f>
        <v>0</v>
      </c>
    </row>
    <row r="45" spans="1:85" s="346" customFormat="1">
      <c r="A45" s="956"/>
      <c r="B45" s="956"/>
      <c r="C45" s="957"/>
      <c r="D45" s="958"/>
      <c r="E45" s="959"/>
      <c r="F45" s="960"/>
      <c r="G45" s="960"/>
      <c r="H45" s="960"/>
    </row>
    <row r="46" spans="1:85" s="346" customFormat="1">
      <c r="A46" s="956"/>
      <c r="B46" s="956"/>
      <c r="C46" s="957"/>
      <c r="D46" s="958"/>
      <c r="E46" s="959"/>
      <c r="F46" s="960"/>
      <c r="G46" s="960"/>
      <c r="H46" s="960"/>
    </row>
    <row r="47" spans="1:85" s="346" customFormat="1">
      <c r="A47" s="956"/>
      <c r="B47" s="956"/>
      <c r="C47" s="957"/>
      <c r="D47" s="958"/>
      <c r="E47" s="959"/>
      <c r="F47" s="960"/>
      <c r="G47" s="960"/>
      <c r="H47" s="960"/>
    </row>
    <row r="48" spans="1:85" s="346" customFormat="1">
      <c r="A48" s="956"/>
      <c r="B48" s="956"/>
      <c r="C48" s="957"/>
      <c r="D48" s="958"/>
      <c r="E48" s="959"/>
      <c r="F48" s="960"/>
      <c r="G48" s="960"/>
      <c r="H48" s="960"/>
    </row>
    <row r="49" spans="1:8" s="346" customFormat="1">
      <c r="A49" s="956"/>
      <c r="B49" s="956"/>
      <c r="C49" s="957"/>
      <c r="D49" s="958"/>
      <c r="E49" s="959"/>
      <c r="F49" s="960"/>
      <c r="G49" s="960"/>
      <c r="H49" s="960"/>
    </row>
    <row r="50" spans="1:8" s="346" customFormat="1">
      <c r="A50" s="956"/>
      <c r="B50" s="956"/>
      <c r="C50" s="957"/>
      <c r="D50" s="958"/>
      <c r="E50" s="959"/>
      <c r="F50" s="960"/>
      <c r="G50" s="960"/>
      <c r="H50" s="960"/>
    </row>
    <row r="51" spans="1:8" s="346" customFormat="1">
      <c r="A51" s="956"/>
      <c r="B51" s="956"/>
      <c r="C51" s="957"/>
      <c r="D51" s="958"/>
      <c r="E51" s="959"/>
      <c r="F51" s="960"/>
      <c r="G51" s="960"/>
      <c r="H51" s="960"/>
    </row>
    <row r="52" spans="1:8" s="346" customFormat="1">
      <c r="A52" s="956"/>
      <c r="B52" s="956"/>
      <c r="C52" s="957"/>
      <c r="D52" s="958"/>
      <c r="E52" s="959"/>
      <c r="F52" s="960"/>
      <c r="G52" s="960"/>
      <c r="H52" s="960"/>
    </row>
    <row r="53" spans="1:8" s="346" customFormat="1">
      <c r="A53" s="956"/>
      <c r="B53" s="956"/>
      <c r="C53" s="957"/>
      <c r="D53" s="958"/>
      <c r="E53" s="959"/>
      <c r="F53" s="960"/>
      <c r="G53" s="960"/>
      <c r="H53" s="960"/>
    </row>
    <row r="54" spans="1:8" s="346" customFormat="1">
      <c r="A54" s="956"/>
      <c r="B54" s="956"/>
      <c r="C54" s="957"/>
      <c r="D54" s="958"/>
      <c r="E54" s="959"/>
      <c r="F54" s="960"/>
      <c r="G54" s="960"/>
      <c r="H54" s="960"/>
    </row>
    <row r="55" spans="1:8" s="346" customFormat="1">
      <c r="A55" s="956"/>
      <c r="B55" s="956"/>
      <c r="C55" s="957"/>
      <c r="D55" s="958"/>
      <c r="E55" s="959"/>
      <c r="F55" s="960"/>
      <c r="G55" s="960"/>
      <c r="H55" s="960"/>
    </row>
    <row r="56" spans="1:8" s="346" customFormat="1">
      <c r="A56" s="956"/>
      <c r="B56" s="956"/>
      <c r="C56" s="957"/>
      <c r="D56" s="958"/>
      <c r="E56" s="959"/>
      <c r="F56" s="960"/>
      <c r="G56" s="960"/>
      <c r="H56" s="960"/>
    </row>
    <row r="57" spans="1:8" s="346" customFormat="1">
      <c r="A57" s="956"/>
      <c r="B57" s="956"/>
      <c r="C57" s="957"/>
      <c r="D57" s="958"/>
      <c r="E57" s="959"/>
      <c r="F57" s="960"/>
      <c r="G57" s="960"/>
      <c r="H57" s="960"/>
    </row>
    <row r="58" spans="1:8" s="346" customFormat="1">
      <c r="A58" s="956"/>
      <c r="B58" s="956"/>
      <c r="C58" s="957"/>
      <c r="D58" s="958"/>
      <c r="E58" s="959"/>
      <c r="F58" s="960"/>
      <c r="G58" s="960"/>
      <c r="H58" s="960"/>
    </row>
    <row r="59" spans="1:8" s="346" customFormat="1">
      <c r="A59" s="956"/>
      <c r="B59" s="956"/>
      <c r="C59" s="957"/>
      <c r="D59" s="958"/>
      <c r="E59" s="959"/>
      <c r="F59" s="960"/>
      <c r="G59" s="960"/>
      <c r="H59" s="960"/>
    </row>
    <row r="60" spans="1:8" s="346" customFormat="1">
      <c r="A60" s="956"/>
      <c r="B60" s="956"/>
      <c r="C60" s="957"/>
      <c r="D60" s="958"/>
      <c r="E60" s="959"/>
      <c r="F60" s="960"/>
      <c r="G60" s="960"/>
      <c r="H60" s="960"/>
    </row>
    <row r="61" spans="1:8" s="346" customFormat="1">
      <c r="A61" s="956"/>
      <c r="B61" s="956"/>
      <c r="C61" s="957"/>
      <c r="D61" s="958"/>
      <c r="E61" s="959"/>
      <c r="F61" s="960"/>
      <c r="G61" s="960"/>
      <c r="H61" s="960"/>
    </row>
    <row r="62" spans="1:8" s="346" customFormat="1">
      <c r="A62" s="956"/>
      <c r="B62" s="956"/>
      <c r="C62" s="957"/>
      <c r="D62" s="958"/>
      <c r="E62" s="959"/>
      <c r="F62" s="960"/>
      <c r="G62" s="960"/>
      <c r="H62" s="960"/>
    </row>
    <row r="63" spans="1:8" s="346" customFormat="1">
      <c r="C63" s="960"/>
      <c r="D63" s="961"/>
      <c r="E63" s="962"/>
      <c r="F63" s="960"/>
      <c r="G63" s="960"/>
      <c r="H63" s="960"/>
    </row>
    <row r="64" spans="1:8" s="346" customFormat="1">
      <c r="C64" s="960"/>
      <c r="D64" s="961"/>
      <c r="E64" s="962"/>
      <c r="F64" s="960"/>
      <c r="G64" s="960"/>
      <c r="H64" s="960"/>
    </row>
    <row r="65" spans="3:8" s="346" customFormat="1">
      <c r="C65" s="960"/>
      <c r="D65" s="961"/>
      <c r="E65" s="962"/>
      <c r="F65" s="960"/>
      <c r="G65" s="960"/>
      <c r="H65" s="960"/>
    </row>
    <row r="66" spans="3:8" s="346" customFormat="1">
      <c r="C66" s="960"/>
      <c r="D66" s="961"/>
      <c r="E66" s="962"/>
      <c r="F66" s="960"/>
      <c r="G66" s="960"/>
      <c r="H66" s="960"/>
    </row>
    <row r="67" spans="3:8" s="346" customFormat="1">
      <c r="C67" s="960"/>
      <c r="D67" s="961"/>
      <c r="E67" s="962"/>
      <c r="F67" s="960"/>
      <c r="G67" s="960"/>
      <c r="H67" s="960"/>
    </row>
    <row r="68" spans="3:8" s="346" customFormat="1">
      <c r="C68" s="960"/>
      <c r="D68" s="961"/>
      <c r="E68" s="962"/>
      <c r="F68" s="960"/>
      <c r="G68" s="960"/>
      <c r="H68" s="960"/>
    </row>
    <row r="69" spans="3:8" s="346" customFormat="1">
      <c r="C69" s="960"/>
      <c r="D69" s="961"/>
      <c r="E69" s="962"/>
      <c r="F69" s="960"/>
      <c r="G69" s="960"/>
      <c r="H69" s="960"/>
    </row>
    <row r="70" spans="3:8" s="346" customFormat="1">
      <c r="C70" s="960"/>
      <c r="D70" s="961"/>
      <c r="E70" s="962"/>
      <c r="F70" s="960"/>
      <c r="G70" s="960"/>
      <c r="H70" s="960"/>
    </row>
    <row r="71" spans="3:8" s="346" customFormat="1">
      <c r="C71" s="960"/>
      <c r="D71" s="961"/>
      <c r="E71" s="962"/>
      <c r="F71" s="960"/>
      <c r="G71" s="960"/>
      <c r="H71" s="960"/>
    </row>
    <row r="72" spans="3:8" s="346" customFormat="1">
      <c r="C72" s="960"/>
      <c r="D72" s="961"/>
      <c r="E72" s="962"/>
      <c r="F72" s="960"/>
      <c r="G72" s="960"/>
      <c r="H72" s="960"/>
    </row>
  </sheetData>
  <mergeCells count="7">
    <mergeCell ref="W1:W3"/>
    <mergeCell ref="L1:O1"/>
    <mergeCell ref="A1:B3"/>
    <mergeCell ref="I1:K1"/>
    <mergeCell ref="P1:T1"/>
    <mergeCell ref="U1:V1"/>
    <mergeCell ref="C1:H1"/>
  </mergeCells>
  <pageMargins left="0.70866141732283472" right="0.70866141732283472" top="0.74803149606299213" bottom="0.74803149606299213" header="0.31496062992125984" footer="0.31496062992125984"/>
  <pageSetup paperSize="9" scale="40" orientation="portrait" horizontalDpi="4294967293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tabColor rgb="FF92D050"/>
  </sheetPr>
  <dimension ref="A1:CU104"/>
  <sheetViews>
    <sheetView view="pageBreakPreview" zoomScale="70" zoomScaleSheetLayoutView="70" workbookViewId="0">
      <pane xSplit="2" ySplit="3" topLeftCell="C7" activePane="bottomRight" state="frozen"/>
      <selection pane="topRight" activeCell="C1" sqref="C1"/>
      <selection pane="bottomLeft" activeCell="A3" sqref="A3"/>
      <selection pane="bottomRight" activeCell="J30" sqref="J30"/>
    </sheetView>
  </sheetViews>
  <sheetFormatPr defaultRowHeight="12.75"/>
  <cols>
    <col min="1" max="1" width="16.140625" style="149" customWidth="1"/>
    <col min="2" max="2" width="56.5703125" style="149" customWidth="1"/>
    <col min="3" max="3" width="16" style="178" customWidth="1"/>
    <col min="4" max="4" width="17" style="179" bestFit="1" customWidth="1"/>
    <col min="5" max="5" width="17" style="180" bestFit="1" customWidth="1"/>
    <col min="6" max="6" width="13.28515625" style="178" bestFit="1" customWidth="1"/>
    <col min="7" max="7" width="15.7109375" style="177" bestFit="1" customWidth="1"/>
    <col min="8" max="9" width="11.140625" style="177" customWidth="1"/>
    <col min="10" max="10" width="16.42578125" style="177" customWidth="1"/>
    <col min="11" max="11" width="14.42578125" style="178" bestFit="1" customWidth="1"/>
    <col min="12" max="12" width="13.140625" style="159" customWidth="1"/>
    <col min="13" max="13" width="16" style="159" customWidth="1"/>
    <col min="14" max="14" width="13.140625" style="159" bestFit="1" customWidth="1"/>
    <col min="15" max="15" width="14.85546875" style="162" bestFit="1" customWidth="1"/>
    <col min="16" max="16" width="15.5703125" style="162" customWidth="1"/>
    <col min="17" max="17" width="20.42578125" style="156" customWidth="1"/>
    <col min="18" max="18" width="21.140625" style="149" bestFit="1" customWidth="1"/>
    <col min="19" max="19" width="12.7109375" style="149" bestFit="1" customWidth="1"/>
    <col min="20" max="20" width="55.28515625" style="149" customWidth="1"/>
    <col min="21" max="16384" width="9.140625" style="149"/>
  </cols>
  <sheetData>
    <row r="1" spans="1:99" s="146" customFormat="1" ht="37.5" customHeight="1">
      <c r="A1" s="1863"/>
      <c r="B1" s="1864"/>
      <c r="C1" s="1867" t="s">
        <v>1051</v>
      </c>
      <c r="D1" s="1867"/>
      <c r="E1" s="1867"/>
      <c r="F1" s="1867"/>
      <c r="G1" s="1867"/>
      <c r="H1" s="1867"/>
      <c r="I1" s="318"/>
      <c r="J1" s="1868" t="s">
        <v>1052</v>
      </c>
      <c r="K1" s="1869"/>
      <c r="L1" s="1869"/>
      <c r="M1" s="1869"/>
      <c r="N1" s="1869"/>
      <c r="O1" s="1869"/>
      <c r="P1" s="1870"/>
      <c r="Q1" s="316" t="s">
        <v>1053</v>
      </c>
      <c r="R1" s="1871" t="s">
        <v>816</v>
      </c>
    </row>
    <row r="2" spans="1:99" ht="37.5" customHeight="1">
      <c r="A2" s="1863"/>
      <c r="B2" s="1864"/>
      <c r="C2" s="147" t="s">
        <v>4</v>
      </c>
      <c r="D2" s="148" t="s">
        <v>6</v>
      </c>
      <c r="E2" s="148" t="s">
        <v>9</v>
      </c>
      <c r="F2" s="1" t="s">
        <v>15</v>
      </c>
      <c r="G2" s="148" t="s">
        <v>11</v>
      </c>
      <c r="H2" s="148" t="s">
        <v>13</v>
      </c>
      <c r="I2" s="319"/>
      <c r="J2" s="4" t="s">
        <v>23</v>
      </c>
      <c r="K2" s="1" t="s">
        <v>25</v>
      </c>
      <c r="L2" s="1" t="s">
        <v>28</v>
      </c>
      <c r="M2" s="1" t="s">
        <v>30</v>
      </c>
      <c r="N2" s="6" t="s">
        <v>33</v>
      </c>
      <c r="O2" s="7" t="s">
        <v>34</v>
      </c>
      <c r="P2" s="7" t="s">
        <v>36</v>
      </c>
      <c r="Q2" s="4" t="s">
        <v>37</v>
      </c>
      <c r="R2" s="1871"/>
    </row>
    <row r="3" spans="1:99" ht="76.5">
      <c r="A3" s="1865"/>
      <c r="B3" s="1866"/>
      <c r="C3" s="320" t="s">
        <v>5</v>
      </c>
      <c r="D3" s="321" t="s">
        <v>7</v>
      </c>
      <c r="E3" s="150" t="s">
        <v>10</v>
      </c>
      <c r="F3" s="141" t="s">
        <v>16</v>
      </c>
      <c r="G3" s="150" t="s">
        <v>12</v>
      </c>
      <c r="H3" s="150" t="s">
        <v>14</v>
      </c>
      <c r="I3" s="322"/>
      <c r="J3" s="5" t="s">
        <v>24</v>
      </c>
      <c r="K3" s="2" t="s">
        <v>26</v>
      </c>
      <c r="L3" s="2" t="s">
        <v>29</v>
      </c>
      <c r="M3" s="2" t="s">
        <v>31</v>
      </c>
      <c r="N3" s="3" t="s">
        <v>27</v>
      </c>
      <c r="O3" s="8" t="s">
        <v>35</v>
      </c>
      <c r="P3" s="8" t="s">
        <v>14</v>
      </c>
      <c r="Q3" s="5" t="s">
        <v>38</v>
      </c>
      <c r="R3" s="1871"/>
      <c r="S3" s="151"/>
    </row>
    <row r="4" spans="1:99" s="156" customFormat="1" ht="39.950000000000003" customHeight="1">
      <c r="A4" s="323" t="s">
        <v>45</v>
      </c>
      <c r="B4" s="323" t="s">
        <v>46</v>
      </c>
      <c r="C4" s="152"/>
      <c r="D4" s="153">
        <v>396056204.61675006</v>
      </c>
      <c r="E4" s="153">
        <v>257366710.3962</v>
      </c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>
        <v>1134447.8</v>
      </c>
      <c r="R4" s="154">
        <f>SUM(C4:Q4)</f>
        <v>654557362.81295002</v>
      </c>
      <c r="S4" s="155"/>
    </row>
    <row r="5" spans="1:99" s="159" customFormat="1" ht="39.950000000000003" customHeight="1">
      <c r="A5" s="324" t="s">
        <v>49</v>
      </c>
      <c r="B5" s="325" t="s">
        <v>50</v>
      </c>
      <c r="C5" s="157"/>
      <c r="D5" s="157">
        <v>396056204.61675006</v>
      </c>
      <c r="E5" s="157">
        <v>257366710.3962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>
        <v>1134447.8</v>
      </c>
      <c r="R5" s="154"/>
      <c r="S5" s="158"/>
    </row>
    <row r="6" spans="1:99" s="162" customFormat="1" ht="39.950000000000003" customHeight="1">
      <c r="A6" s="326" t="s">
        <v>52</v>
      </c>
      <c r="B6" s="327" t="s">
        <v>53</v>
      </c>
      <c r="C6" s="160"/>
      <c r="D6" s="160">
        <v>289826937.45930004</v>
      </c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>
        <v>1134447.8</v>
      </c>
      <c r="R6" s="154"/>
      <c r="S6" s="161"/>
    </row>
    <row r="7" spans="1:99" s="165" customFormat="1" ht="39.950000000000003" customHeight="1">
      <c r="A7" s="328" t="s">
        <v>54</v>
      </c>
      <c r="B7" s="329" t="s">
        <v>55</v>
      </c>
      <c r="C7" s="163"/>
      <c r="D7" s="163">
        <v>266138864.9689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>
        <v>1134447.8</v>
      </c>
      <c r="R7" s="154"/>
      <c r="S7" s="164"/>
    </row>
    <row r="8" spans="1:99" s="165" customFormat="1" ht="39.950000000000003" customHeight="1">
      <c r="A8" s="328" t="s">
        <v>56</v>
      </c>
      <c r="B8" s="329" t="s">
        <v>1054</v>
      </c>
      <c r="C8" s="163"/>
      <c r="D8" s="163">
        <v>3309686.1993</v>
      </c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6"/>
      <c r="R8" s="154"/>
      <c r="S8" s="164"/>
    </row>
    <row r="9" spans="1:99" s="165" customFormat="1" ht="39.950000000000003" customHeight="1">
      <c r="A9" s="328" t="s">
        <v>58</v>
      </c>
      <c r="B9" s="330" t="s">
        <v>1055</v>
      </c>
      <c r="C9" s="163"/>
      <c r="D9" s="163">
        <v>394028</v>
      </c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5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</row>
    <row r="10" spans="1:99" s="165" customFormat="1" ht="39.950000000000003" customHeight="1">
      <c r="A10" s="328" t="s">
        <v>60</v>
      </c>
      <c r="B10" s="330" t="s">
        <v>1056</v>
      </c>
      <c r="C10" s="163"/>
      <c r="D10" s="163">
        <v>3748239.091</v>
      </c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5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</row>
    <row r="11" spans="1:99" s="165" customFormat="1" ht="39.950000000000003" customHeight="1">
      <c r="A11" s="328" t="s">
        <v>62</v>
      </c>
      <c r="B11" s="330" t="s">
        <v>1057</v>
      </c>
      <c r="C11" s="163"/>
      <c r="D11" s="163">
        <v>4782039.7313999999</v>
      </c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5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</row>
    <row r="12" spans="1:99" s="165" customFormat="1" ht="39.950000000000003" customHeight="1">
      <c r="A12" s="328" t="s">
        <v>70</v>
      </c>
      <c r="B12" s="330" t="s">
        <v>1058</v>
      </c>
      <c r="C12" s="163"/>
      <c r="D12" s="163">
        <v>9809</v>
      </c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5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</row>
    <row r="13" spans="1:99" s="165" customFormat="1" ht="39.950000000000003" customHeight="1">
      <c r="A13" s="328" t="s">
        <v>1059</v>
      </c>
      <c r="B13" s="329" t="s">
        <v>1060</v>
      </c>
      <c r="C13" s="163"/>
      <c r="D13" s="163">
        <v>11277390.468699999</v>
      </c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5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</row>
    <row r="14" spans="1:99" ht="17.25" customHeight="1">
      <c r="A14" s="328" t="s">
        <v>1061</v>
      </c>
      <c r="B14" s="329" t="s">
        <v>933</v>
      </c>
      <c r="C14" s="163"/>
      <c r="D14" s="163">
        <v>160640</v>
      </c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54"/>
    </row>
    <row r="15" spans="1:99" ht="18.75" customHeight="1">
      <c r="A15" s="328" t="s">
        <v>1062</v>
      </c>
      <c r="B15" s="329" t="s">
        <v>922</v>
      </c>
      <c r="C15" s="163"/>
      <c r="D15" s="163">
        <v>6240</v>
      </c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54"/>
    </row>
    <row r="16" spans="1:99" s="162" customFormat="1" ht="39.950000000000003" customHeight="1">
      <c r="A16" s="331" t="s">
        <v>74</v>
      </c>
      <c r="B16" s="332" t="s">
        <v>75</v>
      </c>
      <c r="C16" s="160"/>
      <c r="D16" s="167">
        <v>106229267.15745001</v>
      </c>
      <c r="E16" s="167">
        <v>257361458.271</v>
      </c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54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</row>
    <row r="17" spans="1:99" s="165" customFormat="1" ht="39.950000000000003" customHeight="1">
      <c r="A17" s="328" t="s">
        <v>76</v>
      </c>
      <c r="B17" s="329" t="s">
        <v>77</v>
      </c>
      <c r="C17" s="163"/>
      <c r="D17" s="163">
        <v>60963861.890000001</v>
      </c>
      <c r="E17" s="163">
        <v>243367772.59999999</v>
      </c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5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</row>
    <row r="18" spans="1:99" s="165" customFormat="1" ht="39.950000000000003" customHeight="1">
      <c r="A18" s="328" t="s">
        <v>80</v>
      </c>
      <c r="B18" s="330" t="s">
        <v>79</v>
      </c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5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</row>
    <row r="19" spans="1:99" s="165" customFormat="1" ht="39.950000000000003" customHeight="1">
      <c r="A19" s="328" t="s">
        <v>82</v>
      </c>
      <c r="B19" s="330" t="s">
        <v>81</v>
      </c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5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</row>
    <row r="20" spans="1:99" s="165" customFormat="1" ht="39.950000000000003" customHeight="1">
      <c r="A20" s="328" t="s">
        <v>84</v>
      </c>
      <c r="B20" s="330" t="s">
        <v>83</v>
      </c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5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</row>
    <row r="21" spans="1:99" s="165" customFormat="1" ht="39.950000000000003" customHeight="1">
      <c r="A21" s="328" t="s">
        <v>86</v>
      </c>
      <c r="B21" s="330" t="s">
        <v>85</v>
      </c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5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</row>
    <row r="22" spans="1:99" s="165" customFormat="1" ht="39.950000000000003" customHeight="1">
      <c r="A22" s="328" t="s">
        <v>88</v>
      </c>
      <c r="B22" s="329" t="s">
        <v>87</v>
      </c>
      <c r="C22" s="163"/>
      <c r="D22" s="163">
        <v>41358978.55545</v>
      </c>
      <c r="E22" s="163">
        <v>12787057.039999999</v>
      </c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5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</row>
    <row r="23" spans="1:99" s="165" customFormat="1" ht="39.950000000000003" customHeight="1">
      <c r="A23" s="328" t="s">
        <v>1063</v>
      </c>
      <c r="B23" s="330" t="s">
        <v>89</v>
      </c>
      <c r="C23" s="163"/>
      <c r="D23" s="163">
        <v>3906426.7119999998</v>
      </c>
      <c r="E23" s="163">
        <v>1206628.6310000001</v>
      </c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5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</row>
    <row r="24" spans="1:99" s="162" customFormat="1" ht="39.950000000000003" customHeight="1">
      <c r="A24" s="326" t="s">
        <v>1064</v>
      </c>
      <c r="B24" s="333" t="s">
        <v>1065</v>
      </c>
      <c r="C24" s="160"/>
      <c r="D24" s="160"/>
      <c r="E24" s="160">
        <v>5252.1252000000004</v>
      </c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54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</row>
    <row r="25" spans="1:99" s="165" customFormat="1" ht="39.950000000000003" customHeight="1">
      <c r="A25" s="334" t="s">
        <v>1066</v>
      </c>
      <c r="B25" s="335" t="s">
        <v>871</v>
      </c>
      <c r="C25" s="163"/>
      <c r="D25" s="163"/>
      <c r="E25" s="163">
        <v>5252.1252000000004</v>
      </c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3"/>
      <c r="Q25" s="163"/>
      <c r="R25" s="15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164"/>
      <c r="CT25" s="164"/>
      <c r="CU25" s="164"/>
    </row>
    <row r="26" spans="1:99" s="159" customFormat="1" ht="39.950000000000003" customHeight="1">
      <c r="A26" s="324" t="s">
        <v>92</v>
      </c>
      <c r="B26" s="336" t="s">
        <v>1067</v>
      </c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4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  <c r="CJ26" s="158"/>
      <c r="CK26" s="158"/>
      <c r="CL26" s="158"/>
      <c r="CM26" s="158"/>
      <c r="CN26" s="158"/>
      <c r="CO26" s="158"/>
      <c r="CP26" s="158"/>
      <c r="CQ26" s="158"/>
      <c r="CR26" s="158"/>
      <c r="CS26" s="158"/>
      <c r="CT26" s="158"/>
      <c r="CU26" s="158"/>
    </row>
    <row r="27" spans="1:99" s="162" customFormat="1" ht="39.950000000000003" customHeight="1">
      <c r="A27" s="337" t="s">
        <v>1068</v>
      </c>
      <c r="B27" s="338" t="s">
        <v>1069</v>
      </c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54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</row>
    <row r="28" spans="1:99" s="156" customFormat="1" ht="39.950000000000003" customHeight="1">
      <c r="A28" s="323" t="s">
        <v>95</v>
      </c>
      <c r="B28" s="323" t="s">
        <v>96</v>
      </c>
      <c r="C28" s="152"/>
      <c r="D28" s="152"/>
      <c r="E28" s="152"/>
      <c r="F28" s="152"/>
      <c r="G28" s="152">
        <v>3434432.2</v>
      </c>
      <c r="H28" s="152">
        <v>177985.1</v>
      </c>
      <c r="I28" s="152"/>
      <c r="J28" s="152">
        <v>9001196</v>
      </c>
      <c r="K28" s="152">
        <v>23797664.699999999</v>
      </c>
      <c r="L28" s="152">
        <v>269793716</v>
      </c>
      <c r="M28" s="152"/>
      <c r="N28" s="152"/>
      <c r="O28" s="152">
        <v>4178753.2</v>
      </c>
      <c r="P28" s="152">
        <v>3262838.7</v>
      </c>
      <c r="Q28" s="152"/>
      <c r="R28" s="154">
        <f>SUM(C28:Q28)</f>
        <v>313646585.89999998</v>
      </c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  <c r="CF28" s="155"/>
      <c r="CG28" s="155"/>
      <c r="CH28" s="155"/>
      <c r="CI28" s="155"/>
      <c r="CJ28" s="155"/>
      <c r="CK28" s="155"/>
      <c r="CL28" s="155"/>
      <c r="CM28" s="155"/>
      <c r="CN28" s="155"/>
      <c r="CO28" s="155"/>
      <c r="CP28" s="155"/>
      <c r="CQ28" s="155"/>
      <c r="CR28" s="155"/>
      <c r="CS28" s="155"/>
      <c r="CT28" s="155"/>
      <c r="CU28" s="155"/>
    </row>
    <row r="29" spans="1:99" s="159" customFormat="1" ht="39.950000000000003" customHeight="1">
      <c r="A29" s="324" t="s">
        <v>99</v>
      </c>
      <c r="B29" s="325" t="s">
        <v>100</v>
      </c>
      <c r="C29" s="157"/>
      <c r="D29" s="157"/>
      <c r="E29" s="157"/>
      <c r="F29" s="157"/>
      <c r="G29" s="157"/>
      <c r="H29" s="157"/>
      <c r="I29" s="157"/>
      <c r="J29" s="157">
        <v>9001196</v>
      </c>
      <c r="K29" s="157"/>
      <c r="L29" s="157"/>
      <c r="M29" s="157"/>
      <c r="N29" s="157"/>
      <c r="O29" s="157"/>
      <c r="P29" s="157"/>
      <c r="Q29" s="157"/>
      <c r="R29" s="154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  <c r="CJ29" s="158"/>
      <c r="CK29" s="158"/>
      <c r="CL29" s="158"/>
      <c r="CM29" s="158"/>
      <c r="CN29" s="158"/>
      <c r="CO29" s="158"/>
      <c r="CP29" s="158"/>
      <c r="CQ29" s="158"/>
      <c r="CR29" s="158"/>
      <c r="CS29" s="158"/>
      <c r="CT29" s="158"/>
      <c r="CU29" s="158"/>
    </row>
    <row r="30" spans="1:99" s="162" customFormat="1" ht="39.950000000000003" customHeight="1">
      <c r="A30" s="339" t="s">
        <v>102</v>
      </c>
      <c r="B30" s="340" t="s">
        <v>101</v>
      </c>
      <c r="C30" s="160"/>
      <c r="D30" s="160"/>
      <c r="E30" s="160"/>
      <c r="F30" s="160"/>
      <c r="G30" s="160"/>
      <c r="H30" s="160"/>
      <c r="I30" s="160"/>
      <c r="J30" s="160">
        <v>9001196</v>
      </c>
      <c r="K30" s="160"/>
      <c r="M30" s="160"/>
      <c r="N30" s="160"/>
      <c r="O30" s="160"/>
      <c r="P30" s="160"/>
      <c r="Q30" s="160"/>
      <c r="R30" s="154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</row>
    <row r="31" spans="1:99" s="162" customFormat="1" ht="39.950000000000003" customHeight="1">
      <c r="A31" s="339" t="s">
        <v>104</v>
      </c>
      <c r="B31" s="340" t="s">
        <v>103</v>
      </c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54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</row>
    <row r="32" spans="1:99" s="159" customFormat="1" ht="39.950000000000003" customHeight="1">
      <c r="A32" s="324" t="s">
        <v>115</v>
      </c>
      <c r="B32" s="325" t="s">
        <v>116</v>
      </c>
      <c r="C32" s="157"/>
      <c r="D32" s="157"/>
      <c r="E32" s="157"/>
      <c r="F32" s="157"/>
      <c r="G32" s="157"/>
      <c r="H32" s="157"/>
      <c r="I32" s="157"/>
      <c r="J32" s="157"/>
      <c r="K32" s="157"/>
      <c r="L32" s="157">
        <v>269793716</v>
      </c>
      <c r="M32" s="157"/>
      <c r="N32" s="157"/>
      <c r="O32" s="157"/>
      <c r="P32" s="157"/>
      <c r="Q32" s="157"/>
      <c r="R32" s="154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  <c r="CJ32" s="158"/>
      <c r="CK32" s="158"/>
      <c r="CL32" s="158"/>
      <c r="CM32" s="158"/>
      <c r="CN32" s="158"/>
      <c r="CO32" s="158"/>
      <c r="CP32" s="158"/>
      <c r="CQ32" s="158"/>
      <c r="CR32" s="158"/>
      <c r="CS32" s="158"/>
      <c r="CT32" s="158"/>
      <c r="CU32" s="158"/>
    </row>
    <row r="33" spans="1:99" s="159" customFormat="1" ht="39.950000000000003" customHeight="1">
      <c r="A33" s="324" t="s">
        <v>105</v>
      </c>
      <c r="B33" s="325" t="s">
        <v>32</v>
      </c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4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8"/>
      <c r="CT33" s="158"/>
      <c r="CU33" s="158"/>
    </row>
    <row r="34" spans="1:99" s="159" customFormat="1" ht="39.950000000000003" customHeight="1">
      <c r="A34" s="324" t="s">
        <v>108</v>
      </c>
      <c r="B34" s="325" t="s">
        <v>109</v>
      </c>
      <c r="C34" s="157"/>
      <c r="D34" s="157"/>
      <c r="E34" s="157"/>
      <c r="F34" s="157"/>
      <c r="G34" s="157">
        <v>3434432.2</v>
      </c>
      <c r="H34" s="157">
        <v>177985.1</v>
      </c>
      <c r="I34" s="157"/>
      <c r="J34" s="157"/>
      <c r="K34" s="157">
        <v>23797664.699999999</v>
      </c>
      <c r="L34" s="157"/>
      <c r="M34" s="157"/>
      <c r="N34" s="157"/>
      <c r="O34" s="157">
        <v>4178753.2</v>
      </c>
      <c r="P34" s="157">
        <v>3262838.7</v>
      </c>
      <c r="Q34" s="157"/>
      <c r="R34" s="154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</row>
    <row r="35" spans="1:99" s="162" customFormat="1" ht="39.950000000000003" customHeight="1">
      <c r="A35" s="339" t="s">
        <v>132</v>
      </c>
      <c r="B35" s="341" t="s">
        <v>133</v>
      </c>
      <c r="C35" s="160"/>
      <c r="D35" s="160"/>
      <c r="E35" s="160"/>
      <c r="F35" s="160"/>
      <c r="G35" s="160">
        <v>3434432.2</v>
      </c>
      <c r="H35" s="160">
        <v>177985.1</v>
      </c>
      <c r="I35" s="160"/>
      <c r="J35" s="160"/>
      <c r="K35" s="160">
        <v>23797664.699999999</v>
      </c>
      <c r="L35" s="160"/>
      <c r="M35" s="160"/>
      <c r="N35" s="160"/>
      <c r="O35" s="160">
        <v>4178753.2</v>
      </c>
      <c r="P35" s="160">
        <v>3262838.7</v>
      </c>
      <c r="Q35" s="168"/>
      <c r="R35" s="169"/>
      <c r="S35" s="170"/>
      <c r="T35" s="17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</row>
    <row r="36" spans="1:99" s="156" customFormat="1" ht="39.950000000000003" customHeight="1">
      <c r="A36" s="342" t="s">
        <v>1070</v>
      </c>
      <c r="B36" s="323" t="s">
        <v>39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>
        <v>191579</v>
      </c>
      <c r="R36" s="154">
        <f>SUM(C36:Q36)</f>
        <v>191579</v>
      </c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5"/>
      <c r="BW36" s="155"/>
      <c r="BX36" s="155"/>
      <c r="BY36" s="155"/>
      <c r="BZ36" s="155"/>
      <c r="CA36" s="155"/>
      <c r="CB36" s="155"/>
      <c r="CC36" s="155"/>
      <c r="CD36" s="155"/>
      <c r="CE36" s="155"/>
      <c r="CF36" s="155"/>
      <c r="CG36" s="155"/>
      <c r="CH36" s="155"/>
      <c r="CI36" s="155"/>
      <c r="CJ36" s="155"/>
      <c r="CK36" s="155"/>
      <c r="CL36" s="155"/>
      <c r="CM36" s="155"/>
      <c r="CN36" s="155"/>
      <c r="CO36" s="155"/>
      <c r="CP36" s="155"/>
      <c r="CQ36" s="155"/>
      <c r="CR36" s="155"/>
      <c r="CS36" s="155"/>
      <c r="CT36" s="155"/>
      <c r="CU36" s="155"/>
    </row>
    <row r="37" spans="1:99" s="346" customFormat="1" ht="33" customHeight="1">
      <c r="A37" s="1872" t="s">
        <v>816</v>
      </c>
      <c r="B37" s="1873"/>
      <c r="C37" s="343"/>
      <c r="D37" s="343">
        <v>396056204.61675006</v>
      </c>
      <c r="E37" s="343">
        <v>257366710.3962</v>
      </c>
      <c r="F37" s="343"/>
      <c r="G37" s="343">
        <v>3434432.2</v>
      </c>
      <c r="H37" s="154">
        <v>177985.1</v>
      </c>
      <c r="I37" s="154"/>
      <c r="J37" s="154">
        <f>J28</f>
        <v>9001196</v>
      </c>
      <c r="K37" s="154">
        <f>K28</f>
        <v>23797664.699999999</v>
      </c>
      <c r="L37" s="154">
        <f>L28</f>
        <v>269793716</v>
      </c>
      <c r="M37" s="154"/>
      <c r="N37" s="154"/>
      <c r="O37" s="154">
        <v>4178753.2</v>
      </c>
      <c r="P37" s="154">
        <v>3262838.7</v>
      </c>
      <c r="Q37" s="154">
        <v>1326026.8</v>
      </c>
      <c r="R37" s="344">
        <f>SUM(C37:Q37)</f>
        <v>968395527.71295023</v>
      </c>
      <c r="S37" s="345"/>
      <c r="T37" s="345"/>
      <c r="U37" s="345"/>
      <c r="V37" s="345"/>
      <c r="W37" s="345"/>
      <c r="X37" s="345"/>
      <c r="Y37" s="345"/>
      <c r="Z37" s="345"/>
      <c r="AA37" s="345"/>
      <c r="AB37" s="345"/>
      <c r="AC37" s="345"/>
      <c r="AD37" s="345"/>
      <c r="AE37" s="345"/>
      <c r="AF37" s="345"/>
      <c r="AG37" s="345"/>
      <c r="AH37" s="345"/>
      <c r="AI37" s="345"/>
      <c r="AJ37" s="345"/>
      <c r="AK37" s="345"/>
      <c r="AL37" s="345"/>
      <c r="AM37" s="345"/>
      <c r="AN37" s="345"/>
      <c r="AO37" s="345"/>
      <c r="AP37" s="345"/>
      <c r="AQ37" s="345"/>
      <c r="AR37" s="345"/>
      <c r="AS37" s="345"/>
      <c r="AT37" s="345"/>
      <c r="AU37" s="345"/>
      <c r="AV37" s="345"/>
      <c r="AW37" s="345"/>
      <c r="AX37" s="345"/>
      <c r="AY37" s="345"/>
      <c r="AZ37" s="345"/>
      <c r="BA37" s="345"/>
      <c r="BB37" s="345"/>
      <c r="BC37" s="345"/>
      <c r="BD37" s="345"/>
      <c r="BE37" s="345"/>
      <c r="BF37" s="345"/>
      <c r="BG37" s="345"/>
      <c r="BH37" s="345"/>
      <c r="BI37" s="345"/>
      <c r="BJ37" s="345"/>
      <c r="BK37" s="345"/>
      <c r="BL37" s="345"/>
      <c r="BM37" s="345"/>
      <c r="BN37" s="345"/>
      <c r="BO37" s="345"/>
      <c r="BP37" s="345"/>
      <c r="BQ37" s="345"/>
      <c r="BR37" s="345"/>
      <c r="BS37" s="345"/>
      <c r="BT37" s="345"/>
      <c r="BU37" s="345"/>
      <c r="BV37" s="345"/>
      <c r="BW37" s="345"/>
      <c r="BX37" s="345"/>
      <c r="BY37" s="345"/>
      <c r="BZ37" s="345"/>
      <c r="CA37" s="345"/>
      <c r="CB37" s="345"/>
      <c r="CC37" s="345"/>
      <c r="CD37" s="345"/>
      <c r="CE37" s="345"/>
      <c r="CF37" s="345"/>
      <c r="CG37" s="345"/>
      <c r="CH37" s="345"/>
      <c r="CI37" s="345"/>
      <c r="CJ37" s="345"/>
      <c r="CK37" s="345"/>
      <c r="CL37" s="345"/>
      <c r="CM37" s="345"/>
      <c r="CN37" s="345"/>
      <c r="CO37" s="345"/>
      <c r="CP37" s="345"/>
      <c r="CQ37" s="345"/>
      <c r="CR37" s="345"/>
      <c r="CS37" s="345"/>
      <c r="CT37" s="345"/>
      <c r="CU37" s="345"/>
    </row>
    <row r="38" spans="1:99" ht="12.75" customHeight="1">
      <c r="A38" s="172"/>
      <c r="B38" s="347"/>
      <c r="C38" s="173"/>
      <c r="D38" s="174"/>
      <c r="E38" s="348"/>
      <c r="F38" s="349"/>
      <c r="G38" s="350"/>
      <c r="H38" s="161"/>
      <c r="I38" s="161"/>
      <c r="J38" s="161"/>
      <c r="K38" s="158"/>
      <c r="L38" s="158"/>
      <c r="M38" s="158"/>
      <c r="N38" s="158"/>
      <c r="O38" s="161"/>
      <c r="P38" s="161"/>
      <c r="Q38" s="155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</row>
    <row r="39" spans="1:99" ht="12.75" customHeight="1">
      <c r="A39" s="172"/>
      <c r="B39" s="347"/>
      <c r="C39" s="173"/>
      <c r="D39" s="174"/>
      <c r="E39" s="348"/>
      <c r="F39" s="349"/>
      <c r="G39" s="350"/>
      <c r="H39" s="161"/>
      <c r="I39" s="161"/>
      <c r="J39" s="161"/>
      <c r="K39" s="158"/>
      <c r="L39" s="158"/>
      <c r="M39" s="158"/>
      <c r="N39" s="158"/>
      <c r="O39" s="161"/>
      <c r="P39" s="161"/>
      <c r="Q39" s="155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</row>
    <row r="40" spans="1:99">
      <c r="A40" s="172"/>
      <c r="B40" s="172"/>
      <c r="C40" s="173"/>
      <c r="D40" s="174"/>
      <c r="E40" s="348"/>
      <c r="F40" s="349"/>
      <c r="G40" s="350"/>
      <c r="H40" s="161"/>
      <c r="I40" s="161"/>
      <c r="J40" s="161"/>
      <c r="K40" s="158"/>
      <c r="L40" s="158"/>
      <c r="M40" s="158"/>
      <c r="N40" s="158"/>
      <c r="O40" s="161"/>
      <c r="P40" s="161"/>
      <c r="Q40" s="155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</row>
    <row r="41" spans="1:99">
      <c r="A41" s="172"/>
      <c r="B41" s="172"/>
      <c r="C41" s="173"/>
      <c r="D41" s="174"/>
      <c r="E41" s="175"/>
      <c r="F41" s="173"/>
      <c r="G41" s="176"/>
    </row>
    <row r="42" spans="1:99">
      <c r="A42" s="172"/>
      <c r="B42" s="172"/>
      <c r="C42" s="173"/>
      <c r="D42" s="174"/>
      <c r="E42" s="175"/>
      <c r="F42" s="173"/>
      <c r="G42" s="176"/>
    </row>
    <row r="43" spans="1:99">
      <c r="A43" s="172"/>
      <c r="B43" s="172"/>
      <c r="C43" s="173"/>
      <c r="D43" s="174"/>
      <c r="E43" s="175"/>
      <c r="F43" s="173"/>
      <c r="G43" s="176"/>
    </row>
    <row r="44" spans="1:99">
      <c r="A44" s="172"/>
      <c r="B44" s="172"/>
      <c r="C44" s="173"/>
      <c r="D44" s="174"/>
      <c r="E44" s="175"/>
      <c r="F44" s="173"/>
      <c r="G44" s="176"/>
    </row>
    <row r="45" spans="1:99">
      <c r="A45" s="172"/>
      <c r="B45" s="172"/>
      <c r="C45" s="173"/>
      <c r="D45" s="174"/>
      <c r="E45" s="175"/>
      <c r="F45" s="173"/>
      <c r="G45" s="176"/>
    </row>
    <row r="46" spans="1:99">
      <c r="A46" s="172"/>
      <c r="B46" s="172"/>
      <c r="C46" s="173"/>
      <c r="D46" s="174"/>
      <c r="E46" s="175"/>
      <c r="F46" s="173"/>
      <c r="G46" s="176"/>
    </row>
    <row r="47" spans="1:99">
      <c r="A47" s="172"/>
      <c r="B47" s="172"/>
      <c r="C47" s="173"/>
      <c r="D47" s="174"/>
      <c r="E47" s="175"/>
      <c r="F47" s="173"/>
      <c r="G47" s="176"/>
    </row>
    <row r="48" spans="1:99">
      <c r="A48" s="172"/>
      <c r="B48" s="172"/>
      <c r="C48" s="173"/>
      <c r="D48" s="174"/>
      <c r="E48" s="175"/>
      <c r="F48" s="173"/>
      <c r="G48" s="176"/>
    </row>
    <row r="49" spans="1:7">
      <c r="A49" s="172"/>
      <c r="B49" s="172"/>
      <c r="C49" s="173"/>
      <c r="D49" s="174"/>
      <c r="E49" s="175"/>
      <c r="F49" s="173"/>
      <c r="G49" s="176"/>
    </row>
    <row r="50" spans="1:7">
      <c r="A50" s="172"/>
      <c r="B50" s="172"/>
      <c r="C50" s="173"/>
      <c r="D50" s="174"/>
      <c r="E50" s="175"/>
      <c r="F50" s="173"/>
      <c r="G50" s="176"/>
    </row>
    <row r="51" spans="1:7">
      <c r="A51" s="172"/>
      <c r="B51" s="172"/>
      <c r="C51" s="173"/>
      <c r="D51" s="174"/>
      <c r="E51" s="175"/>
      <c r="F51" s="173"/>
      <c r="G51" s="176"/>
    </row>
    <row r="52" spans="1:7">
      <c r="A52" s="172"/>
      <c r="B52" s="172"/>
      <c r="C52" s="173"/>
      <c r="D52" s="174"/>
      <c r="E52" s="175"/>
      <c r="F52" s="173"/>
      <c r="G52" s="176"/>
    </row>
    <row r="53" spans="1:7">
      <c r="A53" s="172"/>
      <c r="B53" s="172"/>
      <c r="C53" s="173"/>
      <c r="D53" s="174"/>
      <c r="E53" s="175"/>
      <c r="F53" s="173"/>
      <c r="G53" s="176"/>
    </row>
    <row r="54" spans="1:7">
      <c r="A54" s="172"/>
      <c r="B54" s="172"/>
      <c r="C54" s="173"/>
      <c r="D54" s="174"/>
      <c r="E54" s="175"/>
      <c r="F54" s="173"/>
      <c r="G54" s="176"/>
    </row>
    <row r="55" spans="1:7">
      <c r="A55" s="172"/>
      <c r="B55" s="172"/>
      <c r="C55" s="173"/>
      <c r="D55" s="174"/>
      <c r="E55" s="175"/>
      <c r="F55" s="173"/>
      <c r="G55" s="176"/>
    </row>
    <row r="56" spans="1:7">
      <c r="A56" s="172"/>
      <c r="B56" s="172"/>
      <c r="C56" s="173"/>
      <c r="D56" s="174"/>
      <c r="E56" s="175"/>
      <c r="F56" s="173"/>
      <c r="G56" s="176"/>
    </row>
    <row r="57" spans="1:7">
      <c r="A57" s="172"/>
      <c r="B57" s="172"/>
      <c r="C57" s="173"/>
      <c r="D57" s="174"/>
      <c r="E57" s="175"/>
      <c r="F57" s="173"/>
      <c r="G57" s="176"/>
    </row>
    <row r="58" spans="1:7">
      <c r="A58" s="172"/>
      <c r="B58" s="172"/>
      <c r="C58" s="173"/>
      <c r="D58" s="174"/>
      <c r="E58" s="175"/>
      <c r="F58" s="173"/>
      <c r="G58" s="176"/>
    </row>
    <row r="59" spans="1:7">
      <c r="A59" s="172"/>
      <c r="B59" s="172"/>
      <c r="C59" s="173"/>
      <c r="D59" s="174"/>
      <c r="E59" s="175"/>
      <c r="F59" s="173"/>
      <c r="G59" s="176"/>
    </row>
    <row r="60" spans="1:7">
      <c r="A60" s="172"/>
      <c r="B60" s="172"/>
      <c r="C60" s="173"/>
      <c r="D60" s="174"/>
      <c r="E60" s="175"/>
      <c r="F60" s="173"/>
      <c r="G60" s="176"/>
    </row>
    <row r="61" spans="1:7">
      <c r="A61" s="172"/>
      <c r="B61" s="172"/>
      <c r="C61" s="173"/>
      <c r="D61" s="174"/>
      <c r="E61" s="175"/>
      <c r="F61" s="173"/>
      <c r="G61" s="176"/>
    </row>
    <row r="62" spans="1:7">
      <c r="A62" s="172"/>
      <c r="B62" s="172"/>
      <c r="C62" s="173"/>
      <c r="D62" s="174"/>
      <c r="E62" s="175"/>
      <c r="F62" s="173"/>
      <c r="G62" s="176"/>
    </row>
    <row r="63" spans="1:7">
      <c r="A63" s="172"/>
      <c r="B63" s="172"/>
      <c r="C63" s="173"/>
      <c r="D63" s="174"/>
      <c r="E63" s="175"/>
      <c r="F63" s="173"/>
      <c r="G63" s="176"/>
    </row>
    <row r="64" spans="1:7">
      <c r="A64" s="172"/>
      <c r="B64" s="172"/>
      <c r="C64" s="173"/>
      <c r="D64" s="174"/>
      <c r="E64" s="175"/>
      <c r="F64" s="173"/>
      <c r="G64" s="176"/>
    </row>
    <row r="65" spans="1:7">
      <c r="A65" s="172"/>
      <c r="B65" s="172"/>
      <c r="C65" s="173"/>
      <c r="D65" s="174"/>
      <c r="E65" s="175"/>
      <c r="F65" s="173"/>
      <c r="G65" s="176"/>
    </row>
    <row r="66" spans="1:7">
      <c r="A66" s="172"/>
      <c r="B66" s="172"/>
      <c r="C66" s="173"/>
      <c r="D66" s="174"/>
      <c r="E66" s="175"/>
      <c r="F66" s="173"/>
      <c r="G66" s="176"/>
    </row>
    <row r="67" spans="1:7">
      <c r="A67" s="172"/>
      <c r="B67" s="172"/>
      <c r="C67" s="173"/>
      <c r="D67" s="174"/>
      <c r="E67" s="175"/>
      <c r="F67" s="173"/>
      <c r="G67" s="176"/>
    </row>
    <row r="68" spans="1:7">
      <c r="A68" s="172"/>
      <c r="B68" s="172"/>
      <c r="C68" s="173"/>
      <c r="D68" s="174"/>
      <c r="E68" s="175"/>
      <c r="F68" s="173"/>
      <c r="G68" s="176"/>
    </row>
    <row r="69" spans="1:7">
      <c r="A69" s="172"/>
      <c r="B69" s="172"/>
      <c r="C69" s="173"/>
      <c r="D69" s="174"/>
      <c r="E69" s="175"/>
      <c r="F69" s="173"/>
      <c r="G69" s="176"/>
    </row>
    <row r="70" spans="1:7">
      <c r="A70" s="172"/>
      <c r="B70" s="172"/>
      <c r="C70" s="173"/>
      <c r="D70" s="174"/>
      <c r="E70" s="175"/>
      <c r="F70" s="173"/>
      <c r="G70" s="176"/>
    </row>
    <row r="71" spans="1:7">
      <c r="A71" s="172"/>
      <c r="B71" s="172"/>
      <c r="C71" s="173"/>
      <c r="D71" s="174"/>
      <c r="E71" s="175"/>
      <c r="F71" s="173"/>
      <c r="G71" s="176"/>
    </row>
    <row r="72" spans="1:7">
      <c r="A72" s="172"/>
      <c r="B72" s="172"/>
      <c r="C72" s="173"/>
      <c r="D72" s="174"/>
      <c r="E72" s="175"/>
      <c r="F72" s="173"/>
      <c r="G72" s="176"/>
    </row>
    <row r="73" spans="1:7">
      <c r="A73" s="172"/>
      <c r="B73" s="172"/>
      <c r="C73" s="173"/>
      <c r="D73" s="174"/>
      <c r="E73" s="175"/>
      <c r="F73" s="173"/>
      <c r="G73" s="176"/>
    </row>
    <row r="74" spans="1:7">
      <c r="A74" s="172"/>
      <c r="B74" s="172"/>
      <c r="C74" s="173"/>
      <c r="D74" s="174"/>
      <c r="E74" s="175"/>
      <c r="F74" s="173"/>
      <c r="G74" s="176"/>
    </row>
    <row r="75" spans="1:7">
      <c r="A75" s="172"/>
      <c r="B75" s="172"/>
      <c r="C75" s="173"/>
      <c r="D75" s="174"/>
      <c r="E75" s="175"/>
      <c r="F75" s="173"/>
      <c r="G75" s="176"/>
    </row>
    <row r="76" spans="1:7">
      <c r="A76" s="172"/>
      <c r="B76" s="172"/>
      <c r="C76" s="173"/>
      <c r="D76" s="174"/>
      <c r="E76" s="175"/>
      <c r="F76" s="173"/>
      <c r="G76" s="176"/>
    </row>
    <row r="77" spans="1:7">
      <c r="A77" s="172"/>
      <c r="B77" s="172"/>
      <c r="C77" s="173"/>
      <c r="D77" s="174"/>
      <c r="E77" s="175"/>
      <c r="F77" s="173"/>
      <c r="G77" s="176"/>
    </row>
    <row r="78" spans="1:7">
      <c r="A78" s="172"/>
      <c r="B78" s="172"/>
      <c r="C78" s="173"/>
      <c r="D78" s="174"/>
      <c r="E78" s="175"/>
      <c r="F78" s="173"/>
      <c r="G78" s="176"/>
    </row>
    <row r="79" spans="1:7">
      <c r="A79" s="172"/>
      <c r="B79" s="172"/>
      <c r="C79" s="173"/>
      <c r="D79" s="174"/>
      <c r="E79" s="175"/>
      <c r="F79" s="173"/>
      <c r="G79" s="176"/>
    </row>
    <row r="80" spans="1:7">
      <c r="A80" s="172"/>
      <c r="B80" s="172"/>
      <c r="C80" s="173"/>
      <c r="D80" s="174"/>
      <c r="E80" s="175"/>
      <c r="F80" s="173"/>
      <c r="G80" s="176"/>
    </row>
    <row r="81" spans="1:7">
      <c r="A81" s="172"/>
      <c r="B81" s="172"/>
      <c r="C81" s="173"/>
      <c r="D81" s="174"/>
      <c r="E81" s="175"/>
      <c r="F81" s="173"/>
      <c r="G81" s="176"/>
    </row>
    <row r="82" spans="1:7">
      <c r="A82" s="172"/>
      <c r="B82" s="172"/>
      <c r="C82" s="173"/>
      <c r="D82" s="174"/>
      <c r="E82" s="175"/>
      <c r="F82" s="173"/>
      <c r="G82" s="176"/>
    </row>
    <row r="83" spans="1:7">
      <c r="A83" s="172"/>
      <c r="B83" s="172"/>
      <c r="C83" s="173"/>
      <c r="D83" s="174"/>
      <c r="E83" s="175"/>
      <c r="F83" s="173"/>
      <c r="G83" s="176"/>
    </row>
    <row r="84" spans="1:7">
      <c r="A84" s="172"/>
      <c r="B84" s="172"/>
      <c r="C84" s="173"/>
      <c r="D84" s="174"/>
      <c r="E84" s="175"/>
      <c r="F84" s="173"/>
      <c r="G84" s="176"/>
    </row>
    <row r="85" spans="1:7">
      <c r="A85" s="172"/>
      <c r="B85" s="172"/>
      <c r="C85" s="173"/>
      <c r="D85" s="174"/>
      <c r="E85" s="175"/>
      <c r="F85" s="173"/>
      <c r="G85" s="176"/>
    </row>
    <row r="86" spans="1:7">
      <c r="A86" s="172"/>
      <c r="B86" s="172"/>
      <c r="C86" s="173"/>
      <c r="D86" s="174"/>
      <c r="E86" s="175"/>
      <c r="F86" s="173"/>
      <c r="G86" s="176"/>
    </row>
    <row r="87" spans="1:7">
      <c r="A87" s="172"/>
      <c r="B87" s="172"/>
      <c r="C87" s="173"/>
      <c r="D87" s="174"/>
      <c r="E87" s="175"/>
      <c r="F87" s="173"/>
      <c r="G87" s="176"/>
    </row>
    <row r="88" spans="1:7">
      <c r="A88" s="172"/>
      <c r="B88" s="172"/>
      <c r="C88" s="173"/>
      <c r="D88" s="174"/>
      <c r="E88" s="175"/>
      <c r="F88" s="173"/>
      <c r="G88" s="176"/>
    </row>
    <row r="89" spans="1:7">
      <c r="A89" s="172"/>
      <c r="B89" s="172"/>
      <c r="C89" s="173"/>
      <c r="D89" s="174"/>
      <c r="E89" s="175"/>
      <c r="F89" s="173"/>
      <c r="G89" s="176"/>
    </row>
    <row r="90" spans="1:7">
      <c r="A90" s="172"/>
      <c r="B90" s="172"/>
      <c r="C90" s="173"/>
      <c r="D90" s="174"/>
      <c r="E90" s="175"/>
      <c r="F90" s="173"/>
      <c r="G90" s="176"/>
    </row>
    <row r="91" spans="1:7">
      <c r="A91" s="172"/>
      <c r="B91" s="172"/>
      <c r="C91" s="173"/>
      <c r="D91" s="174"/>
      <c r="E91" s="175"/>
      <c r="F91" s="173"/>
      <c r="G91" s="176"/>
    </row>
    <row r="92" spans="1:7">
      <c r="A92" s="172"/>
      <c r="B92" s="172"/>
      <c r="C92" s="173"/>
      <c r="D92" s="174"/>
      <c r="E92" s="175"/>
      <c r="F92" s="173"/>
      <c r="G92" s="176"/>
    </row>
    <row r="93" spans="1:7">
      <c r="A93" s="172"/>
      <c r="B93" s="172"/>
      <c r="C93" s="173"/>
      <c r="D93" s="174"/>
      <c r="E93" s="175"/>
      <c r="F93" s="173"/>
      <c r="G93" s="176"/>
    </row>
    <row r="94" spans="1:7">
      <c r="A94" s="172"/>
      <c r="B94" s="172"/>
      <c r="C94" s="173"/>
      <c r="D94" s="174"/>
      <c r="E94" s="175"/>
      <c r="F94" s="173"/>
      <c r="G94" s="176"/>
    </row>
    <row r="95" spans="1:7">
      <c r="A95" s="172"/>
      <c r="B95" s="172"/>
      <c r="C95" s="173"/>
      <c r="D95" s="174"/>
      <c r="E95" s="175"/>
      <c r="F95" s="173"/>
      <c r="G95" s="176"/>
    </row>
    <row r="96" spans="1:7">
      <c r="A96" s="172"/>
      <c r="B96" s="172"/>
      <c r="C96" s="173"/>
      <c r="D96" s="174"/>
      <c r="E96" s="175"/>
      <c r="F96" s="173"/>
      <c r="G96" s="176"/>
    </row>
    <row r="97" spans="1:7">
      <c r="A97" s="172"/>
      <c r="B97" s="172"/>
      <c r="C97" s="173"/>
      <c r="D97" s="174"/>
      <c r="E97" s="175"/>
      <c r="F97" s="173"/>
      <c r="G97" s="176"/>
    </row>
    <row r="98" spans="1:7">
      <c r="A98" s="172"/>
      <c r="B98" s="172"/>
      <c r="C98" s="173"/>
      <c r="D98" s="174"/>
      <c r="E98" s="175"/>
      <c r="F98" s="173"/>
      <c r="G98" s="176"/>
    </row>
    <row r="99" spans="1:7">
      <c r="A99" s="172"/>
      <c r="B99" s="172"/>
      <c r="C99" s="173"/>
      <c r="D99" s="174"/>
      <c r="E99" s="175"/>
      <c r="F99" s="173"/>
      <c r="G99" s="176"/>
    </row>
    <row r="100" spans="1:7">
      <c r="A100" s="172"/>
      <c r="B100" s="172"/>
      <c r="C100" s="173"/>
      <c r="D100" s="174"/>
      <c r="E100" s="175"/>
      <c r="F100" s="173"/>
      <c r="G100" s="176"/>
    </row>
    <row r="101" spans="1:7">
      <c r="A101" s="172"/>
      <c r="B101" s="172"/>
      <c r="C101" s="173"/>
      <c r="D101" s="174"/>
      <c r="E101" s="175"/>
      <c r="F101" s="173"/>
      <c r="G101" s="176"/>
    </row>
    <row r="102" spans="1:7">
      <c r="A102" s="172"/>
      <c r="B102" s="172"/>
      <c r="C102" s="173"/>
      <c r="D102" s="174"/>
      <c r="E102" s="175"/>
      <c r="F102" s="173"/>
      <c r="G102" s="176"/>
    </row>
    <row r="103" spans="1:7">
      <c r="A103" s="172"/>
      <c r="B103" s="172"/>
      <c r="C103" s="173"/>
      <c r="D103" s="174"/>
      <c r="E103" s="175"/>
      <c r="F103" s="173"/>
      <c r="G103" s="176"/>
    </row>
    <row r="104" spans="1:7">
      <c r="A104" s="172"/>
      <c r="B104" s="172"/>
      <c r="C104" s="173"/>
      <c r="D104" s="174"/>
      <c r="E104" s="175"/>
      <c r="F104" s="173"/>
      <c r="G104" s="176"/>
    </row>
  </sheetData>
  <mergeCells count="5">
    <mergeCell ref="A1:B3"/>
    <mergeCell ref="C1:H1"/>
    <mergeCell ref="J1:P1"/>
    <mergeCell ref="R1:R3"/>
    <mergeCell ref="A37:B37"/>
  </mergeCells>
  <pageMargins left="0.7" right="0.7" top="0.75" bottom="0.75" header="0.3" footer="0.3"/>
  <pageSetup paperSize="9" scale="29" orientation="portrait" horizontalDpi="300" verticalDpi="300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5"/>
  <sheetViews>
    <sheetView workbookViewId="0">
      <selection activeCell="E6" sqref="E6"/>
    </sheetView>
  </sheetViews>
  <sheetFormatPr defaultRowHeight="12.75"/>
  <cols>
    <col min="1" max="1" width="48.5703125" style="561" customWidth="1"/>
    <col min="2" max="2" width="17.42578125" style="561" customWidth="1"/>
    <col min="3" max="3" width="10.5703125" style="561" bestFit="1" customWidth="1"/>
    <col min="4" max="4" width="44" style="561" customWidth="1"/>
    <col min="5" max="5" width="15.5703125" style="561" customWidth="1"/>
    <col min="6" max="6" width="17.85546875" style="561" bestFit="1" customWidth="1"/>
    <col min="7" max="16384" width="9.140625" style="561"/>
  </cols>
  <sheetData>
    <row r="1" spans="1:6">
      <c r="A1" s="844" t="s">
        <v>2371</v>
      </c>
      <c r="B1" s="845"/>
      <c r="C1" s="845"/>
      <c r="D1" s="845"/>
    </row>
    <row r="2" spans="1:6">
      <c r="A2" s="845" t="s">
        <v>2356</v>
      </c>
      <c r="B2" s="845" t="s">
        <v>2357</v>
      </c>
      <c r="C2" s="845" t="s">
        <v>2358</v>
      </c>
      <c r="D2" s="845"/>
    </row>
    <row r="3" spans="1:6" ht="29.25" customHeight="1">
      <c r="A3" s="846" t="s">
        <v>2359</v>
      </c>
      <c r="B3" s="847">
        <v>29894306.399999999</v>
      </c>
      <c r="C3" s="845"/>
      <c r="D3" s="848" t="s">
        <v>2360</v>
      </c>
      <c r="E3" s="854"/>
      <c r="F3" s="849"/>
    </row>
    <row r="4" spans="1:6">
      <c r="A4" s="845" t="s">
        <v>2361</v>
      </c>
      <c r="B4" s="850">
        <f t="shared" ref="B4:B11" si="0">E4/1000</f>
        <v>764681.77244284516</v>
      </c>
      <c r="C4" s="856">
        <f>B4/B$3*100</f>
        <v>2.5579512105450464</v>
      </c>
      <c r="D4" s="845" t="s">
        <v>2362</v>
      </c>
      <c r="E4" s="852">
        <f>SUM('FS-HF2'!D43:E43)</f>
        <v>764681772.44284511</v>
      </c>
    </row>
    <row r="5" spans="1:6">
      <c r="A5" s="845" t="s">
        <v>2363</v>
      </c>
      <c r="B5" s="850">
        <f t="shared" si="0"/>
        <v>10216.772999999999</v>
      </c>
      <c r="C5" s="856">
        <f t="shared" ref="C5:C11" si="1">B5/B$3*100</f>
        <v>3.4176317266889321E-2</v>
      </c>
      <c r="D5" s="848" t="s">
        <v>2364</v>
      </c>
      <c r="E5" s="853">
        <f>'АФН страх'!T24</f>
        <v>10216773</v>
      </c>
    </row>
    <row r="6" spans="1:6">
      <c r="A6" s="845" t="s">
        <v>2365</v>
      </c>
      <c r="B6" s="850">
        <f t="shared" si="0"/>
        <v>351503.59814026911</v>
      </c>
      <c r="C6" s="856">
        <f t="shared" si="1"/>
        <v>1.175821219723195</v>
      </c>
      <c r="D6" s="848" t="s">
        <v>2360</v>
      </c>
      <c r="E6" s="853">
        <f>Домохоз!G3</f>
        <v>351503598.1402691</v>
      </c>
    </row>
    <row r="7" spans="1:6">
      <c r="A7" s="845" t="s">
        <v>2366</v>
      </c>
      <c r="B7" s="850" t="e">
        <f t="shared" si="0"/>
        <v>#REF!</v>
      </c>
      <c r="C7" s="856" t="e">
        <f t="shared" si="1"/>
        <v>#REF!</v>
      </c>
      <c r="D7" s="848"/>
      <c r="E7" s="852" t="e">
        <f>#REF!</f>
        <v>#REF!</v>
      </c>
    </row>
    <row r="8" spans="1:6">
      <c r="A8" s="845" t="s">
        <v>2367</v>
      </c>
      <c r="B8" s="850" t="e">
        <f t="shared" si="0"/>
        <v>#REF!</v>
      </c>
      <c r="C8" s="856" t="e">
        <f t="shared" si="1"/>
        <v>#REF!</v>
      </c>
      <c r="D8" s="848"/>
      <c r="E8" s="853" t="e">
        <f>'FS-HF2'!#REF!</f>
        <v>#REF!</v>
      </c>
    </row>
    <row r="9" spans="1:6">
      <c r="A9" s="845" t="s">
        <v>14</v>
      </c>
      <c r="B9" s="850" t="e">
        <f t="shared" si="0"/>
        <v>#REF!</v>
      </c>
      <c r="C9" s="856" t="e">
        <f t="shared" si="1"/>
        <v>#REF!</v>
      </c>
      <c r="D9" s="848"/>
      <c r="E9" s="853" t="e">
        <f>'FS-HF2'!#REF!</f>
        <v>#REF!</v>
      </c>
    </row>
    <row r="10" spans="1:6">
      <c r="A10" s="845" t="s">
        <v>40</v>
      </c>
      <c r="B10" s="850" t="e">
        <f t="shared" si="0"/>
        <v>#REF!</v>
      </c>
      <c r="C10" s="856" t="e">
        <f t="shared" si="1"/>
        <v>#REF!</v>
      </c>
      <c r="D10" s="848"/>
      <c r="E10" s="853" t="e">
        <f>'FS-HF2'!T38+'FS-HF2'!#REF!</f>
        <v>#REF!</v>
      </c>
    </row>
    <row r="11" spans="1:6">
      <c r="A11" s="845" t="s">
        <v>2370</v>
      </c>
      <c r="B11" s="855" t="e">
        <f t="shared" si="0"/>
        <v>#REF!</v>
      </c>
      <c r="C11" s="856" t="e">
        <f t="shared" si="1"/>
        <v>#REF!</v>
      </c>
      <c r="D11" s="845"/>
      <c r="E11" s="778" t="e">
        <f>'FS-HF2'!#REF!</f>
        <v>#REF!</v>
      </c>
    </row>
    <row r="12" spans="1:6">
      <c r="A12" s="845" t="s">
        <v>2368</v>
      </c>
      <c r="B12" s="731" t="e">
        <f>SUM(B4:B11)</f>
        <v>#REF!</v>
      </c>
      <c r="C12" s="851" t="e">
        <f>B12/B3*100</f>
        <v>#REF!</v>
      </c>
      <c r="D12" s="845"/>
    </row>
    <row r="15" spans="1:6">
      <c r="A15" s="561" t="s">
        <v>2369</v>
      </c>
    </row>
  </sheetData>
  <hyperlinks>
    <hyperlink ref="D3" r:id="rId1"/>
    <hyperlink ref="D5" r:id="rId2"/>
    <hyperlink ref="D6" r:id="rId3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E200"/>
  <sheetViews>
    <sheetView topLeftCell="C1" workbookViewId="0">
      <selection activeCell="C168" sqref="C168"/>
    </sheetView>
  </sheetViews>
  <sheetFormatPr defaultRowHeight="15"/>
  <cols>
    <col min="1" max="1" width="62.85546875" customWidth="1"/>
    <col min="2" max="2" width="39.85546875" customWidth="1"/>
    <col min="3" max="3" width="76.28515625" customWidth="1"/>
  </cols>
  <sheetData>
    <row r="1" spans="1:5">
      <c r="A1" t="s">
        <v>2391</v>
      </c>
      <c r="B1" t="s">
        <v>2392</v>
      </c>
      <c r="C1" t="s">
        <v>2393</v>
      </c>
      <c r="D1" t="s">
        <v>2394</v>
      </c>
      <c r="E1" t="s">
        <v>2395</v>
      </c>
    </row>
    <row r="2" spans="1:5">
      <c r="A2" t="s">
        <v>2396</v>
      </c>
      <c r="B2" t="s">
        <v>2052</v>
      </c>
      <c r="C2" t="s">
        <v>2397</v>
      </c>
      <c r="D2">
        <v>108197</v>
      </c>
    </row>
    <row r="3" spans="1:5">
      <c r="A3" t="s">
        <v>1152</v>
      </c>
      <c r="B3" t="s">
        <v>2052</v>
      </c>
      <c r="C3" t="s">
        <v>2398</v>
      </c>
      <c r="D3">
        <v>2108</v>
      </c>
    </row>
    <row r="4" spans="1:5">
      <c r="A4" t="s">
        <v>1152</v>
      </c>
      <c r="B4" t="s">
        <v>2052</v>
      </c>
      <c r="C4" t="s">
        <v>2399</v>
      </c>
      <c r="D4">
        <v>2108</v>
      </c>
    </row>
    <row r="5" spans="1:5">
      <c r="A5" t="s">
        <v>1152</v>
      </c>
      <c r="B5" t="s">
        <v>2052</v>
      </c>
      <c r="C5" t="s">
        <v>2400</v>
      </c>
      <c r="D5">
        <v>2108</v>
      </c>
    </row>
    <row r="6" spans="1:5">
      <c r="A6" t="s">
        <v>1152</v>
      </c>
      <c r="B6" t="s">
        <v>2052</v>
      </c>
      <c r="C6" t="s">
        <v>2401</v>
      </c>
      <c r="D6">
        <v>2108</v>
      </c>
    </row>
    <row r="7" spans="1:5">
      <c r="A7" t="s">
        <v>1152</v>
      </c>
      <c r="B7" t="s">
        <v>2052</v>
      </c>
      <c r="C7" t="s">
        <v>2402</v>
      </c>
      <c r="D7">
        <v>23496.799999999999</v>
      </c>
    </row>
    <row r="8" spans="1:5">
      <c r="A8" t="s">
        <v>1152</v>
      </c>
      <c r="B8" t="s">
        <v>2052</v>
      </c>
      <c r="C8" t="s">
        <v>2403</v>
      </c>
      <c r="D8">
        <v>2108</v>
      </c>
    </row>
    <row r="9" spans="1:5">
      <c r="A9" t="s">
        <v>1152</v>
      </c>
      <c r="B9" t="s">
        <v>2052</v>
      </c>
      <c r="C9" t="s">
        <v>2404</v>
      </c>
      <c r="D9">
        <v>2108</v>
      </c>
    </row>
    <row r="10" spans="1:5">
      <c r="A10" t="s">
        <v>1152</v>
      </c>
      <c r="B10" t="s">
        <v>2052</v>
      </c>
      <c r="C10" t="s">
        <v>2405</v>
      </c>
      <c r="D10">
        <v>25596.799999999999</v>
      </c>
    </row>
    <row r="11" spans="1:5">
      <c r="A11" t="s">
        <v>1152</v>
      </c>
      <c r="B11" t="s">
        <v>2052</v>
      </c>
      <c r="C11" t="s">
        <v>2406</v>
      </c>
      <c r="D11">
        <v>2108</v>
      </c>
    </row>
    <row r="12" spans="1:5">
      <c r="A12" t="s">
        <v>1152</v>
      </c>
      <c r="B12" t="s">
        <v>2052</v>
      </c>
      <c r="C12" t="s">
        <v>2407</v>
      </c>
      <c r="D12">
        <v>2108</v>
      </c>
    </row>
    <row r="13" spans="1:5">
      <c r="A13" t="s">
        <v>1152</v>
      </c>
      <c r="B13" t="s">
        <v>2052</v>
      </c>
      <c r="C13" t="s">
        <v>2408</v>
      </c>
      <c r="D13">
        <v>2108</v>
      </c>
    </row>
    <row r="14" spans="1:5">
      <c r="A14" t="s">
        <v>1152</v>
      </c>
      <c r="B14" t="s">
        <v>2052</v>
      </c>
      <c r="C14" t="s">
        <v>2409</v>
      </c>
      <c r="D14">
        <v>16556</v>
      </c>
    </row>
    <row r="15" spans="1:5">
      <c r="A15" t="s">
        <v>1152</v>
      </c>
      <c r="B15" t="s">
        <v>2052</v>
      </c>
      <c r="C15" t="s">
        <v>2410</v>
      </c>
      <c r="D15">
        <v>2108</v>
      </c>
    </row>
    <row r="16" spans="1:5">
      <c r="A16" t="s">
        <v>2396</v>
      </c>
      <c r="B16" t="s">
        <v>2052</v>
      </c>
      <c r="C16" t="s">
        <v>2411</v>
      </c>
      <c r="D16">
        <v>18454</v>
      </c>
    </row>
    <row r="17" spans="1:5">
      <c r="A17" t="s">
        <v>2396</v>
      </c>
      <c r="B17" t="s">
        <v>2052</v>
      </c>
      <c r="C17" t="s">
        <v>2412</v>
      </c>
      <c r="D17">
        <v>21901</v>
      </c>
    </row>
    <row r="18" spans="1:5">
      <c r="A18" t="s">
        <v>2396</v>
      </c>
      <c r="B18" t="s">
        <v>2052</v>
      </c>
      <c r="C18" t="s">
        <v>2413</v>
      </c>
      <c r="D18">
        <v>37392</v>
      </c>
    </row>
    <row r="19" spans="1:5">
      <c r="A19" t="s">
        <v>2396</v>
      </c>
      <c r="B19" t="s">
        <v>2052</v>
      </c>
      <c r="C19" t="s">
        <v>2414</v>
      </c>
      <c r="D19">
        <v>21296</v>
      </c>
    </row>
    <row r="20" spans="1:5">
      <c r="A20" t="s">
        <v>2396</v>
      </c>
      <c r="B20" t="s">
        <v>2052</v>
      </c>
      <c r="C20" t="s">
        <v>2415</v>
      </c>
      <c r="D20">
        <v>30566</v>
      </c>
    </row>
    <row r="21" spans="1:5">
      <c r="A21" t="s">
        <v>2396</v>
      </c>
      <c r="B21" t="s">
        <v>2052</v>
      </c>
      <c r="C21" t="s">
        <v>2416</v>
      </c>
      <c r="D21">
        <v>13905</v>
      </c>
    </row>
    <row r="22" spans="1:5">
      <c r="A22" t="s">
        <v>2396</v>
      </c>
      <c r="B22" t="s">
        <v>2052</v>
      </c>
      <c r="C22" t="s">
        <v>2417</v>
      </c>
      <c r="D22">
        <v>13287</v>
      </c>
    </row>
    <row r="23" spans="1:5">
      <c r="A23" t="s">
        <v>2396</v>
      </c>
      <c r="B23" t="s">
        <v>2052</v>
      </c>
      <c r="C23" t="s">
        <v>2418</v>
      </c>
      <c r="D23">
        <v>1547</v>
      </c>
    </row>
    <row r="24" spans="1:5">
      <c r="A24" t="s">
        <v>2396</v>
      </c>
      <c r="B24" t="s">
        <v>2052</v>
      </c>
      <c r="C24" t="s">
        <v>2419</v>
      </c>
      <c r="D24">
        <v>6252</v>
      </c>
    </row>
    <row r="25" spans="1:5">
      <c r="A25" t="s">
        <v>2396</v>
      </c>
      <c r="B25" t="s">
        <v>2052</v>
      </c>
      <c r="C25" t="s">
        <v>2420</v>
      </c>
      <c r="D25">
        <v>15341</v>
      </c>
    </row>
    <row r="26" spans="1:5">
      <c r="A26" t="s">
        <v>2396</v>
      </c>
      <c r="B26" t="s">
        <v>2052</v>
      </c>
      <c r="C26" t="s">
        <v>2421</v>
      </c>
      <c r="D26">
        <v>12363</v>
      </c>
    </row>
    <row r="27" spans="1:5">
      <c r="A27" t="s">
        <v>2396</v>
      </c>
      <c r="B27" t="s">
        <v>2052</v>
      </c>
      <c r="C27" t="s">
        <v>2422</v>
      </c>
      <c r="D27">
        <v>13683</v>
      </c>
    </row>
    <row r="28" spans="1:5">
      <c r="A28" t="s">
        <v>2396</v>
      </c>
      <c r="B28" t="s">
        <v>2052</v>
      </c>
      <c r="C28" t="s">
        <v>2423</v>
      </c>
      <c r="D28">
        <v>20706</v>
      </c>
    </row>
    <row r="29" spans="1:5">
      <c r="A29" t="s">
        <v>1156</v>
      </c>
      <c r="B29" t="s">
        <v>2052</v>
      </c>
      <c r="C29" t="s">
        <v>2424</v>
      </c>
      <c r="E29">
        <v>12230</v>
      </c>
    </row>
    <row r="30" spans="1:5">
      <c r="A30" t="s">
        <v>1156</v>
      </c>
      <c r="B30" t="s">
        <v>2052</v>
      </c>
      <c r="C30" t="s">
        <v>2425</v>
      </c>
      <c r="D30">
        <v>23052</v>
      </c>
    </row>
    <row r="31" spans="1:5">
      <c r="A31" t="s">
        <v>1153</v>
      </c>
      <c r="B31" t="s">
        <v>2052</v>
      </c>
      <c r="C31" t="s">
        <v>2426</v>
      </c>
      <c r="D31">
        <v>22805</v>
      </c>
    </row>
    <row r="32" spans="1:5">
      <c r="A32" t="s">
        <v>1153</v>
      </c>
      <c r="B32" t="s">
        <v>2052</v>
      </c>
      <c r="C32" t="s">
        <v>2427</v>
      </c>
      <c r="D32">
        <v>41073</v>
      </c>
    </row>
    <row r="33" spans="1:4">
      <c r="A33" t="s">
        <v>1153</v>
      </c>
      <c r="B33" t="s">
        <v>2052</v>
      </c>
      <c r="C33" t="s">
        <v>2428</v>
      </c>
      <c r="D33">
        <v>40045</v>
      </c>
    </row>
    <row r="34" spans="1:4">
      <c r="A34" t="s">
        <v>1153</v>
      </c>
      <c r="B34" t="s">
        <v>2052</v>
      </c>
      <c r="C34" t="s">
        <v>2429</v>
      </c>
      <c r="D34">
        <v>39564</v>
      </c>
    </row>
    <row r="35" spans="1:4">
      <c r="A35" t="s">
        <v>1153</v>
      </c>
      <c r="B35" t="s">
        <v>2052</v>
      </c>
      <c r="C35" t="s">
        <v>2430</v>
      </c>
      <c r="D35">
        <v>23116</v>
      </c>
    </row>
    <row r="36" spans="1:4">
      <c r="A36" t="s">
        <v>1153</v>
      </c>
      <c r="B36" t="s">
        <v>2052</v>
      </c>
      <c r="C36" t="s">
        <v>2431</v>
      </c>
      <c r="D36">
        <v>26665</v>
      </c>
    </row>
    <row r="37" spans="1:4">
      <c r="A37" t="s">
        <v>1153</v>
      </c>
      <c r="B37" t="s">
        <v>2052</v>
      </c>
      <c r="C37" t="s">
        <v>1369</v>
      </c>
      <c r="D37">
        <v>48423</v>
      </c>
    </row>
    <row r="38" spans="1:4">
      <c r="A38" t="s">
        <v>1153</v>
      </c>
      <c r="B38" t="s">
        <v>2052</v>
      </c>
      <c r="C38" t="s">
        <v>2432</v>
      </c>
      <c r="D38">
        <v>44870</v>
      </c>
    </row>
    <row r="39" spans="1:4">
      <c r="A39" t="s">
        <v>1153</v>
      </c>
      <c r="B39" t="s">
        <v>2052</v>
      </c>
      <c r="C39" t="s">
        <v>2433</v>
      </c>
      <c r="D39">
        <v>26370</v>
      </c>
    </row>
    <row r="40" spans="1:4">
      <c r="A40" t="s">
        <v>1153</v>
      </c>
      <c r="B40" t="s">
        <v>2052</v>
      </c>
      <c r="C40" t="s">
        <v>2426</v>
      </c>
      <c r="D40">
        <v>37006</v>
      </c>
    </row>
    <row r="41" spans="1:4">
      <c r="A41" t="s">
        <v>1153</v>
      </c>
      <c r="B41" t="s">
        <v>2052</v>
      </c>
      <c r="C41" t="s">
        <v>2434</v>
      </c>
      <c r="D41">
        <v>35262</v>
      </c>
    </row>
    <row r="42" spans="1:4">
      <c r="A42" t="s">
        <v>1153</v>
      </c>
      <c r="B42" t="s">
        <v>2052</v>
      </c>
      <c r="C42" t="s">
        <v>2435</v>
      </c>
      <c r="D42">
        <v>52565</v>
      </c>
    </row>
    <row r="43" spans="1:4">
      <c r="A43" t="s">
        <v>1153</v>
      </c>
      <c r="B43" t="s">
        <v>2052</v>
      </c>
      <c r="C43" t="s">
        <v>2436</v>
      </c>
      <c r="D43">
        <v>21387</v>
      </c>
    </row>
    <row r="44" spans="1:4">
      <c r="A44" t="s">
        <v>1153</v>
      </c>
      <c r="B44" t="s">
        <v>2052</v>
      </c>
      <c r="C44" t="s">
        <v>2437</v>
      </c>
      <c r="D44">
        <v>19600</v>
      </c>
    </row>
    <row r="45" spans="1:4">
      <c r="A45" t="s">
        <v>1153</v>
      </c>
      <c r="B45" t="s">
        <v>2052</v>
      </c>
      <c r="C45" t="s">
        <v>2438</v>
      </c>
      <c r="D45">
        <v>18196</v>
      </c>
    </row>
    <row r="46" spans="1:4">
      <c r="A46" t="s">
        <v>1153</v>
      </c>
      <c r="B46" t="s">
        <v>2052</v>
      </c>
      <c r="C46" t="s">
        <v>2439</v>
      </c>
      <c r="D46">
        <v>114587</v>
      </c>
    </row>
    <row r="47" spans="1:4">
      <c r="A47" t="s">
        <v>1156</v>
      </c>
      <c r="B47" t="s">
        <v>2052</v>
      </c>
      <c r="C47" t="s">
        <v>2440</v>
      </c>
      <c r="D47">
        <v>31138</v>
      </c>
    </row>
    <row r="48" spans="1:4">
      <c r="A48" t="s">
        <v>1156</v>
      </c>
      <c r="B48" t="s">
        <v>2052</v>
      </c>
      <c r="C48" t="s">
        <v>2441</v>
      </c>
      <c r="D48">
        <v>33814</v>
      </c>
    </row>
    <row r="49" spans="1:4">
      <c r="A49" t="s">
        <v>1156</v>
      </c>
      <c r="B49" t="s">
        <v>2052</v>
      </c>
      <c r="C49" t="s">
        <v>2442</v>
      </c>
      <c r="D49">
        <v>17731</v>
      </c>
    </row>
    <row r="50" spans="1:4">
      <c r="A50" t="s">
        <v>1156</v>
      </c>
      <c r="B50" t="s">
        <v>2052</v>
      </c>
      <c r="C50" t="s">
        <v>2443</v>
      </c>
      <c r="D50">
        <v>25507</v>
      </c>
    </row>
    <row r="51" spans="1:4">
      <c r="A51" t="s">
        <v>2012</v>
      </c>
      <c r="B51" t="s">
        <v>2052</v>
      </c>
      <c r="C51" t="s">
        <v>2444</v>
      </c>
      <c r="D51">
        <v>24254.2</v>
      </c>
    </row>
    <row r="52" spans="1:4">
      <c r="A52" t="s">
        <v>1156</v>
      </c>
      <c r="B52" t="s">
        <v>2052</v>
      </c>
      <c r="C52" t="s">
        <v>2445</v>
      </c>
      <c r="D52">
        <v>34938</v>
      </c>
    </row>
    <row r="53" spans="1:4">
      <c r="A53" t="s">
        <v>1156</v>
      </c>
      <c r="B53" t="s">
        <v>2052</v>
      </c>
      <c r="C53" t="s">
        <v>2446</v>
      </c>
      <c r="D53">
        <v>26945</v>
      </c>
    </row>
    <row r="54" spans="1:4">
      <c r="A54" t="s">
        <v>1156</v>
      </c>
      <c r="B54" t="s">
        <v>2052</v>
      </c>
      <c r="C54" t="s">
        <v>2447</v>
      </c>
      <c r="D54">
        <v>32140</v>
      </c>
    </row>
    <row r="55" spans="1:4">
      <c r="A55" t="s">
        <v>1156</v>
      </c>
      <c r="B55" t="s">
        <v>2052</v>
      </c>
      <c r="C55" t="s">
        <v>2448</v>
      </c>
      <c r="D55">
        <v>20541</v>
      </c>
    </row>
    <row r="56" spans="1:4">
      <c r="A56" t="s">
        <v>1156</v>
      </c>
      <c r="B56" t="s">
        <v>2052</v>
      </c>
      <c r="C56" t="s">
        <v>2449</v>
      </c>
      <c r="D56">
        <v>22843</v>
      </c>
    </row>
    <row r="57" spans="1:4">
      <c r="A57" t="s">
        <v>1156</v>
      </c>
      <c r="B57" t="s">
        <v>2052</v>
      </c>
      <c r="C57" t="s">
        <v>2450</v>
      </c>
      <c r="D57">
        <v>541269.00155000004</v>
      </c>
    </row>
    <row r="58" spans="1:4">
      <c r="A58" t="s">
        <v>1210</v>
      </c>
      <c r="B58" t="s">
        <v>2052</v>
      </c>
      <c r="C58" t="s">
        <v>2451</v>
      </c>
      <c r="D58">
        <v>20860.613000000001</v>
      </c>
    </row>
    <row r="59" spans="1:4">
      <c r="A59" t="s">
        <v>1210</v>
      </c>
      <c r="B59" t="s">
        <v>2052</v>
      </c>
      <c r="C59" t="s">
        <v>2452</v>
      </c>
      <c r="D59">
        <v>28658.972999999998</v>
      </c>
    </row>
    <row r="60" spans="1:4">
      <c r="A60" t="s">
        <v>1210</v>
      </c>
      <c r="B60" t="s">
        <v>2052</v>
      </c>
      <c r="C60" t="s">
        <v>2453</v>
      </c>
      <c r="D60">
        <v>24718.749000000003</v>
      </c>
    </row>
    <row r="61" spans="1:4">
      <c r="A61" t="s">
        <v>1210</v>
      </c>
      <c r="B61" t="s">
        <v>2052</v>
      </c>
      <c r="C61" t="s">
        <v>2454</v>
      </c>
      <c r="D61">
        <v>22585.487100000002</v>
      </c>
    </row>
    <row r="62" spans="1:4">
      <c r="A62" t="s">
        <v>1210</v>
      </c>
      <c r="B62" t="s">
        <v>2052</v>
      </c>
      <c r="C62" t="s">
        <v>2455</v>
      </c>
      <c r="D62">
        <v>27089.040000000001</v>
      </c>
    </row>
    <row r="63" spans="1:4">
      <c r="A63" t="s">
        <v>1210</v>
      </c>
      <c r="B63" t="s">
        <v>2052</v>
      </c>
      <c r="C63" t="s">
        <v>2456</v>
      </c>
      <c r="D63">
        <v>20258.524000000001</v>
      </c>
    </row>
    <row r="64" spans="1:4">
      <c r="A64" t="s">
        <v>1210</v>
      </c>
      <c r="B64" t="s">
        <v>2052</v>
      </c>
      <c r="C64" t="s">
        <v>2457</v>
      </c>
      <c r="D64">
        <v>26089.457000000009</v>
      </c>
    </row>
    <row r="65" spans="1:4" ht="30">
      <c r="A65" t="s">
        <v>1154</v>
      </c>
      <c r="B65" t="s">
        <v>2052</v>
      </c>
      <c r="C65" s="895" t="s">
        <v>2458</v>
      </c>
      <c r="D65">
        <v>15892</v>
      </c>
    </row>
    <row r="66" spans="1:4" ht="30">
      <c r="A66" t="s">
        <v>1154</v>
      </c>
      <c r="B66" t="s">
        <v>2052</v>
      </c>
      <c r="C66" s="895" t="s">
        <v>2459</v>
      </c>
      <c r="D66">
        <v>13440</v>
      </c>
    </row>
    <row r="67" spans="1:4" ht="30">
      <c r="A67" t="s">
        <v>1154</v>
      </c>
      <c r="B67" t="s">
        <v>2052</v>
      </c>
      <c r="C67" s="895" t="s">
        <v>2460</v>
      </c>
      <c r="D67">
        <v>14916</v>
      </c>
    </row>
    <row r="68" spans="1:4" ht="30">
      <c r="A68" t="s">
        <v>1154</v>
      </c>
      <c r="B68" t="s">
        <v>2052</v>
      </c>
      <c r="C68" s="895" t="s">
        <v>2461</v>
      </c>
      <c r="D68">
        <v>10998</v>
      </c>
    </row>
    <row r="69" spans="1:4" ht="30">
      <c r="A69" t="s">
        <v>1154</v>
      </c>
      <c r="B69" t="s">
        <v>2052</v>
      </c>
      <c r="C69" s="895" t="s">
        <v>2462</v>
      </c>
      <c r="D69">
        <v>14160</v>
      </c>
    </row>
    <row r="70" spans="1:4" ht="30">
      <c r="A70" t="s">
        <v>1154</v>
      </c>
      <c r="B70" t="s">
        <v>2052</v>
      </c>
      <c r="C70" s="895" t="s">
        <v>2463</v>
      </c>
      <c r="D70">
        <v>32012</v>
      </c>
    </row>
    <row r="71" spans="1:4" ht="30">
      <c r="A71" t="s">
        <v>1154</v>
      </c>
      <c r="B71" t="s">
        <v>2052</v>
      </c>
      <c r="C71" s="895" t="s">
        <v>2464</v>
      </c>
      <c r="D71">
        <v>18531</v>
      </c>
    </row>
    <row r="72" spans="1:4">
      <c r="A72" t="s">
        <v>1210</v>
      </c>
      <c r="B72" t="s">
        <v>2052</v>
      </c>
      <c r="C72" t="s">
        <v>2465</v>
      </c>
      <c r="D72">
        <v>20316.78</v>
      </c>
    </row>
    <row r="73" spans="1:4">
      <c r="A73" t="s">
        <v>1210</v>
      </c>
      <c r="B73" t="s">
        <v>2052</v>
      </c>
      <c r="C73" t="s">
        <v>2466</v>
      </c>
      <c r="D73">
        <v>28782.105000000003</v>
      </c>
    </row>
    <row r="74" spans="1:4">
      <c r="A74" t="s">
        <v>1210</v>
      </c>
      <c r="B74" t="s">
        <v>2052</v>
      </c>
      <c r="C74" t="s">
        <v>2467</v>
      </c>
      <c r="D74">
        <v>39932.667500000003</v>
      </c>
    </row>
    <row r="75" spans="1:4">
      <c r="A75" t="s">
        <v>1210</v>
      </c>
      <c r="B75" t="s">
        <v>2052</v>
      </c>
      <c r="C75" t="s">
        <v>2468</v>
      </c>
      <c r="D75">
        <v>43311.680999999997</v>
      </c>
    </row>
    <row r="76" spans="1:4">
      <c r="A76" t="s">
        <v>1210</v>
      </c>
      <c r="B76" t="s">
        <v>2052</v>
      </c>
      <c r="C76" t="s">
        <v>2469</v>
      </c>
      <c r="D76">
        <v>29366.982000000004</v>
      </c>
    </row>
    <row r="77" spans="1:4">
      <c r="A77" t="s">
        <v>1210</v>
      </c>
      <c r="B77" t="s">
        <v>2052</v>
      </c>
      <c r="C77" t="s">
        <v>2470</v>
      </c>
      <c r="D77">
        <v>18285.101999999999</v>
      </c>
    </row>
    <row r="78" spans="1:4">
      <c r="A78" t="s">
        <v>1210</v>
      </c>
      <c r="B78" t="s">
        <v>2052</v>
      </c>
      <c r="C78" t="s">
        <v>2471</v>
      </c>
      <c r="D78">
        <v>37679.256436729083</v>
      </c>
    </row>
    <row r="79" spans="1:4">
      <c r="A79" t="s">
        <v>1210</v>
      </c>
      <c r="B79" t="s">
        <v>2052</v>
      </c>
      <c r="C79" t="s">
        <v>2472</v>
      </c>
      <c r="D79">
        <v>79388.171920911351</v>
      </c>
    </row>
    <row r="80" spans="1:4">
      <c r="A80" t="s">
        <v>1210</v>
      </c>
      <c r="B80" t="s">
        <v>2052</v>
      </c>
      <c r="C80" t="s">
        <v>2473</v>
      </c>
      <c r="D80">
        <v>113319.99235382021</v>
      </c>
    </row>
    <row r="81" spans="1:4">
      <c r="A81" t="s">
        <v>1210</v>
      </c>
      <c r="B81" t="s">
        <v>2052</v>
      </c>
      <c r="C81" t="s">
        <v>2474</v>
      </c>
      <c r="D81">
        <v>51788.359902546814</v>
      </c>
    </row>
    <row r="82" spans="1:4">
      <c r="A82" t="s">
        <v>1205</v>
      </c>
      <c r="B82" t="s">
        <v>2052</v>
      </c>
      <c r="C82" t="s">
        <v>2475</v>
      </c>
      <c r="D82">
        <v>93867.14</v>
      </c>
    </row>
    <row r="83" spans="1:4">
      <c r="A83" t="s">
        <v>1205</v>
      </c>
      <c r="B83" t="s">
        <v>2052</v>
      </c>
      <c r="C83" t="s">
        <v>2476</v>
      </c>
      <c r="D83">
        <v>84367.255999999994</v>
      </c>
    </row>
    <row r="84" spans="1:4">
      <c r="A84" t="s">
        <v>1205</v>
      </c>
      <c r="B84" t="s">
        <v>2052</v>
      </c>
      <c r="C84" t="s">
        <v>2477</v>
      </c>
      <c r="D84">
        <v>56410.258000000002</v>
      </c>
    </row>
    <row r="85" spans="1:4">
      <c r="A85" t="s">
        <v>1210</v>
      </c>
      <c r="B85" t="s">
        <v>2052</v>
      </c>
      <c r="C85" t="s">
        <v>2478</v>
      </c>
      <c r="D85">
        <v>43219.079036729076</v>
      </c>
    </row>
    <row r="86" spans="1:4">
      <c r="A86" t="s">
        <v>1210</v>
      </c>
      <c r="B86" t="s">
        <v>2052</v>
      </c>
      <c r="C86" t="s">
        <v>2479</v>
      </c>
      <c r="D86">
        <v>69436.83414436951</v>
      </c>
    </row>
    <row r="87" spans="1:4">
      <c r="A87" t="s">
        <v>1205</v>
      </c>
      <c r="B87" t="s">
        <v>2052</v>
      </c>
      <c r="C87" t="s">
        <v>2480</v>
      </c>
      <c r="D87">
        <v>9237.4709999999995</v>
      </c>
    </row>
    <row r="88" spans="1:4">
      <c r="A88" t="s">
        <v>1210</v>
      </c>
      <c r="B88" t="s">
        <v>2052</v>
      </c>
      <c r="C88" t="s">
        <v>2481</v>
      </c>
      <c r="D88">
        <v>32309.03653672908</v>
      </c>
    </row>
    <row r="89" spans="1:4">
      <c r="A89" t="s">
        <v>2482</v>
      </c>
      <c r="B89" t="s">
        <v>2052</v>
      </c>
      <c r="C89" t="s">
        <v>2483</v>
      </c>
      <c r="D89">
        <v>57600</v>
      </c>
    </row>
    <row r="90" spans="1:4">
      <c r="A90" t="s">
        <v>2482</v>
      </c>
      <c r="B90" t="s">
        <v>2052</v>
      </c>
      <c r="C90" t="s">
        <v>2484</v>
      </c>
      <c r="D90">
        <v>59024</v>
      </c>
    </row>
    <row r="91" spans="1:4">
      <c r="A91" t="s">
        <v>1205</v>
      </c>
      <c r="B91" t="s">
        <v>2052</v>
      </c>
      <c r="C91" t="s">
        <v>2485</v>
      </c>
      <c r="D91">
        <v>12907.257</v>
      </c>
    </row>
    <row r="92" spans="1:4">
      <c r="A92" t="s">
        <v>1205</v>
      </c>
      <c r="B92" t="s">
        <v>2052</v>
      </c>
      <c r="C92" t="s">
        <v>2486</v>
      </c>
      <c r="D92">
        <v>34965.919999999998</v>
      </c>
    </row>
    <row r="93" spans="1:4">
      <c r="A93" t="s">
        <v>2482</v>
      </c>
      <c r="B93" t="s">
        <v>2052</v>
      </c>
      <c r="C93" t="s">
        <v>2487</v>
      </c>
      <c r="D93">
        <v>30271</v>
      </c>
    </row>
    <row r="94" spans="1:4">
      <c r="A94" t="s">
        <v>1205</v>
      </c>
      <c r="B94" t="s">
        <v>2052</v>
      </c>
      <c r="C94" t="s">
        <v>2488</v>
      </c>
      <c r="D94">
        <v>11178.405000000001</v>
      </c>
    </row>
    <row r="95" spans="1:4">
      <c r="A95" t="s">
        <v>1205</v>
      </c>
      <c r="B95" t="s">
        <v>2052</v>
      </c>
      <c r="C95" t="s">
        <v>2489</v>
      </c>
      <c r="D95">
        <v>16072.683999999999</v>
      </c>
    </row>
    <row r="96" spans="1:4">
      <c r="A96" t="s">
        <v>1205</v>
      </c>
      <c r="B96" t="s">
        <v>2052</v>
      </c>
      <c r="C96" t="s">
        <v>2490</v>
      </c>
      <c r="D96">
        <v>10935.392</v>
      </c>
    </row>
    <row r="97" spans="1:4">
      <c r="A97" t="s">
        <v>1205</v>
      </c>
      <c r="B97" t="s">
        <v>2052</v>
      </c>
      <c r="C97" t="s">
        <v>2491</v>
      </c>
      <c r="D97">
        <v>7877.1</v>
      </c>
    </row>
    <row r="98" spans="1:4">
      <c r="A98" t="s">
        <v>1205</v>
      </c>
      <c r="B98" t="s">
        <v>2052</v>
      </c>
      <c r="C98" t="s">
        <v>2492</v>
      </c>
      <c r="D98">
        <v>4778.7120000000004</v>
      </c>
    </row>
    <row r="99" spans="1:4">
      <c r="A99" t="s">
        <v>1205</v>
      </c>
      <c r="B99" t="s">
        <v>2052</v>
      </c>
      <c r="C99" t="s">
        <v>2493</v>
      </c>
      <c r="D99">
        <v>9406.6740000000009</v>
      </c>
    </row>
    <row r="100" spans="1:4">
      <c r="A100" t="s">
        <v>2482</v>
      </c>
      <c r="B100" t="s">
        <v>2052</v>
      </c>
      <c r="C100" t="s">
        <v>2494</v>
      </c>
      <c r="D100">
        <v>12862</v>
      </c>
    </row>
    <row r="101" spans="1:4">
      <c r="A101" t="s">
        <v>1205</v>
      </c>
      <c r="B101" t="s">
        <v>2052</v>
      </c>
      <c r="C101" t="s">
        <v>2495</v>
      </c>
      <c r="D101">
        <v>10764.995000000001</v>
      </c>
    </row>
    <row r="102" spans="1:4">
      <c r="A102" t="s">
        <v>1205</v>
      </c>
      <c r="B102" t="s">
        <v>2052</v>
      </c>
      <c r="C102" t="s">
        <v>2496</v>
      </c>
      <c r="D102">
        <v>15313.431</v>
      </c>
    </row>
    <row r="103" spans="1:4">
      <c r="A103" t="s">
        <v>2482</v>
      </c>
      <c r="B103" t="s">
        <v>2052</v>
      </c>
      <c r="C103" t="s">
        <v>2497</v>
      </c>
      <c r="D103">
        <v>0</v>
      </c>
    </row>
    <row r="104" spans="1:4">
      <c r="A104" t="s">
        <v>1205</v>
      </c>
      <c r="B104" t="s">
        <v>2052</v>
      </c>
      <c r="C104" t="s">
        <v>2498</v>
      </c>
      <c r="D104">
        <v>9914.6579999999994</v>
      </c>
    </row>
    <row r="105" spans="1:4">
      <c r="A105" t="s">
        <v>1205</v>
      </c>
      <c r="B105" t="s">
        <v>2052</v>
      </c>
      <c r="C105" t="s">
        <v>2499</v>
      </c>
      <c r="D105">
        <v>38996.987999999998</v>
      </c>
    </row>
    <row r="106" spans="1:4">
      <c r="A106" t="s">
        <v>1205</v>
      </c>
      <c r="B106" t="s">
        <v>2052</v>
      </c>
      <c r="C106" t="s">
        <v>2500</v>
      </c>
      <c r="D106">
        <v>128431.5</v>
      </c>
    </row>
    <row r="107" spans="1:4">
      <c r="A107" t="s">
        <v>2482</v>
      </c>
      <c r="B107" t="s">
        <v>2052</v>
      </c>
      <c r="C107" t="s">
        <v>2501</v>
      </c>
      <c r="D107">
        <v>20426</v>
      </c>
    </row>
    <row r="108" spans="1:4">
      <c r="A108" t="s">
        <v>2482</v>
      </c>
      <c r="B108" t="s">
        <v>2052</v>
      </c>
      <c r="C108" t="s">
        <v>2502</v>
      </c>
      <c r="D108">
        <v>13329</v>
      </c>
    </row>
    <row r="109" spans="1:4">
      <c r="A109" t="s">
        <v>1205</v>
      </c>
      <c r="B109" t="s">
        <v>2052</v>
      </c>
      <c r="C109" t="s">
        <v>2503</v>
      </c>
      <c r="D109">
        <v>2887.5590000000002</v>
      </c>
    </row>
    <row r="110" spans="1:4">
      <c r="A110" t="s">
        <v>1205</v>
      </c>
      <c r="B110" t="s">
        <v>2052</v>
      </c>
      <c r="C110" t="s">
        <v>2504</v>
      </c>
      <c r="D110">
        <v>3670.7</v>
      </c>
    </row>
    <row r="111" spans="1:4">
      <c r="A111" t="s">
        <v>1205</v>
      </c>
      <c r="B111" t="s">
        <v>2052</v>
      </c>
      <c r="C111" t="s">
        <v>2505</v>
      </c>
      <c r="D111">
        <v>19952.116999999998</v>
      </c>
    </row>
    <row r="112" spans="1:4">
      <c r="A112" t="s">
        <v>2482</v>
      </c>
      <c r="B112" t="s">
        <v>2052</v>
      </c>
      <c r="C112" t="s">
        <v>2506</v>
      </c>
      <c r="D112">
        <v>21640</v>
      </c>
    </row>
    <row r="113" spans="1:5">
      <c r="A113" t="s">
        <v>1205</v>
      </c>
      <c r="B113" t="s">
        <v>2052</v>
      </c>
      <c r="C113" t="s">
        <v>2507</v>
      </c>
      <c r="D113">
        <v>13627.2</v>
      </c>
    </row>
    <row r="114" spans="1:5">
      <c r="A114" t="s">
        <v>1205</v>
      </c>
      <c r="B114" t="s">
        <v>2052</v>
      </c>
      <c r="C114" t="s">
        <v>2508</v>
      </c>
      <c r="D114">
        <v>10271.508</v>
      </c>
    </row>
    <row r="115" spans="1:5">
      <c r="A115" t="s">
        <v>1205</v>
      </c>
      <c r="B115" t="s">
        <v>2052</v>
      </c>
      <c r="C115" t="s">
        <v>2509</v>
      </c>
      <c r="D115">
        <v>8510</v>
      </c>
    </row>
    <row r="116" spans="1:5">
      <c r="A116" t="s">
        <v>2482</v>
      </c>
      <c r="B116" t="s">
        <v>2052</v>
      </c>
      <c r="C116" t="s">
        <v>2510</v>
      </c>
      <c r="D116">
        <v>31546</v>
      </c>
    </row>
    <row r="117" spans="1:5">
      <c r="A117" t="s">
        <v>1205</v>
      </c>
      <c r="B117" t="s">
        <v>2052</v>
      </c>
      <c r="C117" t="s">
        <v>2511</v>
      </c>
      <c r="D117">
        <v>15838.323</v>
      </c>
    </row>
    <row r="118" spans="1:5">
      <c r="A118" t="s">
        <v>2482</v>
      </c>
      <c r="B118" t="s">
        <v>2052</v>
      </c>
      <c r="C118" t="s">
        <v>2512</v>
      </c>
      <c r="D118">
        <v>45636</v>
      </c>
    </row>
    <row r="119" spans="1:5">
      <c r="A119" t="s">
        <v>1205</v>
      </c>
      <c r="B119" t="s">
        <v>2052</v>
      </c>
      <c r="C119" t="s">
        <v>2513</v>
      </c>
      <c r="D119">
        <v>116311.00089</v>
      </c>
    </row>
    <row r="120" spans="1:5">
      <c r="A120" t="s">
        <v>2482</v>
      </c>
      <c r="B120" t="s">
        <v>2052</v>
      </c>
      <c r="C120" t="s">
        <v>2514</v>
      </c>
      <c r="D120">
        <v>44445</v>
      </c>
    </row>
    <row r="121" spans="1:5">
      <c r="A121" t="s">
        <v>2482</v>
      </c>
      <c r="B121" t="s">
        <v>2052</v>
      </c>
      <c r="C121" t="s">
        <v>2515</v>
      </c>
      <c r="D121">
        <v>87785</v>
      </c>
    </row>
    <row r="122" spans="1:5">
      <c r="A122" t="s">
        <v>2482</v>
      </c>
      <c r="B122" t="s">
        <v>2052</v>
      </c>
      <c r="C122" t="s">
        <v>2516</v>
      </c>
      <c r="D122">
        <v>184747</v>
      </c>
    </row>
    <row r="123" spans="1:5">
      <c r="A123" t="s">
        <v>2482</v>
      </c>
      <c r="B123" t="s">
        <v>2052</v>
      </c>
      <c r="C123" t="s">
        <v>2517</v>
      </c>
      <c r="D123">
        <v>83063</v>
      </c>
    </row>
    <row r="124" spans="1:5">
      <c r="A124" t="s">
        <v>2482</v>
      </c>
      <c r="B124" t="s">
        <v>2052</v>
      </c>
      <c r="C124" t="s">
        <v>2483</v>
      </c>
      <c r="E124">
        <v>181941</v>
      </c>
    </row>
    <row r="125" spans="1:5">
      <c r="A125" t="s">
        <v>2482</v>
      </c>
      <c r="B125" t="s">
        <v>2052</v>
      </c>
      <c r="C125" t="s">
        <v>2518</v>
      </c>
      <c r="E125">
        <v>50797</v>
      </c>
    </row>
    <row r="126" spans="1:5">
      <c r="A126" t="s">
        <v>1162</v>
      </c>
      <c r="B126" t="s">
        <v>2052</v>
      </c>
      <c r="C126" t="s">
        <v>2519</v>
      </c>
      <c r="D126">
        <v>38984</v>
      </c>
    </row>
    <row r="127" spans="1:5">
      <c r="A127" t="s">
        <v>1162</v>
      </c>
      <c r="B127" t="s">
        <v>2052</v>
      </c>
      <c r="C127" t="s">
        <v>2520</v>
      </c>
      <c r="D127">
        <v>4164</v>
      </c>
    </row>
    <row r="128" spans="1:5">
      <c r="A128" t="s">
        <v>1162</v>
      </c>
      <c r="B128" t="s">
        <v>2052</v>
      </c>
      <c r="C128" t="s">
        <v>2521</v>
      </c>
      <c r="D128">
        <v>8200</v>
      </c>
    </row>
    <row r="129" spans="1:4">
      <c r="A129" t="s">
        <v>1162</v>
      </c>
      <c r="B129" t="s">
        <v>2052</v>
      </c>
      <c r="C129" t="s">
        <v>2522</v>
      </c>
      <c r="D129">
        <v>5360</v>
      </c>
    </row>
    <row r="130" spans="1:4">
      <c r="A130" t="s">
        <v>1162</v>
      </c>
      <c r="B130" t="s">
        <v>2052</v>
      </c>
      <c r="C130" t="s">
        <v>2523</v>
      </c>
      <c r="D130">
        <v>34052</v>
      </c>
    </row>
    <row r="131" spans="1:4">
      <c r="A131" t="s">
        <v>1162</v>
      </c>
      <c r="B131" t="s">
        <v>2052</v>
      </c>
      <c r="C131" t="s">
        <v>2524</v>
      </c>
      <c r="D131">
        <v>8708</v>
      </c>
    </row>
    <row r="132" spans="1:4">
      <c r="A132" t="s">
        <v>1162</v>
      </c>
      <c r="B132" t="s">
        <v>2052</v>
      </c>
      <c r="C132" t="s">
        <v>2525</v>
      </c>
      <c r="D132">
        <v>9085</v>
      </c>
    </row>
    <row r="133" spans="1:4">
      <c r="A133" t="s">
        <v>1162</v>
      </c>
      <c r="B133" t="s">
        <v>2052</v>
      </c>
      <c r="C133" t="s">
        <v>2526</v>
      </c>
      <c r="D133">
        <v>4806</v>
      </c>
    </row>
    <row r="134" spans="1:4">
      <c r="A134" t="s">
        <v>2527</v>
      </c>
      <c r="B134" t="s">
        <v>2052</v>
      </c>
      <c r="C134" t="s">
        <v>2528</v>
      </c>
      <c r="D134">
        <v>17076</v>
      </c>
    </row>
    <row r="135" spans="1:4">
      <c r="A135" t="s">
        <v>2527</v>
      </c>
      <c r="B135" t="s">
        <v>2052</v>
      </c>
      <c r="C135" t="s">
        <v>2529</v>
      </c>
      <c r="D135">
        <v>12025</v>
      </c>
    </row>
    <row r="136" spans="1:4">
      <c r="A136" t="s">
        <v>2527</v>
      </c>
      <c r="B136" t="s">
        <v>2052</v>
      </c>
      <c r="C136" t="s">
        <v>1548</v>
      </c>
      <c r="D136">
        <v>5412</v>
      </c>
    </row>
    <row r="137" spans="1:4">
      <c r="A137" t="s">
        <v>2527</v>
      </c>
      <c r="B137" t="s">
        <v>2052</v>
      </c>
      <c r="C137" t="s">
        <v>1549</v>
      </c>
      <c r="D137">
        <v>25132</v>
      </c>
    </row>
    <row r="138" spans="1:4">
      <c r="A138" t="s">
        <v>2527</v>
      </c>
      <c r="B138" t="s">
        <v>2052</v>
      </c>
      <c r="C138" t="s">
        <v>1550</v>
      </c>
      <c r="D138">
        <v>7937</v>
      </c>
    </row>
    <row r="139" spans="1:4">
      <c r="A139" t="s">
        <v>2527</v>
      </c>
      <c r="B139" t="s">
        <v>2052</v>
      </c>
      <c r="C139" t="s">
        <v>2530</v>
      </c>
      <c r="D139">
        <v>4630</v>
      </c>
    </row>
    <row r="140" spans="1:4">
      <c r="A140" t="s">
        <v>2527</v>
      </c>
      <c r="B140" t="s">
        <v>2052</v>
      </c>
      <c r="C140" t="s">
        <v>2531</v>
      </c>
      <c r="D140">
        <v>15031</v>
      </c>
    </row>
    <row r="141" spans="1:4">
      <c r="A141" t="s">
        <v>2527</v>
      </c>
      <c r="B141" t="s">
        <v>2052</v>
      </c>
      <c r="C141" t="s">
        <v>2532</v>
      </c>
      <c r="D141">
        <v>15573</v>
      </c>
    </row>
    <row r="142" spans="1:4">
      <c r="A142" t="s">
        <v>2527</v>
      </c>
      <c r="B142" t="s">
        <v>2052</v>
      </c>
      <c r="C142" t="s">
        <v>2533</v>
      </c>
      <c r="D142">
        <v>6915</v>
      </c>
    </row>
    <row r="143" spans="1:4">
      <c r="A143" t="s">
        <v>2527</v>
      </c>
      <c r="B143" t="s">
        <v>2052</v>
      </c>
      <c r="C143" t="s">
        <v>2534</v>
      </c>
      <c r="D143">
        <v>11544</v>
      </c>
    </row>
    <row r="144" spans="1:4">
      <c r="A144" t="s">
        <v>2527</v>
      </c>
      <c r="B144" t="s">
        <v>2052</v>
      </c>
      <c r="C144" t="s">
        <v>1558</v>
      </c>
      <c r="D144">
        <v>2165</v>
      </c>
    </row>
    <row r="145" spans="1:5">
      <c r="A145" t="s">
        <v>2527</v>
      </c>
      <c r="B145" t="s">
        <v>2052</v>
      </c>
      <c r="C145" t="s">
        <v>2535</v>
      </c>
      <c r="D145">
        <v>6915</v>
      </c>
    </row>
    <row r="146" spans="1:5">
      <c r="A146" t="s">
        <v>2527</v>
      </c>
      <c r="B146" t="s">
        <v>2052</v>
      </c>
      <c r="C146" t="s">
        <v>2536</v>
      </c>
      <c r="D146">
        <v>11604</v>
      </c>
    </row>
    <row r="147" spans="1:5">
      <c r="A147" t="s">
        <v>1162</v>
      </c>
      <c r="B147" t="s">
        <v>2052</v>
      </c>
      <c r="C147" t="s">
        <v>2537</v>
      </c>
      <c r="D147">
        <v>948</v>
      </c>
    </row>
    <row r="148" spans="1:5">
      <c r="A148" t="s">
        <v>1208</v>
      </c>
      <c r="B148" t="s">
        <v>2052</v>
      </c>
      <c r="C148" t="s">
        <v>2538</v>
      </c>
      <c r="D148">
        <v>12000</v>
      </c>
    </row>
    <row r="149" spans="1:5">
      <c r="A149" t="s">
        <v>2527</v>
      </c>
      <c r="B149" t="s">
        <v>2052</v>
      </c>
      <c r="C149" t="s">
        <v>2539</v>
      </c>
      <c r="D149">
        <v>20618.812999999998</v>
      </c>
    </row>
    <row r="150" spans="1:5">
      <c r="A150" t="s">
        <v>2527</v>
      </c>
      <c r="B150" t="s">
        <v>2052</v>
      </c>
      <c r="C150" t="s">
        <v>2540</v>
      </c>
      <c r="E150">
        <v>163771.07500000001</v>
      </c>
    </row>
    <row r="151" spans="1:5">
      <c r="A151" t="s">
        <v>1208</v>
      </c>
      <c r="B151" t="s">
        <v>2052</v>
      </c>
      <c r="C151" t="s">
        <v>2541</v>
      </c>
      <c r="D151">
        <v>17160</v>
      </c>
    </row>
    <row r="152" spans="1:5">
      <c r="A152" t="s">
        <v>1208</v>
      </c>
      <c r="B152" t="s">
        <v>2052</v>
      </c>
      <c r="C152" t="s">
        <v>2542</v>
      </c>
      <c r="D152">
        <v>43769.4545</v>
      </c>
    </row>
    <row r="153" spans="1:5">
      <c r="A153" t="s">
        <v>1208</v>
      </c>
      <c r="B153" t="s">
        <v>2052</v>
      </c>
      <c r="C153" t="s">
        <v>2543</v>
      </c>
      <c r="D153">
        <v>24000</v>
      </c>
    </row>
    <row r="154" spans="1:5">
      <c r="A154" t="s">
        <v>1208</v>
      </c>
      <c r="B154" t="s">
        <v>2052</v>
      </c>
      <c r="C154" t="s">
        <v>2544</v>
      </c>
      <c r="D154">
        <v>21060</v>
      </c>
    </row>
    <row r="155" spans="1:5">
      <c r="A155" t="s">
        <v>1158</v>
      </c>
      <c r="B155" t="s">
        <v>2052</v>
      </c>
      <c r="C155" t="s">
        <v>2545</v>
      </c>
      <c r="E155">
        <v>187076.864</v>
      </c>
    </row>
    <row r="156" spans="1:5">
      <c r="A156" t="s">
        <v>1208</v>
      </c>
      <c r="B156" t="s">
        <v>2052</v>
      </c>
      <c r="C156" t="s">
        <v>2546</v>
      </c>
      <c r="D156">
        <v>24000</v>
      </c>
    </row>
    <row r="157" spans="1:5">
      <c r="A157" t="s">
        <v>1208</v>
      </c>
      <c r="B157" t="s">
        <v>2052</v>
      </c>
      <c r="C157" t="s">
        <v>2547</v>
      </c>
      <c r="D157">
        <v>28805</v>
      </c>
    </row>
    <row r="158" spans="1:5">
      <c r="A158" t="s">
        <v>1158</v>
      </c>
      <c r="B158" t="s">
        <v>2052</v>
      </c>
      <c r="C158" t="s">
        <v>2548</v>
      </c>
      <c r="E158">
        <v>68200.308000000005</v>
      </c>
    </row>
    <row r="159" spans="1:5">
      <c r="A159" t="s">
        <v>1208</v>
      </c>
      <c r="B159" t="s">
        <v>2052</v>
      </c>
      <c r="C159" t="s">
        <v>2547</v>
      </c>
      <c r="D159">
        <v>66743</v>
      </c>
    </row>
    <row r="160" spans="1:5">
      <c r="A160" t="s">
        <v>1160</v>
      </c>
      <c r="B160" t="s">
        <v>2052</v>
      </c>
      <c r="C160" t="s">
        <v>2549</v>
      </c>
      <c r="D160">
        <v>6270.8275199999998</v>
      </c>
    </row>
    <row r="161" spans="1:4">
      <c r="A161" t="s">
        <v>1160</v>
      </c>
      <c r="B161" t="s">
        <v>2052</v>
      </c>
      <c r="C161" t="s">
        <v>2550</v>
      </c>
      <c r="D161">
        <v>42145</v>
      </c>
    </row>
    <row r="162" spans="1:4">
      <c r="A162" t="s">
        <v>1160</v>
      </c>
      <c r="B162" t="s">
        <v>2052</v>
      </c>
      <c r="C162" t="s">
        <v>2551</v>
      </c>
      <c r="D162">
        <v>23528.999</v>
      </c>
    </row>
    <row r="163" spans="1:4">
      <c r="A163" t="s">
        <v>1160</v>
      </c>
      <c r="B163" t="s">
        <v>2052</v>
      </c>
      <c r="C163" t="s">
        <v>2552</v>
      </c>
      <c r="D163">
        <v>27643</v>
      </c>
    </row>
    <row r="164" spans="1:4">
      <c r="A164" t="s">
        <v>1160</v>
      </c>
      <c r="B164" t="s">
        <v>2052</v>
      </c>
      <c r="C164" t="s">
        <v>2553</v>
      </c>
      <c r="D164">
        <v>31735</v>
      </c>
    </row>
    <row r="165" spans="1:4">
      <c r="A165" t="s">
        <v>1158</v>
      </c>
      <c r="B165" t="s">
        <v>2052</v>
      </c>
      <c r="C165" t="s">
        <v>2554</v>
      </c>
      <c r="D165">
        <v>39971.06</v>
      </c>
    </row>
    <row r="166" spans="1:4">
      <c r="A166" t="s">
        <v>1158</v>
      </c>
      <c r="B166" t="s">
        <v>2052</v>
      </c>
      <c r="C166" t="s">
        <v>2555</v>
      </c>
      <c r="D166">
        <v>58504.66</v>
      </c>
    </row>
    <row r="167" spans="1:4">
      <c r="A167" t="s">
        <v>1160</v>
      </c>
      <c r="B167" t="s">
        <v>2052</v>
      </c>
      <c r="C167" t="s">
        <v>2556</v>
      </c>
      <c r="D167">
        <v>29274</v>
      </c>
    </row>
    <row r="168" spans="1:4">
      <c r="A168" t="s">
        <v>1160</v>
      </c>
      <c r="B168" t="s">
        <v>2052</v>
      </c>
      <c r="C168" t="s">
        <v>2557</v>
      </c>
      <c r="D168">
        <v>28945</v>
      </c>
    </row>
    <row r="169" spans="1:4">
      <c r="A169" t="s">
        <v>1160</v>
      </c>
      <c r="B169" t="s">
        <v>2052</v>
      </c>
      <c r="C169" t="s">
        <v>2558</v>
      </c>
      <c r="D169">
        <v>130197</v>
      </c>
    </row>
    <row r="170" spans="1:4">
      <c r="A170" t="s">
        <v>1160</v>
      </c>
      <c r="B170" t="s">
        <v>2052</v>
      </c>
      <c r="C170" t="s">
        <v>2559</v>
      </c>
      <c r="D170">
        <v>97971.008000000002</v>
      </c>
    </row>
    <row r="171" spans="1:4">
      <c r="A171" t="s">
        <v>1158</v>
      </c>
      <c r="B171" t="s">
        <v>2052</v>
      </c>
      <c r="C171" t="s">
        <v>2560</v>
      </c>
      <c r="D171">
        <v>63612.921000000002</v>
      </c>
    </row>
    <row r="172" spans="1:4">
      <c r="A172" t="s">
        <v>1158</v>
      </c>
      <c r="B172" t="s">
        <v>2052</v>
      </c>
      <c r="C172" t="s">
        <v>2561</v>
      </c>
      <c r="D172">
        <v>43549.199000000001</v>
      </c>
    </row>
    <row r="173" spans="1:4">
      <c r="A173" t="s">
        <v>1158</v>
      </c>
      <c r="B173" t="s">
        <v>2052</v>
      </c>
      <c r="C173" t="s">
        <v>2562</v>
      </c>
      <c r="D173">
        <v>7618.4250000000002</v>
      </c>
    </row>
    <row r="174" spans="1:4">
      <c r="A174" t="s">
        <v>1158</v>
      </c>
      <c r="B174" t="s">
        <v>2052</v>
      </c>
      <c r="C174" t="s">
        <v>2563</v>
      </c>
      <c r="D174">
        <v>20899.321</v>
      </c>
    </row>
    <row r="175" spans="1:4">
      <c r="A175" t="s">
        <v>1158</v>
      </c>
      <c r="B175" t="s">
        <v>2052</v>
      </c>
      <c r="C175" t="s">
        <v>2564</v>
      </c>
      <c r="D175">
        <v>29101.264999999999</v>
      </c>
    </row>
    <row r="176" spans="1:4">
      <c r="A176" t="s">
        <v>1158</v>
      </c>
      <c r="B176" t="s">
        <v>2052</v>
      </c>
      <c r="C176" t="s">
        <v>2565</v>
      </c>
      <c r="D176">
        <v>4607.4669999999996</v>
      </c>
    </row>
    <row r="177" spans="1:4">
      <c r="A177" t="s">
        <v>1158</v>
      </c>
      <c r="B177" t="s">
        <v>2052</v>
      </c>
      <c r="C177" t="s">
        <v>2566</v>
      </c>
      <c r="D177">
        <v>13388.263000000001</v>
      </c>
    </row>
    <row r="178" spans="1:4">
      <c r="A178" t="s">
        <v>1158</v>
      </c>
      <c r="B178" t="s">
        <v>2052</v>
      </c>
      <c r="C178" t="s">
        <v>2567</v>
      </c>
      <c r="D178">
        <v>3235.03</v>
      </c>
    </row>
    <row r="179" spans="1:4">
      <c r="A179" t="s">
        <v>1158</v>
      </c>
      <c r="B179" t="s">
        <v>2052</v>
      </c>
      <c r="C179" t="s">
        <v>2568</v>
      </c>
      <c r="D179">
        <v>10115.887000000001</v>
      </c>
    </row>
    <row r="180" spans="1:4">
      <c r="A180" t="s">
        <v>1158</v>
      </c>
      <c r="B180" t="s">
        <v>2052</v>
      </c>
      <c r="C180" t="s">
        <v>2569</v>
      </c>
      <c r="D180">
        <v>3925.9169999999999</v>
      </c>
    </row>
    <row r="181" spans="1:4">
      <c r="A181" t="s">
        <v>1158</v>
      </c>
      <c r="B181" t="s">
        <v>2052</v>
      </c>
      <c r="C181" t="s">
        <v>2570</v>
      </c>
      <c r="D181">
        <v>3211.6889999999999</v>
      </c>
    </row>
    <row r="182" spans="1:4">
      <c r="A182" t="s">
        <v>1159</v>
      </c>
      <c r="B182" t="s">
        <v>2052</v>
      </c>
      <c r="C182" t="s">
        <v>2571</v>
      </c>
      <c r="D182">
        <v>130498</v>
      </c>
    </row>
    <row r="183" spans="1:4">
      <c r="A183" t="s">
        <v>1159</v>
      </c>
      <c r="B183" t="s">
        <v>2052</v>
      </c>
      <c r="C183" t="s">
        <v>2572</v>
      </c>
      <c r="D183">
        <v>11503</v>
      </c>
    </row>
    <row r="184" spans="1:4">
      <c r="A184" t="s">
        <v>1159</v>
      </c>
      <c r="B184" t="s">
        <v>2052</v>
      </c>
      <c r="C184" t="s">
        <v>2573</v>
      </c>
      <c r="D184">
        <v>98474</v>
      </c>
    </row>
    <row r="185" spans="1:4">
      <c r="A185" t="s">
        <v>1159</v>
      </c>
      <c r="B185" t="s">
        <v>2052</v>
      </c>
      <c r="C185" t="s">
        <v>2574</v>
      </c>
      <c r="D185">
        <v>23333</v>
      </c>
    </row>
    <row r="186" spans="1:4">
      <c r="A186" t="s">
        <v>1159</v>
      </c>
      <c r="B186" t="s">
        <v>2052</v>
      </c>
      <c r="C186" t="s">
        <v>2575</v>
      </c>
      <c r="D186">
        <v>16850</v>
      </c>
    </row>
    <row r="187" spans="1:4">
      <c r="A187" t="s">
        <v>1159</v>
      </c>
      <c r="B187" t="s">
        <v>2052</v>
      </c>
      <c r="C187" t="s">
        <v>2576</v>
      </c>
      <c r="D187">
        <v>30265</v>
      </c>
    </row>
    <row r="188" spans="1:4">
      <c r="A188" t="s">
        <v>1159</v>
      </c>
      <c r="B188" t="s">
        <v>2052</v>
      </c>
      <c r="C188" t="s">
        <v>2577</v>
      </c>
      <c r="D188">
        <v>40936</v>
      </c>
    </row>
    <row r="189" spans="1:4">
      <c r="A189" t="s">
        <v>1159</v>
      </c>
      <c r="B189" t="s">
        <v>2052</v>
      </c>
      <c r="C189" t="s">
        <v>2578</v>
      </c>
      <c r="D189">
        <v>7288</v>
      </c>
    </row>
    <row r="190" spans="1:4">
      <c r="A190" t="s">
        <v>1159</v>
      </c>
      <c r="B190" t="s">
        <v>2052</v>
      </c>
      <c r="C190" t="s">
        <v>2579</v>
      </c>
      <c r="D190">
        <v>28758</v>
      </c>
    </row>
    <row r="191" spans="1:4">
      <c r="A191" t="s">
        <v>1159</v>
      </c>
      <c r="B191" t="s">
        <v>2052</v>
      </c>
      <c r="C191" t="s">
        <v>2580</v>
      </c>
      <c r="D191">
        <v>10475</v>
      </c>
    </row>
    <row r="192" spans="1:4">
      <c r="A192" t="s">
        <v>1159</v>
      </c>
      <c r="B192" t="s">
        <v>2052</v>
      </c>
      <c r="C192" t="s">
        <v>2581</v>
      </c>
      <c r="D192">
        <v>15486</v>
      </c>
    </row>
    <row r="193" spans="1:4">
      <c r="A193" t="s">
        <v>1159</v>
      </c>
      <c r="B193" t="s">
        <v>2052</v>
      </c>
      <c r="C193" t="s">
        <v>2582</v>
      </c>
      <c r="D193">
        <v>2490</v>
      </c>
    </row>
    <row r="194" spans="1:4">
      <c r="A194" t="s">
        <v>1159</v>
      </c>
      <c r="B194" t="s">
        <v>2052</v>
      </c>
      <c r="C194" t="s">
        <v>2583</v>
      </c>
      <c r="D194">
        <v>1822</v>
      </c>
    </row>
    <row r="195" spans="1:4">
      <c r="A195" t="s">
        <v>1159</v>
      </c>
      <c r="B195" t="s">
        <v>2052</v>
      </c>
      <c r="C195" t="s">
        <v>2584</v>
      </c>
      <c r="D195">
        <v>9260</v>
      </c>
    </row>
    <row r="196" spans="1:4">
      <c r="A196" t="s">
        <v>1159</v>
      </c>
      <c r="B196" t="s">
        <v>2052</v>
      </c>
      <c r="C196" t="s">
        <v>2585</v>
      </c>
      <c r="D196">
        <v>39954</v>
      </c>
    </row>
    <row r="197" spans="1:4">
      <c r="A197" t="s">
        <v>1159</v>
      </c>
      <c r="B197" t="s">
        <v>2052</v>
      </c>
      <c r="C197" t="s">
        <v>2586</v>
      </c>
      <c r="D197">
        <v>1742</v>
      </c>
    </row>
    <row r="198" spans="1:4">
      <c r="A198" t="s">
        <v>1159</v>
      </c>
      <c r="B198" t="s">
        <v>2052</v>
      </c>
      <c r="C198" t="s">
        <v>2587</v>
      </c>
      <c r="D198">
        <v>1905</v>
      </c>
    </row>
    <row r="199" spans="1:4">
      <c r="A199" t="s">
        <v>1159</v>
      </c>
      <c r="B199" t="s">
        <v>2052</v>
      </c>
      <c r="C199" t="s">
        <v>2588</v>
      </c>
      <c r="D199">
        <v>14808</v>
      </c>
    </row>
    <row r="200" spans="1:4">
      <c r="A200" t="s">
        <v>1159</v>
      </c>
      <c r="B200" t="s">
        <v>2052</v>
      </c>
      <c r="C200" t="s">
        <v>2589</v>
      </c>
      <c r="D200">
        <v>4894</v>
      </c>
    </row>
  </sheetData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4"/>
  <sheetViews>
    <sheetView topLeftCell="G167" workbookViewId="0">
      <selection activeCell="J180" sqref="J180"/>
    </sheetView>
  </sheetViews>
  <sheetFormatPr defaultRowHeight="15"/>
  <cols>
    <col min="1" max="1" width="3.28515625" bestFit="1" customWidth="1"/>
    <col min="2" max="2" width="1.85546875" bestFit="1" customWidth="1"/>
    <col min="3" max="5" width="3.5703125" bestFit="1" customWidth="1"/>
    <col min="6" max="6" width="2.7109375" customWidth="1"/>
    <col min="7" max="7" width="54.140625" customWidth="1"/>
    <col min="8" max="10" width="11.42578125" bestFit="1" customWidth="1"/>
  </cols>
  <sheetData>
    <row r="1" spans="1:10">
      <c r="A1" s="274"/>
      <c r="B1" s="274"/>
      <c r="C1" s="274" t="s">
        <v>906</v>
      </c>
      <c r="D1" s="274"/>
      <c r="E1" s="274"/>
      <c r="F1" s="274"/>
      <c r="G1" s="275" t="s">
        <v>55</v>
      </c>
      <c r="H1" s="276">
        <v>633128</v>
      </c>
      <c r="I1" s="276">
        <v>633128</v>
      </c>
      <c r="J1" s="276">
        <v>633128</v>
      </c>
    </row>
    <row r="2" spans="1:10" ht="21">
      <c r="A2" s="274"/>
      <c r="B2" s="857"/>
      <c r="C2" s="857"/>
      <c r="D2" s="857" t="s">
        <v>849</v>
      </c>
      <c r="E2" s="857"/>
      <c r="F2" s="857"/>
      <c r="G2" s="858" t="s">
        <v>935</v>
      </c>
      <c r="H2" s="859">
        <v>633128</v>
      </c>
      <c r="I2" s="859">
        <v>633128</v>
      </c>
      <c r="J2" s="859">
        <v>633128</v>
      </c>
    </row>
    <row r="3" spans="1:10">
      <c r="A3" s="274"/>
      <c r="B3" s="857"/>
      <c r="C3" s="857" t="s">
        <v>936</v>
      </c>
      <c r="D3" s="857"/>
      <c r="E3" s="857"/>
      <c r="F3" s="857"/>
      <c r="G3" s="858" t="s">
        <v>937</v>
      </c>
      <c r="H3" s="859">
        <v>3390877</v>
      </c>
      <c r="I3" s="859">
        <v>3409094</v>
      </c>
      <c r="J3" s="859">
        <v>3409094</v>
      </c>
    </row>
    <row r="4" spans="1:10" ht="21">
      <c r="A4" s="274"/>
      <c r="B4" s="857"/>
      <c r="C4" s="857"/>
      <c r="D4" s="857" t="s">
        <v>915</v>
      </c>
      <c r="E4" s="857"/>
      <c r="F4" s="857"/>
      <c r="G4" s="858" t="s">
        <v>934</v>
      </c>
      <c r="H4" s="859">
        <v>3035962</v>
      </c>
      <c r="I4" s="859">
        <v>3061501</v>
      </c>
      <c r="J4" s="859">
        <v>3061501</v>
      </c>
    </row>
    <row r="5" spans="1:10" ht="21">
      <c r="A5" s="274"/>
      <c r="B5" s="857"/>
      <c r="C5" s="857"/>
      <c r="D5" s="857" t="s">
        <v>912</v>
      </c>
      <c r="E5" s="857"/>
      <c r="F5" s="857"/>
      <c r="G5" s="858" t="s">
        <v>938</v>
      </c>
      <c r="H5" s="859">
        <v>354915</v>
      </c>
      <c r="I5" s="859">
        <v>347593</v>
      </c>
      <c r="J5" s="859">
        <v>347593</v>
      </c>
    </row>
    <row r="6" spans="1:10">
      <c r="A6" s="274"/>
      <c r="B6" s="857"/>
      <c r="C6" s="857"/>
      <c r="D6" s="857"/>
      <c r="E6" s="857" t="s">
        <v>905</v>
      </c>
      <c r="F6" s="857"/>
      <c r="G6" s="858" t="s">
        <v>918</v>
      </c>
      <c r="H6" s="859">
        <v>0</v>
      </c>
      <c r="I6" s="859">
        <v>0</v>
      </c>
      <c r="J6" s="859">
        <v>347593</v>
      </c>
    </row>
    <row r="7" spans="1:10">
      <c r="A7" s="857"/>
      <c r="B7" s="857"/>
      <c r="C7" s="857" t="s">
        <v>939</v>
      </c>
      <c r="D7" s="857"/>
      <c r="E7" s="857"/>
      <c r="F7" s="857"/>
      <c r="G7" s="858" t="s">
        <v>940</v>
      </c>
      <c r="H7" s="859">
        <v>522906</v>
      </c>
      <c r="I7" s="859">
        <v>511689</v>
      </c>
      <c r="J7" s="859">
        <v>511689</v>
      </c>
    </row>
    <row r="8" spans="1:10" ht="21">
      <c r="A8" s="857"/>
      <c r="B8" s="857"/>
      <c r="C8" s="857"/>
      <c r="D8" s="857" t="s">
        <v>915</v>
      </c>
      <c r="E8" s="857"/>
      <c r="F8" s="857"/>
      <c r="G8" s="858" t="s">
        <v>934</v>
      </c>
      <c r="H8" s="859">
        <v>444362</v>
      </c>
      <c r="I8" s="859">
        <v>444362</v>
      </c>
      <c r="J8" s="859">
        <v>444362</v>
      </c>
    </row>
    <row r="9" spans="1:10" ht="21">
      <c r="A9" s="857"/>
      <c r="B9" s="857"/>
      <c r="C9" s="857"/>
      <c r="D9" s="857" t="s">
        <v>912</v>
      </c>
      <c r="E9" s="857"/>
      <c r="F9" s="857"/>
      <c r="G9" s="858" t="s">
        <v>938</v>
      </c>
      <c r="H9" s="859">
        <v>78544</v>
      </c>
      <c r="I9" s="859">
        <v>67327</v>
      </c>
      <c r="J9" s="859">
        <v>67327</v>
      </c>
    </row>
    <row r="10" spans="1:10">
      <c r="A10" s="857"/>
      <c r="B10" s="857"/>
      <c r="C10" s="857"/>
      <c r="D10" s="857"/>
      <c r="E10" s="857" t="s">
        <v>905</v>
      </c>
      <c r="F10" s="857"/>
      <c r="G10" s="858" t="s">
        <v>918</v>
      </c>
      <c r="H10" s="859">
        <v>0</v>
      </c>
      <c r="I10" s="859">
        <v>0</v>
      </c>
      <c r="J10" s="859">
        <v>67327</v>
      </c>
    </row>
    <row r="11" spans="1:10">
      <c r="A11" s="857"/>
      <c r="B11" s="857"/>
      <c r="C11" s="857" t="s">
        <v>939</v>
      </c>
      <c r="D11" s="857"/>
      <c r="E11" s="857"/>
      <c r="F11" s="857"/>
      <c r="G11" s="858" t="s">
        <v>940</v>
      </c>
      <c r="H11" s="859">
        <v>169865</v>
      </c>
      <c r="I11" s="859">
        <v>247485</v>
      </c>
      <c r="J11" s="859">
        <v>247485</v>
      </c>
    </row>
    <row r="12" spans="1:10">
      <c r="A12" s="857"/>
      <c r="B12" s="857"/>
      <c r="C12" s="857"/>
      <c r="D12" s="857" t="s">
        <v>850</v>
      </c>
      <c r="E12" s="857"/>
      <c r="F12" s="857"/>
      <c r="G12" s="858" t="s">
        <v>942</v>
      </c>
      <c r="H12" s="859">
        <v>169865</v>
      </c>
      <c r="I12" s="859">
        <v>247485</v>
      </c>
      <c r="J12" s="859">
        <v>247485</v>
      </c>
    </row>
    <row r="13" spans="1:10">
      <c r="A13" s="857"/>
      <c r="B13" s="857"/>
      <c r="C13" s="857" t="s">
        <v>906</v>
      </c>
      <c r="D13" s="857"/>
      <c r="E13" s="857"/>
      <c r="F13" s="857"/>
      <c r="G13" s="858" t="s">
        <v>55</v>
      </c>
      <c r="H13" s="859">
        <v>22932339</v>
      </c>
      <c r="I13" s="859">
        <v>22178837</v>
      </c>
      <c r="J13" s="859">
        <v>22178837</v>
      </c>
    </row>
    <row r="14" spans="1:10" ht="21">
      <c r="A14" s="857"/>
      <c r="B14" s="857"/>
      <c r="C14" s="857"/>
      <c r="D14" s="857" t="s">
        <v>850</v>
      </c>
      <c r="E14" s="857"/>
      <c r="F14" s="857"/>
      <c r="G14" s="858" t="s">
        <v>944</v>
      </c>
      <c r="H14" s="859">
        <v>22932339</v>
      </c>
      <c r="I14" s="859">
        <v>22178837</v>
      </c>
      <c r="J14" s="859">
        <v>22178837</v>
      </c>
    </row>
    <row r="15" spans="1:10" ht="21">
      <c r="A15" s="857"/>
      <c r="B15" s="857"/>
      <c r="C15" s="857"/>
      <c r="D15" s="857" t="s">
        <v>873</v>
      </c>
      <c r="E15" s="857"/>
      <c r="F15" s="857"/>
      <c r="G15" s="858" t="s">
        <v>947</v>
      </c>
      <c r="H15" s="859">
        <v>1625858</v>
      </c>
      <c r="I15" s="859">
        <v>1749960</v>
      </c>
      <c r="J15" s="859">
        <v>1749960</v>
      </c>
    </row>
    <row r="16" spans="1:10">
      <c r="A16" s="857"/>
      <c r="B16" s="857"/>
      <c r="C16" s="857"/>
      <c r="D16" s="857" t="s">
        <v>887</v>
      </c>
      <c r="E16" s="857"/>
      <c r="F16" s="857"/>
      <c r="G16" s="858" t="s">
        <v>945</v>
      </c>
      <c r="H16" s="859">
        <v>1500000</v>
      </c>
      <c r="I16" s="859">
        <v>87360</v>
      </c>
      <c r="J16" s="859">
        <v>87360</v>
      </c>
    </row>
    <row r="17" spans="1:10">
      <c r="A17" s="857"/>
      <c r="B17" s="857"/>
      <c r="C17" s="857" t="s">
        <v>936</v>
      </c>
      <c r="D17" s="857"/>
      <c r="E17" s="857"/>
      <c r="F17" s="857"/>
      <c r="G17" s="858" t="s">
        <v>937</v>
      </c>
      <c r="H17" s="859">
        <v>248575</v>
      </c>
      <c r="I17" s="859">
        <v>251301.8</v>
      </c>
      <c r="J17" s="859">
        <v>251301.8</v>
      </c>
    </row>
    <row r="18" spans="1:10" ht="21">
      <c r="A18" s="857"/>
      <c r="B18" s="857"/>
      <c r="C18" s="857"/>
      <c r="D18" s="857" t="s">
        <v>898</v>
      </c>
      <c r="E18" s="857"/>
      <c r="F18" s="857"/>
      <c r="G18" s="858" t="s">
        <v>948</v>
      </c>
      <c r="H18" s="859">
        <v>248575</v>
      </c>
      <c r="I18" s="859">
        <v>251301.8</v>
      </c>
      <c r="J18" s="859">
        <v>251301.8</v>
      </c>
    </row>
    <row r="19" spans="1:10">
      <c r="A19" s="864" t="s">
        <v>950</v>
      </c>
      <c r="B19" s="864"/>
      <c r="C19" s="864"/>
      <c r="D19" s="864"/>
      <c r="E19" s="864"/>
      <c r="F19" s="864"/>
      <c r="G19" s="865" t="s">
        <v>951</v>
      </c>
      <c r="H19" s="866">
        <v>674254394</v>
      </c>
      <c r="I19" s="866">
        <v>737097316.60000002</v>
      </c>
      <c r="J19" s="866">
        <v>736268998.39999998</v>
      </c>
    </row>
    <row r="20" spans="1:10">
      <c r="A20" s="280"/>
      <c r="B20" s="280" t="s">
        <v>844</v>
      </c>
      <c r="C20" s="280"/>
      <c r="D20" s="280"/>
      <c r="E20" s="280"/>
      <c r="F20" s="280"/>
      <c r="G20" s="281" t="s">
        <v>952</v>
      </c>
      <c r="H20" s="282">
        <v>8187311</v>
      </c>
      <c r="I20" s="282">
        <v>8630762</v>
      </c>
      <c r="J20" s="282">
        <v>8630762</v>
      </c>
    </row>
    <row r="21" spans="1:10">
      <c r="A21" s="280"/>
      <c r="B21" s="280"/>
      <c r="C21" s="280" t="s">
        <v>900</v>
      </c>
      <c r="D21" s="280"/>
      <c r="E21" s="280"/>
      <c r="F21" s="280"/>
      <c r="G21" s="281" t="s">
        <v>57</v>
      </c>
      <c r="H21" s="282">
        <v>2199530</v>
      </c>
      <c r="I21" s="282">
        <v>2206107</v>
      </c>
      <c r="J21" s="282">
        <v>2206107</v>
      </c>
    </row>
    <row r="22" spans="1:10" ht="21">
      <c r="A22" s="280"/>
      <c r="B22" s="280"/>
      <c r="C22" s="280"/>
      <c r="D22" s="280" t="s">
        <v>882</v>
      </c>
      <c r="E22" s="280"/>
      <c r="F22" s="280"/>
      <c r="G22" s="281" t="s">
        <v>953</v>
      </c>
      <c r="H22" s="282">
        <v>2199530</v>
      </c>
      <c r="I22" s="282">
        <v>2206107</v>
      </c>
      <c r="J22" s="282">
        <v>2206107</v>
      </c>
    </row>
    <row r="23" spans="1:10">
      <c r="A23" s="280"/>
      <c r="B23" s="280"/>
      <c r="C23" s="280" t="s">
        <v>923</v>
      </c>
      <c r="D23" s="280"/>
      <c r="E23" s="280"/>
      <c r="F23" s="280"/>
      <c r="G23" s="281" t="s">
        <v>61</v>
      </c>
      <c r="H23" s="282">
        <v>4149890</v>
      </c>
      <c r="I23" s="282">
        <v>3999890</v>
      </c>
      <c r="J23" s="282">
        <v>3999890</v>
      </c>
    </row>
    <row r="24" spans="1:10">
      <c r="A24" s="280"/>
      <c r="B24" s="280"/>
      <c r="C24" s="280"/>
      <c r="D24" s="280" t="s">
        <v>881</v>
      </c>
      <c r="E24" s="280"/>
      <c r="F24" s="280"/>
      <c r="G24" s="281" t="s">
        <v>955</v>
      </c>
      <c r="H24" s="282">
        <v>4149890</v>
      </c>
      <c r="I24" s="282">
        <v>3999890</v>
      </c>
      <c r="J24" s="282">
        <v>3999890</v>
      </c>
    </row>
    <row r="25" spans="1:10">
      <c r="A25" s="643"/>
      <c r="B25" s="643"/>
      <c r="C25" s="643" t="s">
        <v>936</v>
      </c>
      <c r="D25" s="643"/>
      <c r="E25" s="643"/>
      <c r="F25" s="643"/>
      <c r="G25" s="644" t="s">
        <v>937</v>
      </c>
      <c r="H25" s="645">
        <v>1201963</v>
      </c>
      <c r="I25" s="645">
        <v>1771209</v>
      </c>
      <c r="J25" s="645">
        <v>1771209</v>
      </c>
    </row>
    <row r="26" spans="1:10" ht="42">
      <c r="A26" s="280"/>
      <c r="B26" s="280"/>
      <c r="C26" s="280"/>
      <c r="D26" s="280" t="s">
        <v>862</v>
      </c>
      <c r="E26" s="280"/>
      <c r="F26" s="280"/>
      <c r="G26" s="281" t="s">
        <v>956</v>
      </c>
      <c r="H26" s="282">
        <v>1201963</v>
      </c>
      <c r="I26" s="282">
        <v>1771209</v>
      </c>
      <c r="J26" s="282">
        <v>1771209</v>
      </c>
    </row>
    <row r="27" spans="1:10">
      <c r="A27" s="280"/>
      <c r="B27" s="280"/>
      <c r="C27" s="280"/>
      <c r="D27" s="280"/>
      <c r="E27" s="280" t="s">
        <v>858</v>
      </c>
      <c r="F27" s="280"/>
      <c r="G27" s="281" t="s">
        <v>921</v>
      </c>
      <c r="H27" s="282">
        <v>0</v>
      </c>
      <c r="I27" s="282">
        <v>0</v>
      </c>
      <c r="J27" s="282">
        <v>1666744</v>
      </c>
    </row>
    <row r="28" spans="1:10">
      <c r="A28" s="280"/>
      <c r="B28" s="280"/>
      <c r="C28" s="280"/>
      <c r="D28" s="280"/>
      <c r="E28" s="280" t="s">
        <v>905</v>
      </c>
      <c r="F28" s="280"/>
      <c r="G28" s="281" t="s">
        <v>918</v>
      </c>
      <c r="H28" s="282">
        <v>0</v>
      </c>
      <c r="I28" s="282">
        <v>0</v>
      </c>
      <c r="J28" s="282">
        <v>104465</v>
      </c>
    </row>
    <row r="29" spans="1:10">
      <c r="A29" s="643"/>
      <c r="B29" s="643"/>
      <c r="C29" s="643" t="s">
        <v>939</v>
      </c>
      <c r="D29" s="643"/>
      <c r="E29" s="643"/>
      <c r="F29" s="643"/>
      <c r="G29" s="644" t="s">
        <v>940</v>
      </c>
      <c r="H29" s="645">
        <v>635928</v>
      </c>
      <c r="I29" s="645">
        <v>653556</v>
      </c>
      <c r="J29" s="645">
        <v>653556</v>
      </c>
    </row>
    <row r="30" spans="1:10" ht="42">
      <c r="A30" s="280"/>
      <c r="B30" s="280"/>
      <c r="C30" s="280"/>
      <c r="D30" s="280" t="s">
        <v>862</v>
      </c>
      <c r="E30" s="280"/>
      <c r="F30" s="280"/>
      <c r="G30" s="281" t="s">
        <v>956</v>
      </c>
      <c r="H30" s="282">
        <v>635928</v>
      </c>
      <c r="I30" s="282">
        <v>653556</v>
      </c>
      <c r="J30" s="282">
        <v>653556</v>
      </c>
    </row>
    <row r="31" spans="1:10">
      <c r="A31" s="280"/>
      <c r="B31" s="280"/>
      <c r="C31" s="280"/>
      <c r="D31" s="280"/>
      <c r="E31" s="280" t="s">
        <v>858</v>
      </c>
      <c r="F31" s="280"/>
      <c r="G31" s="281" t="s">
        <v>921</v>
      </c>
      <c r="H31" s="282">
        <v>0</v>
      </c>
      <c r="I31" s="282">
        <v>0</v>
      </c>
      <c r="J31" s="282">
        <v>517590</v>
      </c>
    </row>
    <row r="32" spans="1:10">
      <c r="A32" s="280"/>
      <c r="B32" s="280"/>
      <c r="C32" s="280"/>
      <c r="D32" s="280"/>
      <c r="E32" s="280" t="s">
        <v>905</v>
      </c>
      <c r="F32" s="280"/>
      <c r="G32" s="281" t="s">
        <v>918</v>
      </c>
      <c r="H32" s="282">
        <v>0</v>
      </c>
      <c r="I32" s="282">
        <v>0</v>
      </c>
      <c r="J32" s="282">
        <v>135966</v>
      </c>
    </row>
    <row r="33" spans="1:10">
      <c r="A33" s="280"/>
      <c r="B33" s="280" t="s">
        <v>878</v>
      </c>
      <c r="C33" s="280"/>
      <c r="D33" s="280"/>
      <c r="E33" s="280"/>
      <c r="F33" s="280"/>
      <c r="G33" s="281" t="s">
        <v>957</v>
      </c>
      <c r="H33" s="282">
        <v>259666712</v>
      </c>
      <c r="I33" s="282">
        <v>279257918.80000001</v>
      </c>
      <c r="J33" s="282">
        <v>263024906.80000001</v>
      </c>
    </row>
    <row r="34" spans="1:10">
      <c r="A34" s="294"/>
      <c r="B34" s="294"/>
      <c r="C34" s="294" t="s">
        <v>904</v>
      </c>
      <c r="D34" s="294"/>
      <c r="E34" s="294"/>
      <c r="F34" s="294"/>
      <c r="G34" s="295" t="s">
        <v>59</v>
      </c>
      <c r="H34" s="296">
        <v>425488</v>
      </c>
      <c r="I34" s="296">
        <v>425488</v>
      </c>
      <c r="J34" s="296">
        <v>425488</v>
      </c>
    </row>
    <row r="35" spans="1:10">
      <c r="A35" s="294"/>
      <c r="B35" s="294"/>
      <c r="C35" s="294"/>
      <c r="D35" s="294" t="s">
        <v>885</v>
      </c>
      <c r="E35" s="294"/>
      <c r="F35" s="294"/>
      <c r="G35" s="295" t="s">
        <v>958</v>
      </c>
      <c r="H35" s="296">
        <v>425488</v>
      </c>
      <c r="I35" s="296">
        <v>425488</v>
      </c>
      <c r="J35" s="296">
        <v>425488</v>
      </c>
    </row>
    <row r="36" spans="1:10">
      <c r="A36" s="280"/>
      <c r="B36" s="280"/>
      <c r="C36" s="280" t="s">
        <v>906</v>
      </c>
      <c r="D36" s="280"/>
      <c r="E36" s="280"/>
      <c r="F36" s="280"/>
      <c r="G36" s="281" t="s">
        <v>55</v>
      </c>
      <c r="H36" s="282">
        <v>243092410</v>
      </c>
      <c r="I36" s="282">
        <v>261630971</v>
      </c>
      <c r="J36" s="276" t="e">
        <f>SUM(J37:J41)</f>
        <v>#REF!</v>
      </c>
    </row>
    <row r="37" spans="1:10" ht="21">
      <c r="A37" s="280"/>
      <c r="B37" s="280"/>
      <c r="C37" s="280"/>
      <c r="D37" s="280" t="s">
        <v>863</v>
      </c>
      <c r="E37" s="280"/>
      <c r="F37" s="280"/>
      <c r="G37" s="281" t="s">
        <v>960</v>
      </c>
      <c r="H37" s="282">
        <v>10833032</v>
      </c>
      <c r="I37" s="282">
        <v>10833032</v>
      </c>
      <c r="J37" s="282">
        <v>10833032</v>
      </c>
    </row>
    <row r="38" spans="1:10">
      <c r="A38" s="280"/>
      <c r="B38" s="280"/>
      <c r="C38" s="280"/>
      <c r="D38" s="280" t="s">
        <v>881</v>
      </c>
      <c r="E38" s="280"/>
      <c r="F38" s="280"/>
      <c r="G38" s="281" t="s">
        <v>961</v>
      </c>
      <c r="H38" s="282">
        <v>52629</v>
      </c>
      <c r="I38" s="282">
        <v>52629</v>
      </c>
      <c r="J38" s="282">
        <v>52629</v>
      </c>
    </row>
    <row r="39" spans="1:10" ht="21">
      <c r="A39" s="302"/>
      <c r="B39" s="302"/>
      <c r="C39" s="302"/>
      <c r="D39" s="302" t="s">
        <v>891</v>
      </c>
      <c r="E39" s="302"/>
      <c r="F39" s="302"/>
      <c r="G39" s="303" t="s">
        <v>962</v>
      </c>
      <c r="H39" s="304">
        <v>210618374</v>
      </c>
      <c r="I39" s="304">
        <v>234243100</v>
      </c>
      <c r="J39" s="651" t="e">
        <f>'036 гобм'!#REF!</f>
        <v>#REF!</v>
      </c>
    </row>
    <row r="40" spans="1:10" ht="21">
      <c r="A40" s="280"/>
      <c r="B40" s="280"/>
      <c r="C40" s="280"/>
      <c r="D40" s="280" t="s">
        <v>879</v>
      </c>
      <c r="E40" s="280"/>
      <c r="F40" s="280"/>
      <c r="G40" s="281" t="s">
        <v>963</v>
      </c>
      <c r="H40" s="282">
        <v>21588375</v>
      </c>
      <c r="I40" s="282">
        <v>16502210</v>
      </c>
      <c r="J40" s="282">
        <v>0</v>
      </c>
    </row>
    <row r="41" spans="1:10" ht="21">
      <c r="A41" s="280"/>
      <c r="B41" s="280"/>
      <c r="C41" s="280"/>
      <c r="D41" s="280" t="s">
        <v>860</v>
      </c>
      <c r="E41" s="280"/>
      <c r="F41" s="280"/>
      <c r="G41" s="281" t="s">
        <v>925</v>
      </c>
      <c r="H41" s="282">
        <v>0</v>
      </c>
      <c r="I41" s="282">
        <v>0</v>
      </c>
      <c r="J41" s="282">
        <v>274082</v>
      </c>
    </row>
    <row r="42" spans="1:10">
      <c r="A42" s="643"/>
      <c r="B42" s="643"/>
      <c r="C42" s="643" t="s">
        <v>936</v>
      </c>
      <c r="D42" s="643"/>
      <c r="E42" s="643"/>
      <c r="F42" s="643"/>
      <c r="G42" s="644" t="s">
        <v>937</v>
      </c>
      <c r="H42" s="645">
        <v>9804437</v>
      </c>
      <c r="I42" s="645">
        <v>10408300.800000001</v>
      </c>
      <c r="J42" s="645">
        <v>10404300.800000001</v>
      </c>
    </row>
    <row r="43" spans="1:10" ht="21">
      <c r="A43" s="280"/>
      <c r="B43" s="280"/>
      <c r="C43" s="280"/>
      <c r="D43" s="280" t="s">
        <v>851</v>
      </c>
      <c r="E43" s="280"/>
      <c r="F43" s="280"/>
      <c r="G43" s="281" t="s">
        <v>964</v>
      </c>
      <c r="H43" s="282">
        <v>5584323</v>
      </c>
      <c r="I43" s="282">
        <v>5795087</v>
      </c>
      <c r="J43" s="282">
        <v>5795087</v>
      </c>
    </row>
    <row r="44" spans="1:10">
      <c r="A44" s="280"/>
      <c r="B44" s="280"/>
      <c r="C44" s="280"/>
      <c r="D44" s="280"/>
      <c r="E44" s="280" t="s">
        <v>905</v>
      </c>
      <c r="F44" s="280"/>
      <c r="G44" s="281" t="s">
        <v>918</v>
      </c>
      <c r="H44" s="282">
        <v>0</v>
      </c>
      <c r="I44" s="282">
        <v>0</v>
      </c>
      <c r="J44" s="282">
        <v>5795087</v>
      </c>
    </row>
    <row r="45" spans="1:10">
      <c r="A45" s="280"/>
      <c r="B45" s="280"/>
      <c r="C45" s="280"/>
      <c r="D45" s="280" t="s">
        <v>863</v>
      </c>
      <c r="E45" s="280"/>
      <c r="F45" s="280"/>
      <c r="G45" s="281" t="s">
        <v>965</v>
      </c>
      <c r="H45" s="282">
        <v>2736509</v>
      </c>
      <c r="I45" s="282">
        <v>2812575</v>
      </c>
      <c r="J45" s="282">
        <v>2812575</v>
      </c>
    </row>
    <row r="46" spans="1:10">
      <c r="A46" s="280"/>
      <c r="B46" s="280"/>
      <c r="C46" s="280"/>
      <c r="D46" s="280" t="s">
        <v>864</v>
      </c>
      <c r="E46" s="280"/>
      <c r="F46" s="280"/>
      <c r="G46" s="281" t="s">
        <v>966</v>
      </c>
      <c r="H46" s="282">
        <v>1459546</v>
      </c>
      <c r="I46" s="282">
        <v>1755114</v>
      </c>
      <c r="J46" s="282">
        <v>1755114</v>
      </c>
    </row>
    <row r="47" spans="1:10">
      <c r="A47" s="280"/>
      <c r="B47" s="280"/>
      <c r="C47" s="280"/>
      <c r="D47" s="280"/>
      <c r="E47" s="280" t="s">
        <v>858</v>
      </c>
      <c r="F47" s="280"/>
      <c r="G47" s="281" t="s">
        <v>921</v>
      </c>
      <c r="H47" s="282">
        <v>0</v>
      </c>
      <c r="I47" s="282">
        <v>0</v>
      </c>
      <c r="J47" s="282">
        <v>937988</v>
      </c>
    </row>
    <row r="48" spans="1:10">
      <c r="A48" s="280"/>
      <c r="B48" s="280"/>
      <c r="C48" s="280"/>
      <c r="D48" s="280"/>
      <c r="E48" s="280" t="s">
        <v>905</v>
      </c>
      <c r="F48" s="280"/>
      <c r="G48" s="281" t="s">
        <v>918</v>
      </c>
      <c r="H48" s="282">
        <v>0</v>
      </c>
      <c r="I48" s="282">
        <v>0</v>
      </c>
      <c r="J48" s="282">
        <v>817126</v>
      </c>
    </row>
    <row r="49" spans="1:10" ht="31.5">
      <c r="A49" s="280"/>
      <c r="B49" s="280"/>
      <c r="C49" s="280"/>
      <c r="D49" s="280" t="s">
        <v>910</v>
      </c>
      <c r="E49" s="280"/>
      <c r="F49" s="280"/>
      <c r="G49" s="281" t="s">
        <v>967</v>
      </c>
      <c r="H49" s="282">
        <v>11622</v>
      </c>
      <c r="I49" s="282">
        <v>35920</v>
      </c>
      <c r="J49" s="282">
        <v>31920</v>
      </c>
    </row>
    <row r="50" spans="1:10">
      <c r="A50" s="280"/>
      <c r="B50" s="280"/>
      <c r="C50" s="280"/>
      <c r="D50" s="280"/>
      <c r="E50" s="280" t="s">
        <v>858</v>
      </c>
      <c r="F50" s="280"/>
      <c r="G50" s="281" t="s">
        <v>921</v>
      </c>
      <c r="H50" s="282">
        <v>0</v>
      </c>
      <c r="I50" s="282">
        <v>0</v>
      </c>
      <c r="J50" s="282">
        <v>31920</v>
      </c>
    </row>
    <row r="51" spans="1:10">
      <c r="A51" s="280"/>
      <c r="B51" s="280"/>
      <c r="C51" s="280"/>
      <c r="D51" s="280" t="s">
        <v>875</v>
      </c>
      <c r="E51" s="280"/>
      <c r="F51" s="280"/>
      <c r="G51" s="281" t="s">
        <v>968</v>
      </c>
      <c r="H51" s="282">
        <v>12437</v>
      </c>
      <c r="I51" s="282">
        <v>9604.7999999999993</v>
      </c>
      <c r="J51" s="282">
        <v>9604.7999999999993</v>
      </c>
    </row>
    <row r="52" spans="1:10">
      <c r="A52" s="643"/>
      <c r="B52" s="643"/>
      <c r="C52" s="643" t="s">
        <v>939</v>
      </c>
      <c r="D52" s="643"/>
      <c r="E52" s="643"/>
      <c r="F52" s="643"/>
      <c r="G52" s="644" t="s">
        <v>940</v>
      </c>
      <c r="H52" s="645">
        <v>1850201</v>
      </c>
      <c r="I52" s="645">
        <v>1936437</v>
      </c>
      <c r="J52" s="645">
        <v>1935553</v>
      </c>
    </row>
    <row r="53" spans="1:10" ht="21">
      <c r="A53" s="280"/>
      <c r="B53" s="280"/>
      <c r="C53" s="280"/>
      <c r="D53" s="280" t="s">
        <v>851</v>
      </c>
      <c r="E53" s="280"/>
      <c r="F53" s="280"/>
      <c r="G53" s="281" t="s">
        <v>964</v>
      </c>
      <c r="H53" s="282">
        <v>1007048</v>
      </c>
      <c r="I53" s="282">
        <v>1096326</v>
      </c>
      <c r="J53" s="282">
        <v>1096326</v>
      </c>
    </row>
    <row r="54" spans="1:10">
      <c r="A54" s="280"/>
      <c r="B54" s="280"/>
      <c r="C54" s="280"/>
      <c r="D54" s="280"/>
      <c r="E54" s="280" t="s">
        <v>905</v>
      </c>
      <c r="F54" s="280"/>
      <c r="G54" s="281" t="s">
        <v>918</v>
      </c>
      <c r="H54" s="282">
        <v>0</v>
      </c>
      <c r="I54" s="282">
        <v>0</v>
      </c>
      <c r="J54" s="282">
        <v>1096326</v>
      </c>
    </row>
    <row r="55" spans="1:10">
      <c r="A55" s="280"/>
      <c r="B55" s="280"/>
      <c r="C55" s="280"/>
      <c r="D55" s="280" t="s">
        <v>863</v>
      </c>
      <c r="E55" s="280"/>
      <c r="F55" s="280"/>
      <c r="G55" s="281" t="s">
        <v>965</v>
      </c>
      <c r="H55" s="282">
        <v>499485</v>
      </c>
      <c r="I55" s="282">
        <v>494524</v>
      </c>
      <c r="J55" s="282">
        <v>494524</v>
      </c>
    </row>
    <row r="56" spans="1:10">
      <c r="A56" s="280"/>
      <c r="B56" s="280"/>
      <c r="C56" s="280"/>
      <c r="D56" s="280" t="s">
        <v>864</v>
      </c>
      <c r="E56" s="280"/>
      <c r="F56" s="280"/>
      <c r="G56" s="281" t="s">
        <v>966</v>
      </c>
      <c r="H56" s="282">
        <v>341749</v>
      </c>
      <c r="I56" s="282">
        <v>341749</v>
      </c>
      <c r="J56" s="282">
        <v>341749</v>
      </c>
    </row>
    <row r="57" spans="1:10">
      <c r="A57" s="280"/>
      <c r="B57" s="280"/>
      <c r="C57" s="280"/>
      <c r="D57" s="280"/>
      <c r="E57" s="280" t="s">
        <v>858</v>
      </c>
      <c r="F57" s="280"/>
      <c r="G57" s="281" t="s">
        <v>921</v>
      </c>
      <c r="H57" s="282">
        <v>0</v>
      </c>
      <c r="I57" s="282">
        <v>0</v>
      </c>
      <c r="J57" s="282">
        <v>112141</v>
      </c>
    </row>
    <row r="58" spans="1:10">
      <c r="A58" s="280"/>
      <c r="B58" s="280"/>
      <c r="C58" s="280"/>
      <c r="D58" s="280"/>
      <c r="E58" s="280" t="s">
        <v>905</v>
      </c>
      <c r="F58" s="280"/>
      <c r="G58" s="281" t="s">
        <v>918</v>
      </c>
      <c r="H58" s="282">
        <v>0</v>
      </c>
      <c r="I58" s="282">
        <v>0</v>
      </c>
      <c r="J58" s="282">
        <v>229608</v>
      </c>
    </row>
    <row r="59" spans="1:10" ht="31.5">
      <c r="A59" s="280"/>
      <c r="B59" s="280"/>
      <c r="C59" s="280"/>
      <c r="D59" s="280" t="s">
        <v>910</v>
      </c>
      <c r="E59" s="280"/>
      <c r="F59" s="280"/>
      <c r="G59" s="281" t="s">
        <v>967</v>
      </c>
      <c r="H59" s="282">
        <v>0</v>
      </c>
      <c r="I59" s="282">
        <v>1919</v>
      </c>
      <c r="J59" s="282">
        <v>1035</v>
      </c>
    </row>
    <row r="60" spans="1:10">
      <c r="A60" s="280"/>
      <c r="B60" s="280"/>
      <c r="C60" s="280"/>
      <c r="D60" s="280"/>
      <c r="E60" s="280" t="s">
        <v>858</v>
      </c>
      <c r="F60" s="280"/>
      <c r="G60" s="281" t="s">
        <v>921</v>
      </c>
      <c r="H60" s="282">
        <v>0</v>
      </c>
      <c r="I60" s="282">
        <v>0</v>
      </c>
      <c r="J60" s="282">
        <v>1035</v>
      </c>
    </row>
    <row r="61" spans="1:10">
      <c r="A61" s="280"/>
      <c r="B61" s="280"/>
      <c r="C61" s="280"/>
      <c r="D61" s="280" t="s">
        <v>875</v>
      </c>
      <c r="E61" s="280"/>
      <c r="F61" s="280"/>
      <c r="G61" s="281" t="s">
        <v>968</v>
      </c>
      <c r="H61" s="282">
        <v>1919</v>
      </c>
      <c r="I61" s="282">
        <v>1919</v>
      </c>
      <c r="J61" s="282">
        <v>1919</v>
      </c>
    </row>
    <row r="62" spans="1:10">
      <c r="A62" s="280"/>
      <c r="B62" s="280"/>
      <c r="C62" s="280" t="s">
        <v>927</v>
      </c>
      <c r="D62" s="280"/>
      <c r="E62" s="280"/>
      <c r="F62" s="280"/>
      <c r="G62" s="281" t="s">
        <v>928</v>
      </c>
      <c r="H62" s="282">
        <v>0</v>
      </c>
      <c r="I62" s="282">
        <v>10530</v>
      </c>
      <c r="J62" s="282">
        <v>10530</v>
      </c>
    </row>
    <row r="63" spans="1:10" ht="21">
      <c r="A63" s="280"/>
      <c r="B63" s="280"/>
      <c r="C63" s="280"/>
      <c r="D63" s="280" t="s">
        <v>897</v>
      </c>
      <c r="E63" s="280"/>
      <c r="F63" s="280"/>
      <c r="G63" s="281" t="s">
        <v>969</v>
      </c>
      <c r="H63" s="282">
        <v>0</v>
      </c>
      <c r="I63" s="282">
        <v>10530</v>
      </c>
      <c r="J63" s="282">
        <v>10530</v>
      </c>
    </row>
    <row r="64" spans="1:10">
      <c r="A64" s="280"/>
      <c r="B64" s="280"/>
      <c r="C64" s="280" t="s">
        <v>929</v>
      </c>
      <c r="D64" s="280"/>
      <c r="E64" s="280"/>
      <c r="F64" s="280"/>
      <c r="G64" s="281" t="s">
        <v>930</v>
      </c>
      <c r="H64" s="282">
        <v>0</v>
      </c>
      <c r="I64" s="282">
        <v>110814</v>
      </c>
      <c r="J64" s="282">
        <v>110814</v>
      </c>
    </row>
    <row r="65" spans="1:10" ht="21">
      <c r="A65" s="280"/>
      <c r="B65" s="280"/>
      <c r="C65" s="280"/>
      <c r="D65" s="280" t="s">
        <v>882</v>
      </c>
      <c r="E65" s="280"/>
      <c r="F65" s="280"/>
      <c r="G65" s="281" t="s">
        <v>969</v>
      </c>
      <c r="H65" s="282">
        <v>0</v>
      </c>
      <c r="I65" s="282">
        <v>110814</v>
      </c>
      <c r="J65" s="282">
        <v>110814</v>
      </c>
    </row>
    <row r="66" spans="1:10">
      <c r="A66" s="280"/>
      <c r="B66" s="280"/>
      <c r="C66" s="280" t="s">
        <v>931</v>
      </c>
      <c r="D66" s="280"/>
      <c r="E66" s="280"/>
      <c r="F66" s="280"/>
      <c r="G66" s="281" t="s">
        <v>932</v>
      </c>
      <c r="H66" s="282">
        <v>0</v>
      </c>
      <c r="I66" s="282">
        <v>28656</v>
      </c>
      <c r="J66" s="282">
        <v>28656</v>
      </c>
    </row>
    <row r="67" spans="1:10" ht="21">
      <c r="A67" s="280"/>
      <c r="B67" s="280"/>
      <c r="C67" s="280"/>
      <c r="D67" s="280" t="s">
        <v>873</v>
      </c>
      <c r="E67" s="280"/>
      <c r="F67" s="280"/>
      <c r="G67" s="281" t="s">
        <v>969</v>
      </c>
      <c r="H67" s="282">
        <v>0</v>
      </c>
      <c r="I67" s="282">
        <v>28656</v>
      </c>
      <c r="J67" s="282">
        <v>28656</v>
      </c>
    </row>
    <row r="68" spans="1:10">
      <c r="A68" s="280"/>
      <c r="B68" s="280"/>
      <c r="C68" s="280" t="s">
        <v>874</v>
      </c>
      <c r="D68" s="280"/>
      <c r="E68" s="280"/>
      <c r="F68" s="280"/>
      <c r="G68" s="281" t="s">
        <v>63</v>
      </c>
      <c r="H68" s="282">
        <v>4494176</v>
      </c>
      <c r="I68" s="282">
        <v>4706722</v>
      </c>
      <c r="J68" s="282">
        <v>4706722</v>
      </c>
    </row>
    <row r="69" spans="1:10">
      <c r="A69" s="280"/>
      <c r="B69" s="280"/>
      <c r="C69" s="280"/>
      <c r="D69" s="280" t="s">
        <v>850</v>
      </c>
      <c r="E69" s="280"/>
      <c r="F69" s="280"/>
      <c r="G69" s="281" t="s">
        <v>970</v>
      </c>
      <c r="H69" s="282">
        <v>121090</v>
      </c>
      <c r="I69" s="282">
        <v>121090</v>
      </c>
      <c r="J69" s="282">
        <v>121090</v>
      </c>
    </row>
    <row r="70" spans="1:10">
      <c r="A70" s="280"/>
      <c r="B70" s="280"/>
      <c r="C70" s="280"/>
      <c r="D70" s="280" t="s">
        <v>862</v>
      </c>
      <c r="E70" s="280"/>
      <c r="F70" s="280"/>
      <c r="G70" s="281" t="s">
        <v>971</v>
      </c>
      <c r="H70" s="282">
        <v>4373086</v>
      </c>
      <c r="I70" s="282">
        <v>4585632</v>
      </c>
      <c r="J70" s="282">
        <v>4585632</v>
      </c>
    </row>
    <row r="71" spans="1:10">
      <c r="A71" s="280"/>
      <c r="B71" s="280" t="s">
        <v>899</v>
      </c>
      <c r="C71" s="280"/>
      <c r="D71" s="280"/>
      <c r="E71" s="280"/>
      <c r="F71" s="280"/>
      <c r="G71" s="281" t="s">
        <v>972</v>
      </c>
      <c r="H71" s="282">
        <v>106918463</v>
      </c>
      <c r="I71" s="282">
        <v>124041238.7</v>
      </c>
      <c r="J71" s="282">
        <v>124041238.7</v>
      </c>
    </row>
    <row r="72" spans="1:10">
      <c r="A72" s="643"/>
      <c r="B72" s="643"/>
      <c r="C72" s="643" t="s">
        <v>936</v>
      </c>
      <c r="D72" s="643"/>
      <c r="E72" s="643"/>
      <c r="F72" s="643"/>
      <c r="G72" s="644" t="s">
        <v>937</v>
      </c>
      <c r="H72" s="645">
        <v>90047790</v>
      </c>
      <c r="I72" s="645">
        <v>106087717.7</v>
      </c>
      <c r="J72" s="645">
        <v>106087717.7</v>
      </c>
    </row>
    <row r="73" spans="1:10" ht="31.5">
      <c r="A73" s="280"/>
      <c r="B73" s="280"/>
      <c r="C73" s="294"/>
      <c r="D73" s="294" t="s">
        <v>867</v>
      </c>
      <c r="E73" s="294"/>
      <c r="F73" s="294"/>
      <c r="G73" s="295" t="s">
        <v>973</v>
      </c>
      <c r="H73" s="296">
        <v>55047592</v>
      </c>
      <c r="I73" s="296">
        <v>56704828.700000003</v>
      </c>
      <c r="J73" s="296">
        <v>56704828.700000003</v>
      </c>
    </row>
    <row r="74" spans="1:10">
      <c r="A74" s="280"/>
      <c r="B74" s="280"/>
      <c r="C74" s="294"/>
      <c r="D74" s="294"/>
      <c r="E74" s="294" t="s">
        <v>858</v>
      </c>
      <c r="F74" s="294"/>
      <c r="G74" s="295" t="s">
        <v>921</v>
      </c>
      <c r="H74" s="296">
        <v>0</v>
      </c>
      <c r="I74" s="296">
        <v>0</v>
      </c>
      <c r="J74" s="296">
        <v>5614399</v>
      </c>
    </row>
    <row r="75" spans="1:10">
      <c r="A75" s="280"/>
      <c r="B75" s="280"/>
      <c r="C75" s="294"/>
      <c r="D75" s="294"/>
      <c r="E75" s="294" t="s">
        <v>905</v>
      </c>
      <c r="F75" s="294"/>
      <c r="G75" s="295" t="s">
        <v>918</v>
      </c>
      <c r="H75" s="296">
        <v>0</v>
      </c>
      <c r="I75" s="296">
        <v>0</v>
      </c>
      <c r="J75" s="296">
        <v>51090429.700000003</v>
      </c>
    </row>
    <row r="76" spans="1:10">
      <c r="A76" s="280"/>
      <c r="B76" s="280"/>
      <c r="C76" s="280"/>
      <c r="D76" s="280" t="s">
        <v>885</v>
      </c>
      <c r="E76" s="280"/>
      <c r="F76" s="280"/>
      <c r="G76" s="281" t="s">
        <v>974</v>
      </c>
      <c r="H76" s="282">
        <v>1448381</v>
      </c>
      <c r="I76" s="282">
        <v>3329994</v>
      </c>
      <c r="J76" s="282">
        <v>3329994</v>
      </c>
    </row>
    <row r="77" spans="1:10">
      <c r="A77" s="280"/>
      <c r="B77" s="280"/>
      <c r="C77" s="280"/>
      <c r="D77" s="280"/>
      <c r="E77" s="280" t="s">
        <v>858</v>
      </c>
      <c r="F77" s="280"/>
      <c r="G77" s="281" t="s">
        <v>921</v>
      </c>
      <c r="H77" s="282">
        <v>0</v>
      </c>
      <c r="I77" s="282">
        <v>0</v>
      </c>
      <c r="J77" s="282">
        <v>3327707</v>
      </c>
    </row>
    <row r="78" spans="1:10">
      <c r="A78" s="280"/>
      <c r="B78" s="280"/>
      <c r="C78" s="280"/>
      <c r="D78" s="280"/>
      <c r="E78" s="280" t="s">
        <v>905</v>
      </c>
      <c r="F78" s="280"/>
      <c r="G78" s="281" t="s">
        <v>918</v>
      </c>
      <c r="H78" s="282">
        <v>0</v>
      </c>
      <c r="I78" s="282">
        <v>0</v>
      </c>
      <c r="J78" s="282">
        <v>2287</v>
      </c>
    </row>
    <row r="79" spans="1:10">
      <c r="A79" s="280"/>
      <c r="B79" s="280"/>
      <c r="C79" s="280"/>
      <c r="D79" s="280" t="s">
        <v>876</v>
      </c>
      <c r="E79" s="280"/>
      <c r="F79" s="280"/>
      <c r="G79" s="281" t="s">
        <v>975</v>
      </c>
      <c r="H79" s="282">
        <v>3851715</v>
      </c>
      <c r="I79" s="282">
        <v>4316274.7</v>
      </c>
      <c r="J79" s="282">
        <v>4316274.7</v>
      </c>
    </row>
    <row r="80" spans="1:10">
      <c r="A80" s="280"/>
      <c r="B80" s="280"/>
      <c r="C80" s="280"/>
      <c r="D80" s="280"/>
      <c r="E80" s="280" t="s">
        <v>858</v>
      </c>
      <c r="F80" s="280"/>
      <c r="G80" s="281" t="s">
        <v>921</v>
      </c>
      <c r="H80" s="282">
        <v>0</v>
      </c>
      <c r="I80" s="282">
        <v>0</v>
      </c>
      <c r="J80" s="282">
        <v>3251185</v>
      </c>
    </row>
    <row r="81" spans="1:10">
      <c r="A81" s="280"/>
      <c r="B81" s="280"/>
      <c r="C81" s="280"/>
      <c r="D81" s="280"/>
      <c r="E81" s="280" t="s">
        <v>905</v>
      </c>
      <c r="F81" s="280"/>
      <c r="G81" s="281" t="s">
        <v>918</v>
      </c>
      <c r="H81" s="282">
        <v>0</v>
      </c>
      <c r="I81" s="282">
        <v>0</v>
      </c>
      <c r="J81" s="282">
        <v>1065089.7</v>
      </c>
    </row>
    <row r="82" spans="1:10">
      <c r="A82" s="280"/>
      <c r="B82" s="280"/>
      <c r="C82" s="280"/>
      <c r="D82" s="280" t="s">
        <v>886</v>
      </c>
      <c r="E82" s="280"/>
      <c r="F82" s="280"/>
      <c r="G82" s="281" t="s">
        <v>976</v>
      </c>
      <c r="H82" s="282">
        <v>3113142</v>
      </c>
      <c r="I82" s="282">
        <v>1031997</v>
      </c>
      <c r="J82" s="282">
        <v>1031997</v>
      </c>
    </row>
    <row r="83" spans="1:10" ht="21">
      <c r="A83" s="280"/>
      <c r="B83" s="280"/>
      <c r="C83" s="280"/>
      <c r="D83" s="280"/>
      <c r="E83" s="280" t="s">
        <v>848</v>
      </c>
      <c r="F83" s="280"/>
      <c r="G83" s="281" t="s">
        <v>977</v>
      </c>
      <c r="H83" s="282">
        <v>0</v>
      </c>
      <c r="I83" s="282">
        <v>0</v>
      </c>
      <c r="J83" s="282">
        <v>1006146</v>
      </c>
    </row>
    <row r="84" spans="1:10" ht="21">
      <c r="A84" s="280"/>
      <c r="B84" s="280"/>
      <c r="C84" s="280"/>
      <c r="D84" s="280"/>
      <c r="E84" s="280" t="s">
        <v>845</v>
      </c>
      <c r="F84" s="280"/>
      <c r="G84" s="281" t="s">
        <v>978</v>
      </c>
      <c r="H84" s="282">
        <v>0</v>
      </c>
      <c r="I84" s="282">
        <v>0</v>
      </c>
      <c r="J84" s="282">
        <v>25851</v>
      </c>
    </row>
    <row r="85" spans="1:10" ht="31.5">
      <c r="A85" s="280"/>
      <c r="B85" s="280"/>
      <c r="C85" s="280"/>
      <c r="D85" s="280" t="s">
        <v>872</v>
      </c>
      <c r="E85" s="280"/>
      <c r="F85" s="280"/>
      <c r="G85" s="281" t="s">
        <v>979</v>
      </c>
      <c r="H85" s="282">
        <v>2112961</v>
      </c>
      <c r="I85" s="282">
        <v>2534108.7999999998</v>
      </c>
      <c r="J85" s="282">
        <v>2534108.7999999998</v>
      </c>
    </row>
    <row r="86" spans="1:10">
      <c r="A86" s="280"/>
      <c r="B86" s="280"/>
      <c r="C86" s="280"/>
      <c r="D86" s="280"/>
      <c r="E86" s="280" t="s">
        <v>858</v>
      </c>
      <c r="F86" s="280"/>
      <c r="G86" s="281" t="s">
        <v>921</v>
      </c>
      <c r="H86" s="282">
        <v>0</v>
      </c>
      <c r="I86" s="282">
        <v>0</v>
      </c>
      <c r="J86" s="282">
        <v>2384320</v>
      </c>
    </row>
    <row r="87" spans="1:10">
      <c r="A87" s="280"/>
      <c r="B87" s="280"/>
      <c r="C87" s="280"/>
      <c r="D87" s="280"/>
      <c r="E87" s="280" t="s">
        <v>905</v>
      </c>
      <c r="F87" s="280"/>
      <c r="G87" s="281" t="s">
        <v>918</v>
      </c>
      <c r="H87" s="282">
        <v>0</v>
      </c>
      <c r="I87" s="282">
        <v>0</v>
      </c>
      <c r="J87" s="282">
        <v>149788.79999999999</v>
      </c>
    </row>
    <row r="88" spans="1:10">
      <c r="A88" s="280"/>
      <c r="B88" s="280"/>
      <c r="C88" s="280"/>
      <c r="D88" s="280" t="s">
        <v>887</v>
      </c>
      <c r="E88" s="280"/>
      <c r="F88" s="280"/>
      <c r="G88" s="281" t="s">
        <v>980</v>
      </c>
      <c r="H88" s="282">
        <v>4225661</v>
      </c>
      <c r="I88" s="282">
        <v>5885907</v>
      </c>
      <c r="J88" s="282">
        <v>5885907</v>
      </c>
    </row>
    <row r="89" spans="1:10">
      <c r="A89" s="280"/>
      <c r="B89" s="280"/>
      <c r="C89" s="280"/>
      <c r="D89" s="280"/>
      <c r="E89" s="280" t="s">
        <v>858</v>
      </c>
      <c r="F89" s="280"/>
      <c r="G89" s="281" t="s">
        <v>921</v>
      </c>
      <c r="H89" s="282">
        <v>0</v>
      </c>
      <c r="I89" s="282">
        <v>0</v>
      </c>
      <c r="J89" s="282">
        <v>5877827</v>
      </c>
    </row>
    <row r="90" spans="1:10">
      <c r="A90" s="280"/>
      <c r="B90" s="280"/>
      <c r="C90" s="280"/>
      <c r="D90" s="280"/>
      <c r="E90" s="280" t="s">
        <v>905</v>
      </c>
      <c r="F90" s="280"/>
      <c r="G90" s="281" t="s">
        <v>918</v>
      </c>
      <c r="H90" s="282">
        <v>0</v>
      </c>
      <c r="I90" s="282">
        <v>0</v>
      </c>
      <c r="J90" s="282">
        <v>8080</v>
      </c>
    </row>
    <row r="91" spans="1:10" ht="21">
      <c r="A91" s="280"/>
      <c r="B91" s="280"/>
      <c r="C91" s="280"/>
      <c r="D91" s="280" t="s">
        <v>888</v>
      </c>
      <c r="E91" s="280"/>
      <c r="F91" s="280"/>
      <c r="G91" s="281" t="s">
        <v>981</v>
      </c>
      <c r="H91" s="282">
        <v>7794331</v>
      </c>
      <c r="I91" s="282">
        <v>9993820.5</v>
      </c>
      <c r="J91" s="282">
        <v>9993820.5</v>
      </c>
    </row>
    <row r="92" spans="1:10">
      <c r="A92" s="280"/>
      <c r="B92" s="280"/>
      <c r="C92" s="280"/>
      <c r="D92" s="280"/>
      <c r="E92" s="280" t="s">
        <v>858</v>
      </c>
      <c r="F92" s="280"/>
      <c r="G92" s="281" t="s">
        <v>921</v>
      </c>
      <c r="H92" s="282">
        <v>0</v>
      </c>
      <c r="I92" s="282">
        <v>0</v>
      </c>
      <c r="J92" s="282">
        <v>7791586</v>
      </c>
    </row>
    <row r="93" spans="1:10">
      <c r="A93" s="280"/>
      <c r="B93" s="280"/>
      <c r="C93" s="280"/>
      <c r="D93" s="280"/>
      <c r="E93" s="280" t="s">
        <v>905</v>
      </c>
      <c r="F93" s="280"/>
      <c r="G93" s="281" t="s">
        <v>918</v>
      </c>
      <c r="H93" s="282">
        <v>0</v>
      </c>
      <c r="I93" s="282">
        <v>0</v>
      </c>
      <c r="J93" s="282">
        <v>2202234.5</v>
      </c>
    </row>
    <row r="94" spans="1:10">
      <c r="A94" s="280"/>
      <c r="B94" s="280"/>
      <c r="C94" s="280"/>
      <c r="D94" s="280" t="s">
        <v>891</v>
      </c>
      <c r="E94" s="280"/>
      <c r="F94" s="280"/>
      <c r="G94" s="281" t="s">
        <v>982</v>
      </c>
      <c r="H94" s="282">
        <v>818203</v>
      </c>
      <c r="I94" s="282">
        <v>547903</v>
      </c>
      <c r="J94" s="282">
        <v>547903</v>
      </c>
    </row>
    <row r="95" spans="1:10">
      <c r="A95" s="280"/>
      <c r="B95" s="280"/>
      <c r="C95" s="280"/>
      <c r="D95" s="280"/>
      <c r="E95" s="280" t="s">
        <v>858</v>
      </c>
      <c r="F95" s="280"/>
      <c r="G95" s="281" t="s">
        <v>921</v>
      </c>
      <c r="H95" s="282">
        <v>0</v>
      </c>
      <c r="I95" s="282">
        <v>0</v>
      </c>
      <c r="J95" s="282">
        <v>547903</v>
      </c>
    </row>
    <row r="96" spans="1:10" ht="21">
      <c r="A96" s="280"/>
      <c r="B96" s="280"/>
      <c r="C96" s="294"/>
      <c r="D96" s="294" t="s">
        <v>983</v>
      </c>
      <c r="E96" s="294"/>
      <c r="F96" s="294"/>
      <c r="G96" s="295" t="s">
        <v>984</v>
      </c>
      <c r="H96" s="296">
        <v>11635804</v>
      </c>
      <c r="I96" s="296">
        <v>21742884</v>
      </c>
      <c r="J96" s="296">
        <v>21742884</v>
      </c>
    </row>
    <row r="97" spans="1:10" ht="31.5">
      <c r="A97" s="280"/>
      <c r="B97" s="280"/>
      <c r="C97" s="294"/>
      <c r="D97" s="294"/>
      <c r="E97" s="294" t="s">
        <v>848</v>
      </c>
      <c r="F97" s="294"/>
      <c r="G97" s="295" t="s">
        <v>985</v>
      </c>
      <c r="H97" s="296">
        <v>0</v>
      </c>
      <c r="I97" s="296">
        <v>0</v>
      </c>
      <c r="J97" s="296">
        <v>16551622.300000001</v>
      </c>
    </row>
    <row r="98" spans="1:10" ht="21">
      <c r="A98" s="280"/>
      <c r="B98" s="280"/>
      <c r="C98" s="294"/>
      <c r="D98" s="294"/>
      <c r="E98" s="294" t="s">
        <v>845</v>
      </c>
      <c r="F98" s="294"/>
      <c r="G98" s="295" t="s">
        <v>986</v>
      </c>
      <c r="H98" s="296">
        <v>0</v>
      </c>
      <c r="I98" s="296">
        <v>0</v>
      </c>
      <c r="J98" s="296">
        <v>2359247</v>
      </c>
    </row>
    <row r="99" spans="1:10" ht="21">
      <c r="A99" s="280"/>
      <c r="B99" s="280"/>
      <c r="C99" s="294"/>
      <c r="D99" s="294"/>
      <c r="E99" s="294" t="s">
        <v>854</v>
      </c>
      <c r="F99" s="294"/>
      <c r="G99" s="295" t="s">
        <v>987</v>
      </c>
      <c r="H99" s="296">
        <v>0</v>
      </c>
      <c r="I99" s="296">
        <v>0</v>
      </c>
      <c r="J99" s="296">
        <v>2381104</v>
      </c>
    </row>
    <row r="100" spans="1:10" ht="21">
      <c r="A100" s="280"/>
      <c r="B100" s="280"/>
      <c r="C100" s="294"/>
      <c r="D100" s="294"/>
      <c r="E100" s="294" t="s">
        <v>879</v>
      </c>
      <c r="F100" s="294"/>
      <c r="G100" s="295" t="s">
        <v>988</v>
      </c>
      <c r="H100" s="296">
        <v>0</v>
      </c>
      <c r="I100" s="296">
        <v>0</v>
      </c>
      <c r="J100" s="296">
        <v>245936.7</v>
      </c>
    </row>
    <row r="101" spans="1:10">
      <c r="A101" s="280"/>
      <c r="B101" s="280"/>
      <c r="C101" s="294"/>
      <c r="D101" s="294"/>
      <c r="E101" s="294" t="s">
        <v>855</v>
      </c>
      <c r="F101" s="294"/>
      <c r="G101" s="295" t="s">
        <v>989</v>
      </c>
      <c r="H101" s="296">
        <v>0</v>
      </c>
      <c r="I101" s="296">
        <v>0</v>
      </c>
      <c r="J101" s="296">
        <v>204974</v>
      </c>
    </row>
    <row r="102" spans="1:10">
      <c r="A102" s="643"/>
      <c r="B102" s="643"/>
      <c r="C102" s="643" t="s">
        <v>939</v>
      </c>
      <c r="D102" s="643"/>
      <c r="E102" s="643"/>
      <c r="F102" s="643"/>
      <c r="G102" s="644" t="s">
        <v>940</v>
      </c>
      <c r="H102" s="645">
        <v>16870673</v>
      </c>
      <c r="I102" s="645">
        <v>17953521</v>
      </c>
      <c r="J102" s="645">
        <v>17953521</v>
      </c>
    </row>
    <row r="103" spans="1:10" ht="31.5">
      <c r="A103" s="280"/>
      <c r="B103" s="280"/>
      <c r="C103" s="280"/>
      <c r="D103" s="294" t="s">
        <v>867</v>
      </c>
      <c r="E103" s="294"/>
      <c r="F103" s="294"/>
      <c r="G103" s="295" t="s">
        <v>973</v>
      </c>
      <c r="H103" s="296">
        <v>8687035</v>
      </c>
      <c r="I103" s="296">
        <v>8937569</v>
      </c>
      <c r="J103" s="296">
        <v>8937569</v>
      </c>
    </row>
    <row r="104" spans="1:10">
      <c r="A104" s="280"/>
      <c r="B104" s="280"/>
      <c r="C104" s="280"/>
      <c r="D104" s="294"/>
      <c r="E104" s="294" t="s">
        <v>858</v>
      </c>
      <c r="F104" s="294"/>
      <c r="G104" s="295" t="s">
        <v>921</v>
      </c>
      <c r="H104" s="296">
        <v>0</v>
      </c>
      <c r="I104" s="296">
        <v>0</v>
      </c>
      <c r="J104" s="296">
        <v>1296779</v>
      </c>
    </row>
    <row r="105" spans="1:10">
      <c r="A105" s="280"/>
      <c r="B105" s="280"/>
      <c r="C105" s="280"/>
      <c r="D105" s="294"/>
      <c r="E105" s="294" t="s">
        <v>905</v>
      </c>
      <c r="F105" s="294"/>
      <c r="G105" s="295" t="s">
        <v>918</v>
      </c>
      <c r="H105" s="296">
        <v>0</v>
      </c>
      <c r="I105" s="296">
        <v>0</v>
      </c>
      <c r="J105" s="296">
        <v>7640790</v>
      </c>
    </row>
    <row r="106" spans="1:10">
      <c r="A106" s="280"/>
      <c r="B106" s="280"/>
      <c r="C106" s="280"/>
      <c r="D106" s="280" t="s">
        <v>885</v>
      </c>
      <c r="E106" s="280"/>
      <c r="F106" s="280"/>
      <c r="G106" s="281" t="s">
        <v>974</v>
      </c>
      <c r="H106" s="282">
        <v>220899</v>
      </c>
      <c r="I106" s="282">
        <v>356813</v>
      </c>
      <c r="J106" s="282">
        <v>356813</v>
      </c>
    </row>
    <row r="107" spans="1:10">
      <c r="A107" s="280"/>
      <c r="B107" s="280"/>
      <c r="C107" s="280"/>
      <c r="D107" s="280"/>
      <c r="E107" s="280" t="s">
        <v>858</v>
      </c>
      <c r="F107" s="280"/>
      <c r="G107" s="281" t="s">
        <v>921</v>
      </c>
      <c r="H107" s="282">
        <v>0</v>
      </c>
      <c r="I107" s="282">
        <v>0</v>
      </c>
      <c r="J107" s="282">
        <v>356813</v>
      </c>
    </row>
    <row r="108" spans="1:10">
      <c r="A108" s="280"/>
      <c r="B108" s="280"/>
      <c r="C108" s="280"/>
      <c r="D108" s="280" t="s">
        <v>876</v>
      </c>
      <c r="E108" s="280"/>
      <c r="F108" s="280"/>
      <c r="G108" s="281" t="s">
        <v>975</v>
      </c>
      <c r="H108" s="282">
        <v>503761</v>
      </c>
      <c r="I108" s="282">
        <v>536188</v>
      </c>
      <c r="J108" s="282">
        <v>536188</v>
      </c>
    </row>
    <row r="109" spans="1:10">
      <c r="A109" s="280"/>
      <c r="B109" s="280"/>
      <c r="C109" s="280"/>
      <c r="D109" s="280"/>
      <c r="E109" s="280" t="s">
        <v>858</v>
      </c>
      <c r="F109" s="280"/>
      <c r="G109" s="281" t="s">
        <v>921</v>
      </c>
      <c r="H109" s="282">
        <v>0</v>
      </c>
      <c r="I109" s="282">
        <v>0</v>
      </c>
      <c r="J109" s="282">
        <v>536188</v>
      </c>
    </row>
    <row r="110" spans="1:10">
      <c r="A110" s="280"/>
      <c r="B110" s="280"/>
      <c r="C110" s="280"/>
      <c r="D110" s="280" t="s">
        <v>886</v>
      </c>
      <c r="E110" s="280"/>
      <c r="F110" s="280"/>
      <c r="G110" s="281" t="s">
        <v>976</v>
      </c>
      <c r="H110" s="282">
        <v>661050</v>
      </c>
      <c r="I110" s="282">
        <v>317598</v>
      </c>
      <c r="J110" s="282">
        <v>317598</v>
      </c>
    </row>
    <row r="111" spans="1:10" ht="21">
      <c r="A111" s="280"/>
      <c r="B111" s="280"/>
      <c r="C111" s="280"/>
      <c r="D111" s="280"/>
      <c r="E111" s="280" t="s">
        <v>848</v>
      </c>
      <c r="F111" s="280"/>
      <c r="G111" s="281" t="s">
        <v>977</v>
      </c>
      <c r="H111" s="282">
        <v>0</v>
      </c>
      <c r="I111" s="282">
        <v>0</v>
      </c>
      <c r="J111" s="282">
        <v>317598</v>
      </c>
    </row>
    <row r="112" spans="1:10" ht="31.5">
      <c r="A112" s="280"/>
      <c r="B112" s="280"/>
      <c r="C112" s="280"/>
      <c r="D112" s="280" t="s">
        <v>872</v>
      </c>
      <c r="E112" s="280"/>
      <c r="F112" s="280"/>
      <c r="G112" s="281" t="s">
        <v>979</v>
      </c>
      <c r="H112" s="282">
        <v>742851</v>
      </c>
      <c r="I112" s="282">
        <v>705862</v>
      </c>
      <c r="J112" s="282">
        <v>705862</v>
      </c>
    </row>
    <row r="113" spans="1:10">
      <c r="A113" s="280"/>
      <c r="B113" s="280"/>
      <c r="C113" s="280"/>
      <c r="D113" s="280"/>
      <c r="E113" s="280" t="s">
        <v>858</v>
      </c>
      <c r="F113" s="280"/>
      <c r="G113" s="281" t="s">
        <v>921</v>
      </c>
      <c r="H113" s="282">
        <v>0</v>
      </c>
      <c r="I113" s="282">
        <v>0</v>
      </c>
      <c r="J113" s="282">
        <v>520604</v>
      </c>
    </row>
    <row r="114" spans="1:10">
      <c r="A114" s="280"/>
      <c r="B114" s="280"/>
      <c r="C114" s="280"/>
      <c r="D114" s="280"/>
      <c r="E114" s="280" t="s">
        <v>905</v>
      </c>
      <c r="F114" s="280"/>
      <c r="G114" s="281" t="s">
        <v>918</v>
      </c>
      <c r="H114" s="282">
        <v>0</v>
      </c>
      <c r="I114" s="282">
        <v>0</v>
      </c>
      <c r="J114" s="282">
        <v>185258</v>
      </c>
    </row>
    <row r="115" spans="1:10">
      <c r="A115" s="280"/>
      <c r="B115" s="280"/>
      <c r="C115" s="280"/>
      <c r="D115" s="280" t="s">
        <v>887</v>
      </c>
      <c r="E115" s="280"/>
      <c r="F115" s="280"/>
      <c r="G115" s="281" t="s">
        <v>980</v>
      </c>
      <c r="H115" s="282">
        <v>558032</v>
      </c>
      <c r="I115" s="282">
        <v>896933</v>
      </c>
      <c r="J115" s="282">
        <v>896933</v>
      </c>
    </row>
    <row r="116" spans="1:10">
      <c r="A116" s="280"/>
      <c r="B116" s="280"/>
      <c r="C116" s="280"/>
      <c r="D116" s="280"/>
      <c r="E116" s="280" t="s">
        <v>858</v>
      </c>
      <c r="F116" s="280"/>
      <c r="G116" s="281" t="s">
        <v>921</v>
      </c>
      <c r="H116" s="282">
        <v>0</v>
      </c>
      <c r="I116" s="282">
        <v>0</v>
      </c>
      <c r="J116" s="282">
        <v>896933</v>
      </c>
    </row>
    <row r="117" spans="1:10" ht="21">
      <c r="A117" s="280"/>
      <c r="B117" s="280"/>
      <c r="C117" s="280"/>
      <c r="D117" s="280" t="s">
        <v>888</v>
      </c>
      <c r="E117" s="280"/>
      <c r="F117" s="280"/>
      <c r="G117" s="281" t="s">
        <v>981</v>
      </c>
      <c r="H117" s="282">
        <v>1299845</v>
      </c>
      <c r="I117" s="282">
        <v>1219647</v>
      </c>
      <c r="J117" s="282">
        <v>1219647</v>
      </c>
    </row>
    <row r="118" spans="1:10">
      <c r="A118" s="280"/>
      <c r="B118" s="280"/>
      <c r="C118" s="280"/>
      <c r="D118" s="280"/>
      <c r="E118" s="280" t="s">
        <v>858</v>
      </c>
      <c r="F118" s="280"/>
      <c r="G118" s="281" t="s">
        <v>921</v>
      </c>
      <c r="H118" s="282">
        <v>0</v>
      </c>
      <c r="I118" s="282">
        <v>0</v>
      </c>
      <c r="J118" s="282">
        <v>1011930</v>
      </c>
    </row>
    <row r="119" spans="1:10">
      <c r="A119" s="280"/>
      <c r="B119" s="280"/>
      <c r="C119" s="280"/>
      <c r="D119" s="280"/>
      <c r="E119" s="280" t="s">
        <v>905</v>
      </c>
      <c r="F119" s="280"/>
      <c r="G119" s="281" t="s">
        <v>918</v>
      </c>
      <c r="H119" s="282">
        <v>0</v>
      </c>
      <c r="I119" s="282">
        <v>0</v>
      </c>
      <c r="J119" s="282">
        <v>207717</v>
      </c>
    </row>
    <row r="120" spans="1:10">
      <c r="A120" s="280"/>
      <c r="B120" s="280"/>
      <c r="C120" s="280"/>
      <c r="D120" s="280" t="s">
        <v>891</v>
      </c>
      <c r="E120" s="280"/>
      <c r="F120" s="280"/>
      <c r="G120" s="281" t="s">
        <v>982</v>
      </c>
      <c r="H120" s="282">
        <v>464466</v>
      </c>
      <c r="I120" s="282">
        <v>76628</v>
      </c>
      <c r="J120" s="282">
        <v>76628</v>
      </c>
    </row>
    <row r="121" spans="1:10">
      <c r="A121" s="280"/>
      <c r="B121" s="280"/>
      <c r="C121" s="280"/>
      <c r="D121" s="280"/>
      <c r="E121" s="280" t="s">
        <v>858</v>
      </c>
      <c r="F121" s="280"/>
      <c r="G121" s="281" t="s">
        <v>921</v>
      </c>
      <c r="H121" s="282">
        <v>0</v>
      </c>
      <c r="I121" s="282">
        <v>0</v>
      </c>
      <c r="J121" s="282">
        <v>76628</v>
      </c>
    </row>
    <row r="122" spans="1:10" ht="21">
      <c r="A122" s="280"/>
      <c r="B122" s="280"/>
      <c r="C122" s="294"/>
      <c r="D122" s="294" t="s">
        <v>983</v>
      </c>
      <c r="E122" s="294"/>
      <c r="F122" s="294"/>
      <c r="G122" s="295" t="s">
        <v>984</v>
      </c>
      <c r="H122" s="296">
        <v>3732734</v>
      </c>
      <c r="I122" s="296">
        <v>4906283</v>
      </c>
      <c r="J122" s="296">
        <v>4906283</v>
      </c>
    </row>
    <row r="123" spans="1:10" ht="31.5">
      <c r="A123" s="280"/>
      <c r="B123" s="280"/>
      <c r="C123" s="294"/>
      <c r="D123" s="294"/>
      <c r="E123" s="294" t="s">
        <v>848</v>
      </c>
      <c r="F123" s="294"/>
      <c r="G123" s="295" t="s">
        <v>985</v>
      </c>
      <c r="H123" s="296">
        <v>0</v>
      </c>
      <c r="I123" s="296">
        <v>0</v>
      </c>
      <c r="J123" s="296">
        <v>3436530</v>
      </c>
    </row>
    <row r="124" spans="1:10" ht="21">
      <c r="A124" s="280"/>
      <c r="B124" s="280"/>
      <c r="C124" s="294"/>
      <c r="D124" s="294"/>
      <c r="E124" s="294" t="s">
        <v>845</v>
      </c>
      <c r="F124" s="294"/>
      <c r="G124" s="295" t="s">
        <v>986</v>
      </c>
      <c r="H124" s="296">
        <v>0</v>
      </c>
      <c r="I124" s="296">
        <v>0</v>
      </c>
      <c r="J124" s="296">
        <v>676097</v>
      </c>
    </row>
    <row r="125" spans="1:10" ht="21">
      <c r="A125" s="280"/>
      <c r="B125" s="280"/>
      <c r="C125" s="294"/>
      <c r="D125" s="294"/>
      <c r="E125" s="294" t="s">
        <v>854</v>
      </c>
      <c r="F125" s="294"/>
      <c r="G125" s="295" t="s">
        <v>987</v>
      </c>
      <c r="H125" s="296">
        <v>0</v>
      </c>
      <c r="I125" s="296">
        <v>0</v>
      </c>
      <c r="J125" s="296">
        <v>698903</v>
      </c>
    </row>
    <row r="126" spans="1:10" ht="21">
      <c r="A126" s="280"/>
      <c r="B126" s="280"/>
      <c r="C126" s="294"/>
      <c r="D126" s="294"/>
      <c r="E126" s="294" t="s">
        <v>879</v>
      </c>
      <c r="F126" s="294"/>
      <c r="G126" s="295" t="s">
        <v>988</v>
      </c>
      <c r="H126" s="296">
        <v>0</v>
      </c>
      <c r="I126" s="296">
        <v>0</v>
      </c>
      <c r="J126" s="296">
        <v>51753</v>
      </c>
    </row>
    <row r="127" spans="1:10">
      <c r="A127" s="280"/>
      <c r="B127" s="280"/>
      <c r="C127" s="294"/>
      <c r="D127" s="294"/>
      <c r="E127" s="294" t="s">
        <v>855</v>
      </c>
      <c r="F127" s="294"/>
      <c r="G127" s="295" t="s">
        <v>989</v>
      </c>
      <c r="H127" s="296">
        <v>0</v>
      </c>
      <c r="I127" s="296">
        <v>0</v>
      </c>
      <c r="J127" s="296">
        <v>43000</v>
      </c>
    </row>
    <row r="128" spans="1:10">
      <c r="A128" s="280"/>
      <c r="B128" s="280" t="s">
        <v>901</v>
      </c>
      <c r="C128" s="294"/>
      <c r="D128" s="294"/>
      <c r="E128" s="294"/>
      <c r="F128" s="294"/>
      <c r="G128" s="295" t="s">
        <v>990</v>
      </c>
      <c r="H128" s="296">
        <v>159537929</v>
      </c>
      <c r="I128" s="296">
        <v>166319448.30000001</v>
      </c>
      <c r="J128" s="296">
        <v>166319448.30000001</v>
      </c>
    </row>
    <row r="129" spans="1:10">
      <c r="A129" s="643"/>
      <c r="B129" s="643"/>
      <c r="C129" s="643" t="s">
        <v>936</v>
      </c>
      <c r="D129" s="643"/>
      <c r="E129" s="643"/>
      <c r="F129" s="643"/>
      <c r="G129" s="644" t="s">
        <v>937</v>
      </c>
      <c r="H129" s="645">
        <v>139899096</v>
      </c>
      <c r="I129" s="645">
        <v>145842502.30000001</v>
      </c>
      <c r="J129" s="645">
        <v>145842502.30000001</v>
      </c>
    </row>
    <row r="130" spans="1:10" ht="21">
      <c r="A130" s="280"/>
      <c r="B130" s="280"/>
      <c r="C130" s="280"/>
      <c r="D130" s="280" t="s">
        <v>894</v>
      </c>
      <c r="E130" s="280"/>
      <c r="F130" s="280"/>
      <c r="G130" s="281" t="s">
        <v>991</v>
      </c>
      <c r="H130" s="282">
        <v>122971008</v>
      </c>
      <c r="I130" s="282">
        <v>127699239.8</v>
      </c>
      <c r="J130" s="282">
        <v>127699239.8</v>
      </c>
    </row>
    <row r="131" spans="1:10">
      <c r="A131" s="280"/>
      <c r="B131" s="280"/>
      <c r="C131" s="280"/>
      <c r="D131" s="280"/>
      <c r="E131" s="280" t="s">
        <v>858</v>
      </c>
      <c r="F131" s="280"/>
      <c r="G131" s="281" t="s">
        <v>921</v>
      </c>
      <c r="H131" s="282">
        <v>0</v>
      </c>
      <c r="I131" s="282">
        <v>0</v>
      </c>
      <c r="J131" s="282">
        <v>21970113</v>
      </c>
    </row>
    <row r="132" spans="1:10">
      <c r="A132" s="280"/>
      <c r="B132" s="280"/>
      <c r="C132" s="280"/>
      <c r="D132" s="280"/>
      <c r="E132" s="280" t="s">
        <v>905</v>
      </c>
      <c r="F132" s="280"/>
      <c r="G132" s="281" t="s">
        <v>918</v>
      </c>
      <c r="H132" s="282">
        <v>0</v>
      </c>
      <c r="I132" s="282">
        <v>0</v>
      </c>
      <c r="J132" s="282">
        <v>105729126.8</v>
      </c>
    </row>
    <row r="133" spans="1:10" ht="21">
      <c r="A133" s="280"/>
      <c r="B133" s="280"/>
      <c r="C133" s="280"/>
      <c r="D133" s="280" t="s">
        <v>882</v>
      </c>
      <c r="E133" s="280"/>
      <c r="F133" s="280"/>
      <c r="G133" s="281" t="s">
        <v>992</v>
      </c>
      <c r="H133" s="282">
        <v>14033301</v>
      </c>
      <c r="I133" s="282">
        <v>13281633.4</v>
      </c>
      <c r="J133" s="282">
        <f>J134+J135+J136+J137</f>
        <v>13243633.4</v>
      </c>
    </row>
    <row r="134" spans="1:10">
      <c r="A134" s="280"/>
      <c r="B134" s="280"/>
      <c r="C134" s="280"/>
      <c r="D134" s="280"/>
      <c r="E134" s="280" t="s">
        <v>845</v>
      </c>
      <c r="F134" s="280"/>
      <c r="G134" s="281" t="s">
        <v>993</v>
      </c>
      <c r="H134" s="282">
        <v>0</v>
      </c>
      <c r="I134" s="282">
        <v>0</v>
      </c>
      <c r="J134" s="282">
        <v>441095.5</v>
      </c>
    </row>
    <row r="135" spans="1:10">
      <c r="A135" s="280"/>
      <c r="B135" s="280"/>
      <c r="C135" s="280"/>
      <c r="D135" s="280"/>
      <c r="E135" s="280" t="s">
        <v>854</v>
      </c>
      <c r="F135" s="280"/>
      <c r="G135" s="281" t="s">
        <v>994</v>
      </c>
      <c r="H135" s="282">
        <v>0</v>
      </c>
      <c r="I135" s="282">
        <v>0</v>
      </c>
      <c r="J135" s="282">
        <v>456445.5</v>
      </c>
    </row>
    <row r="136" spans="1:10" ht="21">
      <c r="A136" s="280"/>
      <c r="B136" s="280"/>
      <c r="C136" s="280"/>
      <c r="D136" s="280"/>
      <c r="E136" s="280" t="s">
        <v>879</v>
      </c>
      <c r="F136" s="280"/>
      <c r="G136" s="281" t="s">
        <v>995</v>
      </c>
      <c r="H136" s="282">
        <v>0</v>
      </c>
      <c r="I136" s="282">
        <v>0</v>
      </c>
      <c r="J136" s="282">
        <v>355955.9</v>
      </c>
    </row>
    <row r="137" spans="1:10" ht="21">
      <c r="A137" s="280"/>
      <c r="B137" s="280"/>
      <c r="C137" s="280"/>
      <c r="D137" s="280"/>
      <c r="E137" s="280" t="s">
        <v>855</v>
      </c>
      <c r="F137" s="280"/>
      <c r="G137" s="281" t="s">
        <v>992</v>
      </c>
      <c r="H137" s="282">
        <v>0</v>
      </c>
      <c r="I137" s="282">
        <v>0</v>
      </c>
      <c r="J137" s="282">
        <v>11990136.5</v>
      </c>
    </row>
    <row r="138" spans="1:10" ht="21">
      <c r="A138" s="280"/>
      <c r="B138" s="280"/>
      <c r="C138" s="280"/>
      <c r="D138" s="280" t="s">
        <v>996</v>
      </c>
      <c r="E138" s="280"/>
      <c r="F138" s="280"/>
      <c r="G138" s="281" t="s">
        <v>997</v>
      </c>
      <c r="H138" s="282">
        <v>2894787</v>
      </c>
      <c r="I138" s="282">
        <v>4861629.0999999996</v>
      </c>
      <c r="J138" s="282">
        <v>4899629.0999999996</v>
      </c>
    </row>
    <row r="139" spans="1:10">
      <c r="A139" s="280"/>
      <c r="B139" s="280"/>
      <c r="C139" s="280"/>
      <c r="D139" s="280"/>
      <c r="E139" s="280" t="s">
        <v>858</v>
      </c>
      <c r="F139" s="280"/>
      <c r="G139" s="281" t="s">
        <v>921</v>
      </c>
      <c r="H139" s="282">
        <v>0</v>
      </c>
      <c r="I139" s="282">
        <v>0</v>
      </c>
      <c r="J139" s="282">
        <v>2591605</v>
      </c>
    </row>
    <row r="140" spans="1:10">
      <c r="A140" s="280"/>
      <c r="B140" s="280"/>
      <c r="C140" s="280"/>
      <c r="D140" s="280"/>
      <c r="E140" s="280" t="s">
        <v>905</v>
      </c>
      <c r="F140" s="280"/>
      <c r="G140" s="281" t="s">
        <v>918</v>
      </c>
      <c r="H140" s="282">
        <v>0</v>
      </c>
      <c r="I140" s="282">
        <v>0</v>
      </c>
      <c r="J140" s="282">
        <v>2308024.1</v>
      </c>
    </row>
    <row r="141" spans="1:10">
      <c r="A141" s="643"/>
      <c r="B141" s="643"/>
      <c r="C141" s="643" t="s">
        <v>939</v>
      </c>
      <c r="D141" s="643"/>
      <c r="E141" s="643"/>
      <c r="F141" s="643"/>
      <c r="G141" s="644" t="s">
        <v>940</v>
      </c>
      <c r="H141" s="645">
        <v>19638833</v>
      </c>
      <c r="I141" s="645">
        <v>20476946</v>
      </c>
      <c r="J141" s="645">
        <v>20476946</v>
      </c>
    </row>
    <row r="142" spans="1:10" ht="21">
      <c r="A142" s="280"/>
      <c r="B142" s="280"/>
      <c r="C142" s="280"/>
      <c r="D142" s="280" t="s">
        <v>894</v>
      </c>
      <c r="E142" s="280"/>
      <c r="F142" s="280"/>
      <c r="G142" s="281" t="s">
        <v>991</v>
      </c>
      <c r="H142" s="282">
        <v>16369763</v>
      </c>
      <c r="I142" s="282">
        <v>17033919</v>
      </c>
      <c r="J142" s="282">
        <v>17033919</v>
      </c>
    </row>
    <row r="143" spans="1:10">
      <c r="A143" s="280"/>
      <c r="B143" s="280"/>
      <c r="C143" s="280"/>
      <c r="D143" s="280"/>
      <c r="E143" s="280" t="s">
        <v>858</v>
      </c>
      <c r="F143" s="280"/>
      <c r="G143" s="281" t="s">
        <v>921</v>
      </c>
      <c r="H143" s="282">
        <v>0</v>
      </c>
      <c r="I143" s="282">
        <v>0</v>
      </c>
      <c r="J143" s="282">
        <v>2728070</v>
      </c>
    </row>
    <row r="144" spans="1:10">
      <c r="A144" s="280"/>
      <c r="B144" s="280"/>
      <c r="C144" s="280"/>
      <c r="D144" s="280"/>
      <c r="E144" s="280" t="s">
        <v>905</v>
      </c>
      <c r="F144" s="280"/>
      <c r="G144" s="281" t="s">
        <v>918</v>
      </c>
      <c r="H144" s="282">
        <v>0</v>
      </c>
      <c r="I144" s="282">
        <v>0</v>
      </c>
      <c r="J144" s="282">
        <v>14305849</v>
      </c>
    </row>
    <row r="145" spans="1:10" ht="21">
      <c r="A145" s="280"/>
      <c r="B145" s="280"/>
      <c r="C145" s="280"/>
      <c r="D145" s="280" t="s">
        <v>882</v>
      </c>
      <c r="E145" s="280"/>
      <c r="F145" s="280"/>
      <c r="G145" s="281" t="s">
        <v>992</v>
      </c>
      <c r="H145" s="282">
        <v>2711167</v>
      </c>
      <c r="I145" s="282">
        <v>2548809</v>
      </c>
      <c r="J145" s="282">
        <v>2548809</v>
      </c>
    </row>
    <row r="146" spans="1:10">
      <c r="A146" s="280"/>
      <c r="B146" s="280"/>
      <c r="C146" s="280"/>
      <c r="D146" s="280"/>
      <c r="E146" s="280" t="s">
        <v>845</v>
      </c>
      <c r="F146" s="280"/>
      <c r="G146" s="281" t="s">
        <v>993</v>
      </c>
      <c r="H146" s="282">
        <v>0</v>
      </c>
      <c r="I146" s="282">
        <v>0</v>
      </c>
      <c r="J146" s="282">
        <v>98347</v>
      </c>
    </row>
    <row r="147" spans="1:10" ht="21">
      <c r="A147" s="280"/>
      <c r="B147" s="280"/>
      <c r="C147" s="280"/>
      <c r="D147" s="280"/>
      <c r="E147" s="280" t="s">
        <v>855</v>
      </c>
      <c r="F147" s="280"/>
      <c r="G147" s="281" t="s">
        <v>992</v>
      </c>
      <c r="H147" s="282">
        <v>0</v>
      </c>
      <c r="I147" s="282">
        <v>0</v>
      </c>
      <c r="J147" s="282">
        <v>2450462</v>
      </c>
    </row>
    <row r="148" spans="1:10" ht="21">
      <c r="A148" s="280"/>
      <c r="B148" s="280"/>
      <c r="C148" s="280"/>
      <c r="D148" s="280" t="s">
        <v>996</v>
      </c>
      <c r="E148" s="280"/>
      <c r="F148" s="280"/>
      <c r="G148" s="281" t="s">
        <v>997</v>
      </c>
      <c r="H148" s="282">
        <v>557903</v>
      </c>
      <c r="I148" s="282">
        <v>894218</v>
      </c>
      <c r="J148" s="282">
        <v>894218</v>
      </c>
    </row>
    <row r="149" spans="1:10">
      <c r="A149" s="280"/>
      <c r="B149" s="280"/>
      <c r="C149" s="280"/>
      <c r="D149" s="280"/>
      <c r="E149" s="280" t="s">
        <v>858</v>
      </c>
      <c r="F149" s="280"/>
      <c r="G149" s="281" t="s">
        <v>921</v>
      </c>
      <c r="H149" s="282">
        <v>0</v>
      </c>
      <c r="I149" s="282">
        <v>0</v>
      </c>
      <c r="J149" s="282">
        <v>447109</v>
      </c>
    </row>
    <row r="150" spans="1:10">
      <c r="A150" s="280"/>
      <c r="B150" s="280"/>
      <c r="C150" s="280"/>
      <c r="D150" s="280"/>
      <c r="E150" s="280" t="s">
        <v>905</v>
      </c>
      <c r="F150" s="280"/>
      <c r="G150" s="281" t="s">
        <v>918</v>
      </c>
      <c r="H150" s="282">
        <v>0</v>
      </c>
      <c r="I150" s="282">
        <v>0</v>
      </c>
      <c r="J150" s="282">
        <v>447109</v>
      </c>
    </row>
    <row r="151" spans="1:10">
      <c r="A151" s="280"/>
      <c r="B151" s="280" t="s">
        <v>907</v>
      </c>
      <c r="C151" s="280"/>
      <c r="D151" s="280"/>
      <c r="E151" s="280"/>
      <c r="F151" s="280"/>
      <c r="G151" s="281" t="s">
        <v>998</v>
      </c>
      <c r="H151" s="282">
        <v>24497561</v>
      </c>
      <c r="I151" s="282">
        <v>24918758</v>
      </c>
      <c r="J151" s="282">
        <v>24918758</v>
      </c>
    </row>
    <row r="152" spans="1:10">
      <c r="A152" s="643"/>
      <c r="B152" s="643"/>
      <c r="C152" s="643" t="s">
        <v>936</v>
      </c>
      <c r="D152" s="643"/>
      <c r="E152" s="643"/>
      <c r="F152" s="643"/>
      <c r="G152" s="644" t="s">
        <v>937</v>
      </c>
      <c r="H152" s="645">
        <v>18090792</v>
      </c>
      <c r="I152" s="645">
        <v>18287231</v>
      </c>
      <c r="J152" s="645">
        <v>18287231</v>
      </c>
    </row>
    <row r="153" spans="1:10">
      <c r="A153" s="280"/>
      <c r="B153" s="280"/>
      <c r="C153" s="280"/>
      <c r="D153" s="280" t="s">
        <v>858</v>
      </c>
      <c r="E153" s="280"/>
      <c r="F153" s="280"/>
      <c r="G153" s="281" t="s">
        <v>999</v>
      </c>
      <c r="H153" s="282">
        <v>17621224</v>
      </c>
      <c r="I153" s="282">
        <v>17797531</v>
      </c>
      <c r="J153" s="296">
        <v>17797531</v>
      </c>
    </row>
    <row r="154" spans="1:10">
      <c r="A154" s="280"/>
      <c r="B154" s="280"/>
      <c r="C154" s="280"/>
      <c r="D154" s="280"/>
      <c r="E154" s="280" t="s">
        <v>905</v>
      </c>
      <c r="F154" s="280"/>
      <c r="G154" s="281" t="s">
        <v>918</v>
      </c>
      <c r="H154" s="282">
        <v>0</v>
      </c>
      <c r="I154" s="282">
        <v>0</v>
      </c>
      <c r="J154" s="282">
        <v>17797531</v>
      </c>
    </row>
    <row r="155" spans="1:10">
      <c r="A155" s="280"/>
      <c r="B155" s="280"/>
      <c r="C155" s="280"/>
      <c r="D155" s="280" t="s">
        <v>911</v>
      </c>
      <c r="E155" s="280"/>
      <c r="F155" s="280"/>
      <c r="G155" s="281" t="s">
        <v>1000</v>
      </c>
      <c r="H155" s="282">
        <v>469568</v>
      </c>
      <c r="I155" s="282">
        <v>489700</v>
      </c>
      <c r="J155" s="282">
        <v>489700</v>
      </c>
    </row>
    <row r="156" spans="1:10">
      <c r="A156" s="643"/>
      <c r="B156" s="643"/>
      <c r="C156" s="643" t="s">
        <v>939</v>
      </c>
      <c r="D156" s="643"/>
      <c r="E156" s="643"/>
      <c r="F156" s="643"/>
      <c r="G156" s="644" t="s">
        <v>940</v>
      </c>
      <c r="H156" s="645">
        <v>6406769</v>
      </c>
      <c r="I156" s="645">
        <v>6631527</v>
      </c>
      <c r="J156" s="645">
        <v>6631527</v>
      </c>
    </row>
    <row r="157" spans="1:10">
      <c r="A157" s="280"/>
      <c r="B157" s="280"/>
      <c r="C157" s="280"/>
      <c r="D157" s="280" t="s">
        <v>858</v>
      </c>
      <c r="E157" s="280"/>
      <c r="F157" s="280"/>
      <c r="G157" s="281" t="s">
        <v>999</v>
      </c>
      <c r="H157" s="282">
        <v>6327642</v>
      </c>
      <c r="I157" s="282">
        <v>6549885</v>
      </c>
      <c r="J157" s="282">
        <v>6549885</v>
      </c>
    </row>
    <row r="158" spans="1:10">
      <c r="A158" s="280"/>
      <c r="B158" s="280"/>
      <c r="C158" s="280"/>
      <c r="D158" s="280"/>
      <c r="E158" s="280" t="s">
        <v>905</v>
      </c>
      <c r="F158" s="280"/>
      <c r="G158" s="281" t="s">
        <v>918</v>
      </c>
      <c r="H158" s="282">
        <v>0</v>
      </c>
      <c r="I158" s="282">
        <v>0</v>
      </c>
      <c r="J158" s="282">
        <v>6549885</v>
      </c>
    </row>
    <row r="159" spans="1:10">
      <c r="A159" s="280"/>
      <c r="B159" s="280"/>
      <c r="C159" s="280"/>
      <c r="D159" s="280" t="s">
        <v>911</v>
      </c>
      <c r="E159" s="280"/>
      <c r="F159" s="280"/>
      <c r="G159" s="281" t="s">
        <v>1001</v>
      </c>
      <c r="H159" s="282">
        <v>79127</v>
      </c>
      <c r="I159" s="282">
        <v>81642</v>
      </c>
      <c r="J159" s="282">
        <v>81642</v>
      </c>
    </row>
    <row r="160" spans="1:10">
      <c r="A160" s="280"/>
      <c r="B160" s="280" t="s">
        <v>913</v>
      </c>
      <c r="C160" s="280"/>
      <c r="D160" s="280"/>
      <c r="E160" s="280"/>
      <c r="F160" s="280"/>
      <c r="G160" s="281" t="s">
        <v>1002</v>
      </c>
      <c r="H160" s="282">
        <v>115446418</v>
      </c>
      <c r="I160" s="282">
        <v>133929190.8</v>
      </c>
      <c r="J160" s="282">
        <v>149333884.59999999</v>
      </c>
    </row>
    <row r="161" spans="1:10" ht="21">
      <c r="A161" s="280"/>
      <c r="B161" s="280"/>
      <c r="C161" s="280" t="s">
        <v>870</v>
      </c>
      <c r="D161" s="280"/>
      <c r="E161" s="280"/>
      <c r="F161" s="280"/>
      <c r="G161" s="281" t="s">
        <v>871</v>
      </c>
      <c r="H161" s="282">
        <v>9245</v>
      </c>
      <c r="I161" s="282">
        <v>6401.8</v>
      </c>
      <c r="J161" s="282">
        <v>6401.8</v>
      </c>
    </row>
    <row r="162" spans="1:10" ht="21">
      <c r="A162" s="294"/>
      <c r="B162" s="294"/>
      <c r="C162" s="294"/>
      <c r="D162" s="294" t="s">
        <v>849</v>
      </c>
      <c r="E162" s="294"/>
      <c r="F162" s="294"/>
      <c r="G162" s="295" t="s">
        <v>1003</v>
      </c>
      <c r="H162" s="296">
        <v>9245</v>
      </c>
      <c r="I162" s="296">
        <v>6401.8</v>
      </c>
      <c r="J162" s="296">
        <v>6401.8</v>
      </c>
    </row>
    <row r="163" spans="1:10">
      <c r="A163" s="280"/>
      <c r="B163" s="280"/>
      <c r="C163" s="280" t="s">
        <v>900</v>
      </c>
      <c r="D163" s="280"/>
      <c r="E163" s="280"/>
      <c r="F163" s="280"/>
      <c r="G163" s="281" t="s">
        <v>57</v>
      </c>
      <c r="H163" s="282">
        <v>2282053</v>
      </c>
      <c r="I163" s="282">
        <v>2282053</v>
      </c>
      <c r="J163" s="282">
        <v>2282053</v>
      </c>
    </row>
    <row r="164" spans="1:10">
      <c r="A164" s="308"/>
      <c r="B164" s="308"/>
      <c r="C164" s="308"/>
      <c r="D164" s="308" t="s">
        <v>914</v>
      </c>
      <c r="E164" s="308"/>
      <c r="F164" s="308"/>
      <c r="G164" s="309" t="s">
        <v>1004</v>
      </c>
      <c r="H164" s="310">
        <v>2282053</v>
      </c>
      <c r="I164" s="310">
        <v>2282053</v>
      </c>
      <c r="J164" s="310">
        <v>2282053</v>
      </c>
    </row>
    <row r="165" spans="1:10">
      <c r="A165" s="280"/>
      <c r="B165" s="280"/>
      <c r="C165" s="280" t="s">
        <v>902</v>
      </c>
      <c r="D165" s="280"/>
      <c r="E165" s="280"/>
      <c r="F165" s="280"/>
      <c r="G165" s="281" t="s">
        <v>72</v>
      </c>
      <c r="H165" s="282">
        <v>0</v>
      </c>
      <c r="I165" s="282">
        <v>2193598</v>
      </c>
      <c r="J165" s="282">
        <v>16986840</v>
      </c>
    </row>
    <row r="166" spans="1:10" ht="21">
      <c r="A166" s="280"/>
      <c r="B166" s="280"/>
      <c r="C166" s="280"/>
      <c r="D166" s="280" t="s">
        <v>860</v>
      </c>
      <c r="E166" s="280"/>
      <c r="F166" s="280"/>
      <c r="G166" s="281" t="s">
        <v>925</v>
      </c>
      <c r="H166" s="282">
        <v>0</v>
      </c>
      <c r="I166" s="282">
        <v>2193598</v>
      </c>
      <c r="J166" s="282">
        <v>16986840</v>
      </c>
    </row>
    <row r="167" spans="1:10">
      <c r="A167" s="280"/>
      <c r="B167" s="280"/>
      <c r="C167" s="280" t="s">
        <v>906</v>
      </c>
      <c r="D167" s="280"/>
      <c r="E167" s="280"/>
      <c r="F167" s="280"/>
      <c r="G167" s="281" t="s">
        <v>55</v>
      </c>
      <c r="H167" s="282">
        <v>35159051</v>
      </c>
      <c r="I167" s="282">
        <v>30308946</v>
      </c>
      <c r="J167" s="282">
        <v>31274827.899999999</v>
      </c>
    </row>
    <row r="168" spans="1:10">
      <c r="A168" s="280"/>
      <c r="B168" s="280"/>
      <c r="C168" s="280"/>
      <c r="D168" s="280" t="s">
        <v>847</v>
      </c>
      <c r="E168" s="280"/>
      <c r="F168" s="280"/>
      <c r="G168" s="281" t="s">
        <v>1005</v>
      </c>
      <c r="H168" s="282">
        <v>12793823</v>
      </c>
      <c r="I168" s="282">
        <v>12460564</v>
      </c>
      <c r="J168" s="282">
        <v>12460564</v>
      </c>
    </row>
    <row r="169" spans="1:10">
      <c r="A169" s="280"/>
      <c r="B169" s="280"/>
      <c r="C169" s="280"/>
      <c r="D169" s="280"/>
      <c r="E169" s="280" t="s">
        <v>848</v>
      </c>
      <c r="F169" s="280"/>
      <c r="G169" s="281" t="s">
        <v>1006</v>
      </c>
      <c r="H169" s="282">
        <v>0</v>
      </c>
      <c r="I169" s="282">
        <v>0</v>
      </c>
      <c r="J169" s="282">
        <v>10982299.5</v>
      </c>
    </row>
    <row r="170" spans="1:10" ht="21">
      <c r="A170" s="280"/>
      <c r="B170" s="280"/>
      <c r="C170" s="280"/>
      <c r="D170" s="280"/>
      <c r="E170" s="280" t="s">
        <v>879</v>
      </c>
      <c r="F170" s="280"/>
      <c r="G170" s="281" t="s">
        <v>880</v>
      </c>
      <c r="H170" s="282">
        <v>0</v>
      </c>
      <c r="I170" s="282">
        <v>0</v>
      </c>
      <c r="J170" s="282">
        <v>354193.6</v>
      </c>
    </row>
    <row r="171" spans="1:10" ht="21">
      <c r="A171" s="280"/>
      <c r="B171" s="280"/>
      <c r="C171" s="280"/>
      <c r="D171" s="280"/>
      <c r="E171" s="280" t="s">
        <v>855</v>
      </c>
      <c r="F171" s="280"/>
      <c r="G171" s="281" t="s">
        <v>856</v>
      </c>
      <c r="H171" s="282">
        <v>0</v>
      </c>
      <c r="I171" s="282">
        <v>0</v>
      </c>
      <c r="J171" s="282">
        <v>1124070.8999999999</v>
      </c>
    </row>
    <row r="172" spans="1:10">
      <c r="A172" s="280"/>
      <c r="B172" s="280"/>
      <c r="C172" s="280"/>
      <c r="D172" s="280" t="s">
        <v>864</v>
      </c>
      <c r="E172" s="280"/>
      <c r="F172" s="280"/>
      <c r="G172" s="281" t="s">
        <v>946</v>
      </c>
      <c r="H172" s="282">
        <v>1309629</v>
      </c>
      <c r="I172" s="282">
        <v>1702892</v>
      </c>
      <c r="J172" s="282">
        <v>1702892</v>
      </c>
    </row>
    <row r="173" spans="1:10">
      <c r="A173" s="280"/>
      <c r="B173" s="280"/>
      <c r="C173" s="280"/>
      <c r="D173" s="280"/>
      <c r="E173" s="280" t="s">
        <v>848</v>
      </c>
      <c r="F173" s="280"/>
      <c r="G173" s="281" t="s">
        <v>1007</v>
      </c>
      <c r="H173" s="282">
        <v>0</v>
      </c>
      <c r="I173" s="282">
        <v>0</v>
      </c>
      <c r="J173" s="282">
        <v>1702892</v>
      </c>
    </row>
    <row r="174" spans="1:10">
      <c r="A174" s="280"/>
      <c r="B174" s="280"/>
      <c r="C174" s="280"/>
      <c r="D174" s="280" t="s">
        <v>895</v>
      </c>
      <c r="E174" s="280"/>
      <c r="F174" s="280"/>
      <c r="G174" s="281" t="s">
        <v>1008</v>
      </c>
      <c r="H174" s="282">
        <v>332885</v>
      </c>
      <c r="I174" s="282">
        <v>212885</v>
      </c>
      <c r="J174" s="282">
        <v>212885</v>
      </c>
    </row>
    <row r="175" spans="1:10">
      <c r="A175" s="280"/>
      <c r="B175" s="280"/>
      <c r="C175" s="280"/>
      <c r="D175" s="280" t="s">
        <v>883</v>
      </c>
      <c r="E175" s="280"/>
      <c r="F175" s="280"/>
      <c r="G175" s="281" t="s">
        <v>1004</v>
      </c>
      <c r="H175" s="282">
        <v>2449502</v>
      </c>
      <c r="I175" s="282">
        <v>995768</v>
      </c>
      <c r="J175" s="282">
        <v>995768</v>
      </c>
    </row>
    <row r="176" spans="1:10">
      <c r="A176" s="280"/>
      <c r="B176" s="280"/>
      <c r="C176" s="280"/>
      <c r="D176" s="280" t="s">
        <v>875</v>
      </c>
      <c r="E176" s="280"/>
      <c r="F176" s="280"/>
      <c r="G176" s="281" t="s">
        <v>1009</v>
      </c>
      <c r="H176" s="282">
        <v>2146492</v>
      </c>
      <c r="I176" s="282">
        <v>2146492</v>
      </c>
      <c r="J176" s="282">
        <v>2146492</v>
      </c>
    </row>
    <row r="177" spans="1:10">
      <c r="A177" s="280"/>
      <c r="B177" s="280"/>
      <c r="C177" s="280"/>
      <c r="D177" s="280" t="s">
        <v>896</v>
      </c>
      <c r="E177" s="280"/>
      <c r="F177" s="280"/>
      <c r="G177" s="281" t="s">
        <v>1010</v>
      </c>
      <c r="H177" s="282">
        <v>10132</v>
      </c>
      <c r="I177" s="282">
        <v>10132</v>
      </c>
      <c r="J177" s="282">
        <v>10132</v>
      </c>
    </row>
    <row r="178" spans="1:10">
      <c r="A178" s="280"/>
      <c r="B178" s="280"/>
      <c r="C178" s="280"/>
      <c r="D178" s="280" t="s">
        <v>885</v>
      </c>
      <c r="E178" s="280"/>
      <c r="F178" s="280"/>
      <c r="G178" s="281" t="s">
        <v>1011</v>
      </c>
      <c r="H178" s="282">
        <v>1685413</v>
      </c>
      <c r="I178" s="282">
        <v>1680389</v>
      </c>
      <c r="J178" s="282">
        <v>1680389</v>
      </c>
    </row>
    <row r="179" spans="1:10" ht="21">
      <c r="A179" s="280"/>
      <c r="B179" s="280"/>
      <c r="C179" s="280"/>
      <c r="D179" s="280" t="s">
        <v>886</v>
      </c>
      <c r="E179" s="280"/>
      <c r="F179" s="280"/>
      <c r="G179" s="281" t="s">
        <v>1012</v>
      </c>
      <c r="H179" s="282">
        <v>3149431</v>
      </c>
      <c r="I179" s="282">
        <v>3584470</v>
      </c>
      <c r="J179" s="282">
        <v>3584470</v>
      </c>
    </row>
    <row r="180" spans="1:10">
      <c r="A180" s="280"/>
      <c r="B180" s="280"/>
      <c r="C180" s="280"/>
      <c r="D180" s="280" t="s">
        <v>911</v>
      </c>
      <c r="E180" s="280"/>
      <c r="F180" s="280"/>
      <c r="G180" s="281" t="s">
        <v>316</v>
      </c>
      <c r="H180" s="282">
        <v>10789376</v>
      </c>
      <c r="I180" s="282">
        <v>5371701</v>
      </c>
      <c r="J180" s="282">
        <v>5371701</v>
      </c>
    </row>
    <row r="181" spans="1:10">
      <c r="A181" s="280"/>
      <c r="B181" s="280"/>
      <c r="C181" s="280"/>
      <c r="D181" s="280"/>
      <c r="E181" s="280" t="s">
        <v>862</v>
      </c>
      <c r="F181" s="280"/>
      <c r="G181" s="281" t="s">
        <v>892</v>
      </c>
      <c r="H181" s="282">
        <v>0</v>
      </c>
      <c r="I181" s="282">
        <v>0</v>
      </c>
      <c r="J181" s="282">
        <v>2557219</v>
      </c>
    </row>
    <row r="182" spans="1:10">
      <c r="A182" s="280"/>
      <c r="B182" s="280"/>
      <c r="C182" s="280"/>
      <c r="D182" s="280"/>
      <c r="E182" s="280" t="s">
        <v>883</v>
      </c>
      <c r="F182" s="280"/>
      <c r="G182" s="281" t="s">
        <v>884</v>
      </c>
      <c r="H182" s="282">
        <v>0</v>
      </c>
      <c r="I182" s="282">
        <v>0</v>
      </c>
      <c r="J182" s="282">
        <v>2814482</v>
      </c>
    </row>
    <row r="183" spans="1:10">
      <c r="A183" s="280"/>
      <c r="B183" s="280"/>
      <c r="C183" s="280"/>
      <c r="D183" s="280" t="s">
        <v>889</v>
      </c>
      <c r="E183" s="280"/>
      <c r="F183" s="280"/>
      <c r="G183" s="281" t="s">
        <v>1013</v>
      </c>
      <c r="H183" s="282">
        <v>452434</v>
      </c>
      <c r="I183" s="282">
        <v>2103719</v>
      </c>
      <c r="J183" s="282">
        <v>2103719</v>
      </c>
    </row>
    <row r="184" spans="1:10" ht="21">
      <c r="A184" s="280"/>
      <c r="B184" s="280"/>
      <c r="C184" s="280"/>
      <c r="D184" s="280" t="s">
        <v>848</v>
      </c>
      <c r="E184" s="280"/>
      <c r="F184" s="280"/>
      <c r="G184" s="281" t="s">
        <v>868</v>
      </c>
      <c r="H184" s="282">
        <v>0</v>
      </c>
      <c r="I184" s="282">
        <v>0</v>
      </c>
      <c r="J184" s="282">
        <v>893212.8</v>
      </c>
    </row>
    <row r="185" spans="1:10">
      <c r="A185" s="280"/>
      <c r="B185" s="280"/>
      <c r="C185" s="280"/>
      <c r="D185" s="280" t="s">
        <v>845</v>
      </c>
      <c r="E185" s="280"/>
      <c r="F185" s="280"/>
      <c r="G185" s="281" t="s">
        <v>857</v>
      </c>
      <c r="H185" s="282">
        <v>0</v>
      </c>
      <c r="I185" s="282">
        <v>0</v>
      </c>
      <c r="J185" s="282">
        <v>42281.3</v>
      </c>
    </row>
    <row r="186" spans="1:10">
      <c r="A186" s="280"/>
      <c r="B186" s="280"/>
      <c r="C186" s="280"/>
      <c r="D186" s="280" t="s">
        <v>855</v>
      </c>
      <c r="E186" s="280"/>
      <c r="F186" s="280"/>
      <c r="G186" s="281" t="s">
        <v>893</v>
      </c>
      <c r="H186" s="282">
        <v>39934</v>
      </c>
      <c r="I186" s="282">
        <v>39934</v>
      </c>
      <c r="J186" s="282">
        <v>39934</v>
      </c>
    </row>
    <row r="187" spans="1:10" ht="21">
      <c r="A187" s="280"/>
      <c r="B187" s="280"/>
      <c r="C187" s="280"/>
      <c r="D187" s="308" t="s">
        <v>859</v>
      </c>
      <c r="E187" s="308"/>
      <c r="F187" s="308"/>
      <c r="G187" s="309" t="s">
        <v>1014</v>
      </c>
      <c r="H187" s="310">
        <v>0</v>
      </c>
      <c r="I187" s="310">
        <v>0</v>
      </c>
      <c r="J187" s="310">
        <v>14497</v>
      </c>
    </row>
    <row r="188" spans="1:10" ht="21">
      <c r="A188" s="280"/>
      <c r="B188" s="280"/>
      <c r="C188" s="280"/>
      <c r="D188" s="280" t="s">
        <v>852</v>
      </c>
      <c r="E188" s="280"/>
      <c r="F188" s="280"/>
      <c r="G188" s="281" t="s">
        <v>853</v>
      </c>
      <c r="H188" s="282">
        <v>0</v>
      </c>
      <c r="I188" s="282">
        <v>0</v>
      </c>
      <c r="J188" s="282">
        <v>15890.8</v>
      </c>
    </row>
    <row r="189" spans="1:10">
      <c r="A189" s="643"/>
      <c r="B189" s="643"/>
      <c r="C189" s="643" t="s">
        <v>936</v>
      </c>
      <c r="D189" s="643"/>
      <c r="E189" s="643"/>
      <c r="F189" s="643"/>
      <c r="G189" s="644" t="s">
        <v>937</v>
      </c>
      <c r="H189" s="645">
        <v>28461765</v>
      </c>
      <c r="I189" s="645">
        <v>33308454.300000001</v>
      </c>
      <c r="J189" s="645">
        <v>33340829.199999999</v>
      </c>
    </row>
    <row r="190" spans="1:10" ht="21">
      <c r="A190" s="280"/>
      <c r="B190" s="280"/>
      <c r="C190" s="280"/>
      <c r="D190" s="280" t="s">
        <v>847</v>
      </c>
      <c r="E190" s="280"/>
      <c r="F190" s="280"/>
      <c r="G190" s="281" t="s">
        <v>1015</v>
      </c>
      <c r="H190" s="282">
        <v>1362102</v>
      </c>
      <c r="I190" s="282">
        <v>1370104.3</v>
      </c>
      <c r="J190" s="282">
        <v>1370104.3</v>
      </c>
    </row>
    <row r="191" spans="1:10">
      <c r="A191" s="280"/>
      <c r="B191" s="280"/>
      <c r="C191" s="280"/>
      <c r="D191" s="280" t="s">
        <v>881</v>
      </c>
      <c r="E191" s="280"/>
      <c r="F191" s="280"/>
      <c r="G191" s="281" t="s">
        <v>1016</v>
      </c>
      <c r="H191" s="282">
        <v>2247837</v>
      </c>
      <c r="I191" s="282">
        <v>2374989.2000000002</v>
      </c>
      <c r="J191" s="282">
        <v>2374989.2000000002</v>
      </c>
    </row>
    <row r="192" spans="1:10">
      <c r="A192" s="280"/>
      <c r="B192" s="280"/>
      <c r="C192" s="280"/>
      <c r="D192" s="280"/>
      <c r="E192" s="280" t="s">
        <v>858</v>
      </c>
      <c r="F192" s="280"/>
      <c r="G192" s="281" t="s">
        <v>921</v>
      </c>
      <c r="H192" s="282">
        <v>0</v>
      </c>
      <c r="I192" s="282">
        <v>0</v>
      </c>
      <c r="J192" s="282">
        <v>554019</v>
      </c>
    </row>
    <row r="193" spans="1:10">
      <c r="A193" s="280"/>
      <c r="B193" s="280"/>
      <c r="C193" s="280"/>
      <c r="D193" s="280"/>
      <c r="E193" s="280" t="s">
        <v>905</v>
      </c>
      <c r="F193" s="280"/>
      <c r="G193" s="281" t="s">
        <v>918</v>
      </c>
      <c r="H193" s="282">
        <v>0</v>
      </c>
      <c r="I193" s="282">
        <v>0</v>
      </c>
      <c r="J193" s="282">
        <v>1820970.2</v>
      </c>
    </row>
    <row r="194" spans="1:10">
      <c r="A194" s="280"/>
      <c r="B194" s="280"/>
      <c r="C194" s="280"/>
      <c r="D194" s="280" t="s">
        <v>895</v>
      </c>
      <c r="E194" s="280"/>
      <c r="F194" s="280"/>
      <c r="G194" s="281" t="s">
        <v>1017</v>
      </c>
      <c r="H194" s="282">
        <v>694103</v>
      </c>
      <c r="I194" s="282">
        <v>694584</v>
      </c>
      <c r="J194" s="282">
        <v>694584</v>
      </c>
    </row>
    <row r="195" spans="1:10">
      <c r="A195" s="280"/>
      <c r="B195" s="280"/>
      <c r="C195" s="280"/>
      <c r="D195" s="280" t="s">
        <v>905</v>
      </c>
      <c r="E195" s="280"/>
      <c r="F195" s="280"/>
      <c r="G195" s="281" t="s">
        <v>861</v>
      </c>
      <c r="H195" s="282">
        <v>0</v>
      </c>
      <c r="I195" s="282">
        <v>231.5</v>
      </c>
      <c r="J195" s="282">
        <v>231.5</v>
      </c>
    </row>
    <row r="196" spans="1:10" ht="21">
      <c r="A196" s="280"/>
      <c r="B196" s="280"/>
      <c r="C196" s="280"/>
      <c r="D196" s="280" t="s">
        <v>883</v>
      </c>
      <c r="E196" s="280"/>
      <c r="F196" s="280"/>
      <c r="G196" s="281" t="s">
        <v>1018</v>
      </c>
      <c r="H196" s="282">
        <v>233074</v>
      </c>
      <c r="I196" s="282">
        <v>247580</v>
      </c>
      <c r="J196" s="282">
        <v>247580</v>
      </c>
    </row>
    <row r="197" spans="1:10">
      <c r="A197" s="280"/>
      <c r="B197" s="280"/>
      <c r="C197" s="280"/>
      <c r="D197" s="280" t="s">
        <v>896</v>
      </c>
      <c r="E197" s="280"/>
      <c r="F197" s="280"/>
      <c r="G197" s="281" t="s">
        <v>1019</v>
      </c>
      <c r="H197" s="282">
        <v>493848</v>
      </c>
      <c r="I197" s="282">
        <v>495432</v>
      </c>
      <c r="J197" s="282">
        <v>495432</v>
      </c>
    </row>
    <row r="198" spans="1:10" ht="21">
      <c r="A198" s="280"/>
      <c r="B198" s="280"/>
      <c r="C198" s="280"/>
      <c r="D198" s="280" t="s">
        <v>877</v>
      </c>
      <c r="E198" s="280"/>
      <c r="F198" s="280"/>
      <c r="G198" s="281" t="s">
        <v>1020</v>
      </c>
      <c r="H198" s="282">
        <v>116131</v>
      </c>
      <c r="I198" s="282">
        <v>116131</v>
      </c>
      <c r="J198" s="282">
        <v>116131</v>
      </c>
    </row>
    <row r="199" spans="1:10">
      <c r="A199" s="280"/>
      <c r="B199" s="280"/>
      <c r="C199" s="280"/>
      <c r="D199" s="280" t="s">
        <v>941</v>
      </c>
      <c r="E199" s="280"/>
      <c r="F199" s="280"/>
      <c r="G199" s="281" t="s">
        <v>1021</v>
      </c>
      <c r="H199" s="282">
        <v>64039</v>
      </c>
      <c r="I199" s="282">
        <v>100853.9</v>
      </c>
      <c r="J199" s="282">
        <v>100853.9</v>
      </c>
    </row>
    <row r="200" spans="1:10">
      <c r="A200" s="280"/>
      <c r="B200" s="280"/>
      <c r="C200" s="280"/>
      <c r="D200" s="280" t="s">
        <v>890</v>
      </c>
      <c r="E200" s="280"/>
      <c r="F200" s="280"/>
      <c r="G200" s="281" t="s">
        <v>1022</v>
      </c>
      <c r="H200" s="282">
        <v>23250631</v>
      </c>
      <c r="I200" s="282">
        <v>27753205.5</v>
      </c>
      <c r="J200" s="282">
        <v>27753205.5</v>
      </c>
    </row>
    <row r="201" spans="1:10">
      <c r="A201" s="280"/>
      <c r="B201" s="280"/>
      <c r="C201" s="280"/>
      <c r="D201" s="280"/>
      <c r="E201" s="280" t="s">
        <v>858</v>
      </c>
      <c r="F201" s="280"/>
      <c r="G201" s="281" t="s">
        <v>921</v>
      </c>
      <c r="H201" s="282">
        <v>0</v>
      </c>
      <c r="I201" s="282">
        <v>0</v>
      </c>
      <c r="J201" s="282">
        <v>9488264</v>
      </c>
    </row>
    <row r="202" spans="1:10">
      <c r="A202" s="280"/>
      <c r="B202" s="280"/>
      <c r="C202" s="280"/>
      <c r="D202" s="280"/>
      <c r="E202" s="280" t="s">
        <v>905</v>
      </c>
      <c r="F202" s="280"/>
      <c r="G202" s="281" t="s">
        <v>918</v>
      </c>
      <c r="H202" s="282">
        <v>0</v>
      </c>
      <c r="I202" s="282">
        <v>0</v>
      </c>
      <c r="J202" s="282">
        <v>18264941.5</v>
      </c>
    </row>
    <row r="203" spans="1:10" ht="21">
      <c r="A203" s="280"/>
      <c r="B203" s="280"/>
      <c r="C203" s="280"/>
      <c r="D203" s="280" t="s">
        <v>949</v>
      </c>
      <c r="E203" s="294"/>
      <c r="F203" s="294"/>
      <c r="G203" s="295" t="s">
        <v>1023</v>
      </c>
      <c r="H203" s="296">
        <v>0</v>
      </c>
      <c r="I203" s="296">
        <v>140041.9</v>
      </c>
      <c r="J203" s="296">
        <v>140041.9</v>
      </c>
    </row>
    <row r="204" spans="1:10" ht="21">
      <c r="A204" s="280"/>
      <c r="B204" s="280"/>
      <c r="C204" s="280"/>
      <c r="D204" s="280" t="s">
        <v>859</v>
      </c>
      <c r="E204" s="280"/>
      <c r="F204" s="280"/>
      <c r="G204" s="281" t="s">
        <v>869</v>
      </c>
      <c r="H204" s="282">
        <v>0</v>
      </c>
      <c r="I204" s="282">
        <v>0</v>
      </c>
      <c r="J204" s="282">
        <v>15754</v>
      </c>
    </row>
    <row r="205" spans="1:10" ht="31.5">
      <c r="A205" s="280"/>
      <c r="B205" s="280"/>
      <c r="C205" s="280"/>
      <c r="D205" s="280" t="s">
        <v>865</v>
      </c>
      <c r="E205" s="280"/>
      <c r="F205" s="280"/>
      <c r="G205" s="281" t="s">
        <v>866</v>
      </c>
      <c r="H205" s="282">
        <v>0</v>
      </c>
      <c r="I205" s="282">
        <v>15301</v>
      </c>
      <c r="J205" s="282">
        <v>24411.9</v>
      </c>
    </row>
    <row r="206" spans="1:10" ht="21">
      <c r="A206" s="280"/>
      <c r="B206" s="280"/>
      <c r="C206" s="280"/>
      <c r="D206" s="280" t="s">
        <v>852</v>
      </c>
      <c r="E206" s="280"/>
      <c r="F206" s="280"/>
      <c r="G206" s="281" t="s">
        <v>853</v>
      </c>
      <c r="H206" s="282">
        <v>0</v>
      </c>
      <c r="I206" s="282">
        <v>0</v>
      </c>
      <c r="J206" s="282">
        <v>7510</v>
      </c>
    </row>
    <row r="207" spans="1:10">
      <c r="A207" s="280"/>
      <c r="B207" s="280"/>
      <c r="C207" s="280" t="s">
        <v>916</v>
      </c>
      <c r="D207" s="280"/>
      <c r="E207" s="280"/>
      <c r="F207" s="280"/>
      <c r="G207" s="281" t="s">
        <v>917</v>
      </c>
      <c r="H207" s="282">
        <v>24861972</v>
      </c>
      <c r="I207" s="282">
        <v>35048157.399999999</v>
      </c>
      <c r="J207" s="282">
        <v>34661352.399999999</v>
      </c>
    </row>
    <row r="208" spans="1:10">
      <c r="A208" s="280"/>
      <c r="B208" s="280"/>
      <c r="C208" s="280"/>
      <c r="D208" s="280" t="s">
        <v>887</v>
      </c>
      <c r="E208" s="280"/>
      <c r="F208" s="280"/>
      <c r="G208" s="281" t="s">
        <v>1024</v>
      </c>
      <c r="H208" s="282">
        <v>250946</v>
      </c>
      <c r="I208" s="282">
        <v>201317</v>
      </c>
      <c r="J208" s="282">
        <v>201317</v>
      </c>
    </row>
    <row r="209" spans="1:10">
      <c r="A209" s="280"/>
      <c r="B209" s="280"/>
      <c r="C209" s="280"/>
      <c r="D209" s="280"/>
      <c r="E209" s="280" t="s">
        <v>858</v>
      </c>
      <c r="F209" s="280"/>
      <c r="G209" s="281" t="s">
        <v>921</v>
      </c>
      <c r="H209" s="282">
        <v>0</v>
      </c>
      <c r="I209" s="282">
        <v>0</v>
      </c>
      <c r="J209" s="282">
        <v>195410</v>
      </c>
    </row>
    <row r="210" spans="1:10">
      <c r="A210" s="280"/>
      <c r="B210" s="280"/>
      <c r="C210" s="280"/>
      <c r="D210" s="280"/>
      <c r="E210" s="280" t="s">
        <v>905</v>
      </c>
      <c r="F210" s="280"/>
      <c r="G210" s="281" t="s">
        <v>918</v>
      </c>
      <c r="H210" s="282">
        <v>0</v>
      </c>
      <c r="I210" s="282">
        <v>0</v>
      </c>
      <c r="J210" s="282">
        <v>5907</v>
      </c>
    </row>
    <row r="211" spans="1:10">
      <c r="A211" s="280"/>
      <c r="B211" s="280"/>
      <c r="C211" s="280"/>
      <c r="D211" s="280" t="s">
        <v>943</v>
      </c>
      <c r="E211" s="280"/>
      <c r="F211" s="280"/>
      <c r="G211" s="281" t="s">
        <v>1004</v>
      </c>
      <c r="H211" s="282">
        <v>24611026</v>
      </c>
      <c r="I211" s="282">
        <v>34846840.399999999</v>
      </c>
      <c r="J211" s="282">
        <v>34460035.399999999</v>
      </c>
    </row>
    <row r="212" spans="1:10">
      <c r="A212" s="280"/>
      <c r="B212" s="280"/>
      <c r="C212" s="280"/>
      <c r="D212" s="280"/>
      <c r="E212" s="280" t="s">
        <v>858</v>
      </c>
      <c r="F212" s="280"/>
      <c r="G212" s="281" t="s">
        <v>921</v>
      </c>
      <c r="H212" s="282">
        <v>0</v>
      </c>
      <c r="I212" s="282">
        <v>0</v>
      </c>
      <c r="J212" s="282">
        <v>25140295</v>
      </c>
    </row>
    <row r="213" spans="1:10">
      <c r="A213" s="280"/>
      <c r="B213" s="280"/>
      <c r="C213" s="280"/>
      <c r="D213" s="280"/>
      <c r="E213" s="280" t="s">
        <v>905</v>
      </c>
      <c r="F213" s="280"/>
      <c r="G213" s="281" t="s">
        <v>918</v>
      </c>
      <c r="H213" s="282">
        <v>0</v>
      </c>
      <c r="I213" s="282">
        <v>0</v>
      </c>
      <c r="J213" s="282">
        <v>9319740.4000000004</v>
      </c>
    </row>
    <row r="214" spans="1:10">
      <c r="A214" s="280"/>
      <c r="B214" s="280"/>
      <c r="C214" s="280" t="s">
        <v>924</v>
      </c>
      <c r="D214" s="280"/>
      <c r="E214" s="280"/>
      <c r="F214" s="280"/>
      <c r="G214" s="281" t="s">
        <v>89</v>
      </c>
      <c r="H214" s="282">
        <v>7396333</v>
      </c>
      <c r="I214" s="282">
        <v>8042847</v>
      </c>
      <c r="J214" s="282">
        <v>8042847</v>
      </c>
    </row>
    <row r="215" spans="1:10">
      <c r="A215" s="280"/>
      <c r="B215" s="280"/>
      <c r="C215" s="280"/>
      <c r="D215" s="280" t="s">
        <v>895</v>
      </c>
      <c r="E215" s="280"/>
      <c r="F215" s="280"/>
      <c r="G215" s="281" t="s">
        <v>1004</v>
      </c>
      <c r="H215" s="282">
        <v>7396333</v>
      </c>
      <c r="I215" s="282">
        <v>8042847</v>
      </c>
      <c r="J215" s="282">
        <v>8042847</v>
      </c>
    </row>
    <row r="216" spans="1:10">
      <c r="A216" s="280"/>
      <c r="B216" s="280"/>
      <c r="C216" s="280"/>
      <c r="D216" s="280"/>
      <c r="E216" s="280" t="s">
        <v>858</v>
      </c>
      <c r="F216" s="280"/>
      <c r="G216" s="281" t="s">
        <v>921</v>
      </c>
      <c r="H216" s="282">
        <v>0</v>
      </c>
      <c r="I216" s="282">
        <v>0</v>
      </c>
      <c r="J216" s="282">
        <v>6428523</v>
      </c>
    </row>
    <row r="217" spans="1:10">
      <c r="A217" s="280"/>
      <c r="B217" s="280"/>
      <c r="C217" s="280"/>
      <c r="D217" s="280"/>
      <c r="E217" s="280" t="s">
        <v>905</v>
      </c>
      <c r="F217" s="280"/>
      <c r="G217" s="281" t="s">
        <v>918</v>
      </c>
      <c r="H217" s="282">
        <v>0</v>
      </c>
      <c r="I217" s="282">
        <v>0</v>
      </c>
      <c r="J217" s="282">
        <v>1614324</v>
      </c>
    </row>
    <row r="218" spans="1:10">
      <c r="A218" s="643"/>
      <c r="B218" s="643"/>
      <c r="C218" s="643" t="s">
        <v>939</v>
      </c>
      <c r="D218" s="643"/>
      <c r="E218" s="643"/>
      <c r="F218" s="643"/>
      <c r="G218" s="644" t="s">
        <v>940</v>
      </c>
      <c r="H218" s="645">
        <v>5907561</v>
      </c>
      <c r="I218" s="645">
        <v>5995739</v>
      </c>
      <c r="J218" s="645">
        <v>5995739</v>
      </c>
    </row>
    <row r="219" spans="1:10" ht="21">
      <c r="A219" s="280"/>
      <c r="B219" s="280"/>
      <c r="C219" s="280"/>
      <c r="D219" s="280" t="s">
        <v>847</v>
      </c>
      <c r="E219" s="280"/>
      <c r="F219" s="280"/>
      <c r="G219" s="281" t="s">
        <v>1015</v>
      </c>
      <c r="H219" s="282">
        <v>200091</v>
      </c>
      <c r="I219" s="282">
        <v>201240</v>
      </c>
      <c r="J219" s="282">
        <v>201240</v>
      </c>
    </row>
    <row r="220" spans="1:10">
      <c r="A220" s="280"/>
      <c r="B220" s="280"/>
      <c r="C220" s="280"/>
      <c r="D220" s="280" t="s">
        <v>881</v>
      </c>
      <c r="E220" s="280"/>
      <c r="F220" s="280"/>
      <c r="G220" s="281" t="s">
        <v>1016</v>
      </c>
      <c r="H220" s="282">
        <v>209827</v>
      </c>
      <c r="I220" s="282">
        <v>235035</v>
      </c>
      <c r="J220" s="282">
        <v>235035</v>
      </c>
    </row>
    <row r="221" spans="1:10">
      <c r="A221" s="280"/>
      <c r="B221" s="280"/>
      <c r="C221" s="280"/>
      <c r="D221" s="280"/>
      <c r="E221" s="280" t="s">
        <v>858</v>
      </c>
      <c r="F221" s="280"/>
      <c r="G221" s="281" t="s">
        <v>921</v>
      </c>
      <c r="H221" s="282">
        <v>0</v>
      </c>
      <c r="I221" s="282">
        <v>0</v>
      </c>
      <c r="J221" s="282">
        <v>4978</v>
      </c>
    </row>
    <row r="222" spans="1:10">
      <c r="A222" s="280"/>
      <c r="B222" s="280"/>
      <c r="C222" s="280"/>
      <c r="D222" s="280"/>
      <c r="E222" s="280" t="s">
        <v>905</v>
      </c>
      <c r="F222" s="280"/>
      <c r="G222" s="281" t="s">
        <v>918</v>
      </c>
      <c r="H222" s="282">
        <v>0</v>
      </c>
      <c r="I222" s="282">
        <v>0</v>
      </c>
      <c r="J222" s="282">
        <v>230057</v>
      </c>
    </row>
    <row r="223" spans="1:10">
      <c r="A223" s="280"/>
      <c r="B223" s="280"/>
      <c r="C223" s="280"/>
      <c r="D223" s="280" t="s">
        <v>895</v>
      </c>
      <c r="E223" s="280"/>
      <c r="F223" s="280"/>
      <c r="G223" s="281" t="s">
        <v>1017</v>
      </c>
      <c r="H223" s="282">
        <v>135363</v>
      </c>
      <c r="I223" s="282">
        <v>336398</v>
      </c>
      <c r="J223" s="282">
        <v>336398</v>
      </c>
    </row>
    <row r="224" spans="1:10" ht="21">
      <c r="A224" s="280"/>
      <c r="B224" s="280"/>
      <c r="C224" s="280"/>
      <c r="D224" s="280" t="s">
        <v>883</v>
      </c>
      <c r="E224" s="280"/>
      <c r="F224" s="280"/>
      <c r="G224" s="281" t="s">
        <v>1018</v>
      </c>
      <c r="H224" s="282">
        <v>6091</v>
      </c>
      <c r="I224" s="282">
        <v>5641</v>
      </c>
      <c r="J224" s="282">
        <v>5641</v>
      </c>
    </row>
    <row r="225" spans="1:10">
      <c r="A225" s="280"/>
      <c r="B225" s="280"/>
      <c r="C225" s="280"/>
      <c r="D225" s="280" t="s">
        <v>896</v>
      </c>
      <c r="E225" s="280"/>
      <c r="F225" s="280"/>
      <c r="G225" s="281" t="s">
        <v>1019</v>
      </c>
      <c r="H225" s="282">
        <v>89359</v>
      </c>
      <c r="I225" s="282">
        <v>105766</v>
      </c>
      <c r="J225" s="282">
        <v>105766</v>
      </c>
    </row>
    <row r="226" spans="1:10">
      <c r="A226" s="280"/>
      <c r="B226" s="280"/>
      <c r="C226" s="280"/>
      <c r="D226" s="280" t="s">
        <v>897</v>
      </c>
      <c r="E226" s="280"/>
      <c r="F226" s="280"/>
      <c r="G226" s="281" t="s">
        <v>1025</v>
      </c>
      <c r="H226" s="282">
        <v>1260254</v>
      </c>
      <c r="I226" s="282">
        <v>16684</v>
      </c>
      <c r="J226" s="282">
        <v>16684</v>
      </c>
    </row>
    <row r="227" spans="1:10">
      <c r="A227" s="280"/>
      <c r="B227" s="280"/>
      <c r="C227" s="280"/>
      <c r="D227" s="280"/>
      <c r="E227" s="280" t="s">
        <v>858</v>
      </c>
      <c r="F227" s="280"/>
      <c r="G227" s="281" t="s">
        <v>921</v>
      </c>
      <c r="H227" s="282">
        <v>0</v>
      </c>
      <c r="I227" s="282">
        <v>0</v>
      </c>
      <c r="J227" s="282">
        <v>7700</v>
      </c>
    </row>
    <row r="228" spans="1:10">
      <c r="A228" s="280"/>
      <c r="B228" s="280"/>
      <c r="C228" s="280"/>
      <c r="D228" s="280"/>
      <c r="E228" s="280" t="s">
        <v>905</v>
      </c>
      <c r="F228" s="280"/>
      <c r="G228" s="281" t="s">
        <v>918</v>
      </c>
      <c r="H228" s="282">
        <v>0</v>
      </c>
      <c r="I228" s="282">
        <v>0</v>
      </c>
      <c r="J228" s="282">
        <v>8984</v>
      </c>
    </row>
    <row r="229" spans="1:10">
      <c r="A229" s="280"/>
      <c r="B229" s="280"/>
      <c r="C229" s="280"/>
      <c r="D229" s="280" t="s">
        <v>941</v>
      </c>
      <c r="E229" s="280"/>
      <c r="F229" s="280"/>
      <c r="G229" s="281" t="s">
        <v>1026</v>
      </c>
      <c r="H229" s="282">
        <v>3353</v>
      </c>
      <c r="I229" s="282">
        <v>7433</v>
      </c>
      <c r="J229" s="282">
        <v>7433</v>
      </c>
    </row>
    <row r="230" spans="1:10">
      <c r="A230" s="280"/>
      <c r="B230" s="280"/>
      <c r="C230" s="280"/>
      <c r="D230" s="280" t="s">
        <v>890</v>
      </c>
      <c r="E230" s="280"/>
      <c r="F230" s="280"/>
      <c r="G230" s="281" t="s">
        <v>1027</v>
      </c>
      <c r="H230" s="282">
        <v>4003223</v>
      </c>
      <c r="I230" s="282">
        <v>5087542</v>
      </c>
      <c r="J230" s="282">
        <v>5087542</v>
      </c>
    </row>
    <row r="231" spans="1:10">
      <c r="A231" s="280"/>
      <c r="B231" s="280"/>
      <c r="C231" s="280"/>
      <c r="D231" s="280"/>
      <c r="E231" s="280" t="s">
        <v>858</v>
      </c>
      <c r="F231" s="280"/>
      <c r="G231" s="281" t="s">
        <v>921</v>
      </c>
      <c r="H231" s="282">
        <v>0</v>
      </c>
      <c r="I231" s="282">
        <v>0</v>
      </c>
      <c r="J231" s="282">
        <v>1099514</v>
      </c>
    </row>
    <row r="232" spans="1:10">
      <c r="A232" s="280"/>
      <c r="B232" s="280"/>
      <c r="C232" s="280"/>
      <c r="D232" s="280"/>
      <c r="E232" s="280" t="s">
        <v>905</v>
      </c>
      <c r="F232" s="280"/>
      <c r="G232" s="281" t="s">
        <v>918</v>
      </c>
      <c r="H232" s="282">
        <v>0</v>
      </c>
      <c r="I232" s="282">
        <v>0</v>
      </c>
      <c r="J232" s="282">
        <v>3988028</v>
      </c>
    </row>
    <row r="233" spans="1:10">
      <c r="A233" s="280"/>
      <c r="B233" s="280"/>
      <c r="C233" s="280" t="s">
        <v>919</v>
      </c>
      <c r="D233" s="280"/>
      <c r="E233" s="280"/>
      <c r="F233" s="280"/>
      <c r="G233" s="281" t="s">
        <v>920</v>
      </c>
      <c r="H233" s="282">
        <v>10986053</v>
      </c>
      <c r="I233" s="282">
        <v>16276013.300000001</v>
      </c>
      <c r="J233" s="282">
        <v>16276013.300000001</v>
      </c>
    </row>
    <row r="234" spans="1:10">
      <c r="A234" s="280"/>
      <c r="B234" s="280"/>
      <c r="C234" s="280"/>
      <c r="D234" s="280" t="s">
        <v>867</v>
      </c>
      <c r="E234" s="280"/>
      <c r="F234" s="280"/>
      <c r="G234" s="281" t="s">
        <v>920</v>
      </c>
      <c r="H234" s="282">
        <v>544586</v>
      </c>
      <c r="I234" s="282">
        <v>580771</v>
      </c>
      <c r="J234" s="282">
        <v>580771</v>
      </c>
    </row>
    <row r="235" spans="1:10">
      <c r="A235" s="280"/>
      <c r="B235" s="280"/>
      <c r="C235" s="280"/>
      <c r="D235" s="280"/>
      <c r="E235" s="280" t="s">
        <v>858</v>
      </c>
      <c r="F235" s="280"/>
      <c r="G235" s="281" t="s">
        <v>921</v>
      </c>
      <c r="H235" s="282">
        <v>0</v>
      </c>
      <c r="I235" s="282">
        <v>0</v>
      </c>
      <c r="J235" s="282">
        <v>375387</v>
      </c>
    </row>
    <row r="236" spans="1:10">
      <c r="A236" s="280"/>
      <c r="B236" s="280"/>
      <c r="C236" s="280"/>
      <c r="D236" s="280"/>
      <c r="E236" s="280" t="s">
        <v>905</v>
      </c>
      <c r="F236" s="280"/>
      <c r="G236" s="281" t="s">
        <v>918</v>
      </c>
      <c r="H236" s="282">
        <v>0</v>
      </c>
      <c r="I236" s="282">
        <v>0</v>
      </c>
      <c r="J236" s="282">
        <v>205384</v>
      </c>
    </row>
    <row r="237" spans="1:10">
      <c r="A237" s="280"/>
      <c r="B237" s="280"/>
      <c r="C237" s="280"/>
      <c r="D237" s="280" t="s">
        <v>894</v>
      </c>
      <c r="E237" s="280"/>
      <c r="F237" s="280"/>
      <c r="G237" s="281" t="s">
        <v>1028</v>
      </c>
      <c r="H237" s="282">
        <v>1528217</v>
      </c>
      <c r="I237" s="282">
        <v>1478653</v>
      </c>
      <c r="J237" s="282">
        <v>1478653</v>
      </c>
    </row>
    <row r="238" spans="1:10">
      <c r="A238" s="280"/>
      <c r="B238" s="280"/>
      <c r="C238" s="280"/>
      <c r="D238" s="280"/>
      <c r="E238" s="280" t="s">
        <v>858</v>
      </c>
      <c r="F238" s="280"/>
      <c r="G238" s="281" t="s">
        <v>921</v>
      </c>
      <c r="H238" s="282">
        <v>0</v>
      </c>
      <c r="I238" s="282">
        <v>0</v>
      </c>
      <c r="J238" s="282">
        <v>1461336</v>
      </c>
    </row>
    <row r="239" spans="1:10">
      <c r="A239" s="280"/>
      <c r="B239" s="280"/>
      <c r="C239" s="280"/>
      <c r="D239" s="280"/>
      <c r="E239" s="280" t="s">
        <v>905</v>
      </c>
      <c r="F239" s="280"/>
      <c r="G239" s="281" t="s">
        <v>918</v>
      </c>
      <c r="H239" s="282">
        <v>0</v>
      </c>
      <c r="I239" s="282">
        <v>0</v>
      </c>
      <c r="J239" s="282">
        <v>17317</v>
      </c>
    </row>
    <row r="240" spans="1:10">
      <c r="A240" s="280"/>
      <c r="B240" s="280"/>
      <c r="C240" s="280"/>
      <c r="D240" s="280" t="s">
        <v>943</v>
      </c>
      <c r="E240" s="280"/>
      <c r="F240" s="280"/>
      <c r="G240" s="281" t="s">
        <v>1004</v>
      </c>
      <c r="H240" s="282">
        <v>8913250</v>
      </c>
      <c r="I240" s="282">
        <v>14216589.300000001</v>
      </c>
      <c r="J240" s="282">
        <v>14216589.300000001</v>
      </c>
    </row>
    <row r="241" spans="1:10">
      <c r="A241" s="280"/>
      <c r="B241" s="280"/>
      <c r="C241" s="280"/>
      <c r="D241" s="280"/>
      <c r="E241" s="280" t="s">
        <v>858</v>
      </c>
      <c r="F241" s="280"/>
      <c r="G241" s="281" t="s">
        <v>921</v>
      </c>
      <c r="H241" s="282">
        <v>0</v>
      </c>
      <c r="I241" s="282">
        <v>0</v>
      </c>
      <c r="J241" s="282">
        <v>11457972</v>
      </c>
    </row>
    <row r="242" spans="1:10">
      <c r="A242" s="280"/>
      <c r="B242" s="280"/>
      <c r="C242" s="280"/>
      <c r="D242" s="280"/>
      <c r="E242" s="280" t="s">
        <v>905</v>
      </c>
      <c r="F242" s="280"/>
      <c r="G242" s="281" t="s">
        <v>918</v>
      </c>
      <c r="H242" s="282">
        <v>0</v>
      </c>
      <c r="I242" s="282">
        <v>0</v>
      </c>
      <c r="J242" s="282">
        <v>2758617.3</v>
      </c>
    </row>
    <row r="243" spans="1:10">
      <c r="A243" s="280"/>
      <c r="B243" s="280"/>
      <c r="C243" s="280" t="s">
        <v>874</v>
      </c>
      <c r="D243" s="280"/>
      <c r="E243" s="280"/>
      <c r="F243" s="280"/>
      <c r="G243" s="281" t="s">
        <v>63</v>
      </c>
      <c r="H243" s="282">
        <v>382385</v>
      </c>
      <c r="I243" s="282">
        <v>466981</v>
      </c>
      <c r="J243" s="282">
        <v>466981</v>
      </c>
    </row>
    <row r="244" spans="1:10">
      <c r="A244" s="280"/>
      <c r="B244" s="280"/>
      <c r="C244" s="280"/>
      <c r="D244" s="280" t="s">
        <v>851</v>
      </c>
      <c r="E244" s="280"/>
      <c r="F244" s="280"/>
      <c r="G244" s="281" t="s">
        <v>1029</v>
      </c>
      <c r="H244" s="282">
        <v>76886</v>
      </c>
      <c r="I244" s="282">
        <v>76886</v>
      </c>
      <c r="J244" s="282">
        <v>76886</v>
      </c>
    </row>
    <row r="245" spans="1:10" ht="21">
      <c r="A245" s="280"/>
      <c r="B245" s="280"/>
      <c r="C245" s="280"/>
      <c r="D245" s="280" t="s">
        <v>883</v>
      </c>
      <c r="E245" s="280"/>
      <c r="F245" s="280"/>
      <c r="G245" s="281" t="s">
        <v>1030</v>
      </c>
      <c r="H245" s="282">
        <v>266499</v>
      </c>
      <c r="I245" s="282">
        <v>351095</v>
      </c>
      <c r="J245" s="282">
        <v>351095</v>
      </c>
    </row>
    <row r="246" spans="1:10">
      <c r="A246" s="280"/>
      <c r="B246" s="280"/>
      <c r="C246" s="280"/>
      <c r="D246" s="280" t="s">
        <v>885</v>
      </c>
      <c r="E246" s="280"/>
      <c r="F246" s="280"/>
      <c r="G246" s="281" t="s">
        <v>1031</v>
      </c>
      <c r="H246" s="282">
        <v>39000</v>
      </c>
      <c r="I246" s="282">
        <v>39000</v>
      </c>
      <c r="J246" s="282">
        <v>39000</v>
      </c>
    </row>
    <row r="247" spans="1:10">
      <c r="A247" s="274"/>
      <c r="B247" s="274" t="s">
        <v>913</v>
      </c>
      <c r="C247" s="274"/>
      <c r="D247" s="274"/>
      <c r="E247" s="274"/>
      <c r="F247" s="274"/>
      <c r="G247" s="275" t="s">
        <v>1032</v>
      </c>
      <c r="H247" s="276">
        <v>72395915</v>
      </c>
      <c r="I247" s="276">
        <v>78896560.099999994</v>
      </c>
      <c r="J247" s="276">
        <v>33674657.600000001</v>
      </c>
    </row>
    <row r="248" spans="1:10">
      <c r="A248" s="274"/>
      <c r="B248" s="274"/>
      <c r="C248" s="274" t="s">
        <v>903</v>
      </c>
      <c r="D248" s="274"/>
      <c r="E248" s="274"/>
      <c r="F248" s="274"/>
      <c r="G248" s="275" t="s">
        <v>71</v>
      </c>
      <c r="H248" s="276">
        <v>64725312</v>
      </c>
      <c r="I248" s="276">
        <v>68198151</v>
      </c>
      <c r="J248" s="276">
        <v>22933349.800000001</v>
      </c>
    </row>
    <row r="249" spans="1:10" ht="21">
      <c r="A249" s="274"/>
      <c r="B249" s="274"/>
      <c r="C249" s="274"/>
      <c r="D249" s="274" t="s">
        <v>846</v>
      </c>
      <c r="E249" s="274"/>
      <c r="F249" s="274"/>
      <c r="G249" s="275" t="s">
        <v>1033</v>
      </c>
      <c r="H249" s="276">
        <v>3152337</v>
      </c>
      <c r="I249" s="276">
        <v>2975308</v>
      </c>
      <c r="J249" s="276">
        <v>2975308</v>
      </c>
    </row>
    <row r="250" spans="1:10" ht="21">
      <c r="A250" s="274"/>
      <c r="B250" s="274"/>
      <c r="C250" s="274"/>
      <c r="D250" s="274"/>
      <c r="E250" s="274" t="s">
        <v>848</v>
      </c>
      <c r="F250" s="274"/>
      <c r="G250" s="275" t="s">
        <v>1034</v>
      </c>
      <c r="H250" s="276">
        <v>0</v>
      </c>
      <c r="I250" s="276">
        <v>0</v>
      </c>
      <c r="J250" s="276">
        <v>2851887.4</v>
      </c>
    </row>
    <row r="251" spans="1:10" ht="21">
      <c r="A251" s="274"/>
      <c r="B251" s="274"/>
      <c r="C251" s="274"/>
      <c r="D251" s="274"/>
      <c r="E251" s="274" t="s">
        <v>879</v>
      </c>
      <c r="F251" s="274"/>
      <c r="G251" s="275" t="s">
        <v>880</v>
      </c>
      <c r="H251" s="276">
        <v>0</v>
      </c>
      <c r="I251" s="276">
        <v>0</v>
      </c>
      <c r="J251" s="276">
        <v>80604.5</v>
      </c>
    </row>
    <row r="252" spans="1:10" ht="21">
      <c r="A252" s="274"/>
      <c r="B252" s="274"/>
      <c r="C252" s="274"/>
      <c r="D252" s="274"/>
      <c r="E252" s="274" t="s">
        <v>855</v>
      </c>
      <c r="F252" s="274"/>
      <c r="G252" s="275" t="s">
        <v>856</v>
      </c>
      <c r="H252" s="276">
        <v>0</v>
      </c>
      <c r="I252" s="276">
        <v>0</v>
      </c>
      <c r="J252" s="276">
        <v>42816.1</v>
      </c>
    </row>
    <row r="253" spans="1:10">
      <c r="A253" s="274"/>
      <c r="B253" s="274"/>
      <c r="C253" s="274"/>
      <c r="D253" s="274" t="s">
        <v>864</v>
      </c>
      <c r="E253" s="274"/>
      <c r="F253" s="274"/>
      <c r="G253" s="275" t="s">
        <v>946</v>
      </c>
      <c r="H253" s="276">
        <v>71395</v>
      </c>
      <c r="I253" s="276">
        <v>71395</v>
      </c>
      <c r="J253" s="276">
        <v>71395</v>
      </c>
    </row>
    <row r="254" spans="1:10">
      <c r="A254" s="274"/>
      <c r="B254" s="274"/>
      <c r="C254" s="274"/>
      <c r="D254" s="274"/>
      <c r="E254" s="274" t="s">
        <v>848</v>
      </c>
      <c r="F254" s="274"/>
      <c r="G254" s="275" t="s">
        <v>1035</v>
      </c>
      <c r="H254" s="276">
        <v>0</v>
      </c>
      <c r="I254" s="276">
        <v>0</v>
      </c>
      <c r="J254" s="276">
        <v>71395</v>
      </c>
    </row>
    <row r="255" spans="1:10">
      <c r="A255" s="274"/>
      <c r="B255" s="274"/>
      <c r="C255" s="274"/>
      <c r="D255" s="274" t="s">
        <v>881</v>
      </c>
      <c r="E255" s="274"/>
      <c r="F255" s="274"/>
      <c r="G255" s="275" t="s">
        <v>1036</v>
      </c>
      <c r="H255" s="276">
        <v>129344</v>
      </c>
      <c r="I255" s="276">
        <v>142923</v>
      </c>
      <c r="J255" s="276">
        <v>142923</v>
      </c>
    </row>
    <row r="256" spans="1:10">
      <c r="A256" s="274"/>
      <c r="B256" s="274"/>
      <c r="C256" s="274"/>
      <c r="D256" s="274" t="s">
        <v>858</v>
      </c>
      <c r="E256" s="274"/>
      <c r="F256" s="274"/>
      <c r="G256" s="275" t="s">
        <v>1037</v>
      </c>
      <c r="H256" s="276">
        <v>19315457</v>
      </c>
      <c r="I256" s="276">
        <v>18613709</v>
      </c>
      <c r="J256" s="276">
        <v>18613709</v>
      </c>
    </row>
    <row r="257" spans="1:10" ht="21">
      <c r="A257" s="274"/>
      <c r="B257" s="274"/>
      <c r="C257" s="274"/>
      <c r="D257" s="274" t="s">
        <v>882</v>
      </c>
      <c r="E257" s="274"/>
      <c r="F257" s="274"/>
      <c r="G257" s="275" t="s">
        <v>1038</v>
      </c>
      <c r="H257" s="276">
        <v>286911</v>
      </c>
      <c r="I257" s="276">
        <v>252269</v>
      </c>
      <c r="J257" s="276">
        <v>252269</v>
      </c>
    </row>
    <row r="258" spans="1:10">
      <c r="A258" s="274"/>
      <c r="B258" s="274"/>
      <c r="C258" s="274"/>
      <c r="D258" s="274" t="s">
        <v>905</v>
      </c>
      <c r="E258" s="274"/>
      <c r="F258" s="274"/>
      <c r="G258" s="275" t="s">
        <v>1039</v>
      </c>
      <c r="H258" s="276">
        <v>574090</v>
      </c>
      <c r="I258" s="276">
        <v>555181</v>
      </c>
      <c r="J258" s="276">
        <v>555181</v>
      </c>
    </row>
    <row r="259" spans="1:10" ht="21">
      <c r="A259" s="274"/>
      <c r="B259" s="274"/>
      <c r="C259" s="274"/>
      <c r="D259" s="274" t="s">
        <v>883</v>
      </c>
      <c r="E259" s="274"/>
      <c r="F259" s="274"/>
      <c r="G259" s="275" t="s">
        <v>1040</v>
      </c>
      <c r="H259" s="276">
        <v>30932</v>
      </c>
      <c r="I259" s="276">
        <v>33932</v>
      </c>
      <c r="J259" s="276">
        <v>33932</v>
      </c>
    </row>
    <row r="260" spans="1:10" ht="21">
      <c r="A260" s="274"/>
      <c r="B260" s="274"/>
      <c r="C260" s="274"/>
      <c r="D260" s="274" t="s">
        <v>886</v>
      </c>
      <c r="E260" s="274"/>
      <c r="F260" s="274"/>
      <c r="G260" s="275" t="s">
        <v>1041</v>
      </c>
      <c r="H260" s="276">
        <v>27473</v>
      </c>
      <c r="I260" s="276">
        <v>27473</v>
      </c>
      <c r="J260" s="276">
        <v>27473</v>
      </c>
    </row>
    <row r="261" spans="1:10">
      <c r="A261" s="274"/>
      <c r="B261" s="274"/>
      <c r="C261" s="274"/>
      <c r="D261" s="274"/>
      <c r="E261" s="274" t="s">
        <v>863</v>
      </c>
      <c r="F261" s="274"/>
      <c r="G261" s="275" t="s">
        <v>908</v>
      </c>
      <c r="H261" s="276">
        <v>0</v>
      </c>
      <c r="I261" s="276">
        <v>0</v>
      </c>
      <c r="J261" s="276">
        <v>22572</v>
      </c>
    </row>
    <row r="262" spans="1:10">
      <c r="A262" s="274"/>
      <c r="B262" s="274"/>
      <c r="C262" s="274"/>
      <c r="D262" s="274"/>
      <c r="E262" s="274" t="s">
        <v>896</v>
      </c>
      <c r="F262" s="274"/>
      <c r="G262" s="275" t="s">
        <v>909</v>
      </c>
      <c r="H262" s="276">
        <v>0</v>
      </c>
      <c r="I262" s="276">
        <v>0</v>
      </c>
      <c r="J262" s="276">
        <v>4901</v>
      </c>
    </row>
    <row r="263" spans="1:10">
      <c r="A263" s="274"/>
      <c r="B263" s="274"/>
      <c r="C263" s="274"/>
      <c r="D263" s="274" t="s">
        <v>897</v>
      </c>
      <c r="E263" s="274"/>
      <c r="F263" s="274"/>
      <c r="G263" s="275" t="s">
        <v>1042</v>
      </c>
      <c r="H263" s="276">
        <v>16083</v>
      </c>
      <c r="I263" s="276">
        <v>16083</v>
      </c>
      <c r="J263" s="276">
        <v>16083</v>
      </c>
    </row>
    <row r="264" spans="1:10" ht="21">
      <c r="A264" s="274"/>
      <c r="B264" s="274"/>
      <c r="C264" s="274"/>
      <c r="D264" s="274" t="s">
        <v>890</v>
      </c>
      <c r="E264" s="274"/>
      <c r="F264" s="274"/>
      <c r="G264" s="275" t="s">
        <v>1043</v>
      </c>
      <c r="H264" s="276">
        <v>75396</v>
      </c>
      <c r="I264" s="276">
        <v>231000</v>
      </c>
      <c r="J264" s="276">
        <v>231000</v>
      </c>
    </row>
    <row r="265" spans="1:10">
      <c r="A265" s="274"/>
      <c r="B265" s="274"/>
      <c r="C265" s="274"/>
      <c r="D265" s="274" t="s">
        <v>845</v>
      </c>
      <c r="E265" s="274"/>
      <c r="F265" s="274"/>
      <c r="G265" s="275" t="s">
        <v>857</v>
      </c>
      <c r="H265" s="276">
        <v>0</v>
      </c>
      <c r="I265" s="276">
        <v>0</v>
      </c>
      <c r="J265" s="276">
        <v>2291.4</v>
      </c>
    </row>
    <row r="266" spans="1:10" ht="21">
      <c r="A266" s="274"/>
      <c r="B266" s="274"/>
      <c r="C266" s="274"/>
      <c r="D266" s="274" t="s">
        <v>852</v>
      </c>
      <c r="E266" s="274"/>
      <c r="F266" s="274"/>
      <c r="G266" s="275" t="s">
        <v>853</v>
      </c>
      <c r="H266" s="276">
        <v>0</v>
      </c>
      <c r="I266" s="276">
        <v>0</v>
      </c>
      <c r="J266" s="276">
        <v>313.39999999999998</v>
      </c>
    </row>
    <row r="267" spans="1:10" ht="21">
      <c r="A267" s="274"/>
      <c r="B267" s="274"/>
      <c r="C267" s="274"/>
      <c r="D267" s="274" t="s">
        <v>860</v>
      </c>
      <c r="E267" s="274"/>
      <c r="F267" s="274"/>
      <c r="G267" s="275" t="s">
        <v>925</v>
      </c>
      <c r="H267" s="276">
        <v>0</v>
      </c>
      <c r="I267" s="276">
        <v>0</v>
      </c>
      <c r="J267" s="276">
        <v>11472</v>
      </c>
    </row>
    <row r="268" spans="1:10">
      <c r="A268" s="274"/>
      <c r="B268" s="274"/>
      <c r="C268" s="274"/>
      <c r="D268" s="274" t="s">
        <v>1044</v>
      </c>
      <c r="E268" s="274"/>
      <c r="F268" s="274"/>
      <c r="G268" s="275" t="s">
        <v>1045</v>
      </c>
      <c r="H268" s="276">
        <v>41045894</v>
      </c>
      <c r="I268" s="276">
        <v>45278878</v>
      </c>
      <c r="J268" s="276">
        <v>0</v>
      </c>
    </row>
    <row r="269" spans="1:10">
      <c r="A269" s="274"/>
      <c r="B269" s="274"/>
      <c r="C269" s="294" t="s">
        <v>936</v>
      </c>
      <c r="D269" s="294"/>
      <c r="E269" s="294"/>
      <c r="F269" s="294"/>
      <c r="G269" s="295" t="s">
        <v>937</v>
      </c>
      <c r="H269" s="296">
        <v>0</v>
      </c>
      <c r="I269" s="296">
        <v>641022.69999999995</v>
      </c>
      <c r="J269" s="296">
        <v>641022.69999999995</v>
      </c>
    </row>
    <row r="270" spans="1:10" ht="21">
      <c r="A270" s="274"/>
      <c r="B270" s="274"/>
      <c r="C270" s="294"/>
      <c r="D270" s="294" t="s">
        <v>926</v>
      </c>
      <c r="E270" s="294"/>
      <c r="F270" s="294"/>
      <c r="G270" s="295" t="s">
        <v>1046</v>
      </c>
      <c r="H270" s="296">
        <v>0</v>
      </c>
      <c r="I270" s="296">
        <v>641022.69999999995</v>
      </c>
      <c r="J270" s="296">
        <v>641022.69999999995</v>
      </c>
    </row>
    <row r="271" spans="1:10">
      <c r="A271" s="274"/>
      <c r="B271" s="274"/>
      <c r="C271" s="294"/>
      <c r="D271" s="294"/>
      <c r="E271" s="294" t="s">
        <v>858</v>
      </c>
      <c r="F271" s="294"/>
      <c r="G271" s="295" t="s">
        <v>921</v>
      </c>
      <c r="H271" s="296">
        <v>0</v>
      </c>
      <c r="I271" s="296">
        <v>0</v>
      </c>
      <c r="J271" s="296">
        <v>625057.69999999995</v>
      </c>
    </row>
    <row r="272" spans="1:10">
      <c r="A272" s="274"/>
      <c r="B272" s="274"/>
      <c r="C272" s="294"/>
      <c r="D272" s="294"/>
      <c r="E272" s="294" t="s">
        <v>905</v>
      </c>
      <c r="F272" s="294"/>
      <c r="G272" s="295" t="s">
        <v>918</v>
      </c>
      <c r="H272" s="296">
        <v>0</v>
      </c>
      <c r="I272" s="296">
        <v>0</v>
      </c>
      <c r="J272" s="296">
        <v>15965</v>
      </c>
    </row>
    <row r="273" spans="1:10">
      <c r="A273" s="274"/>
      <c r="B273" s="274"/>
      <c r="C273" s="294" t="s">
        <v>906</v>
      </c>
      <c r="D273" s="294"/>
      <c r="E273" s="294"/>
      <c r="F273" s="294"/>
      <c r="G273" s="295" t="s">
        <v>55</v>
      </c>
      <c r="H273" s="296">
        <v>14556</v>
      </c>
      <c r="I273" s="296">
        <v>14556</v>
      </c>
      <c r="J273" s="296">
        <v>14556</v>
      </c>
    </row>
    <row r="274" spans="1:10">
      <c r="A274" s="274"/>
      <c r="B274" s="274"/>
      <c r="C274" s="294"/>
      <c r="D274" s="294" t="s">
        <v>876</v>
      </c>
      <c r="E274" s="294"/>
      <c r="F274" s="294"/>
      <c r="G274" s="295" t="s">
        <v>1047</v>
      </c>
      <c r="H274" s="296">
        <v>14556</v>
      </c>
      <c r="I274" s="296">
        <v>14556</v>
      </c>
      <c r="J274" s="296">
        <v>14556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3:H12"/>
  <sheetViews>
    <sheetView zoomScale="85" zoomScaleNormal="85" workbookViewId="0">
      <selection activeCell="D22" sqref="D22"/>
    </sheetView>
  </sheetViews>
  <sheetFormatPr defaultRowHeight="15"/>
  <cols>
    <col min="1" max="1" width="19.140625" customWidth="1"/>
    <col min="2" max="2" width="20.28515625" bestFit="1" customWidth="1"/>
    <col min="3" max="3" width="19.85546875" bestFit="1" customWidth="1"/>
    <col min="4" max="4" width="16.85546875" customWidth="1"/>
    <col min="6" max="6" width="23.5703125" customWidth="1"/>
    <col min="7" max="7" width="12.5703125" bestFit="1" customWidth="1"/>
    <col min="8" max="8" width="15" bestFit="1" customWidth="1"/>
    <col min="9" max="9" width="9.140625" customWidth="1"/>
  </cols>
  <sheetData>
    <row r="3" spans="1:8">
      <c r="A3" s="897" t="s">
        <v>2047</v>
      </c>
      <c r="B3" s="639" t="s">
        <v>2048</v>
      </c>
      <c r="C3" s="639" t="s">
        <v>2049</v>
      </c>
      <c r="D3" s="641">
        <v>2228778.1166499997</v>
      </c>
      <c r="E3" s="655">
        <f>D3/D11</f>
        <v>5.1116199258443129E-2</v>
      </c>
      <c r="F3" s="913">
        <f>E3*$F$11</f>
        <v>2898535.3227450848</v>
      </c>
      <c r="G3" t="s">
        <v>2620</v>
      </c>
    </row>
    <row r="4" spans="1:8">
      <c r="A4" s="640" t="s">
        <v>2050</v>
      </c>
      <c r="B4" s="639">
        <v>5394022.0726064285</v>
      </c>
      <c r="C4" s="639">
        <v>390605.58139999997</v>
      </c>
      <c r="D4" s="639">
        <f>SUM(B4:C4)</f>
        <v>5784627.6540064281</v>
      </c>
      <c r="E4" s="655">
        <f>D4/D11</f>
        <v>0.13266828922500898</v>
      </c>
      <c r="F4" s="913">
        <f t="shared" ref="F4:F10" si="0">E4*$F$11</f>
        <v>7522932.61442619</v>
      </c>
    </row>
    <row r="5" spans="1:8">
      <c r="A5" s="640" t="s">
        <v>2051</v>
      </c>
      <c r="B5" s="639">
        <v>1777527.9099749103</v>
      </c>
      <c r="C5" s="639">
        <v>2315570.0640000002</v>
      </c>
      <c r="D5" s="639">
        <f t="shared" ref="D5:D11" si="1">SUM(B5:C5)</f>
        <v>4093097.9739749106</v>
      </c>
      <c r="E5" s="655">
        <f>D5/D11</f>
        <v>9.3873683548413633E-2</v>
      </c>
      <c r="F5" s="913">
        <f t="shared" si="0"/>
        <v>5323091.1450508032</v>
      </c>
    </row>
    <row r="6" spans="1:8">
      <c r="A6" s="640" t="s">
        <v>2052</v>
      </c>
      <c r="B6" s="639">
        <v>5928154.1473918362</v>
      </c>
      <c r="C6" s="639">
        <v>664016.24699999997</v>
      </c>
      <c r="D6" s="639">
        <f t="shared" si="1"/>
        <v>6592170.3943918366</v>
      </c>
      <c r="E6" s="655">
        <f>D6/D11</f>
        <v>0.15118898238817324</v>
      </c>
      <c r="F6" s="913">
        <f t="shared" si="0"/>
        <v>8573145.3476486802</v>
      </c>
    </row>
    <row r="7" spans="1:8">
      <c r="A7" s="640" t="s">
        <v>2053</v>
      </c>
      <c r="B7" s="639">
        <v>80809.24028682537</v>
      </c>
      <c r="C7" s="639"/>
      <c r="D7" s="639">
        <f t="shared" si="1"/>
        <v>80809.24028682537</v>
      </c>
      <c r="E7" s="655">
        <f>D7/D11</f>
        <v>1.8533299468290864E-3</v>
      </c>
      <c r="F7" s="913">
        <f t="shared" si="0"/>
        <v>105092.75715952346</v>
      </c>
    </row>
    <row r="8" spans="1:8">
      <c r="A8" s="640" t="s">
        <v>2054</v>
      </c>
      <c r="B8" s="639">
        <v>8044789.57596</v>
      </c>
      <c r="C8" s="639"/>
      <c r="D8" s="639">
        <f t="shared" si="1"/>
        <v>8044789.57596</v>
      </c>
      <c r="E8" s="655">
        <f>D8/D11</f>
        <v>0.18450426441511678</v>
      </c>
      <c r="F8" s="913">
        <f t="shared" si="0"/>
        <v>10462282.708078703</v>
      </c>
      <c r="G8" s="641"/>
      <c r="H8" s="641"/>
    </row>
    <row r="9" spans="1:8">
      <c r="A9" s="640" t="s">
        <v>2055</v>
      </c>
      <c r="B9" s="639">
        <v>5855007.8218699992</v>
      </c>
      <c r="C9" s="639"/>
      <c r="D9" s="639">
        <f>SUM(B9:C9)-D3</f>
        <v>3626229.7052199994</v>
      </c>
      <c r="E9" s="655">
        <f>D9/D11</f>
        <v>8.3166233006414236E-2</v>
      </c>
      <c r="F9" s="913">
        <f t="shared" si="0"/>
        <v>4715926.9962530052</v>
      </c>
    </row>
    <row r="10" spans="1:8">
      <c r="A10" s="640" t="s">
        <v>2056</v>
      </c>
      <c r="B10" s="639">
        <v>13151685.080060001</v>
      </c>
      <c r="C10" s="639"/>
      <c r="D10" s="639">
        <f t="shared" si="1"/>
        <v>13151685.080060001</v>
      </c>
      <c r="E10" s="655">
        <f>D10/D11</f>
        <v>0.30162901821160104</v>
      </c>
      <c r="F10" s="913">
        <f t="shared" si="0"/>
        <v>17103821.808638018</v>
      </c>
    </row>
    <row r="11" spans="1:8">
      <c r="A11" s="640" t="s">
        <v>2057</v>
      </c>
      <c r="B11" s="639">
        <v>40231995.84815</v>
      </c>
      <c r="C11" s="639">
        <v>3370191.8924000002</v>
      </c>
      <c r="D11" s="639">
        <f t="shared" si="1"/>
        <v>43602187.740549996</v>
      </c>
      <c r="E11" s="655">
        <f>D11/D11</f>
        <v>1</v>
      </c>
      <c r="F11" s="656">
        <v>56704828.700000003</v>
      </c>
    </row>
    <row r="12" spans="1:8">
      <c r="E12" s="911"/>
      <c r="F12" s="912">
        <f>E12*F11</f>
        <v>0</v>
      </c>
    </row>
  </sheetData>
  <pageMargins left="0.7" right="0.7" top="0.75" bottom="0.75" header="0.3" footer="0.3"/>
  <pageSetup paperSize="9" orientation="portrait" horizontalDpi="4294967293" verticalDpi="0"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6">
    <tabColor rgb="FF92D050"/>
  </sheetPr>
  <dimension ref="A1:CB102"/>
  <sheetViews>
    <sheetView view="pageBreakPreview" zoomScale="70" zoomScaleSheetLayoutView="70" workbookViewId="0">
      <pane xSplit="2" ySplit="2" topLeftCell="BA75" activePane="bottomRight" state="frozen"/>
      <selection activeCell="C22" sqref="C22:E22"/>
      <selection pane="topRight" activeCell="C22" sqref="C22:E22"/>
      <selection pane="bottomLeft" activeCell="C22" sqref="C22:E22"/>
      <selection pane="bottomRight" activeCell="BV81" sqref="BV81"/>
    </sheetView>
  </sheetViews>
  <sheetFormatPr defaultRowHeight="19.5"/>
  <cols>
    <col min="1" max="1" width="9.140625" style="208"/>
    <col min="2" max="2" width="33.42578125" style="208" customWidth="1"/>
    <col min="3" max="3" width="16.85546875" style="209" customWidth="1"/>
    <col min="4" max="4" width="14.7109375" style="199" bestFit="1" customWidth="1"/>
    <col min="5" max="5" width="16.7109375" style="806" bestFit="1" customWidth="1"/>
    <col min="6" max="6" width="23.28515625" style="806" customWidth="1"/>
    <col min="7" max="7" width="14.140625" style="806" customWidth="1"/>
    <col min="8" max="8" width="18.140625" style="199" bestFit="1" customWidth="1"/>
    <col min="9" max="9" width="13" style="198" customWidth="1"/>
    <col min="10" max="10" width="12.42578125" style="198" bestFit="1" customWidth="1"/>
    <col min="11" max="11" width="13.42578125" style="199" bestFit="1" customWidth="1"/>
    <col min="12" max="12" width="14.85546875" style="198" bestFit="1" customWidth="1"/>
    <col min="13" max="13" width="13.42578125" style="198" bestFit="1" customWidth="1"/>
    <col min="14" max="14" width="12.140625" style="198" bestFit="1" customWidth="1"/>
    <col min="15" max="15" width="13.7109375" style="198" customWidth="1"/>
    <col min="16" max="16" width="13.42578125" style="198" bestFit="1" customWidth="1"/>
    <col min="17" max="17" width="17.140625" style="198" customWidth="1"/>
    <col min="18" max="18" width="12.42578125" style="198" bestFit="1" customWidth="1"/>
    <col min="19" max="20" width="13.42578125" style="198" bestFit="1" customWidth="1"/>
    <col min="21" max="21" width="13.7109375" style="209" customWidth="1"/>
    <col min="22" max="22" width="10.85546875" style="199" bestFit="1" customWidth="1"/>
    <col min="23" max="23" width="18.85546875" style="198" customWidth="1"/>
    <col min="24" max="24" width="9.140625" style="198"/>
    <col min="25" max="27" width="9.140625" style="199"/>
    <col min="28" max="28" width="16.42578125" style="199" customWidth="1"/>
    <col min="29" max="29" width="20.7109375" style="209" bestFit="1" customWidth="1"/>
    <col min="30" max="30" width="15.28515625" style="199" customWidth="1"/>
    <col min="31" max="31" width="15.140625" style="199" customWidth="1"/>
    <col min="32" max="32" width="14.85546875" style="199" customWidth="1"/>
    <col min="33" max="33" width="13.42578125" style="199" bestFit="1" customWidth="1"/>
    <col min="34" max="34" width="9.7109375" style="198" bestFit="1" customWidth="1"/>
    <col min="35" max="35" width="9.140625" style="198"/>
    <col min="36" max="36" width="10.140625" style="198" bestFit="1" customWidth="1"/>
    <col min="37" max="37" width="16.28515625" style="198" customWidth="1"/>
    <col min="38" max="38" width="14.140625" style="198" bestFit="1" customWidth="1"/>
    <col min="39" max="39" width="14.140625" style="210" customWidth="1"/>
    <col min="40" max="40" width="10.85546875" style="198" bestFit="1" customWidth="1"/>
    <col min="41" max="41" width="11.28515625" style="210" bestFit="1" customWidth="1"/>
    <col min="42" max="42" width="13.42578125" style="199" bestFit="1" customWidth="1"/>
    <col min="43" max="43" width="13.5703125" style="198" bestFit="1" customWidth="1"/>
    <col min="44" max="44" width="12.5703125" style="198" bestFit="1" customWidth="1"/>
    <col min="45" max="45" width="14.7109375" style="198" customWidth="1"/>
    <col min="46" max="46" width="12.42578125" style="198" bestFit="1" customWidth="1"/>
    <col min="47" max="47" width="15.5703125" style="209" bestFit="1" customWidth="1"/>
    <col min="48" max="48" width="14.7109375" style="199" bestFit="1" customWidth="1"/>
    <col min="49" max="49" width="14.7109375" style="198" bestFit="1" customWidth="1"/>
    <col min="50" max="50" width="12.42578125" style="199" bestFit="1" customWidth="1"/>
    <col min="51" max="52" width="9.140625" style="198"/>
    <col min="53" max="53" width="10.85546875" style="199" bestFit="1" customWidth="1"/>
    <col min="54" max="54" width="15.7109375" style="199" customWidth="1"/>
    <col min="55" max="55" width="9.140625" style="198"/>
    <col min="56" max="56" width="12.42578125" style="199" bestFit="1" customWidth="1"/>
    <col min="57" max="57" width="15" style="209" customWidth="1"/>
    <col min="58" max="58" width="13.85546875" style="209" bestFit="1" customWidth="1"/>
    <col min="59" max="59" width="13.42578125" style="199" bestFit="1" customWidth="1"/>
    <col min="60" max="60" width="13.5703125" style="198" bestFit="1" customWidth="1"/>
    <col min="61" max="61" width="13.28515625" style="198" bestFit="1" customWidth="1"/>
    <col min="62" max="62" width="12.42578125" style="199" bestFit="1" customWidth="1"/>
    <col min="63" max="63" width="13.28515625" style="199" customWidth="1"/>
    <col min="64" max="64" width="9.5703125" style="199" bestFit="1" customWidth="1"/>
    <col min="65" max="65" width="10.5703125" style="198" bestFit="1" customWidth="1"/>
    <col min="66" max="66" width="10.7109375" style="198" customWidth="1"/>
    <col min="67" max="67" width="12.42578125" style="209" bestFit="1" customWidth="1"/>
    <col min="68" max="69" width="9.140625" style="199"/>
    <col min="70" max="70" width="12.42578125" style="199" bestFit="1" customWidth="1"/>
    <col min="71" max="71" width="9.140625" style="198"/>
    <col min="72" max="72" width="13.42578125" style="209" bestFit="1" customWidth="1"/>
    <col min="73" max="73" width="12.5703125" style="199" bestFit="1" customWidth="1"/>
    <col min="74" max="74" width="15.42578125" style="199" bestFit="1" customWidth="1"/>
    <col min="75" max="75" width="12.5703125" style="198" bestFit="1" customWidth="1"/>
    <col min="76" max="76" width="16.42578125" style="199" bestFit="1" customWidth="1"/>
    <col min="77" max="77" width="16" style="198" customWidth="1"/>
    <col min="78" max="78" width="12.5703125" style="198" bestFit="1" customWidth="1"/>
    <col min="79" max="79" width="23.5703125" style="239" customWidth="1"/>
    <col min="80" max="80" width="14.42578125" style="208" customWidth="1"/>
    <col min="81" max="16384" width="9.140625" style="208"/>
  </cols>
  <sheetData>
    <row r="1" spans="1:80" ht="15" customHeight="1">
      <c r="A1" s="1874"/>
      <c r="B1" s="1874"/>
      <c r="C1" s="23" t="s">
        <v>334</v>
      </c>
      <c r="D1" s="24" t="s">
        <v>337</v>
      </c>
      <c r="E1" s="802" t="s">
        <v>340</v>
      </c>
      <c r="F1" s="802" t="s">
        <v>342</v>
      </c>
      <c r="G1" s="802" t="s">
        <v>344</v>
      </c>
      <c r="H1" s="24" t="s">
        <v>346</v>
      </c>
      <c r="I1" s="25" t="s">
        <v>349</v>
      </c>
      <c r="J1" s="25" t="s">
        <v>351</v>
      </c>
      <c r="K1" s="24" t="s">
        <v>353</v>
      </c>
      <c r="L1" s="27" t="s">
        <v>355</v>
      </c>
      <c r="M1" s="27" t="s">
        <v>357</v>
      </c>
      <c r="N1" s="27" t="s">
        <v>359</v>
      </c>
      <c r="O1" s="27" t="s">
        <v>361</v>
      </c>
      <c r="P1" s="27" t="s">
        <v>363</v>
      </c>
      <c r="Q1" s="27" t="s">
        <v>365</v>
      </c>
      <c r="R1" s="27" t="s">
        <v>367</v>
      </c>
      <c r="S1" s="27" t="s">
        <v>369</v>
      </c>
      <c r="T1" s="27" t="s">
        <v>371</v>
      </c>
      <c r="U1" s="27" t="s">
        <v>373</v>
      </c>
      <c r="V1" s="27" t="s">
        <v>375</v>
      </c>
      <c r="W1" s="27" t="s">
        <v>377</v>
      </c>
      <c r="X1" s="23" t="s">
        <v>379</v>
      </c>
      <c r="Y1" s="24" t="s">
        <v>383</v>
      </c>
      <c r="Z1" s="30" t="s">
        <v>387</v>
      </c>
      <c r="AA1" s="30" t="s">
        <v>389</v>
      </c>
      <c r="AB1" s="24" t="s">
        <v>391</v>
      </c>
      <c r="AC1" s="30" t="s">
        <v>394</v>
      </c>
      <c r="AD1" s="24" t="s">
        <v>396</v>
      </c>
      <c r="AE1" s="25" t="s">
        <v>400</v>
      </c>
      <c r="AF1" s="23" t="s">
        <v>402</v>
      </c>
      <c r="AG1" s="24" t="s">
        <v>404</v>
      </c>
      <c r="AH1" s="33" t="s">
        <v>406</v>
      </c>
      <c r="AI1" s="33" t="s">
        <v>409</v>
      </c>
      <c r="AJ1" s="33" t="s">
        <v>412</v>
      </c>
      <c r="AK1" s="24" t="s">
        <v>415</v>
      </c>
      <c r="AL1" s="24" t="s">
        <v>418</v>
      </c>
      <c r="AM1" s="24" t="s">
        <v>421</v>
      </c>
      <c r="AN1" s="33" t="s">
        <v>423</v>
      </c>
      <c r="AO1" s="33" t="s">
        <v>425</v>
      </c>
      <c r="AP1" s="33" t="s">
        <v>428</v>
      </c>
      <c r="AQ1" s="33" t="s">
        <v>431</v>
      </c>
      <c r="AR1" s="26" t="s">
        <v>434</v>
      </c>
      <c r="AS1" s="26" t="s">
        <v>436</v>
      </c>
      <c r="AT1" s="33" t="s">
        <v>438</v>
      </c>
      <c r="AU1" s="33" t="s">
        <v>441</v>
      </c>
      <c r="AV1" s="24" t="s">
        <v>443</v>
      </c>
      <c r="AW1" s="23" t="s">
        <v>446</v>
      </c>
      <c r="AX1" s="24" t="s">
        <v>449</v>
      </c>
      <c r="AY1" s="24" t="s">
        <v>452</v>
      </c>
      <c r="AZ1" s="24" t="s">
        <v>455</v>
      </c>
      <c r="BA1" s="23" t="s">
        <v>458</v>
      </c>
      <c r="BB1" s="24" t="s">
        <v>460</v>
      </c>
      <c r="BC1" s="24" t="s">
        <v>464</v>
      </c>
      <c r="BD1" s="25" t="s">
        <v>469</v>
      </c>
      <c r="BE1" s="25" t="s">
        <v>472</v>
      </c>
      <c r="BF1" s="24" t="s">
        <v>475</v>
      </c>
      <c r="BG1" s="23" t="s">
        <v>480</v>
      </c>
      <c r="BH1" s="23" t="s">
        <v>483</v>
      </c>
      <c r="BI1" s="24" t="s">
        <v>488</v>
      </c>
      <c r="BJ1" s="34" t="s">
        <v>493</v>
      </c>
      <c r="BK1" s="34" t="s">
        <v>496</v>
      </c>
      <c r="BL1" s="24" t="s">
        <v>498</v>
      </c>
      <c r="BM1" s="24" t="s">
        <v>502</v>
      </c>
      <c r="BN1" s="24" t="s">
        <v>507</v>
      </c>
      <c r="BO1" s="18" t="s">
        <v>512</v>
      </c>
      <c r="BP1" s="18" t="s">
        <v>514</v>
      </c>
      <c r="BQ1" s="23" t="s">
        <v>516</v>
      </c>
      <c r="BR1" s="24" t="s">
        <v>519</v>
      </c>
      <c r="BS1" s="24" t="s">
        <v>524</v>
      </c>
      <c r="BT1" s="24" t="s">
        <v>527</v>
      </c>
      <c r="BU1" s="24" t="s">
        <v>532</v>
      </c>
      <c r="BV1" s="24" t="s">
        <v>535</v>
      </c>
      <c r="BW1" s="23" t="s">
        <v>568</v>
      </c>
      <c r="BX1" s="19" t="s">
        <v>570</v>
      </c>
      <c r="BY1" s="19" t="s">
        <v>573</v>
      </c>
      <c r="BZ1" s="19" t="s">
        <v>576</v>
      </c>
      <c r="CA1" s="208"/>
    </row>
    <row r="2" spans="1:80" ht="157.5" customHeight="1">
      <c r="A2" s="1874"/>
      <c r="B2" s="1874"/>
      <c r="C2" s="18" t="s">
        <v>336</v>
      </c>
      <c r="D2" s="18" t="s">
        <v>339</v>
      </c>
      <c r="E2" s="803" t="s">
        <v>341</v>
      </c>
      <c r="F2" s="803" t="s">
        <v>343</v>
      </c>
      <c r="G2" s="803" t="s">
        <v>345</v>
      </c>
      <c r="H2" s="18" t="s">
        <v>348</v>
      </c>
      <c r="I2" s="18" t="s">
        <v>350</v>
      </c>
      <c r="J2" s="18" t="s">
        <v>352</v>
      </c>
      <c r="K2" s="21" t="s">
        <v>354</v>
      </c>
      <c r="L2" s="27" t="s">
        <v>356</v>
      </c>
      <c r="M2" s="27" t="s">
        <v>358</v>
      </c>
      <c r="N2" s="27" t="s">
        <v>360</v>
      </c>
      <c r="O2" s="27" t="s">
        <v>809</v>
      </c>
      <c r="P2" s="27" t="s">
        <v>364</v>
      </c>
      <c r="Q2" s="27" t="s">
        <v>366</v>
      </c>
      <c r="R2" s="27" t="s">
        <v>368</v>
      </c>
      <c r="S2" s="27" t="s">
        <v>810</v>
      </c>
      <c r="T2" s="27" t="s">
        <v>372</v>
      </c>
      <c r="U2" s="27" t="s">
        <v>808</v>
      </c>
      <c r="V2" s="27" t="s">
        <v>376</v>
      </c>
      <c r="W2" s="27" t="s">
        <v>378</v>
      </c>
      <c r="X2" s="28" t="s">
        <v>381</v>
      </c>
      <c r="Y2" s="29" t="s">
        <v>385</v>
      </c>
      <c r="Z2" s="31" t="s">
        <v>388</v>
      </c>
      <c r="AA2" s="31"/>
      <c r="AB2" s="21" t="s">
        <v>393</v>
      </c>
      <c r="AC2" s="32" t="s">
        <v>395</v>
      </c>
      <c r="AD2" s="21" t="s">
        <v>398</v>
      </c>
      <c r="AE2" s="31" t="s">
        <v>401</v>
      </c>
      <c r="AF2" s="28" t="s">
        <v>812</v>
      </c>
      <c r="AG2" s="21" t="s">
        <v>811</v>
      </c>
      <c r="AH2" s="21" t="s">
        <v>408</v>
      </c>
      <c r="AI2" s="18" t="s">
        <v>411</v>
      </c>
      <c r="AJ2" s="18" t="s">
        <v>414</v>
      </c>
      <c r="AK2" s="18" t="s">
        <v>417</v>
      </c>
      <c r="AL2" s="18" t="s">
        <v>420</v>
      </c>
      <c r="AM2" s="18" t="s">
        <v>422</v>
      </c>
      <c r="AN2" s="18" t="s">
        <v>424</v>
      </c>
      <c r="AO2" s="18" t="s">
        <v>426</v>
      </c>
      <c r="AP2" s="18" t="s">
        <v>429</v>
      </c>
      <c r="AQ2" s="18" t="s">
        <v>432</v>
      </c>
      <c r="AR2" s="27" t="s">
        <v>435</v>
      </c>
      <c r="AS2" s="27" t="s">
        <v>437</v>
      </c>
      <c r="AT2" s="18" t="s">
        <v>439</v>
      </c>
      <c r="AU2" s="18" t="s">
        <v>442</v>
      </c>
      <c r="AV2" s="18" t="s">
        <v>445</v>
      </c>
      <c r="AW2" s="35" t="s">
        <v>448</v>
      </c>
      <c r="AX2" s="18" t="s">
        <v>451</v>
      </c>
      <c r="AY2" s="18" t="s">
        <v>454</v>
      </c>
      <c r="AZ2" s="18" t="s">
        <v>457</v>
      </c>
      <c r="BA2" s="35" t="s">
        <v>813</v>
      </c>
      <c r="BB2" s="18" t="s">
        <v>462</v>
      </c>
      <c r="BC2" s="18" t="s">
        <v>466</v>
      </c>
      <c r="BD2" s="32"/>
      <c r="BE2" s="143" t="s">
        <v>473</v>
      </c>
      <c r="BF2" s="36" t="s">
        <v>477</v>
      </c>
      <c r="BG2" s="35" t="s">
        <v>482</v>
      </c>
      <c r="BH2" s="35" t="s">
        <v>485</v>
      </c>
      <c r="BI2" s="18" t="s">
        <v>490</v>
      </c>
      <c r="BJ2" s="18" t="s">
        <v>494</v>
      </c>
      <c r="BK2" s="18" t="s">
        <v>77</v>
      </c>
      <c r="BL2" s="18" t="s">
        <v>500</v>
      </c>
      <c r="BM2" s="37" t="s">
        <v>504</v>
      </c>
      <c r="BN2" s="18" t="s">
        <v>509</v>
      </c>
      <c r="BO2" s="18" t="s">
        <v>513</v>
      </c>
      <c r="BP2" s="18" t="s">
        <v>515</v>
      </c>
      <c r="BQ2" s="18" t="s">
        <v>517</v>
      </c>
      <c r="BR2" s="18" t="s">
        <v>521</v>
      </c>
      <c r="BS2" s="21" t="s">
        <v>525</v>
      </c>
      <c r="BT2" s="37" t="s">
        <v>529</v>
      </c>
      <c r="BU2" s="32" t="s">
        <v>533</v>
      </c>
      <c r="BV2" s="18" t="s">
        <v>536</v>
      </c>
      <c r="BW2" s="35" t="s">
        <v>40</v>
      </c>
      <c r="BX2" s="20" t="s">
        <v>571</v>
      </c>
      <c r="BY2" s="38" t="s">
        <v>574</v>
      </c>
      <c r="BZ2" s="38" t="s">
        <v>577</v>
      </c>
      <c r="CA2" s="208"/>
    </row>
    <row r="3" spans="1:80" s="209" customFormat="1" ht="39.950000000000003" customHeight="1">
      <c r="A3" s="9" t="s">
        <v>136</v>
      </c>
      <c r="B3" s="9" t="s">
        <v>137</v>
      </c>
      <c r="C3" s="183"/>
      <c r="D3" s="183"/>
      <c r="E3" s="652"/>
      <c r="F3" s="804"/>
      <c r="G3" s="652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5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3"/>
      <c r="BZ3" s="184"/>
      <c r="CA3" s="201"/>
      <c r="CB3" s="229"/>
    </row>
    <row r="4" spans="1:80" s="199" customFormat="1" ht="39.950000000000003" customHeight="1">
      <c r="A4" s="10" t="s">
        <v>138</v>
      </c>
      <c r="B4" s="11" t="s">
        <v>139</v>
      </c>
      <c r="C4" s="181"/>
      <c r="D4" s="181"/>
      <c r="E4" s="653">
        <f>Отчет!J33+Отчет!J35+Отчет!J41</f>
        <v>6859553</v>
      </c>
      <c r="F4" s="653"/>
      <c r="G4" s="805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1"/>
      <c r="AX4" s="181"/>
      <c r="AY4" s="181"/>
      <c r="AZ4" s="181"/>
      <c r="BA4" s="181"/>
      <c r="BB4" s="181"/>
      <c r="BC4" s="181"/>
      <c r="BD4" s="181"/>
      <c r="BE4" s="181"/>
      <c r="BF4" s="181"/>
      <c r="BG4" s="181"/>
      <c r="BH4" s="181"/>
      <c r="BI4" s="181"/>
      <c r="BJ4" s="181"/>
      <c r="BK4" s="181"/>
      <c r="BL4" s="181"/>
      <c r="BM4" s="181"/>
      <c r="BN4" s="181"/>
      <c r="BO4" s="181"/>
      <c r="BP4" s="181"/>
      <c r="BQ4" s="181"/>
      <c r="BR4" s="181"/>
      <c r="BS4" s="181"/>
      <c r="BT4" s="181"/>
      <c r="BU4" s="181"/>
      <c r="BV4" s="181"/>
      <c r="BW4" s="181"/>
      <c r="BX4" s="181"/>
      <c r="BY4" s="181"/>
      <c r="BZ4" s="181"/>
      <c r="CA4" s="187"/>
      <c r="CB4" s="230"/>
    </row>
    <row r="5" spans="1:80" s="198" customFormat="1" ht="39.950000000000003" customHeight="1">
      <c r="A5" s="12" t="s">
        <v>140</v>
      </c>
      <c r="B5" s="11" t="s">
        <v>141</v>
      </c>
      <c r="C5" s="182"/>
      <c r="D5" s="182"/>
      <c r="E5" s="654"/>
      <c r="F5" s="654"/>
      <c r="G5" s="654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8"/>
      <c r="AE5" s="188"/>
      <c r="AF5" s="188"/>
      <c r="AG5" s="188"/>
      <c r="AH5" s="189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2"/>
      <c r="BZ5" s="188"/>
      <c r="CA5" s="201"/>
      <c r="CB5" s="231"/>
    </row>
    <row r="6" spans="1:80" s="198" customFormat="1" ht="39.950000000000003" customHeight="1">
      <c r="A6" s="12" t="s">
        <v>142</v>
      </c>
      <c r="B6" s="11" t="s">
        <v>143</v>
      </c>
      <c r="C6" s="182"/>
      <c r="D6" s="182"/>
      <c r="E6" s="654"/>
      <c r="F6" s="654"/>
      <c r="G6" s="654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8"/>
      <c r="AE6" s="188"/>
      <c r="AF6" s="188"/>
      <c r="AG6" s="190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2"/>
      <c r="BZ6" s="188"/>
      <c r="CA6" s="201"/>
      <c r="CB6" s="231"/>
    </row>
    <row r="7" spans="1:80" s="199" customFormat="1" ht="39.950000000000003" customHeight="1">
      <c r="A7" s="10" t="s">
        <v>144</v>
      </c>
      <c r="B7" s="11" t="s">
        <v>145</v>
      </c>
      <c r="C7" s="181"/>
      <c r="D7" s="181"/>
      <c r="E7" s="653"/>
      <c r="F7" s="653"/>
      <c r="G7" s="653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6"/>
      <c r="AE7" s="186"/>
      <c r="AF7" s="186"/>
      <c r="AG7" s="191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1"/>
      <c r="BZ7" s="186"/>
      <c r="CA7" s="201"/>
      <c r="CB7" s="230"/>
    </row>
    <row r="8" spans="1:80" s="199" customFormat="1" ht="39.950000000000003" customHeight="1">
      <c r="A8" s="12" t="s">
        <v>146</v>
      </c>
      <c r="B8" s="11" t="s">
        <v>147</v>
      </c>
      <c r="C8" s="181"/>
      <c r="D8" s="181"/>
      <c r="E8" s="653"/>
      <c r="F8" s="653"/>
      <c r="G8" s="653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1"/>
      <c r="BZ8" s="186"/>
      <c r="CA8" s="201"/>
      <c r="CB8" s="230"/>
    </row>
    <row r="9" spans="1:80" s="198" customFormat="1" ht="39.950000000000003" customHeight="1">
      <c r="A9" s="12" t="s">
        <v>148</v>
      </c>
      <c r="B9" s="11" t="s">
        <v>149</v>
      </c>
      <c r="C9" s="182"/>
      <c r="D9" s="182"/>
      <c r="E9" s="654"/>
      <c r="F9" s="654"/>
      <c r="G9" s="654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2"/>
      <c r="BZ9" s="188"/>
      <c r="CA9" s="201"/>
      <c r="CB9" s="231"/>
    </row>
    <row r="10" spans="1:80" s="198" customFormat="1" ht="39.950000000000003" customHeight="1">
      <c r="A10" s="10" t="s">
        <v>150</v>
      </c>
      <c r="B10" s="11" t="s">
        <v>151</v>
      </c>
      <c r="C10" s="182"/>
      <c r="D10" s="182"/>
      <c r="E10" s="654"/>
      <c r="F10" s="654"/>
      <c r="G10" s="654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8"/>
      <c r="AE10" s="182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2"/>
      <c r="BZ10" s="188"/>
      <c r="CA10" s="201"/>
      <c r="CB10" s="231"/>
    </row>
    <row r="11" spans="1:80" s="198" customFormat="1" ht="39.950000000000003" customHeight="1">
      <c r="A11" s="12" t="s">
        <v>152</v>
      </c>
      <c r="B11" s="10" t="s">
        <v>153</v>
      </c>
      <c r="C11" s="182"/>
      <c r="D11" s="182"/>
      <c r="E11" s="654"/>
      <c r="F11" s="654"/>
      <c r="G11" s="806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8"/>
      <c r="AE11" s="188"/>
      <c r="AF11" s="188"/>
      <c r="AG11" s="182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2"/>
      <c r="BZ11" s="188"/>
      <c r="CA11" s="201"/>
      <c r="CB11" s="231"/>
    </row>
    <row r="12" spans="1:80" s="198" customFormat="1" ht="39.950000000000003" customHeight="1">
      <c r="A12" s="12" t="s">
        <v>154</v>
      </c>
      <c r="B12" s="11" t="s">
        <v>155</v>
      </c>
      <c r="C12" s="182"/>
      <c r="D12" s="182"/>
      <c r="E12" s="654"/>
      <c r="F12" s="654"/>
      <c r="G12" s="654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8"/>
      <c r="AE12" s="188"/>
      <c r="AF12" s="188"/>
      <c r="AG12" s="188"/>
      <c r="AH12" s="188"/>
      <c r="AI12" s="188"/>
      <c r="AJ12" s="188"/>
      <c r="AK12" s="793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2"/>
      <c r="BZ12" s="188"/>
      <c r="CA12" s="201"/>
      <c r="CB12" s="231"/>
    </row>
    <row r="13" spans="1:80" s="199" customFormat="1" ht="39.950000000000003" customHeight="1">
      <c r="A13" s="12" t="s">
        <v>156</v>
      </c>
      <c r="B13" s="11" t="s">
        <v>157</v>
      </c>
      <c r="C13" s="181"/>
      <c r="D13" s="181"/>
      <c r="E13" s="653"/>
      <c r="F13" s="653"/>
      <c r="G13" s="653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1"/>
      <c r="BZ13" s="186"/>
      <c r="CA13" s="201"/>
      <c r="CB13" s="230"/>
    </row>
    <row r="14" spans="1:80" s="209" customFormat="1" ht="39.950000000000003" customHeight="1">
      <c r="A14" s="13" t="s">
        <v>158</v>
      </c>
      <c r="B14" s="14" t="s">
        <v>159</v>
      </c>
      <c r="C14" s="183"/>
      <c r="D14" s="183"/>
      <c r="E14" s="652"/>
      <c r="F14" s="652"/>
      <c r="G14" s="652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3"/>
      <c r="BZ14" s="184"/>
      <c r="CA14" s="201"/>
      <c r="CB14" s="229"/>
    </row>
    <row r="15" spans="1:80" s="199" customFormat="1" ht="39.950000000000003" customHeight="1">
      <c r="A15" s="10" t="s">
        <v>160</v>
      </c>
      <c r="B15" s="11" t="s">
        <v>161</v>
      </c>
      <c r="C15" s="181"/>
      <c r="D15" s="181"/>
      <c r="E15" s="653"/>
      <c r="F15" s="653"/>
      <c r="G15" s="653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1"/>
      <c r="BZ15" s="186"/>
      <c r="CA15" s="201"/>
      <c r="CB15" s="230"/>
    </row>
    <row r="16" spans="1:80" s="199" customFormat="1" ht="39.950000000000003" customHeight="1">
      <c r="A16" s="9" t="s">
        <v>162</v>
      </c>
      <c r="B16" s="9" t="s">
        <v>163</v>
      </c>
      <c r="C16" s="181"/>
      <c r="D16" s="181"/>
      <c r="E16" s="653"/>
      <c r="F16" s="653"/>
      <c r="G16" s="653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1"/>
      <c r="BZ16" s="186"/>
      <c r="CA16" s="201"/>
      <c r="CB16" s="230"/>
    </row>
    <row r="17" spans="1:80" s="199" customFormat="1" ht="39.950000000000003" customHeight="1">
      <c r="A17" s="10" t="s">
        <v>164</v>
      </c>
      <c r="B17" s="11" t="s">
        <v>165</v>
      </c>
      <c r="C17" s="181"/>
      <c r="D17" s="181"/>
      <c r="E17" s="653"/>
      <c r="F17" s="653"/>
      <c r="G17" s="653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1"/>
      <c r="BZ17" s="186"/>
      <c r="CA17" s="201"/>
      <c r="CB17" s="230"/>
    </row>
    <row r="18" spans="1:80" s="199" customFormat="1" ht="39.950000000000003" customHeight="1">
      <c r="A18" s="10" t="s">
        <v>166</v>
      </c>
      <c r="B18" s="11" t="s">
        <v>167</v>
      </c>
      <c r="C18" s="181"/>
      <c r="D18" s="181"/>
      <c r="E18" s="653"/>
      <c r="F18" s="653"/>
      <c r="G18" s="653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1"/>
      <c r="BZ18" s="186"/>
      <c r="CA18" s="201"/>
      <c r="CB18" s="230"/>
    </row>
    <row r="19" spans="1:80" s="199" customFormat="1" ht="39.950000000000003" customHeight="1">
      <c r="A19" s="10" t="s">
        <v>168</v>
      </c>
      <c r="B19" s="11" t="s">
        <v>169</v>
      </c>
      <c r="C19" s="181"/>
      <c r="D19" s="181"/>
      <c r="E19" s="653"/>
      <c r="F19" s="653"/>
      <c r="G19" s="653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  <c r="BJ19" s="186"/>
      <c r="BK19" s="186"/>
      <c r="BL19" s="186"/>
      <c r="BM19" s="186"/>
      <c r="BN19" s="186"/>
      <c r="BO19" s="186"/>
      <c r="BP19" s="186"/>
      <c r="BQ19" s="186"/>
      <c r="BR19" s="186"/>
      <c r="BS19" s="186"/>
      <c r="BT19" s="186"/>
      <c r="BU19" s="186"/>
      <c r="BV19" s="186"/>
      <c r="BW19" s="186"/>
      <c r="BX19" s="186"/>
      <c r="BY19" s="181"/>
      <c r="BZ19" s="186"/>
      <c r="CA19" s="201"/>
      <c r="CB19" s="230"/>
    </row>
    <row r="20" spans="1:80" s="209" customFormat="1" ht="39.950000000000003" customHeight="1">
      <c r="A20" s="10" t="s">
        <v>170</v>
      </c>
      <c r="B20" s="11" t="s">
        <v>171</v>
      </c>
      <c r="C20" s="183"/>
      <c r="D20" s="183"/>
      <c r="E20" s="652"/>
      <c r="F20" s="652"/>
      <c r="G20" s="652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3"/>
      <c r="BZ20" s="184"/>
      <c r="CA20" s="201"/>
      <c r="CB20" s="229"/>
    </row>
    <row r="21" spans="1:80" s="199" customFormat="1" ht="39.950000000000003" customHeight="1">
      <c r="A21" s="9" t="s">
        <v>172</v>
      </c>
      <c r="B21" s="9" t="s">
        <v>173</v>
      </c>
      <c r="C21" s="181"/>
      <c r="D21" s="181"/>
      <c r="E21" s="653"/>
      <c r="F21" s="653"/>
      <c r="G21" s="653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186"/>
      <c r="BP21" s="186"/>
      <c r="BQ21" s="186"/>
      <c r="BR21" s="186"/>
      <c r="BS21" s="186"/>
      <c r="BT21" s="186"/>
      <c r="BU21" s="186"/>
      <c r="BV21" s="186"/>
      <c r="BW21" s="186"/>
      <c r="BX21" s="186"/>
      <c r="BY21" s="181"/>
      <c r="BZ21" s="186"/>
      <c r="CA21" s="201"/>
      <c r="CB21" s="230"/>
    </row>
    <row r="22" spans="1:80" s="199" customFormat="1" ht="39.950000000000003" customHeight="1">
      <c r="A22" s="10" t="s">
        <v>174</v>
      </c>
      <c r="B22" s="11" t="s">
        <v>175</v>
      </c>
      <c r="C22" s="181"/>
      <c r="D22" s="181"/>
      <c r="E22" s="653"/>
      <c r="F22" s="653"/>
      <c r="G22" s="653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186"/>
      <c r="BV22" s="186"/>
      <c r="BW22" s="186"/>
      <c r="BX22" s="186"/>
      <c r="BY22" s="181"/>
      <c r="BZ22" s="186"/>
      <c r="CA22" s="201"/>
      <c r="CB22" s="230"/>
    </row>
    <row r="23" spans="1:80" s="199" customFormat="1" ht="39.950000000000003" customHeight="1">
      <c r="A23" s="10" t="s">
        <v>176</v>
      </c>
      <c r="B23" s="11" t="s">
        <v>177</v>
      </c>
      <c r="C23" s="181"/>
      <c r="D23" s="181"/>
      <c r="E23" s="653"/>
      <c r="F23" s="653"/>
      <c r="G23" s="653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  <c r="BV23" s="186"/>
      <c r="BW23" s="186"/>
      <c r="BX23" s="186"/>
      <c r="BY23" s="181"/>
      <c r="BZ23" s="186"/>
      <c r="CA23" s="201"/>
      <c r="CB23" s="230"/>
    </row>
    <row r="24" spans="1:80" s="209" customFormat="1" ht="39.950000000000003" customHeight="1">
      <c r="A24" s="10" t="s">
        <v>178</v>
      </c>
      <c r="B24" s="11" t="s">
        <v>179</v>
      </c>
      <c r="C24" s="183"/>
      <c r="D24" s="183"/>
      <c r="E24" s="652"/>
      <c r="F24" s="652"/>
      <c r="G24" s="652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  <c r="AA24" s="183"/>
      <c r="AB24" s="183"/>
      <c r="AC24" s="183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3"/>
      <c r="BZ24" s="184"/>
      <c r="CA24" s="201"/>
      <c r="CB24" s="229"/>
    </row>
    <row r="25" spans="1:80" s="199" customFormat="1" ht="39.950000000000003" customHeight="1">
      <c r="A25" s="10" t="s">
        <v>180</v>
      </c>
      <c r="B25" s="11" t="s">
        <v>181</v>
      </c>
      <c r="C25" s="181"/>
      <c r="D25" s="181"/>
      <c r="E25" s="653"/>
      <c r="F25" s="653"/>
      <c r="G25" s="653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1"/>
      <c r="BZ25" s="186"/>
      <c r="CA25" s="201"/>
      <c r="CB25" s="230"/>
    </row>
    <row r="26" spans="1:80" s="199" customFormat="1" ht="39.950000000000003" customHeight="1">
      <c r="A26" s="9" t="s">
        <v>182</v>
      </c>
      <c r="B26" s="9" t="s">
        <v>183</v>
      </c>
      <c r="C26" s="181"/>
      <c r="D26" s="181"/>
      <c r="E26" s="653"/>
      <c r="F26" s="653"/>
      <c r="G26" s="653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1"/>
      <c r="BZ26" s="186"/>
      <c r="CA26" s="201"/>
      <c r="CB26" s="230"/>
    </row>
    <row r="27" spans="1:80" s="199" customFormat="1" ht="39.950000000000003" customHeight="1">
      <c r="A27" s="10" t="s">
        <v>184</v>
      </c>
      <c r="B27" s="11" t="s">
        <v>185</v>
      </c>
      <c r="C27" s="181"/>
      <c r="D27" s="181"/>
      <c r="E27" s="653"/>
      <c r="F27" s="653"/>
      <c r="G27" s="653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1"/>
      <c r="BZ27" s="186"/>
      <c r="CA27" s="201"/>
      <c r="CB27" s="230"/>
    </row>
    <row r="28" spans="1:80" s="199" customFormat="1" ht="39.950000000000003" customHeight="1">
      <c r="A28" s="10" t="s">
        <v>186</v>
      </c>
      <c r="B28" s="11" t="s">
        <v>187</v>
      </c>
      <c r="C28" s="181"/>
      <c r="D28" s="181"/>
      <c r="E28" s="653"/>
      <c r="F28" s="653"/>
      <c r="G28" s="653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186"/>
      <c r="BC28" s="186"/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  <c r="BV28" s="186"/>
      <c r="BW28" s="186"/>
      <c r="BX28" s="186"/>
      <c r="BY28" s="181"/>
      <c r="BZ28" s="186"/>
      <c r="CA28" s="201"/>
      <c r="CB28" s="230"/>
    </row>
    <row r="29" spans="1:80" s="199" customFormat="1" ht="39.950000000000003" customHeight="1">
      <c r="A29" s="10" t="s">
        <v>188</v>
      </c>
      <c r="B29" s="11" t="s">
        <v>189</v>
      </c>
      <c r="C29" s="181"/>
      <c r="D29" s="181"/>
      <c r="E29" s="653"/>
      <c r="F29" s="653"/>
      <c r="G29" s="653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1"/>
      <c r="BZ29" s="186"/>
      <c r="CA29" s="201"/>
      <c r="CB29" s="230"/>
    </row>
    <row r="30" spans="1:80" s="199" customFormat="1" ht="39.950000000000003" customHeight="1">
      <c r="A30" s="15" t="s">
        <v>190</v>
      </c>
      <c r="B30" s="14" t="s">
        <v>191</v>
      </c>
      <c r="C30" s="181"/>
      <c r="D30" s="181"/>
      <c r="E30" s="653"/>
      <c r="F30" s="653"/>
      <c r="G30" s="653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1"/>
      <c r="BZ30" s="186"/>
      <c r="CA30" s="201"/>
      <c r="CB30" s="230"/>
    </row>
    <row r="31" spans="1:80" s="209" customFormat="1" ht="39.950000000000003" customHeight="1">
      <c r="A31" s="15" t="s">
        <v>192</v>
      </c>
      <c r="B31" s="14" t="s">
        <v>193</v>
      </c>
      <c r="C31" s="183"/>
      <c r="D31" s="183"/>
      <c r="E31" s="652"/>
      <c r="F31" s="652"/>
      <c r="G31" s="652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3"/>
      <c r="BZ31" s="184"/>
      <c r="CA31" s="201"/>
      <c r="CB31" s="229"/>
    </row>
    <row r="32" spans="1:80" s="199" customFormat="1" ht="39.950000000000003" customHeight="1">
      <c r="A32" s="15" t="s">
        <v>194</v>
      </c>
      <c r="B32" s="14" t="s">
        <v>195</v>
      </c>
      <c r="C32" s="181"/>
      <c r="D32" s="181"/>
      <c r="E32" s="653"/>
      <c r="F32" s="653"/>
      <c r="G32" s="653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186"/>
      <c r="BH32" s="186"/>
      <c r="BI32" s="186"/>
      <c r="BJ32" s="186"/>
      <c r="BK32" s="186"/>
      <c r="BL32" s="186"/>
      <c r="BM32" s="186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1"/>
      <c r="BZ32" s="186"/>
      <c r="CA32" s="201"/>
      <c r="CB32" s="230"/>
    </row>
    <row r="33" spans="1:80" s="198" customFormat="1" ht="39.950000000000003" customHeight="1">
      <c r="A33" s="9" t="s">
        <v>196</v>
      </c>
      <c r="B33" s="9" t="s">
        <v>197</v>
      </c>
      <c r="C33" s="182"/>
      <c r="D33" s="182"/>
      <c r="E33" s="654"/>
      <c r="F33" s="654"/>
      <c r="G33" s="654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2"/>
      <c r="BZ33" s="188"/>
      <c r="CA33" s="201"/>
      <c r="CB33" s="231"/>
    </row>
    <row r="34" spans="1:80" s="198" customFormat="1" ht="39.950000000000003" customHeight="1">
      <c r="A34" s="10" t="s">
        <v>198</v>
      </c>
      <c r="B34" s="11" t="s">
        <v>199</v>
      </c>
      <c r="C34" s="182"/>
      <c r="D34" s="182"/>
      <c r="E34" s="654"/>
      <c r="F34" s="654"/>
      <c r="G34" s="654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793"/>
      <c r="BC34" s="188"/>
      <c r="BD34" s="188"/>
      <c r="BE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2"/>
      <c r="BZ34" s="188"/>
      <c r="CA34" s="201"/>
      <c r="CB34" s="231"/>
    </row>
    <row r="35" spans="1:80" s="198" customFormat="1" ht="39.950000000000003" customHeight="1">
      <c r="A35" s="16" t="s">
        <v>200</v>
      </c>
      <c r="B35" s="11" t="s">
        <v>201</v>
      </c>
      <c r="C35" s="182"/>
      <c r="D35" s="182"/>
      <c r="E35" s="654"/>
      <c r="F35" s="654"/>
      <c r="G35" s="654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2"/>
      <c r="BZ35" s="188"/>
      <c r="CA35" s="201"/>
      <c r="CB35" s="231"/>
    </row>
    <row r="36" spans="1:80" s="198" customFormat="1" ht="39.950000000000003" customHeight="1">
      <c r="A36" s="16" t="s">
        <v>202</v>
      </c>
      <c r="B36" s="11" t="s">
        <v>203</v>
      </c>
      <c r="C36" s="182"/>
      <c r="D36" s="182"/>
      <c r="E36" s="654"/>
      <c r="F36" s="654"/>
      <c r="G36" s="654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2"/>
      <c r="BZ36" s="188"/>
      <c r="CA36" s="201"/>
      <c r="CB36" s="231"/>
    </row>
    <row r="37" spans="1:80" s="199" customFormat="1" ht="39.950000000000003" customHeight="1">
      <c r="A37" s="16" t="s">
        <v>204</v>
      </c>
      <c r="B37" s="11" t="s">
        <v>205</v>
      </c>
      <c r="C37" s="181"/>
      <c r="D37" s="181"/>
      <c r="E37" s="653"/>
      <c r="F37" s="653"/>
      <c r="G37" s="653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186"/>
      <c r="BH37" s="186"/>
      <c r="BI37" s="186"/>
      <c r="BJ37" s="186"/>
      <c r="BK37" s="186"/>
      <c r="BL37" s="186"/>
      <c r="BM37" s="186"/>
      <c r="BN37" s="186"/>
      <c r="BO37" s="186"/>
      <c r="BP37" s="186"/>
      <c r="BQ37" s="186"/>
      <c r="BR37" s="186"/>
      <c r="BS37" s="186"/>
      <c r="BT37" s="186"/>
      <c r="BU37" s="186"/>
      <c r="BV37" s="186"/>
      <c r="BW37" s="186"/>
      <c r="BX37" s="186"/>
      <c r="BY37" s="181"/>
      <c r="BZ37" s="186"/>
      <c r="CA37" s="201"/>
      <c r="CB37" s="230"/>
    </row>
    <row r="38" spans="1:80" s="198" customFormat="1" ht="39.950000000000003" customHeight="1">
      <c r="A38" s="10" t="s">
        <v>206</v>
      </c>
      <c r="B38" s="11" t="s">
        <v>207</v>
      </c>
      <c r="C38" s="182"/>
      <c r="D38" s="182"/>
      <c r="E38" s="654"/>
      <c r="F38" s="654"/>
      <c r="G38" s="654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796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2"/>
      <c r="BZ38" s="188"/>
      <c r="CA38" s="201"/>
      <c r="CB38" s="231"/>
    </row>
    <row r="39" spans="1:80" s="198" customFormat="1" ht="39.950000000000003" customHeight="1">
      <c r="A39" s="16" t="s">
        <v>208</v>
      </c>
      <c r="B39" s="11" t="s">
        <v>209</v>
      </c>
      <c r="C39" s="182"/>
      <c r="D39" s="182"/>
      <c r="E39" s="654"/>
      <c r="F39" s="654"/>
      <c r="G39" s="654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2"/>
      <c r="BZ39" s="188"/>
      <c r="CA39" s="201"/>
      <c r="CB39" s="231"/>
    </row>
    <row r="40" spans="1:80" s="198" customFormat="1" ht="39.950000000000003" customHeight="1">
      <c r="A40" s="16" t="s">
        <v>210</v>
      </c>
      <c r="B40" s="11" t="s">
        <v>211</v>
      </c>
      <c r="C40" s="182"/>
      <c r="D40" s="182"/>
      <c r="E40" s="654"/>
      <c r="F40" s="654"/>
      <c r="G40" s="654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2"/>
      <c r="BZ40" s="188"/>
      <c r="CA40" s="201"/>
      <c r="CB40" s="231"/>
    </row>
    <row r="41" spans="1:80" s="198" customFormat="1" ht="39.950000000000003" customHeight="1">
      <c r="A41" s="16" t="s">
        <v>212</v>
      </c>
      <c r="B41" s="11" t="s">
        <v>213</v>
      </c>
      <c r="C41" s="182"/>
      <c r="D41" s="182"/>
      <c r="E41" s="654"/>
      <c r="F41" s="654"/>
      <c r="G41" s="654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2"/>
      <c r="BZ41" s="188"/>
      <c r="CA41" s="201"/>
      <c r="CB41" s="231"/>
    </row>
    <row r="42" spans="1:80" s="198" customFormat="1" ht="39.950000000000003" customHeight="1">
      <c r="A42" s="16" t="s">
        <v>214</v>
      </c>
      <c r="B42" s="11" t="s">
        <v>215</v>
      </c>
      <c r="C42" s="182"/>
      <c r="D42" s="182"/>
      <c r="E42" s="654"/>
      <c r="F42" s="654"/>
      <c r="G42" s="654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90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2"/>
      <c r="BZ42" s="188"/>
      <c r="CA42" s="201"/>
      <c r="CB42" s="231"/>
    </row>
    <row r="43" spans="1:80" s="209" customFormat="1" ht="39.950000000000003" customHeight="1">
      <c r="A43" s="17" t="s">
        <v>216</v>
      </c>
      <c r="B43" s="14" t="s">
        <v>217</v>
      </c>
      <c r="C43" s="183"/>
      <c r="D43" s="183"/>
      <c r="E43" s="652"/>
      <c r="F43" s="652"/>
      <c r="G43" s="652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B43" s="183"/>
      <c r="AC43" s="183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796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84"/>
      <c r="BU43" s="184"/>
      <c r="BV43" s="184"/>
      <c r="BW43" s="184"/>
      <c r="BX43" s="184"/>
      <c r="BY43" s="183"/>
      <c r="BZ43" s="184"/>
      <c r="CA43" s="201"/>
      <c r="CB43" s="229"/>
    </row>
    <row r="44" spans="1:80" s="199" customFormat="1" ht="39.950000000000003" customHeight="1">
      <c r="A44" s="9" t="s">
        <v>218</v>
      </c>
      <c r="B44" s="9" t="s">
        <v>219</v>
      </c>
      <c r="C44" s="181"/>
      <c r="D44" s="181"/>
      <c r="E44" s="653"/>
      <c r="F44" s="653"/>
      <c r="G44" s="653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92"/>
      <c r="BS44" s="186"/>
      <c r="BT44" s="186"/>
      <c r="BU44" s="186"/>
      <c r="BV44" s="186"/>
      <c r="BW44" s="186"/>
      <c r="BX44" s="186"/>
      <c r="BY44" s="181"/>
      <c r="BZ44" s="186"/>
      <c r="CA44" s="201"/>
      <c r="CB44" s="230"/>
    </row>
    <row r="45" spans="1:80" s="233" customFormat="1" ht="39.950000000000003" customHeight="1">
      <c r="A45" s="10" t="s">
        <v>220</v>
      </c>
      <c r="B45" s="11" t="s">
        <v>221</v>
      </c>
      <c r="C45" s="193"/>
      <c r="D45" s="193"/>
      <c r="E45" s="807"/>
      <c r="F45" s="807"/>
      <c r="G45" s="807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  <c r="BM45" s="194"/>
      <c r="BN45" s="194"/>
      <c r="BO45" s="194"/>
      <c r="BP45" s="194"/>
      <c r="BQ45" s="194"/>
      <c r="BR45" s="194"/>
      <c r="BS45" s="194"/>
      <c r="BT45" s="194"/>
      <c r="BU45" s="194"/>
      <c r="BV45" s="194"/>
      <c r="BW45" s="194"/>
      <c r="BX45" s="194"/>
      <c r="BY45" s="193"/>
      <c r="BZ45" s="194"/>
      <c r="CA45" s="201"/>
      <c r="CB45" s="232"/>
    </row>
    <row r="46" spans="1:80" s="233" customFormat="1" ht="39.950000000000003" customHeight="1">
      <c r="A46" s="10" t="s">
        <v>222</v>
      </c>
      <c r="B46" s="11" t="s">
        <v>223</v>
      </c>
      <c r="C46" s="193"/>
      <c r="D46" s="193"/>
      <c r="E46" s="807"/>
      <c r="F46" s="807"/>
      <c r="G46" s="807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  <c r="BM46" s="194"/>
      <c r="BN46" s="194"/>
      <c r="BO46" s="194"/>
      <c r="BP46" s="194"/>
      <c r="BQ46" s="194"/>
      <c r="BR46" s="194"/>
      <c r="BS46" s="194"/>
      <c r="BT46" s="194"/>
      <c r="BU46" s="194"/>
      <c r="BV46" s="194"/>
      <c r="BW46" s="194"/>
      <c r="BX46" s="194"/>
      <c r="BY46" s="193"/>
      <c r="BZ46" s="194"/>
      <c r="CA46" s="201"/>
      <c r="CB46" s="232"/>
    </row>
    <row r="47" spans="1:80" s="233" customFormat="1" ht="39.950000000000003" customHeight="1">
      <c r="A47" s="10" t="s">
        <v>224</v>
      </c>
      <c r="B47" s="11" t="s">
        <v>226</v>
      </c>
      <c r="C47" s="193"/>
      <c r="D47" s="193"/>
      <c r="E47" s="807"/>
      <c r="F47" s="807"/>
      <c r="G47" s="807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  <c r="BM47" s="194"/>
      <c r="BN47" s="194"/>
      <c r="BO47" s="194"/>
      <c r="BP47" s="194"/>
      <c r="BQ47" s="194"/>
      <c r="BR47" s="194"/>
      <c r="BS47" s="194"/>
      <c r="BT47" s="194"/>
      <c r="BU47" s="194"/>
      <c r="BV47" s="194"/>
      <c r="BW47" s="194"/>
      <c r="BX47" s="194"/>
      <c r="BY47" s="193"/>
      <c r="BZ47" s="194"/>
      <c r="CA47" s="201"/>
      <c r="CB47" s="232"/>
    </row>
    <row r="48" spans="1:80" s="233" customFormat="1" ht="39.950000000000003" customHeight="1">
      <c r="A48" s="10" t="s">
        <v>227</v>
      </c>
      <c r="B48" s="11" t="s">
        <v>229</v>
      </c>
      <c r="C48" s="193"/>
      <c r="D48" s="193"/>
      <c r="E48" s="807"/>
      <c r="F48" s="807"/>
      <c r="G48" s="807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  <c r="BM48" s="194"/>
      <c r="BN48" s="194"/>
      <c r="BO48" s="194"/>
      <c r="BP48" s="194"/>
      <c r="BQ48" s="194"/>
      <c r="BR48" s="194"/>
      <c r="BS48" s="194"/>
      <c r="BT48" s="194"/>
      <c r="BU48" s="194"/>
      <c r="BV48" s="194"/>
      <c r="BW48" s="194"/>
      <c r="BX48" s="194"/>
      <c r="BY48" s="193"/>
      <c r="BZ48" s="194"/>
      <c r="CA48" s="201"/>
      <c r="CB48" s="232"/>
    </row>
    <row r="49" spans="1:80" s="233" customFormat="1" ht="39.950000000000003" customHeight="1">
      <c r="A49" s="10" t="s">
        <v>230</v>
      </c>
      <c r="B49" s="11" t="s">
        <v>231</v>
      </c>
      <c r="C49" s="193"/>
      <c r="D49" s="193"/>
      <c r="E49" s="807"/>
      <c r="F49" s="807"/>
      <c r="G49" s="807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  <c r="BM49" s="194"/>
      <c r="BN49" s="194"/>
      <c r="BO49" s="194"/>
      <c r="BP49" s="194"/>
      <c r="BQ49" s="194"/>
      <c r="BR49" s="194"/>
      <c r="BS49" s="194"/>
      <c r="BT49" s="194"/>
      <c r="BU49" s="194"/>
      <c r="BV49" s="194"/>
      <c r="BW49" s="194"/>
      <c r="BX49" s="194"/>
      <c r="BY49" s="193"/>
      <c r="BZ49" s="194"/>
      <c r="CA49" s="201"/>
      <c r="CB49" s="232"/>
    </row>
    <row r="50" spans="1:80" s="209" customFormat="1" ht="39.950000000000003" customHeight="1">
      <c r="A50" s="10" t="s">
        <v>233</v>
      </c>
      <c r="B50" s="11" t="s">
        <v>234</v>
      </c>
      <c r="C50" s="183"/>
      <c r="D50" s="183"/>
      <c r="E50" s="652"/>
      <c r="F50" s="652"/>
      <c r="G50" s="652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84"/>
      <c r="BU50" s="184"/>
      <c r="BV50" s="184"/>
      <c r="BW50" s="184"/>
      <c r="BX50" s="184"/>
      <c r="BY50" s="183"/>
      <c r="BZ50" s="184"/>
      <c r="CA50" s="201"/>
      <c r="CB50" s="229"/>
    </row>
    <row r="51" spans="1:80" s="199" customFormat="1" ht="39.950000000000003" customHeight="1">
      <c r="A51" s="15" t="s">
        <v>235</v>
      </c>
      <c r="B51" s="11"/>
      <c r="C51" s="181"/>
      <c r="D51" s="181"/>
      <c r="E51" s="653"/>
      <c r="F51" s="653"/>
      <c r="G51" s="653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6"/>
      <c r="AE51" s="186"/>
      <c r="AF51" s="186"/>
      <c r="AG51" s="186"/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86"/>
      <c r="AT51" s="186"/>
      <c r="AU51" s="186"/>
      <c r="AV51" s="186"/>
      <c r="AW51" s="186"/>
      <c r="AX51" s="186"/>
      <c r="AY51" s="186"/>
      <c r="AZ51" s="186"/>
      <c r="BA51" s="186"/>
      <c r="BB51" s="186"/>
      <c r="BC51" s="186"/>
      <c r="BD51" s="186"/>
      <c r="BE51" s="186"/>
      <c r="BF51" s="186"/>
      <c r="BG51" s="186"/>
      <c r="BH51" s="186"/>
      <c r="BI51" s="186"/>
      <c r="BJ51" s="186"/>
      <c r="BK51" s="186"/>
      <c r="BL51" s="186"/>
      <c r="BM51" s="186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1"/>
      <c r="BZ51" s="186"/>
      <c r="CA51" s="201"/>
      <c r="CB51" s="230"/>
    </row>
    <row r="52" spans="1:80" s="198" customFormat="1" ht="39.950000000000003" customHeight="1">
      <c r="A52" s="15" t="s">
        <v>236</v>
      </c>
      <c r="B52" s="14" t="s">
        <v>237</v>
      </c>
      <c r="C52" s="182"/>
      <c r="D52" s="182"/>
      <c r="E52" s="654"/>
      <c r="F52" s="654"/>
      <c r="G52" s="654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V52" s="188"/>
      <c r="BW52" s="188"/>
      <c r="BX52" s="188"/>
      <c r="BY52" s="182"/>
      <c r="BZ52" s="188"/>
      <c r="CA52" s="201"/>
      <c r="CB52" s="231"/>
    </row>
    <row r="53" spans="1:80" s="235" customFormat="1" ht="39.950000000000003" customHeight="1">
      <c r="A53" s="9" t="s">
        <v>238</v>
      </c>
      <c r="B53" s="9" t="s">
        <v>239</v>
      </c>
      <c r="C53" s="195"/>
      <c r="D53" s="195"/>
      <c r="E53" s="808"/>
      <c r="F53" s="808"/>
      <c r="G53" s="808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  <c r="AA53" s="195"/>
      <c r="AB53" s="195"/>
      <c r="AC53" s="195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  <c r="BN53" s="196"/>
      <c r="BO53" s="196"/>
      <c r="BP53" s="196"/>
      <c r="BQ53" s="196"/>
      <c r="BR53" s="196"/>
      <c r="BS53" s="196"/>
      <c r="BT53" s="196"/>
      <c r="BU53" s="196"/>
      <c r="BV53" s="196"/>
      <c r="BW53" s="196"/>
      <c r="BX53" s="196"/>
      <c r="BY53" s="195"/>
      <c r="BZ53" s="196"/>
      <c r="CA53" s="201"/>
      <c r="CB53" s="234"/>
    </row>
    <row r="54" spans="1:80" s="235" customFormat="1" ht="39.950000000000003" customHeight="1">
      <c r="A54" s="10" t="s">
        <v>240</v>
      </c>
      <c r="B54" s="11" t="s">
        <v>239</v>
      </c>
      <c r="C54" s="195"/>
      <c r="D54" s="195"/>
      <c r="E54" s="808"/>
      <c r="F54" s="808"/>
      <c r="G54" s="808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95"/>
      <c r="V54" s="195"/>
      <c r="W54" s="195"/>
      <c r="X54" s="195"/>
      <c r="Y54" s="195"/>
      <c r="Z54" s="195"/>
      <c r="AA54" s="195"/>
      <c r="AB54" s="195"/>
      <c r="AC54" s="195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6"/>
      <c r="BG54" s="196"/>
      <c r="BH54" s="196"/>
      <c r="BI54" s="196"/>
      <c r="BJ54" s="196"/>
      <c r="BK54" s="196"/>
      <c r="BL54" s="196"/>
      <c r="BM54" s="196"/>
      <c r="BN54" s="196"/>
      <c r="BO54" s="196"/>
      <c r="BP54" s="196"/>
      <c r="BQ54" s="196"/>
      <c r="BR54" s="196"/>
      <c r="BS54" s="196"/>
      <c r="BT54" s="196"/>
      <c r="BU54" s="196"/>
      <c r="BV54" s="196"/>
      <c r="BW54" s="196"/>
      <c r="BX54" s="196"/>
      <c r="BY54" s="195"/>
      <c r="BZ54" s="196"/>
      <c r="CA54" s="201"/>
      <c r="CB54" s="234"/>
    </row>
    <row r="55" spans="1:80" s="235" customFormat="1" ht="39.75" customHeight="1">
      <c r="A55" s="15" t="s">
        <v>241</v>
      </c>
      <c r="B55" s="14" t="s">
        <v>242</v>
      </c>
      <c r="C55" s="195"/>
      <c r="D55" s="195"/>
      <c r="E55" s="808"/>
      <c r="F55" s="808"/>
      <c r="G55" s="808"/>
      <c r="H55" s="195"/>
      <c r="I55" s="195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95"/>
      <c r="V55" s="195"/>
      <c r="W55" s="195"/>
      <c r="X55" s="195"/>
      <c r="Y55" s="195"/>
      <c r="Z55" s="195"/>
      <c r="AA55" s="195"/>
      <c r="AB55" s="195"/>
      <c r="AC55" s="195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6"/>
      <c r="BG55" s="196"/>
      <c r="BH55" s="196"/>
      <c r="BI55" s="196"/>
      <c r="BJ55" s="196"/>
      <c r="BK55" s="196"/>
      <c r="BL55" s="196"/>
      <c r="BM55" s="196"/>
      <c r="BN55" s="196"/>
      <c r="BO55" s="196"/>
      <c r="BP55" s="196"/>
      <c r="BQ55" s="196"/>
      <c r="BR55" s="196"/>
      <c r="BS55" s="196"/>
      <c r="BT55" s="196"/>
      <c r="BU55" s="196"/>
      <c r="BV55" s="196"/>
      <c r="BW55" s="196"/>
      <c r="BX55" s="196"/>
      <c r="BY55" s="195"/>
      <c r="BZ55" s="196"/>
      <c r="CA55" s="201"/>
      <c r="CB55" s="234"/>
    </row>
    <row r="56" spans="1:80" s="235" customFormat="1" ht="39.950000000000003" customHeight="1">
      <c r="A56" s="15" t="s">
        <v>243</v>
      </c>
      <c r="B56" s="14" t="s">
        <v>244</v>
      </c>
      <c r="C56" s="195"/>
      <c r="D56" s="195"/>
      <c r="E56" s="808"/>
      <c r="F56" s="808"/>
      <c r="G56" s="808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95"/>
      <c r="T56" s="195"/>
      <c r="U56" s="195"/>
      <c r="V56" s="195"/>
      <c r="W56" s="195"/>
      <c r="X56" s="195"/>
      <c r="Y56" s="195"/>
      <c r="Z56" s="195"/>
      <c r="AA56" s="195"/>
      <c r="AB56" s="195"/>
      <c r="AC56" s="195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  <c r="AP56" s="196"/>
      <c r="AQ56" s="196"/>
      <c r="AR56" s="196"/>
      <c r="AS56" s="196"/>
      <c r="AT56" s="196"/>
      <c r="AU56" s="196"/>
      <c r="AV56" s="196"/>
      <c r="AW56" s="196"/>
      <c r="AX56" s="196"/>
      <c r="AY56" s="196"/>
      <c r="AZ56" s="196"/>
      <c r="BA56" s="196"/>
      <c r="BB56" s="196"/>
      <c r="BC56" s="196"/>
      <c r="BD56" s="196"/>
      <c r="BE56" s="196"/>
      <c r="BF56" s="196"/>
      <c r="BG56" s="196"/>
      <c r="BH56" s="196"/>
      <c r="BI56" s="196"/>
      <c r="BJ56" s="196"/>
      <c r="BK56" s="196"/>
      <c r="BL56" s="196"/>
      <c r="BM56" s="196"/>
      <c r="BN56" s="196"/>
      <c r="BO56" s="196"/>
      <c r="BP56" s="196"/>
      <c r="BQ56" s="196"/>
      <c r="BR56" s="196"/>
      <c r="BS56" s="196"/>
      <c r="BT56" s="196"/>
      <c r="BU56" s="196"/>
      <c r="BV56" s="196"/>
      <c r="BW56" s="196"/>
      <c r="BX56" s="196"/>
      <c r="BY56" s="195"/>
      <c r="BZ56" s="196"/>
      <c r="CA56" s="201"/>
      <c r="CB56" s="234"/>
    </row>
    <row r="57" spans="1:80" s="235" customFormat="1" ht="39.950000000000003" customHeight="1">
      <c r="A57" s="15" t="s">
        <v>245</v>
      </c>
      <c r="B57" s="14" t="s">
        <v>246</v>
      </c>
      <c r="C57" s="195"/>
      <c r="D57" s="195"/>
      <c r="E57" s="808"/>
      <c r="F57" s="808"/>
      <c r="G57" s="808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5"/>
      <c r="V57" s="195"/>
      <c r="W57" s="195"/>
      <c r="X57" s="195"/>
      <c r="Y57" s="195"/>
      <c r="Z57" s="195"/>
      <c r="AA57" s="195"/>
      <c r="AB57" s="195"/>
      <c r="AC57" s="195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6"/>
      <c r="AS57" s="196"/>
      <c r="AT57" s="196"/>
      <c r="AU57" s="196"/>
      <c r="AV57" s="196"/>
      <c r="AW57" s="196"/>
      <c r="AX57" s="196"/>
      <c r="AY57" s="196"/>
      <c r="AZ57" s="196"/>
      <c r="BA57" s="196"/>
      <c r="BB57" s="196"/>
      <c r="BC57" s="196"/>
      <c r="BD57" s="196"/>
      <c r="BE57" s="196"/>
      <c r="BF57" s="196"/>
      <c r="BG57" s="196"/>
      <c r="BH57" s="196"/>
      <c r="BI57" s="196"/>
      <c r="BJ57" s="196"/>
      <c r="BK57" s="196"/>
      <c r="BL57" s="196"/>
      <c r="BM57" s="196"/>
      <c r="BN57" s="196"/>
      <c r="BO57" s="196"/>
      <c r="BP57" s="196"/>
      <c r="BQ57" s="196"/>
      <c r="BR57" s="196"/>
      <c r="BS57" s="196"/>
      <c r="BT57" s="196"/>
      <c r="BU57" s="196"/>
      <c r="BV57" s="196"/>
      <c r="BW57" s="196"/>
      <c r="BX57" s="196"/>
      <c r="BY57" s="195"/>
      <c r="BZ57" s="196"/>
      <c r="CA57" s="201"/>
      <c r="CB57" s="234"/>
    </row>
    <row r="58" spans="1:80" s="235" customFormat="1" ht="39.950000000000003" customHeight="1">
      <c r="A58" s="15" t="s">
        <v>247</v>
      </c>
      <c r="B58" s="14" t="s">
        <v>248</v>
      </c>
      <c r="C58" s="195"/>
      <c r="D58" s="195"/>
      <c r="E58" s="808"/>
      <c r="F58" s="808"/>
      <c r="G58" s="808"/>
      <c r="H58" s="195"/>
      <c r="I58" s="195"/>
      <c r="J58" s="195"/>
      <c r="K58" s="195"/>
      <c r="L58" s="195"/>
      <c r="M58" s="195"/>
      <c r="N58" s="195"/>
      <c r="O58" s="195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  <c r="AP58" s="196"/>
      <c r="AQ58" s="196"/>
      <c r="AR58" s="196"/>
      <c r="AS58" s="196"/>
      <c r="AT58" s="196"/>
      <c r="AU58" s="196"/>
      <c r="AV58" s="196"/>
      <c r="AW58" s="196"/>
      <c r="AX58" s="196"/>
      <c r="AY58" s="196"/>
      <c r="AZ58" s="196"/>
      <c r="BA58" s="196"/>
      <c r="BB58" s="196"/>
      <c r="BC58" s="196"/>
      <c r="BD58" s="196"/>
      <c r="BE58" s="196"/>
      <c r="BF58" s="197"/>
      <c r="BG58" s="196"/>
      <c r="BH58" s="196"/>
      <c r="BI58" s="196"/>
      <c r="BJ58" s="196"/>
      <c r="BK58" s="196"/>
      <c r="BL58" s="196"/>
      <c r="BM58" s="196"/>
      <c r="BN58" s="196"/>
      <c r="BO58" s="196"/>
      <c r="BP58" s="196"/>
      <c r="BQ58" s="196"/>
      <c r="BR58" s="196"/>
      <c r="BS58" s="196"/>
      <c r="BT58" s="196"/>
      <c r="BU58" s="196"/>
      <c r="BV58" s="196"/>
      <c r="BW58" s="196"/>
      <c r="BX58" s="196"/>
      <c r="BY58" s="195"/>
      <c r="BZ58" s="196"/>
      <c r="CA58" s="201"/>
      <c r="CB58" s="234"/>
    </row>
    <row r="59" spans="1:80" s="199" customFormat="1" ht="39.950000000000003" customHeight="1">
      <c r="A59" s="10" t="s">
        <v>249</v>
      </c>
      <c r="B59" s="11" t="s">
        <v>250</v>
      </c>
      <c r="C59" s="181"/>
      <c r="D59" s="181"/>
      <c r="E59" s="653"/>
      <c r="F59" s="653"/>
      <c r="G59" s="653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1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1"/>
      <c r="BZ59" s="186"/>
      <c r="CA59" s="201"/>
      <c r="CB59" s="230"/>
    </row>
    <row r="60" spans="1:80" s="199" customFormat="1" ht="39.950000000000003" customHeight="1">
      <c r="A60" s="9" t="s">
        <v>252</v>
      </c>
      <c r="B60" s="9" t="s">
        <v>253</v>
      </c>
      <c r="C60" s="181"/>
      <c r="D60" s="181"/>
      <c r="E60" s="653"/>
      <c r="F60" s="653"/>
      <c r="G60" s="653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1"/>
      <c r="BZ60" s="186"/>
      <c r="CA60" s="201"/>
      <c r="CB60" s="230"/>
    </row>
    <row r="61" spans="1:80" s="209" customFormat="1" ht="39.950000000000003" customHeight="1">
      <c r="A61" s="9" t="s">
        <v>254</v>
      </c>
      <c r="B61" s="9" t="s">
        <v>255</v>
      </c>
      <c r="C61" s="183"/>
      <c r="D61" s="183"/>
      <c r="E61" s="652"/>
      <c r="F61" s="652"/>
      <c r="G61" s="652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  <c r="AA61" s="183"/>
      <c r="AB61" s="183"/>
      <c r="AC61" s="183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3"/>
      <c r="BZ61" s="184"/>
      <c r="CA61" s="201"/>
      <c r="CB61" s="229"/>
    </row>
    <row r="62" spans="1:80" s="199" customFormat="1" ht="39.950000000000003" customHeight="1">
      <c r="A62" s="9" t="s">
        <v>256</v>
      </c>
      <c r="B62" s="9" t="s">
        <v>257</v>
      </c>
      <c r="C62" s="181"/>
      <c r="D62" s="181"/>
      <c r="E62" s="653"/>
      <c r="F62" s="653"/>
      <c r="G62" s="653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1"/>
      <c r="BZ62" s="186"/>
      <c r="CA62" s="201"/>
      <c r="CB62" s="230"/>
    </row>
    <row r="63" spans="1:80" s="199" customFormat="1" ht="39.950000000000003" customHeight="1">
      <c r="A63" s="16" t="s">
        <v>258</v>
      </c>
      <c r="B63" s="11" t="s">
        <v>259</v>
      </c>
      <c r="C63" s="181"/>
      <c r="D63" s="181"/>
      <c r="E63" s="653"/>
      <c r="F63" s="653"/>
      <c r="G63" s="653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1"/>
      <c r="BZ63" s="186"/>
      <c r="CA63" s="201"/>
      <c r="CB63" s="230"/>
    </row>
    <row r="64" spans="1:80" s="198" customFormat="1" ht="39.950000000000003" customHeight="1">
      <c r="A64" s="16" t="s">
        <v>260</v>
      </c>
      <c r="B64" s="11" t="s">
        <v>261</v>
      </c>
      <c r="C64" s="182"/>
      <c r="D64" s="182"/>
      <c r="E64" s="654"/>
      <c r="F64" s="654"/>
      <c r="G64" s="654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2"/>
      <c r="BZ64" s="188"/>
      <c r="CA64" s="201"/>
      <c r="CB64" s="231"/>
    </row>
    <row r="65" spans="1:80" s="198" customFormat="1" ht="39.950000000000003" customHeight="1">
      <c r="A65" s="16" t="s">
        <v>262</v>
      </c>
      <c r="B65" s="11" t="s">
        <v>263</v>
      </c>
      <c r="C65" s="182"/>
      <c r="D65" s="182"/>
      <c r="E65" s="654"/>
      <c r="F65" s="654"/>
      <c r="G65" s="654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2"/>
      <c r="BZ65" s="188"/>
      <c r="CA65" s="201"/>
      <c r="CB65" s="231"/>
    </row>
    <row r="66" spans="1:80" s="198" customFormat="1" ht="39.950000000000003" customHeight="1">
      <c r="A66" s="9" t="s">
        <v>264</v>
      </c>
      <c r="B66" s="9" t="s">
        <v>265</v>
      </c>
      <c r="C66" s="182"/>
      <c r="D66" s="182"/>
      <c r="E66" s="654"/>
      <c r="F66" s="654"/>
      <c r="G66" s="654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2"/>
      <c r="BZ66" s="188"/>
      <c r="CA66" s="201"/>
      <c r="CB66" s="231"/>
    </row>
    <row r="67" spans="1:80" s="198" customFormat="1" ht="39.950000000000003" customHeight="1">
      <c r="A67" s="16" t="s">
        <v>266</v>
      </c>
      <c r="B67" s="18" t="s">
        <v>267</v>
      </c>
      <c r="C67" s="182"/>
      <c r="D67" s="182"/>
      <c r="E67" s="654"/>
      <c r="F67" s="654"/>
      <c r="G67" s="654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2"/>
      <c r="BZ67" s="188"/>
      <c r="CA67" s="201"/>
      <c r="CB67" s="231"/>
    </row>
    <row r="68" spans="1:80" s="198" customFormat="1" ht="39.950000000000003" customHeight="1">
      <c r="A68" s="16" t="s">
        <v>268</v>
      </c>
      <c r="B68" s="18" t="s">
        <v>269</v>
      </c>
      <c r="C68" s="182"/>
      <c r="D68" s="182"/>
      <c r="E68" s="654"/>
      <c r="F68" s="654"/>
      <c r="G68" s="654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2"/>
      <c r="BZ68" s="188"/>
      <c r="CA68" s="201"/>
      <c r="CB68" s="231"/>
    </row>
    <row r="69" spans="1:80" s="199" customFormat="1" ht="39.950000000000003" customHeight="1">
      <c r="A69" s="16" t="s">
        <v>270</v>
      </c>
      <c r="B69" s="18" t="s">
        <v>225</v>
      </c>
      <c r="C69" s="181"/>
      <c r="D69" s="181"/>
      <c r="E69" s="653"/>
      <c r="F69" s="653"/>
      <c r="G69" s="653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6"/>
      <c r="AE69" s="186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186"/>
      <c r="BE69" s="186"/>
      <c r="BF69" s="186"/>
      <c r="BG69" s="186"/>
      <c r="BH69" s="186"/>
      <c r="BI69" s="186"/>
      <c r="BJ69" s="186"/>
      <c r="BK69" s="186"/>
      <c r="BL69" s="186"/>
      <c r="BM69" s="186"/>
      <c r="BN69" s="186"/>
      <c r="BO69" s="186"/>
      <c r="BP69" s="186"/>
      <c r="BQ69" s="186"/>
      <c r="BR69" s="186"/>
      <c r="BS69" s="186"/>
      <c r="BT69" s="186"/>
      <c r="BU69" s="186"/>
      <c r="BW69" s="186"/>
      <c r="BX69" s="186"/>
      <c r="BY69" s="181"/>
      <c r="BZ69" s="186"/>
      <c r="CA69" s="201"/>
      <c r="CB69" s="230"/>
    </row>
    <row r="70" spans="1:80" s="199" customFormat="1" ht="39.950000000000003" customHeight="1">
      <c r="A70" s="16" t="s">
        <v>271</v>
      </c>
      <c r="B70" s="18" t="s">
        <v>228</v>
      </c>
      <c r="C70" s="181"/>
      <c r="D70" s="181"/>
      <c r="E70" s="653"/>
      <c r="F70" s="653"/>
      <c r="G70" s="653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/>
      <c r="BY70" s="181"/>
      <c r="BZ70" s="186"/>
      <c r="CA70" s="201"/>
      <c r="CB70" s="230"/>
    </row>
    <row r="71" spans="1:80" s="198" customFormat="1" ht="39.950000000000003" customHeight="1">
      <c r="A71" s="16" t="s">
        <v>272</v>
      </c>
      <c r="B71" s="18" t="s">
        <v>232</v>
      </c>
      <c r="C71" s="182"/>
      <c r="D71" s="182"/>
      <c r="E71" s="654"/>
      <c r="F71" s="654"/>
      <c r="G71" s="654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  <c r="BW71" s="188"/>
      <c r="BX71" s="188"/>
      <c r="BY71" s="182"/>
      <c r="BZ71" s="188"/>
      <c r="CA71" s="201"/>
      <c r="CB71" s="231"/>
    </row>
    <row r="72" spans="1:80" s="198" customFormat="1" ht="39.950000000000003" customHeight="1">
      <c r="A72" s="16" t="s">
        <v>273</v>
      </c>
      <c r="B72" s="18" t="s">
        <v>274</v>
      </c>
      <c r="C72" s="182"/>
      <c r="D72" s="182"/>
      <c r="E72" s="654"/>
      <c r="F72" s="654"/>
      <c r="G72" s="654"/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2"/>
      <c r="BZ72" s="188"/>
      <c r="CA72" s="201"/>
      <c r="CB72" s="231"/>
    </row>
    <row r="73" spans="1:80" s="198" customFormat="1" ht="39.950000000000003" customHeight="1">
      <c r="A73" s="9" t="s">
        <v>275</v>
      </c>
      <c r="B73" s="38" t="s">
        <v>276</v>
      </c>
      <c r="C73" s="182"/>
      <c r="D73" s="182"/>
      <c r="E73" s="654"/>
      <c r="F73" s="654"/>
      <c r="G73" s="654"/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  <c r="BU73" s="188"/>
      <c r="BV73" s="188"/>
      <c r="BW73" s="188"/>
      <c r="BX73" s="188"/>
      <c r="BY73" s="182"/>
      <c r="BZ73" s="188"/>
      <c r="CA73" s="201"/>
      <c r="CB73" s="231"/>
    </row>
    <row r="74" spans="1:80" s="198" customFormat="1" ht="39.950000000000003" customHeight="1">
      <c r="A74" s="16" t="s">
        <v>277</v>
      </c>
      <c r="B74" s="32" t="s">
        <v>278</v>
      </c>
      <c r="C74" s="182"/>
      <c r="D74" s="182"/>
      <c r="E74" s="654"/>
      <c r="F74" s="654"/>
      <c r="G74" s="654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  <c r="AY74" s="188"/>
      <c r="AZ74" s="188"/>
      <c r="BA74" s="188"/>
      <c r="BB74" s="188"/>
      <c r="BC74" s="188"/>
      <c r="BD74" s="188"/>
      <c r="BE74" s="188"/>
      <c r="BF74" s="188"/>
      <c r="BG74" s="188"/>
      <c r="BH74" s="188"/>
      <c r="BI74" s="188"/>
      <c r="BJ74" s="188"/>
      <c r="BK74" s="188"/>
      <c r="BL74" s="188"/>
      <c r="BM74" s="188"/>
      <c r="BN74" s="188"/>
      <c r="BO74" s="188"/>
      <c r="BP74" s="188"/>
      <c r="BQ74" s="188"/>
      <c r="BR74" s="188"/>
      <c r="BS74" s="188"/>
      <c r="BT74" s="188"/>
      <c r="BU74" s="188"/>
      <c r="BV74" s="188"/>
      <c r="BW74" s="188"/>
      <c r="BX74" s="188"/>
      <c r="BY74" s="182"/>
      <c r="BZ74" s="188"/>
      <c r="CA74" s="201"/>
      <c r="CB74" s="231"/>
    </row>
    <row r="75" spans="1:80" s="199" customFormat="1" ht="39.950000000000003" customHeight="1">
      <c r="A75" s="16" t="s">
        <v>279</v>
      </c>
      <c r="B75" s="32" t="s">
        <v>280</v>
      </c>
      <c r="C75" s="181"/>
      <c r="D75" s="181"/>
      <c r="E75" s="653"/>
      <c r="F75" s="653"/>
      <c r="G75" s="653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1"/>
      <c r="BZ75" s="186"/>
      <c r="CA75" s="201"/>
      <c r="CB75" s="230"/>
    </row>
    <row r="76" spans="1:80" s="198" customFormat="1" ht="39.950000000000003" customHeight="1">
      <c r="A76" s="16" t="s">
        <v>281</v>
      </c>
      <c r="B76" s="32" t="s">
        <v>282</v>
      </c>
      <c r="C76" s="182"/>
      <c r="D76" s="182"/>
      <c r="E76" s="654"/>
      <c r="F76" s="654"/>
      <c r="G76" s="654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188"/>
      <c r="BD76" s="188"/>
      <c r="BE76" s="188"/>
      <c r="BF76" s="188"/>
      <c r="BG76" s="188"/>
      <c r="BH76" s="188"/>
      <c r="BI76" s="188"/>
      <c r="BJ76" s="188"/>
      <c r="BK76" s="188"/>
      <c r="BL76" s="188"/>
      <c r="BM76" s="188"/>
      <c r="BN76" s="188"/>
      <c r="BO76" s="188"/>
      <c r="BP76" s="188"/>
      <c r="BQ76" s="188"/>
      <c r="BR76" s="188"/>
      <c r="BS76" s="188"/>
      <c r="BT76" s="188"/>
      <c r="BU76" s="188"/>
      <c r="BV76" s="188"/>
      <c r="BW76" s="188"/>
      <c r="BX76" s="188"/>
      <c r="BY76" s="182"/>
      <c r="BZ76" s="188"/>
      <c r="CA76" s="201"/>
      <c r="CB76" s="231"/>
    </row>
    <row r="77" spans="1:80" s="198" customFormat="1" ht="39.950000000000003" customHeight="1">
      <c r="A77" s="16" t="s">
        <v>283</v>
      </c>
      <c r="B77" s="32" t="s">
        <v>284</v>
      </c>
      <c r="C77" s="182"/>
      <c r="D77" s="182"/>
      <c r="E77" s="654"/>
      <c r="F77" s="654"/>
      <c r="G77" s="654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  <c r="AU77" s="188"/>
      <c r="AV77" s="188"/>
      <c r="AW77" s="188"/>
      <c r="AX77" s="188"/>
      <c r="AY77" s="188"/>
      <c r="AZ77" s="188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  <c r="BK77" s="188"/>
      <c r="BL77" s="188"/>
      <c r="BM77" s="188"/>
      <c r="BN77" s="188"/>
      <c r="BO77" s="188"/>
      <c r="BP77" s="188"/>
      <c r="BQ77" s="188"/>
      <c r="BR77" s="188"/>
      <c r="BS77" s="188"/>
      <c r="BT77" s="188"/>
      <c r="BU77" s="188"/>
      <c r="BV77" s="188"/>
      <c r="BW77" s="188"/>
      <c r="BX77" s="188"/>
      <c r="BY77" s="182"/>
      <c r="BZ77" s="188"/>
      <c r="CA77" s="201"/>
      <c r="CB77" s="231"/>
    </row>
    <row r="78" spans="1:80" s="199" customFormat="1" ht="39.950000000000003" customHeight="1">
      <c r="A78" s="16" t="s">
        <v>285</v>
      </c>
      <c r="B78" s="32" t="s">
        <v>286</v>
      </c>
      <c r="C78" s="181"/>
      <c r="D78" s="181"/>
      <c r="E78" s="653"/>
      <c r="F78" s="653"/>
      <c r="G78" s="653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1"/>
      <c r="BZ78" s="186"/>
      <c r="CA78" s="201"/>
      <c r="CB78" s="230"/>
    </row>
    <row r="79" spans="1:80" s="198" customFormat="1" ht="39.950000000000003" customHeight="1">
      <c r="A79" s="9" t="s">
        <v>287</v>
      </c>
      <c r="B79" s="38" t="s">
        <v>288</v>
      </c>
      <c r="C79" s="182"/>
      <c r="D79" s="182"/>
      <c r="E79" s="654"/>
      <c r="F79" s="654"/>
      <c r="G79" s="654"/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  <c r="AU79" s="188"/>
      <c r="AV79" s="188"/>
      <c r="AW79" s="188"/>
      <c r="AX79" s="188"/>
      <c r="AY79" s="188"/>
      <c r="AZ79" s="188"/>
      <c r="BA79" s="188"/>
      <c r="BB79" s="188"/>
      <c r="BC79" s="188"/>
      <c r="BD79" s="188"/>
      <c r="BE79" s="188"/>
      <c r="BF79" s="188"/>
      <c r="BG79" s="188"/>
      <c r="BH79" s="188"/>
      <c r="BI79" s="188"/>
      <c r="BJ79" s="188"/>
      <c r="BK79" s="188"/>
      <c r="BL79" s="188"/>
      <c r="BM79" s="188"/>
      <c r="BN79" s="188"/>
      <c r="BO79" s="188"/>
      <c r="BP79" s="188"/>
      <c r="BQ79" s="188"/>
      <c r="BR79" s="188"/>
      <c r="BS79" s="188"/>
      <c r="BT79" s="188"/>
      <c r="BU79" s="188"/>
      <c r="BV79" s="188"/>
      <c r="BW79" s="188"/>
      <c r="BX79" s="188"/>
      <c r="BY79" s="182"/>
      <c r="BZ79" s="188"/>
      <c r="CA79" s="201"/>
      <c r="CB79" s="231"/>
    </row>
    <row r="80" spans="1:80" s="198" customFormat="1" ht="39.950000000000003" customHeight="1">
      <c r="A80" s="9" t="s">
        <v>289</v>
      </c>
      <c r="B80" s="20" t="s">
        <v>290</v>
      </c>
      <c r="C80" s="182"/>
      <c r="D80" s="182"/>
      <c r="E80" s="654"/>
      <c r="F80" s="654"/>
      <c r="G80" s="654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  <c r="BB80" s="188"/>
      <c r="BC80" s="188"/>
      <c r="BD80" s="188"/>
      <c r="BE80" s="188"/>
      <c r="BF80" s="188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  <c r="BU80" s="188"/>
      <c r="BV80" s="188"/>
      <c r="BW80" s="188"/>
      <c r="BX80" s="188"/>
      <c r="BY80" s="182"/>
      <c r="BZ80" s="188"/>
      <c r="CA80" s="201"/>
      <c r="CB80" s="231"/>
    </row>
    <row r="81" spans="1:80" s="198" customFormat="1" ht="39.950000000000003" customHeight="1">
      <c r="A81" s="9" t="s">
        <v>291</v>
      </c>
      <c r="B81" s="38" t="s">
        <v>292</v>
      </c>
      <c r="C81" s="182"/>
      <c r="D81" s="182"/>
      <c r="E81" s="654"/>
      <c r="F81" s="654"/>
      <c r="G81" s="654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C81" s="188"/>
      <c r="BD81" s="188"/>
      <c r="BE81" s="188"/>
      <c r="BF81" s="188"/>
      <c r="BG81" s="188"/>
      <c r="BH81" s="188"/>
      <c r="BI81" s="188"/>
      <c r="BJ81" s="188"/>
      <c r="BK81" s="188"/>
      <c r="BL81" s="188"/>
      <c r="BM81" s="188"/>
      <c r="BN81" s="188"/>
      <c r="BO81" s="188"/>
      <c r="BP81" s="188"/>
      <c r="BQ81" s="188"/>
      <c r="BR81" s="188"/>
      <c r="BS81" s="188"/>
      <c r="BT81" s="188"/>
      <c r="BU81" s="188"/>
      <c r="BV81" s="188">
        <f>Отчет!J80</f>
        <v>121090</v>
      </c>
      <c r="BW81" s="188"/>
      <c r="BX81" s="188"/>
      <c r="BY81" s="182"/>
      <c r="BZ81" s="188"/>
      <c r="CA81" s="201"/>
      <c r="CB81" s="231"/>
    </row>
    <row r="82" spans="1:80" s="199" customFormat="1" ht="39.950000000000003" customHeight="1">
      <c r="A82" s="16" t="s">
        <v>293</v>
      </c>
      <c r="B82" s="223" t="s">
        <v>294</v>
      </c>
      <c r="C82" s="181"/>
      <c r="D82" s="181"/>
      <c r="E82" s="653"/>
      <c r="F82" s="653"/>
      <c r="G82" s="653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1"/>
      <c r="BZ82" s="186"/>
      <c r="CA82" s="201"/>
      <c r="CB82" s="230"/>
    </row>
    <row r="83" spans="1:80" s="199" customFormat="1" ht="39.950000000000003" customHeight="1">
      <c r="A83" s="16" t="s">
        <v>295</v>
      </c>
      <c r="B83" s="223" t="s">
        <v>296</v>
      </c>
      <c r="C83" s="181"/>
      <c r="D83" s="200"/>
      <c r="E83" s="653"/>
      <c r="F83" s="653"/>
      <c r="G83" s="653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1"/>
      <c r="BZ83" s="186"/>
      <c r="CA83" s="201"/>
      <c r="CB83" s="230"/>
    </row>
    <row r="84" spans="1:80" s="199" customFormat="1" ht="39.950000000000003" customHeight="1">
      <c r="A84" s="16" t="s">
        <v>297</v>
      </c>
      <c r="B84" s="223" t="s">
        <v>298</v>
      </c>
      <c r="C84" s="181"/>
      <c r="D84" s="181"/>
      <c r="E84" s="653"/>
      <c r="F84" s="653"/>
      <c r="G84" s="653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1"/>
      <c r="BZ84" s="186"/>
      <c r="CA84" s="201"/>
      <c r="CB84" s="230"/>
    </row>
    <row r="85" spans="1:80" s="238" customFormat="1" ht="39.950000000000003" customHeight="1">
      <c r="A85" s="16" t="s">
        <v>299</v>
      </c>
      <c r="B85" s="223" t="s">
        <v>300</v>
      </c>
      <c r="C85" s="236"/>
      <c r="D85" s="236"/>
      <c r="E85" s="809"/>
      <c r="F85" s="809"/>
      <c r="G85" s="809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6"/>
      <c r="AX85" s="236"/>
      <c r="AY85" s="236"/>
      <c r="AZ85" s="236"/>
      <c r="BA85" s="236"/>
      <c r="BB85" s="236"/>
      <c r="BC85" s="236"/>
      <c r="BD85" s="236"/>
      <c r="BE85" s="236"/>
      <c r="BF85" s="236"/>
      <c r="BG85" s="236"/>
      <c r="BH85" s="236"/>
      <c r="BI85" s="236"/>
      <c r="BJ85" s="236"/>
      <c r="BK85" s="236"/>
      <c r="BL85" s="236"/>
      <c r="BM85" s="236"/>
      <c r="BN85" s="236"/>
      <c r="BO85" s="236"/>
      <c r="BP85" s="236"/>
      <c r="BQ85" s="236"/>
      <c r="BR85" s="236"/>
      <c r="BS85" s="236"/>
      <c r="BT85" s="236"/>
      <c r="BU85" s="236"/>
      <c r="BV85" s="236"/>
      <c r="BW85" s="236"/>
      <c r="BX85" s="236"/>
      <c r="BY85" s="236"/>
      <c r="BZ85" s="236"/>
      <c r="CA85" s="237"/>
    </row>
    <row r="86" spans="1:80">
      <c r="A86" s="9" t="s">
        <v>301</v>
      </c>
      <c r="B86" s="20" t="s">
        <v>302</v>
      </c>
    </row>
    <row r="87" spans="1:80" ht="31.5">
      <c r="A87" s="16" t="s">
        <v>303</v>
      </c>
      <c r="B87" s="21" t="s">
        <v>304</v>
      </c>
    </row>
    <row r="88" spans="1:80" ht="63">
      <c r="A88" s="16" t="s">
        <v>305</v>
      </c>
      <c r="B88" s="11" t="s">
        <v>306</v>
      </c>
    </row>
    <row r="89" spans="1:80" ht="27">
      <c r="A89" s="9" t="s">
        <v>307</v>
      </c>
      <c r="B89" s="224" t="s">
        <v>308</v>
      </c>
    </row>
    <row r="90" spans="1:80" ht="31.5">
      <c r="A90" s="16" t="s">
        <v>309</v>
      </c>
      <c r="B90" s="225" t="s">
        <v>310</v>
      </c>
      <c r="BV90" s="315"/>
    </row>
    <row r="91" spans="1:80" ht="31.5">
      <c r="A91" s="16" t="s">
        <v>311</v>
      </c>
      <c r="B91" s="225" t="s">
        <v>312</v>
      </c>
    </row>
    <row r="92" spans="1:80" ht="38.25">
      <c r="A92" s="16" t="s">
        <v>313</v>
      </c>
      <c r="B92" s="225" t="s">
        <v>314</v>
      </c>
    </row>
    <row r="93" spans="1:80" ht="31.5">
      <c r="A93" s="226" t="s">
        <v>315</v>
      </c>
      <c r="B93" s="227" t="s">
        <v>316</v>
      </c>
      <c r="BX93" s="315"/>
    </row>
    <row r="94" spans="1:80" ht="47.25">
      <c r="A94" s="9" t="s">
        <v>317</v>
      </c>
      <c r="B94" s="14" t="s">
        <v>318</v>
      </c>
    </row>
    <row r="95" spans="1:80" ht="31.5">
      <c r="A95" s="9" t="s">
        <v>319</v>
      </c>
      <c r="B95" s="14" t="s">
        <v>320</v>
      </c>
    </row>
    <row r="96" spans="1:80" ht="31.5">
      <c r="A96" s="9" t="s">
        <v>321</v>
      </c>
      <c r="B96" s="14" t="s">
        <v>322</v>
      </c>
    </row>
    <row r="97" spans="1:79">
      <c r="A97" s="22" t="s">
        <v>323</v>
      </c>
      <c r="B97" s="228"/>
    </row>
    <row r="98" spans="1:79">
      <c r="A98" s="145" t="s">
        <v>324</v>
      </c>
      <c r="B98" s="145" t="s">
        <v>325</v>
      </c>
    </row>
    <row r="99" spans="1:79" ht="31.5">
      <c r="A99" s="145" t="s">
        <v>326</v>
      </c>
      <c r="B99" s="145" t="s">
        <v>327</v>
      </c>
    </row>
    <row r="100" spans="1:79" ht="31.5">
      <c r="A100" s="145" t="s">
        <v>328</v>
      </c>
      <c r="B100" s="145" t="s">
        <v>329</v>
      </c>
    </row>
    <row r="101" spans="1:79" ht="31.5">
      <c r="A101" s="145" t="s">
        <v>330</v>
      </c>
      <c r="B101" s="145" t="s">
        <v>331</v>
      </c>
    </row>
    <row r="102" spans="1:79">
      <c r="C102" s="801" t="s">
        <v>2355</v>
      </c>
      <c r="D102" s="797">
        <f t="shared" ref="D102:BO102" si="0">SUM(D3:D101)</f>
        <v>0</v>
      </c>
      <c r="E102" s="810">
        <f t="shared" si="0"/>
        <v>6859553</v>
      </c>
      <c r="F102" s="810">
        <f t="shared" si="0"/>
        <v>0</v>
      </c>
      <c r="G102" s="810">
        <f t="shared" si="0"/>
        <v>0</v>
      </c>
      <c r="H102" s="797">
        <f t="shared" si="0"/>
        <v>0</v>
      </c>
      <c r="I102" s="798">
        <f t="shared" si="0"/>
        <v>0</v>
      </c>
      <c r="J102" s="798">
        <f t="shared" si="0"/>
        <v>0</v>
      </c>
      <c r="K102" s="797">
        <f t="shared" si="0"/>
        <v>0</v>
      </c>
      <c r="L102" s="798">
        <f t="shared" si="0"/>
        <v>0</v>
      </c>
      <c r="M102" s="798">
        <f t="shared" si="0"/>
        <v>0</v>
      </c>
      <c r="N102" s="798">
        <f t="shared" si="0"/>
        <v>0</v>
      </c>
      <c r="O102" s="798">
        <f t="shared" si="0"/>
        <v>0</v>
      </c>
      <c r="P102" s="798">
        <f t="shared" si="0"/>
        <v>0</v>
      </c>
      <c r="Q102" s="798">
        <f t="shared" si="0"/>
        <v>0</v>
      </c>
      <c r="R102" s="798">
        <f t="shared" si="0"/>
        <v>0</v>
      </c>
      <c r="S102" s="798">
        <f t="shared" si="0"/>
        <v>0</v>
      </c>
      <c r="T102" s="798">
        <f t="shared" si="0"/>
        <v>0</v>
      </c>
      <c r="U102" s="799">
        <f t="shared" si="0"/>
        <v>0</v>
      </c>
      <c r="V102" s="797">
        <f t="shared" si="0"/>
        <v>0</v>
      </c>
      <c r="W102" s="798">
        <f t="shared" si="0"/>
        <v>0</v>
      </c>
      <c r="X102" s="798">
        <f t="shared" si="0"/>
        <v>0</v>
      </c>
      <c r="Y102" s="797">
        <f t="shared" si="0"/>
        <v>0</v>
      </c>
      <c r="Z102" s="797">
        <f t="shared" si="0"/>
        <v>0</v>
      </c>
      <c r="AA102" s="797">
        <f t="shared" si="0"/>
        <v>0</v>
      </c>
      <c r="AB102" s="797">
        <f t="shared" si="0"/>
        <v>0</v>
      </c>
      <c r="AC102" s="799">
        <f t="shared" si="0"/>
        <v>0</v>
      </c>
      <c r="AD102" s="797">
        <f t="shared" si="0"/>
        <v>0</v>
      </c>
      <c r="AE102" s="797">
        <f t="shared" si="0"/>
        <v>0</v>
      </c>
      <c r="AF102" s="797">
        <f t="shared" si="0"/>
        <v>0</v>
      </c>
      <c r="AG102" s="797">
        <f t="shared" si="0"/>
        <v>0</v>
      </c>
      <c r="AH102" s="798">
        <f t="shared" si="0"/>
        <v>0</v>
      </c>
      <c r="AI102" s="798">
        <f t="shared" si="0"/>
        <v>0</v>
      </c>
      <c r="AJ102" s="798">
        <f t="shared" si="0"/>
        <v>0</v>
      </c>
      <c r="AK102" s="798">
        <f t="shared" si="0"/>
        <v>0</v>
      </c>
      <c r="AL102" s="798">
        <f t="shared" si="0"/>
        <v>0</v>
      </c>
      <c r="AM102" s="800">
        <f t="shared" si="0"/>
        <v>0</v>
      </c>
      <c r="AN102" s="798">
        <f t="shared" si="0"/>
        <v>0</v>
      </c>
      <c r="AO102" s="800">
        <f t="shared" si="0"/>
        <v>0</v>
      </c>
      <c r="AP102" s="797">
        <f t="shared" si="0"/>
        <v>0</v>
      </c>
      <c r="AQ102" s="798">
        <f t="shared" si="0"/>
        <v>0</v>
      </c>
      <c r="AR102" s="798">
        <f t="shared" si="0"/>
        <v>0</v>
      </c>
      <c r="AS102" s="798">
        <f t="shared" si="0"/>
        <v>0</v>
      </c>
      <c r="AT102" s="798">
        <f t="shared" si="0"/>
        <v>0</v>
      </c>
      <c r="AU102" s="799">
        <f t="shared" si="0"/>
        <v>0</v>
      </c>
      <c r="AV102" s="797">
        <f t="shared" si="0"/>
        <v>0</v>
      </c>
      <c r="AW102" s="798">
        <f t="shared" si="0"/>
        <v>0</v>
      </c>
      <c r="AX102" s="797">
        <f t="shared" si="0"/>
        <v>0</v>
      </c>
      <c r="AY102" s="798">
        <f t="shared" si="0"/>
        <v>0</v>
      </c>
      <c r="AZ102" s="798">
        <f t="shared" si="0"/>
        <v>0</v>
      </c>
      <c r="BA102" s="797">
        <f t="shared" si="0"/>
        <v>0</v>
      </c>
      <c r="BB102" s="797">
        <f t="shared" si="0"/>
        <v>0</v>
      </c>
      <c r="BC102" s="798">
        <f t="shared" si="0"/>
        <v>0</v>
      </c>
      <c r="BD102" s="797">
        <f t="shared" si="0"/>
        <v>0</v>
      </c>
      <c r="BE102" s="799">
        <f t="shared" si="0"/>
        <v>0</v>
      </c>
      <c r="BF102" s="799">
        <f t="shared" si="0"/>
        <v>0</v>
      </c>
      <c r="BG102" s="797">
        <f t="shared" si="0"/>
        <v>0</v>
      </c>
      <c r="BH102" s="798">
        <f t="shared" si="0"/>
        <v>0</v>
      </c>
      <c r="BI102" s="798">
        <f t="shared" si="0"/>
        <v>0</v>
      </c>
      <c r="BJ102" s="797">
        <f t="shared" si="0"/>
        <v>0</v>
      </c>
      <c r="BK102" s="797">
        <f t="shared" si="0"/>
        <v>0</v>
      </c>
      <c r="BL102" s="797">
        <f t="shared" si="0"/>
        <v>0</v>
      </c>
      <c r="BM102" s="798">
        <f t="shared" si="0"/>
        <v>0</v>
      </c>
      <c r="BN102" s="798">
        <f t="shared" si="0"/>
        <v>0</v>
      </c>
      <c r="BO102" s="799">
        <f t="shared" si="0"/>
        <v>0</v>
      </c>
      <c r="BP102" s="797">
        <f t="shared" ref="BP102:CA102" si="1">SUM(BP3:BP101)</f>
        <v>0</v>
      </c>
      <c r="BQ102" s="797">
        <f t="shared" si="1"/>
        <v>0</v>
      </c>
      <c r="BR102" s="797">
        <f t="shared" si="1"/>
        <v>0</v>
      </c>
      <c r="BS102" s="798">
        <f t="shared" si="1"/>
        <v>0</v>
      </c>
      <c r="BT102" s="799">
        <f t="shared" si="1"/>
        <v>0</v>
      </c>
      <c r="BU102" s="797">
        <f t="shared" si="1"/>
        <v>0</v>
      </c>
      <c r="BV102" s="797">
        <f t="shared" si="1"/>
        <v>121090</v>
      </c>
      <c r="BW102" s="798">
        <f t="shared" si="1"/>
        <v>0</v>
      </c>
      <c r="BX102" s="797">
        <f t="shared" si="1"/>
        <v>0</v>
      </c>
      <c r="BY102" s="798">
        <f t="shared" si="1"/>
        <v>0</v>
      </c>
      <c r="BZ102" s="798">
        <f t="shared" si="1"/>
        <v>0</v>
      </c>
      <c r="CA102" s="239">
        <f t="shared" si="1"/>
        <v>0</v>
      </c>
    </row>
  </sheetData>
  <mergeCells count="1">
    <mergeCell ref="A1:B2"/>
  </mergeCells>
  <pageMargins left="0.23622047244094491" right="0.23622047244094491" top="0.74803149606299213" bottom="0.74803149606299213" header="0.31496062992125984" footer="0.31496062992125984"/>
  <pageSetup paperSize="9" scale="35" orientation="portrait" horizontalDpi="4294967293" verticalDpi="300" r:id="rId1"/>
  <colBreaks count="1" manualBreakCount="1">
    <brk id="15" max="100" man="1"/>
  </col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0"/>
  <dimension ref="A1:M22"/>
  <sheetViews>
    <sheetView topLeftCell="A4" workbookViewId="0">
      <selection activeCell="C19" sqref="C19"/>
    </sheetView>
  </sheetViews>
  <sheetFormatPr defaultRowHeight="12.75"/>
  <cols>
    <col min="1" max="1" width="22.7109375" style="676" customWidth="1"/>
    <col min="2" max="2" width="13" style="561" customWidth="1"/>
    <col min="3" max="3" width="17.5703125" style="561" customWidth="1"/>
    <col min="4" max="4" width="21.7109375" style="561" customWidth="1"/>
    <col min="5" max="6" width="11.140625" style="561" customWidth="1"/>
    <col min="7" max="7" width="13" style="561" customWidth="1"/>
    <col min="8" max="8" width="12.42578125" style="561" customWidth="1"/>
    <col min="9" max="9" width="13.5703125" style="561" customWidth="1"/>
    <col min="10" max="10" width="13.140625" style="561" customWidth="1"/>
    <col min="11" max="11" width="20" style="561" customWidth="1"/>
    <col min="12" max="12" width="9.140625" style="561"/>
    <col min="13" max="13" width="10.5703125" style="561" bestFit="1" customWidth="1"/>
    <col min="14" max="256" width="9.140625" style="561"/>
    <col min="257" max="257" width="22.7109375" style="561" customWidth="1"/>
    <col min="258" max="258" width="13" style="561" customWidth="1"/>
    <col min="259" max="259" width="12.5703125" style="561" customWidth="1"/>
    <col min="260" max="260" width="10.5703125" style="561" customWidth="1"/>
    <col min="261" max="262" width="11.140625" style="561" customWidth="1"/>
    <col min="263" max="263" width="13" style="561" customWidth="1"/>
    <col min="264" max="264" width="12.42578125" style="561" customWidth="1"/>
    <col min="265" max="265" width="13.5703125" style="561" customWidth="1"/>
    <col min="266" max="266" width="13.140625" style="561" customWidth="1"/>
    <col min="267" max="267" width="20" style="561" customWidth="1"/>
    <col min="268" max="512" width="9.140625" style="561"/>
    <col min="513" max="513" width="22.7109375" style="561" customWidth="1"/>
    <col min="514" max="514" width="13" style="561" customWidth="1"/>
    <col min="515" max="515" width="12.5703125" style="561" customWidth="1"/>
    <col min="516" max="516" width="10.5703125" style="561" customWidth="1"/>
    <col min="517" max="518" width="11.140625" style="561" customWidth="1"/>
    <col min="519" max="519" width="13" style="561" customWidth="1"/>
    <col min="520" max="520" width="12.42578125" style="561" customWidth="1"/>
    <col min="521" max="521" width="13.5703125" style="561" customWidth="1"/>
    <col min="522" max="522" width="13.140625" style="561" customWidth="1"/>
    <col min="523" max="523" width="20" style="561" customWidth="1"/>
    <col min="524" max="768" width="9.140625" style="561"/>
    <col min="769" max="769" width="22.7109375" style="561" customWidth="1"/>
    <col min="770" max="770" width="13" style="561" customWidth="1"/>
    <col min="771" max="771" width="12.5703125" style="561" customWidth="1"/>
    <col min="772" max="772" width="10.5703125" style="561" customWidth="1"/>
    <col min="773" max="774" width="11.140625" style="561" customWidth="1"/>
    <col min="775" max="775" width="13" style="561" customWidth="1"/>
    <col min="776" max="776" width="12.42578125" style="561" customWidth="1"/>
    <col min="777" max="777" width="13.5703125" style="561" customWidth="1"/>
    <col min="778" max="778" width="13.140625" style="561" customWidth="1"/>
    <col min="779" max="779" width="20" style="561" customWidth="1"/>
    <col min="780" max="1024" width="9.140625" style="561"/>
    <col min="1025" max="1025" width="22.7109375" style="561" customWidth="1"/>
    <col min="1026" max="1026" width="13" style="561" customWidth="1"/>
    <col min="1027" max="1027" width="12.5703125" style="561" customWidth="1"/>
    <col min="1028" max="1028" width="10.5703125" style="561" customWidth="1"/>
    <col min="1029" max="1030" width="11.140625" style="561" customWidth="1"/>
    <col min="1031" max="1031" width="13" style="561" customWidth="1"/>
    <col min="1032" max="1032" width="12.42578125" style="561" customWidth="1"/>
    <col min="1033" max="1033" width="13.5703125" style="561" customWidth="1"/>
    <col min="1034" max="1034" width="13.140625" style="561" customWidth="1"/>
    <col min="1035" max="1035" width="20" style="561" customWidth="1"/>
    <col min="1036" max="1280" width="9.140625" style="561"/>
    <col min="1281" max="1281" width="22.7109375" style="561" customWidth="1"/>
    <col min="1282" max="1282" width="13" style="561" customWidth="1"/>
    <col min="1283" max="1283" width="12.5703125" style="561" customWidth="1"/>
    <col min="1284" max="1284" width="10.5703125" style="561" customWidth="1"/>
    <col min="1285" max="1286" width="11.140625" style="561" customWidth="1"/>
    <col min="1287" max="1287" width="13" style="561" customWidth="1"/>
    <col min="1288" max="1288" width="12.42578125" style="561" customWidth="1"/>
    <col min="1289" max="1289" width="13.5703125" style="561" customWidth="1"/>
    <col min="1290" max="1290" width="13.140625" style="561" customWidth="1"/>
    <col min="1291" max="1291" width="20" style="561" customWidth="1"/>
    <col min="1292" max="1536" width="9.140625" style="561"/>
    <col min="1537" max="1537" width="22.7109375" style="561" customWidth="1"/>
    <col min="1538" max="1538" width="13" style="561" customWidth="1"/>
    <col min="1539" max="1539" width="12.5703125" style="561" customWidth="1"/>
    <col min="1540" max="1540" width="10.5703125" style="561" customWidth="1"/>
    <col min="1541" max="1542" width="11.140625" style="561" customWidth="1"/>
    <col min="1543" max="1543" width="13" style="561" customWidth="1"/>
    <col min="1544" max="1544" width="12.42578125" style="561" customWidth="1"/>
    <col min="1545" max="1545" width="13.5703125" style="561" customWidth="1"/>
    <col min="1546" max="1546" width="13.140625" style="561" customWidth="1"/>
    <col min="1547" max="1547" width="20" style="561" customWidth="1"/>
    <col min="1548" max="1792" width="9.140625" style="561"/>
    <col min="1793" max="1793" width="22.7109375" style="561" customWidth="1"/>
    <col min="1794" max="1794" width="13" style="561" customWidth="1"/>
    <col min="1795" max="1795" width="12.5703125" style="561" customWidth="1"/>
    <col min="1796" max="1796" width="10.5703125" style="561" customWidth="1"/>
    <col min="1797" max="1798" width="11.140625" style="561" customWidth="1"/>
    <col min="1799" max="1799" width="13" style="561" customWidth="1"/>
    <col min="1800" max="1800" width="12.42578125" style="561" customWidth="1"/>
    <col min="1801" max="1801" width="13.5703125" style="561" customWidth="1"/>
    <col min="1802" max="1802" width="13.140625" style="561" customWidth="1"/>
    <col min="1803" max="1803" width="20" style="561" customWidth="1"/>
    <col min="1804" max="2048" width="9.140625" style="561"/>
    <col min="2049" max="2049" width="22.7109375" style="561" customWidth="1"/>
    <col min="2050" max="2050" width="13" style="561" customWidth="1"/>
    <col min="2051" max="2051" width="12.5703125" style="561" customWidth="1"/>
    <col min="2052" max="2052" width="10.5703125" style="561" customWidth="1"/>
    <col min="2053" max="2054" width="11.140625" style="561" customWidth="1"/>
    <col min="2055" max="2055" width="13" style="561" customWidth="1"/>
    <col min="2056" max="2056" width="12.42578125" style="561" customWidth="1"/>
    <col min="2057" max="2057" width="13.5703125" style="561" customWidth="1"/>
    <col min="2058" max="2058" width="13.140625" style="561" customWidth="1"/>
    <col min="2059" max="2059" width="20" style="561" customWidth="1"/>
    <col min="2060" max="2304" width="9.140625" style="561"/>
    <col min="2305" max="2305" width="22.7109375" style="561" customWidth="1"/>
    <col min="2306" max="2306" width="13" style="561" customWidth="1"/>
    <col min="2307" max="2307" width="12.5703125" style="561" customWidth="1"/>
    <col min="2308" max="2308" width="10.5703125" style="561" customWidth="1"/>
    <col min="2309" max="2310" width="11.140625" style="561" customWidth="1"/>
    <col min="2311" max="2311" width="13" style="561" customWidth="1"/>
    <col min="2312" max="2312" width="12.42578125" style="561" customWidth="1"/>
    <col min="2313" max="2313" width="13.5703125" style="561" customWidth="1"/>
    <col min="2314" max="2314" width="13.140625" style="561" customWidth="1"/>
    <col min="2315" max="2315" width="20" style="561" customWidth="1"/>
    <col min="2316" max="2560" width="9.140625" style="561"/>
    <col min="2561" max="2561" width="22.7109375" style="561" customWidth="1"/>
    <col min="2562" max="2562" width="13" style="561" customWidth="1"/>
    <col min="2563" max="2563" width="12.5703125" style="561" customWidth="1"/>
    <col min="2564" max="2564" width="10.5703125" style="561" customWidth="1"/>
    <col min="2565" max="2566" width="11.140625" style="561" customWidth="1"/>
    <col min="2567" max="2567" width="13" style="561" customWidth="1"/>
    <col min="2568" max="2568" width="12.42578125" style="561" customWidth="1"/>
    <col min="2569" max="2569" width="13.5703125" style="561" customWidth="1"/>
    <col min="2570" max="2570" width="13.140625" style="561" customWidth="1"/>
    <col min="2571" max="2571" width="20" style="561" customWidth="1"/>
    <col min="2572" max="2816" width="9.140625" style="561"/>
    <col min="2817" max="2817" width="22.7109375" style="561" customWidth="1"/>
    <col min="2818" max="2818" width="13" style="561" customWidth="1"/>
    <col min="2819" max="2819" width="12.5703125" style="561" customWidth="1"/>
    <col min="2820" max="2820" width="10.5703125" style="561" customWidth="1"/>
    <col min="2821" max="2822" width="11.140625" style="561" customWidth="1"/>
    <col min="2823" max="2823" width="13" style="561" customWidth="1"/>
    <col min="2824" max="2824" width="12.42578125" style="561" customWidth="1"/>
    <col min="2825" max="2825" width="13.5703125" style="561" customWidth="1"/>
    <col min="2826" max="2826" width="13.140625" style="561" customWidth="1"/>
    <col min="2827" max="2827" width="20" style="561" customWidth="1"/>
    <col min="2828" max="3072" width="9.140625" style="561"/>
    <col min="3073" max="3073" width="22.7109375" style="561" customWidth="1"/>
    <col min="3074" max="3074" width="13" style="561" customWidth="1"/>
    <col min="3075" max="3075" width="12.5703125" style="561" customWidth="1"/>
    <col min="3076" max="3076" width="10.5703125" style="561" customWidth="1"/>
    <col min="3077" max="3078" width="11.140625" style="561" customWidth="1"/>
    <col min="3079" max="3079" width="13" style="561" customWidth="1"/>
    <col min="3080" max="3080" width="12.42578125" style="561" customWidth="1"/>
    <col min="3081" max="3081" width="13.5703125" style="561" customWidth="1"/>
    <col min="3082" max="3082" width="13.140625" style="561" customWidth="1"/>
    <col min="3083" max="3083" width="20" style="561" customWidth="1"/>
    <col min="3084" max="3328" width="9.140625" style="561"/>
    <col min="3329" max="3329" width="22.7109375" style="561" customWidth="1"/>
    <col min="3330" max="3330" width="13" style="561" customWidth="1"/>
    <col min="3331" max="3331" width="12.5703125" style="561" customWidth="1"/>
    <col min="3332" max="3332" width="10.5703125" style="561" customWidth="1"/>
    <col min="3333" max="3334" width="11.140625" style="561" customWidth="1"/>
    <col min="3335" max="3335" width="13" style="561" customWidth="1"/>
    <col min="3336" max="3336" width="12.42578125" style="561" customWidth="1"/>
    <col min="3337" max="3337" width="13.5703125" style="561" customWidth="1"/>
    <col min="3338" max="3338" width="13.140625" style="561" customWidth="1"/>
    <col min="3339" max="3339" width="20" style="561" customWidth="1"/>
    <col min="3340" max="3584" width="9.140625" style="561"/>
    <col min="3585" max="3585" width="22.7109375" style="561" customWidth="1"/>
    <col min="3586" max="3586" width="13" style="561" customWidth="1"/>
    <col min="3587" max="3587" width="12.5703125" style="561" customWidth="1"/>
    <col min="3588" max="3588" width="10.5703125" style="561" customWidth="1"/>
    <col min="3589" max="3590" width="11.140625" style="561" customWidth="1"/>
    <col min="3591" max="3591" width="13" style="561" customWidth="1"/>
    <col min="3592" max="3592" width="12.42578125" style="561" customWidth="1"/>
    <col min="3593" max="3593" width="13.5703125" style="561" customWidth="1"/>
    <col min="3594" max="3594" width="13.140625" style="561" customWidth="1"/>
    <col min="3595" max="3595" width="20" style="561" customWidth="1"/>
    <col min="3596" max="3840" width="9.140625" style="561"/>
    <col min="3841" max="3841" width="22.7109375" style="561" customWidth="1"/>
    <col min="3842" max="3842" width="13" style="561" customWidth="1"/>
    <col min="3843" max="3843" width="12.5703125" style="561" customWidth="1"/>
    <col min="3844" max="3844" width="10.5703125" style="561" customWidth="1"/>
    <col min="3845" max="3846" width="11.140625" style="561" customWidth="1"/>
    <col min="3847" max="3847" width="13" style="561" customWidth="1"/>
    <col min="3848" max="3848" width="12.42578125" style="561" customWidth="1"/>
    <col min="3849" max="3849" width="13.5703125" style="561" customWidth="1"/>
    <col min="3850" max="3850" width="13.140625" style="561" customWidth="1"/>
    <col min="3851" max="3851" width="20" style="561" customWidth="1"/>
    <col min="3852" max="4096" width="9.140625" style="561"/>
    <col min="4097" max="4097" width="22.7109375" style="561" customWidth="1"/>
    <col min="4098" max="4098" width="13" style="561" customWidth="1"/>
    <col min="4099" max="4099" width="12.5703125" style="561" customWidth="1"/>
    <col min="4100" max="4100" width="10.5703125" style="561" customWidth="1"/>
    <col min="4101" max="4102" width="11.140625" style="561" customWidth="1"/>
    <col min="4103" max="4103" width="13" style="561" customWidth="1"/>
    <col min="4104" max="4104" width="12.42578125" style="561" customWidth="1"/>
    <col min="4105" max="4105" width="13.5703125" style="561" customWidth="1"/>
    <col min="4106" max="4106" width="13.140625" style="561" customWidth="1"/>
    <col min="4107" max="4107" width="20" style="561" customWidth="1"/>
    <col min="4108" max="4352" width="9.140625" style="561"/>
    <col min="4353" max="4353" width="22.7109375" style="561" customWidth="1"/>
    <col min="4354" max="4354" width="13" style="561" customWidth="1"/>
    <col min="4355" max="4355" width="12.5703125" style="561" customWidth="1"/>
    <col min="4356" max="4356" width="10.5703125" style="561" customWidth="1"/>
    <col min="4357" max="4358" width="11.140625" style="561" customWidth="1"/>
    <col min="4359" max="4359" width="13" style="561" customWidth="1"/>
    <col min="4360" max="4360" width="12.42578125" style="561" customWidth="1"/>
    <col min="4361" max="4361" width="13.5703125" style="561" customWidth="1"/>
    <col min="4362" max="4362" width="13.140625" style="561" customWidth="1"/>
    <col min="4363" max="4363" width="20" style="561" customWidth="1"/>
    <col min="4364" max="4608" width="9.140625" style="561"/>
    <col min="4609" max="4609" width="22.7109375" style="561" customWidth="1"/>
    <col min="4610" max="4610" width="13" style="561" customWidth="1"/>
    <col min="4611" max="4611" width="12.5703125" style="561" customWidth="1"/>
    <col min="4612" max="4612" width="10.5703125" style="561" customWidth="1"/>
    <col min="4613" max="4614" width="11.140625" style="561" customWidth="1"/>
    <col min="4615" max="4615" width="13" style="561" customWidth="1"/>
    <col min="4616" max="4616" width="12.42578125" style="561" customWidth="1"/>
    <col min="4617" max="4617" width="13.5703125" style="561" customWidth="1"/>
    <col min="4618" max="4618" width="13.140625" style="561" customWidth="1"/>
    <col min="4619" max="4619" width="20" style="561" customWidth="1"/>
    <col min="4620" max="4864" width="9.140625" style="561"/>
    <col min="4865" max="4865" width="22.7109375" style="561" customWidth="1"/>
    <col min="4866" max="4866" width="13" style="561" customWidth="1"/>
    <col min="4867" max="4867" width="12.5703125" style="561" customWidth="1"/>
    <col min="4868" max="4868" width="10.5703125" style="561" customWidth="1"/>
    <col min="4869" max="4870" width="11.140625" style="561" customWidth="1"/>
    <col min="4871" max="4871" width="13" style="561" customWidth="1"/>
    <col min="4872" max="4872" width="12.42578125" style="561" customWidth="1"/>
    <col min="4873" max="4873" width="13.5703125" style="561" customWidth="1"/>
    <col min="4874" max="4874" width="13.140625" style="561" customWidth="1"/>
    <col min="4875" max="4875" width="20" style="561" customWidth="1"/>
    <col min="4876" max="5120" width="9.140625" style="561"/>
    <col min="5121" max="5121" width="22.7109375" style="561" customWidth="1"/>
    <col min="5122" max="5122" width="13" style="561" customWidth="1"/>
    <col min="5123" max="5123" width="12.5703125" style="561" customWidth="1"/>
    <col min="5124" max="5124" width="10.5703125" style="561" customWidth="1"/>
    <col min="5125" max="5126" width="11.140625" style="561" customWidth="1"/>
    <col min="5127" max="5127" width="13" style="561" customWidth="1"/>
    <col min="5128" max="5128" width="12.42578125" style="561" customWidth="1"/>
    <col min="5129" max="5129" width="13.5703125" style="561" customWidth="1"/>
    <col min="5130" max="5130" width="13.140625" style="561" customWidth="1"/>
    <col min="5131" max="5131" width="20" style="561" customWidth="1"/>
    <col min="5132" max="5376" width="9.140625" style="561"/>
    <col min="5377" max="5377" width="22.7109375" style="561" customWidth="1"/>
    <col min="5378" max="5378" width="13" style="561" customWidth="1"/>
    <col min="5379" max="5379" width="12.5703125" style="561" customWidth="1"/>
    <col min="5380" max="5380" width="10.5703125" style="561" customWidth="1"/>
    <col min="5381" max="5382" width="11.140625" style="561" customWidth="1"/>
    <col min="5383" max="5383" width="13" style="561" customWidth="1"/>
    <col min="5384" max="5384" width="12.42578125" style="561" customWidth="1"/>
    <col min="5385" max="5385" width="13.5703125" style="561" customWidth="1"/>
    <col min="5386" max="5386" width="13.140625" style="561" customWidth="1"/>
    <col min="5387" max="5387" width="20" style="561" customWidth="1"/>
    <col min="5388" max="5632" width="9.140625" style="561"/>
    <col min="5633" max="5633" width="22.7109375" style="561" customWidth="1"/>
    <col min="5634" max="5634" width="13" style="561" customWidth="1"/>
    <col min="5635" max="5635" width="12.5703125" style="561" customWidth="1"/>
    <col min="5636" max="5636" width="10.5703125" style="561" customWidth="1"/>
    <col min="5637" max="5638" width="11.140625" style="561" customWidth="1"/>
    <col min="5639" max="5639" width="13" style="561" customWidth="1"/>
    <col min="5640" max="5640" width="12.42578125" style="561" customWidth="1"/>
    <col min="5641" max="5641" width="13.5703125" style="561" customWidth="1"/>
    <col min="5642" max="5642" width="13.140625" style="561" customWidth="1"/>
    <col min="5643" max="5643" width="20" style="561" customWidth="1"/>
    <col min="5644" max="5888" width="9.140625" style="561"/>
    <col min="5889" max="5889" width="22.7109375" style="561" customWidth="1"/>
    <col min="5890" max="5890" width="13" style="561" customWidth="1"/>
    <col min="5891" max="5891" width="12.5703125" style="561" customWidth="1"/>
    <col min="5892" max="5892" width="10.5703125" style="561" customWidth="1"/>
    <col min="5893" max="5894" width="11.140625" style="561" customWidth="1"/>
    <col min="5895" max="5895" width="13" style="561" customWidth="1"/>
    <col min="5896" max="5896" width="12.42578125" style="561" customWidth="1"/>
    <col min="5897" max="5897" width="13.5703125" style="561" customWidth="1"/>
    <col min="5898" max="5898" width="13.140625" style="561" customWidth="1"/>
    <col min="5899" max="5899" width="20" style="561" customWidth="1"/>
    <col min="5900" max="6144" width="9.140625" style="561"/>
    <col min="6145" max="6145" width="22.7109375" style="561" customWidth="1"/>
    <col min="6146" max="6146" width="13" style="561" customWidth="1"/>
    <col min="6147" max="6147" width="12.5703125" style="561" customWidth="1"/>
    <col min="6148" max="6148" width="10.5703125" style="561" customWidth="1"/>
    <col min="6149" max="6150" width="11.140625" style="561" customWidth="1"/>
    <col min="6151" max="6151" width="13" style="561" customWidth="1"/>
    <col min="6152" max="6152" width="12.42578125" style="561" customWidth="1"/>
    <col min="6153" max="6153" width="13.5703125" style="561" customWidth="1"/>
    <col min="6154" max="6154" width="13.140625" style="561" customWidth="1"/>
    <col min="6155" max="6155" width="20" style="561" customWidth="1"/>
    <col min="6156" max="6400" width="9.140625" style="561"/>
    <col min="6401" max="6401" width="22.7109375" style="561" customWidth="1"/>
    <col min="6402" max="6402" width="13" style="561" customWidth="1"/>
    <col min="6403" max="6403" width="12.5703125" style="561" customWidth="1"/>
    <col min="6404" max="6404" width="10.5703125" style="561" customWidth="1"/>
    <col min="6405" max="6406" width="11.140625" style="561" customWidth="1"/>
    <col min="6407" max="6407" width="13" style="561" customWidth="1"/>
    <col min="6408" max="6408" width="12.42578125" style="561" customWidth="1"/>
    <col min="6409" max="6409" width="13.5703125" style="561" customWidth="1"/>
    <col min="6410" max="6410" width="13.140625" style="561" customWidth="1"/>
    <col min="6411" max="6411" width="20" style="561" customWidth="1"/>
    <col min="6412" max="6656" width="9.140625" style="561"/>
    <col min="6657" max="6657" width="22.7109375" style="561" customWidth="1"/>
    <col min="6658" max="6658" width="13" style="561" customWidth="1"/>
    <col min="6659" max="6659" width="12.5703125" style="561" customWidth="1"/>
    <col min="6660" max="6660" width="10.5703125" style="561" customWidth="1"/>
    <col min="6661" max="6662" width="11.140625" style="561" customWidth="1"/>
    <col min="6663" max="6663" width="13" style="561" customWidth="1"/>
    <col min="6664" max="6664" width="12.42578125" style="561" customWidth="1"/>
    <col min="6665" max="6665" width="13.5703125" style="561" customWidth="1"/>
    <col min="6666" max="6666" width="13.140625" style="561" customWidth="1"/>
    <col min="6667" max="6667" width="20" style="561" customWidth="1"/>
    <col min="6668" max="6912" width="9.140625" style="561"/>
    <col min="6913" max="6913" width="22.7109375" style="561" customWidth="1"/>
    <col min="6914" max="6914" width="13" style="561" customWidth="1"/>
    <col min="6915" max="6915" width="12.5703125" style="561" customWidth="1"/>
    <col min="6916" max="6916" width="10.5703125" style="561" customWidth="1"/>
    <col min="6917" max="6918" width="11.140625" style="561" customWidth="1"/>
    <col min="6919" max="6919" width="13" style="561" customWidth="1"/>
    <col min="6920" max="6920" width="12.42578125" style="561" customWidth="1"/>
    <col min="6921" max="6921" width="13.5703125" style="561" customWidth="1"/>
    <col min="6922" max="6922" width="13.140625" style="561" customWidth="1"/>
    <col min="6923" max="6923" width="20" style="561" customWidth="1"/>
    <col min="6924" max="7168" width="9.140625" style="561"/>
    <col min="7169" max="7169" width="22.7109375" style="561" customWidth="1"/>
    <col min="7170" max="7170" width="13" style="561" customWidth="1"/>
    <col min="7171" max="7171" width="12.5703125" style="561" customWidth="1"/>
    <col min="7172" max="7172" width="10.5703125" style="561" customWidth="1"/>
    <col min="7173" max="7174" width="11.140625" style="561" customWidth="1"/>
    <col min="7175" max="7175" width="13" style="561" customWidth="1"/>
    <col min="7176" max="7176" width="12.42578125" style="561" customWidth="1"/>
    <col min="7177" max="7177" width="13.5703125" style="561" customWidth="1"/>
    <col min="7178" max="7178" width="13.140625" style="561" customWidth="1"/>
    <col min="7179" max="7179" width="20" style="561" customWidth="1"/>
    <col min="7180" max="7424" width="9.140625" style="561"/>
    <col min="7425" max="7425" width="22.7109375" style="561" customWidth="1"/>
    <col min="7426" max="7426" width="13" style="561" customWidth="1"/>
    <col min="7427" max="7427" width="12.5703125" style="561" customWidth="1"/>
    <col min="7428" max="7428" width="10.5703125" style="561" customWidth="1"/>
    <col min="7429" max="7430" width="11.140625" style="561" customWidth="1"/>
    <col min="7431" max="7431" width="13" style="561" customWidth="1"/>
    <col min="7432" max="7432" width="12.42578125" style="561" customWidth="1"/>
    <col min="7433" max="7433" width="13.5703125" style="561" customWidth="1"/>
    <col min="7434" max="7434" width="13.140625" style="561" customWidth="1"/>
    <col min="7435" max="7435" width="20" style="561" customWidth="1"/>
    <col min="7436" max="7680" width="9.140625" style="561"/>
    <col min="7681" max="7681" width="22.7109375" style="561" customWidth="1"/>
    <col min="7682" max="7682" width="13" style="561" customWidth="1"/>
    <col min="7683" max="7683" width="12.5703125" style="561" customWidth="1"/>
    <col min="7684" max="7684" width="10.5703125" style="561" customWidth="1"/>
    <col min="7685" max="7686" width="11.140625" style="561" customWidth="1"/>
    <col min="7687" max="7687" width="13" style="561" customWidth="1"/>
    <col min="7688" max="7688" width="12.42578125" style="561" customWidth="1"/>
    <col min="7689" max="7689" width="13.5703125" style="561" customWidth="1"/>
    <col min="7690" max="7690" width="13.140625" style="561" customWidth="1"/>
    <col min="7691" max="7691" width="20" style="561" customWidth="1"/>
    <col min="7692" max="7936" width="9.140625" style="561"/>
    <col min="7937" max="7937" width="22.7109375" style="561" customWidth="1"/>
    <col min="7938" max="7938" width="13" style="561" customWidth="1"/>
    <col min="7939" max="7939" width="12.5703125" style="561" customWidth="1"/>
    <col min="7940" max="7940" width="10.5703125" style="561" customWidth="1"/>
    <col min="7941" max="7942" width="11.140625" style="561" customWidth="1"/>
    <col min="7943" max="7943" width="13" style="561" customWidth="1"/>
    <col min="7944" max="7944" width="12.42578125" style="561" customWidth="1"/>
    <col min="7945" max="7945" width="13.5703125" style="561" customWidth="1"/>
    <col min="7946" max="7946" width="13.140625" style="561" customWidth="1"/>
    <col min="7947" max="7947" width="20" style="561" customWidth="1"/>
    <col min="7948" max="8192" width="9.140625" style="561"/>
    <col min="8193" max="8193" width="22.7109375" style="561" customWidth="1"/>
    <col min="8194" max="8194" width="13" style="561" customWidth="1"/>
    <col min="8195" max="8195" width="12.5703125" style="561" customWidth="1"/>
    <col min="8196" max="8196" width="10.5703125" style="561" customWidth="1"/>
    <col min="8197" max="8198" width="11.140625" style="561" customWidth="1"/>
    <col min="8199" max="8199" width="13" style="561" customWidth="1"/>
    <col min="8200" max="8200" width="12.42578125" style="561" customWidth="1"/>
    <col min="8201" max="8201" width="13.5703125" style="561" customWidth="1"/>
    <col min="8202" max="8202" width="13.140625" style="561" customWidth="1"/>
    <col min="8203" max="8203" width="20" style="561" customWidth="1"/>
    <col min="8204" max="8448" width="9.140625" style="561"/>
    <col min="8449" max="8449" width="22.7109375" style="561" customWidth="1"/>
    <col min="8450" max="8450" width="13" style="561" customWidth="1"/>
    <col min="8451" max="8451" width="12.5703125" style="561" customWidth="1"/>
    <col min="8452" max="8452" width="10.5703125" style="561" customWidth="1"/>
    <col min="8453" max="8454" width="11.140625" style="561" customWidth="1"/>
    <col min="8455" max="8455" width="13" style="561" customWidth="1"/>
    <col min="8456" max="8456" width="12.42578125" style="561" customWidth="1"/>
    <col min="8457" max="8457" width="13.5703125" style="561" customWidth="1"/>
    <col min="8458" max="8458" width="13.140625" style="561" customWidth="1"/>
    <col min="8459" max="8459" width="20" style="561" customWidth="1"/>
    <col min="8460" max="8704" width="9.140625" style="561"/>
    <col min="8705" max="8705" width="22.7109375" style="561" customWidth="1"/>
    <col min="8706" max="8706" width="13" style="561" customWidth="1"/>
    <col min="8707" max="8707" width="12.5703125" style="561" customWidth="1"/>
    <col min="8708" max="8708" width="10.5703125" style="561" customWidth="1"/>
    <col min="8709" max="8710" width="11.140625" style="561" customWidth="1"/>
    <col min="8711" max="8711" width="13" style="561" customWidth="1"/>
    <col min="8712" max="8712" width="12.42578125" style="561" customWidth="1"/>
    <col min="8713" max="8713" width="13.5703125" style="561" customWidth="1"/>
    <col min="8714" max="8714" width="13.140625" style="561" customWidth="1"/>
    <col min="8715" max="8715" width="20" style="561" customWidth="1"/>
    <col min="8716" max="8960" width="9.140625" style="561"/>
    <col min="8961" max="8961" width="22.7109375" style="561" customWidth="1"/>
    <col min="8962" max="8962" width="13" style="561" customWidth="1"/>
    <col min="8963" max="8963" width="12.5703125" style="561" customWidth="1"/>
    <col min="8964" max="8964" width="10.5703125" style="561" customWidth="1"/>
    <col min="8965" max="8966" width="11.140625" style="561" customWidth="1"/>
    <col min="8967" max="8967" width="13" style="561" customWidth="1"/>
    <col min="8968" max="8968" width="12.42578125" style="561" customWidth="1"/>
    <col min="8969" max="8969" width="13.5703125" style="561" customWidth="1"/>
    <col min="8970" max="8970" width="13.140625" style="561" customWidth="1"/>
    <col min="8971" max="8971" width="20" style="561" customWidth="1"/>
    <col min="8972" max="9216" width="9.140625" style="561"/>
    <col min="9217" max="9217" width="22.7109375" style="561" customWidth="1"/>
    <col min="9218" max="9218" width="13" style="561" customWidth="1"/>
    <col min="9219" max="9219" width="12.5703125" style="561" customWidth="1"/>
    <col min="9220" max="9220" width="10.5703125" style="561" customWidth="1"/>
    <col min="9221" max="9222" width="11.140625" style="561" customWidth="1"/>
    <col min="9223" max="9223" width="13" style="561" customWidth="1"/>
    <col min="9224" max="9224" width="12.42578125" style="561" customWidth="1"/>
    <col min="9225" max="9225" width="13.5703125" style="561" customWidth="1"/>
    <col min="9226" max="9226" width="13.140625" style="561" customWidth="1"/>
    <col min="9227" max="9227" width="20" style="561" customWidth="1"/>
    <col min="9228" max="9472" width="9.140625" style="561"/>
    <col min="9473" max="9473" width="22.7109375" style="561" customWidth="1"/>
    <col min="9474" max="9474" width="13" style="561" customWidth="1"/>
    <col min="9475" max="9475" width="12.5703125" style="561" customWidth="1"/>
    <col min="9476" max="9476" width="10.5703125" style="561" customWidth="1"/>
    <col min="9477" max="9478" width="11.140625" style="561" customWidth="1"/>
    <col min="9479" max="9479" width="13" style="561" customWidth="1"/>
    <col min="9480" max="9480" width="12.42578125" style="561" customWidth="1"/>
    <col min="9481" max="9481" width="13.5703125" style="561" customWidth="1"/>
    <col min="9482" max="9482" width="13.140625" style="561" customWidth="1"/>
    <col min="9483" max="9483" width="20" style="561" customWidth="1"/>
    <col min="9484" max="9728" width="9.140625" style="561"/>
    <col min="9729" max="9729" width="22.7109375" style="561" customWidth="1"/>
    <col min="9730" max="9730" width="13" style="561" customWidth="1"/>
    <col min="9731" max="9731" width="12.5703125" style="561" customWidth="1"/>
    <col min="9732" max="9732" width="10.5703125" style="561" customWidth="1"/>
    <col min="9733" max="9734" width="11.140625" style="561" customWidth="1"/>
    <col min="9735" max="9735" width="13" style="561" customWidth="1"/>
    <col min="9736" max="9736" width="12.42578125" style="561" customWidth="1"/>
    <col min="9737" max="9737" width="13.5703125" style="561" customWidth="1"/>
    <col min="9738" max="9738" width="13.140625" style="561" customWidth="1"/>
    <col min="9739" max="9739" width="20" style="561" customWidth="1"/>
    <col min="9740" max="9984" width="9.140625" style="561"/>
    <col min="9985" max="9985" width="22.7109375" style="561" customWidth="1"/>
    <col min="9986" max="9986" width="13" style="561" customWidth="1"/>
    <col min="9987" max="9987" width="12.5703125" style="561" customWidth="1"/>
    <col min="9988" max="9988" width="10.5703125" style="561" customWidth="1"/>
    <col min="9989" max="9990" width="11.140625" style="561" customWidth="1"/>
    <col min="9991" max="9991" width="13" style="561" customWidth="1"/>
    <col min="9992" max="9992" width="12.42578125" style="561" customWidth="1"/>
    <col min="9993" max="9993" width="13.5703125" style="561" customWidth="1"/>
    <col min="9994" max="9994" width="13.140625" style="561" customWidth="1"/>
    <col min="9995" max="9995" width="20" style="561" customWidth="1"/>
    <col min="9996" max="10240" width="9.140625" style="561"/>
    <col min="10241" max="10241" width="22.7109375" style="561" customWidth="1"/>
    <col min="10242" max="10242" width="13" style="561" customWidth="1"/>
    <col min="10243" max="10243" width="12.5703125" style="561" customWidth="1"/>
    <col min="10244" max="10244" width="10.5703125" style="561" customWidth="1"/>
    <col min="10245" max="10246" width="11.140625" style="561" customWidth="1"/>
    <col min="10247" max="10247" width="13" style="561" customWidth="1"/>
    <col min="10248" max="10248" width="12.42578125" style="561" customWidth="1"/>
    <col min="10249" max="10249" width="13.5703125" style="561" customWidth="1"/>
    <col min="10250" max="10250" width="13.140625" style="561" customWidth="1"/>
    <col min="10251" max="10251" width="20" style="561" customWidth="1"/>
    <col min="10252" max="10496" width="9.140625" style="561"/>
    <col min="10497" max="10497" width="22.7109375" style="561" customWidth="1"/>
    <col min="10498" max="10498" width="13" style="561" customWidth="1"/>
    <col min="10499" max="10499" width="12.5703125" style="561" customWidth="1"/>
    <col min="10500" max="10500" width="10.5703125" style="561" customWidth="1"/>
    <col min="10501" max="10502" width="11.140625" style="561" customWidth="1"/>
    <col min="10503" max="10503" width="13" style="561" customWidth="1"/>
    <col min="10504" max="10504" width="12.42578125" style="561" customWidth="1"/>
    <col min="10505" max="10505" width="13.5703125" style="561" customWidth="1"/>
    <col min="10506" max="10506" width="13.140625" style="561" customWidth="1"/>
    <col min="10507" max="10507" width="20" style="561" customWidth="1"/>
    <col min="10508" max="10752" width="9.140625" style="561"/>
    <col min="10753" max="10753" width="22.7109375" style="561" customWidth="1"/>
    <col min="10754" max="10754" width="13" style="561" customWidth="1"/>
    <col min="10755" max="10755" width="12.5703125" style="561" customWidth="1"/>
    <col min="10756" max="10756" width="10.5703125" style="561" customWidth="1"/>
    <col min="10757" max="10758" width="11.140625" style="561" customWidth="1"/>
    <col min="10759" max="10759" width="13" style="561" customWidth="1"/>
    <col min="10760" max="10760" width="12.42578125" style="561" customWidth="1"/>
    <col min="10761" max="10761" width="13.5703125" style="561" customWidth="1"/>
    <col min="10762" max="10762" width="13.140625" style="561" customWidth="1"/>
    <col min="10763" max="10763" width="20" style="561" customWidth="1"/>
    <col min="10764" max="11008" width="9.140625" style="561"/>
    <col min="11009" max="11009" width="22.7109375" style="561" customWidth="1"/>
    <col min="11010" max="11010" width="13" style="561" customWidth="1"/>
    <col min="11011" max="11011" width="12.5703125" style="561" customWidth="1"/>
    <col min="11012" max="11012" width="10.5703125" style="561" customWidth="1"/>
    <col min="11013" max="11014" width="11.140625" style="561" customWidth="1"/>
    <col min="11015" max="11015" width="13" style="561" customWidth="1"/>
    <col min="11016" max="11016" width="12.42578125" style="561" customWidth="1"/>
    <col min="11017" max="11017" width="13.5703125" style="561" customWidth="1"/>
    <col min="11018" max="11018" width="13.140625" style="561" customWidth="1"/>
    <col min="11019" max="11019" width="20" style="561" customWidth="1"/>
    <col min="11020" max="11264" width="9.140625" style="561"/>
    <col min="11265" max="11265" width="22.7109375" style="561" customWidth="1"/>
    <col min="11266" max="11266" width="13" style="561" customWidth="1"/>
    <col min="11267" max="11267" width="12.5703125" style="561" customWidth="1"/>
    <col min="11268" max="11268" width="10.5703125" style="561" customWidth="1"/>
    <col min="11269" max="11270" width="11.140625" style="561" customWidth="1"/>
    <col min="11271" max="11271" width="13" style="561" customWidth="1"/>
    <col min="11272" max="11272" width="12.42578125" style="561" customWidth="1"/>
    <col min="11273" max="11273" width="13.5703125" style="561" customWidth="1"/>
    <col min="11274" max="11274" width="13.140625" style="561" customWidth="1"/>
    <col min="11275" max="11275" width="20" style="561" customWidth="1"/>
    <col min="11276" max="11520" width="9.140625" style="561"/>
    <col min="11521" max="11521" width="22.7109375" style="561" customWidth="1"/>
    <col min="11522" max="11522" width="13" style="561" customWidth="1"/>
    <col min="11523" max="11523" width="12.5703125" style="561" customWidth="1"/>
    <col min="11524" max="11524" width="10.5703125" style="561" customWidth="1"/>
    <col min="11525" max="11526" width="11.140625" style="561" customWidth="1"/>
    <col min="11527" max="11527" width="13" style="561" customWidth="1"/>
    <col min="11528" max="11528" width="12.42578125" style="561" customWidth="1"/>
    <col min="11529" max="11529" width="13.5703125" style="561" customWidth="1"/>
    <col min="11530" max="11530" width="13.140625" style="561" customWidth="1"/>
    <col min="11531" max="11531" width="20" style="561" customWidth="1"/>
    <col min="11532" max="11776" width="9.140625" style="561"/>
    <col min="11777" max="11777" width="22.7109375" style="561" customWidth="1"/>
    <col min="11778" max="11778" width="13" style="561" customWidth="1"/>
    <col min="11779" max="11779" width="12.5703125" style="561" customWidth="1"/>
    <col min="11780" max="11780" width="10.5703125" style="561" customWidth="1"/>
    <col min="11781" max="11782" width="11.140625" style="561" customWidth="1"/>
    <col min="11783" max="11783" width="13" style="561" customWidth="1"/>
    <col min="11784" max="11784" width="12.42578125" style="561" customWidth="1"/>
    <col min="11785" max="11785" width="13.5703125" style="561" customWidth="1"/>
    <col min="11786" max="11786" width="13.140625" style="561" customWidth="1"/>
    <col min="11787" max="11787" width="20" style="561" customWidth="1"/>
    <col min="11788" max="12032" width="9.140625" style="561"/>
    <col min="12033" max="12033" width="22.7109375" style="561" customWidth="1"/>
    <col min="12034" max="12034" width="13" style="561" customWidth="1"/>
    <col min="12035" max="12035" width="12.5703125" style="561" customWidth="1"/>
    <col min="12036" max="12036" width="10.5703125" style="561" customWidth="1"/>
    <col min="12037" max="12038" width="11.140625" style="561" customWidth="1"/>
    <col min="12039" max="12039" width="13" style="561" customWidth="1"/>
    <col min="12040" max="12040" width="12.42578125" style="561" customWidth="1"/>
    <col min="12041" max="12041" width="13.5703125" style="561" customWidth="1"/>
    <col min="12042" max="12042" width="13.140625" style="561" customWidth="1"/>
    <col min="12043" max="12043" width="20" style="561" customWidth="1"/>
    <col min="12044" max="12288" width="9.140625" style="561"/>
    <col min="12289" max="12289" width="22.7109375" style="561" customWidth="1"/>
    <col min="12290" max="12290" width="13" style="561" customWidth="1"/>
    <col min="12291" max="12291" width="12.5703125" style="561" customWidth="1"/>
    <col min="12292" max="12292" width="10.5703125" style="561" customWidth="1"/>
    <col min="12293" max="12294" width="11.140625" style="561" customWidth="1"/>
    <col min="12295" max="12295" width="13" style="561" customWidth="1"/>
    <col min="12296" max="12296" width="12.42578125" style="561" customWidth="1"/>
    <col min="12297" max="12297" width="13.5703125" style="561" customWidth="1"/>
    <col min="12298" max="12298" width="13.140625" style="561" customWidth="1"/>
    <col min="12299" max="12299" width="20" style="561" customWidth="1"/>
    <col min="12300" max="12544" width="9.140625" style="561"/>
    <col min="12545" max="12545" width="22.7109375" style="561" customWidth="1"/>
    <col min="12546" max="12546" width="13" style="561" customWidth="1"/>
    <col min="12547" max="12547" width="12.5703125" style="561" customWidth="1"/>
    <col min="12548" max="12548" width="10.5703125" style="561" customWidth="1"/>
    <col min="12549" max="12550" width="11.140625" style="561" customWidth="1"/>
    <col min="12551" max="12551" width="13" style="561" customWidth="1"/>
    <col min="12552" max="12552" width="12.42578125" style="561" customWidth="1"/>
    <col min="12553" max="12553" width="13.5703125" style="561" customWidth="1"/>
    <col min="12554" max="12554" width="13.140625" style="561" customWidth="1"/>
    <col min="12555" max="12555" width="20" style="561" customWidth="1"/>
    <col min="12556" max="12800" width="9.140625" style="561"/>
    <col min="12801" max="12801" width="22.7109375" style="561" customWidth="1"/>
    <col min="12802" max="12802" width="13" style="561" customWidth="1"/>
    <col min="12803" max="12803" width="12.5703125" style="561" customWidth="1"/>
    <col min="12804" max="12804" width="10.5703125" style="561" customWidth="1"/>
    <col min="12805" max="12806" width="11.140625" style="561" customWidth="1"/>
    <col min="12807" max="12807" width="13" style="561" customWidth="1"/>
    <col min="12808" max="12808" width="12.42578125" style="561" customWidth="1"/>
    <col min="12809" max="12809" width="13.5703125" style="561" customWidth="1"/>
    <col min="12810" max="12810" width="13.140625" style="561" customWidth="1"/>
    <col min="12811" max="12811" width="20" style="561" customWidth="1"/>
    <col min="12812" max="13056" width="9.140625" style="561"/>
    <col min="13057" max="13057" width="22.7109375" style="561" customWidth="1"/>
    <col min="13058" max="13058" width="13" style="561" customWidth="1"/>
    <col min="13059" max="13059" width="12.5703125" style="561" customWidth="1"/>
    <col min="13060" max="13060" width="10.5703125" style="561" customWidth="1"/>
    <col min="13061" max="13062" width="11.140625" style="561" customWidth="1"/>
    <col min="13063" max="13063" width="13" style="561" customWidth="1"/>
    <col min="13064" max="13064" width="12.42578125" style="561" customWidth="1"/>
    <col min="13065" max="13065" width="13.5703125" style="561" customWidth="1"/>
    <col min="13066" max="13066" width="13.140625" style="561" customWidth="1"/>
    <col min="13067" max="13067" width="20" style="561" customWidth="1"/>
    <col min="13068" max="13312" width="9.140625" style="561"/>
    <col min="13313" max="13313" width="22.7109375" style="561" customWidth="1"/>
    <col min="13314" max="13314" width="13" style="561" customWidth="1"/>
    <col min="13315" max="13315" width="12.5703125" style="561" customWidth="1"/>
    <col min="13316" max="13316" width="10.5703125" style="561" customWidth="1"/>
    <col min="13317" max="13318" width="11.140625" style="561" customWidth="1"/>
    <col min="13319" max="13319" width="13" style="561" customWidth="1"/>
    <col min="13320" max="13320" width="12.42578125" style="561" customWidth="1"/>
    <col min="13321" max="13321" width="13.5703125" style="561" customWidth="1"/>
    <col min="13322" max="13322" width="13.140625" style="561" customWidth="1"/>
    <col min="13323" max="13323" width="20" style="561" customWidth="1"/>
    <col min="13324" max="13568" width="9.140625" style="561"/>
    <col min="13569" max="13569" width="22.7109375" style="561" customWidth="1"/>
    <col min="13570" max="13570" width="13" style="561" customWidth="1"/>
    <col min="13571" max="13571" width="12.5703125" style="561" customWidth="1"/>
    <col min="13572" max="13572" width="10.5703125" style="561" customWidth="1"/>
    <col min="13573" max="13574" width="11.140625" style="561" customWidth="1"/>
    <col min="13575" max="13575" width="13" style="561" customWidth="1"/>
    <col min="13576" max="13576" width="12.42578125" style="561" customWidth="1"/>
    <col min="13577" max="13577" width="13.5703125" style="561" customWidth="1"/>
    <col min="13578" max="13578" width="13.140625" style="561" customWidth="1"/>
    <col min="13579" max="13579" width="20" style="561" customWidth="1"/>
    <col min="13580" max="13824" width="9.140625" style="561"/>
    <col min="13825" max="13825" width="22.7109375" style="561" customWidth="1"/>
    <col min="13826" max="13826" width="13" style="561" customWidth="1"/>
    <col min="13827" max="13827" width="12.5703125" style="561" customWidth="1"/>
    <col min="13828" max="13828" width="10.5703125" style="561" customWidth="1"/>
    <col min="13829" max="13830" width="11.140625" style="561" customWidth="1"/>
    <col min="13831" max="13831" width="13" style="561" customWidth="1"/>
    <col min="13832" max="13832" width="12.42578125" style="561" customWidth="1"/>
    <col min="13833" max="13833" width="13.5703125" style="561" customWidth="1"/>
    <col min="13834" max="13834" width="13.140625" style="561" customWidth="1"/>
    <col min="13835" max="13835" width="20" style="561" customWidth="1"/>
    <col min="13836" max="14080" width="9.140625" style="561"/>
    <col min="14081" max="14081" width="22.7109375" style="561" customWidth="1"/>
    <col min="14082" max="14082" width="13" style="561" customWidth="1"/>
    <col min="14083" max="14083" width="12.5703125" style="561" customWidth="1"/>
    <col min="14084" max="14084" width="10.5703125" style="561" customWidth="1"/>
    <col min="14085" max="14086" width="11.140625" style="561" customWidth="1"/>
    <col min="14087" max="14087" width="13" style="561" customWidth="1"/>
    <col min="14088" max="14088" width="12.42578125" style="561" customWidth="1"/>
    <col min="14089" max="14089" width="13.5703125" style="561" customWidth="1"/>
    <col min="14090" max="14090" width="13.140625" style="561" customWidth="1"/>
    <col min="14091" max="14091" width="20" style="561" customWidth="1"/>
    <col min="14092" max="14336" width="9.140625" style="561"/>
    <col min="14337" max="14337" width="22.7109375" style="561" customWidth="1"/>
    <col min="14338" max="14338" width="13" style="561" customWidth="1"/>
    <col min="14339" max="14339" width="12.5703125" style="561" customWidth="1"/>
    <col min="14340" max="14340" width="10.5703125" style="561" customWidth="1"/>
    <col min="14341" max="14342" width="11.140625" style="561" customWidth="1"/>
    <col min="14343" max="14343" width="13" style="561" customWidth="1"/>
    <col min="14344" max="14344" width="12.42578125" style="561" customWidth="1"/>
    <col min="14345" max="14345" width="13.5703125" style="561" customWidth="1"/>
    <col min="14346" max="14346" width="13.140625" style="561" customWidth="1"/>
    <col min="14347" max="14347" width="20" style="561" customWidth="1"/>
    <col min="14348" max="14592" width="9.140625" style="561"/>
    <col min="14593" max="14593" width="22.7109375" style="561" customWidth="1"/>
    <col min="14594" max="14594" width="13" style="561" customWidth="1"/>
    <col min="14595" max="14595" width="12.5703125" style="561" customWidth="1"/>
    <col min="14596" max="14596" width="10.5703125" style="561" customWidth="1"/>
    <col min="14597" max="14598" width="11.140625" style="561" customWidth="1"/>
    <col min="14599" max="14599" width="13" style="561" customWidth="1"/>
    <col min="14600" max="14600" width="12.42578125" style="561" customWidth="1"/>
    <col min="14601" max="14601" width="13.5703125" style="561" customWidth="1"/>
    <col min="14602" max="14602" width="13.140625" style="561" customWidth="1"/>
    <col min="14603" max="14603" width="20" style="561" customWidth="1"/>
    <col min="14604" max="14848" width="9.140625" style="561"/>
    <col min="14849" max="14849" width="22.7109375" style="561" customWidth="1"/>
    <col min="14850" max="14850" width="13" style="561" customWidth="1"/>
    <col min="14851" max="14851" width="12.5703125" style="561" customWidth="1"/>
    <col min="14852" max="14852" width="10.5703125" style="561" customWidth="1"/>
    <col min="14853" max="14854" width="11.140625" style="561" customWidth="1"/>
    <col min="14855" max="14855" width="13" style="561" customWidth="1"/>
    <col min="14856" max="14856" width="12.42578125" style="561" customWidth="1"/>
    <col min="14857" max="14857" width="13.5703125" style="561" customWidth="1"/>
    <col min="14858" max="14858" width="13.140625" style="561" customWidth="1"/>
    <col min="14859" max="14859" width="20" style="561" customWidth="1"/>
    <col min="14860" max="15104" width="9.140625" style="561"/>
    <col min="15105" max="15105" width="22.7109375" style="561" customWidth="1"/>
    <col min="15106" max="15106" width="13" style="561" customWidth="1"/>
    <col min="15107" max="15107" width="12.5703125" style="561" customWidth="1"/>
    <col min="15108" max="15108" width="10.5703125" style="561" customWidth="1"/>
    <col min="15109" max="15110" width="11.140625" style="561" customWidth="1"/>
    <col min="15111" max="15111" width="13" style="561" customWidth="1"/>
    <col min="15112" max="15112" width="12.42578125" style="561" customWidth="1"/>
    <col min="15113" max="15113" width="13.5703125" style="561" customWidth="1"/>
    <col min="15114" max="15114" width="13.140625" style="561" customWidth="1"/>
    <col min="15115" max="15115" width="20" style="561" customWidth="1"/>
    <col min="15116" max="15360" width="9.140625" style="561"/>
    <col min="15361" max="15361" width="22.7109375" style="561" customWidth="1"/>
    <col min="15362" max="15362" width="13" style="561" customWidth="1"/>
    <col min="15363" max="15363" width="12.5703125" style="561" customWidth="1"/>
    <col min="15364" max="15364" width="10.5703125" style="561" customWidth="1"/>
    <col min="15365" max="15366" width="11.140625" style="561" customWidth="1"/>
    <col min="15367" max="15367" width="13" style="561" customWidth="1"/>
    <col min="15368" max="15368" width="12.42578125" style="561" customWidth="1"/>
    <col min="15369" max="15369" width="13.5703125" style="561" customWidth="1"/>
    <col min="15370" max="15370" width="13.140625" style="561" customWidth="1"/>
    <col min="15371" max="15371" width="20" style="561" customWidth="1"/>
    <col min="15372" max="15616" width="9.140625" style="561"/>
    <col min="15617" max="15617" width="22.7109375" style="561" customWidth="1"/>
    <col min="15618" max="15618" width="13" style="561" customWidth="1"/>
    <col min="15619" max="15619" width="12.5703125" style="561" customWidth="1"/>
    <col min="15620" max="15620" width="10.5703125" style="561" customWidth="1"/>
    <col min="15621" max="15622" width="11.140625" style="561" customWidth="1"/>
    <col min="15623" max="15623" width="13" style="561" customWidth="1"/>
    <col min="15624" max="15624" width="12.42578125" style="561" customWidth="1"/>
    <col min="15625" max="15625" width="13.5703125" style="561" customWidth="1"/>
    <col min="15626" max="15626" width="13.140625" style="561" customWidth="1"/>
    <col min="15627" max="15627" width="20" style="561" customWidth="1"/>
    <col min="15628" max="15872" width="9.140625" style="561"/>
    <col min="15873" max="15873" width="22.7109375" style="561" customWidth="1"/>
    <col min="15874" max="15874" width="13" style="561" customWidth="1"/>
    <col min="15875" max="15875" width="12.5703125" style="561" customWidth="1"/>
    <col min="15876" max="15876" width="10.5703125" style="561" customWidth="1"/>
    <col min="15877" max="15878" width="11.140625" style="561" customWidth="1"/>
    <col min="15879" max="15879" width="13" style="561" customWidth="1"/>
    <col min="15880" max="15880" width="12.42578125" style="561" customWidth="1"/>
    <col min="15881" max="15881" width="13.5703125" style="561" customWidth="1"/>
    <col min="15882" max="15882" width="13.140625" style="561" customWidth="1"/>
    <col min="15883" max="15883" width="20" style="561" customWidth="1"/>
    <col min="15884" max="16128" width="9.140625" style="561"/>
    <col min="16129" max="16129" width="22.7109375" style="561" customWidth="1"/>
    <col min="16130" max="16130" width="13" style="561" customWidth="1"/>
    <col min="16131" max="16131" width="12.5703125" style="561" customWidth="1"/>
    <col min="16132" max="16132" width="10.5703125" style="561" customWidth="1"/>
    <col min="16133" max="16134" width="11.140625" style="561" customWidth="1"/>
    <col min="16135" max="16135" width="13" style="561" customWidth="1"/>
    <col min="16136" max="16136" width="12.42578125" style="561" customWidth="1"/>
    <col min="16137" max="16137" width="13.5703125" style="561" customWidth="1"/>
    <col min="16138" max="16138" width="13.140625" style="561" customWidth="1"/>
    <col min="16139" max="16139" width="20" style="561" customWidth="1"/>
    <col min="16140" max="16384" width="9.140625" style="561"/>
  </cols>
  <sheetData>
    <row r="1" spans="1:11" ht="33" customHeight="1">
      <c r="A1" s="1875" t="s">
        <v>2114</v>
      </c>
      <c r="B1" s="1876"/>
      <c r="C1" s="1876"/>
      <c r="D1" s="1876"/>
      <c r="E1" s="1876"/>
      <c r="F1" s="1876"/>
      <c r="G1" s="1876"/>
      <c r="H1" s="1876"/>
      <c r="I1" s="1876"/>
      <c r="J1" s="1876"/>
      <c r="K1" s="1876"/>
    </row>
    <row r="2" spans="1:11" ht="12.75" customHeight="1">
      <c r="A2" s="1877"/>
      <c r="B2" s="1877"/>
      <c r="C2" s="1877"/>
      <c r="D2" s="1877"/>
      <c r="E2" s="1877"/>
      <c r="F2" s="1877"/>
      <c r="G2" s="1877"/>
      <c r="H2" s="1877"/>
      <c r="I2" s="1877"/>
      <c r="J2" s="1877"/>
      <c r="K2" s="1877"/>
    </row>
    <row r="3" spans="1:11" ht="25.5" customHeight="1">
      <c r="A3" s="1815" t="s">
        <v>2134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</row>
    <row r="4" spans="1:11" ht="12.75" customHeight="1">
      <c r="A4" s="1877"/>
      <c r="B4" s="1877"/>
      <c r="C4" s="1877"/>
      <c r="D4" s="1877"/>
      <c r="E4" s="1877"/>
      <c r="F4" s="1877"/>
      <c r="G4" s="1877"/>
      <c r="H4" s="1877"/>
      <c r="I4" s="1877"/>
      <c r="J4" s="1877"/>
      <c r="K4" s="1877"/>
    </row>
    <row r="5" spans="1:11" s="660" customFormat="1" ht="11.25">
      <c r="A5" s="1716" t="s">
        <v>2116</v>
      </c>
      <c r="B5" s="1716"/>
      <c r="C5" s="1716"/>
      <c r="D5" s="1716"/>
      <c r="E5" s="1716"/>
      <c r="F5" s="1716"/>
      <c r="G5" s="1716"/>
      <c r="H5" s="1716"/>
      <c r="I5" s="1716"/>
      <c r="J5" s="1716"/>
      <c r="K5" s="1716"/>
    </row>
    <row r="6" spans="1:11" ht="12.75" customHeight="1">
      <c r="A6" s="1695" t="s">
        <v>846</v>
      </c>
      <c r="B6" s="1698" t="s">
        <v>2063</v>
      </c>
      <c r="C6" s="1699" t="s">
        <v>2117</v>
      </c>
      <c r="D6" s="1700"/>
      <c r="E6" s="1700"/>
      <c r="F6" s="1700"/>
      <c r="G6" s="1700"/>
      <c r="H6" s="1700"/>
      <c r="I6" s="1700"/>
      <c r="J6" s="1701"/>
      <c r="K6" s="1705"/>
    </row>
    <row r="7" spans="1:11" ht="12.75" customHeight="1">
      <c r="A7" s="1696"/>
      <c r="B7" s="1698"/>
      <c r="C7" s="1708" t="s">
        <v>2065</v>
      </c>
      <c r="D7" s="1699" t="s">
        <v>2066</v>
      </c>
      <c r="E7" s="1700"/>
      <c r="F7" s="1700"/>
      <c r="G7" s="1700"/>
      <c r="H7" s="1701"/>
      <c r="I7" s="1710" t="s">
        <v>2067</v>
      </c>
      <c r="J7" s="1708" t="s">
        <v>2068</v>
      </c>
      <c r="K7" s="1706"/>
    </row>
    <row r="8" spans="1:11" ht="54" customHeight="1">
      <c r="A8" s="1696"/>
      <c r="B8" s="1698"/>
      <c r="C8" s="1709"/>
      <c r="D8" s="661" t="s">
        <v>2069</v>
      </c>
      <c r="E8" s="661" t="s">
        <v>2070</v>
      </c>
      <c r="F8" s="661" t="s">
        <v>2071</v>
      </c>
      <c r="G8" s="661" t="s">
        <v>2072</v>
      </c>
      <c r="H8" s="661" t="s">
        <v>2073</v>
      </c>
      <c r="I8" s="1710"/>
      <c r="J8" s="1709"/>
      <c r="K8" s="1706"/>
    </row>
    <row r="9" spans="1:11" ht="12.75" customHeight="1">
      <c r="A9" s="1696"/>
      <c r="B9" s="1702" t="s">
        <v>2074</v>
      </c>
      <c r="C9" s="1711" t="s">
        <v>2075</v>
      </c>
      <c r="D9" s="1712"/>
      <c r="E9" s="1712"/>
      <c r="F9" s="1712"/>
      <c r="G9" s="1712"/>
      <c r="H9" s="1712"/>
      <c r="I9" s="1712"/>
      <c r="J9" s="1713"/>
      <c r="K9" s="1706"/>
    </row>
    <row r="10" spans="1:11" ht="12.75" customHeight="1">
      <c r="A10" s="1696"/>
      <c r="B10" s="1703"/>
      <c r="C10" s="1714" t="s">
        <v>2076</v>
      </c>
      <c r="D10" s="1710" t="s">
        <v>2077</v>
      </c>
      <c r="E10" s="1710"/>
      <c r="F10" s="1710"/>
      <c r="G10" s="1710"/>
      <c r="H10" s="1710"/>
      <c r="I10" s="1710" t="s">
        <v>2078</v>
      </c>
      <c r="J10" s="1708" t="s">
        <v>2118</v>
      </c>
      <c r="K10" s="1706"/>
    </row>
    <row r="11" spans="1:11" ht="63" customHeight="1">
      <c r="A11" s="1697"/>
      <c r="B11" s="1704"/>
      <c r="C11" s="1715"/>
      <c r="D11" s="661" t="s">
        <v>2080</v>
      </c>
      <c r="E11" s="661" t="s">
        <v>2119</v>
      </c>
      <c r="F11" s="661" t="s">
        <v>2082</v>
      </c>
      <c r="G11" s="661" t="s">
        <v>2120</v>
      </c>
      <c r="H11" s="661" t="s">
        <v>2084</v>
      </c>
      <c r="I11" s="1710"/>
      <c r="J11" s="1709"/>
      <c r="K11" s="1707"/>
    </row>
    <row r="12" spans="1:11" s="666" customFormat="1" ht="24">
      <c r="A12" s="663" t="s">
        <v>2121</v>
      </c>
      <c r="B12" s="686">
        <v>6172175.5</v>
      </c>
      <c r="C12" s="664">
        <v>6139565.5</v>
      </c>
      <c r="D12" s="686">
        <v>1886898.3</v>
      </c>
      <c r="E12" s="664">
        <v>2706586.3</v>
      </c>
      <c r="F12" s="664">
        <v>898824.9</v>
      </c>
      <c r="G12" s="686">
        <v>143249.4</v>
      </c>
      <c r="H12" s="664">
        <v>504006.6</v>
      </c>
      <c r="I12" s="686">
        <v>25683</v>
      </c>
      <c r="J12" s="664">
        <v>6927</v>
      </c>
      <c r="K12" s="665" t="s">
        <v>2122</v>
      </c>
    </row>
    <row r="13" spans="1:11" ht="36">
      <c r="A13" s="667" t="s">
        <v>2123</v>
      </c>
      <c r="B13" s="687">
        <v>4691643.5999999996</v>
      </c>
      <c r="C13" s="668">
        <v>4686706.5999999996</v>
      </c>
      <c r="D13" s="687">
        <v>1470706.6</v>
      </c>
      <c r="E13" s="668">
        <v>2597911.1</v>
      </c>
      <c r="F13" s="668">
        <v>143521.1</v>
      </c>
      <c r="G13" s="687">
        <v>40620.800000000003</v>
      </c>
      <c r="H13" s="668">
        <v>433947</v>
      </c>
      <c r="I13" s="687">
        <v>750</v>
      </c>
      <c r="J13" s="668">
        <v>4187</v>
      </c>
      <c r="K13" s="669" t="s">
        <v>2124</v>
      </c>
    </row>
    <row r="14" spans="1:11" ht="24">
      <c r="A14" s="670" t="s">
        <v>2089</v>
      </c>
      <c r="B14" s="687">
        <v>3107813.2</v>
      </c>
      <c r="C14" s="668">
        <v>3107813.2</v>
      </c>
      <c r="D14" s="687">
        <v>593635.19999999995</v>
      </c>
      <c r="E14" s="668">
        <v>2500236</v>
      </c>
      <c r="F14" s="672" t="s">
        <v>8</v>
      </c>
      <c r="G14" s="689" t="s">
        <v>8</v>
      </c>
      <c r="H14" s="668">
        <v>13942</v>
      </c>
      <c r="I14" s="689" t="s">
        <v>8</v>
      </c>
      <c r="J14" s="672" t="s">
        <v>8</v>
      </c>
      <c r="K14" s="667" t="s">
        <v>2090</v>
      </c>
    </row>
    <row r="15" spans="1:11" ht="24">
      <c r="A15" s="670" t="s">
        <v>2093</v>
      </c>
      <c r="B15" s="687">
        <v>243770.4</v>
      </c>
      <c r="C15" s="668">
        <v>243770.4</v>
      </c>
      <c r="D15" s="687">
        <v>217604.4</v>
      </c>
      <c r="E15" s="668">
        <v>4116</v>
      </c>
      <c r="F15" s="668">
        <v>18837</v>
      </c>
      <c r="G15" s="687">
        <v>2211</v>
      </c>
      <c r="H15" s="668">
        <v>1002</v>
      </c>
      <c r="I15" s="689" t="s">
        <v>8</v>
      </c>
      <c r="J15" s="672" t="s">
        <v>8</v>
      </c>
      <c r="K15" s="670" t="s">
        <v>2094</v>
      </c>
    </row>
    <row r="16" spans="1:11">
      <c r="A16" s="670" t="s">
        <v>2125</v>
      </c>
      <c r="B16" s="687">
        <v>591684.6</v>
      </c>
      <c r="C16" s="668">
        <v>587497.6</v>
      </c>
      <c r="D16" s="687">
        <v>343902.7</v>
      </c>
      <c r="E16" s="668">
        <v>91234</v>
      </c>
      <c r="F16" s="668">
        <v>61290.1</v>
      </c>
      <c r="G16" s="687">
        <v>17913.8</v>
      </c>
      <c r="H16" s="668">
        <v>73157</v>
      </c>
      <c r="I16" s="689" t="s">
        <v>8</v>
      </c>
      <c r="J16" s="668">
        <v>4187</v>
      </c>
      <c r="K16" s="670" t="s">
        <v>2126</v>
      </c>
    </row>
    <row r="17" spans="1:13" ht="24">
      <c r="A17" s="670" t="s">
        <v>2127</v>
      </c>
      <c r="B17" s="687">
        <v>402529.4</v>
      </c>
      <c r="C17" s="668">
        <v>401779.4</v>
      </c>
      <c r="D17" s="687">
        <v>315564.3</v>
      </c>
      <c r="E17" s="668">
        <v>2325.1</v>
      </c>
      <c r="F17" s="668">
        <v>63394</v>
      </c>
      <c r="G17" s="687">
        <v>20496</v>
      </c>
      <c r="H17" s="672" t="s">
        <v>8</v>
      </c>
      <c r="I17" s="687">
        <v>750</v>
      </c>
      <c r="J17" s="672" t="s">
        <v>8</v>
      </c>
      <c r="K17" s="670" t="s">
        <v>2128</v>
      </c>
    </row>
    <row r="18" spans="1:13">
      <c r="A18" s="670" t="s">
        <v>2129</v>
      </c>
      <c r="B18" s="687">
        <v>345846</v>
      </c>
      <c r="C18" s="668">
        <v>345846</v>
      </c>
      <c r="D18" s="689" t="s">
        <v>8</v>
      </c>
      <c r="E18" s="672" t="s">
        <v>8</v>
      </c>
      <c r="F18" s="672" t="s">
        <v>8</v>
      </c>
      <c r="G18" s="689" t="s">
        <v>8</v>
      </c>
      <c r="H18" s="668">
        <v>345846</v>
      </c>
      <c r="I18" s="689" t="s">
        <v>8</v>
      </c>
      <c r="J18" s="672" t="s">
        <v>8</v>
      </c>
      <c r="K18" s="670" t="s">
        <v>2130</v>
      </c>
    </row>
    <row r="19" spans="1:13" ht="24">
      <c r="A19" s="673" t="s">
        <v>2131</v>
      </c>
      <c r="B19" s="690">
        <v>1480531.9</v>
      </c>
      <c r="C19" s="674">
        <v>1452858.9</v>
      </c>
      <c r="D19" s="690">
        <v>416191.7</v>
      </c>
      <c r="E19" s="674">
        <v>108675.2</v>
      </c>
      <c r="F19" s="674">
        <v>755303.8</v>
      </c>
      <c r="G19" s="690">
        <v>102628.6</v>
      </c>
      <c r="H19" s="674">
        <v>70059.600000000006</v>
      </c>
      <c r="I19" s="690">
        <v>24933</v>
      </c>
      <c r="J19" s="674">
        <v>2740</v>
      </c>
      <c r="K19" s="679" t="s">
        <v>2132</v>
      </c>
    </row>
    <row r="22" spans="1:13">
      <c r="C22" s="649">
        <f>C19+'Соцфин 3.4'!C18</f>
        <v>1964359.7999999998</v>
      </c>
      <c r="M22" s="868">
        <f>D19+'Соцфин 2.4'!C20+'Соцфин 2.4'!C22+'Соцфин 2.4'!C23+'Соцфин 3.4'!D18+'Соцфин 2.5'!D21+'Соцфин 2.5'!D24</f>
        <v>10522786</v>
      </c>
    </row>
  </sheetData>
  <mergeCells count="19">
    <mergeCell ref="A6:A11"/>
    <mergeCell ref="B6:B8"/>
    <mergeCell ref="C6:J6"/>
    <mergeCell ref="K6:K11"/>
    <mergeCell ref="C7:C8"/>
    <mergeCell ref="D7:H7"/>
    <mergeCell ref="I7:I8"/>
    <mergeCell ref="J7:J8"/>
    <mergeCell ref="B9:B11"/>
    <mergeCell ref="C9:J9"/>
    <mergeCell ref="C10:C11"/>
    <mergeCell ref="D10:H10"/>
    <mergeCell ref="I10:I11"/>
    <mergeCell ref="J10:J11"/>
    <mergeCell ref="A1:K1"/>
    <mergeCell ref="A2:K2"/>
    <mergeCell ref="A3:K3"/>
    <mergeCell ref="A4:K4"/>
    <mergeCell ref="A5:K5"/>
  </mergeCells>
  <printOptions horizontalCentered="1"/>
  <pageMargins left="0.51181102362204722" right="0.51181102362204722" top="0.78740157480314965" bottom="0.78740157480314965" header="0.59055118110236227" footer="0.59055118110236227"/>
  <pageSetup paperSize="9" scale="90" firstPageNumber="31" orientation="landscape" useFirstPageNumber="1" r:id="rId1"/>
  <headerFooter alignWithMargins="0">
    <oddFooter>&amp;R&amp;P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M18"/>
  <sheetViews>
    <sheetView topLeftCell="A7" workbookViewId="0">
      <selection activeCell="K37" sqref="K37"/>
    </sheetView>
  </sheetViews>
  <sheetFormatPr defaultRowHeight="12.75"/>
  <cols>
    <col min="1" max="1" width="21.42578125" style="676" customWidth="1"/>
    <col min="2" max="2" width="13.7109375" style="561" customWidth="1"/>
    <col min="3" max="3" width="12.5703125" style="561" customWidth="1"/>
    <col min="4" max="4" width="19.7109375" style="561" customWidth="1"/>
    <col min="5" max="6" width="11.140625" style="561" customWidth="1"/>
    <col min="7" max="7" width="13" style="561" customWidth="1"/>
    <col min="8" max="8" width="12.42578125" style="561" customWidth="1"/>
    <col min="9" max="9" width="13.5703125" style="561" customWidth="1"/>
    <col min="10" max="10" width="13.140625" style="561" customWidth="1"/>
    <col min="11" max="11" width="20" style="561" customWidth="1"/>
    <col min="12" max="12" width="9.140625" style="561"/>
    <col min="13" max="13" width="12.85546875" style="561" bestFit="1" customWidth="1"/>
    <col min="14" max="256" width="9.140625" style="561"/>
    <col min="257" max="257" width="21.42578125" style="561" customWidth="1"/>
    <col min="258" max="258" width="13.7109375" style="561" customWidth="1"/>
    <col min="259" max="259" width="12.5703125" style="561" customWidth="1"/>
    <col min="260" max="260" width="11.28515625" style="561" customWidth="1"/>
    <col min="261" max="262" width="11.140625" style="561" customWidth="1"/>
    <col min="263" max="263" width="13" style="561" customWidth="1"/>
    <col min="264" max="264" width="12.42578125" style="561" customWidth="1"/>
    <col min="265" max="265" width="13.5703125" style="561" customWidth="1"/>
    <col min="266" max="266" width="13.140625" style="561" customWidth="1"/>
    <col min="267" max="267" width="20" style="561" customWidth="1"/>
    <col min="268" max="268" width="9.140625" style="561"/>
    <col min="269" max="269" width="12.85546875" style="561" bestFit="1" customWidth="1"/>
    <col min="270" max="512" width="9.140625" style="561"/>
    <col min="513" max="513" width="21.42578125" style="561" customWidth="1"/>
    <col min="514" max="514" width="13.7109375" style="561" customWidth="1"/>
    <col min="515" max="515" width="12.5703125" style="561" customWidth="1"/>
    <col min="516" max="516" width="11.28515625" style="561" customWidth="1"/>
    <col min="517" max="518" width="11.140625" style="561" customWidth="1"/>
    <col min="519" max="519" width="13" style="561" customWidth="1"/>
    <col min="520" max="520" width="12.42578125" style="561" customWidth="1"/>
    <col min="521" max="521" width="13.5703125" style="561" customWidth="1"/>
    <col min="522" max="522" width="13.140625" style="561" customWidth="1"/>
    <col min="523" max="523" width="20" style="561" customWidth="1"/>
    <col min="524" max="524" width="9.140625" style="561"/>
    <col min="525" max="525" width="12.85546875" style="561" bestFit="1" customWidth="1"/>
    <col min="526" max="768" width="9.140625" style="561"/>
    <col min="769" max="769" width="21.42578125" style="561" customWidth="1"/>
    <col min="770" max="770" width="13.7109375" style="561" customWidth="1"/>
    <col min="771" max="771" width="12.5703125" style="561" customWidth="1"/>
    <col min="772" max="772" width="11.28515625" style="561" customWidth="1"/>
    <col min="773" max="774" width="11.140625" style="561" customWidth="1"/>
    <col min="775" max="775" width="13" style="561" customWidth="1"/>
    <col min="776" max="776" width="12.42578125" style="561" customWidth="1"/>
    <col min="777" max="777" width="13.5703125" style="561" customWidth="1"/>
    <col min="778" max="778" width="13.140625" style="561" customWidth="1"/>
    <col min="779" max="779" width="20" style="561" customWidth="1"/>
    <col min="780" max="780" width="9.140625" style="561"/>
    <col min="781" max="781" width="12.85546875" style="561" bestFit="1" customWidth="1"/>
    <col min="782" max="1024" width="9.140625" style="561"/>
    <col min="1025" max="1025" width="21.42578125" style="561" customWidth="1"/>
    <col min="1026" max="1026" width="13.7109375" style="561" customWidth="1"/>
    <col min="1027" max="1027" width="12.5703125" style="561" customWidth="1"/>
    <col min="1028" max="1028" width="11.28515625" style="561" customWidth="1"/>
    <col min="1029" max="1030" width="11.140625" style="561" customWidth="1"/>
    <col min="1031" max="1031" width="13" style="561" customWidth="1"/>
    <col min="1032" max="1032" width="12.42578125" style="561" customWidth="1"/>
    <col min="1033" max="1033" width="13.5703125" style="561" customWidth="1"/>
    <col min="1034" max="1034" width="13.140625" style="561" customWidth="1"/>
    <col min="1035" max="1035" width="20" style="561" customWidth="1"/>
    <col min="1036" max="1036" width="9.140625" style="561"/>
    <col min="1037" max="1037" width="12.85546875" style="561" bestFit="1" customWidth="1"/>
    <col min="1038" max="1280" width="9.140625" style="561"/>
    <col min="1281" max="1281" width="21.42578125" style="561" customWidth="1"/>
    <col min="1282" max="1282" width="13.7109375" style="561" customWidth="1"/>
    <col min="1283" max="1283" width="12.5703125" style="561" customWidth="1"/>
    <col min="1284" max="1284" width="11.28515625" style="561" customWidth="1"/>
    <col min="1285" max="1286" width="11.140625" style="561" customWidth="1"/>
    <col min="1287" max="1287" width="13" style="561" customWidth="1"/>
    <col min="1288" max="1288" width="12.42578125" style="561" customWidth="1"/>
    <col min="1289" max="1289" width="13.5703125" style="561" customWidth="1"/>
    <col min="1290" max="1290" width="13.140625" style="561" customWidth="1"/>
    <col min="1291" max="1291" width="20" style="561" customWidth="1"/>
    <col min="1292" max="1292" width="9.140625" style="561"/>
    <col min="1293" max="1293" width="12.85546875" style="561" bestFit="1" customWidth="1"/>
    <col min="1294" max="1536" width="9.140625" style="561"/>
    <col min="1537" max="1537" width="21.42578125" style="561" customWidth="1"/>
    <col min="1538" max="1538" width="13.7109375" style="561" customWidth="1"/>
    <col min="1539" max="1539" width="12.5703125" style="561" customWidth="1"/>
    <col min="1540" max="1540" width="11.28515625" style="561" customWidth="1"/>
    <col min="1541" max="1542" width="11.140625" style="561" customWidth="1"/>
    <col min="1543" max="1543" width="13" style="561" customWidth="1"/>
    <col min="1544" max="1544" width="12.42578125" style="561" customWidth="1"/>
    <col min="1545" max="1545" width="13.5703125" style="561" customWidth="1"/>
    <col min="1546" max="1546" width="13.140625" style="561" customWidth="1"/>
    <col min="1547" max="1547" width="20" style="561" customWidth="1"/>
    <col min="1548" max="1548" width="9.140625" style="561"/>
    <col min="1549" max="1549" width="12.85546875" style="561" bestFit="1" customWidth="1"/>
    <col min="1550" max="1792" width="9.140625" style="561"/>
    <col min="1793" max="1793" width="21.42578125" style="561" customWidth="1"/>
    <col min="1794" max="1794" width="13.7109375" style="561" customWidth="1"/>
    <col min="1795" max="1795" width="12.5703125" style="561" customWidth="1"/>
    <col min="1796" max="1796" width="11.28515625" style="561" customWidth="1"/>
    <col min="1797" max="1798" width="11.140625" style="561" customWidth="1"/>
    <col min="1799" max="1799" width="13" style="561" customWidth="1"/>
    <col min="1800" max="1800" width="12.42578125" style="561" customWidth="1"/>
    <col min="1801" max="1801" width="13.5703125" style="561" customWidth="1"/>
    <col min="1802" max="1802" width="13.140625" style="561" customWidth="1"/>
    <col min="1803" max="1803" width="20" style="561" customWidth="1"/>
    <col min="1804" max="1804" width="9.140625" style="561"/>
    <col min="1805" max="1805" width="12.85546875" style="561" bestFit="1" customWidth="1"/>
    <col min="1806" max="2048" width="9.140625" style="561"/>
    <col min="2049" max="2049" width="21.42578125" style="561" customWidth="1"/>
    <col min="2050" max="2050" width="13.7109375" style="561" customWidth="1"/>
    <col min="2051" max="2051" width="12.5703125" style="561" customWidth="1"/>
    <col min="2052" max="2052" width="11.28515625" style="561" customWidth="1"/>
    <col min="2053" max="2054" width="11.140625" style="561" customWidth="1"/>
    <col min="2055" max="2055" width="13" style="561" customWidth="1"/>
    <col min="2056" max="2056" width="12.42578125" style="561" customWidth="1"/>
    <col min="2057" max="2057" width="13.5703125" style="561" customWidth="1"/>
    <col min="2058" max="2058" width="13.140625" style="561" customWidth="1"/>
    <col min="2059" max="2059" width="20" style="561" customWidth="1"/>
    <col min="2060" max="2060" width="9.140625" style="561"/>
    <col min="2061" max="2061" width="12.85546875" style="561" bestFit="1" customWidth="1"/>
    <col min="2062" max="2304" width="9.140625" style="561"/>
    <col min="2305" max="2305" width="21.42578125" style="561" customWidth="1"/>
    <col min="2306" max="2306" width="13.7109375" style="561" customWidth="1"/>
    <col min="2307" max="2307" width="12.5703125" style="561" customWidth="1"/>
    <col min="2308" max="2308" width="11.28515625" style="561" customWidth="1"/>
    <col min="2309" max="2310" width="11.140625" style="561" customWidth="1"/>
    <col min="2311" max="2311" width="13" style="561" customWidth="1"/>
    <col min="2312" max="2312" width="12.42578125" style="561" customWidth="1"/>
    <col min="2313" max="2313" width="13.5703125" style="561" customWidth="1"/>
    <col min="2314" max="2314" width="13.140625" style="561" customWidth="1"/>
    <col min="2315" max="2315" width="20" style="561" customWidth="1"/>
    <col min="2316" max="2316" width="9.140625" style="561"/>
    <col min="2317" max="2317" width="12.85546875" style="561" bestFit="1" customWidth="1"/>
    <col min="2318" max="2560" width="9.140625" style="561"/>
    <col min="2561" max="2561" width="21.42578125" style="561" customWidth="1"/>
    <col min="2562" max="2562" width="13.7109375" style="561" customWidth="1"/>
    <col min="2563" max="2563" width="12.5703125" style="561" customWidth="1"/>
    <col min="2564" max="2564" width="11.28515625" style="561" customWidth="1"/>
    <col min="2565" max="2566" width="11.140625" style="561" customWidth="1"/>
    <col min="2567" max="2567" width="13" style="561" customWidth="1"/>
    <col min="2568" max="2568" width="12.42578125" style="561" customWidth="1"/>
    <col min="2569" max="2569" width="13.5703125" style="561" customWidth="1"/>
    <col min="2570" max="2570" width="13.140625" style="561" customWidth="1"/>
    <col min="2571" max="2571" width="20" style="561" customWidth="1"/>
    <col min="2572" max="2572" width="9.140625" style="561"/>
    <col min="2573" max="2573" width="12.85546875" style="561" bestFit="1" customWidth="1"/>
    <col min="2574" max="2816" width="9.140625" style="561"/>
    <col min="2817" max="2817" width="21.42578125" style="561" customWidth="1"/>
    <col min="2818" max="2818" width="13.7109375" style="561" customWidth="1"/>
    <col min="2819" max="2819" width="12.5703125" style="561" customWidth="1"/>
    <col min="2820" max="2820" width="11.28515625" style="561" customWidth="1"/>
    <col min="2821" max="2822" width="11.140625" style="561" customWidth="1"/>
    <col min="2823" max="2823" width="13" style="561" customWidth="1"/>
    <col min="2824" max="2824" width="12.42578125" style="561" customWidth="1"/>
    <col min="2825" max="2825" width="13.5703125" style="561" customWidth="1"/>
    <col min="2826" max="2826" width="13.140625" style="561" customWidth="1"/>
    <col min="2827" max="2827" width="20" style="561" customWidth="1"/>
    <col min="2828" max="2828" width="9.140625" style="561"/>
    <col min="2829" max="2829" width="12.85546875" style="561" bestFit="1" customWidth="1"/>
    <col min="2830" max="3072" width="9.140625" style="561"/>
    <col min="3073" max="3073" width="21.42578125" style="561" customWidth="1"/>
    <col min="3074" max="3074" width="13.7109375" style="561" customWidth="1"/>
    <col min="3075" max="3075" width="12.5703125" style="561" customWidth="1"/>
    <col min="3076" max="3076" width="11.28515625" style="561" customWidth="1"/>
    <col min="3077" max="3078" width="11.140625" style="561" customWidth="1"/>
    <col min="3079" max="3079" width="13" style="561" customWidth="1"/>
    <col min="3080" max="3080" width="12.42578125" style="561" customWidth="1"/>
    <col min="3081" max="3081" width="13.5703125" style="561" customWidth="1"/>
    <col min="3082" max="3082" width="13.140625" style="561" customWidth="1"/>
    <col min="3083" max="3083" width="20" style="561" customWidth="1"/>
    <col min="3084" max="3084" width="9.140625" style="561"/>
    <col min="3085" max="3085" width="12.85546875" style="561" bestFit="1" customWidth="1"/>
    <col min="3086" max="3328" width="9.140625" style="561"/>
    <col min="3329" max="3329" width="21.42578125" style="561" customWidth="1"/>
    <col min="3330" max="3330" width="13.7109375" style="561" customWidth="1"/>
    <col min="3331" max="3331" width="12.5703125" style="561" customWidth="1"/>
    <col min="3332" max="3332" width="11.28515625" style="561" customWidth="1"/>
    <col min="3333" max="3334" width="11.140625" style="561" customWidth="1"/>
    <col min="3335" max="3335" width="13" style="561" customWidth="1"/>
    <col min="3336" max="3336" width="12.42578125" style="561" customWidth="1"/>
    <col min="3337" max="3337" width="13.5703125" style="561" customWidth="1"/>
    <col min="3338" max="3338" width="13.140625" style="561" customWidth="1"/>
    <col min="3339" max="3339" width="20" style="561" customWidth="1"/>
    <col min="3340" max="3340" width="9.140625" style="561"/>
    <col min="3341" max="3341" width="12.85546875" style="561" bestFit="1" customWidth="1"/>
    <col min="3342" max="3584" width="9.140625" style="561"/>
    <col min="3585" max="3585" width="21.42578125" style="561" customWidth="1"/>
    <col min="3586" max="3586" width="13.7109375" style="561" customWidth="1"/>
    <col min="3587" max="3587" width="12.5703125" style="561" customWidth="1"/>
    <col min="3588" max="3588" width="11.28515625" style="561" customWidth="1"/>
    <col min="3589" max="3590" width="11.140625" style="561" customWidth="1"/>
    <col min="3591" max="3591" width="13" style="561" customWidth="1"/>
    <col min="3592" max="3592" width="12.42578125" style="561" customWidth="1"/>
    <col min="3593" max="3593" width="13.5703125" style="561" customWidth="1"/>
    <col min="3594" max="3594" width="13.140625" style="561" customWidth="1"/>
    <col min="3595" max="3595" width="20" style="561" customWidth="1"/>
    <col min="3596" max="3596" width="9.140625" style="561"/>
    <col min="3597" max="3597" width="12.85546875" style="561" bestFit="1" customWidth="1"/>
    <col min="3598" max="3840" width="9.140625" style="561"/>
    <col min="3841" max="3841" width="21.42578125" style="561" customWidth="1"/>
    <col min="3842" max="3842" width="13.7109375" style="561" customWidth="1"/>
    <col min="3843" max="3843" width="12.5703125" style="561" customWidth="1"/>
    <col min="3844" max="3844" width="11.28515625" style="561" customWidth="1"/>
    <col min="3845" max="3846" width="11.140625" style="561" customWidth="1"/>
    <col min="3847" max="3847" width="13" style="561" customWidth="1"/>
    <col min="3848" max="3848" width="12.42578125" style="561" customWidth="1"/>
    <col min="3849" max="3849" width="13.5703125" style="561" customWidth="1"/>
    <col min="3850" max="3850" width="13.140625" style="561" customWidth="1"/>
    <col min="3851" max="3851" width="20" style="561" customWidth="1"/>
    <col min="3852" max="3852" width="9.140625" style="561"/>
    <col min="3853" max="3853" width="12.85546875" style="561" bestFit="1" customWidth="1"/>
    <col min="3854" max="4096" width="9.140625" style="561"/>
    <col min="4097" max="4097" width="21.42578125" style="561" customWidth="1"/>
    <col min="4098" max="4098" width="13.7109375" style="561" customWidth="1"/>
    <col min="4099" max="4099" width="12.5703125" style="561" customWidth="1"/>
    <col min="4100" max="4100" width="11.28515625" style="561" customWidth="1"/>
    <col min="4101" max="4102" width="11.140625" style="561" customWidth="1"/>
    <col min="4103" max="4103" width="13" style="561" customWidth="1"/>
    <col min="4104" max="4104" width="12.42578125" style="561" customWidth="1"/>
    <col min="4105" max="4105" width="13.5703125" style="561" customWidth="1"/>
    <col min="4106" max="4106" width="13.140625" style="561" customWidth="1"/>
    <col min="4107" max="4107" width="20" style="561" customWidth="1"/>
    <col min="4108" max="4108" width="9.140625" style="561"/>
    <col min="4109" max="4109" width="12.85546875" style="561" bestFit="1" customWidth="1"/>
    <col min="4110" max="4352" width="9.140625" style="561"/>
    <col min="4353" max="4353" width="21.42578125" style="561" customWidth="1"/>
    <col min="4354" max="4354" width="13.7109375" style="561" customWidth="1"/>
    <col min="4355" max="4355" width="12.5703125" style="561" customWidth="1"/>
    <col min="4356" max="4356" width="11.28515625" style="561" customWidth="1"/>
    <col min="4357" max="4358" width="11.140625" style="561" customWidth="1"/>
    <col min="4359" max="4359" width="13" style="561" customWidth="1"/>
    <col min="4360" max="4360" width="12.42578125" style="561" customWidth="1"/>
    <col min="4361" max="4361" width="13.5703125" style="561" customWidth="1"/>
    <col min="4362" max="4362" width="13.140625" style="561" customWidth="1"/>
    <col min="4363" max="4363" width="20" style="561" customWidth="1"/>
    <col min="4364" max="4364" width="9.140625" style="561"/>
    <col min="4365" max="4365" width="12.85546875" style="561" bestFit="1" customWidth="1"/>
    <col min="4366" max="4608" width="9.140625" style="561"/>
    <col min="4609" max="4609" width="21.42578125" style="561" customWidth="1"/>
    <col min="4610" max="4610" width="13.7109375" style="561" customWidth="1"/>
    <col min="4611" max="4611" width="12.5703125" style="561" customWidth="1"/>
    <col min="4612" max="4612" width="11.28515625" style="561" customWidth="1"/>
    <col min="4613" max="4614" width="11.140625" style="561" customWidth="1"/>
    <col min="4615" max="4615" width="13" style="561" customWidth="1"/>
    <col min="4616" max="4616" width="12.42578125" style="561" customWidth="1"/>
    <col min="4617" max="4617" width="13.5703125" style="561" customWidth="1"/>
    <col min="4618" max="4618" width="13.140625" style="561" customWidth="1"/>
    <col min="4619" max="4619" width="20" style="561" customWidth="1"/>
    <col min="4620" max="4620" width="9.140625" style="561"/>
    <col min="4621" max="4621" width="12.85546875" style="561" bestFit="1" customWidth="1"/>
    <col min="4622" max="4864" width="9.140625" style="561"/>
    <col min="4865" max="4865" width="21.42578125" style="561" customWidth="1"/>
    <col min="4866" max="4866" width="13.7109375" style="561" customWidth="1"/>
    <col min="4867" max="4867" width="12.5703125" style="561" customWidth="1"/>
    <col min="4868" max="4868" width="11.28515625" style="561" customWidth="1"/>
    <col min="4869" max="4870" width="11.140625" style="561" customWidth="1"/>
    <col min="4871" max="4871" width="13" style="561" customWidth="1"/>
    <col min="4872" max="4872" width="12.42578125" style="561" customWidth="1"/>
    <col min="4873" max="4873" width="13.5703125" style="561" customWidth="1"/>
    <col min="4874" max="4874" width="13.140625" style="561" customWidth="1"/>
    <col min="4875" max="4875" width="20" style="561" customWidth="1"/>
    <col min="4876" max="4876" width="9.140625" style="561"/>
    <col min="4877" max="4877" width="12.85546875" style="561" bestFit="1" customWidth="1"/>
    <col min="4878" max="5120" width="9.140625" style="561"/>
    <col min="5121" max="5121" width="21.42578125" style="561" customWidth="1"/>
    <col min="5122" max="5122" width="13.7109375" style="561" customWidth="1"/>
    <col min="5123" max="5123" width="12.5703125" style="561" customWidth="1"/>
    <col min="5124" max="5124" width="11.28515625" style="561" customWidth="1"/>
    <col min="5125" max="5126" width="11.140625" style="561" customWidth="1"/>
    <col min="5127" max="5127" width="13" style="561" customWidth="1"/>
    <col min="5128" max="5128" width="12.42578125" style="561" customWidth="1"/>
    <col min="5129" max="5129" width="13.5703125" style="561" customWidth="1"/>
    <col min="5130" max="5130" width="13.140625" style="561" customWidth="1"/>
    <col min="5131" max="5131" width="20" style="561" customWidth="1"/>
    <col min="5132" max="5132" width="9.140625" style="561"/>
    <col min="5133" max="5133" width="12.85546875" style="561" bestFit="1" customWidth="1"/>
    <col min="5134" max="5376" width="9.140625" style="561"/>
    <col min="5377" max="5377" width="21.42578125" style="561" customWidth="1"/>
    <col min="5378" max="5378" width="13.7109375" style="561" customWidth="1"/>
    <col min="5379" max="5379" width="12.5703125" style="561" customWidth="1"/>
    <col min="5380" max="5380" width="11.28515625" style="561" customWidth="1"/>
    <col min="5381" max="5382" width="11.140625" style="561" customWidth="1"/>
    <col min="5383" max="5383" width="13" style="561" customWidth="1"/>
    <col min="5384" max="5384" width="12.42578125" style="561" customWidth="1"/>
    <col min="5385" max="5385" width="13.5703125" style="561" customWidth="1"/>
    <col min="5386" max="5386" width="13.140625" style="561" customWidth="1"/>
    <col min="5387" max="5387" width="20" style="561" customWidth="1"/>
    <col min="5388" max="5388" width="9.140625" style="561"/>
    <col min="5389" max="5389" width="12.85546875" style="561" bestFit="1" customWidth="1"/>
    <col min="5390" max="5632" width="9.140625" style="561"/>
    <col min="5633" max="5633" width="21.42578125" style="561" customWidth="1"/>
    <col min="5634" max="5634" width="13.7109375" style="561" customWidth="1"/>
    <col min="5635" max="5635" width="12.5703125" style="561" customWidth="1"/>
    <col min="5636" max="5636" width="11.28515625" style="561" customWidth="1"/>
    <col min="5637" max="5638" width="11.140625" style="561" customWidth="1"/>
    <col min="5639" max="5639" width="13" style="561" customWidth="1"/>
    <col min="5640" max="5640" width="12.42578125" style="561" customWidth="1"/>
    <col min="5641" max="5641" width="13.5703125" style="561" customWidth="1"/>
    <col min="5642" max="5642" width="13.140625" style="561" customWidth="1"/>
    <col min="5643" max="5643" width="20" style="561" customWidth="1"/>
    <col min="5644" max="5644" width="9.140625" style="561"/>
    <col min="5645" max="5645" width="12.85546875" style="561" bestFit="1" customWidth="1"/>
    <col min="5646" max="5888" width="9.140625" style="561"/>
    <col min="5889" max="5889" width="21.42578125" style="561" customWidth="1"/>
    <col min="5890" max="5890" width="13.7109375" style="561" customWidth="1"/>
    <col min="5891" max="5891" width="12.5703125" style="561" customWidth="1"/>
    <col min="5892" max="5892" width="11.28515625" style="561" customWidth="1"/>
    <col min="5893" max="5894" width="11.140625" style="561" customWidth="1"/>
    <col min="5895" max="5895" width="13" style="561" customWidth="1"/>
    <col min="5896" max="5896" width="12.42578125" style="561" customWidth="1"/>
    <col min="5897" max="5897" width="13.5703125" style="561" customWidth="1"/>
    <col min="5898" max="5898" width="13.140625" style="561" customWidth="1"/>
    <col min="5899" max="5899" width="20" style="561" customWidth="1"/>
    <col min="5900" max="5900" width="9.140625" style="561"/>
    <col min="5901" max="5901" width="12.85546875" style="561" bestFit="1" customWidth="1"/>
    <col min="5902" max="6144" width="9.140625" style="561"/>
    <col min="6145" max="6145" width="21.42578125" style="561" customWidth="1"/>
    <col min="6146" max="6146" width="13.7109375" style="561" customWidth="1"/>
    <col min="6147" max="6147" width="12.5703125" style="561" customWidth="1"/>
    <col min="6148" max="6148" width="11.28515625" style="561" customWidth="1"/>
    <col min="6149" max="6150" width="11.140625" style="561" customWidth="1"/>
    <col min="6151" max="6151" width="13" style="561" customWidth="1"/>
    <col min="6152" max="6152" width="12.42578125" style="561" customWidth="1"/>
    <col min="6153" max="6153" width="13.5703125" style="561" customWidth="1"/>
    <col min="6154" max="6154" width="13.140625" style="561" customWidth="1"/>
    <col min="6155" max="6155" width="20" style="561" customWidth="1"/>
    <col min="6156" max="6156" width="9.140625" style="561"/>
    <col min="6157" max="6157" width="12.85546875" style="561" bestFit="1" customWidth="1"/>
    <col min="6158" max="6400" width="9.140625" style="561"/>
    <col min="6401" max="6401" width="21.42578125" style="561" customWidth="1"/>
    <col min="6402" max="6402" width="13.7109375" style="561" customWidth="1"/>
    <col min="6403" max="6403" width="12.5703125" style="561" customWidth="1"/>
    <col min="6404" max="6404" width="11.28515625" style="561" customWidth="1"/>
    <col min="6405" max="6406" width="11.140625" style="561" customWidth="1"/>
    <col min="6407" max="6407" width="13" style="561" customWidth="1"/>
    <col min="6408" max="6408" width="12.42578125" style="561" customWidth="1"/>
    <col min="6409" max="6409" width="13.5703125" style="561" customWidth="1"/>
    <col min="6410" max="6410" width="13.140625" style="561" customWidth="1"/>
    <col min="6411" max="6411" width="20" style="561" customWidth="1"/>
    <col min="6412" max="6412" width="9.140625" style="561"/>
    <col min="6413" max="6413" width="12.85546875" style="561" bestFit="1" customWidth="1"/>
    <col min="6414" max="6656" width="9.140625" style="561"/>
    <col min="6657" max="6657" width="21.42578125" style="561" customWidth="1"/>
    <col min="6658" max="6658" width="13.7109375" style="561" customWidth="1"/>
    <col min="6659" max="6659" width="12.5703125" style="561" customWidth="1"/>
    <col min="6660" max="6660" width="11.28515625" style="561" customWidth="1"/>
    <col min="6661" max="6662" width="11.140625" style="561" customWidth="1"/>
    <col min="6663" max="6663" width="13" style="561" customWidth="1"/>
    <col min="6664" max="6664" width="12.42578125" style="561" customWidth="1"/>
    <col min="6665" max="6665" width="13.5703125" style="561" customWidth="1"/>
    <col min="6666" max="6666" width="13.140625" style="561" customWidth="1"/>
    <col min="6667" max="6667" width="20" style="561" customWidth="1"/>
    <col min="6668" max="6668" width="9.140625" style="561"/>
    <col min="6669" max="6669" width="12.85546875" style="561" bestFit="1" customWidth="1"/>
    <col min="6670" max="6912" width="9.140625" style="561"/>
    <col min="6913" max="6913" width="21.42578125" style="561" customWidth="1"/>
    <col min="6914" max="6914" width="13.7109375" style="561" customWidth="1"/>
    <col min="6915" max="6915" width="12.5703125" style="561" customWidth="1"/>
    <col min="6916" max="6916" width="11.28515625" style="561" customWidth="1"/>
    <col min="6917" max="6918" width="11.140625" style="561" customWidth="1"/>
    <col min="6919" max="6919" width="13" style="561" customWidth="1"/>
    <col min="6920" max="6920" width="12.42578125" style="561" customWidth="1"/>
    <col min="6921" max="6921" width="13.5703125" style="561" customWidth="1"/>
    <col min="6922" max="6922" width="13.140625" style="561" customWidth="1"/>
    <col min="6923" max="6923" width="20" style="561" customWidth="1"/>
    <col min="6924" max="6924" width="9.140625" style="561"/>
    <col min="6925" max="6925" width="12.85546875" style="561" bestFit="1" customWidth="1"/>
    <col min="6926" max="7168" width="9.140625" style="561"/>
    <col min="7169" max="7169" width="21.42578125" style="561" customWidth="1"/>
    <col min="7170" max="7170" width="13.7109375" style="561" customWidth="1"/>
    <col min="7171" max="7171" width="12.5703125" style="561" customWidth="1"/>
    <col min="7172" max="7172" width="11.28515625" style="561" customWidth="1"/>
    <col min="7173" max="7174" width="11.140625" style="561" customWidth="1"/>
    <col min="7175" max="7175" width="13" style="561" customWidth="1"/>
    <col min="7176" max="7176" width="12.42578125" style="561" customWidth="1"/>
    <col min="7177" max="7177" width="13.5703125" style="561" customWidth="1"/>
    <col min="7178" max="7178" width="13.140625" style="561" customWidth="1"/>
    <col min="7179" max="7179" width="20" style="561" customWidth="1"/>
    <col min="7180" max="7180" width="9.140625" style="561"/>
    <col min="7181" max="7181" width="12.85546875" style="561" bestFit="1" customWidth="1"/>
    <col min="7182" max="7424" width="9.140625" style="561"/>
    <col min="7425" max="7425" width="21.42578125" style="561" customWidth="1"/>
    <col min="7426" max="7426" width="13.7109375" style="561" customWidth="1"/>
    <col min="7427" max="7427" width="12.5703125" style="561" customWidth="1"/>
    <col min="7428" max="7428" width="11.28515625" style="561" customWidth="1"/>
    <col min="7429" max="7430" width="11.140625" style="561" customWidth="1"/>
    <col min="7431" max="7431" width="13" style="561" customWidth="1"/>
    <col min="7432" max="7432" width="12.42578125" style="561" customWidth="1"/>
    <col min="7433" max="7433" width="13.5703125" style="561" customWidth="1"/>
    <col min="7434" max="7434" width="13.140625" style="561" customWidth="1"/>
    <col min="7435" max="7435" width="20" style="561" customWidth="1"/>
    <col min="7436" max="7436" width="9.140625" style="561"/>
    <col min="7437" max="7437" width="12.85546875" style="561" bestFit="1" customWidth="1"/>
    <col min="7438" max="7680" width="9.140625" style="561"/>
    <col min="7681" max="7681" width="21.42578125" style="561" customWidth="1"/>
    <col min="7682" max="7682" width="13.7109375" style="561" customWidth="1"/>
    <col min="7683" max="7683" width="12.5703125" style="561" customWidth="1"/>
    <col min="7684" max="7684" width="11.28515625" style="561" customWidth="1"/>
    <col min="7685" max="7686" width="11.140625" style="561" customWidth="1"/>
    <col min="7687" max="7687" width="13" style="561" customWidth="1"/>
    <col min="7688" max="7688" width="12.42578125" style="561" customWidth="1"/>
    <col min="7689" max="7689" width="13.5703125" style="561" customWidth="1"/>
    <col min="7690" max="7690" width="13.140625" style="561" customWidth="1"/>
    <col min="7691" max="7691" width="20" style="561" customWidth="1"/>
    <col min="7692" max="7692" width="9.140625" style="561"/>
    <col min="7693" max="7693" width="12.85546875" style="561" bestFit="1" customWidth="1"/>
    <col min="7694" max="7936" width="9.140625" style="561"/>
    <col min="7937" max="7937" width="21.42578125" style="561" customWidth="1"/>
    <col min="7938" max="7938" width="13.7109375" style="561" customWidth="1"/>
    <col min="7939" max="7939" width="12.5703125" style="561" customWidth="1"/>
    <col min="7940" max="7940" width="11.28515625" style="561" customWidth="1"/>
    <col min="7941" max="7942" width="11.140625" style="561" customWidth="1"/>
    <col min="7943" max="7943" width="13" style="561" customWidth="1"/>
    <col min="7944" max="7944" width="12.42578125" style="561" customWidth="1"/>
    <col min="7945" max="7945" width="13.5703125" style="561" customWidth="1"/>
    <col min="7946" max="7946" width="13.140625" style="561" customWidth="1"/>
    <col min="7947" max="7947" width="20" style="561" customWidth="1"/>
    <col min="7948" max="7948" width="9.140625" style="561"/>
    <col min="7949" max="7949" width="12.85546875" style="561" bestFit="1" customWidth="1"/>
    <col min="7950" max="8192" width="9.140625" style="561"/>
    <col min="8193" max="8193" width="21.42578125" style="561" customWidth="1"/>
    <col min="8194" max="8194" width="13.7109375" style="561" customWidth="1"/>
    <col min="8195" max="8195" width="12.5703125" style="561" customWidth="1"/>
    <col min="8196" max="8196" width="11.28515625" style="561" customWidth="1"/>
    <col min="8197" max="8198" width="11.140625" style="561" customWidth="1"/>
    <col min="8199" max="8199" width="13" style="561" customWidth="1"/>
    <col min="8200" max="8200" width="12.42578125" style="561" customWidth="1"/>
    <col min="8201" max="8201" width="13.5703125" style="561" customWidth="1"/>
    <col min="8202" max="8202" width="13.140625" style="561" customWidth="1"/>
    <col min="8203" max="8203" width="20" style="561" customWidth="1"/>
    <col min="8204" max="8204" width="9.140625" style="561"/>
    <col min="8205" max="8205" width="12.85546875" style="561" bestFit="1" customWidth="1"/>
    <col min="8206" max="8448" width="9.140625" style="561"/>
    <col min="8449" max="8449" width="21.42578125" style="561" customWidth="1"/>
    <col min="8450" max="8450" width="13.7109375" style="561" customWidth="1"/>
    <col min="8451" max="8451" width="12.5703125" style="561" customWidth="1"/>
    <col min="8452" max="8452" width="11.28515625" style="561" customWidth="1"/>
    <col min="8453" max="8454" width="11.140625" style="561" customWidth="1"/>
    <col min="8455" max="8455" width="13" style="561" customWidth="1"/>
    <col min="8456" max="8456" width="12.42578125" style="561" customWidth="1"/>
    <col min="8457" max="8457" width="13.5703125" style="561" customWidth="1"/>
    <col min="8458" max="8458" width="13.140625" style="561" customWidth="1"/>
    <col min="8459" max="8459" width="20" style="561" customWidth="1"/>
    <col min="8460" max="8460" width="9.140625" style="561"/>
    <col min="8461" max="8461" width="12.85546875" style="561" bestFit="1" customWidth="1"/>
    <col min="8462" max="8704" width="9.140625" style="561"/>
    <col min="8705" max="8705" width="21.42578125" style="561" customWidth="1"/>
    <col min="8706" max="8706" width="13.7109375" style="561" customWidth="1"/>
    <col min="8707" max="8707" width="12.5703125" style="561" customWidth="1"/>
    <col min="8708" max="8708" width="11.28515625" style="561" customWidth="1"/>
    <col min="8709" max="8710" width="11.140625" style="561" customWidth="1"/>
    <col min="8711" max="8711" width="13" style="561" customWidth="1"/>
    <col min="8712" max="8712" width="12.42578125" style="561" customWidth="1"/>
    <col min="8713" max="8713" width="13.5703125" style="561" customWidth="1"/>
    <col min="8714" max="8714" width="13.140625" style="561" customWidth="1"/>
    <col min="8715" max="8715" width="20" style="561" customWidth="1"/>
    <col min="8716" max="8716" width="9.140625" style="561"/>
    <col min="8717" max="8717" width="12.85546875" style="561" bestFit="1" customWidth="1"/>
    <col min="8718" max="8960" width="9.140625" style="561"/>
    <col min="8961" max="8961" width="21.42578125" style="561" customWidth="1"/>
    <col min="8962" max="8962" width="13.7109375" style="561" customWidth="1"/>
    <col min="8963" max="8963" width="12.5703125" style="561" customWidth="1"/>
    <col min="8964" max="8964" width="11.28515625" style="561" customWidth="1"/>
    <col min="8965" max="8966" width="11.140625" style="561" customWidth="1"/>
    <col min="8967" max="8967" width="13" style="561" customWidth="1"/>
    <col min="8968" max="8968" width="12.42578125" style="561" customWidth="1"/>
    <col min="8969" max="8969" width="13.5703125" style="561" customWidth="1"/>
    <col min="8970" max="8970" width="13.140625" style="561" customWidth="1"/>
    <col min="8971" max="8971" width="20" style="561" customWidth="1"/>
    <col min="8972" max="8972" width="9.140625" style="561"/>
    <col min="8973" max="8973" width="12.85546875" style="561" bestFit="1" customWidth="1"/>
    <col min="8974" max="9216" width="9.140625" style="561"/>
    <col min="9217" max="9217" width="21.42578125" style="561" customWidth="1"/>
    <col min="9218" max="9218" width="13.7109375" style="561" customWidth="1"/>
    <col min="9219" max="9219" width="12.5703125" style="561" customWidth="1"/>
    <col min="9220" max="9220" width="11.28515625" style="561" customWidth="1"/>
    <col min="9221" max="9222" width="11.140625" style="561" customWidth="1"/>
    <col min="9223" max="9223" width="13" style="561" customWidth="1"/>
    <col min="9224" max="9224" width="12.42578125" style="561" customWidth="1"/>
    <col min="9225" max="9225" width="13.5703125" style="561" customWidth="1"/>
    <col min="9226" max="9226" width="13.140625" style="561" customWidth="1"/>
    <col min="9227" max="9227" width="20" style="561" customWidth="1"/>
    <col min="9228" max="9228" width="9.140625" style="561"/>
    <col min="9229" max="9229" width="12.85546875" style="561" bestFit="1" customWidth="1"/>
    <col min="9230" max="9472" width="9.140625" style="561"/>
    <col min="9473" max="9473" width="21.42578125" style="561" customWidth="1"/>
    <col min="9474" max="9474" width="13.7109375" style="561" customWidth="1"/>
    <col min="9475" max="9475" width="12.5703125" style="561" customWidth="1"/>
    <col min="9476" max="9476" width="11.28515625" style="561" customWidth="1"/>
    <col min="9477" max="9478" width="11.140625" style="561" customWidth="1"/>
    <col min="9479" max="9479" width="13" style="561" customWidth="1"/>
    <col min="9480" max="9480" width="12.42578125" style="561" customWidth="1"/>
    <col min="9481" max="9481" width="13.5703125" style="561" customWidth="1"/>
    <col min="9482" max="9482" width="13.140625" style="561" customWidth="1"/>
    <col min="9483" max="9483" width="20" style="561" customWidth="1"/>
    <col min="9484" max="9484" width="9.140625" style="561"/>
    <col min="9485" max="9485" width="12.85546875" style="561" bestFit="1" customWidth="1"/>
    <col min="9486" max="9728" width="9.140625" style="561"/>
    <col min="9729" max="9729" width="21.42578125" style="561" customWidth="1"/>
    <col min="9730" max="9730" width="13.7109375" style="561" customWidth="1"/>
    <col min="9731" max="9731" width="12.5703125" style="561" customWidth="1"/>
    <col min="9732" max="9732" width="11.28515625" style="561" customWidth="1"/>
    <col min="9733" max="9734" width="11.140625" style="561" customWidth="1"/>
    <col min="9735" max="9735" width="13" style="561" customWidth="1"/>
    <col min="9736" max="9736" width="12.42578125" style="561" customWidth="1"/>
    <col min="9737" max="9737" width="13.5703125" style="561" customWidth="1"/>
    <col min="9738" max="9738" width="13.140625" style="561" customWidth="1"/>
    <col min="9739" max="9739" width="20" style="561" customWidth="1"/>
    <col min="9740" max="9740" width="9.140625" style="561"/>
    <col min="9741" max="9741" width="12.85546875" style="561" bestFit="1" customWidth="1"/>
    <col min="9742" max="9984" width="9.140625" style="561"/>
    <col min="9985" max="9985" width="21.42578125" style="561" customWidth="1"/>
    <col min="9986" max="9986" width="13.7109375" style="561" customWidth="1"/>
    <col min="9987" max="9987" width="12.5703125" style="561" customWidth="1"/>
    <col min="9988" max="9988" width="11.28515625" style="561" customWidth="1"/>
    <col min="9989" max="9990" width="11.140625" style="561" customWidth="1"/>
    <col min="9991" max="9991" width="13" style="561" customWidth="1"/>
    <col min="9992" max="9992" width="12.42578125" style="561" customWidth="1"/>
    <col min="9993" max="9993" width="13.5703125" style="561" customWidth="1"/>
    <col min="9994" max="9994" width="13.140625" style="561" customWidth="1"/>
    <col min="9995" max="9995" width="20" style="561" customWidth="1"/>
    <col min="9996" max="9996" width="9.140625" style="561"/>
    <col min="9997" max="9997" width="12.85546875" style="561" bestFit="1" customWidth="1"/>
    <col min="9998" max="10240" width="9.140625" style="561"/>
    <col min="10241" max="10241" width="21.42578125" style="561" customWidth="1"/>
    <col min="10242" max="10242" width="13.7109375" style="561" customWidth="1"/>
    <col min="10243" max="10243" width="12.5703125" style="561" customWidth="1"/>
    <col min="10244" max="10244" width="11.28515625" style="561" customWidth="1"/>
    <col min="10245" max="10246" width="11.140625" style="561" customWidth="1"/>
    <col min="10247" max="10247" width="13" style="561" customWidth="1"/>
    <col min="10248" max="10248" width="12.42578125" style="561" customWidth="1"/>
    <col min="10249" max="10249" width="13.5703125" style="561" customWidth="1"/>
    <col min="10250" max="10250" width="13.140625" style="561" customWidth="1"/>
    <col min="10251" max="10251" width="20" style="561" customWidth="1"/>
    <col min="10252" max="10252" width="9.140625" style="561"/>
    <col min="10253" max="10253" width="12.85546875" style="561" bestFit="1" customWidth="1"/>
    <col min="10254" max="10496" width="9.140625" style="561"/>
    <col min="10497" max="10497" width="21.42578125" style="561" customWidth="1"/>
    <col min="10498" max="10498" width="13.7109375" style="561" customWidth="1"/>
    <col min="10499" max="10499" width="12.5703125" style="561" customWidth="1"/>
    <col min="10500" max="10500" width="11.28515625" style="561" customWidth="1"/>
    <col min="10501" max="10502" width="11.140625" style="561" customWidth="1"/>
    <col min="10503" max="10503" width="13" style="561" customWidth="1"/>
    <col min="10504" max="10504" width="12.42578125" style="561" customWidth="1"/>
    <col min="10505" max="10505" width="13.5703125" style="561" customWidth="1"/>
    <col min="10506" max="10506" width="13.140625" style="561" customWidth="1"/>
    <col min="10507" max="10507" width="20" style="561" customWidth="1"/>
    <col min="10508" max="10508" width="9.140625" style="561"/>
    <col min="10509" max="10509" width="12.85546875" style="561" bestFit="1" customWidth="1"/>
    <col min="10510" max="10752" width="9.140625" style="561"/>
    <col min="10753" max="10753" width="21.42578125" style="561" customWidth="1"/>
    <col min="10754" max="10754" width="13.7109375" style="561" customWidth="1"/>
    <col min="10755" max="10755" width="12.5703125" style="561" customWidth="1"/>
    <col min="10756" max="10756" width="11.28515625" style="561" customWidth="1"/>
    <col min="10757" max="10758" width="11.140625" style="561" customWidth="1"/>
    <col min="10759" max="10759" width="13" style="561" customWidth="1"/>
    <col min="10760" max="10760" width="12.42578125" style="561" customWidth="1"/>
    <col min="10761" max="10761" width="13.5703125" style="561" customWidth="1"/>
    <col min="10762" max="10762" width="13.140625" style="561" customWidth="1"/>
    <col min="10763" max="10763" width="20" style="561" customWidth="1"/>
    <col min="10764" max="10764" width="9.140625" style="561"/>
    <col min="10765" max="10765" width="12.85546875" style="561" bestFit="1" customWidth="1"/>
    <col min="10766" max="11008" width="9.140625" style="561"/>
    <col min="11009" max="11009" width="21.42578125" style="561" customWidth="1"/>
    <col min="11010" max="11010" width="13.7109375" style="561" customWidth="1"/>
    <col min="11011" max="11011" width="12.5703125" style="561" customWidth="1"/>
    <col min="11012" max="11012" width="11.28515625" style="561" customWidth="1"/>
    <col min="11013" max="11014" width="11.140625" style="561" customWidth="1"/>
    <col min="11015" max="11015" width="13" style="561" customWidth="1"/>
    <col min="11016" max="11016" width="12.42578125" style="561" customWidth="1"/>
    <col min="11017" max="11017" width="13.5703125" style="561" customWidth="1"/>
    <col min="11018" max="11018" width="13.140625" style="561" customWidth="1"/>
    <col min="11019" max="11019" width="20" style="561" customWidth="1"/>
    <col min="11020" max="11020" width="9.140625" style="561"/>
    <col min="11021" max="11021" width="12.85546875" style="561" bestFit="1" customWidth="1"/>
    <col min="11022" max="11264" width="9.140625" style="561"/>
    <col min="11265" max="11265" width="21.42578125" style="561" customWidth="1"/>
    <col min="11266" max="11266" width="13.7109375" style="561" customWidth="1"/>
    <col min="11267" max="11267" width="12.5703125" style="561" customWidth="1"/>
    <col min="11268" max="11268" width="11.28515625" style="561" customWidth="1"/>
    <col min="11269" max="11270" width="11.140625" style="561" customWidth="1"/>
    <col min="11271" max="11271" width="13" style="561" customWidth="1"/>
    <col min="11272" max="11272" width="12.42578125" style="561" customWidth="1"/>
    <col min="11273" max="11273" width="13.5703125" style="561" customWidth="1"/>
    <col min="11274" max="11274" width="13.140625" style="561" customWidth="1"/>
    <col min="11275" max="11275" width="20" style="561" customWidth="1"/>
    <col min="11276" max="11276" width="9.140625" style="561"/>
    <col min="11277" max="11277" width="12.85546875" style="561" bestFit="1" customWidth="1"/>
    <col min="11278" max="11520" width="9.140625" style="561"/>
    <col min="11521" max="11521" width="21.42578125" style="561" customWidth="1"/>
    <col min="11522" max="11522" width="13.7109375" style="561" customWidth="1"/>
    <col min="11523" max="11523" width="12.5703125" style="561" customWidth="1"/>
    <col min="11524" max="11524" width="11.28515625" style="561" customWidth="1"/>
    <col min="11525" max="11526" width="11.140625" style="561" customWidth="1"/>
    <col min="11527" max="11527" width="13" style="561" customWidth="1"/>
    <col min="11528" max="11528" width="12.42578125" style="561" customWidth="1"/>
    <col min="11529" max="11529" width="13.5703125" style="561" customWidth="1"/>
    <col min="11530" max="11530" width="13.140625" style="561" customWidth="1"/>
    <col min="11531" max="11531" width="20" style="561" customWidth="1"/>
    <col min="11532" max="11532" width="9.140625" style="561"/>
    <col min="11533" max="11533" width="12.85546875" style="561" bestFit="1" customWidth="1"/>
    <col min="11534" max="11776" width="9.140625" style="561"/>
    <col min="11777" max="11777" width="21.42578125" style="561" customWidth="1"/>
    <col min="11778" max="11778" width="13.7109375" style="561" customWidth="1"/>
    <col min="11779" max="11779" width="12.5703125" style="561" customWidth="1"/>
    <col min="11780" max="11780" width="11.28515625" style="561" customWidth="1"/>
    <col min="11781" max="11782" width="11.140625" style="561" customWidth="1"/>
    <col min="11783" max="11783" width="13" style="561" customWidth="1"/>
    <col min="11784" max="11784" width="12.42578125" style="561" customWidth="1"/>
    <col min="11785" max="11785" width="13.5703125" style="561" customWidth="1"/>
    <col min="11786" max="11786" width="13.140625" style="561" customWidth="1"/>
    <col min="11787" max="11787" width="20" style="561" customWidth="1"/>
    <col min="11788" max="11788" width="9.140625" style="561"/>
    <col min="11789" max="11789" width="12.85546875" style="561" bestFit="1" customWidth="1"/>
    <col min="11790" max="12032" width="9.140625" style="561"/>
    <col min="12033" max="12033" width="21.42578125" style="561" customWidth="1"/>
    <col min="12034" max="12034" width="13.7109375" style="561" customWidth="1"/>
    <col min="12035" max="12035" width="12.5703125" style="561" customWidth="1"/>
    <col min="12036" max="12036" width="11.28515625" style="561" customWidth="1"/>
    <col min="12037" max="12038" width="11.140625" style="561" customWidth="1"/>
    <col min="12039" max="12039" width="13" style="561" customWidth="1"/>
    <col min="12040" max="12040" width="12.42578125" style="561" customWidth="1"/>
    <col min="12041" max="12041" width="13.5703125" style="561" customWidth="1"/>
    <col min="12042" max="12042" width="13.140625" style="561" customWidth="1"/>
    <col min="12043" max="12043" width="20" style="561" customWidth="1"/>
    <col min="12044" max="12044" width="9.140625" style="561"/>
    <col min="12045" max="12045" width="12.85546875" style="561" bestFit="1" customWidth="1"/>
    <col min="12046" max="12288" width="9.140625" style="561"/>
    <col min="12289" max="12289" width="21.42578125" style="561" customWidth="1"/>
    <col min="12290" max="12290" width="13.7109375" style="561" customWidth="1"/>
    <col min="12291" max="12291" width="12.5703125" style="561" customWidth="1"/>
    <col min="12292" max="12292" width="11.28515625" style="561" customWidth="1"/>
    <col min="12293" max="12294" width="11.140625" style="561" customWidth="1"/>
    <col min="12295" max="12295" width="13" style="561" customWidth="1"/>
    <col min="12296" max="12296" width="12.42578125" style="561" customWidth="1"/>
    <col min="12297" max="12297" width="13.5703125" style="561" customWidth="1"/>
    <col min="12298" max="12298" width="13.140625" style="561" customWidth="1"/>
    <col min="12299" max="12299" width="20" style="561" customWidth="1"/>
    <col min="12300" max="12300" width="9.140625" style="561"/>
    <col min="12301" max="12301" width="12.85546875" style="561" bestFit="1" customWidth="1"/>
    <col min="12302" max="12544" width="9.140625" style="561"/>
    <col min="12545" max="12545" width="21.42578125" style="561" customWidth="1"/>
    <col min="12546" max="12546" width="13.7109375" style="561" customWidth="1"/>
    <col min="12547" max="12547" width="12.5703125" style="561" customWidth="1"/>
    <col min="12548" max="12548" width="11.28515625" style="561" customWidth="1"/>
    <col min="12549" max="12550" width="11.140625" style="561" customWidth="1"/>
    <col min="12551" max="12551" width="13" style="561" customWidth="1"/>
    <col min="12552" max="12552" width="12.42578125" style="561" customWidth="1"/>
    <col min="12553" max="12553" width="13.5703125" style="561" customWidth="1"/>
    <col min="12554" max="12554" width="13.140625" style="561" customWidth="1"/>
    <col min="12555" max="12555" width="20" style="561" customWidth="1"/>
    <col min="12556" max="12556" width="9.140625" style="561"/>
    <col min="12557" max="12557" width="12.85546875" style="561" bestFit="1" customWidth="1"/>
    <col min="12558" max="12800" width="9.140625" style="561"/>
    <col min="12801" max="12801" width="21.42578125" style="561" customWidth="1"/>
    <col min="12802" max="12802" width="13.7109375" style="561" customWidth="1"/>
    <col min="12803" max="12803" width="12.5703125" style="561" customWidth="1"/>
    <col min="12804" max="12804" width="11.28515625" style="561" customWidth="1"/>
    <col min="12805" max="12806" width="11.140625" style="561" customWidth="1"/>
    <col min="12807" max="12807" width="13" style="561" customWidth="1"/>
    <col min="12808" max="12808" width="12.42578125" style="561" customWidth="1"/>
    <col min="12809" max="12809" width="13.5703125" style="561" customWidth="1"/>
    <col min="12810" max="12810" width="13.140625" style="561" customWidth="1"/>
    <col min="12811" max="12811" width="20" style="561" customWidth="1"/>
    <col min="12812" max="12812" width="9.140625" style="561"/>
    <col min="12813" max="12813" width="12.85546875" style="561" bestFit="1" customWidth="1"/>
    <col min="12814" max="13056" width="9.140625" style="561"/>
    <col min="13057" max="13057" width="21.42578125" style="561" customWidth="1"/>
    <col min="13058" max="13058" width="13.7109375" style="561" customWidth="1"/>
    <col min="13059" max="13059" width="12.5703125" style="561" customWidth="1"/>
    <col min="13060" max="13060" width="11.28515625" style="561" customWidth="1"/>
    <col min="13061" max="13062" width="11.140625" style="561" customWidth="1"/>
    <col min="13063" max="13063" width="13" style="561" customWidth="1"/>
    <col min="13064" max="13064" width="12.42578125" style="561" customWidth="1"/>
    <col min="13065" max="13065" width="13.5703125" style="561" customWidth="1"/>
    <col min="13066" max="13066" width="13.140625" style="561" customWidth="1"/>
    <col min="13067" max="13067" width="20" style="561" customWidth="1"/>
    <col min="13068" max="13068" width="9.140625" style="561"/>
    <col min="13069" max="13069" width="12.85546875" style="561" bestFit="1" customWidth="1"/>
    <col min="13070" max="13312" width="9.140625" style="561"/>
    <col min="13313" max="13313" width="21.42578125" style="561" customWidth="1"/>
    <col min="13314" max="13314" width="13.7109375" style="561" customWidth="1"/>
    <col min="13315" max="13315" width="12.5703125" style="561" customWidth="1"/>
    <col min="13316" max="13316" width="11.28515625" style="561" customWidth="1"/>
    <col min="13317" max="13318" width="11.140625" style="561" customWidth="1"/>
    <col min="13319" max="13319" width="13" style="561" customWidth="1"/>
    <col min="13320" max="13320" width="12.42578125" style="561" customWidth="1"/>
    <col min="13321" max="13321" width="13.5703125" style="561" customWidth="1"/>
    <col min="13322" max="13322" width="13.140625" style="561" customWidth="1"/>
    <col min="13323" max="13323" width="20" style="561" customWidth="1"/>
    <col min="13324" max="13324" width="9.140625" style="561"/>
    <col min="13325" max="13325" width="12.85546875" style="561" bestFit="1" customWidth="1"/>
    <col min="13326" max="13568" width="9.140625" style="561"/>
    <col min="13569" max="13569" width="21.42578125" style="561" customWidth="1"/>
    <col min="13570" max="13570" width="13.7109375" style="561" customWidth="1"/>
    <col min="13571" max="13571" width="12.5703125" style="561" customWidth="1"/>
    <col min="13572" max="13572" width="11.28515625" style="561" customWidth="1"/>
    <col min="13573" max="13574" width="11.140625" style="561" customWidth="1"/>
    <col min="13575" max="13575" width="13" style="561" customWidth="1"/>
    <col min="13576" max="13576" width="12.42578125" style="561" customWidth="1"/>
    <col min="13577" max="13577" width="13.5703125" style="561" customWidth="1"/>
    <col min="13578" max="13578" width="13.140625" style="561" customWidth="1"/>
    <col min="13579" max="13579" width="20" style="561" customWidth="1"/>
    <col min="13580" max="13580" width="9.140625" style="561"/>
    <col min="13581" max="13581" width="12.85546875" style="561" bestFit="1" customWidth="1"/>
    <col min="13582" max="13824" width="9.140625" style="561"/>
    <col min="13825" max="13825" width="21.42578125" style="561" customWidth="1"/>
    <col min="13826" max="13826" width="13.7109375" style="561" customWidth="1"/>
    <col min="13827" max="13827" width="12.5703125" style="561" customWidth="1"/>
    <col min="13828" max="13828" width="11.28515625" style="561" customWidth="1"/>
    <col min="13829" max="13830" width="11.140625" style="561" customWidth="1"/>
    <col min="13831" max="13831" width="13" style="561" customWidth="1"/>
    <col min="13832" max="13832" width="12.42578125" style="561" customWidth="1"/>
    <col min="13833" max="13833" width="13.5703125" style="561" customWidth="1"/>
    <col min="13834" max="13834" width="13.140625" style="561" customWidth="1"/>
    <col min="13835" max="13835" width="20" style="561" customWidth="1"/>
    <col min="13836" max="13836" width="9.140625" style="561"/>
    <col min="13837" max="13837" width="12.85546875" style="561" bestFit="1" customWidth="1"/>
    <col min="13838" max="14080" width="9.140625" style="561"/>
    <col min="14081" max="14081" width="21.42578125" style="561" customWidth="1"/>
    <col min="14082" max="14082" width="13.7109375" style="561" customWidth="1"/>
    <col min="14083" max="14083" width="12.5703125" style="561" customWidth="1"/>
    <col min="14084" max="14084" width="11.28515625" style="561" customWidth="1"/>
    <col min="14085" max="14086" width="11.140625" style="561" customWidth="1"/>
    <col min="14087" max="14087" width="13" style="561" customWidth="1"/>
    <col min="14088" max="14088" width="12.42578125" style="561" customWidth="1"/>
    <col min="14089" max="14089" width="13.5703125" style="561" customWidth="1"/>
    <col min="14090" max="14090" width="13.140625" style="561" customWidth="1"/>
    <col min="14091" max="14091" width="20" style="561" customWidth="1"/>
    <col min="14092" max="14092" width="9.140625" style="561"/>
    <col min="14093" max="14093" width="12.85546875" style="561" bestFit="1" customWidth="1"/>
    <col min="14094" max="14336" width="9.140625" style="561"/>
    <col min="14337" max="14337" width="21.42578125" style="561" customWidth="1"/>
    <col min="14338" max="14338" width="13.7109375" style="561" customWidth="1"/>
    <col min="14339" max="14339" width="12.5703125" style="561" customWidth="1"/>
    <col min="14340" max="14340" width="11.28515625" style="561" customWidth="1"/>
    <col min="14341" max="14342" width="11.140625" style="561" customWidth="1"/>
    <col min="14343" max="14343" width="13" style="561" customWidth="1"/>
    <col min="14344" max="14344" width="12.42578125" style="561" customWidth="1"/>
    <col min="14345" max="14345" width="13.5703125" style="561" customWidth="1"/>
    <col min="14346" max="14346" width="13.140625" style="561" customWidth="1"/>
    <col min="14347" max="14347" width="20" style="561" customWidth="1"/>
    <col min="14348" max="14348" width="9.140625" style="561"/>
    <col min="14349" max="14349" width="12.85546875" style="561" bestFit="1" customWidth="1"/>
    <col min="14350" max="14592" width="9.140625" style="561"/>
    <col min="14593" max="14593" width="21.42578125" style="561" customWidth="1"/>
    <col min="14594" max="14594" width="13.7109375" style="561" customWidth="1"/>
    <col min="14595" max="14595" width="12.5703125" style="561" customWidth="1"/>
    <col min="14596" max="14596" width="11.28515625" style="561" customWidth="1"/>
    <col min="14597" max="14598" width="11.140625" style="561" customWidth="1"/>
    <col min="14599" max="14599" width="13" style="561" customWidth="1"/>
    <col min="14600" max="14600" width="12.42578125" style="561" customWidth="1"/>
    <col min="14601" max="14601" width="13.5703125" style="561" customWidth="1"/>
    <col min="14602" max="14602" width="13.140625" style="561" customWidth="1"/>
    <col min="14603" max="14603" width="20" style="561" customWidth="1"/>
    <col min="14604" max="14604" width="9.140625" style="561"/>
    <col min="14605" max="14605" width="12.85546875" style="561" bestFit="1" customWidth="1"/>
    <col min="14606" max="14848" width="9.140625" style="561"/>
    <col min="14849" max="14849" width="21.42578125" style="561" customWidth="1"/>
    <col min="14850" max="14850" width="13.7109375" style="561" customWidth="1"/>
    <col min="14851" max="14851" width="12.5703125" style="561" customWidth="1"/>
    <col min="14852" max="14852" width="11.28515625" style="561" customWidth="1"/>
    <col min="14853" max="14854" width="11.140625" style="561" customWidth="1"/>
    <col min="14855" max="14855" width="13" style="561" customWidth="1"/>
    <col min="14856" max="14856" width="12.42578125" style="561" customWidth="1"/>
    <col min="14857" max="14857" width="13.5703125" style="561" customWidth="1"/>
    <col min="14858" max="14858" width="13.140625" style="561" customWidth="1"/>
    <col min="14859" max="14859" width="20" style="561" customWidth="1"/>
    <col min="14860" max="14860" width="9.140625" style="561"/>
    <col min="14861" max="14861" width="12.85546875" style="561" bestFit="1" customWidth="1"/>
    <col min="14862" max="15104" width="9.140625" style="561"/>
    <col min="15105" max="15105" width="21.42578125" style="561" customWidth="1"/>
    <col min="15106" max="15106" width="13.7109375" style="561" customWidth="1"/>
    <col min="15107" max="15107" width="12.5703125" style="561" customWidth="1"/>
    <col min="15108" max="15108" width="11.28515625" style="561" customWidth="1"/>
    <col min="15109" max="15110" width="11.140625" style="561" customWidth="1"/>
    <col min="15111" max="15111" width="13" style="561" customWidth="1"/>
    <col min="15112" max="15112" width="12.42578125" style="561" customWidth="1"/>
    <col min="15113" max="15113" width="13.5703125" style="561" customWidth="1"/>
    <col min="15114" max="15114" width="13.140625" style="561" customWidth="1"/>
    <col min="15115" max="15115" width="20" style="561" customWidth="1"/>
    <col min="15116" max="15116" width="9.140625" style="561"/>
    <col min="15117" max="15117" width="12.85546875" style="561" bestFit="1" customWidth="1"/>
    <col min="15118" max="15360" width="9.140625" style="561"/>
    <col min="15361" max="15361" width="21.42578125" style="561" customWidth="1"/>
    <col min="15362" max="15362" width="13.7109375" style="561" customWidth="1"/>
    <col min="15363" max="15363" width="12.5703125" style="561" customWidth="1"/>
    <col min="15364" max="15364" width="11.28515625" style="561" customWidth="1"/>
    <col min="15365" max="15366" width="11.140625" style="561" customWidth="1"/>
    <col min="15367" max="15367" width="13" style="561" customWidth="1"/>
    <col min="15368" max="15368" width="12.42578125" style="561" customWidth="1"/>
    <col min="15369" max="15369" width="13.5703125" style="561" customWidth="1"/>
    <col min="15370" max="15370" width="13.140625" style="561" customWidth="1"/>
    <col min="15371" max="15371" width="20" style="561" customWidth="1"/>
    <col min="15372" max="15372" width="9.140625" style="561"/>
    <col min="15373" max="15373" width="12.85546875" style="561" bestFit="1" customWidth="1"/>
    <col min="15374" max="15616" width="9.140625" style="561"/>
    <col min="15617" max="15617" width="21.42578125" style="561" customWidth="1"/>
    <col min="15618" max="15618" width="13.7109375" style="561" customWidth="1"/>
    <col min="15619" max="15619" width="12.5703125" style="561" customWidth="1"/>
    <col min="15620" max="15620" width="11.28515625" style="561" customWidth="1"/>
    <col min="15621" max="15622" width="11.140625" style="561" customWidth="1"/>
    <col min="15623" max="15623" width="13" style="561" customWidth="1"/>
    <col min="15624" max="15624" width="12.42578125" style="561" customWidth="1"/>
    <col min="15625" max="15625" width="13.5703125" style="561" customWidth="1"/>
    <col min="15626" max="15626" width="13.140625" style="561" customWidth="1"/>
    <col min="15627" max="15627" width="20" style="561" customWidth="1"/>
    <col min="15628" max="15628" width="9.140625" style="561"/>
    <col min="15629" max="15629" width="12.85546875" style="561" bestFit="1" customWidth="1"/>
    <col min="15630" max="15872" width="9.140625" style="561"/>
    <col min="15873" max="15873" width="21.42578125" style="561" customWidth="1"/>
    <col min="15874" max="15874" width="13.7109375" style="561" customWidth="1"/>
    <col min="15875" max="15875" width="12.5703125" style="561" customWidth="1"/>
    <col min="15876" max="15876" width="11.28515625" style="561" customWidth="1"/>
    <col min="15877" max="15878" width="11.140625" style="561" customWidth="1"/>
    <col min="15879" max="15879" width="13" style="561" customWidth="1"/>
    <col min="15880" max="15880" width="12.42578125" style="561" customWidth="1"/>
    <col min="15881" max="15881" width="13.5703125" style="561" customWidth="1"/>
    <col min="15882" max="15882" width="13.140625" style="561" customWidth="1"/>
    <col min="15883" max="15883" width="20" style="561" customWidth="1"/>
    <col min="15884" max="15884" width="9.140625" style="561"/>
    <col min="15885" max="15885" width="12.85546875" style="561" bestFit="1" customWidth="1"/>
    <col min="15886" max="16128" width="9.140625" style="561"/>
    <col min="16129" max="16129" width="21.42578125" style="561" customWidth="1"/>
    <col min="16130" max="16130" width="13.7109375" style="561" customWidth="1"/>
    <col min="16131" max="16131" width="12.5703125" style="561" customWidth="1"/>
    <col min="16132" max="16132" width="11.28515625" style="561" customWidth="1"/>
    <col min="16133" max="16134" width="11.140625" style="561" customWidth="1"/>
    <col min="16135" max="16135" width="13" style="561" customWidth="1"/>
    <col min="16136" max="16136" width="12.42578125" style="561" customWidth="1"/>
    <col min="16137" max="16137" width="13.5703125" style="561" customWidth="1"/>
    <col min="16138" max="16138" width="13.140625" style="561" customWidth="1"/>
    <col min="16139" max="16139" width="20" style="561" customWidth="1"/>
    <col min="16140" max="16140" width="9.140625" style="561"/>
    <col min="16141" max="16141" width="12.85546875" style="561" bestFit="1" customWidth="1"/>
    <col min="16142" max="16384" width="9.140625" style="561"/>
  </cols>
  <sheetData>
    <row r="1" spans="1:13" ht="31.5" customHeight="1">
      <c r="A1" s="1875" t="s">
        <v>2114</v>
      </c>
      <c r="B1" s="1876"/>
      <c r="C1" s="1876"/>
      <c r="D1" s="1876"/>
      <c r="E1" s="1876"/>
      <c r="F1" s="1876"/>
      <c r="G1" s="1876"/>
      <c r="H1" s="1876"/>
      <c r="I1" s="1876"/>
      <c r="J1" s="1876"/>
      <c r="K1" s="1876"/>
    </row>
    <row r="2" spans="1:13" ht="12.75" customHeight="1">
      <c r="A2" s="1877"/>
      <c r="B2" s="1877"/>
      <c r="C2" s="1877"/>
      <c r="D2" s="1877"/>
      <c r="E2" s="1877"/>
      <c r="F2" s="1877"/>
      <c r="G2" s="1877"/>
      <c r="H2" s="1877"/>
      <c r="I2" s="1877"/>
      <c r="J2" s="1877"/>
      <c r="K2" s="1877"/>
    </row>
    <row r="3" spans="1:13" ht="26.25" customHeight="1">
      <c r="A3" s="1815" t="s">
        <v>2133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</row>
    <row r="4" spans="1:13" ht="12.75" customHeight="1">
      <c r="A4" s="1877"/>
      <c r="B4" s="1877"/>
      <c r="C4" s="1877"/>
      <c r="D4" s="1877"/>
      <c r="E4" s="1877"/>
      <c r="F4" s="1877"/>
      <c r="G4" s="1877"/>
      <c r="H4" s="1877"/>
      <c r="I4" s="1877"/>
      <c r="J4" s="1877"/>
      <c r="K4" s="1877"/>
    </row>
    <row r="5" spans="1:13" s="660" customFormat="1" ht="11.25">
      <c r="A5" s="1716" t="s">
        <v>2116</v>
      </c>
      <c r="B5" s="1716"/>
      <c r="C5" s="1716"/>
      <c r="D5" s="1716"/>
      <c r="E5" s="1716"/>
      <c r="F5" s="1716"/>
      <c r="G5" s="1716"/>
      <c r="H5" s="1716"/>
      <c r="I5" s="1716"/>
      <c r="J5" s="1716"/>
      <c r="K5" s="1716"/>
    </row>
    <row r="6" spans="1:13" ht="12.75" customHeight="1">
      <c r="A6" s="1695" t="s">
        <v>846</v>
      </c>
      <c r="B6" s="1698" t="s">
        <v>2063</v>
      </c>
      <c r="C6" s="1699" t="s">
        <v>2117</v>
      </c>
      <c r="D6" s="1700"/>
      <c r="E6" s="1700"/>
      <c r="F6" s="1700"/>
      <c r="G6" s="1700"/>
      <c r="H6" s="1700"/>
      <c r="I6" s="1700"/>
      <c r="J6" s="1701"/>
      <c r="K6" s="1705"/>
    </row>
    <row r="7" spans="1:13" ht="12.75" customHeight="1">
      <c r="A7" s="1696"/>
      <c r="B7" s="1698"/>
      <c r="C7" s="1708" t="s">
        <v>2065</v>
      </c>
      <c r="D7" s="1699" t="s">
        <v>2066</v>
      </c>
      <c r="E7" s="1700"/>
      <c r="F7" s="1700"/>
      <c r="G7" s="1700"/>
      <c r="H7" s="1701"/>
      <c r="I7" s="1710" t="s">
        <v>2067</v>
      </c>
      <c r="J7" s="1708" t="s">
        <v>2068</v>
      </c>
      <c r="K7" s="1706"/>
    </row>
    <row r="8" spans="1:13" ht="54" customHeight="1">
      <c r="A8" s="1696"/>
      <c r="B8" s="1698"/>
      <c r="C8" s="1709"/>
      <c r="D8" s="661" t="s">
        <v>2069</v>
      </c>
      <c r="E8" s="661" t="s">
        <v>2070</v>
      </c>
      <c r="F8" s="661" t="s">
        <v>2071</v>
      </c>
      <c r="G8" s="661" t="s">
        <v>2072</v>
      </c>
      <c r="H8" s="661" t="s">
        <v>2073</v>
      </c>
      <c r="I8" s="1710"/>
      <c r="J8" s="1709"/>
      <c r="K8" s="1706"/>
    </row>
    <row r="9" spans="1:13" ht="12.75" customHeight="1">
      <c r="A9" s="1696"/>
      <c r="B9" s="1702" t="s">
        <v>2074</v>
      </c>
      <c r="C9" s="1711" t="s">
        <v>2075</v>
      </c>
      <c r="D9" s="1712"/>
      <c r="E9" s="1712"/>
      <c r="F9" s="1712"/>
      <c r="G9" s="1712"/>
      <c r="H9" s="1712"/>
      <c r="I9" s="1712"/>
      <c r="J9" s="1713"/>
      <c r="K9" s="1706"/>
    </row>
    <row r="10" spans="1:13" ht="12.75" customHeight="1">
      <c r="A10" s="1696"/>
      <c r="B10" s="1703"/>
      <c r="C10" s="1714" t="s">
        <v>2076</v>
      </c>
      <c r="D10" s="1710" t="s">
        <v>2077</v>
      </c>
      <c r="E10" s="1710"/>
      <c r="F10" s="1710"/>
      <c r="G10" s="1710"/>
      <c r="H10" s="1710"/>
      <c r="I10" s="1710" t="s">
        <v>2078</v>
      </c>
      <c r="J10" s="1708" t="s">
        <v>2118</v>
      </c>
      <c r="K10" s="1706"/>
    </row>
    <row r="11" spans="1:13" ht="63" customHeight="1">
      <c r="A11" s="1697"/>
      <c r="B11" s="1704"/>
      <c r="C11" s="1715"/>
      <c r="D11" s="661" t="s">
        <v>2080</v>
      </c>
      <c r="E11" s="661" t="s">
        <v>2119</v>
      </c>
      <c r="F11" s="661" t="s">
        <v>2082</v>
      </c>
      <c r="G11" s="661" t="s">
        <v>2120</v>
      </c>
      <c r="H11" s="661" t="s">
        <v>2084</v>
      </c>
      <c r="I11" s="1710"/>
      <c r="J11" s="1709"/>
      <c r="K11" s="1707"/>
    </row>
    <row r="12" spans="1:13" s="666" customFormat="1" ht="24">
      <c r="A12" s="663" t="s">
        <v>2121</v>
      </c>
      <c r="B12" s="686">
        <v>26956605.600000001</v>
      </c>
      <c r="C12" s="664">
        <v>6139565.5</v>
      </c>
      <c r="D12" s="686">
        <v>20147007.100000001</v>
      </c>
      <c r="E12" s="664">
        <v>1985410.7</v>
      </c>
      <c r="F12" s="664">
        <v>684915.6</v>
      </c>
      <c r="G12" s="686">
        <v>120886.7</v>
      </c>
      <c r="H12" s="664">
        <v>2539476.2999999998</v>
      </c>
      <c r="I12" s="686">
        <v>1434550.4</v>
      </c>
      <c r="J12" s="664">
        <v>44358.8</v>
      </c>
      <c r="K12" s="665" t="s">
        <v>2122</v>
      </c>
      <c r="M12" s="691"/>
    </row>
    <row r="13" spans="1:13" ht="36">
      <c r="A13" s="667" t="s">
        <v>2123</v>
      </c>
      <c r="B13" s="687">
        <v>26439635.699999999</v>
      </c>
      <c r="C13" s="668">
        <v>24966195.5</v>
      </c>
      <c r="D13" s="687">
        <v>19839896.699999999</v>
      </c>
      <c r="E13" s="668">
        <v>1836703.1</v>
      </c>
      <c r="F13" s="668">
        <v>674150.6</v>
      </c>
      <c r="G13" s="687">
        <v>115797.7</v>
      </c>
      <c r="H13" s="668">
        <v>2499647.4</v>
      </c>
      <c r="I13" s="687">
        <v>1429081.4</v>
      </c>
      <c r="J13" s="668">
        <v>44358.8</v>
      </c>
      <c r="K13" s="669" t="s">
        <v>2124</v>
      </c>
    </row>
    <row r="14" spans="1:13" ht="28.5" customHeight="1">
      <c r="A14" s="670" t="s">
        <v>2089</v>
      </c>
      <c r="B14" s="687">
        <v>17423282.899999999</v>
      </c>
      <c r="C14" s="668">
        <v>16881311.199999999</v>
      </c>
      <c r="D14" s="687">
        <v>13553758</v>
      </c>
      <c r="E14" s="668">
        <v>1495347.7</v>
      </c>
      <c r="F14" s="668">
        <v>324397.3</v>
      </c>
      <c r="G14" s="687">
        <v>101601.7</v>
      </c>
      <c r="H14" s="668">
        <v>1406206.5</v>
      </c>
      <c r="I14" s="687">
        <v>540761.69999999995</v>
      </c>
      <c r="J14" s="668">
        <v>1210</v>
      </c>
      <c r="K14" s="670" t="s">
        <v>2090</v>
      </c>
    </row>
    <row r="15" spans="1:13" ht="20.25" customHeight="1">
      <c r="A15" s="670" t="s">
        <v>2093</v>
      </c>
      <c r="B15" s="687">
        <v>8747263.5999999996</v>
      </c>
      <c r="C15" s="668">
        <v>7817403.0999999996</v>
      </c>
      <c r="D15" s="687">
        <v>6080469.5999999996</v>
      </c>
      <c r="E15" s="668">
        <v>317263.09999999998</v>
      </c>
      <c r="F15" s="668">
        <v>322837.5</v>
      </c>
      <c r="G15" s="687">
        <v>14196</v>
      </c>
      <c r="H15" s="668">
        <v>1082636.8999999999</v>
      </c>
      <c r="I15" s="687">
        <v>886846.7</v>
      </c>
      <c r="J15" s="668">
        <v>43013.8</v>
      </c>
      <c r="K15" s="670" t="s">
        <v>2094</v>
      </c>
    </row>
    <row r="16" spans="1:13" ht="15" customHeight="1">
      <c r="A16" s="670" t="s">
        <v>2125</v>
      </c>
      <c r="B16" s="687">
        <v>256752.2</v>
      </c>
      <c r="C16" s="668">
        <v>255279.2</v>
      </c>
      <c r="D16" s="687">
        <v>193599.1</v>
      </c>
      <c r="E16" s="668">
        <v>23960.3</v>
      </c>
      <c r="F16" s="668">
        <v>26915.8</v>
      </c>
      <c r="G16" s="689" t="s">
        <v>8</v>
      </c>
      <c r="H16" s="668">
        <v>10804</v>
      </c>
      <c r="I16" s="687">
        <v>1473</v>
      </c>
      <c r="J16" s="672" t="s">
        <v>8</v>
      </c>
      <c r="K16" s="670" t="s">
        <v>2126</v>
      </c>
    </row>
    <row r="17" spans="1:11" ht="24">
      <c r="A17" s="670" t="s">
        <v>2127</v>
      </c>
      <c r="B17" s="687">
        <v>12337</v>
      </c>
      <c r="C17" s="688">
        <v>12202</v>
      </c>
      <c r="D17" s="687">
        <v>12070</v>
      </c>
      <c r="E17" s="668">
        <v>132</v>
      </c>
      <c r="F17" s="672" t="s">
        <v>8</v>
      </c>
      <c r="G17" s="689" t="s">
        <v>8</v>
      </c>
      <c r="H17" s="672" t="s">
        <v>8</v>
      </c>
      <c r="I17" s="689" t="s">
        <v>8</v>
      </c>
      <c r="J17" s="668">
        <v>135</v>
      </c>
      <c r="K17" s="670" t="s">
        <v>2128</v>
      </c>
    </row>
    <row r="18" spans="1:11" ht="24">
      <c r="A18" s="673" t="s">
        <v>2131</v>
      </c>
      <c r="B18" s="690">
        <v>516969.9</v>
      </c>
      <c r="C18" s="674">
        <v>511500.9</v>
      </c>
      <c r="D18" s="690">
        <v>307110.40000000002</v>
      </c>
      <c r="E18" s="674">
        <v>148707.6</v>
      </c>
      <c r="F18" s="674">
        <v>10765</v>
      </c>
      <c r="G18" s="690">
        <v>5089</v>
      </c>
      <c r="H18" s="674">
        <v>39828.9</v>
      </c>
      <c r="I18" s="690">
        <v>5469</v>
      </c>
      <c r="J18" s="678" t="s">
        <v>8</v>
      </c>
      <c r="K18" s="679" t="s">
        <v>2132</v>
      </c>
    </row>
  </sheetData>
  <mergeCells count="19">
    <mergeCell ref="A6:A11"/>
    <mergeCell ref="B6:B8"/>
    <mergeCell ref="C6:J6"/>
    <mergeCell ref="K6:K11"/>
    <mergeCell ref="C7:C8"/>
    <mergeCell ref="D7:H7"/>
    <mergeCell ref="I7:I8"/>
    <mergeCell ref="J7:J8"/>
    <mergeCell ref="B9:B11"/>
    <mergeCell ref="C9:J9"/>
    <mergeCell ref="C10:C11"/>
    <mergeCell ref="D10:H10"/>
    <mergeCell ref="I10:I11"/>
    <mergeCell ref="J10:J11"/>
    <mergeCell ref="A1:K1"/>
    <mergeCell ref="A2:K2"/>
    <mergeCell ref="A3:K3"/>
    <mergeCell ref="A4:K4"/>
    <mergeCell ref="A5:K5"/>
  </mergeCells>
  <printOptions horizontalCentered="1"/>
  <pageMargins left="0.51181102362204722" right="0.51181102362204722" top="0.78740157480314965" bottom="0.78740157480314965" header="0.59055118110236227" footer="0.59055118110236227"/>
  <pageSetup paperSize="9" scale="90" firstPageNumber="30" orientation="landscape" useFirstPageNumber="1" r:id="rId1"/>
  <headerFooter alignWithMargins="0">
    <oddFooter>&amp;R&amp;P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L23"/>
  <sheetViews>
    <sheetView topLeftCell="C4" workbookViewId="0">
      <selection activeCell="C19" sqref="C19"/>
    </sheetView>
  </sheetViews>
  <sheetFormatPr defaultRowHeight="12.75"/>
  <cols>
    <col min="1" max="1" width="25.140625" style="676" customWidth="1"/>
    <col min="2" max="2" width="13.85546875" style="561" customWidth="1"/>
    <col min="3" max="3" width="13.5703125" style="561" customWidth="1"/>
    <col min="4" max="4" width="20.42578125" style="561" customWidth="1"/>
    <col min="5" max="6" width="11.85546875" style="561" customWidth="1"/>
    <col min="7" max="7" width="12.42578125" style="561" customWidth="1"/>
    <col min="8" max="8" width="13.42578125" style="561" customWidth="1"/>
    <col min="9" max="9" width="13.7109375" style="561" customWidth="1"/>
    <col min="10" max="10" width="14.5703125" style="561" customWidth="1"/>
    <col min="11" max="11" width="25.42578125" style="561" customWidth="1"/>
    <col min="12" max="12" width="24.140625" style="561" customWidth="1"/>
    <col min="13" max="256" width="9.140625" style="561"/>
    <col min="257" max="257" width="25.140625" style="561" customWidth="1"/>
    <col min="258" max="258" width="13.85546875" style="561" customWidth="1"/>
    <col min="259" max="259" width="13.5703125" style="561" customWidth="1"/>
    <col min="260" max="260" width="12.7109375" style="561" customWidth="1"/>
    <col min="261" max="262" width="11.85546875" style="561" customWidth="1"/>
    <col min="263" max="263" width="12.42578125" style="561" customWidth="1"/>
    <col min="264" max="264" width="13.42578125" style="561" customWidth="1"/>
    <col min="265" max="265" width="13.7109375" style="561" customWidth="1"/>
    <col min="266" max="266" width="14.5703125" style="561" customWidth="1"/>
    <col min="267" max="267" width="25.42578125" style="561" customWidth="1"/>
    <col min="268" max="512" width="9.140625" style="561"/>
    <col min="513" max="513" width="25.140625" style="561" customWidth="1"/>
    <col min="514" max="514" width="13.85546875" style="561" customWidth="1"/>
    <col min="515" max="515" width="13.5703125" style="561" customWidth="1"/>
    <col min="516" max="516" width="12.7109375" style="561" customWidth="1"/>
    <col min="517" max="518" width="11.85546875" style="561" customWidth="1"/>
    <col min="519" max="519" width="12.42578125" style="561" customWidth="1"/>
    <col min="520" max="520" width="13.42578125" style="561" customWidth="1"/>
    <col min="521" max="521" width="13.7109375" style="561" customWidth="1"/>
    <col min="522" max="522" width="14.5703125" style="561" customWidth="1"/>
    <col min="523" max="523" width="25.42578125" style="561" customWidth="1"/>
    <col min="524" max="768" width="9.140625" style="561"/>
    <col min="769" max="769" width="25.140625" style="561" customWidth="1"/>
    <col min="770" max="770" width="13.85546875" style="561" customWidth="1"/>
    <col min="771" max="771" width="13.5703125" style="561" customWidth="1"/>
    <col min="772" max="772" width="12.7109375" style="561" customWidth="1"/>
    <col min="773" max="774" width="11.85546875" style="561" customWidth="1"/>
    <col min="775" max="775" width="12.42578125" style="561" customWidth="1"/>
    <col min="776" max="776" width="13.42578125" style="561" customWidth="1"/>
    <col min="777" max="777" width="13.7109375" style="561" customWidth="1"/>
    <col min="778" max="778" width="14.5703125" style="561" customWidth="1"/>
    <col min="779" max="779" width="25.42578125" style="561" customWidth="1"/>
    <col min="780" max="1024" width="9.140625" style="561"/>
    <col min="1025" max="1025" width="25.140625" style="561" customWidth="1"/>
    <col min="1026" max="1026" width="13.85546875" style="561" customWidth="1"/>
    <col min="1027" max="1027" width="13.5703125" style="561" customWidth="1"/>
    <col min="1028" max="1028" width="12.7109375" style="561" customWidth="1"/>
    <col min="1029" max="1030" width="11.85546875" style="561" customWidth="1"/>
    <col min="1031" max="1031" width="12.42578125" style="561" customWidth="1"/>
    <col min="1032" max="1032" width="13.42578125" style="561" customWidth="1"/>
    <col min="1033" max="1033" width="13.7109375" style="561" customWidth="1"/>
    <col min="1034" max="1034" width="14.5703125" style="561" customWidth="1"/>
    <col min="1035" max="1035" width="25.42578125" style="561" customWidth="1"/>
    <col min="1036" max="1280" width="9.140625" style="561"/>
    <col min="1281" max="1281" width="25.140625" style="561" customWidth="1"/>
    <col min="1282" max="1282" width="13.85546875" style="561" customWidth="1"/>
    <col min="1283" max="1283" width="13.5703125" style="561" customWidth="1"/>
    <col min="1284" max="1284" width="12.7109375" style="561" customWidth="1"/>
    <col min="1285" max="1286" width="11.85546875" style="561" customWidth="1"/>
    <col min="1287" max="1287" width="12.42578125" style="561" customWidth="1"/>
    <col min="1288" max="1288" width="13.42578125" style="561" customWidth="1"/>
    <col min="1289" max="1289" width="13.7109375" style="561" customWidth="1"/>
    <col min="1290" max="1290" width="14.5703125" style="561" customWidth="1"/>
    <col min="1291" max="1291" width="25.42578125" style="561" customWidth="1"/>
    <col min="1292" max="1536" width="9.140625" style="561"/>
    <col min="1537" max="1537" width="25.140625" style="561" customWidth="1"/>
    <col min="1538" max="1538" width="13.85546875" style="561" customWidth="1"/>
    <col min="1539" max="1539" width="13.5703125" style="561" customWidth="1"/>
    <col min="1540" max="1540" width="12.7109375" style="561" customWidth="1"/>
    <col min="1541" max="1542" width="11.85546875" style="561" customWidth="1"/>
    <col min="1543" max="1543" width="12.42578125" style="561" customWidth="1"/>
    <col min="1544" max="1544" width="13.42578125" style="561" customWidth="1"/>
    <col min="1545" max="1545" width="13.7109375" style="561" customWidth="1"/>
    <col min="1546" max="1546" width="14.5703125" style="561" customWidth="1"/>
    <col min="1547" max="1547" width="25.42578125" style="561" customWidth="1"/>
    <col min="1548" max="1792" width="9.140625" style="561"/>
    <col min="1793" max="1793" width="25.140625" style="561" customWidth="1"/>
    <col min="1794" max="1794" width="13.85546875" style="561" customWidth="1"/>
    <col min="1795" max="1795" width="13.5703125" style="561" customWidth="1"/>
    <col min="1796" max="1796" width="12.7109375" style="561" customWidth="1"/>
    <col min="1797" max="1798" width="11.85546875" style="561" customWidth="1"/>
    <col min="1799" max="1799" width="12.42578125" style="561" customWidth="1"/>
    <col min="1800" max="1800" width="13.42578125" style="561" customWidth="1"/>
    <col min="1801" max="1801" width="13.7109375" style="561" customWidth="1"/>
    <col min="1802" max="1802" width="14.5703125" style="561" customWidth="1"/>
    <col min="1803" max="1803" width="25.42578125" style="561" customWidth="1"/>
    <col min="1804" max="2048" width="9.140625" style="561"/>
    <col min="2049" max="2049" width="25.140625" style="561" customWidth="1"/>
    <col min="2050" max="2050" width="13.85546875" style="561" customWidth="1"/>
    <col min="2051" max="2051" width="13.5703125" style="561" customWidth="1"/>
    <col min="2052" max="2052" width="12.7109375" style="561" customWidth="1"/>
    <col min="2053" max="2054" width="11.85546875" style="561" customWidth="1"/>
    <col min="2055" max="2055" width="12.42578125" style="561" customWidth="1"/>
    <col min="2056" max="2056" width="13.42578125" style="561" customWidth="1"/>
    <col min="2057" max="2057" width="13.7109375" style="561" customWidth="1"/>
    <col min="2058" max="2058" width="14.5703125" style="561" customWidth="1"/>
    <col min="2059" max="2059" width="25.42578125" style="561" customWidth="1"/>
    <col min="2060" max="2304" width="9.140625" style="561"/>
    <col min="2305" max="2305" width="25.140625" style="561" customWidth="1"/>
    <col min="2306" max="2306" width="13.85546875" style="561" customWidth="1"/>
    <col min="2307" max="2307" width="13.5703125" style="561" customWidth="1"/>
    <col min="2308" max="2308" width="12.7109375" style="561" customWidth="1"/>
    <col min="2309" max="2310" width="11.85546875" style="561" customWidth="1"/>
    <col min="2311" max="2311" width="12.42578125" style="561" customWidth="1"/>
    <col min="2312" max="2312" width="13.42578125" style="561" customWidth="1"/>
    <col min="2313" max="2313" width="13.7109375" style="561" customWidth="1"/>
    <col min="2314" max="2314" width="14.5703125" style="561" customWidth="1"/>
    <col min="2315" max="2315" width="25.42578125" style="561" customWidth="1"/>
    <col min="2316" max="2560" width="9.140625" style="561"/>
    <col min="2561" max="2561" width="25.140625" style="561" customWidth="1"/>
    <col min="2562" max="2562" width="13.85546875" style="561" customWidth="1"/>
    <col min="2563" max="2563" width="13.5703125" style="561" customWidth="1"/>
    <col min="2564" max="2564" width="12.7109375" style="561" customWidth="1"/>
    <col min="2565" max="2566" width="11.85546875" style="561" customWidth="1"/>
    <col min="2567" max="2567" width="12.42578125" style="561" customWidth="1"/>
    <col min="2568" max="2568" width="13.42578125" style="561" customWidth="1"/>
    <col min="2569" max="2569" width="13.7109375" style="561" customWidth="1"/>
    <col min="2570" max="2570" width="14.5703125" style="561" customWidth="1"/>
    <col min="2571" max="2571" width="25.42578125" style="561" customWidth="1"/>
    <col min="2572" max="2816" width="9.140625" style="561"/>
    <col min="2817" max="2817" width="25.140625" style="561" customWidth="1"/>
    <col min="2818" max="2818" width="13.85546875" style="561" customWidth="1"/>
    <col min="2819" max="2819" width="13.5703125" style="561" customWidth="1"/>
    <col min="2820" max="2820" width="12.7109375" style="561" customWidth="1"/>
    <col min="2821" max="2822" width="11.85546875" style="561" customWidth="1"/>
    <col min="2823" max="2823" width="12.42578125" style="561" customWidth="1"/>
    <col min="2824" max="2824" width="13.42578125" style="561" customWidth="1"/>
    <col min="2825" max="2825" width="13.7109375" style="561" customWidth="1"/>
    <col min="2826" max="2826" width="14.5703125" style="561" customWidth="1"/>
    <col min="2827" max="2827" width="25.42578125" style="561" customWidth="1"/>
    <col min="2828" max="3072" width="9.140625" style="561"/>
    <col min="3073" max="3073" width="25.140625" style="561" customWidth="1"/>
    <col min="3074" max="3074" width="13.85546875" style="561" customWidth="1"/>
    <col min="3075" max="3075" width="13.5703125" style="561" customWidth="1"/>
    <col min="3076" max="3076" width="12.7109375" style="561" customWidth="1"/>
    <col min="3077" max="3078" width="11.85546875" style="561" customWidth="1"/>
    <col min="3079" max="3079" width="12.42578125" style="561" customWidth="1"/>
    <col min="3080" max="3080" width="13.42578125" style="561" customWidth="1"/>
    <col min="3081" max="3081" width="13.7109375" style="561" customWidth="1"/>
    <col min="3082" max="3082" width="14.5703125" style="561" customWidth="1"/>
    <col min="3083" max="3083" width="25.42578125" style="561" customWidth="1"/>
    <col min="3084" max="3328" width="9.140625" style="561"/>
    <col min="3329" max="3329" width="25.140625" style="561" customWidth="1"/>
    <col min="3330" max="3330" width="13.85546875" style="561" customWidth="1"/>
    <col min="3331" max="3331" width="13.5703125" style="561" customWidth="1"/>
    <col min="3332" max="3332" width="12.7109375" style="561" customWidth="1"/>
    <col min="3333" max="3334" width="11.85546875" style="561" customWidth="1"/>
    <col min="3335" max="3335" width="12.42578125" style="561" customWidth="1"/>
    <col min="3336" max="3336" width="13.42578125" style="561" customWidth="1"/>
    <col min="3337" max="3337" width="13.7109375" style="561" customWidth="1"/>
    <col min="3338" max="3338" width="14.5703125" style="561" customWidth="1"/>
    <col min="3339" max="3339" width="25.42578125" style="561" customWidth="1"/>
    <col min="3340" max="3584" width="9.140625" style="561"/>
    <col min="3585" max="3585" width="25.140625" style="561" customWidth="1"/>
    <col min="3586" max="3586" width="13.85546875" style="561" customWidth="1"/>
    <col min="3587" max="3587" width="13.5703125" style="561" customWidth="1"/>
    <col min="3588" max="3588" width="12.7109375" style="561" customWidth="1"/>
    <col min="3589" max="3590" width="11.85546875" style="561" customWidth="1"/>
    <col min="3591" max="3591" width="12.42578125" style="561" customWidth="1"/>
    <col min="3592" max="3592" width="13.42578125" style="561" customWidth="1"/>
    <col min="3593" max="3593" width="13.7109375" style="561" customWidth="1"/>
    <col min="3594" max="3594" width="14.5703125" style="561" customWidth="1"/>
    <col min="3595" max="3595" width="25.42578125" style="561" customWidth="1"/>
    <col min="3596" max="3840" width="9.140625" style="561"/>
    <col min="3841" max="3841" width="25.140625" style="561" customWidth="1"/>
    <col min="3842" max="3842" width="13.85546875" style="561" customWidth="1"/>
    <col min="3843" max="3843" width="13.5703125" style="561" customWidth="1"/>
    <col min="3844" max="3844" width="12.7109375" style="561" customWidth="1"/>
    <col min="3845" max="3846" width="11.85546875" style="561" customWidth="1"/>
    <col min="3847" max="3847" width="12.42578125" style="561" customWidth="1"/>
    <col min="3848" max="3848" width="13.42578125" style="561" customWidth="1"/>
    <col min="3849" max="3849" width="13.7109375" style="561" customWidth="1"/>
    <col min="3850" max="3850" width="14.5703125" style="561" customWidth="1"/>
    <col min="3851" max="3851" width="25.42578125" style="561" customWidth="1"/>
    <col min="3852" max="4096" width="9.140625" style="561"/>
    <col min="4097" max="4097" width="25.140625" style="561" customWidth="1"/>
    <col min="4098" max="4098" width="13.85546875" style="561" customWidth="1"/>
    <col min="4099" max="4099" width="13.5703125" style="561" customWidth="1"/>
    <col min="4100" max="4100" width="12.7109375" style="561" customWidth="1"/>
    <col min="4101" max="4102" width="11.85546875" style="561" customWidth="1"/>
    <col min="4103" max="4103" width="12.42578125" style="561" customWidth="1"/>
    <col min="4104" max="4104" width="13.42578125" style="561" customWidth="1"/>
    <col min="4105" max="4105" width="13.7109375" style="561" customWidth="1"/>
    <col min="4106" max="4106" width="14.5703125" style="561" customWidth="1"/>
    <col min="4107" max="4107" width="25.42578125" style="561" customWidth="1"/>
    <col min="4108" max="4352" width="9.140625" style="561"/>
    <col min="4353" max="4353" width="25.140625" style="561" customWidth="1"/>
    <col min="4354" max="4354" width="13.85546875" style="561" customWidth="1"/>
    <col min="4355" max="4355" width="13.5703125" style="561" customWidth="1"/>
    <col min="4356" max="4356" width="12.7109375" style="561" customWidth="1"/>
    <col min="4357" max="4358" width="11.85546875" style="561" customWidth="1"/>
    <col min="4359" max="4359" width="12.42578125" style="561" customWidth="1"/>
    <col min="4360" max="4360" width="13.42578125" style="561" customWidth="1"/>
    <col min="4361" max="4361" width="13.7109375" style="561" customWidth="1"/>
    <col min="4362" max="4362" width="14.5703125" style="561" customWidth="1"/>
    <col min="4363" max="4363" width="25.42578125" style="561" customWidth="1"/>
    <col min="4364" max="4608" width="9.140625" style="561"/>
    <col min="4609" max="4609" width="25.140625" style="561" customWidth="1"/>
    <col min="4610" max="4610" width="13.85546875" style="561" customWidth="1"/>
    <col min="4611" max="4611" width="13.5703125" style="561" customWidth="1"/>
    <col min="4612" max="4612" width="12.7109375" style="561" customWidth="1"/>
    <col min="4613" max="4614" width="11.85546875" style="561" customWidth="1"/>
    <col min="4615" max="4615" width="12.42578125" style="561" customWidth="1"/>
    <col min="4616" max="4616" width="13.42578125" style="561" customWidth="1"/>
    <col min="4617" max="4617" width="13.7109375" style="561" customWidth="1"/>
    <col min="4618" max="4618" width="14.5703125" style="561" customWidth="1"/>
    <col min="4619" max="4619" width="25.42578125" style="561" customWidth="1"/>
    <col min="4620" max="4864" width="9.140625" style="561"/>
    <col min="4865" max="4865" width="25.140625" style="561" customWidth="1"/>
    <col min="4866" max="4866" width="13.85546875" style="561" customWidth="1"/>
    <col min="4867" max="4867" width="13.5703125" style="561" customWidth="1"/>
    <col min="4868" max="4868" width="12.7109375" style="561" customWidth="1"/>
    <col min="4869" max="4870" width="11.85546875" style="561" customWidth="1"/>
    <col min="4871" max="4871" width="12.42578125" style="561" customWidth="1"/>
    <col min="4872" max="4872" width="13.42578125" style="561" customWidth="1"/>
    <col min="4873" max="4873" width="13.7109375" style="561" customWidth="1"/>
    <col min="4874" max="4874" width="14.5703125" style="561" customWidth="1"/>
    <col min="4875" max="4875" width="25.42578125" style="561" customWidth="1"/>
    <col min="4876" max="5120" width="9.140625" style="561"/>
    <col min="5121" max="5121" width="25.140625" style="561" customWidth="1"/>
    <col min="5122" max="5122" width="13.85546875" style="561" customWidth="1"/>
    <col min="5123" max="5123" width="13.5703125" style="561" customWidth="1"/>
    <col min="5124" max="5124" width="12.7109375" style="561" customWidth="1"/>
    <col min="5125" max="5126" width="11.85546875" style="561" customWidth="1"/>
    <col min="5127" max="5127" width="12.42578125" style="561" customWidth="1"/>
    <col min="5128" max="5128" width="13.42578125" style="561" customWidth="1"/>
    <col min="5129" max="5129" width="13.7109375" style="561" customWidth="1"/>
    <col min="5130" max="5130" width="14.5703125" style="561" customWidth="1"/>
    <col min="5131" max="5131" width="25.42578125" style="561" customWidth="1"/>
    <col min="5132" max="5376" width="9.140625" style="561"/>
    <col min="5377" max="5377" width="25.140625" style="561" customWidth="1"/>
    <col min="5378" max="5378" width="13.85546875" style="561" customWidth="1"/>
    <col min="5379" max="5379" width="13.5703125" style="561" customWidth="1"/>
    <col min="5380" max="5380" width="12.7109375" style="561" customWidth="1"/>
    <col min="5381" max="5382" width="11.85546875" style="561" customWidth="1"/>
    <col min="5383" max="5383" width="12.42578125" style="561" customWidth="1"/>
    <col min="5384" max="5384" width="13.42578125" style="561" customWidth="1"/>
    <col min="5385" max="5385" width="13.7109375" style="561" customWidth="1"/>
    <col min="5386" max="5386" width="14.5703125" style="561" customWidth="1"/>
    <col min="5387" max="5387" width="25.42578125" style="561" customWidth="1"/>
    <col min="5388" max="5632" width="9.140625" style="561"/>
    <col min="5633" max="5633" width="25.140625" style="561" customWidth="1"/>
    <col min="5634" max="5634" width="13.85546875" style="561" customWidth="1"/>
    <col min="5635" max="5635" width="13.5703125" style="561" customWidth="1"/>
    <col min="5636" max="5636" width="12.7109375" style="561" customWidth="1"/>
    <col min="5637" max="5638" width="11.85546875" style="561" customWidth="1"/>
    <col min="5639" max="5639" width="12.42578125" style="561" customWidth="1"/>
    <col min="5640" max="5640" width="13.42578125" style="561" customWidth="1"/>
    <col min="5641" max="5641" width="13.7109375" style="561" customWidth="1"/>
    <col min="5642" max="5642" width="14.5703125" style="561" customWidth="1"/>
    <col min="5643" max="5643" width="25.42578125" style="561" customWidth="1"/>
    <col min="5644" max="5888" width="9.140625" style="561"/>
    <col min="5889" max="5889" width="25.140625" style="561" customWidth="1"/>
    <col min="5890" max="5890" width="13.85546875" style="561" customWidth="1"/>
    <col min="5891" max="5891" width="13.5703125" style="561" customWidth="1"/>
    <col min="5892" max="5892" width="12.7109375" style="561" customWidth="1"/>
    <col min="5893" max="5894" width="11.85546875" style="561" customWidth="1"/>
    <col min="5895" max="5895" width="12.42578125" style="561" customWidth="1"/>
    <col min="5896" max="5896" width="13.42578125" style="561" customWidth="1"/>
    <col min="5897" max="5897" width="13.7109375" style="561" customWidth="1"/>
    <col min="5898" max="5898" width="14.5703125" style="561" customWidth="1"/>
    <col min="5899" max="5899" width="25.42578125" style="561" customWidth="1"/>
    <col min="5900" max="6144" width="9.140625" style="561"/>
    <col min="6145" max="6145" width="25.140625" style="561" customWidth="1"/>
    <col min="6146" max="6146" width="13.85546875" style="561" customWidth="1"/>
    <col min="6147" max="6147" width="13.5703125" style="561" customWidth="1"/>
    <col min="6148" max="6148" width="12.7109375" style="561" customWidth="1"/>
    <col min="6149" max="6150" width="11.85546875" style="561" customWidth="1"/>
    <col min="6151" max="6151" width="12.42578125" style="561" customWidth="1"/>
    <col min="6152" max="6152" width="13.42578125" style="561" customWidth="1"/>
    <col min="6153" max="6153" width="13.7109375" style="561" customWidth="1"/>
    <col min="6154" max="6154" width="14.5703125" style="561" customWidth="1"/>
    <col min="6155" max="6155" width="25.42578125" style="561" customWidth="1"/>
    <col min="6156" max="6400" width="9.140625" style="561"/>
    <col min="6401" max="6401" width="25.140625" style="561" customWidth="1"/>
    <col min="6402" max="6402" width="13.85546875" style="561" customWidth="1"/>
    <col min="6403" max="6403" width="13.5703125" style="561" customWidth="1"/>
    <col min="6404" max="6404" width="12.7109375" style="561" customWidth="1"/>
    <col min="6405" max="6406" width="11.85546875" style="561" customWidth="1"/>
    <col min="6407" max="6407" width="12.42578125" style="561" customWidth="1"/>
    <col min="6408" max="6408" width="13.42578125" style="561" customWidth="1"/>
    <col min="6409" max="6409" width="13.7109375" style="561" customWidth="1"/>
    <col min="6410" max="6410" width="14.5703125" style="561" customWidth="1"/>
    <col min="6411" max="6411" width="25.42578125" style="561" customWidth="1"/>
    <col min="6412" max="6656" width="9.140625" style="561"/>
    <col min="6657" max="6657" width="25.140625" style="561" customWidth="1"/>
    <col min="6658" max="6658" width="13.85546875" style="561" customWidth="1"/>
    <col min="6659" max="6659" width="13.5703125" style="561" customWidth="1"/>
    <col min="6660" max="6660" width="12.7109375" style="561" customWidth="1"/>
    <col min="6661" max="6662" width="11.85546875" style="561" customWidth="1"/>
    <col min="6663" max="6663" width="12.42578125" style="561" customWidth="1"/>
    <col min="6664" max="6664" width="13.42578125" style="561" customWidth="1"/>
    <col min="6665" max="6665" width="13.7109375" style="561" customWidth="1"/>
    <col min="6666" max="6666" width="14.5703125" style="561" customWidth="1"/>
    <col min="6667" max="6667" width="25.42578125" style="561" customWidth="1"/>
    <col min="6668" max="6912" width="9.140625" style="561"/>
    <col min="6913" max="6913" width="25.140625" style="561" customWidth="1"/>
    <col min="6914" max="6914" width="13.85546875" style="561" customWidth="1"/>
    <col min="6915" max="6915" width="13.5703125" style="561" customWidth="1"/>
    <col min="6916" max="6916" width="12.7109375" style="561" customWidth="1"/>
    <col min="6917" max="6918" width="11.85546875" style="561" customWidth="1"/>
    <col min="6919" max="6919" width="12.42578125" style="561" customWidth="1"/>
    <col min="6920" max="6920" width="13.42578125" style="561" customWidth="1"/>
    <col min="6921" max="6921" width="13.7109375" style="561" customWidth="1"/>
    <col min="6922" max="6922" width="14.5703125" style="561" customWidth="1"/>
    <col min="6923" max="6923" width="25.42578125" style="561" customWidth="1"/>
    <col min="6924" max="7168" width="9.140625" style="561"/>
    <col min="7169" max="7169" width="25.140625" style="561" customWidth="1"/>
    <col min="7170" max="7170" width="13.85546875" style="561" customWidth="1"/>
    <col min="7171" max="7171" width="13.5703125" style="561" customWidth="1"/>
    <col min="7172" max="7172" width="12.7109375" style="561" customWidth="1"/>
    <col min="7173" max="7174" width="11.85546875" style="561" customWidth="1"/>
    <col min="7175" max="7175" width="12.42578125" style="561" customWidth="1"/>
    <col min="7176" max="7176" width="13.42578125" style="561" customWidth="1"/>
    <col min="7177" max="7177" width="13.7109375" style="561" customWidth="1"/>
    <col min="7178" max="7178" width="14.5703125" style="561" customWidth="1"/>
    <col min="7179" max="7179" width="25.42578125" style="561" customWidth="1"/>
    <col min="7180" max="7424" width="9.140625" style="561"/>
    <col min="7425" max="7425" width="25.140625" style="561" customWidth="1"/>
    <col min="7426" max="7426" width="13.85546875" style="561" customWidth="1"/>
    <col min="7427" max="7427" width="13.5703125" style="561" customWidth="1"/>
    <col min="7428" max="7428" width="12.7109375" style="561" customWidth="1"/>
    <col min="7429" max="7430" width="11.85546875" style="561" customWidth="1"/>
    <col min="7431" max="7431" width="12.42578125" style="561" customWidth="1"/>
    <col min="7432" max="7432" width="13.42578125" style="561" customWidth="1"/>
    <col min="7433" max="7433" width="13.7109375" style="561" customWidth="1"/>
    <col min="7434" max="7434" width="14.5703125" style="561" customWidth="1"/>
    <col min="7435" max="7435" width="25.42578125" style="561" customWidth="1"/>
    <col min="7436" max="7680" width="9.140625" style="561"/>
    <col min="7681" max="7681" width="25.140625" style="561" customWidth="1"/>
    <col min="7682" max="7682" width="13.85546875" style="561" customWidth="1"/>
    <col min="7683" max="7683" width="13.5703125" style="561" customWidth="1"/>
    <col min="7684" max="7684" width="12.7109375" style="561" customWidth="1"/>
    <col min="7685" max="7686" width="11.85546875" style="561" customWidth="1"/>
    <col min="7687" max="7687" width="12.42578125" style="561" customWidth="1"/>
    <col min="7688" max="7688" width="13.42578125" style="561" customWidth="1"/>
    <col min="7689" max="7689" width="13.7109375" style="561" customWidth="1"/>
    <col min="7690" max="7690" width="14.5703125" style="561" customWidth="1"/>
    <col min="7691" max="7691" width="25.42578125" style="561" customWidth="1"/>
    <col min="7692" max="7936" width="9.140625" style="561"/>
    <col min="7937" max="7937" width="25.140625" style="561" customWidth="1"/>
    <col min="7938" max="7938" width="13.85546875" style="561" customWidth="1"/>
    <col min="7939" max="7939" width="13.5703125" style="561" customWidth="1"/>
    <col min="7940" max="7940" width="12.7109375" style="561" customWidth="1"/>
    <col min="7941" max="7942" width="11.85546875" style="561" customWidth="1"/>
    <col min="7943" max="7943" width="12.42578125" style="561" customWidth="1"/>
    <col min="7944" max="7944" width="13.42578125" style="561" customWidth="1"/>
    <col min="7945" max="7945" width="13.7109375" style="561" customWidth="1"/>
    <col min="7946" max="7946" width="14.5703125" style="561" customWidth="1"/>
    <col min="7947" max="7947" width="25.42578125" style="561" customWidth="1"/>
    <col min="7948" max="8192" width="9.140625" style="561"/>
    <col min="8193" max="8193" width="25.140625" style="561" customWidth="1"/>
    <col min="8194" max="8194" width="13.85546875" style="561" customWidth="1"/>
    <col min="8195" max="8195" width="13.5703125" style="561" customWidth="1"/>
    <col min="8196" max="8196" width="12.7109375" style="561" customWidth="1"/>
    <col min="8197" max="8198" width="11.85546875" style="561" customWidth="1"/>
    <col min="8199" max="8199" width="12.42578125" style="561" customWidth="1"/>
    <col min="8200" max="8200" width="13.42578125" style="561" customWidth="1"/>
    <col min="8201" max="8201" width="13.7109375" style="561" customWidth="1"/>
    <col min="8202" max="8202" width="14.5703125" style="561" customWidth="1"/>
    <col min="8203" max="8203" width="25.42578125" style="561" customWidth="1"/>
    <col min="8204" max="8448" width="9.140625" style="561"/>
    <col min="8449" max="8449" width="25.140625" style="561" customWidth="1"/>
    <col min="8450" max="8450" width="13.85546875" style="561" customWidth="1"/>
    <col min="8451" max="8451" width="13.5703125" style="561" customWidth="1"/>
    <col min="8452" max="8452" width="12.7109375" style="561" customWidth="1"/>
    <col min="8453" max="8454" width="11.85546875" style="561" customWidth="1"/>
    <col min="8455" max="8455" width="12.42578125" style="561" customWidth="1"/>
    <col min="8456" max="8456" width="13.42578125" style="561" customWidth="1"/>
    <col min="8457" max="8457" width="13.7109375" style="561" customWidth="1"/>
    <col min="8458" max="8458" width="14.5703125" style="561" customWidth="1"/>
    <col min="8459" max="8459" width="25.42578125" style="561" customWidth="1"/>
    <col min="8460" max="8704" width="9.140625" style="561"/>
    <col min="8705" max="8705" width="25.140625" style="561" customWidth="1"/>
    <col min="8706" max="8706" width="13.85546875" style="561" customWidth="1"/>
    <col min="8707" max="8707" width="13.5703125" style="561" customWidth="1"/>
    <col min="8708" max="8708" width="12.7109375" style="561" customWidth="1"/>
    <col min="8709" max="8710" width="11.85546875" style="561" customWidth="1"/>
    <col min="8711" max="8711" width="12.42578125" style="561" customWidth="1"/>
    <col min="8712" max="8712" width="13.42578125" style="561" customWidth="1"/>
    <col min="8713" max="8713" width="13.7109375" style="561" customWidth="1"/>
    <col min="8714" max="8714" width="14.5703125" style="561" customWidth="1"/>
    <col min="8715" max="8715" width="25.42578125" style="561" customWidth="1"/>
    <col min="8716" max="8960" width="9.140625" style="561"/>
    <col min="8961" max="8961" width="25.140625" style="561" customWidth="1"/>
    <col min="8962" max="8962" width="13.85546875" style="561" customWidth="1"/>
    <col min="8963" max="8963" width="13.5703125" style="561" customWidth="1"/>
    <col min="8964" max="8964" width="12.7109375" style="561" customWidth="1"/>
    <col min="8965" max="8966" width="11.85546875" style="561" customWidth="1"/>
    <col min="8967" max="8967" width="12.42578125" style="561" customWidth="1"/>
    <col min="8968" max="8968" width="13.42578125" style="561" customWidth="1"/>
    <col min="8969" max="8969" width="13.7109375" style="561" customWidth="1"/>
    <col min="8970" max="8970" width="14.5703125" style="561" customWidth="1"/>
    <col min="8971" max="8971" width="25.42578125" style="561" customWidth="1"/>
    <col min="8972" max="9216" width="9.140625" style="561"/>
    <col min="9217" max="9217" width="25.140625" style="561" customWidth="1"/>
    <col min="9218" max="9218" width="13.85546875" style="561" customWidth="1"/>
    <col min="9219" max="9219" width="13.5703125" style="561" customWidth="1"/>
    <col min="9220" max="9220" width="12.7109375" style="561" customWidth="1"/>
    <col min="9221" max="9222" width="11.85546875" style="561" customWidth="1"/>
    <col min="9223" max="9223" width="12.42578125" style="561" customWidth="1"/>
    <col min="9224" max="9224" width="13.42578125" style="561" customWidth="1"/>
    <col min="9225" max="9225" width="13.7109375" style="561" customWidth="1"/>
    <col min="9226" max="9226" width="14.5703125" style="561" customWidth="1"/>
    <col min="9227" max="9227" width="25.42578125" style="561" customWidth="1"/>
    <col min="9228" max="9472" width="9.140625" style="561"/>
    <col min="9473" max="9473" width="25.140625" style="561" customWidth="1"/>
    <col min="9474" max="9474" width="13.85546875" style="561" customWidth="1"/>
    <col min="9475" max="9475" width="13.5703125" style="561" customWidth="1"/>
    <col min="9476" max="9476" width="12.7109375" style="561" customWidth="1"/>
    <col min="9477" max="9478" width="11.85546875" style="561" customWidth="1"/>
    <col min="9479" max="9479" width="12.42578125" style="561" customWidth="1"/>
    <col min="9480" max="9480" width="13.42578125" style="561" customWidth="1"/>
    <col min="9481" max="9481" width="13.7109375" style="561" customWidth="1"/>
    <col min="9482" max="9482" width="14.5703125" style="561" customWidth="1"/>
    <col min="9483" max="9483" width="25.42578125" style="561" customWidth="1"/>
    <col min="9484" max="9728" width="9.140625" style="561"/>
    <col min="9729" max="9729" width="25.140625" style="561" customWidth="1"/>
    <col min="9730" max="9730" width="13.85546875" style="561" customWidth="1"/>
    <col min="9731" max="9731" width="13.5703125" style="561" customWidth="1"/>
    <col min="9732" max="9732" width="12.7109375" style="561" customWidth="1"/>
    <col min="9733" max="9734" width="11.85546875" style="561" customWidth="1"/>
    <col min="9735" max="9735" width="12.42578125" style="561" customWidth="1"/>
    <col min="9736" max="9736" width="13.42578125" style="561" customWidth="1"/>
    <col min="9737" max="9737" width="13.7109375" style="561" customWidth="1"/>
    <col min="9738" max="9738" width="14.5703125" style="561" customWidth="1"/>
    <col min="9739" max="9739" width="25.42578125" style="561" customWidth="1"/>
    <col min="9740" max="9984" width="9.140625" style="561"/>
    <col min="9985" max="9985" width="25.140625" style="561" customWidth="1"/>
    <col min="9986" max="9986" width="13.85546875" style="561" customWidth="1"/>
    <col min="9987" max="9987" width="13.5703125" style="561" customWidth="1"/>
    <col min="9988" max="9988" width="12.7109375" style="561" customWidth="1"/>
    <col min="9989" max="9990" width="11.85546875" style="561" customWidth="1"/>
    <col min="9991" max="9991" width="12.42578125" style="561" customWidth="1"/>
    <col min="9992" max="9992" width="13.42578125" style="561" customWidth="1"/>
    <col min="9993" max="9993" width="13.7109375" style="561" customWidth="1"/>
    <col min="9994" max="9994" width="14.5703125" style="561" customWidth="1"/>
    <col min="9995" max="9995" width="25.42578125" style="561" customWidth="1"/>
    <col min="9996" max="10240" width="9.140625" style="561"/>
    <col min="10241" max="10241" width="25.140625" style="561" customWidth="1"/>
    <col min="10242" max="10242" width="13.85546875" style="561" customWidth="1"/>
    <col min="10243" max="10243" width="13.5703125" style="561" customWidth="1"/>
    <col min="10244" max="10244" width="12.7109375" style="561" customWidth="1"/>
    <col min="10245" max="10246" width="11.85546875" style="561" customWidth="1"/>
    <col min="10247" max="10247" width="12.42578125" style="561" customWidth="1"/>
    <col min="10248" max="10248" width="13.42578125" style="561" customWidth="1"/>
    <col min="10249" max="10249" width="13.7109375" style="561" customWidth="1"/>
    <col min="10250" max="10250" width="14.5703125" style="561" customWidth="1"/>
    <col min="10251" max="10251" width="25.42578125" style="561" customWidth="1"/>
    <col min="10252" max="10496" width="9.140625" style="561"/>
    <col min="10497" max="10497" width="25.140625" style="561" customWidth="1"/>
    <col min="10498" max="10498" width="13.85546875" style="561" customWidth="1"/>
    <col min="10499" max="10499" width="13.5703125" style="561" customWidth="1"/>
    <col min="10500" max="10500" width="12.7109375" style="561" customWidth="1"/>
    <col min="10501" max="10502" width="11.85546875" style="561" customWidth="1"/>
    <col min="10503" max="10503" width="12.42578125" style="561" customWidth="1"/>
    <col min="10504" max="10504" width="13.42578125" style="561" customWidth="1"/>
    <col min="10505" max="10505" width="13.7109375" style="561" customWidth="1"/>
    <col min="10506" max="10506" width="14.5703125" style="561" customWidth="1"/>
    <col min="10507" max="10507" width="25.42578125" style="561" customWidth="1"/>
    <col min="10508" max="10752" width="9.140625" style="561"/>
    <col min="10753" max="10753" width="25.140625" style="561" customWidth="1"/>
    <col min="10754" max="10754" width="13.85546875" style="561" customWidth="1"/>
    <col min="10755" max="10755" width="13.5703125" style="561" customWidth="1"/>
    <col min="10756" max="10756" width="12.7109375" style="561" customWidth="1"/>
    <col min="10757" max="10758" width="11.85546875" style="561" customWidth="1"/>
    <col min="10759" max="10759" width="12.42578125" style="561" customWidth="1"/>
    <col min="10760" max="10760" width="13.42578125" style="561" customWidth="1"/>
    <col min="10761" max="10761" width="13.7109375" style="561" customWidth="1"/>
    <col min="10762" max="10762" width="14.5703125" style="561" customWidth="1"/>
    <col min="10763" max="10763" width="25.42578125" style="561" customWidth="1"/>
    <col min="10764" max="11008" width="9.140625" style="561"/>
    <col min="11009" max="11009" width="25.140625" style="561" customWidth="1"/>
    <col min="11010" max="11010" width="13.85546875" style="561" customWidth="1"/>
    <col min="11011" max="11011" width="13.5703125" style="561" customWidth="1"/>
    <col min="11012" max="11012" width="12.7109375" style="561" customWidth="1"/>
    <col min="11013" max="11014" width="11.85546875" style="561" customWidth="1"/>
    <col min="11015" max="11015" width="12.42578125" style="561" customWidth="1"/>
    <col min="11016" max="11016" width="13.42578125" style="561" customWidth="1"/>
    <col min="11017" max="11017" width="13.7109375" style="561" customWidth="1"/>
    <col min="11018" max="11018" width="14.5703125" style="561" customWidth="1"/>
    <col min="11019" max="11019" width="25.42578125" style="561" customWidth="1"/>
    <col min="11020" max="11264" width="9.140625" style="561"/>
    <col min="11265" max="11265" width="25.140625" style="561" customWidth="1"/>
    <col min="11266" max="11266" width="13.85546875" style="561" customWidth="1"/>
    <col min="11267" max="11267" width="13.5703125" style="561" customWidth="1"/>
    <col min="11268" max="11268" width="12.7109375" style="561" customWidth="1"/>
    <col min="11269" max="11270" width="11.85546875" style="561" customWidth="1"/>
    <col min="11271" max="11271" width="12.42578125" style="561" customWidth="1"/>
    <col min="11272" max="11272" width="13.42578125" style="561" customWidth="1"/>
    <col min="11273" max="11273" width="13.7109375" style="561" customWidth="1"/>
    <col min="11274" max="11274" width="14.5703125" style="561" customWidth="1"/>
    <col min="11275" max="11275" width="25.42578125" style="561" customWidth="1"/>
    <col min="11276" max="11520" width="9.140625" style="561"/>
    <col min="11521" max="11521" width="25.140625" style="561" customWidth="1"/>
    <col min="11522" max="11522" width="13.85546875" style="561" customWidth="1"/>
    <col min="11523" max="11523" width="13.5703125" style="561" customWidth="1"/>
    <col min="11524" max="11524" width="12.7109375" style="561" customWidth="1"/>
    <col min="11525" max="11526" width="11.85546875" style="561" customWidth="1"/>
    <col min="11527" max="11527" width="12.42578125" style="561" customWidth="1"/>
    <col min="11528" max="11528" width="13.42578125" style="561" customWidth="1"/>
    <col min="11529" max="11529" width="13.7109375" style="561" customWidth="1"/>
    <col min="11530" max="11530" width="14.5703125" style="561" customWidth="1"/>
    <col min="11531" max="11531" width="25.42578125" style="561" customWidth="1"/>
    <col min="11532" max="11776" width="9.140625" style="561"/>
    <col min="11777" max="11777" width="25.140625" style="561" customWidth="1"/>
    <col min="11778" max="11778" width="13.85546875" style="561" customWidth="1"/>
    <col min="11779" max="11779" width="13.5703125" style="561" customWidth="1"/>
    <col min="11780" max="11780" width="12.7109375" style="561" customWidth="1"/>
    <col min="11781" max="11782" width="11.85546875" style="561" customWidth="1"/>
    <col min="11783" max="11783" width="12.42578125" style="561" customWidth="1"/>
    <col min="11784" max="11784" width="13.42578125" style="561" customWidth="1"/>
    <col min="11785" max="11785" width="13.7109375" style="561" customWidth="1"/>
    <col min="11786" max="11786" width="14.5703125" style="561" customWidth="1"/>
    <col min="11787" max="11787" width="25.42578125" style="561" customWidth="1"/>
    <col min="11788" max="12032" width="9.140625" style="561"/>
    <col min="12033" max="12033" width="25.140625" style="561" customWidth="1"/>
    <col min="12034" max="12034" width="13.85546875" style="561" customWidth="1"/>
    <col min="12035" max="12035" width="13.5703125" style="561" customWidth="1"/>
    <col min="12036" max="12036" width="12.7109375" style="561" customWidth="1"/>
    <col min="12037" max="12038" width="11.85546875" style="561" customWidth="1"/>
    <col min="12039" max="12039" width="12.42578125" style="561" customWidth="1"/>
    <col min="12040" max="12040" width="13.42578125" style="561" customWidth="1"/>
    <col min="12041" max="12041" width="13.7109375" style="561" customWidth="1"/>
    <col min="12042" max="12042" width="14.5703125" style="561" customWidth="1"/>
    <col min="12043" max="12043" width="25.42578125" style="561" customWidth="1"/>
    <col min="12044" max="12288" width="9.140625" style="561"/>
    <col min="12289" max="12289" width="25.140625" style="561" customWidth="1"/>
    <col min="12290" max="12290" width="13.85546875" style="561" customWidth="1"/>
    <col min="12291" max="12291" width="13.5703125" style="561" customWidth="1"/>
    <col min="12292" max="12292" width="12.7109375" style="561" customWidth="1"/>
    <col min="12293" max="12294" width="11.85546875" style="561" customWidth="1"/>
    <col min="12295" max="12295" width="12.42578125" style="561" customWidth="1"/>
    <col min="12296" max="12296" width="13.42578125" style="561" customWidth="1"/>
    <col min="12297" max="12297" width="13.7109375" style="561" customWidth="1"/>
    <col min="12298" max="12298" width="14.5703125" style="561" customWidth="1"/>
    <col min="12299" max="12299" width="25.42578125" style="561" customWidth="1"/>
    <col min="12300" max="12544" width="9.140625" style="561"/>
    <col min="12545" max="12545" width="25.140625" style="561" customWidth="1"/>
    <col min="12546" max="12546" width="13.85546875" style="561" customWidth="1"/>
    <col min="12547" max="12547" width="13.5703125" style="561" customWidth="1"/>
    <col min="12548" max="12548" width="12.7109375" style="561" customWidth="1"/>
    <col min="12549" max="12550" width="11.85546875" style="561" customWidth="1"/>
    <col min="12551" max="12551" width="12.42578125" style="561" customWidth="1"/>
    <col min="12552" max="12552" width="13.42578125" style="561" customWidth="1"/>
    <col min="12553" max="12553" width="13.7109375" style="561" customWidth="1"/>
    <col min="12554" max="12554" width="14.5703125" style="561" customWidth="1"/>
    <col min="12555" max="12555" width="25.42578125" style="561" customWidth="1"/>
    <col min="12556" max="12800" width="9.140625" style="561"/>
    <col min="12801" max="12801" width="25.140625" style="561" customWidth="1"/>
    <col min="12802" max="12802" width="13.85546875" style="561" customWidth="1"/>
    <col min="12803" max="12803" width="13.5703125" style="561" customWidth="1"/>
    <col min="12804" max="12804" width="12.7109375" style="561" customWidth="1"/>
    <col min="12805" max="12806" width="11.85546875" style="561" customWidth="1"/>
    <col min="12807" max="12807" width="12.42578125" style="561" customWidth="1"/>
    <col min="12808" max="12808" width="13.42578125" style="561" customWidth="1"/>
    <col min="12809" max="12809" width="13.7109375" style="561" customWidth="1"/>
    <col min="12810" max="12810" width="14.5703125" style="561" customWidth="1"/>
    <col min="12811" max="12811" width="25.42578125" style="561" customWidth="1"/>
    <col min="12812" max="13056" width="9.140625" style="561"/>
    <col min="13057" max="13057" width="25.140625" style="561" customWidth="1"/>
    <col min="13058" max="13058" width="13.85546875" style="561" customWidth="1"/>
    <col min="13059" max="13059" width="13.5703125" style="561" customWidth="1"/>
    <col min="13060" max="13060" width="12.7109375" style="561" customWidth="1"/>
    <col min="13061" max="13062" width="11.85546875" style="561" customWidth="1"/>
    <col min="13063" max="13063" width="12.42578125" style="561" customWidth="1"/>
    <col min="13064" max="13064" width="13.42578125" style="561" customWidth="1"/>
    <col min="13065" max="13065" width="13.7109375" style="561" customWidth="1"/>
    <col min="13066" max="13066" width="14.5703125" style="561" customWidth="1"/>
    <col min="13067" max="13067" width="25.42578125" style="561" customWidth="1"/>
    <col min="13068" max="13312" width="9.140625" style="561"/>
    <col min="13313" max="13313" width="25.140625" style="561" customWidth="1"/>
    <col min="13314" max="13314" width="13.85546875" style="561" customWidth="1"/>
    <col min="13315" max="13315" width="13.5703125" style="561" customWidth="1"/>
    <col min="13316" max="13316" width="12.7109375" style="561" customWidth="1"/>
    <col min="13317" max="13318" width="11.85546875" style="561" customWidth="1"/>
    <col min="13319" max="13319" width="12.42578125" style="561" customWidth="1"/>
    <col min="13320" max="13320" width="13.42578125" style="561" customWidth="1"/>
    <col min="13321" max="13321" width="13.7109375" style="561" customWidth="1"/>
    <col min="13322" max="13322" width="14.5703125" style="561" customWidth="1"/>
    <col min="13323" max="13323" width="25.42578125" style="561" customWidth="1"/>
    <col min="13324" max="13568" width="9.140625" style="561"/>
    <col min="13569" max="13569" width="25.140625" style="561" customWidth="1"/>
    <col min="13570" max="13570" width="13.85546875" style="561" customWidth="1"/>
    <col min="13571" max="13571" width="13.5703125" style="561" customWidth="1"/>
    <col min="13572" max="13572" width="12.7109375" style="561" customWidth="1"/>
    <col min="13573" max="13574" width="11.85546875" style="561" customWidth="1"/>
    <col min="13575" max="13575" width="12.42578125" style="561" customWidth="1"/>
    <col min="13576" max="13576" width="13.42578125" style="561" customWidth="1"/>
    <col min="13577" max="13577" width="13.7109375" style="561" customWidth="1"/>
    <col min="13578" max="13578" width="14.5703125" style="561" customWidth="1"/>
    <col min="13579" max="13579" width="25.42578125" style="561" customWidth="1"/>
    <col min="13580" max="13824" width="9.140625" style="561"/>
    <col min="13825" max="13825" width="25.140625" style="561" customWidth="1"/>
    <col min="13826" max="13826" width="13.85546875" style="561" customWidth="1"/>
    <col min="13827" max="13827" width="13.5703125" style="561" customWidth="1"/>
    <col min="13828" max="13828" width="12.7109375" style="561" customWidth="1"/>
    <col min="13829" max="13830" width="11.85546875" style="561" customWidth="1"/>
    <col min="13831" max="13831" width="12.42578125" style="561" customWidth="1"/>
    <col min="13832" max="13832" width="13.42578125" style="561" customWidth="1"/>
    <col min="13833" max="13833" width="13.7109375" style="561" customWidth="1"/>
    <col min="13834" max="13834" width="14.5703125" style="561" customWidth="1"/>
    <col min="13835" max="13835" width="25.42578125" style="561" customWidth="1"/>
    <col min="13836" max="14080" width="9.140625" style="561"/>
    <col min="14081" max="14081" width="25.140625" style="561" customWidth="1"/>
    <col min="14082" max="14082" width="13.85546875" style="561" customWidth="1"/>
    <col min="14083" max="14083" width="13.5703125" style="561" customWidth="1"/>
    <col min="14084" max="14084" width="12.7109375" style="561" customWidth="1"/>
    <col min="14085" max="14086" width="11.85546875" style="561" customWidth="1"/>
    <col min="14087" max="14087" width="12.42578125" style="561" customWidth="1"/>
    <col min="14088" max="14088" width="13.42578125" style="561" customWidth="1"/>
    <col min="14089" max="14089" width="13.7109375" style="561" customWidth="1"/>
    <col min="14090" max="14090" width="14.5703125" style="561" customWidth="1"/>
    <col min="14091" max="14091" width="25.42578125" style="561" customWidth="1"/>
    <col min="14092" max="14336" width="9.140625" style="561"/>
    <col min="14337" max="14337" width="25.140625" style="561" customWidth="1"/>
    <col min="14338" max="14338" width="13.85546875" style="561" customWidth="1"/>
    <col min="14339" max="14339" width="13.5703125" style="561" customWidth="1"/>
    <col min="14340" max="14340" width="12.7109375" style="561" customWidth="1"/>
    <col min="14341" max="14342" width="11.85546875" style="561" customWidth="1"/>
    <col min="14343" max="14343" width="12.42578125" style="561" customWidth="1"/>
    <col min="14344" max="14344" width="13.42578125" style="561" customWidth="1"/>
    <col min="14345" max="14345" width="13.7109375" style="561" customWidth="1"/>
    <col min="14346" max="14346" width="14.5703125" style="561" customWidth="1"/>
    <col min="14347" max="14347" width="25.42578125" style="561" customWidth="1"/>
    <col min="14348" max="14592" width="9.140625" style="561"/>
    <col min="14593" max="14593" width="25.140625" style="561" customWidth="1"/>
    <col min="14594" max="14594" width="13.85546875" style="561" customWidth="1"/>
    <col min="14595" max="14595" width="13.5703125" style="561" customWidth="1"/>
    <col min="14596" max="14596" width="12.7109375" style="561" customWidth="1"/>
    <col min="14597" max="14598" width="11.85546875" style="561" customWidth="1"/>
    <col min="14599" max="14599" width="12.42578125" style="561" customWidth="1"/>
    <col min="14600" max="14600" width="13.42578125" style="561" customWidth="1"/>
    <col min="14601" max="14601" width="13.7109375" style="561" customWidth="1"/>
    <col min="14602" max="14602" width="14.5703125" style="561" customWidth="1"/>
    <col min="14603" max="14603" width="25.42578125" style="561" customWidth="1"/>
    <col min="14604" max="14848" width="9.140625" style="561"/>
    <col min="14849" max="14849" width="25.140625" style="561" customWidth="1"/>
    <col min="14850" max="14850" width="13.85546875" style="561" customWidth="1"/>
    <col min="14851" max="14851" width="13.5703125" style="561" customWidth="1"/>
    <col min="14852" max="14852" width="12.7109375" style="561" customWidth="1"/>
    <col min="14853" max="14854" width="11.85546875" style="561" customWidth="1"/>
    <col min="14855" max="14855" width="12.42578125" style="561" customWidth="1"/>
    <col min="14856" max="14856" width="13.42578125" style="561" customWidth="1"/>
    <col min="14857" max="14857" width="13.7109375" style="561" customWidth="1"/>
    <col min="14858" max="14858" width="14.5703125" style="561" customWidth="1"/>
    <col min="14859" max="14859" width="25.42578125" style="561" customWidth="1"/>
    <col min="14860" max="15104" width="9.140625" style="561"/>
    <col min="15105" max="15105" width="25.140625" style="561" customWidth="1"/>
    <col min="15106" max="15106" width="13.85546875" style="561" customWidth="1"/>
    <col min="15107" max="15107" width="13.5703125" style="561" customWidth="1"/>
    <col min="15108" max="15108" width="12.7109375" style="561" customWidth="1"/>
    <col min="15109" max="15110" width="11.85546875" style="561" customWidth="1"/>
    <col min="15111" max="15111" width="12.42578125" style="561" customWidth="1"/>
    <col min="15112" max="15112" width="13.42578125" style="561" customWidth="1"/>
    <col min="15113" max="15113" width="13.7109375" style="561" customWidth="1"/>
    <col min="15114" max="15114" width="14.5703125" style="561" customWidth="1"/>
    <col min="15115" max="15115" width="25.42578125" style="561" customWidth="1"/>
    <col min="15116" max="15360" width="9.140625" style="561"/>
    <col min="15361" max="15361" width="25.140625" style="561" customWidth="1"/>
    <col min="15362" max="15362" width="13.85546875" style="561" customWidth="1"/>
    <col min="15363" max="15363" width="13.5703125" style="561" customWidth="1"/>
    <col min="15364" max="15364" width="12.7109375" style="561" customWidth="1"/>
    <col min="15365" max="15366" width="11.85546875" style="561" customWidth="1"/>
    <col min="15367" max="15367" width="12.42578125" style="561" customWidth="1"/>
    <col min="15368" max="15368" width="13.42578125" style="561" customWidth="1"/>
    <col min="15369" max="15369" width="13.7109375" style="561" customWidth="1"/>
    <col min="15370" max="15370" width="14.5703125" style="561" customWidth="1"/>
    <col min="15371" max="15371" width="25.42578125" style="561" customWidth="1"/>
    <col min="15372" max="15616" width="9.140625" style="561"/>
    <col min="15617" max="15617" width="25.140625" style="561" customWidth="1"/>
    <col min="15618" max="15618" width="13.85546875" style="561" customWidth="1"/>
    <col min="15619" max="15619" width="13.5703125" style="561" customWidth="1"/>
    <col min="15620" max="15620" width="12.7109375" style="561" customWidth="1"/>
    <col min="15621" max="15622" width="11.85546875" style="561" customWidth="1"/>
    <col min="15623" max="15623" width="12.42578125" style="561" customWidth="1"/>
    <col min="15624" max="15624" width="13.42578125" style="561" customWidth="1"/>
    <col min="15625" max="15625" width="13.7109375" style="561" customWidth="1"/>
    <col min="15626" max="15626" width="14.5703125" style="561" customWidth="1"/>
    <col min="15627" max="15627" width="25.42578125" style="561" customWidth="1"/>
    <col min="15628" max="15872" width="9.140625" style="561"/>
    <col min="15873" max="15873" width="25.140625" style="561" customWidth="1"/>
    <col min="15874" max="15874" width="13.85546875" style="561" customWidth="1"/>
    <col min="15875" max="15875" width="13.5703125" style="561" customWidth="1"/>
    <col min="15876" max="15876" width="12.7109375" style="561" customWidth="1"/>
    <col min="15877" max="15878" width="11.85546875" style="561" customWidth="1"/>
    <col min="15879" max="15879" width="12.42578125" style="561" customWidth="1"/>
    <col min="15880" max="15880" width="13.42578125" style="561" customWidth="1"/>
    <col min="15881" max="15881" width="13.7109375" style="561" customWidth="1"/>
    <col min="15882" max="15882" width="14.5703125" style="561" customWidth="1"/>
    <col min="15883" max="15883" width="25.42578125" style="561" customWidth="1"/>
    <col min="15884" max="16128" width="9.140625" style="561"/>
    <col min="16129" max="16129" width="25.140625" style="561" customWidth="1"/>
    <col min="16130" max="16130" width="13.85546875" style="561" customWidth="1"/>
    <col min="16131" max="16131" width="13.5703125" style="561" customWidth="1"/>
    <col min="16132" max="16132" width="12.7109375" style="561" customWidth="1"/>
    <col min="16133" max="16134" width="11.85546875" style="561" customWidth="1"/>
    <col min="16135" max="16135" width="12.42578125" style="561" customWidth="1"/>
    <col min="16136" max="16136" width="13.42578125" style="561" customWidth="1"/>
    <col min="16137" max="16137" width="13.7109375" style="561" customWidth="1"/>
    <col min="16138" max="16138" width="14.5703125" style="561" customWidth="1"/>
    <col min="16139" max="16139" width="25.42578125" style="561" customWidth="1"/>
    <col min="16140" max="16384" width="9.140625" style="561"/>
  </cols>
  <sheetData>
    <row r="1" spans="1:11" ht="30.75" customHeight="1">
      <c r="A1" s="1813" t="s">
        <v>2059</v>
      </c>
      <c r="B1" s="1814"/>
      <c r="C1" s="1814"/>
      <c r="D1" s="1814"/>
      <c r="E1" s="1814"/>
      <c r="F1" s="1814"/>
      <c r="G1" s="1814"/>
      <c r="H1" s="1814"/>
      <c r="I1" s="1814"/>
      <c r="J1" s="1814"/>
      <c r="K1" s="1814"/>
    </row>
    <row r="2" spans="1:11" ht="12.75" customHeight="1">
      <c r="A2" s="1815"/>
      <c r="B2" s="1815"/>
      <c r="C2" s="1815"/>
      <c r="D2" s="1815"/>
      <c r="E2" s="1815"/>
      <c r="F2" s="1815"/>
      <c r="G2" s="1815"/>
      <c r="H2" s="1815"/>
      <c r="I2" s="1815"/>
      <c r="J2" s="1815"/>
      <c r="K2" s="1815"/>
    </row>
    <row r="3" spans="1:11" ht="24.75" customHeight="1">
      <c r="A3" s="1815" t="s">
        <v>2111</v>
      </c>
      <c r="B3" s="1815"/>
      <c r="C3" s="1815"/>
      <c r="D3" s="1815"/>
      <c r="E3" s="1815"/>
      <c r="F3" s="1815"/>
      <c r="G3" s="1815"/>
      <c r="H3" s="1815"/>
      <c r="I3" s="1815"/>
      <c r="J3" s="1815"/>
      <c r="K3" s="1815"/>
    </row>
    <row r="4" spans="1:11" ht="12.75" customHeight="1">
      <c r="A4" s="1815"/>
      <c r="B4" s="1815"/>
      <c r="C4" s="1815"/>
      <c r="D4" s="1815"/>
      <c r="E4" s="1815"/>
      <c r="F4" s="1815"/>
      <c r="G4" s="1815"/>
      <c r="H4" s="1815"/>
      <c r="I4" s="1815"/>
      <c r="J4" s="1815"/>
      <c r="K4" s="1815"/>
    </row>
    <row r="5" spans="1:11" s="660" customFormat="1" ht="12" customHeight="1">
      <c r="A5" s="1716" t="s">
        <v>2062</v>
      </c>
      <c r="B5" s="1716"/>
      <c r="C5" s="1716"/>
      <c r="D5" s="1716"/>
      <c r="E5" s="1716"/>
      <c r="F5" s="1716"/>
      <c r="G5" s="1716"/>
      <c r="H5" s="1716"/>
      <c r="I5" s="1716"/>
      <c r="J5" s="1716"/>
      <c r="K5" s="1716"/>
    </row>
    <row r="6" spans="1:11" ht="12" customHeight="1">
      <c r="A6" s="1695" t="s">
        <v>846</v>
      </c>
      <c r="B6" s="1698" t="s">
        <v>2063</v>
      </c>
      <c r="C6" s="1699" t="s">
        <v>2064</v>
      </c>
      <c r="D6" s="1700"/>
      <c r="E6" s="1700"/>
      <c r="F6" s="1700"/>
      <c r="G6" s="1700"/>
      <c r="H6" s="1700"/>
      <c r="I6" s="1700"/>
      <c r="J6" s="1701"/>
      <c r="K6" s="1705"/>
    </row>
    <row r="7" spans="1:11" ht="12" customHeight="1">
      <c r="A7" s="1696"/>
      <c r="B7" s="1698"/>
      <c r="C7" s="1708" t="s">
        <v>2065</v>
      </c>
      <c r="D7" s="1699" t="s">
        <v>2066</v>
      </c>
      <c r="E7" s="1700"/>
      <c r="F7" s="1700"/>
      <c r="G7" s="1700"/>
      <c r="H7" s="1701"/>
      <c r="I7" s="1710" t="s">
        <v>2067</v>
      </c>
      <c r="J7" s="1708" t="s">
        <v>2068</v>
      </c>
      <c r="K7" s="1706"/>
    </row>
    <row r="8" spans="1:11" ht="68.25" customHeight="1">
      <c r="A8" s="1696"/>
      <c r="B8" s="1698"/>
      <c r="C8" s="1709"/>
      <c r="D8" s="661" t="s">
        <v>2069</v>
      </c>
      <c r="E8" s="661" t="s">
        <v>2070</v>
      </c>
      <c r="F8" s="661" t="s">
        <v>2071</v>
      </c>
      <c r="G8" s="661" t="s">
        <v>2072</v>
      </c>
      <c r="H8" s="661" t="s">
        <v>2073</v>
      </c>
      <c r="I8" s="1710"/>
      <c r="J8" s="1709"/>
      <c r="K8" s="1706"/>
    </row>
    <row r="9" spans="1:11" ht="12.75" customHeight="1">
      <c r="A9" s="1696"/>
      <c r="B9" s="1702" t="s">
        <v>2074</v>
      </c>
      <c r="C9" s="1711" t="s">
        <v>2075</v>
      </c>
      <c r="D9" s="1712"/>
      <c r="E9" s="1712"/>
      <c r="F9" s="1712"/>
      <c r="G9" s="1712"/>
      <c r="H9" s="1712"/>
      <c r="I9" s="1712"/>
      <c r="J9" s="1713"/>
      <c r="K9" s="1706"/>
    </row>
    <row r="10" spans="1:11" ht="12.75" customHeight="1">
      <c r="A10" s="1696"/>
      <c r="B10" s="1703"/>
      <c r="C10" s="1714" t="s">
        <v>2076</v>
      </c>
      <c r="D10" s="1710" t="s">
        <v>2077</v>
      </c>
      <c r="E10" s="1710"/>
      <c r="F10" s="1710"/>
      <c r="G10" s="1710"/>
      <c r="H10" s="1710"/>
      <c r="I10" s="1710" t="s">
        <v>2078</v>
      </c>
      <c r="J10" s="1708" t="s">
        <v>2079</v>
      </c>
      <c r="K10" s="1706"/>
    </row>
    <row r="11" spans="1:11" ht="68.25" customHeight="1">
      <c r="A11" s="1697"/>
      <c r="B11" s="1704"/>
      <c r="C11" s="1715"/>
      <c r="D11" s="661" t="s">
        <v>2080</v>
      </c>
      <c r="E11" s="661" t="s">
        <v>2081</v>
      </c>
      <c r="F11" s="661" t="s">
        <v>2082</v>
      </c>
      <c r="G11" s="661" t="s">
        <v>2083</v>
      </c>
      <c r="H11" s="661" t="s">
        <v>2084</v>
      </c>
      <c r="I11" s="1710"/>
      <c r="J11" s="1816"/>
      <c r="K11" s="1707"/>
    </row>
    <row r="12" spans="1:11" s="666" customFormat="1" ht="15" customHeight="1">
      <c r="A12" s="663" t="s">
        <v>2085</v>
      </c>
      <c r="B12" s="664">
        <v>359657124</v>
      </c>
      <c r="C12" s="664">
        <v>328705769.19999999</v>
      </c>
      <c r="D12" s="664">
        <v>245705457.30000001</v>
      </c>
      <c r="E12" s="664">
        <v>33647769.799999997</v>
      </c>
      <c r="F12" s="664">
        <v>12666697.9</v>
      </c>
      <c r="G12" s="664">
        <v>1397592.1</v>
      </c>
      <c r="H12" s="664">
        <v>35288252.100000001</v>
      </c>
      <c r="I12" s="664">
        <v>29123404.399999999</v>
      </c>
      <c r="J12" s="664">
        <v>1827950.4</v>
      </c>
      <c r="K12" s="665" t="s">
        <v>2086</v>
      </c>
    </row>
    <row r="13" spans="1:11" ht="15" customHeight="1">
      <c r="A13" s="667" t="s">
        <v>2087</v>
      </c>
      <c r="B13" s="668">
        <v>333880828.39999998</v>
      </c>
      <c r="C13" s="668">
        <v>303068855.80000001</v>
      </c>
      <c r="D13" s="668">
        <v>226274320.19999999</v>
      </c>
      <c r="E13" s="668">
        <v>30327927.800000001</v>
      </c>
      <c r="F13" s="668">
        <v>12024883.5</v>
      </c>
      <c r="G13" s="668">
        <v>1037238.9</v>
      </c>
      <c r="H13" s="668">
        <v>33404485.399999999</v>
      </c>
      <c r="I13" s="668">
        <v>29064020.399999999</v>
      </c>
      <c r="J13" s="668">
        <v>1747952.2</v>
      </c>
      <c r="K13" s="669" t="s">
        <v>2088</v>
      </c>
    </row>
    <row r="14" spans="1:11" ht="21.75" customHeight="1">
      <c r="A14" s="670" t="s">
        <v>2089</v>
      </c>
      <c r="B14" s="668">
        <v>146126672.40000001</v>
      </c>
      <c r="C14" s="668">
        <v>139545956.09999999</v>
      </c>
      <c r="D14" s="668">
        <v>124107866</v>
      </c>
      <c r="E14" s="668">
        <v>6086230.9000000004</v>
      </c>
      <c r="F14" s="668">
        <v>1944418.5</v>
      </c>
      <c r="G14" s="668">
        <v>100681</v>
      </c>
      <c r="H14" s="668">
        <v>7306759.7000000002</v>
      </c>
      <c r="I14" s="668">
        <v>6349912.0999999996</v>
      </c>
      <c r="J14" s="668">
        <v>230804.2</v>
      </c>
      <c r="K14" s="670" t="s">
        <v>2090</v>
      </c>
    </row>
    <row r="15" spans="1:11" ht="15" customHeight="1">
      <c r="A15" s="671" t="s">
        <v>2091</v>
      </c>
      <c r="B15" s="668">
        <v>663117.1</v>
      </c>
      <c r="C15" s="668">
        <v>638217.1</v>
      </c>
      <c r="D15" s="668">
        <v>616576.1</v>
      </c>
      <c r="E15" s="668">
        <v>21641</v>
      </c>
      <c r="F15" s="672" t="s">
        <v>8</v>
      </c>
      <c r="G15" s="672" t="s">
        <v>8</v>
      </c>
      <c r="H15" s="672" t="s">
        <v>8</v>
      </c>
      <c r="I15" s="668">
        <v>24900</v>
      </c>
      <c r="J15" s="672" t="s">
        <v>8</v>
      </c>
      <c r="K15" s="671" t="s">
        <v>2092</v>
      </c>
    </row>
    <row r="16" spans="1:11" ht="15" customHeight="1">
      <c r="A16" s="670" t="s">
        <v>2093</v>
      </c>
      <c r="B16" s="668">
        <v>185982084.40000001</v>
      </c>
      <c r="C16" s="668">
        <v>161840454.5</v>
      </c>
      <c r="D16" s="668">
        <v>101069480.8</v>
      </c>
      <c r="E16" s="668">
        <v>23926244.100000001</v>
      </c>
      <c r="F16" s="668">
        <v>9914137</v>
      </c>
      <c r="G16" s="668">
        <v>936557.9</v>
      </c>
      <c r="H16" s="668">
        <v>25994034.699999999</v>
      </c>
      <c r="I16" s="668">
        <v>22624488.899999999</v>
      </c>
      <c r="J16" s="668">
        <v>1517141</v>
      </c>
      <c r="K16" s="670" t="s">
        <v>2094</v>
      </c>
    </row>
    <row r="17" spans="1:12" ht="36">
      <c r="A17" s="670" t="s">
        <v>2095</v>
      </c>
      <c r="B17" s="668">
        <v>1772071.6</v>
      </c>
      <c r="C17" s="668">
        <v>1682445.2</v>
      </c>
      <c r="D17" s="668">
        <v>1096973.3999999999</v>
      </c>
      <c r="E17" s="668">
        <v>315452.79999999999</v>
      </c>
      <c r="F17" s="668">
        <v>166328</v>
      </c>
      <c r="G17" s="672" t="s">
        <v>8</v>
      </c>
      <c r="H17" s="668">
        <v>103691</v>
      </c>
      <c r="I17" s="668">
        <v>89619.4</v>
      </c>
      <c r="J17" s="668">
        <v>7</v>
      </c>
      <c r="K17" s="670" t="s">
        <v>2096</v>
      </c>
    </row>
    <row r="18" spans="1:12">
      <c r="A18" s="671" t="s">
        <v>2097</v>
      </c>
      <c r="B18" s="668">
        <v>39935.800000000003</v>
      </c>
      <c r="C18" s="668">
        <v>39935.800000000003</v>
      </c>
      <c r="D18" s="668">
        <v>39935.800000000003</v>
      </c>
      <c r="E18" s="672" t="s">
        <v>8</v>
      </c>
      <c r="F18" s="672" t="s">
        <v>8</v>
      </c>
      <c r="G18" s="672" t="s">
        <v>8</v>
      </c>
      <c r="H18" s="672" t="s">
        <v>8</v>
      </c>
      <c r="I18" s="672" t="s">
        <v>8</v>
      </c>
      <c r="J18" s="672" t="s">
        <v>8</v>
      </c>
      <c r="K18" s="671" t="s">
        <v>2098</v>
      </c>
    </row>
    <row r="19" spans="1:12" s="1252" customFormat="1" ht="48">
      <c r="A19" s="1249" t="s">
        <v>2099</v>
      </c>
      <c r="B19" s="1250">
        <v>17731678.5</v>
      </c>
      <c r="C19" s="1250">
        <v>17598811.300000001</v>
      </c>
      <c r="D19" s="1250">
        <v>11761694.4</v>
      </c>
      <c r="E19" s="1250">
        <v>3057809.9</v>
      </c>
      <c r="F19" s="1250">
        <v>618090.1</v>
      </c>
      <c r="G19" s="1250">
        <v>357690.2</v>
      </c>
      <c r="H19" s="1250">
        <v>1803526.7</v>
      </c>
      <c r="I19" s="1250">
        <v>52869</v>
      </c>
      <c r="J19" s="1250">
        <v>79998.2</v>
      </c>
      <c r="K19" s="1251" t="s">
        <v>2100</v>
      </c>
    </row>
    <row r="20" spans="1:12" ht="36">
      <c r="A20" s="667" t="s">
        <v>2101</v>
      </c>
      <c r="B20" s="668">
        <v>39809</v>
      </c>
      <c r="C20" s="668">
        <v>39809</v>
      </c>
      <c r="D20" s="668">
        <v>36943</v>
      </c>
      <c r="E20" s="668">
        <v>2866</v>
      </c>
      <c r="F20" s="672" t="s">
        <v>8</v>
      </c>
      <c r="G20" s="672" t="s">
        <v>8</v>
      </c>
      <c r="H20" s="672" t="s">
        <v>8</v>
      </c>
      <c r="I20" s="672" t="s">
        <v>8</v>
      </c>
      <c r="J20" s="672" t="s">
        <v>8</v>
      </c>
      <c r="K20" s="677" t="s">
        <v>2102</v>
      </c>
      <c r="L20" s="561" t="s">
        <v>2377</v>
      </c>
    </row>
    <row r="21" spans="1:12" ht="24">
      <c r="A21" s="667" t="s">
        <v>2103</v>
      </c>
      <c r="B21" s="668">
        <v>28257.8</v>
      </c>
      <c r="C21" s="668">
        <v>28257.8</v>
      </c>
      <c r="D21" s="668">
        <v>14835.1</v>
      </c>
      <c r="E21" s="672" t="s">
        <v>8</v>
      </c>
      <c r="F21" s="668">
        <v>13422.7</v>
      </c>
      <c r="G21" s="672" t="s">
        <v>8</v>
      </c>
      <c r="H21" s="672" t="s">
        <v>8</v>
      </c>
      <c r="I21" s="672" t="s">
        <v>8</v>
      </c>
      <c r="J21" s="672" t="s">
        <v>8</v>
      </c>
      <c r="K21" s="677" t="s">
        <v>2104</v>
      </c>
    </row>
    <row r="22" spans="1:12" ht="15" customHeight="1">
      <c r="A22" s="670" t="s">
        <v>2107</v>
      </c>
      <c r="B22" s="668">
        <v>28257.8</v>
      </c>
      <c r="C22" s="668">
        <v>28257.8</v>
      </c>
      <c r="D22" s="668">
        <v>14835.1</v>
      </c>
      <c r="E22" s="672" t="s">
        <v>8</v>
      </c>
      <c r="F22" s="668">
        <v>13422.7</v>
      </c>
      <c r="G22" s="672" t="s">
        <v>8</v>
      </c>
      <c r="H22" s="672" t="s">
        <v>8</v>
      </c>
      <c r="I22" s="672" t="s">
        <v>8</v>
      </c>
      <c r="J22" s="672" t="s">
        <v>8</v>
      </c>
      <c r="K22" s="670" t="s">
        <v>2108</v>
      </c>
    </row>
    <row r="23" spans="1:12" ht="48">
      <c r="A23" s="673" t="s">
        <v>2109</v>
      </c>
      <c r="B23" s="674">
        <v>7976550.2999999998</v>
      </c>
      <c r="C23" s="842">
        <v>7970035.2999999998</v>
      </c>
      <c r="D23" s="674">
        <v>7617664.5999999996</v>
      </c>
      <c r="E23" s="674">
        <v>259166.1</v>
      </c>
      <c r="F23" s="674">
        <v>10301.6</v>
      </c>
      <c r="G23" s="674">
        <v>2663</v>
      </c>
      <c r="H23" s="674">
        <v>80240</v>
      </c>
      <c r="I23" s="674">
        <v>6515</v>
      </c>
      <c r="J23" s="678" t="s">
        <v>8</v>
      </c>
      <c r="K23" s="679" t="s">
        <v>2110</v>
      </c>
    </row>
  </sheetData>
  <mergeCells count="19">
    <mergeCell ref="A6:A11"/>
    <mergeCell ref="B6:B8"/>
    <mergeCell ref="C6:J6"/>
    <mergeCell ref="K6:K11"/>
    <mergeCell ref="C7:C8"/>
    <mergeCell ref="D7:H7"/>
    <mergeCell ref="I7:I8"/>
    <mergeCell ref="J7:J8"/>
    <mergeCell ref="B9:B11"/>
    <mergeCell ref="C9:J9"/>
    <mergeCell ref="C10:C11"/>
    <mergeCell ref="D10:H10"/>
    <mergeCell ref="I10:I11"/>
    <mergeCell ref="J10:J11"/>
    <mergeCell ref="A1:K1"/>
    <mergeCell ref="A2:K2"/>
    <mergeCell ref="A3:K3"/>
    <mergeCell ref="A4:K4"/>
    <mergeCell ref="A5:K5"/>
  </mergeCells>
  <printOptions horizontalCentered="1"/>
  <pageMargins left="0.51181102362204722" right="0.51181102362204722" top="0.78740157480314965" bottom="0.78740157480314965" header="0.59055118110236227" footer="0.59055118110236227"/>
  <pageSetup paperSize="9" scale="82" firstPageNumber="21" orientation="landscape" useFirstPageNumber="1" r:id="rId1"/>
  <headerFooter alignWithMargins="0">
    <oddFooter>&amp;R&amp;P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T55"/>
  <sheetViews>
    <sheetView showGridLines="0" view="pageBreakPreview" topLeftCell="A19" zoomScaleNormal="55" zoomScaleSheetLayoutView="100" workbookViewId="0">
      <selection activeCell="T24" sqref="T24"/>
    </sheetView>
  </sheetViews>
  <sheetFormatPr defaultRowHeight="12.75"/>
  <cols>
    <col min="1" max="1" width="6.140625" style="358" bestFit="1" customWidth="1"/>
    <col min="2" max="2" width="56.85546875" style="358" customWidth="1"/>
    <col min="3" max="3" width="14.28515625" style="358" hidden="1" customWidth="1"/>
    <col min="4" max="4" width="15.7109375" style="358" hidden="1" customWidth="1"/>
    <col min="5" max="5" width="16.28515625" style="358" hidden="1" customWidth="1"/>
    <col min="6" max="6" width="16.42578125" style="358" hidden="1" customWidth="1"/>
    <col min="7" max="7" width="14.85546875" style="358" hidden="1" customWidth="1"/>
    <col min="8" max="8" width="13.85546875" style="358" hidden="1" customWidth="1"/>
    <col min="9" max="9" width="16.28515625" style="358" hidden="1" customWidth="1"/>
    <col min="10" max="10" width="14.7109375" style="358" hidden="1" customWidth="1"/>
    <col min="11" max="11" width="16.42578125" style="358" hidden="1" customWidth="1"/>
    <col min="12" max="12" width="18" style="358" hidden="1" customWidth="1"/>
    <col min="13" max="13" width="16.42578125" style="358" hidden="1" customWidth="1"/>
    <col min="14" max="14" width="19.42578125" style="358" hidden="1" customWidth="1"/>
    <col min="15" max="15" width="18" style="358" hidden="1" customWidth="1"/>
    <col min="16" max="16" width="16" style="358" hidden="1" customWidth="1"/>
    <col min="17" max="17" width="16.7109375" style="358" hidden="1" customWidth="1"/>
    <col min="18" max="18" width="16.42578125" style="358" hidden="1" customWidth="1"/>
    <col min="19" max="19" width="11.140625" style="358" hidden="1" customWidth="1"/>
    <col min="20" max="20" width="20.5703125" style="358" customWidth="1"/>
    <col min="21" max="256" width="9.140625" style="358"/>
    <col min="257" max="257" width="6.140625" style="358" bestFit="1" customWidth="1"/>
    <col min="258" max="258" width="56.85546875" style="358" customWidth="1"/>
    <col min="259" max="259" width="14.28515625" style="358" customWidth="1"/>
    <col min="260" max="260" width="15.7109375" style="358" customWidth="1"/>
    <col min="261" max="261" width="16.28515625" style="358" customWidth="1"/>
    <col min="262" max="262" width="16.42578125" style="358" customWidth="1"/>
    <col min="263" max="263" width="14.85546875" style="358" customWidth="1"/>
    <col min="264" max="264" width="13.85546875" style="358" customWidth="1"/>
    <col min="265" max="265" width="16.28515625" style="358" customWidth="1"/>
    <col min="266" max="266" width="14.7109375" style="358" customWidth="1"/>
    <col min="267" max="267" width="16.42578125" style="358" customWidth="1"/>
    <col min="268" max="268" width="18" style="358" customWidth="1"/>
    <col min="269" max="269" width="16.42578125" style="358" customWidth="1"/>
    <col min="270" max="270" width="19.42578125" style="358" customWidth="1"/>
    <col min="271" max="271" width="18" style="358" customWidth="1"/>
    <col min="272" max="272" width="16" style="358" customWidth="1"/>
    <col min="273" max="273" width="16.7109375" style="358" customWidth="1"/>
    <col min="274" max="274" width="16.42578125" style="358" customWidth="1"/>
    <col min="275" max="275" width="11.140625" style="358" customWidth="1"/>
    <col min="276" max="276" width="13.5703125" style="358" customWidth="1"/>
    <col min="277" max="512" width="9.140625" style="358"/>
    <col min="513" max="513" width="6.140625" style="358" bestFit="1" customWidth="1"/>
    <col min="514" max="514" width="56.85546875" style="358" customWidth="1"/>
    <col min="515" max="515" width="14.28515625" style="358" customWidth="1"/>
    <col min="516" max="516" width="15.7109375" style="358" customWidth="1"/>
    <col min="517" max="517" width="16.28515625" style="358" customWidth="1"/>
    <col min="518" max="518" width="16.42578125" style="358" customWidth="1"/>
    <col min="519" max="519" width="14.85546875" style="358" customWidth="1"/>
    <col min="520" max="520" width="13.85546875" style="358" customWidth="1"/>
    <col min="521" max="521" width="16.28515625" style="358" customWidth="1"/>
    <col min="522" max="522" width="14.7109375" style="358" customWidth="1"/>
    <col min="523" max="523" width="16.42578125" style="358" customWidth="1"/>
    <col min="524" max="524" width="18" style="358" customWidth="1"/>
    <col min="525" max="525" width="16.42578125" style="358" customWidth="1"/>
    <col min="526" max="526" width="19.42578125" style="358" customWidth="1"/>
    <col min="527" max="527" width="18" style="358" customWidth="1"/>
    <col min="528" max="528" width="16" style="358" customWidth="1"/>
    <col min="529" max="529" width="16.7109375" style="358" customWidth="1"/>
    <col min="530" max="530" width="16.42578125" style="358" customWidth="1"/>
    <col min="531" max="531" width="11.140625" style="358" customWidth="1"/>
    <col min="532" max="532" width="13.5703125" style="358" customWidth="1"/>
    <col min="533" max="768" width="9.140625" style="358"/>
    <col min="769" max="769" width="6.140625" style="358" bestFit="1" customWidth="1"/>
    <col min="770" max="770" width="56.85546875" style="358" customWidth="1"/>
    <col min="771" max="771" width="14.28515625" style="358" customWidth="1"/>
    <col min="772" max="772" width="15.7109375" style="358" customWidth="1"/>
    <col min="773" max="773" width="16.28515625" style="358" customWidth="1"/>
    <col min="774" max="774" width="16.42578125" style="358" customWidth="1"/>
    <col min="775" max="775" width="14.85546875" style="358" customWidth="1"/>
    <col min="776" max="776" width="13.85546875" style="358" customWidth="1"/>
    <col min="777" max="777" width="16.28515625" style="358" customWidth="1"/>
    <col min="778" max="778" width="14.7109375" style="358" customWidth="1"/>
    <col min="779" max="779" width="16.42578125" style="358" customWidth="1"/>
    <col min="780" max="780" width="18" style="358" customWidth="1"/>
    <col min="781" max="781" width="16.42578125" style="358" customWidth="1"/>
    <col min="782" max="782" width="19.42578125" style="358" customWidth="1"/>
    <col min="783" max="783" width="18" style="358" customWidth="1"/>
    <col min="784" max="784" width="16" style="358" customWidth="1"/>
    <col min="785" max="785" width="16.7109375" style="358" customWidth="1"/>
    <col min="786" max="786" width="16.42578125" style="358" customWidth="1"/>
    <col min="787" max="787" width="11.140625" style="358" customWidth="1"/>
    <col min="788" max="788" width="13.5703125" style="358" customWidth="1"/>
    <col min="789" max="1024" width="9.140625" style="358"/>
    <col min="1025" max="1025" width="6.140625" style="358" bestFit="1" customWidth="1"/>
    <col min="1026" max="1026" width="56.85546875" style="358" customWidth="1"/>
    <col min="1027" max="1027" width="14.28515625" style="358" customWidth="1"/>
    <col min="1028" max="1028" width="15.7109375" style="358" customWidth="1"/>
    <col min="1029" max="1029" width="16.28515625" style="358" customWidth="1"/>
    <col min="1030" max="1030" width="16.42578125" style="358" customWidth="1"/>
    <col min="1031" max="1031" width="14.85546875" style="358" customWidth="1"/>
    <col min="1032" max="1032" width="13.85546875" style="358" customWidth="1"/>
    <col min="1033" max="1033" width="16.28515625" style="358" customWidth="1"/>
    <col min="1034" max="1034" width="14.7109375" style="358" customWidth="1"/>
    <col min="1035" max="1035" width="16.42578125" style="358" customWidth="1"/>
    <col min="1036" max="1036" width="18" style="358" customWidth="1"/>
    <col min="1037" max="1037" width="16.42578125" style="358" customWidth="1"/>
    <col min="1038" max="1038" width="19.42578125" style="358" customWidth="1"/>
    <col min="1039" max="1039" width="18" style="358" customWidth="1"/>
    <col min="1040" max="1040" width="16" style="358" customWidth="1"/>
    <col min="1041" max="1041" width="16.7109375" style="358" customWidth="1"/>
    <col min="1042" max="1042" width="16.42578125" style="358" customWidth="1"/>
    <col min="1043" max="1043" width="11.140625" style="358" customWidth="1"/>
    <col min="1044" max="1044" width="13.5703125" style="358" customWidth="1"/>
    <col min="1045" max="1280" width="9.140625" style="358"/>
    <col min="1281" max="1281" width="6.140625" style="358" bestFit="1" customWidth="1"/>
    <col min="1282" max="1282" width="56.85546875" style="358" customWidth="1"/>
    <col min="1283" max="1283" width="14.28515625" style="358" customWidth="1"/>
    <col min="1284" max="1284" width="15.7109375" style="358" customWidth="1"/>
    <col min="1285" max="1285" width="16.28515625" style="358" customWidth="1"/>
    <col min="1286" max="1286" width="16.42578125" style="358" customWidth="1"/>
    <col min="1287" max="1287" width="14.85546875" style="358" customWidth="1"/>
    <col min="1288" max="1288" width="13.85546875" style="358" customWidth="1"/>
    <col min="1289" max="1289" width="16.28515625" style="358" customWidth="1"/>
    <col min="1290" max="1290" width="14.7109375" style="358" customWidth="1"/>
    <col min="1291" max="1291" width="16.42578125" style="358" customWidth="1"/>
    <col min="1292" max="1292" width="18" style="358" customWidth="1"/>
    <col min="1293" max="1293" width="16.42578125" style="358" customWidth="1"/>
    <col min="1294" max="1294" width="19.42578125" style="358" customWidth="1"/>
    <col min="1295" max="1295" width="18" style="358" customWidth="1"/>
    <col min="1296" max="1296" width="16" style="358" customWidth="1"/>
    <col min="1297" max="1297" width="16.7109375" style="358" customWidth="1"/>
    <col min="1298" max="1298" width="16.42578125" style="358" customWidth="1"/>
    <col min="1299" max="1299" width="11.140625" style="358" customWidth="1"/>
    <col min="1300" max="1300" width="13.5703125" style="358" customWidth="1"/>
    <col min="1301" max="1536" width="9.140625" style="358"/>
    <col min="1537" max="1537" width="6.140625" style="358" bestFit="1" customWidth="1"/>
    <col min="1538" max="1538" width="56.85546875" style="358" customWidth="1"/>
    <col min="1539" max="1539" width="14.28515625" style="358" customWidth="1"/>
    <col min="1540" max="1540" width="15.7109375" style="358" customWidth="1"/>
    <col min="1541" max="1541" width="16.28515625" style="358" customWidth="1"/>
    <col min="1542" max="1542" width="16.42578125" style="358" customWidth="1"/>
    <col min="1543" max="1543" width="14.85546875" style="358" customWidth="1"/>
    <col min="1544" max="1544" width="13.85546875" style="358" customWidth="1"/>
    <col min="1545" max="1545" width="16.28515625" style="358" customWidth="1"/>
    <col min="1546" max="1546" width="14.7109375" style="358" customWidth="1"/>
    <col min="1547" max="1547" width="16.42578125" style="358" customWidth="1"/>
    <col min="1548" max="1548" width="18" style="358" customWidth="1"/>
    <col min="1549" max="1549" width="16.42578125" style="358" customWidth="1"/>
    <col min="1550" max="1550" width="19.42578125" style="358" customWidth="1"/>
    <col min="1551" max="1551" width="18" style="358" customWidth="1"/>
    <col min="1552" max="1552" width="16" style="358" customWidth="1"/>
    <col min="1553" max="1553" width="16.7109375" style="358" customWidth="1"/>
    <col min="1554" max="1554" width="16.42578125" style="358" customWidth="1"/>
    <col min="1555" max="1555" width="11.140625" style="358" customWidth="1"/>
    <col min="1556" max="1556" width="13.5703125" style="358" customWidth="1"/>
    <col min="1557" max="1792" width="9.140625" style="358"/>
    <col min="1793" max="1793" width="6.140625" style="358" bestFit="1" customWidth="1"/>
    <col min="1794" max="1794" width="56.85546875" style="358" customWidth="1"/>
    <col min="1795" max="1795" width="14.28515625" style="358" customWidth="1"/>
    <col min="1796" max="1796" width="15.7109375" style="358" customWidth="1"/>
    <col min="1797" max="1797" width="16.28515625" style="358" customWidth="1"/>
    <col min="1798" max="1798" width="16.42578125" style="358" customWidth="1"/>
    <col min="1799" max="1799" width="14.85546875" style="358" customWidth="1"/>
    <col min="1800" max="1800" width="13.85546875" style="358" customWidth="1"/>
    <col min="1801" max="1801" width="16.28515625" style="358" customWidth="1"/>
    <col min="1802" max="1802" width="14.7109375" style="358" customWidth="1"/>
    <col min="1803" max="1803" width="16.42578125" style="358" customWidth="1"/>
    <col min="1804" max="1804" width="18" style="358" customWidth="1"/>
    <col min="1805" max="1805" width="16.42578125" style="358" customWidth="1"/>
    <col min="1806" max="1806" width="19.42578125" style="358" customWidth="1"/>
    <col min="1807" max="1807" width="18" style="358" customWidth="1"/>
    <col min="1808" max="1808" width="16" style="358" customWidth="1"/>
    <col min="1809" max="1809" width="16.7109375" style="358" customWidth="1"/>
    <col min="1810" max="1810" width="16.42578125" style="358" customWidth="1"/>
    <col min="1811" max="1811" width="11.140625" style="358" customWidth="1"/>
    <col min="1812" max="1812" width="13.5703125" style="358" customWidth="1"/>
    <col min="1813" max="2048" width="9.140625" style="358"/>
    <col min="2049" max="2049" width="6.140625" style="358" bestFit="1" customWidth="1"/>
    <col min="2050" max="2050" width="56.85546875" style="358" customWidth="1"/>
    <col min="2051" max="2051" width="14.28515625" style="358" customWidth="1"/>
    <col min="2052" max="2052" width="15.7109375" style="358" customWidth="1"/>
    <col min="2053" max="2053" width="16.28515625" style="358" customWidth="1"/>
    <col min="2054" max="2054" width="16.42578125" style="358" customWidth="1"/>
    <col min="2055" max="2055" width="14.85546875" style="358" customWidth="1"/>
    <col min="2056" max="2056" width="13.85546875" style="358" customWidth="1"/>
    <col min="2057" max="2057" width="16.28515625" style="358" customWidth="1"/>
    <col min="2058" max="2058" width="14.7109375" style="358" customWidth="1"/>
    <col min="2059" max="2059" width="16.42578125" style="358" customWidth="1"/>
    <col min="2060" max="2060" width="18" style="358" customWidth="1"/>
    <col min="2061" max="2061" width="16.42578125" style="358" customWidth="1"/>
    <col min="2062" max="2062" width="19.42578125" style="358" customWidth="1"/>
    <col min="2063" max="2063" width="18" style="358" customWidth="1"/>
    <col min="2064" max="2064" width="16" style="358" customWidth="1"/>
    <col min="2065" max="2065" width="16.7109375" style="358" customWidth="1"/>
    <col min="2066" max="2066" width="16.42578125" style="358" customWidth="1"/>
    <col min="2067" max="2067" width="11.140625" style="358" customWidth="1"/>
    <col min="2068" max="2068" width="13.5703125" style="358" customWidth="1"/>
    <col min="2069" max="2304" width="9.140625" style="358"/>
    <col min="2305" max="2305" width="6.140625" style="358" bestFit="1" customWidth="1"/>
    <col min="2306" max="2306" width="56.85546875" style="358" customWidth="1"/>
    <col min="2307" max="2307" width="14.28515625" style="358" customWidth="1"/>
    <col min="2308" max="2308" width="15.7109375" style="358" customWidth="1"/>
    <col min="2309" max="2309" width="16.28515625" style="358" customWidth="1"/>
    <col min="2310" max="2310" width="16.42578125" style="358" customWidth="1"/>
    <col min="2311" max="2311" width="14.85546875" style="358" customWidth="1"/>
    <col min="2312" max="2312" width="13.85546875" style="358" customWidth="1"/>
    <col min="2313" max="2313" width="16.28515625" style="358" customWidth="1"/>
    <col min="2314" max="2314" width="14.7109375" style="358" customWidth="1"/>
    <col min="2315" max="2315" width="16.42578125" style="358" customWidth="1"/>
    <col min="2316" max="2316" width="18" style="358" customWidth="1"/>
    <col min="2317" max="2317" width="16.42578125" style="358" customWidth="1"/>
    <col min="2318" max="2318" width="19.42578125" style="358" customWidth="1"/>
    <col min="2319" max="2319" width="18" style="358" customWidth="1"/>
    <col min="2320" max="2320" width="16" style="358" customWidth="1"/>
    <col min="2321" max="2321" width="16.7109375" style="358" customWidth="1"/>
    <col min="2322" max="2322" width="16.42578125" style="358" customWidth="1"/>
    <col min="2323" max="2323" width="11.140625" style="358" customWidth="1"/>
    <col min="2324" max="2324" width="13.5703125" style="358" customWidth="1"/>
    <col min="2325" max="2560" width="9.140625" style="358"/>
    <col min="2561" max="2561" width="6.140625" style="358" bestFit="1" customWidth="1"/>
    <col min="2562" max="2562" width="56.85546875" style="358" customWidth="1"/>
    <col min="2563" max="2563" width="14.28515625" style="358" customWidth="1"/>
    <col min="2564" max="2564" width="15.7109375" style="358" customWidth="1"/>
    <col min="2565" max="2565" width="16.28515625" style="358" customWidth="1"/>
    <col min="2566" max="2566" width="16.42578125" style="358" customWidth="1"/>
    <col min="2567" max="2567" width="14.85546875" style="358" customWidth="1"/>
    <col min="2568" max="2568" width="13.85546875" style="358" customWidth="1"/>
    <col min="2569" max="2569" width="16.28515625" style="358" customWidth="1"/>
    <col min="2570" max="2570" width="14.7109375" style="358" customWidth="1"/>
    <col min="2571" max="2571" width="16.42578125" style="358" customWidth="1"/>
    <col min="2572" max="2572" width="18" style="358" customWidth="1"/>
    <col min="2573" max="2573" width="16.42578125" style="358" customWidth="1"/>
    <col min="2574" max="2574" width="19.42578125" style="358" customWidth="1"/>
    <col min="2575" max="2575" width="18" style="358" customWidth="1"/>
    <col min="2576" max="2576" width="16" style="358" customWidth="1"/>
    <col min="2577" max="2577" width="16.7109375" style="358" customWidth="1"/>
    <col min="2578" max="2578" width="16.42578125" style="358" customWidth="1"/>
    <col min="2579" max="2579" width="11.140625" style="358" customWidth="1"/>
    <col min="2580" max="2580" width="13.5703125" style="358" customWidth="1"/>
    <col min="2581" max="2816" width="9.140625" style="358"/>
    <col min="2817" max="2817" width="6.140625" style="358" bestFit="1" customWidth="1"/>
    <col min="2818" max="2818" width="56.85546875" style="358" customWidth="1"/>
    <col min="2819" max="2819" width="14.28515625" style="358" customWidth="1"/>
    <col min="2820" max="2820" width="15.7109375" style="358" customWidth="1"/>
    <col min="2821" max="2821" width="16.28515625" style="358" customWidth="1"/>
    <col min="2822" max="2822" width="16.42578125" style="358" customWidth="1"/>
    <col min="2823" max="2823" width="14.85546875" style="358" customWidth="1"/>
    <col min="2824" max="2824" width="13.85546875" style="358" customWidth="1"/>
    <col min="2825" max="2825" width="16.28515625" style="358" customWidth="1"/>
    <col min="2826" max="2826" width="14.7109375" style="358" customWidth="1"/>
    <col min="2827" max="2827" width="16.42578125" style="358" customWidth="1"/>
    <col min="2828" max="2828" width="18" style="358" customWidth="1"/>
    <col min="2829" max="2829" width="16.42578125" style="358" customWidth="1"/>
    <col min="2830" max="2830" width="19.42578125" style="358" customWidth="1"/>
    <col min="2831" max="2831" width="18" style="358" customWidth="1"/>
    <col min="2832" max="2832" width="16" style="358" customWidth="1"/>
    <col min="2833" max="2833" width="16.7109375" style="358" customWidth="1"/>
    <col min="2834" max="2834" width="16.42578125" style="358" customWidth="1"/>
    <col min="2835" max="2835" width="11.140625" style="358" customWidth="1"/>
    <col min="2836" max="2836" width="13.5703125" style="358" customWidth="1"/>
    <col min="2837" max="3072" width="9.140625" style="358"/>
    <col min="3073" max="3073" width="6.140625" style="358" bestFit="1" customWidth="1"/>
    <col min="3074" max="3074" width="56.85546875" style="358" customWidth="1"/>
    <col min="3075" max="3075" width="14.28515625" style="358" customWidth="1"/>
    <col min="3076" max="3076" width="15.7109375" style="358" customWidth="1"/>
    <col min="3077" max="3077" width="16.28515625" style="358" customWidth="1"/>
    <col min="3078" max="3078" width="16.42578125" style="358" customWidth="1"/>
    <col min="3079" max="3079" width="14.85546875" style="358" customWidth="1"/>
    <col min="3080" max="3080" width="13.85546875" style="358" customWidth="1"/>
    <col min="3081" max="3081" width="16.28515625" style="358" customWidth="1"/>
    <col min="3082" max="3082" width="14.7109375" style="358" customWidth="1"/>
    <col min="3083" max="3083" width="16.42578125" style="358" customWidth="1"/>
    <col min="3084" max="3084" width="18" style="358" customWidth="1"/>
    <col min="3085" max="3085" width="16.42578125" style="358" customWidth="1"/>
    <col min="3086" max="3086" width="19.42578125" style="358" customWidth="1"/>
    <col min="3087" max="3087" width="18" style="358" customWidth="1"/>
    <col min="3088" max="3088" width="16" style="358" customWidth="1"/>
    <col min="3089" max="3089" width="16.7109375" style="358" customWidth="1"/>
    <col min="3090" max="3090" width="16.42578125" style="358" customWidth="1"/>
    <col min="3091" max="3091" width="11.140625" style="358" customWidth="1"/>
    <col min="3092" max="3092" width="13.5703125" style="358" customWidth="1"/>
    <col min="3093" max="3328" width="9.140625" style="358"/>
    <col min="3329" max="3329" width="6.140625" style="358" bestFit="1" customWidth="1"/>
    <col min="3330" max="3330" width="56.85546875" style="358" customWidth="1"/>
    <col min="3331" max="3331" width="14.28515625" style="358" customWidth="1"/>
    <col min="3332" max="3332" width="15.7109375" style="358" customWidth="1"/>
    <col min="3333" max="3333" width="16.28515625" style="358" customWidth="1"/>
    <col min="3334" max="3334" width="16.42578125" style="358" customWidth="1"/>
    <col min="3335" max="3335" width="14.85546875" style="358" customWidth="1"/>
    <col min="3336" max="3336" width="13.85546875" style="358" customWidth="1"/>
    <col min="3337" max="3337" width="16.28515625" style="358" customWidth="1"/>
    <col min="3338" max="3338" width="14.7109375" style="358" customWidth="1"/>
    <col min="3339" max="3339" width="16.42578125" style="358" customWidth="1"/>
    <col min="3340" max="3340" width="18" style="358" customWidth="1"/>
    <col min="3341" max="3341" width="16.42578125" style="358" customWidth="1"/>
    <col min="3342" max="3342" width="19.42578125" style="358" customWidth="1"/>
    <col min="3343" max="3343" width="18" style="358" customWidth="1"/>
    <col min="3344" max="3344" width="16" style="358" customWidth="1"/>
    <col min="3345" max="3345" width="16.7109375" style="358" customWidth="1"/>
    <col min="3346" max="3346" width="16.42578125" style="358" customWidth="1"/>
    <col min="3347" max="3347" width="11.140625" style="358" customWidth="1"/>
    <col min="3348" max="3348" width="13.5703125" style="358" customWidth="1"/>
    <col min="3349" max="3584" width="9.140625" style="358"/>
    <col min="3585" max="3585" width="6.140625" style="358" bestFit="1" customWidth="1"/>
    <col min="3586" max="3586" width="56.85546875" style="358" customWidth="1"/>
    <col min="3587" max="3587" width="14.28515625" style="358" customWidth="1"/>
    <col min="3588" max="3588" width="15.7109375" style="358" customWidth="1"/>
    <col min="3589" max="3589" width="16.28515625" style="358" customWidth="1"/>
    <col min="3590" max="3590" width="16.42578125" style="358" customWidth="1"/>
    <col min="3591" max="3591" width="14.85546875" style="358" customWidth="1"/>
    <col min="3592" max="3592" width="13.85546875" style="358" customWidth="1"/>
    <col min="3593" max="3593" width="16.28515625" style="358" customWidth="1"/>
    <col min="3594" max="3594" width="14.7109375" style="358" customWidth="1"/>
    <col min="3595" max="3595" width="16.42578125" style="358" customWidth="1"/>
    <col min="3596" max="3596" width="18" style="358" customWidth="1"/>
    <col min="3597" max="3597" width="16.42578125" style="358" customWidth="1"/>
    <col min="3598" max="3598" width="19.42578125" style="358" customWidth="1"/>
    <col min="3599" max="3599" width="18" style="358" customWidth="1"/>
    <col min="3600" max="3600" width="16" style="358" customWidth="1"/>
    <col min="3601" max="3601" width="16.7109375" style="358" customWidth="1"/>
    <col min="3602" max="3602" width="16.42578125" style="358" customWidth="1"/>
    <col min="3603" max="3603" width="11.140625" style="358" customWidth="1"/>
    <col min="3604" max="3604" width="13.5703125" style="358" customWidth="1"/>
    <col min="3605" max="3840" width="9.140625" style="358"/>
    <col min="3841" max="3841" width="6.140625" style="358" bestFit="1" customWidth="1"/>
    <col min="3842" max="3842" width="56.85546875" style="358" customWidth="1"/>
    <col min="3843" max="3843" width="14.28515625" style="358" customWidth="1"/>
    <col min="3844" max="3844" width="15.7109375" style="358" customWidth="1"/>
    <col min="3845" max="3845" width="16.28515625" style="358" customWidth="1"/>
    <col min="3846" max="3846" width="16.42578125" style="358" customWidth="1"/>
    <col min="3847" max="3847" width="14.85546875" style="358" customWidth="1"/>
    <col min="3848" max="3848" width="13.85546875" style="358" customWidth="1"/>
    <col min="3849" max="3849" width="16.28515625" style="358" customWidth="1"/>
    <col min="3850" max="3850" width="14.7109375" style="358" customWidth="1"/>
    <col min="3851" max="3851" width="16.42578125" style="358" customWidth="1"/>
    <col min="3852" max="3852" width="18" style="358" customWidth="1"/>
    <col min="3853" max="3853" width="16.42578125" style="358" customWidth="1"/>
    <col min="3854" max="3854" width="19.42578125" style="358" customWidth="1"/>
    <col min="3855" max="3855" width="18" style="358" customWidth="1"/>
    <col min="3856" max="3856" width="16" style="358" customWidth="1"/>
    <col min="3857" max="3857" width="16.7109375" style="358" customWidth="1"/>
    <col min="3858" max="3858" width="16.42578125" style="358" customWidth="1"/>
    <col min="3859" max="3859" width="11.140625" style="358" customWidth="1"/>
    <col min="3860" max="3860" width="13.5703125" style="358" customWidth="1"/>
    <col min="3861" max="4096" width="9.140625" style="358"/>
    <col min="4097" max="4097" width="6.140625" style="358" bestFit="1" customWidth="1"/>
    <col min="4098" max="4098" width="56.85546875" style="358" customWidth="1"/>
    <col min="4099" max="4099" width="14.28515625" style="358" customWidth="1"/>
    <col min="4100" max="4100" width="15.7109375" style="358" customWidth="1"/>
    <col min="4101" max="4101" width="16.28515625" style="358" customWidth="1"/>
    <col min="4102" max="4102" width="16.42578125" style="358" customWidth="1"/>
    <col min="4103" max="4103" width="14.85546875" style="358" customWidth="1"/>
    <col min="4104" max="4104" width="13.85546875" style="358" customWidth="1"/>
    <col min="4105" max="4105" width="16.28515625" style="358" customWidth="1"/>
    <col min="4106" max="4106" width="14.7109375" style="358" customWidth="1"/>
    <col min="4107" max="4107" width="16.42578125" style="358" customWidth="1"/>
    <col min="4108" max="4108" width="18" style="358" customWidth="1"/>
    <col min="4109" max="4109" width="16.42578125" style="358" customWidth="1"/>
    <col min="4110" max="4110" width="19.42578125" style="358" customWidth="1"/>
    <col min="4111" max="4111" width="18" style="358" customWidth="1"/>
    <col min="4112" max="4112" width="16" style="358" customWidth="1"/>
    <col min="4113" max="4113" width="16.7109375" style="358" customWidth="1"/>
    <col min="4114" max="4114" width="16.42578125" style="358" customWidth="1"/>
    <col min="4115" max="4115" width="11.140625" style="358" customWidth="1"/>
    <col min="4116" max="4116" width="13.5703125" style="358" customWidth="1"/>
    <col min="4117" max="4352" width="9.140625" style="358"/>
    <col min="4353" max="4353" width="6.140625" style="358" bestFit="1" customWidth="1"/>
    <col min="4354" max="4354" width="56.85546875" style="358" customWidth="1"/>
    <col min="4355" max="4355" width="14.28515625" style="358" customWidth="1"/>
    <col min="4356" max="4356" width="15.7109375" style="358" customWidth="1"/>
    <col min="4357" max="4357" width="16.28515625" style="358" customWidth="1"/>
    <col min="4358" max="4358" width="16.42578125" style="358" customWidth="1"/>
    <col min="4359" max="4359" width="14.85546875" style="358" customWidth="1"/>
    <col min="4360" max="4360" width="13.85546875" style="358" customWidth="1"/>
    <col min="4361" max="4361" width="16.28515625" style="358" customWidth="1"/>
    <col min="4362" max="4362" width="14.7109375" style="358" customWidth="1"/>
    <col min="4363" max="4363" width="16.42578125" style="358" customWidth="1"/>
    <col min="4364" max="4364" width="18" style="358" customWidth="1"/>
    <col min="4365" max="4365" width="16.42578125" style="358" customWidth="1"/>
    <col min="4366" max="4366" width="19.42578125" style="358" customWidth="1"/>
    <col min="4367" max="4367" width="18" style="358" customWidth="1"/>
    <col min="4368" max="4368" width="16" style="358" customWidth="1"/>
    <col min="4369" max="4369" width="16.7109375" style="358" customWidth="1"/>
    <col min="4370" max="4370" width="16.42578125" style="358" customWidth="1"/>
    <col min="4371" max="4371" width="11.140625" style="358" customWidth="1"/>
    <col min="4372" max="4372" width="13.5703125" style="358" customWidth="1"/>
    <col min="4373" max="4608" width="9.140625" style="358"/>
    <col min="4609" max="4609" width="6.140625" style="358" bestFit="1" customWidth="1"/>
    <col min="4610" max="4610" width="56.85546875" style="358" customWidth="1"/>
    <col min="4611" max="4611" width="14.28515625" style="358" customWidth="1"/>
    <col min="4612" max="4612" width="15.7109375" style="358" customWidth="1"/>
    <col min="4613" max="4613" width="16.28515625" style="358" customWidth="1"/>
    <col min="4614" max="4614" width="16.42578125" style="358" customWidth="1"/>
    <col min="4615" max="4615" width="14.85546875" style="358" customWidth="1"/>
    <col min="4616" max="4616" width="13.85546875" style="358" customWidth="1"/>
    <col min="4617" max="4617" width="16.28515625" style="358" customWidth="1"/>
    <col min="4618" max="4618" width="14.7109375" style="358" customWidth="1"/>
    <col min="4619" max="4619" width="16.42578125" style="358" customWidth="1"/>
    <col min="4620" max="4620" width="18" style="358" customWidth="1"/>
    <col min="4621" max="4621" width="16.42578125" style="358" customWidth="1"/>
    <col min="4622" max="4622" width="19.42578125" style="358" customWidth="1"/>
    <col min="4623" max="4623" width="18" style="358" customWidth="1"/>
    <col min="4624" max="4624" width="16" style="358" customWidth="1"/>
    <col min="4625" max="4625" width="16.7109375" style="358" customWidth="1"/>
    <col min="4626" max="4626" width="16.42578125" style="358" customWidth="1"/>
    <col min="4627" max="4627" width="11.140625" style="358" customWidth="1"/>
    <col min="4628" max="4628" width="13.5703125" style="358" customWidth="1"/>
    <col min="4629" max="4864" width="9.140625" style="358"/>
    <col min="4865" max="4865" width="6.140625" style="358" bestFit="1" customWidth="1"/>
    <col min="4866" max="4866" width="56.85546875" style="358" customWidth="1"/>
    <col min="4867" max="4867" width="14.28515625" style="358" customWidth="1"/>
    <col min="4868" max="4868" width="15.7109375" style="358" customWidth="1"/>
    <col min="4869" max="4869" width="16.28515625" style="358" customWidth="1"/>
    <col min="4870" max="4870" width="16.42578125" style="358" customWidth="1"/>
    <col min="4871" max="4871" width="14.85546875" style="358" customWidth="1"/>
    <col min="4872" max="4872" width="13.85546875" style="358" customWidth="1"/>
    <col min="4873" max="4873" width="16.28515625" style="358" customWidth="1"/>
    <col min="4874" max="4874" width="14.7109375" style="358" customWidth="1"/>
    <col min="4875" max="4875" width="16.42578125" style="358" customWidth="1"/>
    <col min="4876" max="4876" width="18" style="358" customWidth="1"/>
    <col min="4877" max="4877" width="16.42578125" style="358" customWidth="1"/>
    <col min="4878" max="4878" width="19.42578125" style="358" customWidth="1"/>
    <col min="4879" max="4879" width="18" style="358" customWidth="1"/>
    <col min="4880" max="4880" width="16" style="358" customWidth="1"/>
    <col min="4881" max="4881" width="16.7109375" style="358" customWidth="1"/>
    <col min="4882" max="4882" width="16.42578125" style="358" customWidth="1"/>
    <col min="4883" max="4883" width="11.140625" style="358" customWidth="1"/>
    <col min="4884" max="4884" width="13.5703125" style="358" customWidth="1"/>
    <col min="4885" max="5120" width="9.140625" style="358"/>
    <col min="5121" max="5121" width="6.140625" style="358" bestFit="1" customWidth="1"/>
    <col min="5122" max="5122" width="56.85546875" style="358" customWidth="1"/>
    <col min="5123" max="5123" width="14.28515625" style="358" customWidth="1"/>
    <col min="5124" max="5124" width="15.7109375" style="358" customWidth="1"/>
    <col min="5125" max="5125" width="16.28515625" style="358" customWidth="1"/>
    <col min="5126" max="5126" width="16.42578125" style="358" customWidth="1"/>
    <col min="5127" max="5127" width="14.85546875" style="358" customWidth="1"/>
    <col min="5128" max="5128" width="13.85546875" style="358" customWidth="1"/>
    <col min="5129" max="5129" width="16.28515625" style="358" customWidth="1"/>
    <col min="5130" max="5130" width="14.7109375" style="358" customWidth="1"/>
    <col min="5131" max="5131" width="16.42578125" style="358" customWidth="1"/>
    <col min="5132" max="5132" width="18" style="358" customWidth="1"/>
    <col min="5133" max="5133" width="16.42578125" style="358" customWidth="1"/>
    <col min="5134" max="5134" width="19.42578125" style="358" customWidth="1"/>
    <col min="5135" max="5135" width="18" style="358" customWidth="1"/>
    <col min="5136" max="5136" width="16" style="358" customWidth="1"/>
    <col min="5137" max="5137" width="16.7109375" style="358" customWidth="1"/>
    <col min="5138" max="5138" width="16.42578125" style="358" customWidth="1"/>
    <col min="5139" max="5139" width="11.140625" style="358" customWidth="1"/>
    <col min="5140" max="5140" width="13.5703125" style="358" customWidth="1"/>
    <col min="5141" max="5376" width="9.140625" style="358"/>
    <col min="5377" max="5377" width="6.140625" style="358" bestFit="1" customWidth="1"/>
    <col min="5378" max="5378" width="56.85546875" style="358" customWidth="1"/>
    <col min="5379" max="5379" width="14.28515625" style="358" customWidth="1"/>
    <col min="5380" max="5380" width="15.7109375" style="358" customWidth="1"/>
    <col min="5381" max="5381" width="16.28515625" style="358" customWidth="1"/>
    <col min="5382" max="5382" width="16.42578125" style="358" customWidth="1"/>
    <col min="5383" max="5383" width="14.85546875" style="358" customWidth="1"/>
    <col min="5384" max="5384" width="13.85546875" style="358" customWidth="1"/>
    <col min="5385" max="5385" width="16.28515625" style="358" customWidth="1"/>
    <col min="5386" max="5386" width="14.7109375" style="358" customWidth="1"/>
    <col min="5387" max="5387" width="16.42578125" style="358" customWidth="1"/>
    <col min="5388" max="5388" width="18" style="358" customWidth="1"/>
    <col min="5389" max="5389" width="16.42578125" style="358" customWidth="1"/>
    <col min="5390" max="5390" width="19.42578125" style="358" customWidth="1"/>
    <col min="5391" max="5391" width="18" style="358" customWidth="1"/>
    <col min="5392" max="5392" width="16" style="358" customWidth="1"/>
    <col min="5393" max="5393" width="16.7109375" style="358" customWidth="1"/>
    <col min="5394" max="5394" width="16.42578125" style="358" customWidth="1"/>
    <col min="5395" max="5395" width="11.140625" style="358" customWidth="1"/>
    <col min="5396" max="5396" width="13.5703125" style="358" customWidth="1"/>
    <col min="5397" max="5632" width="9.140625" style="358"/>
    <col min="5633" max="5633" width="6.140625" style="358" bestFit="1" customWidth="1"/>
    <col min="5634" max="5634" width="56.85546875" style="358" customWidth="1"/>
    <col min="5635" max="5635" width="14.28515625" style="358" customWidth="1"/>
    <col min="5636" max="5636" width="15.7109375" style="358" customWidth="1"/>
    <col min="5637" max="5637" width="16.28515625" style="358" customWidth="1"/>
    <col min="5638" max="5638" width="16.42578125" style="358" customWidth="1"/>
    <col min="5639" max="5639" width="14.85546875" style="358" customWidth="1"/>
    <col min="5640" max="5640" width="13.85546875" style="358" customWidth="1"/>
    <col min="5641" max="5641" width="16.28515625" style="358" customWidth="1"/>
    <col min="5642" max="5642" width="14.7109375" style="358" customWidth="1"/>
    <col min="5643" max="5643" width="16.42578125" style="358" customWidth="1"/>
    <col min="5644" max="5644" width="18" style="358" customWidth="1"/>
    <col min="5645" max="5645" width="16.42578125" style="358" customWidth="1"/>
    <col min="5646" max="5646" width="19.42578125" style="358" customWidth="1"/>
    <col min="5647" max="5647" width="18" style="358" customWidth="1"/>
    <col min="5648" max="5648" width="16" style="358" customWidth="1"/>
    <col min="5649" max="5649" width="16.7109375" style="358" customWidth="1"/>
    <col min="5650" max="5650" width="16.42578125" style="358" customWidth="1"/>
    <col min="5651" max="5651" width="11.140625" style="358" customWidth="1"/>
    <col min="5652" max="5652" width="13.5703125" style="358" customWidth="1"/>
    <col min="5653" max="5888" width="9.140625" style="358"/>
    <col min="5889" max="5889" width="6.140625" style="358" bestFit="1" customWidth="1"/>
    <col min="5890" max="5890" width="56.85546875" style="358" customWidth="1"/>
    <col min="5891" max="5891" width="14.28515625" style="358" customWidth="1"/>
    <col min="5892" max="5892" width="15.7109375" style="358" customWidth="1"/>
    <col min="5893" max="5893" width="16.28515625" style="358" customWidth="1"/>
    <col min="5894" max="5894" width="16.42578125" style="358" customWidth="1"/>
    <col min="5895" max="5895" width="14.85546875" style="358" customWidth="1"/>
    <col min="5896" max="5896" width="13.85546875" style="358" customWidth="1"/>
    <col min="5897" max="5897" width="16.28515625" style="358" customWidth="1"/>
    <col min="5898" max="5898" width="14.7109375" style="358" customWidth="1"/>
    <col min="5899" max="5899" width="16.42578125" style="358" customWidth="1"/>
    <col min="5900" max="5900" width="18" style="358" customWidth="1"/>
    <col min="5901" max="5901" width="16.42578125" style="358" customWidth="1"/>
    <col min="5902" max="5902" width="19.42578125" style="358" customWidth="1"/>
    <col min="5903" max="5903" width="18" style="358" customWidth="1"/>
    <col min="5904" max="5904" width="16" style="358" customWidth="1"/>
    <col min="5905" max="5905" width="16.7109375" style="358" customWidth="1"/>
    <col min="5906" max="5906" width="16.42578125" style="358" customWidth="1"/>
    <col min="5907" max="5907" width="11.140625" style="358" customWidth="1"/>
    <col min="5908" max="5908" width="13.5703125" style="358" customWidth="1"/>
    <col min="5909" max="6144" width="9.140625" style="358"/>
    <col min="6145" max="6145" width="6.140625" style="358" bestFit="1" customWidth="1"/>
    <col min="6146" max="6146" width="56.85546875" style="358" customWidth="1"/>
    <col min="6147" max="6147" width="14.28515625" style="358" customWidth="1"/>
    <col min="6148" max="6148" width="15.7109375" style="358" customWidth="1"/>
    <col min="6149" max="6149" width="16.28515625" style="358" customWidth="1"/>
    <col min="6150" max="6150" width="16.42578125" style="358" customWidth="1"/>
    <col min="6151" max="6151" width="14.85546875" style="358" customWidth="1"/>
    <col min="6152" max="6152" width="13.85546875" style="358" customWidth="1"/>
    <col min="6153" max="6153" width="16.28515625" style="358" customWidth="1"/>
    <col min="6154" max="6154" width="14.7109375" style="358" customWidth="1"/>
    <col min="6155" max="6155" width="16.42578125" style="358" customWidth="1"/>
    <col min="6156" max="6156" width="18" style="358" customWidth="1"/>
    <col min="6157" max="6157" width="16.42578125" style="358" customWidth="1"/>
    <col min="6158" max="6158" width="19.42578125" style="358" customWidth="1"/>
    <col min="6159" max="6159" width="18" style="358" customWidth="1"/>
    <col min="6160" max="6160" width="16" style="358" customWidth="1"/>
    <col min="6161" max="6161" width="16.7109375" style="358" customWidth="1"/>
    <col min="6162" max="6162" width="16.42578125" style="358" customWidth="1"/>
    <col min="6163" max="6163" width="11.140625" style="358" customWidth="1"/>
    <col min="6164" max="6164" width="13.5703125" style="358" customWidth="1"/>
    <col min="6165" max="6400" width="9.140625" style="358"/>
    <col min="6401" max="6401" width="6.140625" style="358" bestFit="1" customWidth="1"/>
    <col min="6402" max="6402" width="56.85546875" style="358" customWidth="1"/>
    <col min="6403" max="6403" width="14.28515625" style="358" customWidth="1"/>
    <col min="6404" max="6404" width="15.7109375" style="358" customWidth="1"/>
    <col min="6405" max="6405" width="16.28515625" style="358" customWidth="1"/>
    <col min="6406" max="6406" width="16.42578125" style="358" customWidth="1"/>
    <col min="6407" max="6407" width="14.85546875" style="358" customWidth="1"/>
    <col min="6408" max="6408" width="13.85546875" style="358" customWidth="1"/>
    <col min="6409" max="6409" width="16.28515625" style="358" customWidth="1"/>
    <col min="6410" max="6410" width="14.7109375" style="358" customWidth="1"/>
    <col min="6411" max="6411" width="16.42578125" style="358" customWidth="1"/>
    <col min="6412" max="6412" width="18" style="358" customWidth="1"/>
    <col min="6413" max="6413" width="16.42578125" style="358" customWidth="1"/>
    <col min="6414" max="6414" width="19.42578125" style="358" customWidth="1"/>
    <col min="6415" max="6415" width="18" style="358" customWidth="1"/>
    <col min="6416" max="6416" width="16" style="358" customWidth="1"/>
    <col min="6417" max="6417" width="16.7109375" style="358" customWidth="1"/>
    <col min="6418" max="6418" width="16.42578125" style="358" customWidth="1"/>
    <col min="6419" max="6419" width="11.140625" style="358" customWidth="1"/>
    <col min="6420" max="6420" width="13.5703125" style="358" customWidth="1"/>
    <col min="6421" max="6656" width="9.140625" style="358"/>
    <col min="6657" max="6657" width="6.140625" style="358" bestFit="1" customWidth="1"/>
    <col min="6658" max="6658" width="56.85546875" style="358" customWidth="1"/>
    <col min="6659" max="6659" width="14.28515625" style="358" customWidth="1"/>
    <col min="6660" max="6660" width="15.7109375" style="358" customWidth="1"/>
    <col min="6661" max="6661" width="16.28515625" style="358" customWidth="1"/>
    <col min="6662" max="6662" width="16.42578125" style="358" customWidth="1"/>
    <col min="6663" max="6663" width="14.85546875" style="358" customWidth="1"/>
    <col min="6664" max="6664" width="13.85546875" style="358" customWidth="1"/>
    <col min="6665" max="6665" width="16.28515625" style="358" customWidth="1"/>
    <col min="6666" max="6666" width="14.7109375" style="358" customWidth="1"/>
    <col min="6667" max="6667" width="16.42578125" style="358" customWidth="1"/>
    <col min="6668" max="6668" width="18" style="358" customWidth="1"/>
    <col min="6669" max="6669" width="16.42578125" style="358" customWidth="1"/>
    <col min="6670" max="6670" width="19.42578125" style="358" customWidth="1"/>
    <col min="6671" max="6671" width="18" style="358" customWidth="1"/>
    <col min="6672" max="6672" width="16" style="358" customWidth="1"/>
    <col min="6673" max="6673" width="16.7109375" style="358" customWidth="1"/>
    <col min="6674" max="6674" width="16.42578125" style="358" customWidth="1"/>
    <col min="6675" max="6675" width="11.140625" style="358" customWidth="1"/>
    <col min="6676" max="6676" width="13.5703125" style="358" customWidth="1"/>
    <col min="6677" max="6912" width="9.140625" style="358"/>
    <col min="6913" max="6913" width="6.140625" style="358" bestFit="1" customWidth="1"/>
    <col min="6914" max="6914" width="56.85546875" style="358" customWidth="1"/>
    <col min="6915" max="6915" width="14.28515625" style="358" customWidth="1"/>
    <col min="6916" max="6916" width="15.7109375" style="358" customWidth="1"/>
    <col min="6917" max="6917" width="16.28515625" style="358" customWidth="1"/>
    <col min="6918" max="6918" width="16.42578125" style="358" customWidth="1"/>
    <col min="6919" max="6919" width="14.85546875" style="358" customWidth="1"/>
    <col min="6920" max="6920" width="13.85546875" style="358" customWidth="1"/>
    <col min="6921" max="6921" width="16.28515625" style="358" customWidth="1"/>
    <col min="6922" max="6922" width="14.7109375" style="358" customWidth="1"/>
    <col min="6923" max="6923" width="16.42578125" style="358" customWidth="1"/>
    <col min="6924" max="6924" width="18" style="358" customWidth="1"/>
    <col min="6925" max="6925" width="16.42578125" style="358" customWidth="1"/>
    <col min="6926" max="6926" width="19.42578125" style="358" customWidth="1"/>
    <col min="6927" max="6927" width="18" style="358" customWidth="1"/>
    <col min="6928" max="6928" width="16" style="358" customWidth="1"/>
    <col min="6929" max="6929" width="16.7109375" style="358" customWidth="1"/>
    <col min="6930" max="6930" width="16.42578125" style="358" customWidth="1"/>
    <col min="6931" max="6931" width="11.140625" style="358" customWidth="1"/>
    <col min="6932" max="6932" width="13.5703125" style="358" customWidth="1"/>
    <col min="6933" max="7168" width="9.140625" style="358"/>
    <col min="7169" max="7169" width="6.140625" style="358" bestFit="1" customWidth="1"/>
    <col min="7170" max="7170" width="56.85546875" style="358" customWidth="1"/>
    <col min="7171" max="7171" width="14.28515625" style="358" customWidth="1"/>
    <col min="7172" max="7172" width="15.7109375" style="358" customWidth="1"/>
    <col min="7173" max="7173" width="16.28515625" style="358" customWidth="1"/>
    <col min="7174" max="7174" width="16.42578125" style="358" customWidth="1"/>
    <col min="7175" max="7175" width="14.85546875" style="358" customWidth="1"/>
    <col min="7176" max="7176" width="13.85546875" style="358" customWidth="1"/>
    <col min="7177" max="7177" width="16.28515625" style="358" customWidth="1"/>
    <col min="7178" max="7178" width="14.7109375" style="358" customWidth="1"/>
    <col min="7179" max="7179" width="16.42578125" style="358" customWidth="1"/>
    <col min="7180" max="7180" width="18" style="358" customWidth="1"/>
    <col min="7181" max="7181" width="16.42578125" style="358" customWidth="1"/>
    <col min="7182" max="7182" width="19.42578125" style="358" customWidth="1"/>
    <col min="7183" max="7183" width="18" style="358" customWidth="1"/>
    <col min="7184" max="7184" width="16" style="358" customWidth="1"/>
    <col min="7185" max="7185" width="16.7109375" style="358" customWidth="1"/>
    <col min="7186" max="7186" width="16.42578125" style="358" customWidth="1"/>
    <col min="7187" max="7187" width="11.140625" style="358" customWidth="1"/>
    <col min="7188" max="7188" width="13.5703125" style="358" customWidth="1"/>
    <col min="7189" max="7424" width="9.140625" style="358"/>
    <col min="7425" max="7425" width="6.140625" style="358" bestFit="1" customWidth="1"/>
    <col min="7426" max="7426" width="56.85546875" style="358" customWidth="1"/>
    <col min="7427" max="7427" width="14.28515625" style="358" customWidth="1"/>
    <col min="7428" max="7428" width="15.7109375" style="358" customWidth="1"/>
    <col min="7429" max="7429" width="16.28515625" style="358" customWidth="1"/>
    <col min="7430" max="7430" width="16.42578125" style="358" customWidth="1"/>
    <col min="7431" max="7431" width="14.85546875" style="358" customWidth="1"/>
    <col min="7432" max="7432" width="13.85546875" style="358" customWidth="1"/>
    <col min="7433" max="7433" width="16.28515625" style="358" customWidth="1"/>
    <col min="7434" max="7434" width="14.7109375" style="358" customWidth="1"/>
    <col min="7435" max="7435" width="16.42578125" style="358" customWidth="1"/>
    <col min="7436" max="7436" width="18" style="358" customWidth="1"/>
    <col min="7437" max="7437" width="16.42578125" style="358" customWidth="1"/>
    <col min="7438" max="7438" width="19.42578125" style="358" customWidth="1"/>
    <col min="7439" max="7439" width="18" style="358" customWidth="1"/>
    <col min="7440" max="7440" width="16" style="358" customWidth="1"/>
    <col min="7441" max="7441" width="16.7109375" style="358" customWidth="1"/>
    <col min="7442" max="7442" width="16.42578125" style="358" customWidth="1"/>
    <col min="7443" max="7443" width="11.140625" style="358" customWidth="1"/>
    <col min="7444" max="7444" width="13.5703125" style="358" customWidth="1"/>
    <col min="7445" max="7680" width="9.140625" style="358"/>
    <col min="7681" max="7681" width="6.140625" style="358" bestFit="1" customWidth="1"/>
    <col min="7682" max="7682" width="56.85546875" style="358" customWidth="1"/>
    <col min="7683" max="7683" width="14.28515625" style="358" customWidth="1"/>
    <col min="7684" max="7684" width="15.7109375" style="358" customWidth="1"/>
    <col min="7685" max="7685" width="16.28515625" style="358" customWidth="1"/>
    <col min="7686" max="7686" width="16.42578125" style="358" customWidth="1"/>
    <col min="7687" max="7687" width="14.85546875" style="358" customWidth="1"/>
    <col min="7688" max="7688" width="13.85546875" style="358" customWidth="1"/>
    <col min="7689" max="7689" width="16.28515625" style="358" customWidth="1"/>
    <col min="7690" max="7690" width="14.7109375" style="358" customWidth="1"/>
    <col min="7691" max="7691" width="16.42578125" style="358" customWidth="1"/>
    <col min="7692" max="7692" width="18" style="358" customWidth="1"/>
    <col min="7693" max="7693" width="16.42578125" style="358" customWidth="1"/>
    <col min="7694" max="7694" width="19.42578125" style="358" customWidth="1"/>
    <col min="7695" max="7695" width="18" style="358" customWidth="1"/>
    <col min="7696" max="7696" width="16" style="358" customWidth="1"/>
    <col min="7697" max="7697" width="16.7109375" style="358" customWidth="1"/>
    <col min="7698" max="7698" width="16.42578125" style="358" customWidth="1"/>
    <col min="7699" max="7699" width="11.140625" style="358" customWidth="1"/>
    <col min="7700" max="7700" width="13.5703125" style="358" customWidth="1"/>
    <col min="7701" max="7936" width="9.140625" style="358"/>
    <col min="7937" max="7937" width="6.140625" style="358" bestFit="1" customWidth="1"/>
    <col min="7938" max="7938" width="56.85546875" style="358" customWidth="1"/>
    <col min="7939" max="7939" width="14.28515625" style="358" customWidth="1"/>
    <col min="7940" max="7940" width="15.7109375" style="358" customWidth="1"/>
    <col min="7941" max="7941" width="16.28515625" style="358" customWidth="1"/>
    <col min="7942" max="7942" width="16.42578125" style="358" customWidth="1"/>
    <col min="7943" max="7943" width="14.85546875" style="358" customWidth="1"/>
    <col min="7944" max="7944" width="13.85546875" style="358" customWidth="1"/>
    <col min="7945" max="7945" width="16.28515625" style="358" customWidth="1"/>
    <col min="7946" max="7946" width="14.7109375" style="358" customWidth="1"/>
    <col min="7947" max="7947" width="16.42578125" style="358" customWidth="1"/>
    <col min="7948" max="7948" width="18" style="358" customWidth="1"/>
    <col min="7949" max="7949" width="16.42578125" style="358" customWidth="1"/>
    <col min="7950" max="7950" width="19.42578125" style="358" customWidth="1"/>
    <col min="7951" max="7951" width="18" style="358" customWidth="1"/>
    <col min="7952" max="7952" width="16" style="358" customWidth="1"/>
    <col min="7953" max="7953" width="16.7109375" style="358" customWidth="1"/>
    <col min="7954" max="7954" width="16.42578125" style="358" customWidth="1"/>
    <col min="7955" max="7955" width="11.140625" style="358" customWidth="1"/>
    <col min="7956" max="7956" width="13.5703125" style="358" customWidth="1"/>
    <col min="7957" max="8192" width="9.140625" style="358"/>
    <col min="8193" max="8193" width="6.140625" style="358" bestFit="1" customWidth="1"/>
    <col min="8194" max="8194" width="56.85546875" style="358" customWidth="1"/>
    <col min="8195" max="8195" width="14.28515625" style="358" customWidth="1"/>
    <col min="8196" max="8196" width="15.7109375" style="358" customWidth="1"/>
    <col min="8197" max="8197" width="16.28515625" style="358" customWidth="1"/>
    <col min="8198" max="8198" width="16.42578125" style="358" customWidth="1"/>
    <col min="8199" max="8199" width="14.85546875" style="358" customWidth="1"/>
    <col min="8200" max="8200" width="13.85546875" style="358" customWidth="1"/>
    <col min="8201" max="8201" width="16.28515625" style="358" customWidth="1"/>
    <col min="8202" max="8202" width="14.7109375" style="358" customWidth="1"/>
    <col min="8203" max="8203" width="16.42578125" style="358" customWidth="1"/>
    <col min="8204" max="8204" width="18" style="358" customWidth="1"/>
    <col min="8205" max="8205" width="16.42578125" style="358" customWidth="1"/>
    <col min="8206" max="8206" width="19.42578125" style="358" customWidth="1"/>
    <col min="8207" max="8207" width="18" style="358" customWidth="1"/>
    <col min="8208" max="8208" width="16" style="358" customWidth="1"/>
    <col min="8209" max="8209" width="16.7109375" style="358" customWidth="1"/>
    <col min="8210" max="8210" width="16.42578125" style="358" customWidth="1"/>
    <col min="8211" max="8211" width="11.140625" style="358" customWidth="1"/>
    <col min="8212" max="8212" width="13.5703125" style="358" customWidth="1"/>
    <col min="8213" max="8448" width="9.140625" style="358"/>
    <col min="8449" max="8449" width="6.140625" style="358" bestFit="1" customWidth="1"/>
    <col min="8450" max="8450" width="56.85546875" style="358" customWidth="1"/>
    <col min="8451" max="8451" width="14.28515625" style="358" customWidth="1"/>
    <col min="8452" max="8452" width="15.7109375" style="358" customWidth="1"/>
    <col min="8453" max="8453" width="16.28515625" style="358" customWidth="1"/>
    <col min="8454" max="8454" width="16.42578125" style="358" customWidth="1"/>
    <col min="8455" max="8455" width="14.85546875" style="358" customWidth="1"/>
    <col min="8456" max="8456" width="13.85546875" style="358" customWidth="1"/>
    <col min="8457" max="8457" width="16.28515625" style="358" customWidth="1"/>
    <col min="8458" max="8458" width="14.7109375" style="358" customWidth="1"/>
    <col min="8459" max="8459" width="16.42578125" style="358" customWidth="1"/>
    <col min="8460" max="8460" width="18" style="358" customWidth="1"/>
    <col min="8461" max="8461" width="16.42578125" style="358" customWidth="1"/>
    <col min="8462" max="8462" width="19.42578125" style="358" customWidth="1"/>
    <col min="8463" max="8463" width="18" style="358" customWidth="1"/>
    <col min="8464" max="8464" width="16" style="358" customWidth="1"/>
    <col min="8465" max="8465" width="16.7109375" style="358" customWidth="1"/>
    <col min="8466" max="8466" width="16.42578125" style="358" customWidth="1"/>
    <col min="8467" max="8467" width="11.140625" style="358" customWidth="1"/>
    <col min="8468" max="8468" width="13.5703125" style="358" customWidth="1"/>
    <col min="8469" max="8704" width="9.140625" style="358"/>
    <col min="8705" max="8705" width="6.140625" style="358" bestFit="1" customWidth="1"/>
    <col min="8706" max="8706" width="56.85546875" style="358" customWidth="1"/>
    <col min="8707" max="8707" width="14.28515625" style="358" customWidth="1"/>
    <col min="8708" max="8708" width="15.7109375" style="358" customWidth="1"/>
    <col min="8709" max="8709" width="16.28515625" style="358" customWidth="1"/>
    <col min="8710" max="8710" width="16.42578125" style="358" customWidth="1"/>
    <col min="8711" max="8711" width="14.85546875" style="358" customWidth="1"/>
    <col min="8712" max="8712" width="13.85546875" style="358" customWidth="1"/>
    <col min="8713" max="8713" width="16.28515625" style="358" customWidth="1"/>
    <col min="8714" max="8714" width="14.7109375" style="358" customWidth="1"/>
    <col min="8715" max="8715" width="16.42578125" style="358" customWidth="1"/>
    <col min="8716" max="8716" width="18" style="358" customWidth="1"/>
    <col min="8717" max="8717" width="16.42578125" style="358" customWidth="1"/>
    <col min="8718" max="8718" width="19.42578125" style="358" customWidth="1"/>
    <col min="8719" max="8719" width="18" style="358" customWidth="1"/>
    <col min="8720" max="8720" width="16" style="358" customWidth="1"/>
    <col min="8721" max="8721" width="16.7109375" style="358" customWidth="1"/>
    <col min="8722" max="8722" width="16.42578125" style="358" customWidth="1"/>
    <col min="8723" max="8723" width="11.140625" style="358" customWidth="1"/>
    <col min="8724" max="8724" width="13.5703125" style="358" customWidth="1"/>
    <col min="8725" max="8960" width="9.140625" style="358"/>
    <col min="8961" max="8961" width="6.140625" style="358" bestFit="1" customWidth="1"/>
    <col min="8962" max="8962" width="56.85546875" style="358" customWidth="1"/>
    <col min="8963" max="8963" width="14.28515625" style="358" customWidth="1"/>
    <col min="8964" max="8964" width="15.7109375" style="358" customWidth="1"/>
    <col min="8965" max="8965" width="16.28515625" style="358" customWidth="1"/>
    <col min="8966" max="8966" width="16.42578125" style="358" customWidth="1"/>
    <col min="8967" max="8967" width="14.85546875" style="358" customWidth="1"/>
    <col min="8968" max="8968" width="13.85546875" style="358" customWidth="1"/>
    <col min="8969" max="8969" width="16.28515625" style="358" customWidth="1"/>
    <col min="8970" max="8970" width="14.7109375" style="358" customWidth="1"/>
    <col min="8971" max="8971" width="16.42578125" style="358" customWidth="1"/>
    <col min="8972" max="8972" width="18" style="358" customWidth="1"/>
    <col min="8973" max="8973" width="16.42578125" style="358" customWidth="1"/>
    <col min="8974" max="8974" width="19.42578125" style="358" customWidth="1"/>
    <col min="8975" max="8975" width="18" style="358" customWidth="1"/>
    <col min="8976" max="8976" width="16" style="358" customWidth="1"/>
    <col min="8977" max="8977" width="16.7109375" style="358" customWidth="1"/>
    <col min="8978" max="8978" width="16.42578125" style="358" customWidth="1"/>
    <col min="8979" max="8979" width="11.140625" style="358" customWidth="1"/>
    <col min="8980" max="8980" width="13.5703125" style="358" customWidth="1"/>
    <col min="8981" max="9216" width="9.140625" style="358"/>
    <col min="9217" max="9217" width="6.140625" style="358" bestFit="1" customWidth="1"/>
    <col min="9218" max="9218" width="56.85546875" style="358" customWidth="1"/>
    <col min="9219" max="9219" width="14.28515625" style="358" customWidth="1"/>
    <col min="9220" max="9220" width="15.7109375" style="358" customWidth="1"/>
    <col min="9221" max="9221" width="16.28515625" style="358" customWidth="1"/>
    <col min="9222" max="9222" width="16.42578125" style="358" customWidth="1"/>
    <col min="9223" max="9223" width="14.85546875" style="358" customWidth="1"/>
    <col min="9224" max="9224" width="13.85546875" style="358" customWidth="1"/>
    <col min="9225" max="9225" width="16.28515625" style="358" customWidth="1"/>
    <col min="9226" max="9226" width="14.7109375" style="358" customWidth="1"/>
    <col min="9227" max="9227" width="16.42578125" style="358" customWidth="1"/>
    <col min="9228" max="9228" width="18" style="358" customWidth="1"/>
    <col min="9229" max="9229" width="16.42578125" style="358" customWidth="1"/>
    <col min="9230" max="9230" width="19.42578125" style="358" customWidth="1"/>
    <col min="9231" max="9231" width="18" style="358" customWidth="1"/>
    <col min="9232" max="9232" width="16" style="358" customWidth="1"/>
    <col min="9233" max="9233" width="16.7109375" style="358" customWidth="1"/>
    <col min="9234" max="9234" width="16.42578125" style="358" customWidth="1"/>
    <col min="9235" max="9235" width="11.140625" style="358" customWidth="1"/>
    <col min="9236" max="9236" width="13.5703125" style="358" customWidth="1"/>
    <col min="9237" max="9472" width="9.140625" style="358"/>
    <col min="9473" max="9473" width="6.140625" style="358" bestFit="1" customWidth="1"/>
    <col min="9474" max="9474" width="56.85546875" style="358" customWidth="1"/>
    <col min="9475" max="9475" width="14.28515625" style="358" customWidth="1"/>
    <col min="9476" max="9476" width="15.7109375" style="358" customWidth="1"/>
    <col min="9477" max="9477" width="16.28515625" style="358" customWidth="1"/>
    <col min="9478" max="9478" width="16.42578125" style="358" customWidth="1"/>
    <col min="9479" max="9479" width="14.85546875" style="358" customWidth="1"/>
    <col min="9480" max="9480" width="13.85546875" style="358" customWidth="1"/>
    <col min="9481" max="9481" width="16.28515625" style="358" customWidth="1"/>
    <col min="9482" max="9482" width="14.7109375" style="358" customWidth="1"/>
    <col min="9483" max="9483" width="16.42578125" style="358" customWidth="1"/>
    <col min="9484" max="9484" width="18" style="358" customWidth="1"/>
    <col min="9485" max="9485" width="16.42578125" style="358" customWidth="1"/>
    <col min="9486" max="9486" width="19.42578125" style="358" customWidth="1"/>
    <col min="9487" max="9487" width="18" style="358" customWidth="1"/>
    <col min="9488" max="9488" width="16" style="358" customWidth="1"/>
    <col min="9489" max="9489" width="16.7109375" style="358" customWidth="1"/>
    <col min="9490" max="9490" width="16.42578125" style="358" customWidth="1"/>
    <col min="9491" max="9491" width="11.140625" style="358" customWidth="1"/>
    <col min="9492" max="9492" width="13.5703125" style="358" customWidth="1"/>
    <col min="9493" max="9728" width="9.140625" style="358"/>
    <col min="9729" max="9729" width="6.140625" style="358" bestFit="1" customWidth="1"/>
    <col min="9730" max="9730" width="56.85546875" style="358" customWidth="1"/>
    <col min="9731" max="9731" width="14.28515625" style="358" customWidth="1"/>
    <col min="9732" max="9732" width="15.7109375" style="358" customWidth="1"/>
    <col min="9733" max="9733" width="16.28515625" style="358" customWidth="1"/>
    <col min="9734" max="9734" width="16.42578125" style="358" customWidth="1"/>
    <col min="9735" max="9735" width="14.85546875" style="358" customWidth="1"/>
    <col min="9736" max="9736" width="13.85546875" style="358" customWidth="1"/>
    <col min="9737" max="9737" width="16.28515625" style="358" customWidth="1"/>
    <col min="9738" max="9738" width="14.7109375" style="358" customWidth="1"/>
    <col min="9739" max="9739" width="16.42578125" style="358" customWidth="1"/>
    <col min="9740" max="9740" width="18" style="358" customWidth="1"/>
    <col min="9741" max="9741" width="16.42578125" style="358" customWidth="1"/>
    <col min="9742" max="9742" width="19.42578125" style="358" customWidth="1"/>
    <col min="9743" max="9743" width="18" style="358" customWidth="1"/>
    <col min="9744" max="9744" width="16" style="358" customWidth="1"/>
    <col min="9745" max="9745" width="16.7109375" style="358" customWidth="1"/>
    <col min="9746" max="9746" width="16.42578125" style="358" customWidth="1"/>
    <col min="9747" max="9747" width="11.140625" style="358" customWidth="1"/>
    <col min="9748" max="9748" width="13.5703125" style="358" customWidth="1"/>
    <col min="9749" max="9984" width="9.140625" style="358"/>
    <col min="9985" max="9985" width="6.140625" style="358" bestFit="1" customWidth="1"/>
    <col min="9986" max="9986" width="56.85546875" style="358" customWidth="1"/>
    <col min="9987" max="9987" width="14.28515625" style="358" customWidth="1"/>
    <col min="9988" max="9988" width="15.7109375" style="358" customWidth="1"/>
    <col min="9989" max="9989" width="16.28515625" style="358" customWidth="1"/>
    <col min="9990" max="9990" width="16.42578125" style="358" customWidth="1"/>
    <col min="9991" max="9991" width="14.85546875" style="358" customWidth="1"/>
    <col min="9992" max="9992" width="13.85546875" style="358" customWidth="1"/>
    <col min="9993" max="9993" width="16.28515625" style="358" customWidth="1"/>
    <col min="9994" max="9994" width="14.7109375" style="358" customWidth="1"/>
    <col min="9995" max="9995" width="16.42578125" style="358" customWidth="1"/>
    <col min="9996" max="9996" width="18" style="358" customWidth="1"/>
    <col min="9997" max="9997" width="16.42578125" style="358" customWidth="1"/>
    <col min="9998" max="9998" width="19.42578125" style="358" customWidth="1"/>
    <col min="9999" max="9999" width="18" style="358" customWidth="1"/>
    <col min="10000" max="10000" width="16" style="358" customWidth="1"/>
    <col min="10001" max="10001" width="16.7109375" style="358" customWidth="1"/>
    <col min="10002" max="10002" width="16.42578125" style="358" customWidth="1"/>
    <col min="10003" max="10003" width="11.140625" style="358" customWidth="1"/>
    <col min="10004" max="10004" width="13.5703125" style="358" customWidth="1"/>
    <col min="10005" max="10240" width="9.140625" style="358"/>
    <col min="10241" max="10241" width="6.140625" style="358" bestFit="1" customWidth="1"/>
    <col min="10242" max="10242" width="56.85546875" style="358" customWidth="1"/>
    <col min="10243" max="10243" width="14.28515625" style="358" customWidth="1"/>
    <col min="10244" max="10244" width="15.7109375" style="358" customWidth="1"/>
    <col min="10245" max="10245" width="16.28515625" style="358" customWidth="1"/>
    <col min="10246" max="10246" width="16.42578125" style="358" customWidth="1"/>
    <col min="10247" max="10247" width="14.85546875" style="358" customWidth="1"/>
    <col min="10248" max="10248" width="13.85546875" style="358" customWidth="1"/>
    <col min="10249" max="10249" width="16.28515625" style="358" customWidth="1"/>
    <col min="10250" max="10250" width="14.7109375" style="358" customWidth="1"/>
    <col min="10251" max="10251" width="16.42578125" style="358" customWidth="1"/>
    <col min="10252" max="10252" width="18" style="358" customWidth="1"/>
    <col min="10253" max="10253" width="16.42578125" style="358" customWidth="1"/>
    <col min="10254" max="10254" width="19.42578125" style="358" customWidth="1"/>
    <col min="10255" max="10255" width="18" style="358" customWidth="1"/>
    <col min="10256" max="10256" width="16" style="358" customWidth="1"/>
    <col min="10257" max="10257" width="16.7109375" style="358" customWidth="1"/>
    <col min="10258" max="10258" width="16.42578125" style="358" customWidth="1"/>
    <col min="10259" max="10259" width="11.140625" style="358" customWidth="1"/>
    <col min="10260" max="10260" width="13.5703125" style="358" customWidth="1"/>
    <col min="10261" max="10496" width="9.140625" style="358"/>
    <col min="10497" max="10497" width="6.140625" style="358" bestFit="1" customWidth="1"/>
    <col min="10498" max="10498" width="56.85546875" style="358" customWidth="1"/>
    <col min="10499" max="10499" width="14.28515625" style="358" customWidth="1"/>
    <col min="10500" max="10500" width="15.7109375" style="358" customWidth="1"/>
    <col min="10501" max="10501" width="16.28515625" style="358" customWidth="1"/>
    <col min="10502" max="10502" width="16.42578125" style="358" customWidth="1"/>
    <col min="10503" max="10503" width="14.85546875" style="358" customWidth="1"/>
    <col min="10504" max="10504" width="13.85546875" style="358" customWidth="1"/>
    <col min="10505" max="10505" width="16.28515625" style="358" customWidth="1"/>
    <col min="10506" max="10506" width="14.7109375" style="358" customWidth="1"/>
    <col min="10507" max="10507" width="16.42578125" style="358" customWidth="1"/>
    <col min="10508" max="10508" width="18" style="358" customWidth="1"/>
    <col min="10509" max="10509" width="16.42578125" style="358" customWidth="1"/>
    <col min="10510" max="10510" width="19.42578125" style="358" customWidth="1"/>
    <col min="10511" max="10511" width="18" style="358" customWidth="1"/>
    <col min="10512" max="10512" width="16" style="358" customWidth="1"/>
    <col min="10513" max="10513" width="16.7109375" style="358" customWidth="1"/>
    <col min="10514" max="10514" width="16.42578125" style="358" customWidth="1"/>
    <col min="10515" max="10515" width="11.140625" style="358" customWidth="1"/>
    <col min="10516" max="10516" width="13.5703125" style="358" customWidth="1"/>
    <col min="10517" max="10752" width="9.140625" style="358"/>
    <col min="10753" max="10753" width="6.140625" style="358" bestFit="1" customWidth="1"/>
    <col min="10754" max="10754" width="56.85546875" style="358" customWidth="1"/>
    <col min="10755" max="10755" width="14.28515625" style="358" customWidth="1"/>
    <col min="10756" max="10756" width="15.7109375" style="358" customWidth="1"/>
    <col min="10757" max="10757" width="16.28515625" style="358" customWidth="1"/>
    <col min="10758" max="10758" width="16.42578125" style="358" customWidth="1"/>
    <col min="10759" max="10759" width="14.85546875" style="358" customWidth="1"/>
    <col min="10760" max="10760" width="13.85546875" style="358" customWidth="1"/>
    <col min="10761" max="10761" width="16.28515625" style="358" customWidth="1"/>
    <col min="10762" max="10762" width="14.7109375" style="358" customWidth="1"/>
    <col min="10763" max="10763" width="16.42578125" style="358" customWidth="1"/>
    <col min="10764" max="10764" width="18" style="358" customWidth="1"/>
    <col min="10765" max="10765" width="16.42578125" style="358" customWidth="1"/>
    <col min="10766" max="10766" width="19.42578125" style="358" customWidth="1"/>
    <col min="10767" max="10767" width="18" style="358" customWidth="1"/>
    <col min="10768" max="10768" width="16" style="358" customWidth="1"/>
    <col min="10769" max="10769" width="16.7109375" style="358" customWidth="1"/>
    <col min="10770" max="10770" width="16.42578125" style="358" customWidth="1"/>
    <col min="10771" max="10771" width="11.140625" style="358" customWidth="1"/>
    <col min="10772" max="10772" width="13.5703125" style="358" customWidth="1"/>
    <col min="10773" max="11008" width="9.140625" style="358"/>
    <col min="11009" max="11009" width="6.140625" style="358" bestFit="1" customWidth="1"/>
    <col min="11010" max="11010" width="56.85546875" style="358" customWidth="1"/>
    <col min="11011" max="11011" width="14.28515625" style="358" customWidth="1"/>
    <col min="11012" max="11012" width="15.7109375" style="358" customWidth="1"/>
    <col min="11013" max="11013" width="16.28515625" style="358" customWidth="1"/>
    <col min="11014" max="11014" width="16.42578125" style="358" customWidth="1"/>
    <col min="11015" max="11015" width="14.85546875" style="358" customWidth="1"/>
    <col min="11016" max="11016" width="13.85546875" style="358" customWidth="1"/>
    <col min="11017" max="11017" width="16.28515625" style="358" customWidth="1"/>
    <col min="11018" max="11018" width="14.7109375" style="358" customWidth="1"/>
    <col min="11019" max="11019" width="16.42578125" style="358" customWidth="1"/>
    <col min="11020" max="11020" width="18" style="358" customWidth="1"/>
    <col min="11021" max="11021" width="16.42578125" style="358" customWidth="1"/>
    <col min="11022" max="11022" width="19.42578125" style="358" customWidth="1"/>
    <col min="11023" max="11023" width="18" style="358" customWidth="1"/>
    <col min="11024" max="11024" width="16" style="358" customWidth="1"/>
    <col min="11025" max="11025" width="16.7109375" style="358" customWidth="1"/>
    <col min="11026" max="11026" width="16.42578125" style="358" customWidth="1"/>
    <col min="11027" max="11027" width="11.140625" style="358" customWidth="1"/>
    <col min="11028" max="11028" width="13.5703125" style="358" customWidth="1"/>
    <col min="11029" max="11264" width="9.140625" style="358"/>
    <col min="11265" max="11265" width="6.140625" style="358" bestFit="1" customWidth="1"/>
    <col min="11266" max="11266" width="56.85546875" style="358" customWidth="1"/>
    <col min="11267" max="11267" width="14.28515625" style="358" customWidth="1"/>
    <col min="11268" max="11268" width="15.7109375" style="358" customWidth="1"/>
    <col min="11269" max="11269" width="16.28515625" style="358" customWidth="1"/>
    <col min="11270" max="11270" width="16.42578125" style="358" customWidth="1"/>
    <col min="11271" max="11271" width="14.85546875" style="358" customWidth="1"/>
    <col min="11272" max="11272" width="13.85546875" style="358" customWidth="1"/>
    <col min="11273" max="11273" width="16.28515625" style="358" customWidth="1"/>
    <col min="11274" max="11274" width="14.7109375" style="358" customWidth="1"/>
    <col min="11275" max="11275" width="16.42578125" style="358" customWidth="1"/>
    <col min="11276" max="11276" width="18" style="358" customWidth="1"/>
    <col min="11277" max="11277" width="16.42578125" style="358" customWidth="1"/>
    <col min="11278" max="11278" width="19.42578125" style="358" customWidth="1"/>
    <col min="11279" max="11279" width="18" style="358" customWidth="1"/>
    <col min="11280" max="11280" width="16" style="358" customWidth="1"/>
    <col min="11281" max="11281" width="16.7109375" style="358" customWidth="1"/>
    <col min="11282" max="11282" width="16.42578125" style="358" customWidth="1"/>
    <col min="11283" max="11283" width="11.140625" style="358" customWidth="1"/>
    <col min="11284" max="11284" width="13.5703125" style="358" customWidth="1"/>
    <col min="11285" max="11520" width="9.140625" style="358"/>
    <col min="11521" max="11521" width="6.140625" style="358" bestFit="1" customWidth="1"/>
    <col min="11522" max="11522" width="56.85546875" style="358" customWidth="1"/>
    <col min="11523" max="11523" width="14.28515625" style="358" customWidth="1"/>
    <col min="11524" max="11524" width="15.7109375" style="358" customWidth="1"/>
    <col min="11525" max="11525" width="16.28515625" style="358" customWidth="1"/>
    <col min="11526" max="11526" width="16.42578125" style="358" customWidth="1"/>
    <col min="11527" max="11527" width="14.85546875" style="358" customWidth="1"/>
    <col min="11528" max="11528" width="13.85546875" style="358" customWidth="1"/>
    <col min="11529" max="11529" width="16.28515625" style="358" customWidth="1"/>
    <col min="11530" max="11530" width="14.7109375" style="358" customWidth="1"/>
    <col min="11531" max="11531" width="16.42578125" style="358" customWidth="1"/>
    <col min="11532" max="11532" width="18" style="358" customWidth="1"/>
    <col min="11533" max="11533" width="16.42578125" style="358" customWidth="1"/>
    <col min="11534" max="11534" width="19.42578125" style="358" customWidth="1"/>
    <col min="11535" max="11535" width="18" style="358" customWidth="1"/>
    <col min="11536" max="11536" width="16" style="358" customWidth="1"/>
    <col min="11537" max="11537" width="16.7109375" style="358" customWidth="1"/>
    <col min="11538" max="11538" width="16.42578125" style="358" customWidth="1"/>
    <col min="11539" max="11539" width="11.140625" style="358" customWidth="1"/>
    <col min="11540" max="11540" width="13.5703125" style="358" customWidth="1"/>
    <col min="11541" max="11776" width="9.140625" style="358"/>
    <col min="11777" max="11777" width="6.140625" style="358" bestFit="1" customWidth="1"/>
    <col min="11778" max="11778" width="56.85546875" style="358" customWidth="1"/>
    <col min="11779" max="11779" width="14.28515625" style="358" customWidth="1"/>
    <col min="11780" max="11780" width="15.7109375" style="358" customWidth="1"/>
    <col min="11781" max="11781" width="16.28515625" style="358" customWidth="1"/>
    <col min="11782" max="11782" width="16.42578125" style="358" customWidth="1"/>
    <col min="11783" max="11783" width="14.85546875" style="358" customWidth="1"/>
    <col min="11784" max="11784" width="13.85546875" style="358" customWidth="1"/>
    <col min="11785" max="11785" width="16.28515625" style="358" customWidth="1"/>
    <col min="11786" max="11786" width="14.7109375" style="358" customWidth="1"/>
    <col min="11787" max="11787" width="16.42578125" style="358" customWidth="1"/>
    <col min="11788" max="11788" width="18" style="358" customWidth="1"/>
    <col min="11789" max="11789" width="16.42578125" style="358" customWidth="1"/>
    <col min="11790" max="11790" width="19.42578125" style="358" customWidth="1"/>
    <col min="11791" max="11791" width="18" style="358" customWidth="1"/>
    <col min="11792" max="11792" width="16" style="358" customWidth="1"/>
    <col min="11793" max="11793" width="16.7109375" style="358" customWidth="1"/>
    <col min="11794" max="11794" width="16.42578125" style="358" customWidth="1"/>
    <col min="11795" max="11795" width="11.140625" style="358" customWidth="1"/>
    <col min="11796" max="11796" width="13.5703125" style="358" customWidth="1"/>
    <col min="11797" max="12032" width="9.140625" style="358"/>
    <col min="12033" max="12033" width="6.140625" style="358" bestFit="1" customWidth="1"/>
    <col min="12034" max="12034" width="56.85546875" style="358" customWidth="1"/>
    <col min="12035" max="12035" width="14.28515625" style="358" customWidth="1"/>
    <col min="12036" max="12036" width="15.7109375" style="358" customWidth="1"/>
    <col min="12037" max="12037" width="16.28515625" style="358" customWidth="1"/>
    <col min="12038" max="12038" width="16.42578125" style="358" customWidth="1"/>
    <col min="12039" max="12039" width="14.85546875" style="358" customWidth="1"/>
    <col min="12040" max="12040" width="13.85546875" style="358" customWidth="1"/>
    <col min="12041" max="12041" width="16.28515625" style="358" customWidth="1"/>
    <col min="12042" max="12042" width="14.7109375" style="358" customWidth="1"/>
    <col min="12043" max="12043" width="16.42578125" style="358" customWidth="1"/>
    <col min="12044" max="12044" width="18" style="358" customWidth="1"/>
    <col min="12045" max="12045" width="16.42578125" style="358" customWidth="1"/>
    <col min="12046" max="12046" width="19.42578125" style="358" customWidth="1"/>
    <col min="12047" max="12047" width="18" style="358" customWidth="1"/>
    <col min="12048" max="12048" width="16" style="358" customWidth="1"/>
    <col min="12049" max="12049" width="16.7109375" style="358" customWidth="1"/>
    <col min="12050" max="12050" width="16.42578125" style="358" customWidth="1"/>
    <col min="12051" max="12051" width="11.140625" style="358" customWidth="1"/>
    <col min="12052" max="12052" width="13.5703125" style="358" customWidth="1"/>
    <col min="12053" max="12288" width="9.140625" style="358"/>
    <col min="12289" max="12289" width="6.140625" style="358" bestFit="1" customWidth="1"/>
    <col min="12290" max="12290" width="56.85546875" style="358" customWidth="1"/>
    <col min="12291" max="12291" width="14.28515625" style="358" customWidth="1"/>
    <col min="12292" max="12292" width="15.7109375" style="358" customWidth="1"/>
    <col min="12293" max="12293" width="16.28515625" style="358" customWidth="1"/>
    <col min="12294" max="12294" width="16.42578125" style="358" customWidth="1"/>
    <col min="12295" max="12295" width="14.85546875" style="358" customWidth="1"/>
    <col min="12296" max="12296" width="13.85546875" style="358" customWidth="1"/>
    <col min="12297" max="12297" width="16.28515625" style="358" customWidth="1"/>
    <col min="12298" max="12298" width="14.7109375" style="358" customWidth="1"/>
    <col min="12299" max="12299" width="16.42578125" style="358" customWidth="1"/>
    <col min="12300" max="12300" width="18" style="358" customWidth="1"/>
    <col min="12301" max="12301" width="16.42578125" style="358" customWidth="1"/>
    <col min="12302" max="12302" width="19.42578125" style="358" customWidth="1"/>
    <col min="12303" max="12303" width="18" style="358" customWidth="1"/>
    <col min="12304" max="12304" width="16" style="358" customWidth="1"/>
    <col min="12305" max="12305" width="16.7109375" style="358" customWidth="1"/>
    <col min="12306" max="12306" width="16.42578125" style="358" customWidth="1"/>
    <col min="12307" max="12307" width="11.140625" style="358" customWidth="1"/>
    <col min="12308" max="12308" width="13.5703125" style="358" customWidth="1"/>
    <col min="12309" max="12544" width="9.140625" style="358"/>
    <col min="12545" max="12545" width="6.140625" style="358" bestFit="1" customWidth="1"/>
    <col min="12546" max="12546" width="56.85546875" style="358" customWidth="1"/>
    <col min="12547" max="12547" width="14.28515625" style="358" customWidth="1"/>
    <col min="12548" max="12548" width="15.7109375" style="358" customWidth="1"/>
    <col min="12549" max="12549" width="16.28515625" style="358" customWidth="1"/>
    <col min="12550" max="12550" width="16.42578125" style="358" customWidth="1"/>
    <col min="12551" max="12551" width="14.85546875" style="358" customWidth="1"/>
    <col min="12552" max="12552" width="13.85546875" style="358" customWidth="1"/>
    <col min="12553" max="12553" width="16.28515625" style="358" customWidth="1"/>
    <col min="12554" max="12554" width="14.7109375" style="358" customWidth="1"/>
    <col min="12555" max="12555" width="16.42578125" style="358" customWidth="1"/>
    <col min="12556" max="12556" width="18" style="358" customWidth="1"/>
    <col min="12557" max="12557" width="16.42578125" style="358" customWidth="1"/>
    <col min="12558" max="12558" width="19.42578125" style="358" customWidth="1"/>
    <col min="12559" max="12559" width="18" style="358" customWidth="1"/>
    <col min="12560" max="12560" width="16" style="358" customWidth="1"/>
    <col min="12561" max="12561" width="16.7109375" style="358" customWidth="1"/>
    <col min="12562" max="12562" width="16.42578125" style="358" customWidth="1"/>
    <col min="12563" max="12563" width="11.140625" style="358" customWidth="1"/>
    <col min="12564" max="12564" width="13.5703125" style="358" customWidth="1"/>
    <col min="12565" max="12800" width="9.140625" style="358"/>
    <col min="12801" max="12801" width="6.140625" style="358" bestFit="1" customWidth="1"/>
    <col min="12802" max="12802" width="56.85546875" style="358" customWidth="1"/>
    <col min="12803" max="12803" width="14.28515625" style="358" customWidth="1"/>
    <col min="12804" max="12804" width="15.7109375" style="358" customWidth="1"/>
    <col min="12805" max="12805" width="16.28515625" style="358" customWidth="1"/>
    <col min="12806" max="12806" width="16.42578125" style="358" customWidth="1"/>
    <col min="12807" max="12807" width="14.85546875" style="358" customWidth="1"/>
    <col min="12808" max="12808" width="13.85546875" style="358" customWidth="1"/>
    <col min="12809" max="12809" width="16.28515625" style="358" customWidth="1"/>
    <col min="12810" max="12810" width="14.7109375" style="358" customWidth="1"/>
    <col min="12811" max="12811" width="16.42578125" style="358" customWidth="1"/>
    <col min="12812" max="12812" width="18" style="358" customWidth="1"/>
    <col min="12813" max="12813" width="16.42578125" style="358" customWidth="1"/>
    <col min="12814" max="12814" width="19.42578125" style="358" customWidth="1"/>
    <col min="12815" max="12815" width="18" style="358" customWidth="1"/>
    <col min="12816" max="12816" width="16" style="358" customWidth="1"/>
    <col min="12817" max="12817" width="16.7109375" style="358" customWidth="1"/>
    <col min="12818" max="12818" width="16.42578125" style="358" customWidth="1"/>
    <col min="12819" max="12819" width="11.140625" style="358" customWidth="1"/>
    <col min="12820" max="12820" width="13.5703125" style="358" customWidth="1"/>
    <col min="12821" max="13056" width="9.140625" style="358"/>
    <col min="13057" max="13057" width="6.140625" style="358" bestFit="1" customWidth="1"/>
    <col min="13058" max="13058" width="56.85546875" style="358" customWidth="1"/>
    <col min="13059" max="13059" width="14.28515625" style="358" customWidth="1"/>
    <col min="13060" max="13060" width="15.7109375" style="358" customWidth="1"/>
    <col min="13061" max="13061" width="16.28515625" style="358" customWidth="1"/>
    <col min="13062" max="13062" width="16.42578125" style="358" customWidth="1"/>
    <col min="13063" max="13063" width="14.85546875" style="358" customWidth="1"/>
    <col min="13064" max="13064" width="13.85546875" style="358" customWidth="1"/>
    <col min="13065" max="13065" width="16.28515625" style="358" customWidth="1"/>
    <col min="13066" max="13066" width="14.7109375" style="358" customWidth="1"/>
    <col min="13067" max="13067" width="16.42578125" style="358" customWidth="1"/>
    <col min="13068" max="13068" width="18" style="358" customWidth="1"/>
    <col min="13069" max="13069" width="16.42578125" style="358" customWidth="1"/>
    <col min="13070" max="13070" width="19.42578125" style="358" customWidth="1"/>
    <col min="13071" max="13071" width="18" style="358" customWidth="1"/>
    <col min="13072" max="13072" width="16" style="358" customWidth="1"/>
    <col min="13073" max="13073" width="16.7109375" style="358" customWidth="1"/>
    <col min="13074" max="13074" width="16.42578125" style="358" customWidth="1"/>
    <col min="13075" max="13075" width="11.140625" style="358" customWidth="1"/>
    <col min="13076" max="13076" width="13.5703125" style="358" customWidth="1"/>
    <col min="13077" max="13312" width="9.140625" style="358"/>
    <col min="13313" max="13313" width="6.140625" style="358" bestFit="1" customWidth="1"/>
    <col min="13314" max="13314" width="56.85546875" style="358" customWidth="1"/>
    <col min="13315" max="13315" width="14.28515625" style="358" customWidth="1"/>
    <col min="13316" max="13316" width="15.7109375" style="358" customWidth="1"/>
    <col min="13317" max="13317" width="16.28515625" style="358" customWidth="1"/>
    <col min="13318" max="13318" width="16.42578125" style="358" customWidth="1"/>
    <col min="13319" max="13319" width="14.85546875" style="358" customWidth="1"/>
    <col min="13320" max="13320" width="13.85546875" style="358" customWidth="1"/>
    <col min="13321" max="13321" width="16.28515625" style="358" customWidth="1"/>
    <col min="13322" max="13322" width="14.7109375" style="358" customWidth="1"/>
    <col min="13323" max="13323" width="16.42578125" style="358" customWidth="1"/>
    <col min="13324" max="13324" width="18" style="358" customWidth="1"/>
    <col min="13325" max="13325" width="16.42578125" style="358" customWidth="1"/>
    <col min="13326" max="13326" width="19.42578125" style="358" customWidth="1"/>
    <col min="13327" max="13327" width="18" style="358" customWidth="1"/>
    <col min="13328" max="13328" width="16" style="358" customWidth="1"/>
    <col min="13329" max="13329" width="16.7109375" style="358" customWidth="1"/>
    <col min="13330" max="13330" width="16.42578125" style="358" customWidth="1"/>
    <col min="13331" max="13331" width="11.140625" style="358" customWidth="1"/>
    <col min="13332" max="13332" width="13.5703125" style="358" customWidth="1"/>
    <col min="13333" max="13568" width="9.140625" style="358"/>
    <col min="13569" max="13569" width="6.140625" style="358" bestFit="1" customWidth="1"/>
    <col min="13570" max="13570" width="56.85546875" style="358" customWidth="1"/>
    <col min="13571" max="13571" width="14.28515625" style="358" customWidth="1"/>
    <col min="13572" max="13572" width="15.7109375" style="358" customWidth="1"/>
    <col min="13573" max="13573" width="16.28515625" style="358" customWidth="1"/>
    <col min="13574" max="13574" width="16.42578125" style="358" customWidth="1"/>
    <col min="13575" max="13575" width="14.85546875" style="358" customWidth="1"/>
    <col min="13576" max="13576" width="13.85546875" style="358" customWidth="1"/>
    <col min="13577" max="13577" width="16.28515625" style="358" customWidth="1"/>
    <col min="13578" max="13578" width="14.7109375" style="358" customWidth="1"/>
    <col min="13579" max="13579" width="16.42578125" style="358" customWidth="1"/>
    <col min="13580" max="13580" width="18" style="358" customWidth="1"/>
    <col min="13581" max="13581" width="16.42578125" style="358" customWidth="1"/>
    <col min="13582" max="13582" width="19.42578125" style="358" customWidth="1"/>
    <col min="13583" max="13583" width="18" style="358" customWidth="1"/>
    <col min="13584" max="13584" width="16" style="358" customWidth="1"/>
    <col min="13585" max="13585" width="16.7109375" style="358" customWidth="1"/>
    <col min="13586" max="13586" width="16.42578125" style="358" customWidth="1"/>
    <col min="13587" max="13587" width="11.140625" style="358" customWidth="1"/>
    <col min="13588" max="13588" width="13.5703125" style="358" customWidth="1"/>
    <col min="13589" max="13824" width="9.140625" style="358"/>
    <col min="13825" max="13825" width="6.140625" style="358" bestFit="1" customWidth="1"/>
    <col min="13826" max="13826" width="56.85546875" style="358" customWidth="1"/>
    <col min="13827" max="13827" width="14.28515625" style="358" customWidth="1"/>
    <col min="13828" max="13828" width="15.7109375" style="358" customWidth="1"/>
    <col min="13829" max="13829" width="16.28515625" style="358" customWidth="1"/>
    <col min="13830" max="13830" width="16.42578125" style="358" customWidth="1"/>
    <col min="13831" max="13831" width="14.85546875" style="358" customWidth="1"/>
    <col min="13832" max="13832" width="13.85546875" style="358" customWidth="1"/>
    <col min="13833" max="13833" width="16.28515625" style="358" customWidth="1"/>
    <col min="13834" max="13834" width="14.7109375" style="358" customWidth="1"/>
    <col min="13835" max="13835" width="16.42578125" style="358" customWidth="1"/>
    <col min="13836" max="13836" width="18" style="358" customWidth="1"/>
    <col min="13837" max="13837" width="16.42578125" style="358" customWidth="1"/>
    <col min="13838" max="13838" width="19.42578125" style="358" customWidth="1"/>
    <col min="13839" max="13839" width="18" style="358" customWidth="1"/>
    <col min="13840" max="13840" width="16" style="358" customWidth="1"/>
    <col min="13841" max="13841" width="16.7109375" style="358" customWidth="1"/>
    <col min="13842" max="13842" width="16.42578125" style="358" customWidth="1"/>
    <col min="13843" max="13843" width="11.140625" style="358" customWidth="1"/>
    <col min="13844" max="13844" width="13.5703125" style="358" customWidth="1"/>
    <col min="13845" max="14080" width="9.140625" style="358"/>
    <col min="14081" max="14081" width="6.140625" style="358" bestFit="1" customWidth="1"/>
    <col min="14082" max="14082" width="56.85546875" style="358" customWidth="1"/>
    <col min="14083" max="14083" width="14.28515625" style="358" customWidth="1"/>
    <col min="14084" max="14084" width="15.7109375" style="358" customWidth="1"/>
    <col min="14085" max="14085" width="16.28515625" style="358" customWidth="1"/>
    <col min="14086" max="14086" width="16.42578125" style="358" customWidth="1"/>
    <col min="14087" max="14087" width="14.85546875" style="358" customWidth="1"/>
    <col min="14088" max="14088" width="13.85546875" style="358" customWidth="1"/>
    <col min="14089" max="14089" width="16.28515625" style="358" customWidth="1"/>
    <col min="14090" max="14090" width="14.7109375" style="358" customWidth="1"/>
    <col min="14091" max="14091" width="16.42578125" style="358" customWidth="1"/>
    <col min="14092" max="14092" width="18" style="358" customWidth="1"/>
    <col min="14093" max="14093" width="16.42578125" style="358" customWidth="1"/>
    <col min="14094" max="14094" width="19.42578125" style="358" customWidth="1"/>
    <col min="14095" max="14095" width="18" style="358" customWidth="1"/>
    <col min="14096" max="14096" width="16" style="358" customWidth="1"/>
    <col min="14097" max="14097" width="16.7109375" style="358" customWidth="1"/>
    <col min="14098" max="14098" width="16.42578125" style="358" customWidth="1"/>
    <col min="14099" max="14099" width="11.140625" style="358" customWidth="1"/>
    <col min="14100" max="14100" width="13.5703125" style="358" customWidth="1"/>
    <col min="14101" max="14336" width="9.140625" style="358"/>
    <col min="14337" max="14337" width="6.140625" style="358" bestFit="1" customWidth="1"/>
    <col min="14338" max="14338" width="56.85546875" style="358" customWidth="1"/>
    <col min="14339" max="14339" width="14.28515625" style="358" customWidth="1"/>
    <col min="14340" max="14340" width="15.7109375" style="358" customWidth="1"/>
    <col min="14341" max="14341" width="16.28515625" style="358" customWidth="1"/>
    <col min="14342" max="14342" width="16.42578125" style="358" customWidth="1"/>
    <col min="14343" max="14343" width="14.85546875" style="358" customWidth="1"/>
    <col min="14344" max="14344" width="13.85546875" style="358" customWidth="1"/>
    <col min="14345" max="14345" width="16.28515625" style="358" customWidth="1"/>
    <col min="14346" max="14346" width="14.7109375" style="358" customWidth="1"/>
    <col min="14347" max="14347" width="16.42578125" style="358" customWidth="1"/>
    <col min="14348" max="14348" width="18" style="358" customWidth="1"/>
    <col min="14349" max="14349" width="16.42578125" style="358" customWidth="1"/>
    <col min="14350" max="14350" width="19.42578125" style="358" customWidth="1"/>
    <col min="14351" max="14351" width="18" style="358" customWidth="1"/>
    <col min="14352" max="14352" width="16" style="358" customWidth="1"/>
    <col min="14353" max="14353" width="16.7109375" style="358" customWidth="1"/>
    <col min="14354" max="14354" width="16.42578125" style="358" customWidth="1"/>
    <col min="14355" max="14355" width="11.140625" style="358" customWidth="1"/>
    <col min="14356" max="14356" width="13.5703125" style="358" customWidth="1"/>
    <col min="14357" max="14592" width="9.140625" style="358"/>
    <col min="14593" max="14593" width="6.140625" style="358" bestFit="1" customWidth="1"/>
    <col min="14594" max="14594" width="56.85546875" style="358" customWidth="1"/>
    <col min="14595" max="14595" width="14.28515625" style="358" customWidth="1"/>
    <col min="14596" max="14596" width="15.7109375" style="358" customWidth="1"/>
    <col min="14597" max="14597" width="16.28515625" style="358" customWidth="1"/>
    <col min="14598" max="14598" width="16.42578125" style="358" customWidth="1"/>
    <col min="14599" max="14599" width="14.85546875" style="358" customWidth="1"/>
    <col min="14600" max="14600" width="13.85546875" style="358" customWidth="1"/>
    <col min="14601" max="14601" width="16.28515625" style="358" customWidth="1"/>
    <col min="14602" max="14602" width="14.7109375" style="358" customWidth="1"/>
    <col min="14603" max="14603" width="16.42578125" style="358" customWidth="1"/>
    <col min="14604" max="14604" width="18" style="358" customWidth="1"/>
    <col min="14605" max="14605" width="16.42578125" style="358" customWidth="1"/>
    <col min="14606" max="14606" width="19.42578125" style="358" customWidth="1"/>
    <col min="14607" max="14607" width="18" style="358" customWidth="1"/>
    <col min="14608" max="14608" width="16" style="358" customWidth="1"/>
    <col min="14609" max="14609" width="16.7109375" style="358" customWidth="1"/>
    <col min="14610" max="14610" width="16.42578125" style="358" customWidth="1"/>
    <col min="14611" max="14611" width="11.140625" style="358" customWidth="1"/>
    <col min="14612" max="14612" width="13.5703125" style="358" customWidth="1"/>
    <col min="14613" max="14848" width="9.140625" style="358"/>
    <col min="14849" max="14849" width="6.140625" style="358" bestFit="1" customWidth="1"/>
    <col min="14850" max="14850" width="56.85546875" style="358" customWidth="1"/>
    <col min="14851" max="14851" width="14.28515625" style="358" customWidth="1"/>
    <col min="14852" max="14852" width="15.7109375" style="358" customWidth="1"/>
    <col min="14853" max="14853" width="16.28515625" style="358" customWidth="1"/>
    <col min="14854" max="14854" width="16.42578125" style="358" customWidth="1"/>
    <col min="14855" max="14855" width="14.85546875" style="358" customWidth="1"/>
    <col min="14856" max="14856" width="13.85546875" style="358" customWidth="1"/>
    <col min="14857" max="14857" width="16.28515625" style="358" customWidth="1"/>
    <col min="14858" max="14858" width="14.7109375" style="358" customWidth="1"/>
    <col min="14859" max="14859" width="16.42578125" style="358" customWidth="1"/>
    <col min="14860" max="14860" width="18" style="358" customWidth="1"/>
    <col min="14861" max="14861" width="16.42578125" style="358" customWidth="1"/>
    <col min="14862" max="14862" width="19.42578125" style="358" customWidth="1"/>
    <col min="14863" max="14863" width="18" style="358" customWidth="1"/>
    <col min="14864" max="14864" width="16" style="358" customWidth="1"/>
    <col min="14865" max="14865" width="16.7109375" style="358" customWidth="1"/>
    <col min="14866" max="14866" width="16.42578125" style="358" customWidth="1"/>
    <col min="14867" max="14867" width="11.140625" style="358" customWidth="1"/>
    <col min="14868" max="14868" width="13.5703125" style="358" customWidth="1"/>
    <col min="14869" max="15104" width="9.140625" style="358"/>
    <col min="15105" max="15105" width="6.140625" style="358" bestFit="1" customWidth="1"/>
    <col min="15106" max="15106" width="56.85546875" style="358" customWidth="1"/>
    <col min="15107" max="15107" width="14.28515625" style="358" customWidth="1"/>
    <col min="15108" max="15108" width="15.7109375" style="358" customWidth="1"/>
    <col min="15109" max="15109" width="16.28515625" style="358" customWidth="1"/>
    <col min="15110" max="15110" width="16.42578125" style="358" customWidth="1"/>
    <col min="15111" max="15111" width="14.85546875" style="358" customWidth="1"/>
    <col min="15112" max="15112" width="13.85546875" style="358" customWidth="1"/>
    <col min="15113" max="15113" width="16.28515625" style="358" customWidth="1"/>
    <col min="15114" max="15114" width="14.7109375" style="358" customWidth="1"/>
    <col min="15115" max="15115" width="16.42578125" style="358" customWidth="1"/>
    <col min="15116" max="15116" width="18" style="358" customWidth="1"/>
    <col min="15117" max="15117" width="16.42578125" style="358" customWidth="1"/>
    <col min="15118" max="15118" width="19.42578125" style="358" customWidth="1"/>
    <col min="15119" max="15119" width="18" style="358" customWidth="1"/>
    <col min="15120" max="15120" width="16" style="358" customWidth="1"/>
    <col min="15121" max="15121" width="16.7109375" style="358" customWidth="1"/>
    <col min="15122" max="15122" width="16.42578125" style="358" customWidth="1"/>
    <col min="15123" max="15123" width="11.140625" style="358" customWidth="1"/>
    <col min="15124" max="15124" width="13.5703125" style="358" customWidth="1"/>
    <col min="15125" max="15360" width="9.140625" style="358"/>
    <col min="15361" max="15361" width="6.140625" style="358" bestFit="1" customWidth="1"/>
    <col min="15362" max="15362" width="56.85546875" style="358" customWidth="1"/>
    <col min="15363" max="15363" width="14.28515625" style="358" customWidth="1"/>
    <col min="15364" max="15364" width="15.7109375" style="358" customWidth="1"/>
    <col min="15365" max="15365" width="16.28515625" style="358" customWidth="1"/>
    <col min="15366" max="15366" width="16.42578125" style="358" customWidth="1"/>
    <col min="15367" max="15367" width="14.85546875" style="358" customWidth="1"/>
    <col min="15368" max="15368" width="13.85546875" style="358" customWidth="1"/>
    <col min="15369" max="15369" width="16.28515625" style="358" customWidth="1"/>
    <col min="15370" max="15370" width="14.7109375" style="358" customWidth="1"/>
    <col min="15371" max="15371" width="16.42578125" style="358" customWidth="1"/>
    <col min="15372" max="15372" width="18" style="358" customWidth="1"/>
    <col min="15373" max="15373" width="16.42578125" style="358" customWidth="1"/>
    <col min="15374" max="15374" width="19.42578125" style="358" customWidth="1"/>
    <col min="15375" max="15375" width="18" style="358" customWidth="1"/>
    <col min="15376" max="15376" width="16" style="358" customWidth="1"/>
    <col min="15377" max="15377" width="16.7109375" style="358" customWidth="1"/>
    <col min="15378" max="15378" width="16.42578125" style="358" customWidth="1"/>
    <col min="15379" max="15379" width="11.140625" style="358" customWidth="1"/>
    <col min="15380" max="15380" width="13.5703125" style="358" customWidth="1"/>
    <col min="15381" max="15616" width="9.140625" style="358"/>
    <col min="15617" max="15617" width="6.140625" style="358" bestFit="1" customWidth="1"/>
    <col min="15618" max="15618" width="56.85546875" style="358" customWidth="1"/>
    <col min="15619" max="15619" width="14.28515625" style="358" customWidth="1"/>
    <col min="15620" max="15620" width="15.7109375" style="358" customWidth="1"/>
    <col min="15621" max="15621" width="16.28515625" style="358" customWidth="1"/>
    <col min="15622" max="15622" width="16.42578125" style="358" customWidth="1"/>
    <col min="15623" max="15623" width="14.85546875" style="358" customWidth="1"/>
    <col min="15624" max="15624" width="13.85546875" style="358" customWidth="1"/>
    <col min="15625" max="15625" width="16.28515625" style="358" customWidth="1"/>
    <col min="15626" max="15626" width="14.7109375" style="358" customWidth="1"/>
    <col min="15627" max="15627" width="16.42578125" style="358" customWidth="1"/>
    <col min="15628" max="15628" width="18" style="358" customWidth="1"/>
    <col min="15629" max="15629" width="16.42578125" style="358" customWidth="1"/>
    <col min="15630" max="15630" width="19.42578125" style="358" customWidth="1"/>
    <col min="15631" max="15631" width="18" style="358" customWidth="1"/>
    <col min="15632" max="15632" width="16" style="358" customWidth="1"/>
    <col min="15633" max="15633" width="16.7109375" style="358" customWidth="1"/>
    <col min="15634" max="15634" width="16.42578125" style="358" customWidth="1"/>
    <col min="15635" max="15635" width="11.140625" style="358" customWidth="1"/>
    <col min="15636" max="15636" width="13.5703125" style="358" customWidth="1"/>
    <col min="15637" max="15872" width="9.140625" style="358"/>
    <col min="15873" max="15873" width="6.140625" style="358" bestFit="1" customWidth="1"/>
    <col min="15874" max="15874" width="56.85546875" style="358" customWidth="1"/>
    <col min="15875" max="15875" width="14.28515625" style="358" customWidth="1"/>
    <col min="15876" max="15876" width="15.7109375" style="358" customWidth="1"/>
    <col min="15877" max="15877" width="16.28515625" style="358" customWidth="1"/>
    <col min="15878" max="15878" width="16.42578125" style="358" customWidth="1"/>
    <col min="15879" max="15879" width="14.85546875" style="358" customWidth="1"/>
    <col min="15880" max="15880" width="13.85546875" style="358" customWidth="1"/>
    <col min="15881" max="15881" width="16.28515625" style="358" customWidth="1"/>
    <col min="15882" max="15882" width="14.7109375" style="358" customWidth="1"/>
    <col min="15883" max="15883" width="16.42578125" style="358" customWidth="1"/>
    <col min="15884" max="15884" width="18" style="358" customWidth="1"/>
    <col min="15885" max="15885" width="16.42578125" style="358" customWidth="1"/>
    <col min="15886" max="15886" width="19.42578125" style="358" customWidth="1"/>
    <col min="15887" max="15887" width="18" style="358" customWidth="1"/>
    <col min="15888" max="15888" width="16" style="358" customWidth="1"/>
    <col min="15889" max="15889" width="16.7109375" style="358" customWidth="1"/>
    <col min="15890" max="15890" width="16.42578125" style="358" customWidth="1"/>
    <col min="15891" max="15891" width="11.140625" style="358" customWidth="1"/>
    <col min="15892" max="15892" width="13.5703125" style="358" customWidth="1"/>
    <col min="15893" max="16128" width="9.140625" style="358"/>
    <col min="16129" max="16129" width="6.140625" style="358" bestFit="1" customWidth="1"/>
    <col min="16130" max="16130" width="56.85546875" style="358" customWidth="1"/>
    <col min="16131" max="16131" width="14.28515625" style="358" customWidth="1"/>
    <col min="16132" max="16132" width="15.7109375" style="358" customWidth="1"/>
    <col min="16133" max="16133" width="16.28515625" style="358" customWidth="1"/>
    <col min="16134" max="16134" width="16.42578125" style="358" customWidth="1"/>
    <col min="16135" max="16135" width="14.85546875" style="358" customWidth="1"/>
    <col min="16136" max="16136" width="13.85546875" style="358" customWidth="1"/>
    <col min="16137" max="16137" width="16.28515625" style="358" customWidth="1"/>
    <col min="16138" max="16138" width="14.7109375" style="358" customWidth="1"/>
    <col min="16139" max="16139" width="16.42578125" style="358" customWidth="1"/>
    <col min="16140" max="16140" width="18" style="358" customWidth="1"/>
    <col min="16141" max="16141" width="16.42578125" style="358" customWidth="1"/>
    <col min="16142" max="16142" width="19.42578125" style="358" customWidth="1"/>
    <col min="16143" max="16143" width="18" style="358" customWidth="1"/>
    <col min="16144" max="16144" width="16" style="358" customWidth="1"/>
    <col min="16145" max="16145" width="16.7109375" style="358" customWidth="1"/>
    <col min="16146" max="16146" width="16.42578125" style="358" customWidth="1"/>
    <col min="16147" max="16147" width="11.140625" style="358" customWidth="1"/>
    <col min="16148" max="16148" width="13.5703125" style="358" customWidth="1"/>
    <col min="16149" max="16384" width="9.140625" style="358"/>
  </cols>
  <sheetData>
    <row r="1" spans="1:20">
      <c r="A1" s="357"/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9"/>
      <c r="Q1" s="357"/>
      <c r="R1" s="357"/>
      <c r="S1" s="357"/>
      <c r="T1" s="357"/>
    </row>
    <row r="2" spans="1:20" ht="53.25" customHeight="1">
      <c r="A2" s="1879" t="s">
        <v>2636</v>
      </c>
      <c r="B2" s="1879"/>
      <c r="C2" s="1879"/>
      <c r="D2" s="1879"/>
      <c r="E2" s="1879"/>
      <c r="F2" s="1879"/>
      <c r="G2" s="1879"/>
      <c r="H2" s="1879"/>
      <c r="I2" s="1879"/>
      <c r="J2" s="1879"/>
      <c r="K2" s="1879"/>
      <c r="L2" s="1879"/>
      <c r="M2" s="1879"/>
      <c r="N2" s="1879"/>
      <c r="O2" s="1879"/>
      <c r="P2" s="1879"/>
      <c r="Q2" s="1879"/>
      <c r="R2" s="1879"/>
      <c r="S2" s="1879"/>
      <c r="T2" s="1879"/>
    </row>
    <row r="3" spans="1:20" ht="16.5" customHeight="1">
      <c r="A3" s="357"/>
      <c r="B3" s="357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1880" t="s">
        <v>1073</v>
      </c>
      <c r="T3" s="1880"/>
    </row>
    <row r="4" spans="1:20" s="362" customFormat="1" ht="60.75" customHeight="1">
      <c r="A4" s="360" t="s">
        <v>1148</v>
      </c>
      <c r="B4" s="361" t="s">
        <v>1074</v>
      </c>
      <c r="C4" s="361" t="s">
        <v>1149</v>
      </c>
      <c r="D4" s="361" t="s">
        <v>1150</v>
      </c>
      <c r="E4" s="361" t="s">
        <v>1151</v>
      </c>
      <c r="F4" s="361" t="s">
        <v>1152</v>
      </c>
      <c r="G4" s="361" t="s">
        <v>1153</v>
      </c>
      <c r="H4" s="361" t="s">
        <v>1154</v>
      </c>
      <c r="I4" s="361" t="s">
        <v>1155</v>
      </c>
      <c r="J4" s="361" t="s">
        <v>1156</v>
      </c>
      <c r="K4" s="361" t="s">
        <v>1157</v>
      </c>
      <c r="L4" s="361" t="s">
        <v>1158</v>
      </c>
      <c r="M4" s="361" t="s">
        <v>1159</v>
      </c>
      <c r="N4" s="361" t="s">
        <v>1160</v>
      </c>
      <c r="O4" s="361" t="s">
        <v>1161</v>
      </c>
      <c r="P4" s="361" t="s">
        <v>1162</v>
      </c>
      <c r="Q4" s="361" t="s">
        <v>1163</v>
      </c>
      <c r="R4" s="361" t="s">
        <v>1164</v>
      </c>
      <c r="S4" s="354" t="s">
        <v>14</v>
      </c>
      <c r="T4" s="354" t="s">
        <v>816</v>
      </c>
    </row>
    <row r="5" spans="1:20" s="366" customFormat="1" ht="13.5" customHeight="1">
      <c r="A5" s="363">
        <v>1</v>
      </c>
      <c r="B5" s="364">
        <v>2</v>
      </c>
      <c r="C5" s="364">
        <v>3</v>
      </c>
      <c r="D5" s="364">
        <v>4</v>
      </c>
      <c r="E5" s="364">
        <v>5</v>
      </c>
      <c r="F5" s="364">
        <v>6</v>
      </c>
      <c r="G5" s="364">
        <v>7</v>
      </c>
      <c r="H5" s="364">
        <v>8</v>
      </c>
      <c r="I5" s="364">
        <v>9</v>
      </c>
      <c r="J5" s="364">
        <v>10</v>
      </c>
      <c r="K5" s="364">
        <v>11</v>
      </c>
      <c r="L5" s="364">
        <v>12</v>
      </c>
      <c r="M5" s="364">
        <v>13</v>
      </c>
      <c r="N5" s="364">
        <v>14</v>
      </c>
      <c r="O5" s="364">
        <v>15</v>
      </c>
      <c r="P5" s="364">
        <v>16</v>
      </c>
      <c r="Q5" s="364">
        <v>17</v>
      </c>
      <c r="R5" s="364">
        <v>18</v>
      </c>
      <c r="S5" s="364">
        <v>19</v>
      </c>
      <c r="T5" s="365">
        <v>20</v>
      </c>
    </row>
    <row r="6" spans="1:20" s="369" customFormat="1" ht="15.75">
      <c r="A6" s="355">
        <v>1</v>
      </c>
      <c r="B6" s="367" t="s">
        <v>1076</v>
      </c>
      <c r="C6" s="368">
        <v>1475386</v>
      </c>
      <c r="D6" s="368">
        <v>5452655</v>
      </c>
      <c r="E6" s="368">
        <v>546013</v>
      </c>
      <c r="F6" s="368">
        <v>631097</v>
      </c>
      <c r="G6" s="368">
        <v>298857</v>
      </c>
      <c r="H6" s="368">
        <v>293717</v>
      </c>
      <c r="I6" s="368">
        <v>1395422</v>
      </c>
      <c r="J6" s="368">
        <v>234866</v>
      </c>
      <c r="K6" s="368">
        <v>199755</v>
      </c>
      <c r="L6" s="368">
        <v>2851719</v>
      </c>
      <c r="M6" s="368">
        <v>863627</v>
      </c>
      <c r="N6" s="368">
        <v>155498</v>
      </c>
      <c r="O6" s="368">
        <v>303917</v>
      </c>
      <c r="P6" s="368">
        <v>578533</v>
      </c>
      <c r="Q6" s="368">
        <v>367442</v>
      </c>
      <c r="R6" s="368">
        <v>520166</v>
      </c>
      <c r="S6" s="368">
        <v>0</v>
      </c>
      <c r="T6" s="368">
        <v>16168670</v>
      </c>
    </row>
    <row r="7" spans="1:20" s="366" customFormat="1" ht="31.5">
      <c r="A7" s="356" t="s">
        <v>954</v>
      </c>
      <c r="B7" s="370" t="s">
        <v>1077</v>
      </c>
      <c r="C7" s="371">
        <v>998089</v>
      </c>
      <c r="D7" s="371">
        <v>3319574</v>
      </c>
      <c r="E7" s="371">
        <v>183392</v>
      </c>
      <c r="F7" s="371">
        <v>302186</v>
      </c>
      <c r="G7" s="371">
        <v>267234</v>
      </c>
      <c r="H7" s="371">
        <v>166175</v>
      </c>
      <c r="I7" s="371">
        <v>640721</v>
      </c>
      <c r="J7" s="371">
        <v>169478</v>
      </c>
      <c r="K7" s="371">
        <v>162879</v>
      </c>
      <c r="L7" s="371">
        <v>662265</v>
      </c>
      <c r="M7" s="371">
        <v>515980</v>
      </c>
      <c r="N7" s="371">
        <v>70409</v>
      </c>
      <c r="O7" s="371">
        <v>111234</v>
      </c>
      <c r="P7" s="371">
        <v>375050</v>
      </c>
      <c r="Q7" s="371">
        <v>162167</v>
      </c>
      <c r="R7" s="371">
        <v>408922</v>
      </c>
      <c r="S7" s="371">
        <v>0</v>
      </c>
      <c r="T7" s="371">
        <v>8515755</v>
      </c>
    </row>
    <row r="8" spans="1:20" s="366" customFormat="1" ht="31.5">
      <c r="A8" s="356" t="s">
        <v>1078</v>
      </c>
      <c r="B8" s="370" t="s">
        <v>1079</v>
      </c>
      <c r="C8" s="371">
        <v>322</v>
      </c>
      <c r="D8" s="371">
        <v>7906</v>
      </c>
      <c r="E8" s="371">
        <v>0</v>
      </c>
      <c r="F8" s="371">
        <v>3613</v>
      </c>
      <c r="G8" s="371">
        <v>45</v>
      </c>
      <c r="H8" s="371">
        <v>0</v>
      </c>
      <c r="I8" s="371">
        <v>1220</v>
      </c>
      <c r="J8" s="371">
        <v>0</v>
      </c>
      <c r="K8" s="371">
        <v>17</v>
      </c>
      <c r="L8" s="371">
        <v>1163</v>
      </c>
      <c r="M8" s="371">
        <v>0</v>
      </c>
      <c r="N8" s="371">
        <v>0</v>
      </c>
      <c r="O8" s="371">
        <v>0</v>
      </c>
      <c r="P8" s="371">
        <v>0</v>
      </c>
      <c r="Q8" s="371">
        <v>0</v>
      </c>
      <c r="R8" s="371">
        <v>34</v>
      </c>
      <c r="S8" s="371">
        <v>0</v>
      </c>
      <c r="T8" s="371">
        <v>14320</v>
      </c>
    </row>
    <row r="9" spans="1:20" s="366" customFormat="1" ht="15.75">
      <c r="A9" s="356" t="s">
        <v>1080</v>
      </c>
      <c r="B9" s="370" t="s">
        <v>1081</v>
      </c>
      <c r="C9" s="371">
        <v>25864</v>
      </c>
      <c r="D9" s="371">
        <v>0</v>
      </c>
      <c r="E9" s="371">
        <v>313418</v>
      </c>
      <c r="F9" s="371">
        <v>42990</v>
      </c>
      <c r="G9" s="371">
        <v>10821</v>
      </c>
      <c r="H9" s="371">
        <v>0</v>
      </c>
      <c r="I9" s="371">
        <v>20138</v>
      </c>
      <c r="J9" s="371">
        <v>320</v>
      </c>
      <c r="K9" s="371">
        <v>413</v>
      </c>
      <c r="L9" s="371">
        <v>2461</v>
      </c>
      <c r="M9" s="371">
        <v>268406</v>
      </c>
      <c r="N9" s="371">
        <v>0</v>
      </c>
      <c r="O9" s="371">
        <v>0</v>
      </c>
      <c r="P9" s="371">
        <v>99244</v>
      </c>
      <c r="Q9" s="371">
        <v>157934</v>
      </c>
      <c r="R9" s="371">
        <v>242</v>
      </c>
      <c r="S9" s="371">
        <v>0</v>
      </c>
      <c r="T9" s="371">
        <v>942251</v>
      </c>
    </row>
    <row r="10" spans="1:20" s="366" customFormat="1" ht="31.5">
      <c r="A10" s="356" t="s">
        <v>1082</v>
      </c>
      <c r="B10" s="370" t="s">
        <v>1083</v>
      </c>
      <c r="C10" s="371">
        <v>0</v>
      </c>
      <c r="D10" s="371">
        <v>8587</v>
      </c>
      <c r="E10" s="371">
        <v>0</v>
      </c>
      <c r="F10" s="371">
        <v>0</v>
      </c>
      <c r="G10" s="371">
        <v>0</v>
      </c>
      <c r="H10" s="371">
        <v>0</v>
      </c>
      <c r="I10" s="371">
        <v>0</v>
      </c>
      <c r="J10" s="371">
        <v>0</v>
      </c>
      <c r="K10" s="371">
        <v>0</v>
      </c>
      <c r="L10" s="371">
        <v>0</v>
      </c>
      <c r="M10" s="371">
        <v>0</v>
      </c>
      <c r="N10" s="371">
        <v>0</v>
      </c>
      <c r="O10" s="371">
        <v>0</v>
      </c>
      <c r="P10" s="371">
        <v>0</v>
      </c>
      <c r="Q10" s="371">
        <v>0</v>
      </c>
      <c r="R10" s="371">
        <v>0</v>
      </c>
      <c r="S10" s="371">
        <v>0</v>
      </c>
      <c r="T10" s="371">
        <v>8587</v>
      </c>
    </row>
    <row r="11" spans="1:20" s="366" customFormat="1" ht="15.75">
      <c r="A11" s="356" t="s">
        <v>1084</v>
      </c>
      <c r="B11" s="370" t="s">
        <v>1085</v>
      </c>
      <c r="C11" s="371">
        <v>142984</v>
      </c>
      <c r="D11" s="371">
        <v>0</v>
      </c>
      <c r="E11" s="371">
        <v>0</v>
      </c>
      <c r="F11" s="371">
        <v>5501</v>
      </c>
      <c r="G11" s="371">
        <v>0</v>
      </c>
      <c r="H11" s="371">
        <v>0</v>
      </c>
      <c r="I11" s="371">
        <v>0</v>
      </c>
      <c r="J11" s="371">
        <v>0</v>
      </c>
      <c r="K11" s="371">
        <v>0</v>
      </c>
      <c r="L11" s="371">
        <v>2021</v>
      </c>
      <c r="M11" s="371">
        <v>0</v>
      </c>
      <c r="N11" s="371">
        <v>0</v>
      </c>
      <c r="O11" s="371">
        <v>0</v>
      </c>
      <c r="P11" s="371">
        <v>0</v>
      </c>
      <c r="Q11" s="371">
        <v>0</v>
      </c>
      <c r="R11" s="371">
        <v>2234</v>
      </c>
      <c r="S11" s="371">
        <v>0</v>
      </c>
      <c r="T11" s="371">
        <v>152740</v>
      </c>
    </row>
    <row r="12" spans="1:20" s="366" customFormat="1" ht="31.5">
      <c r="A12" s="356" t="s">
        <v>1086</v>
      </c>
      <c r="B12" s="370" t="s">
        <v>1087</v>
      </c>
      <c r="C12" s="371">
        <v>0</v>
      </c>
      <c r="D12" s="371">
        <v>0</v>
      </c>
      <c r="E12" s="371">
        <v>0</v>
      </c>
      <c r="F12" s="371">
        <v>0</v>
      </c>
      <c r="G12" s="371">
        <v>0</v>
      </c>
      <c r="H12" s="371">
        <v>0</v>
      </c>
      <c r="I12" s="371">
        <v>0</v>
      </c>
      <c r="J12" s="371">
        <v>0</v>
      </c>
      <c r="K12" s="371">
        <v>0</v>
      </c>
      <c r="L12" s="371">
        <v>0</v>
      </c>
      <c r="M12" s="371">
        <v>0</v>
      </c>
      <c r="N12" s="371">
        <v>0</v>
      </c>
      <c r="O12" s="371">
        <v>0</v>
      </c>
      <c r="P12" s="371">
        <v>0</v>
      </c>
      <c r="Q12" s="371">
        <v>0</v>
      </c>
      <c r="R12" s="371">
        <v>0</v>
      </c>
      <c r="S12" s="371">
        <v>0</v>
      </c>
      <c r="T12" s="371">
        <v>0</v>
      </c>
    </row>
    <row r="13" spans="1:20" s="366" customFormat="1" ht="31.5">
      <c r="A13" s="356" t="s">
        <v>1088</v>
      </c>
      <c r="B13" s="370" t="s">
        <v>1089</v>
      </c>
      <c r="C13" s="371">
        <v>0</v>
      </c>
      <c r="D13" s="371">
        <v>16943</v>
      </c>
      <c r="E13" s="371">
        <v>0</v>
      </c>
      <c r="F13" s="371">
        <v>65</v>
      </c>
      <c r="G13" s="371">
        <v>0</v>
      </c>
      <c r="H13" s="371">
        <v>0</v>
      </c>
      <c r="I13" s="371">
        <v>1145</v>
      </c>
      <c r="J13" s="371">
        <v>0</v>
      </c>
      <c r="K13" s="371">
        <v>561</v>
      </c>
      <c r="L13" s="371">
        <v>413</v>
      </c>
      <c r="M13" s="371">
        <v>0</v>
      </c>
      <c r="N13" s="371">
        <v>0</v>
      </c>
      <c r="O13" s="371">
        <v>0</v>
      </c>
      <c r="P13" s="371">
        <v>0</v>
      </c>
      <c r="Q13" s="371">
        <v>0</v>
      </c>
      <c r="R13" s="371">
        <v>0</v>
      </c>
      <c r="S13" s="371">
        <v>0</v>
      </c>
      <c r="T13" s="371">
        <v>19127</v>
      </c>
    </row>
    <row r="14" spans="1:20" s="366" customFormat="1" ht="47.25">
      <c r="A14" s="356" t="s">
        <v>1090</v>
      </c>
      <c r="B14" s="370" t="s">
        <v>1091</v>
      </c>
      <c r="C14" s="371">
        <v>0</v>
      </c>
      <c r="D14" s="371">
        <v>11937</v>
      </c>
      <c r="E14" s="371">
        <v>0</v>
      </c>
      <c r="F14" s="371">
        <v>11602</v>
      </c>
      <c r="G14" s="371">
        <v>0</v>
      </c>
      <c r="H14" s="371">
        <v>0</v>
      </c>
      <c r="I14" s="371">
        <v>1618</v>
      </c>
      <c r="J14" s="371">
        <v>0</v>
      </c>
      <c r="K14" s="371">
        <v>0</v>
      </c>
      <c r="L14" s="371">
        <v>0</v>
      </c>
      <c r="M14" s="371">
        <v>0</v>
      </c>
      <c r="N14" s="371">
        <v>1362</v>
      </c>
      <c r="O14" s="371">
        <v>4850</v>
      </c>
      <c r="P14" s="371">
        <v>0</v>
      </c>
      <c r="Q14" s="371">
        <v>0</v>
      </c>
      <c r="R14" s="371">
        <v>0</v>
      </c>
      <c r="S14" s="371">
        <v>0</v>
      </c>
      <c r="T14" s="371">
        <v>31369</v>
      </c>
    </row>
    <row r="15" spans="1:20" s="366" customFormat="1" ht="31.5">
      <c r="A15" s="356" t="s">
        <v>1092</v>
      </c>
      <c r="B15" s="370" t="s">
        <v>1093</v>
      </c>
      <c r="C15" s="371">
        <v>308127</v>
      </c>
      <c r="D15" s="371">
        <v>2087708</v>
      </c>
      <c r="E15" s="371">
        <v>49203</v>
      </c>
      <c r="F15" s="371">
        <v>265140</v>
      </c>
      <c r="G15" s="371">
        <v>20757</v>
      </c>
      <c r="H15" s="371">
        <v>127542</v>
      </c>
      <c r="I15" s="371">
        <v>730580</v>
      </c>
      <c r="J15" s="371">
        <v>65068</v>
      </c>
      <c r="K15" s="371">
        <v>35885</v>
      </c>
      <c r="L15" s="371">
        <v>2183396</v>
      </c>
      <c r="M15" s="371">
        <v>79241</v>
      </c>
      <c r="N15" s="371">
        <v>83727</v>
      </c>
      <c r="O15" s="371">
        <v>187833</v>
      </c>
      <c r="P15" s="371">
        <v>104239</v>
      </c>
      <c r="Q15" s="371">
        <v>47341</v>
      </c>
      <c r="R15" s="371">
        <v>108734</v>
      </c>
      <c r="S15" s="371">
        <v>0</v>
      </c>
      <c r="T15" s="371">
        <v>6484521</v>
      </c>
    </row>
    <row r="16" spans="1:20" s="366" customFormat="1" ht="15.75">
      <c r="A16" s="356" t="s">
        <v>1094</v>
      </c>
      <c r="B16" s="370" t="s">
        <v>1095</v>
      </c>
      <c r="C16" s="371">
        <v>0</v>
      </c>
      <c r="D16" s="371">
        <v>0</v>
      </c>
      <c r="E16" s="371">
        <v>0</v>
      </c>
      <c r="F16" s="371">
        <v>0</v>
      </c>
      <c r="G16" s="371">
        <v>0</v>
      </c>
      <c r="H16" s="371">
        <v>0</v>
      </c>
      <c r="I16" s="371">
        <v>0</v>
      </c>
      <c r="J16" s="371">
        <v>0</v>
      </c>
      <c r="K16" s="371">
        <v>0</v>
      </c>
      <c r="L16" s="371">
        <v>0</v>
      </c>
      <c r="M16" s="371">
        <v>0</v>
      </c>
      <c r="N16" s="371">
        <v>0</v>
      </c>
      <c r="O16" s="371">
        <v>0</v>
      </c>
      <c r="P16" s="371">
        <v>0</v>
      </c>
      <c r="Q16" s="371">
        <v>0</v>
      </c>
      <c r="R16" s="371">
        <v>0</v>
      </c>
      <c r="S16" s="371">
        <v>0</v>
      </c>
      <c r="T16" s="371">
        <v>0</v>
      </c>
    </row>
    <row r="17" spans="1:20" s="369" customFormat="1" ht="15.75">
      <c r="A17" s="355">
        <v>2</v>
      </c>
      <c r="B17" s="367" t="s">
        <v>1096</v>
      </c>
      <c r="C17" s="368">
        <v>4689593</v>
      </c>
      <c r="D17" s="368">
        <v>11558864</v>
      </c>
      <c r="E17" s="368">
        <v>324530</v>
      </c>
      <c r="F17" s="368">
        <v>1489090</v>
      </c>
      <c r="G17" s="368">
        <v>844137</v>
      </c>
      <c r="H17" s="368">
        <v>4589687</v>
      </c>
      <c r="I17" s="368">
        <v>1865962</v>
      </c>
      <c r="J17" s="368">
        <v>617451</v>
      </c>
      <c r="K17" s="368">
        <v>1315497</v>
      </c>
      <c r="L17" s="368">
        <v>2976087</v>
      </c>
      <c r="M17" s="368">
        <v>532594</v>
      </c>
      <c r="N17" s="368">
        <v>793986</v>
      </c>
      <c r="O17" s="368">
        <v>5797147</v>
      </c>
      <c r="P17" s="368">
        <v>1255118</v>
      </c>
      <c r="Q17" s="368">
        <v>345610</v>
      </c>
      <c r="R17" s="368">
        <v>996342</v>
      </c>
      <c r="S17" s="368">
        <v>0</v>
      </c>
      <c r="T17" s="368">
        <v>39991695</v>
      </c>
    </row>
    <row r="18" spans="1:20" s="366" customFormat="1" ht="15.75">
      <c r="A18" s="356" t="s">
        <v>1097</v>
      </c>
      <c r="B18" s="370" t="s">
        <v>1098</v>
      </c>
      <c r="C18" s="371">
        <v>13143</v>
      </c>
      <c r="D18" s="371">
        <v>179907</v>
      </c>
      <c r="E18" s="371">
        <v>5142</v>
      </c>
      <c r="F18" s="371">
        <v>9315</v>
      </c>
      <c r="G18" s="371">
        <v>34963</v>
      </c>
      <c r="H18" s="371">
        <v>42120</v>
      </c>
      <c r="I18" s="371">
        <v>28553</v>
      </c>
      <c r="J18" s="371">
        <v>8955</v>
      </c>
      <c r="K18" s="371">
        <v>10232</v>
      </c>
      <c r="L18" s="371">
        <v>36152</v>
      </c>
      <c r="M18" s="371">
        <v>9283</v>
      </c>
      <c r="N18" s="371">
        <v>17532</v>
      </c>
      <c r="O18" s="371">
        <v>19477</v>
      </c>
      <c r="P18" s="371">
        <v>10755</v>
      </c>
      <c r="Q18" s="371">
        <v>3986</v>
      </c>
      <c r="R18" s="371">
        <v>21390</v>
      </c>
      <c r="S18" s="371">
        <v>0</v>
      </c>
      <c r="T18" s="371">
        <v>450905</v>
      </c>
    </row>
    <row r="19" spans="1:20" s="366" customFormat="1" ht="15.75">
      <c r="A19" s="356" t="s">
        <v>1099</v>
      </c>
      <c r="B19" s="370" t="s">
        <v>1100</v>
      </c>
      <c r="C19" s="371">
        <v>2804452</v>
      </c>
      <c r="D19" s="371">
        <v>5885198</v>
      </c>
      <c r="E19" s="371">
        <v>309039</v>
      </c>
      <c r="F19" s="371">
        <v>1294098</v>
      </c>
      <c r="G19" s="371">
        <v>737755</v>
      </c>
      <c r="H19" s="371">
        <v>3263953</v>
      </c>
      <c r="I19" s="371">
        <v>1740125</v>
      </c>
      <c r="J19" s="371">
        <v>582470</v>
      </c>
      <c r="K19" s="371">
        <v>1161544</v>
      </c>
      <c r="L19" s="371">
        <v>2819557</v>
      </c>
      <c r="M19" s="371">
        <v>510843</v>
      </c>
      <c r="N19" s="371">
        <v>736463</v>
      </c>
      <c r="O19" s="371">
        <v>5173100</v>
      </c>
      <c r="P19" s="371">
        <v>810341</v>
      </c>
      <c r="Q19" s="371">
        <v>297449</v>
      </c>
      <c r="R19" s="371">
        <v>874832</v>
      </c>
      <c r="S19" s="371">
        <v>0</v>
      </c>
      <c r="T19" s="371">
        <v>29001219</v>
      </c>
    </row>
    <row r="20" spans="1:20" s="366" customFormat="1" ht="63">
      <c r="A20" s="356" t="s">
        <v>1101</v>
      </c>
      <c r="B20" s="370" t="s">
        <v>1102</v>
      </c>
      <c r="C20" s="371">
        <v>2655310</v>
      </c>
      <c r="D20" s="371">
        <v>5604862</v>
      </c>
      <c r="E20" s="371">
        <v>271760</v>
      </c>
      <c r="F20" s="371">
        <v>1210035</v>
      </c>
      <c r="G20" s="371">
        <v>716479</v>
      </c>
      <c r="H20" s="371">
        <v>3207731</v>
      </c>
      <c r="I20" s="371">
        <v>1316818</v>
      </c>
      <c r="J20" s="371">
        <v>515592</v>
      </c>
      <c r="K20" s="371">
        <v>1147247</v>
      </c>
      <c r="L20" s="371">
        <v>1115198</v>
      </c>
      <c r="M20" s="371">
        <v>493917</v>
      </c>
      <c r="N20" s="371">
        <v>688422</v>
      </c>
      <c r="O20" s="371">
        <v>4998336</v>
      </c>
      <c r="P20" s="371">
        <v>690838</v>
      </c>
      <c r="Q20" s="371">
        <v>271862</v>
      </c>
      <c r="R20" s="371">
        <v>827836</v>
      </c>
      <c r="S20" s="371">
        <v>0</v>
      </c>
      <c r="T20" s="371">
        <v>25732243</v>
      </c>
    </row>
    <row r="21" spans="1:20" s="366" customFormat="1" ht="78.75">
      <c r="A21" s="356" t="s">
        <v>1103</v>
      </c>
      <c r="B21" s="370" t="s">
        <v>1104</v>
      </c>
      <c r="C21" s="371">
        <v>147741</v>
      </c>
      <c r="D21" s="371">
        <v>268294</v>
      </c>
      <c r="E21" s="371">
        <v>36737</v>
      </c>
      <c r="F21" s="371">
        <v>83049</v>
      </c>
      <c r="G21" s="371">
        <v>18475</v>
      </c>
      <c r="H21" s="371">
        <v>55622</v>
      </c>
      <c r="I21" s="371">
        <v>418076</v>
      </c>
      <c r="J21" s="371">
        <v>66425</v>
      </c>
      <c r="K21" s="371">
        <v>13144</v>
      </c>
      <c r="L21" s="371">
        <v>1695313</v>
      </c>
      <c r="M21" s="371">
        <v>11020</v>
      </c>
      <c r="N21" s="371">
        <v>47522</v>
      </c>
      <c r="O21" s="371">
        <v>174702</v>
      </c>
      <c r="P21" s="371">
        <v>117844</v>
      </c>
      <c r="Q21" s="371">
        <v>24019</v>
      </c>
      <c r="R21" s="371">
        <v>46329</v>
      </c>
      <c r="S21" s="371">
        <v>0</v>
      </c>
      <c r="T21" s="371">
        <v>3224312</v>
      </c>
    </row>
    <row r="22" spans="1:20" s="366" customFormat="1" ht="15.75">
      <c r="A22" s="356" t="s">
        <v>1105</v>
      </c>
      <c r="B22" s="370" t="s">
        <v>1106</v>
      </c>
      <c r="C22" s="371">
        <v>1401</v>
      </c>
      <c r="D22" s="371">
        <v>12042</v>
      </c>
      <c r="E22" s="371">
        <v>542</v>
      </c>
      <c r="F22" s="371">
        <v>1014</v>
      </c>
      <c r="G22" s="371">
        <v>2801</v>
      </c>
      <c r="H22" s="371">
        <v>600</v>
      </c>
      <c r="I22" s="371">
        <v>5231</v>
      </c>
      <c r="J22" s="371">
        <v>453</v>
      </c>
      <c r="K22" s="371">
        <v>1153</v>
      </c>
      <c r="L22" s="371">
        <v>9046</v>
      </c>
      <c r="M22" s="371">
        <v>5906</v>
      </c>
      <c r="N22" s="371">
        <v>519</v>
      </c>
      <c r="O22" s="371">
        <v>62</v>
      </c>
      <c r="P22" s="371">
        <v>1659</v>
      </c>
      <c r="Q22" s="371">
        <v>1568</v>
      </c>
      <c r="R22" s="371">
        <v>667</v>
      </c>
      <c r="S22" s="371">
        <v>0</v>
      </c>
      <c r="T22" s="371">
        <v>44664</v>
      </c>
    </row>
    <row r="23" spans="1:20" s="366" customFormat="1" ht="15.75">
      <c r="A23" s="356" t="s">
        <v>1107</v>
      </c>
      <c r="B23" s="370" t="s">
        <v>1108</v>
      </c>
      <c r="C23" s="371">
        <v>13181</v>
      </c>
      <c r="D23" s="371">
        <v>95299</v>
      </c>
      <c r="E23" s="371">
        <v>5433</v>
      </c>
      <c r="F23" s="371">
        <v>8487</v>
      </c>
      <c r="G23" s="371">
        <v>10729</v>
      </c>
      <c r="H23" s="371">
        <v>16440</v>
      </c>
      <c r="I23" s="371">
        <v>14100</v>
      </c>
      <c r="J23" s="371">
        <v>6041</v>
      </c>
      <c r="K23" s="371">
        <v>21398</v>
      </c>
      <c r="L23" s="371">
        <v>69203</v>
      </c>
      <c r="M23" s="371">
        <v>4589</v>
      </c>
      <c r="N23" s="371">
        <v>28620</v>
      </c>
      <c r="O23" s="371">
        <v>1025</v>
      </c>
      <c r="P23" s="371">
        <v>8569</v>
      </c>
      <c r="Q23" s="371">
        <v>5041</v>
      </c>
      <c r="R23" s="371">
        <v>14643</v>
      </c>
      <c r="S23" s="371">
        <v>0</v>
      </c>
      <c r="T23" s="371">
        <v>322798</v>
      </c>
    </row>
    <row r="24" spans="1:20" s="383" customFormat="1" ht="20.25">
      <c r="A24" s="380" t="s">
        <v>1109</v>
      </c>
      <c r="B24" s="381" t="s">
        <v>1110</v>
      </c>
      <c r="C24" s="382">
        <v>1858817</v>
      </c>
      <c r="D24" s="382">
        <v>5398460</v>
      </c>
      <c r="E24" s="382">
        <v>4916</v>
      </c>
      <c r="F24" s="382">
        <v>177190</v>
      </c>
      <c r="G24" s="382">
        <v>60690</v>
      </c>
      <c r="H24" s="382">
        <v>1267174</v>
      </c>
      <c r="I24" s="382">
        <v>83184</v>
      </c>
      <c r="J24" s="382">
        <v>19985</v>
      </c>
      <c r="K24" s="382">
        <v>122323</v>
      </c>
      <c r="L24" s="382">
        <v>51175</v>
      </c>
      <c r="M24" s="382">
        <v>7879</v>
      </c>
      <c r="N24" s="382">
        <v>11371</v>
      </c>
      <c r="O24" s="382">
        <v>603545</v>
      </c>
      <c r="P24" s="382">
        <v>425453</v>
      </c>
      <c r="Q24" s="382">
        <v>39134</v>
      </c>
      <c r="R24" s="382">
        <v>85477</v>
      </c>
      <c r="S24" s="382">
        <v>0</v>
      </c>
      <c r="T24" s="948">
        <v>10216773</v>
      </c>
    </row>
    <row r="25" spans="1:20" s="366" customFormat="1" ht="15.75">
      <c r="A25" s="356" t="s">
        <v>959</v>
      </c>
      <c r="B25" s="370" t="s">
        <v>1095</v>
      </c>
      <c r="C25" s="371">
        <v>0</v>
      </c>
      <c r="D25" s="371">
        <v>0</v>
      </c>
      <c r="E25" s="371">
        <v>0</v>
      </c>
      <c r="F25" s="371">
        <v>0</v>
      </c>
      <c r="G25" s="371">
        <v>0</v>
      </c>
      <c r="H25" s="371">
        <v>0</v>
      </c>
      <c r="I25" s="371">
        <v>0</v>
      </c>
      <c r="J25" s="371">
        <v>0</v>
      </c>
      <c r="K25" s="371">
        <v>0</v>
      </c>
      <c r="L25" s="371">
        <v>0</v>
      </c>
      <c r="M25" s="371">
        <v>0</v>
      </c>
      <c r="N25" s="371">
        <v>0</v>
      </c>
      <c r="O25" s="371">
        <v>0</v>
      </c>
      <c r="P25" s="371">
        <v>0</v>
      </c>
      <c r="Q25" s="371">
        <v>0</v>
      </c>
      <c r="R25" s="371">
        <v>0</v>
      </c>
      <c r="S25" s="371">
        <v>0</v>
      </c>
      <c r="T25" s="371">
        <v>0</v>
      </c>
    </row>
    <row r="26" spans="1:20" s="369" customFormat="1" ht="15.75">
      <c r="A26" s="355">
        <v>3</v>
      </c>
      <c r="B26" s="367" t="s">
        <v>1111</v>
      </c>
      <c r="C26" s="368">
        <v>777128</v>
      </c>
      <c r="D26" s="368">
        <v>8893965</v>
      </c>
      <c r="E26" s="368">
        <v>25699</v>
      </c>
      <c r="F26" s="368">
        <v>1063943</v>
      </c>
      <c r="G26" s="368">
        <v>61096</v>
      </c>
      <c r="H26" s="368">
        <v>133621</v>
      </c>
      <c r="I26" s="368">
        <v>74273</v>
      </c>
      <c r="J26" s="368">
        <v>26769</v>
      </c>
      <c r="K26" s="368">
        <v>224261</v>
      </c>
      <c r="L26" s="368">
        <v>55512</v>
      </c>
      <c r="M26" s="368">
        <v>59659</v>
      </c>
      <c r="N26" s="368">
        <v>35920</v>
      </c>
      <c r="O26" s="368">
        <v>296341</v>
      </c>
      <c r="P26" s="368">
        <v>62584</v>
      </c>
      <c r="Q26" s="368">
        <v>20932</v>
      </c>
      <c r="R26" s="368">
        <v>42467</v>
      </c>
      <c r="S26" s="368">
        <v>36356</v>
      </c>
      <c r="T26" s="368">
        <v>11890526</v>
      </c>
    </row>
    <row r="27" spans="1:20" s="366" customFormat="1" ht="15.75">
      <c r="A27" s="356" t="s">
        <v>1112</v>
      </c>
      <c r="B27" s="370" t="s">
        <v>1113</v>
      </c>
      <c r="C27" s="371">
        <v>192282</v>
      </c>
      <c r="D27" s="371">
        <v>1023458</v>
      </c>
      <c r="E27" s="371">
        <v>12968</v>
      </c>
      <c r="F27" s="371">
        <v>34602</v>
      </c>
      <c r="G27" s="371">
        <v>43071</v>
      </c>
      <c r="H27" s="371">
        <v>48172</v>
      </c>
      <c r="I27" s="371">
        <v>30502</v>
      </c>
      <c r="J27" s="371">
        <v>6596</v>
      </c>
      <c r="K27" s="371">
        <v>16975</v>
      </c>
      <c r="L27" s="371">
        <v>45940</v>
      </c>
      <c r="M27" s="371">
        <v>38907</v>
      </c>
      <c r="N27" s="371">
        <v>17818</v>
      </c>
      <c r="O27" s="371">
        <v>16611</v>
      </c>
      <c r="P27" s="371">
        <v>26718</v>
      </c>
      <c r="Q27" s="371">
        <v>13946</v>
      </c>
      <c r="R27" s="371">
        <v>32523</v>
      </c>
      <c r="S27" s="371">
        <v>0</v>
      </c>
      <c r="T27" s="371">
        <v>1601089</v>
      </c>
    </row>
    <row r="28" spans="1:20" s="366" customFormat="1" ht="15.75">
      <c r="A28" s="356" t="s">
        <v>1114</v>
      </c>
      <c r="B28" s="370" t="s">
        <v>1115</v>
      </c>
      <c r="C28" s="371">
        <v>0</v>
      </c>
      <c r="D28" s="371">
        <v>4598</v>
      </c>
      <c r="E28" s="371">
        <v>0</v>
      </c>
      <c r="F28" s="371">
        <v>0</v>
      </c>
      <c r="G28" s="371">
        <v>0</v>
      </c>
      <c r="H28" s="371">
        <v>0</v>
      </c>
      <c r="I28" s="371">
        <v>0</v>
      </c>
      <c r="J28" s="371">
        <v>0</v>
      </c>
      <c r="K28" s="371">
        <v>0</v>
      </c>
      <c r="L28" s="371">
        <v>0</v>
      </c>
      <c r="M28" s="371">
        <v>0</v>
      </c>
      <c r="N28" s="371">
        <v>0</v>
      </c>
      <c r="O28" s="371">
        <v>0</v>
      </c>
      <c r="P28" s="371">
        <v>0</v>
      </c>
      <c r="Q28" s="371">
        <v>0</v>
      </c>
      <c r="R28" s="371">
        <v>0</v>
      </c>
      <c r="S28" s="371">
        <v>0</v>
      </c>
      <c r="T28" s="371">
        <v>4598</v>
      </c>
    </row>
    <row r="29" spans="1:20" s="366" customFormat="1" ht="15.75">
      <c r="A29" s="356" t="s">
        <v>1116</v>
      </c>
      <c r="B29" s="370" t="s">
        <v>1117</v>
      </c>
      <c r="C29" s="371">
        <v>823</v>
      </c>
      <c r="D29" s="371">
        <v>135143</v>
      </c>
      <c r="E29" s="371">
        <v>0</v>
      </c>
      <c r="F29" s="371">
        <v>0</v>
      </c>
      <c r="G29" s="371">
        <v>0</v>
      </c>
      <c r="H29" s="371">
        <v>0</v>
      </c>
      <c r="I29" s="371">
        <v>0</v>
      </c>
      <c r="J29" s="371">
        <v>0</v>
      </c>
      <c r="K29" s="371">
        <v>0</v>
      </c>
      <c r="L29" s="371">
        <v>0</v>
      </c>
      <c r="M29" s="371">
        <v>360</v>
      </c>
      <c r="N29" s="371">
        <v>0</v>
      </c>
      <c r="O29" s="371">
        <v>0</v>
      </c>
      <c r="P29" s="371">
        <v>0</v>
      </c>
      <c r="Q29" s="371">
        <v>0</v>
      </c>
      <c r="R29" s="371">
        <v>0</v>
      </c>
      <c r="S29" s="371">
        <v>0</v>
      </c>
      <c r="T29" s="371">
        <v>136326</v>
      </c>
    </row>
    <row r="30" spans="1:20" s="366" customFormat="1" ht="15.75">
      <c r="A30" s="356" t="s">
        <v>1118</v>
      </c>
      <c r="B30" s="370" t="s">
        <v>1119</v>
      </c>
      <c r="C30" s="371">
        <v>0</v>
      </c>
      <c r="D30" s="371">
        <v>0</v>
      </c>
      <c r="E30" s="371">
        <v>0</v>
      </c>
      <c r="F30" s="371">
        <v>0</v>
      </c>
      <c r="G30" s="371">
        <v>0</v>
      </c>
      <c r="H30" s="371">
        <v>0</v>
      </c>
      <c r="I30" s="371">
        <v>0</v>
      </c>
      <c r="J30" s="371">
        <v>0</v>
      </c>
      <c r="K30" s="371">
        <v>0</v>
      </c>
      <c r="L30" s="371">
        <v>0</v>
      </c>
      <c r="M30" s="371">
        <v>0</v>
      </c>
      <c r="N30" s="371">
        <v>0</v>
      </c>
      <c r="O30" s="371">
        <v>157913</v>
      </c>
      <c r="P30" s="371">
        <v>0</v>
      </c>
      <c r="Q30" s="371">
        <v>0</v>
      </c>
      <c r="R30" s="371">
        <v>0</v>
      </c>
      <c r="S30" s="371">
        <v>0</v>
      </c>
      <c r="T30" s="371">
        <v>157913</v>
      </c>
    </row>
    <row r="31" spans="1:20" s="366" customFormat="1" ht="15.75">
      <c r="A31" s="356" t="s">
        <v>1120</v>
      </c>
      <c r="B31" s="370" t="s">
        <v>1121</v>
      </c>
      <c r="C31" s="371">
        <v>0</v>
      </c>
      <c r="D31" s="371">
        <v>288465</v>
      </c>
      <c r="E31" s="371">
        <v>0</v>
      </c>
      <c r="F31" s="371">
        <v>10293</v>
      </c>
      <c r="G31" s="371">
        <v>1393</v>
      </c>
      <c r="H31" s="371">
        <v>1861</v>
      </c>
      <c r="I31" s="371">
        <v>9031</v>
      </c>
      <c r="J31" s="371">
        <v>0</v>
      </c>
      <c r="K31" s="371">
        <v>2</v>
      </c>
      <c r="L31" s="371">
        <v>510</v>
      </c>
      <c r="M31" s="371">
        <v>2852</v>
      </c>
      <c r="N31" s="371">
        <v>0</v>
      </c>
      <c r="O31" s="371">
        <v>40</v>
      </c>
      <c r="P31" s="371">
        <v>0</v>
      </c>
      <c r="Q31" s="371">
        <v>0</v>
      </c>
      <c r="R31" s="371">
        <v>0</v>
      </c>
      <c r="S31" s="371">
        <v>32669</v>
      </c>
      <c r="T31" s="371">
        <v>347116</v>
      </c>
    </row>
    <row r="32" spans="1:20" s="366" customFormat="1" ht="31.5">
      <c r="A32" s="356" t="s">
        <v>1122</v>
      </c>
      <c r="B32" s="370" t="s">
        <v>1123</v>
      </c>
      <c r="C32" s="371">
        <v>533932</v>
      </c>
      <c r="D32" s="371">
        <v>5898910</v>
      </c>
      <c r="E32" s="371">
        <v>6794</v>
      </c>
      <c r="F32" s="371">
        <v>1007082</v>
      </c>
      <c r="G32" s="371">
        <v>2912</v>
      </c>
      <c r="H32" s="371">
        <v>36884</v>
      </c>
      <c r="I32" s="371">
        <v>2340</v>
      </c>
      <c r="J32" s="371">
        <v>1210</v>
      </c>
      <c r="K32" s="371">
        <v>121161</v>
      </c>
      <c r="L32" s="371">
        <v>5270</v>
      </c>
      <c r="M32" s="371">
        <v>11396</v>
      </c>
      <c r="N32" s="371">
        <v>4920</v>
      </c>
      <c r="O32" s="371">
        <v>6760</v>
      </c>
      <c r="P32" s="371">
        <v>29138</v>
      </c>
      <c r="Q32" s="371">
        <v>5874</v>
      </c>
      <c r="R32" s="371">
        <v>8235</v>
      </c>
      <c r="S32" s="371">
        <v>3687</v>
      </c>
      <c r="T32" s="371">
        <v>7686505</v>
      </c>
    </row>
    <row r="33" spans="1:20" s="366" customFormat="1" ht="31.5">
      <c r="A33" s="356" t="s">
        <v>1124</v>
      </c>
      <c r="B33" s="370" t="s">
        <v>1125</v>
      </c>
      <c r="C33" s="371">
        <v>7293</v>
      </c>
      <c r="D33" s="371">
        <v>11452</v>
      </c>
      <c r="E33" s="371">
        <v>639</v>
      </c>
      <c r="F33" s="371">
        <v>968</v>
      </c>
      <c r="G33" s="371">
        <v>0</v>
      </c>
      <c r="H33" s="371">
        <v>752</v>
      </c>
      <c r="I33" s="371">
        <v>1968</v>
      </c>
      <c r="J33" s="371">
        <v>20</v>
      </c>
      <c r="K33" s="371">
        <v>231</v>
      </c>
      <c r="L33" s="371">
        <v>520</v>
      </c>
      <c r="M33" s="371">
        <v>4097</v>
      </c>
      <c r="N33" s="371">
        <v>0</v>
      </c>
      <c r="O33" s="371">
        <v>2494</v>
      </c>
      <c r="P33" s="371">
        <v>2460</v>
      </c>
      <c r="Q33" s="371">
        <v>1091</v>
      </c>
      <c r="R33" s="371">
        <v>300</v>
      </c>
      <c r="S33" s="371">
        <v>0</v>
      </c>
      <c r="T33" s="371">
        <v>34285</v>
      </c>
    </row>
    <row r="34" spans="1:20" s="366" customFormat="1" ht="31.5">
      <c r="A34" s="356" t="s">
        <v>1126</v>
      </c>
      <c r="B34" s="370" t="s">
        <v>1127</v>
      </c>
      <c r="C34" s="371">
        <v>0</v>
      </c>
      <c r="D34" s="371">
        <v>0</v>
      </c>
      <c r="E34" s="371">
        <v>0</v>
      </c>
      <c r="F34" s="371">
        <v>0</v>
      </c>
      <c r="G34" s="371">
        <v>0</v>
      </c>
      <c r="H34" s="371">
        <v>0</v>
      </c>
      <c r="I34" s="371">
        <v>0</v>
      </c>
      <c r="J34" s="371">
        <v>0</v>
      </c>
      <c r="K34" s="371">
        <v>0</v>
      </c>
      <c r="L34" s="371">
        <v>0</v>
      </c>
      <c r="M34" s="371">
        <v>0</v>
      </c>
      <c r="N34" s="371">
        <v>0</v>
      </c>
      <c r="O34" s="371">
        <v>0</v>
      </c>
      <c r="P34" s="371">
        <v>0</v>
      </c>
      <c r="Q34" s="371">
        <v>0</v>
      </c>
      <c r="R34" s="371">
        <v>0</v>
      </c>
      <c r="S34" s="371">
        <v>0</v>
      </c>
      <c r="T34" s="371">
        <v>0</v>
      </c>
    </row>
    <row r="35" spans="1:20" s="366" customFormat="1" ht="31.5">
      <c r="A35" s="356" t="s">
        <v>1128</v>
      </c>
      <c r="B35" s="370" t="s">
        <v>1129</v>
      </c>
      <c r="C35" s="371">
        <v>0</v>
      </c>
      <c r="D35" s="371">
        <v>0</v>
      </c>
      <c r="E35" s="371">
        <v>0</v>
      </c>
      <c r="F35" s="371">
        <v>0</v>
      </c>
      <c r="G35" s="371">
        <v>0</v>
      </c>
      <c r="H35" s="371">
        <v>0</v>
      </c>
      <c r="I35" s="371">
        <v>0</v>
      </c>
      <c r="J35" s="371">
        <v>0</v>
      </c>
      <c r="K35" s="371">
        <v>0</v>
      </c>
      <c r="L35" s="371">
        <v>0</v>
      </c>
      <c r="M35" s="371">
        <v>0</v>
      </c>
      <c r="N35" s="371">
        <v>0</v>
      </c>
      <c r="O35" s="371">
        <v>0</v>
      </c>
      <c r="P35" s="371">
        <v>0</v>
      </c>
      <c r="Q35" s="371">
        <v>0</v>
      </c>
      <c r="R35" s="371">
        <v>0</v>
      </c>
      <c r="S35" s="371">
        <v>0</v>
      </c>
      <c r="T35" s="371">
        <v>0</v>
      </c>
    </row>
    <row r="36" spans="1:20" s="366" customFormat="1" ht="31.5">
      <c r="A36" s="356" t="s">
        <v>1130</v>
      </c>
      <c r="B36" s="370" t="s">
        <v>1131</v>
      </c>
      <c r="C36" s="371">
        <v>41940</v>
      </c>
      <c r="D36" s="371">
        <v>1444860</v>
      </c>
      <c r="E36" s="371">
        <v>5298</v>
      </c>
      <c r="F36" s="371">
        <v>10998</v>
      </c>
      <c r="G36" s="371">
        <v>13720</v>
      </c>
      <c r="H36" s="371">
        <v>45952</v>
      </c>
      <c r="I36" s="371">
        <v>28403</v>
      </c>
      <c r="J36" s="371">
        <v>18943</v>
      </c>
      <c r="K36" s="371">
        <v>85892</v>
      </c>
      <c r="L36" s="371">
        <v>3272</v>
      </c>
      <c r="M36" s="371">
        <v>2047</v>
      </c>
      <c r="N36" s="371">
        <v>13182</v>
      </c>
      <c r="O36" s="371">
        <v>112523</v>
      </c>
      <c r="P36" s="371">
        <v>4268</v>
      </c>
      <c r="Q36" s="371">
        <v>21</v>
      </c>
      <c r="R36" s="371">
        <v>936</v>
      </c>
      <c r="S36" s="371">
        <v>0</v>
      </c>
      <c r="T36" s="371">
        <v>1832255</v>
      </c>
    </row>
    <row r="37" spans="1:20" s="366" customFormat="1" ht="15.75">
      <c r="A37" s="356" t="s">
        <v>1132</v>
      </c>
      <c r="B37" s="370" t="s">
        <v>1133</v>
      </c>
      <c r="C37" s="371">
        <v>858</v>
      </c>
      <c r="D37" s="371">
        <v>0</v>
      </c>
      <c r="E37" s="371">
        <v>0</v>
      </c>
      <c r="F37" s="371">
        <v>0</v>
      </c>
      <c r="G37" s="371">
        <v>0</v>
      </c>
      <c r="H37" s="371">
        <v>0</v>
      </c>
      <c r="I37" s="371">
        <v>0</v>
      </c>
      <c r="J37" s="371">
        <v>0</v>
      </c>
      <c r="K37" s="371">
        <v>0</v>
      </c>
      <c r="L37" s="371">
        <v>0</v>
      </c>
      <c r="M37" s="371">
        <v>0</v>
      </c>
      <c r="N37" s="371">
        <v>0</v>
      </c>
      <c r="O37" s="371">
        <v>0</v>
      </c>
      <c r="P37" s="371">
        <v>0</v>
      </c>
      <c r="Q37" s="371">
        <v>0</v>
      </c>
      <c r="R37" s="371">
        <v>473</v>
      </c>
      <c r="S37" s="371">
        <v>0</v>
      </c>
      <c r="T37" s="371">
        <v>1331</v>
      </c>
    </row>
    <row r="38" spans="1:20" s="366" customFormat="1" ht="15.75">
      <c r="A38" s="356" t="s">
        <v>1134</v>
      </c>
      <c r="B38" s="370" t="s">
        <v>1135</v>
      </c>
      <c r="C38" s="371">
        <v>0</v>
      </c>
      <c r="D38" s="371">
        <v>0</v>
      </c>
      <c r="E38" s="371">
        <v>0</v>
      </c>
      <c r="F38" s="371">
        <v>0</v>
      </c>
      <c r="G38" s="371">
        <v>0</v>
      </c>
      <c r="H38" s="371">
        <v>0</v>
      </c>
      <c r="I38" s="371">
        <v>0</v>
      </c>
      <c r="J38" s="371">
        <v>0</v>
      </c>
      <c r="K38" s="371">
        <v>0</v>
      </c>
      <c r="L38" s="371">
        <v>0</v>
      </c>
      <c r="M38" s="371">
        <v>0</v>
      </c>
      <c r="N38" s="371">
        <v>0</v>
      </c>
      <c r="O38" s="371">
        <v>0</v>
      </c>
      <c r="P38" s="371">
        <v>0</v>
      </c>
      <c r="Q38" s="371">
        <v>0</v>
      </c>
      <c r="R38" s="371">
        <v>0</v>
      </c>
      <c r="S38" s="371">
        <v>0</v>
      </c>
      <c r="T38" s="371">
        <v>0</v>
      </c>
    </row>
    <row r="39" spans="1:20" s="366" customFormat="1" ht="15.75">
      <c r="A39" s="356" t="s">
        <v>1136</v>
      </c>
      <c r="B39" s="370" t="s">
        <v>1137</v>
      </c>
      <c r="C39" s="371">
        <v>0</v>
      </c>
      <c r="D39" s="371">
        <v>0</v>
      </c>
      <c r="E39" s="371">
        <v>0</v>
      </c>
      <c r="F39" s="371">
        <v>0</v>
      </c>
      <c r="G39" s="371">
        <v>0</v>
      </c>
      <c r="H39" s="371">
        <v>0</v>
      </c>
      <c r="I39" s="371">
        <v>0</v>
      </c>
      <c r="J39" s="371">
        <v>0</v>
      </c>
      <c r="K39" s="371">
        <v>0</v>
      </c>
      <c r="L39" s="371">
        <v>0</v>
      </c>
      <c r="M39" s="371">
        <v>0</v>
      </c>
      <c r="N39" s="371">
        <v>0</v>
      </c>
      <c r="O39" s="371">
        <v>0</v>
      </c>
      <c r="P39" s="371">
        <v>0</v>
      </c>
      <c r="Q39" s="371">
        <v>0</v>
      </c>
      <c r="R39" s="371">
        <v>0</v>
      </c>
      <c r="S39" s="371">
        <v>0</v>
      </c>
      <c r="T39" s="371">
        <v>0</v>
      </c>
    </row>
    <row r="40" spans="1:20" s="366" customFormat="1" ht="15.75">
      <c r="A40" s="356" t="s">
        <v>1138</v>
      </c>
      <c r="B40" s="370" t="s">
        <v>1139</v>
      </c>
      <c r="C40" s="371">
        <v>0</v>
      </c>
      <c r="D40" s="371">
        <v>29957</v>
      </c>
      <c r="E40" s="371">
        <v>0</v>
      </c>
      <c r="F40" s="371">
        <v>0</v>
      </c>
      <c r="G40" s="371">
        <v>0</v>
      </c>
      <c r="H40" s="371">
        <v>0</v>
      </c>
      <c r="I40" s="371">
        <v>0</v>
      </c>
      <c r="J40" s="371">
        <v>0</v>
      </c>
      <c r="K40" s="371">
        <v>0</v>
      </c>
      <c r="L40" s="371">
        <v>0</v>
      </c>
      <c r="M40" s="371">
        <v>0</v>
      </c>
      <c r="N40" s="371">
        <v>0</v>
      </c>
      <c r="O40" s="371">
        <v>0</v>
      </c>
      <c r="P40" s="371">
        <v>0</v>
      </c>
      <c r="Q40" s="371">
        <v>0</v>
      </c>
      <c r="R40" s="371">
        <v>0</v>
      </c>
      <c r="S40" s="371">
        <v>0</v>
      </c>
      <c r="T40" s="371">
        <v>29957</v>
      </c>
    </row>
    <row r="41" spans="1:20" s="366" customFormat="1" ht="31.5">
      <c r="A41" s="356" t="s">
        <v>1140</v>
      </c>
      <c r="B41" s="370" t="s">
        <v>1141</v>
      </c>
      <c r="C41" s="371">
        <v>0</v>
      </c>
      <c r="D41" s="371">
        <v>47844</v>
      </c>
      <c r="E41" s="371">
        <v>0</v>
      </c>
      <c r="F41" s="371">
        <v>0</v>
      </c>
      <c r="G41" s="371">
        <v>0</v>
      </c>
      <c r="H41" s="371">
        <v>0</v>
      </c>
      <c r="I41" s="371">
        <v>0</v>
      </c>
      <c r="J41" s="371">
        <v>0</v>
      </c>
      <c r="K41" s="371">
        <v>0</v>
      </c>
      <c r="L41" s="371">
        <v>0</v>
      </c>
      <c r="M41" s="371">
        <v>0</v>
      </c>
      <c r="N41" s="371">
        <v>0</v>
      </c>
      <c r="O41" s="371">
        <v>0</v>
      </c>
      <c r="P41" s="371">
        <v>0</v>
      </c>
      <c r="Q41" s="371">
        <v>0</v>
      </c>
      <c r="R41" s="371">
        <v>0</v>
      </c>
      <c r="S41" s="371">
        <v>0</v>
      </c>
      <c r="T41" s="371">
        <v>47844</v>
      </c>
    </row>
    <row r="42" spans="1:20" s="366" customFormat="1" ht="15.75">
      <c r="A42" s="356" t="s">
        <v>1142</v>
      </c>
      <c r="B42" s="370" t="s">
        <v>1143</v>
      </c>
      <c r="C42" s="371">
        <v>0</v>
      </c>
      <c r="D42" s="371">
        <v>9278</v>
      </c>
      <c r="E42" s="371">
        <v>0</v>
      </c>
      <c r="F42" s="371">
        <v>0</v>
      </c>
      <c r="G42" s="371">
        <v>0</v>
      </c>
      <c r="H42" s="371">
        <v>0</v>
      </c>
      <c r="I42" s="371">
        <v>2029</v>
      </c>
      <c r="J42" s="371">
        <v>0</v>
      </c>
      <c r="K42" s="371">
        <v>0</v>
      </c>
      <c r="L42" s="371">
        <v>0</v>
      </c>
      <c r="M42" s="371">
        <v>0</v>
      </c>
      <c r="N42" s="371">
        <v>0</v>
      </c>
      <c r="O42" s="371">
        <v>0</v>
      </c>
      <c r="P42" s="371">
        <v>0</v>
      </c>
      <c r="Q42" s="371">
        <v>0</v>
      </c>
      <c r="R42" s="371">
        <v>0</v>
      </c>
      <c r="S42" s="371">
        <v>0</v>
      </c>
      <c r="T42" s="371">
        <v>11307</v>
      </c>
    </row>
    <row r="43" spans="1:20" s="366" customFormat="1" ht="15.75">
      <c r="A43" s="356" t="s">
        <v>1144</v>
      </c>
      <c r="B43" s="370" t="s">
        <v>1145</v>
      </c>
      <c r="C43" s="371">
        <v>0</v>
      </c>
      <c r="D43" s="371">
        <v>0</v>
      </c>
      <c r="E43" s="371">
        <v>0</v>
      </c>
      <c r="F43" s="371">
        <v>0</v>
      </c>
      <c r="G43" s="371">
        <v>0</v>
      </c>
      <c r="H43" s="371">
        <v>0</v>
      </c>
      <c r="I43" s="371">
        <v>0</v>
      </c>
      <c r="J43" s="371">
        <v>0</v>
      </c>
      <c r="K43" s="371">
        <v>0</v>
      </c>
      <c r="L43" s="371">
        <v>0</v>
      </c>
      <c r="M43" s="371">
        <v>0</v>
      </c>
      <c r="N43" s="371">
        <v>0</v>
      </c>
      <c r="O43" s="371">
        <v>0</v>
      </c>
      <c r="P43" s="371">
        <v>0</v>
      </c>
      <c r="Q43" s="371">
        <v>0</v>
      </c>
      <c r="R43" s="371">
        <v>0</v>
      </c>
      <c r="S43" s="371">
        <v>0</v>
      </c>
      <c r="T43" s="371">
        <v>0</v>
      </c>
    </row>
    <row r="44" spans="1:20" s="366" customFormat="1" ht="15.75">
      <c r="A44" s="356" t="s">
        <v>1146</v>
      </c>
      <c r="B44" s="370" t="s">
        <v>1095</v>
      </c>
      <c r="C44" s="371">
        <v>0</v>
      </c>
      <c r="D44" s="371">
        <v>0</v>
      </c>
      <c r="E44" s="371">
        <v>0</v>
      </c>
      <c r="F44" s="371">
        <v>0</v>
      </c>
      <c r="G44" s="371">
        <v>0</v>
      </c>
      <c r="H44" s="371">
        <v>0</v>
      </c>
      <c r="I44" s="371">
        <v>0</v>
      </c>
      <c r="J44" s="371">
        <v>0</v>
      </c>
      <c r="K44" s="371">
        <v>0</v>
      </c>
      <c r="L44" s="371">
        <v>0</v>
      </c>
      <c r="M44" s="371">
        <v>0</v>
      </c>
      <c r="N44" s="371">
        <v>0</v>
      </c>
      <c r="O44" s="371">
        <v>0</v>
      </c>
      <c r="P44" s="371">
        <v>0</v>
      </c>
      <c r="Q44" s="371">
        <v>0</v>
      </c>
      <c r="R44" s="371">
        <v>0</v>
      </c>
      <c r="S44" s="371">
        <v>0</v>
      </c>
      <c r="T44" s="371">
        <v>0</v>
      </c>
    </row>
    <row r="45" spans="1:20" s="369" customFormat="1" ht="15.75">
      <c r="A45" s="355">
        <v>4</v>
      </c>
      <c r="B45" s="367" t="s">
        <v>816</v>
      </c>
      <c r="C45" s="368">
        <v>6942107</v>
      </c>
      <c r="D45" s="368">
        <v>25905484</v>
      </c>
      <c r="E45" s="368">
        <v>896242</v>
      </c>
      <c r="F45" s="368">
        <v>3184130</v>
      </c>
      <c r="G45" s="368">
        <v>1204090</v>
      </c>
      <c r="H45" s="368">
        <v>5017025</v>
      </c>
      <c r="I45" s="368">
        <v>3335657</v>
      </c>
      <c r="J45" s="368">
        <v>879086</v>
      </c>
      <c r="K45" s="368">
        <v>1739513</v>
      </c>
      <c r="L45" s="368">
        <v>5883318</v>
      </c>
      <c r="M45" s="368">
        <v>1455880</v>
      </c>
      <c r="N45" s="368">
        <v>985404</v>
      </c>
      <c r="O45" s="368">
        <v>6397405</v>
      </c>
      <c r="P45" s="368">
        <v>1896235</v>
      </c>
      <c r="Q45" s="368">
        <v>733984</v>
      </c>
      <c r="R45" s="368">
        <v>1558975</v>
      </c>
      <c r="S45" s="368">
        <v>36356</v>
      </c>
      <c r="T45" s="368">
        <v>68050891</v>
      </c>
    </row>
    <row r="46" spans="1:20">
      <c r="A46" s="357"/>
      <c r="B46" s="357"/>
      <c r="C46" s="357"/>
      <c r="D46" s="357"/>
      <c r="E46" s="357"/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7"/>
    </row>
    <row r="47" spans="1:20">
      <c r="A47" s="357"/>
      <c r="B47" s="357"/>
      <c r="C47" s="357"/>
      <c r="D47" s="357"/>
      <c r="E47" s="357"/>
      <c r="F47" s="357"/>
      <c r="G47" s="357"/>
      <c r="H47" s="357"/>
      <c r="I47" s="357"/>
      <c r="J47" s="357"/>
      <c r="K47" s="357"/>
      <c r="L47" s="357"/>
      <c r="M47" s="357"/>
      <c r="N47" s="357"/>
      <c r="O47" s="357"/>
      <c r="P47" s="357"/>
      <c r="Q47" s="357"/>
      <c r="R47" s="357"/>
      <c r="S47" s="357"/>
      <c r="T47" s="357"/>
    </row>
    <row r="48" spans="1:20">
      <c r="A48" s="1878" t="s">
        <v>1147</v>
      </c>
      <c r="B48" s="1878"/>
      <c r="C48" s="1878"/>
      <c r="D48" s="1878"/>
      <c r="E48" s="1878"/>
      <c r="F48" s="1878"/>
      <c r="G48" s="1878"/>
      <c r="H48" s="1878"/>
      <c r="I48" s="1878"/>
      <c r="J48" s="1878"/>
      <c r="K48" s="1878"/>
      <c r="L48" s="1878"/>
      <c r="M48" s="1878"/>
      <c r="N48" s="1878"/>
      <c r="O48" s="1878"/>
      <c r="P48" s="1878"/>
      <c r="Q48" s="1878"/>
      <c r="R48" s="1878"/>
      <c r="S48" s="1878"/>
      <c r="T48" s="1878"/>
    </row>
    <row r="49" spans="1:20">
      <c r="A49" s="357"/>
      <c r="B49" s="357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</row>
    <row r="50" spans="1:20">
      <c r="A50" s="357"/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</row>
    <row r="51" spans="1:20" s="373" customFormat="1">
      <c r="A51" s="372"/>
      <c r="C51" s="374"/>
      <c r="D51" s="374"/>
      <c r="E51" s="374"/>
      <c r="F51" s="374"/>
      <c r="G51" s="374"/>
      <c r="H51" s="375"/>
      <c r="I51" s="375"/>
      <c r="J51" s="376"/>
      <c r="K51" s="376"/>
      <c r="L51" s="376"/>
      <c r="M51" s="376"/>
      <c r="N51" s="376"/>
      <c r="O51" s="376"/>
      <c r="P51" s="376"/>
      <c r="Q51" s="376"/>
      <c r="R51" s="376"/>
      <c r="S51" s="376"/>
      <c r="T51" s="376"/>
    </row>
    <row r="52" spans="1:20" s="373" customFormat="1">
      <c r="A52" s="372"/>
      <c r="C52" s="374"/>
      <c r="D52" s="374"/>
      <c r="E52" s="374"/>
      <c r="F52" s="374"/>
      <c r="G52" s="374"/>
      <c r="H52" s="377"/>
      <c r="I52" s="377"/>
      <c r="J52" s="377"/>
      <c r="K52" s="376"/>
      <c r="L52" s="376"/>
      <c r="M52" s="376"/>
      <c r="N52" s="376"/>
      <c r="O52" s="376"/>
      <c r="P52" s="376"/>
      <c r="Q52" s="376"/>
      <c r="R52" s="376"/>
      <c r="S52" s="376"/>
      <c r="T52" s="376"/>
    </row>
    <row r="53" spans="1:20" s="373" customFormat="1">
      <c r="A53" s="372"/>
      <c r="C53" s="374"/>
      <c r="D53" s="374"/>
      <c r="E53" s="374"/>
      <c r="F53" s="374"/>
      <c r="G53" s="374"/>
      <c r="H53" s="378"/>
      <c r="J53" s="378"/>
      <c r="K53" s="376"/>
      <c r="L53" s="376"/>
      <c r="M53" s="376"/>
      <c r="N53" s="376"/>
      <c r="O53" s="376"/>
      <c r="P53" s="376"/>
      <c r="Q53" s="376"/>
      <c r="R53" s="376"/>
      <c r="S53" s="376"/>
      <c r="T53" s="376"/>
    </row>
    <row r="54" spans="1:20" s="373" customFormat="1">
      <c r="A54" s="372"/>
      <c r="C54" s="374"/>
      <c r="D54" s="374"/>
      <c r="E54" s="374"/>
      <c r="F54" s="374"/>
      <c r="G54" s="374"/>
      <c r="H54" s="377"/>
      <c r="I54" s="377"/>
      <c r="J54" s="377"/>
      <c r="K54" s="376"/>
      <c r="L54" s="376"/>
      <c r="M54" s="376"/>
      <c r="N54" s="376"/>
      <c r="O54" s="376"/>
      <c r="P54" s="376"/>
      <c r="Q54" s="376"/>
      <c r="R54" s="376"/>
      <c r="S54" s="376"/>
      <c r="T54" s="376"/>
    </row>
    <row r="55" spans="1:20" s="373" customFormat="1" ht="15" customHeight="1">
      <c r="A55" s="372"/>
      <c r="C55" s="374"/>
      <c r="D55" s="374"/>
      <c r="E55" s="374"/>
      <c r="F55" s="374"/>
      <c r="G55" s="374"/>
      <c r="H55" s="379"/>
      <c r="I55" s="377"/>
      <c r="J55" s="377"/>
      <c r="K55" s="376"/>
      <c r="L55" s="376"/>
      <c r="M55" s="376"/>
      <c r="N55" s="376"/>
      <c r="O55" s="376"/>
      <c r="P55" s="376"/>
      <c r="Q55" s="376"/>
      <c r="R55" s="376"/>
      <c r="S55" s="376"/>
      <c r="T55" s="376"/>
    </row>
  </sheetData>
  <mergeCells count="3">
    <mergeCell ref="A48:T48"/>
    <mergeCell ref="A2:T2"/>
    <mergeCell ref="S3:T3"/>
  </mergeCells>
  <pageMargins left="0.25" right="0.25" top="0.75" bottom="0.75" header="0.3" footer="0.3"/>
  <pageSetup paperSize="9" scale="43" orientation="landscape" horizont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"/>
  <sheetViews>
    <sheetView zoomScaleNormal="100" zoomScaleSheetLayoutView="50" workbookViewId="0">
      <pane xSplit="2" ySplit="3" topLeftCell="C4" activePane="bottomRight" state="frozen"/>
      <selection activeCell="I20" sqref="I20"/>
      <selection pane="topRight" activeCell="I20" sqref="I20"/>
      <selection pane="bottomLeft" activeCell="I20" sqref="I20"/>
      <selection pane="bottomRight" activeCell="F57" sqref="F57"/>
    </sheetView>
  </sheetViews>
  <sheetFormatPr defaultColWidth="9.7109375" defaultRowHeight="11.25"/>
  <cols>
    <col min="1" max="1" width="7.7109375" style="1578" customWidth="1"/>
    <col min="2" max="2" width="18" style="1579" customWidth="1"/>
    <col min="3" max="5" width="13.140625" style="1578" customWidth="1"/>
    <col min="6" max="9" width="13.140625" style="1580" customWidth="1"/>
    <col min="10" max="10" width="13.140625" style="1581" customWidth="1"/>
    <col min="11" max="17" width="13.140625" style="1580" customWidth="1"/>
    <col min="18" max="16384" width="9.7109375" style="1501"/>
  </cols>
  <sheetData>
    <row r="1" spans="1:17" s="1549" customFormat="1">
      <c r="A1" s="1646"/>
      <c r="B1" s="1647"/>
      <c r="C1" s="1615" t="s">
        <v>46</v>
      </c>
      <c r="D1" s="1616"/>
      <c r="E1" s="1652"/>
      <c r="F1" s="1653" t="s">
        <v>96</v>
      </c>
      <c r="G1" s="1654"/>
      <c r="H1" s="1654"/>
      <c r="I1" s="1654"/>
      <c r="J1" s="1654"/>
      <c r="K1" s="1655"/>
      <c r="L1" s="1652"/>
      <c r="M1" s="1656" t="s">
        <v>2732</v>
      </c>
      <c r="N1" s="1657"/>
      <c r="O1" s="1657"/>
      <c r="P1" s="1639" t="s">
        <v>2730</v>
      </c>
      <c r="Q1" s="1641" t="s">
        <v>1211</v>
      </c>
    </row>
    <row r="2" spans="1:17" s="1555" customFormat="1">
      <c r="A2" s="1648"/>
      <c r="B2" s="1649"/>
      <c r="C2" s="1550" t="s">
        <v>44</v>
      </c>
      <c r="D2" s="1551" t="s">
        <v>47</v>
      </c>
      <c r="E2" s="1551" t="s">
        <v>2720</v>
      </c>
      <c r="F2" s="1552" t="s">
        <v>93</v>
      </c>
      <c r="G2" s="1553" t="s">
        <v>97</v>
      </c>
      <c r="H2" s="1553" t="s">
        <v>99</v>
      </c>
      <c r="I2" s="1553" t="s">
        <v>106</v>
      </c>
      <c r="J2" s="1553" t="s">
        <v>112</v>
      </c>
      <c r="K2" s="1553" t="s">
        <v>2723</v>
      </c>
      <c r="L2" s="1553" t="s">
        <v>2725</v>
      </c>
      <c r="M2" s="1552" t="s">
        <v>122</v>
      </c>
      <c r="N2" s="1553" t="s">
        <v>2727</v>
      </c>
      <c r="O2" s="1554" t="s">
        <v>127</v>
      </c>
      <c r="P2" s="1640"/>
      <c r="Q2" s="1642"/>
    </row>
    <row r="3" spans="1:17" s="1555" customFormat="1" ht="101.25">
      <c r="A3" s="1650"/>
      <c r="B3" s="1651"/>
      <c r="C3" s="1556" t="s">
        <v>795</v>
      </c>
      <c r="D3" s="1557" t="s">
        <v>48</v>
      </c>
      <c r="E3" s="1557" t="s">
        <v>2721</v>
      </c>
      <c r="F3" s="1558" t="s">
        <v>94</v>
      </c>
      <c r="G3" s="1505" t="s">
        <v>98</v>
      </c>
      <c r="H3" s="1505" t="s">
        <v>2722</v>
      </c>
      <c r="I3" s="1505" t="s">
        <v>798</v>
      </c>
      <c r="J3" s="1457" t="s">
        <v>113</v>
      </c>
      <c r="K3" s="1457" t="s">
        <v>2724</v>
      </c>
      <c r="L3" s="1457" t="s">
        <v>2726</v>
      </c>
      <c r="M3" s="1558" t="s">
        <v>802</v>
      </c>
      <c r="N3" s="1457" t="s">
        <v>2728</v>
      </c>
      <c r="O3" s="1505" t="s">
        <v>2733</v>
      </c>
      <c r="P3" s="1559" t="s">
        <v>2731</v>
      </c>
      <c r="Q3" s="1643"/>
    </row>
    <row r="4" spans="1:17" s="1518" customFormat="1" ht="34.5" customHeight="1">
      <c r="A4" s="1560" t="s">
        <v>334</v>
      </c>
      <c r="B4" s="1561" t="s">
        <v>339</v>
      </c>
      <c r="C4" s="1562">
        <f t="shared" ref="C4:C37" si="0">D4+E4</f>
        <v>331605466.9901154</v>
      </c>
      <c r="D4" s="1562">
        <f t="shared" ref="D4" si="1">D5+D6+D7</f>
        <v>331605466.9901154</v>
      </c>
      <c r="E4" s="1562"/>
      <c r="F4" s="1562">
        <f>F5+F6+F7</f>
        <v>7616713</v>
      </c>
      <c r="G4" s="1562"/>
      <c r="H4" s="1562"/>
      <c r="I4" s="1562">
        <f>I5+I6+I7</f>
        <v>7616713</v>
      </c>
      <c r="J4" s="1562">
        <f>J5</f>
        <v>35157451.796000004</v>
      </c>
      <c r="K4" s="1562">
        <f>ОУ2012!H6+K5</f>
        <v>61341801.796000004</v>
      </c>
      <c r="L4" s="1562"/>
      <c r="M4" s="1562">
        <f t="shared" ref="M4:M5" si="2">O4+N4</f>
        <v>81786</v>
      </c>
      <c r="N4" s="1562"/>
      <c r="O4" s="1562">
        <f>O5+O6+O7</f>
        <v>81786</v>
      </c>
      <c r="P4" s="1562"/>
      <c r="Q4" s="1562">
        <f t="shared" ref="Q4:Q36" si="3">C4+F4+J4+M4+P4</f>
        <v>374461417.78611541</v>
      </c>
    </row>
    <row r="5" spans="1:17" s="1527" customFormat="1" ht="22.5">
      <c r="A5" s="1563" t="s">
        <v>337</v>
      </c>
      <c r="B5" s="1564" t="s">
        <v>339</v>
      </c>
      <c r="C5" s="1565">
        <f t="shared" si="0"/>
        <v>171737785.53884125</v>
      </c>
      <c r="D5" s="1566">
        <f>'[4]HF-HP2'!D4</f>
        <v>171737785.53884125</v>
      </c>
      <c r="E5" s="1567"/>
      <c r="F5" s="1565">
        <f>G5+I5</f>
        <v>7616713</v>
      </c>
      <c r="G5" s="1567"/>
      <c r="H5" s="1567"/>
      <c r="I5" s="1567">
        <f>'Соцфин 9.1'!F13</f>
        <v>7616713</v>
      </c>
      <c r="J5" s="1567">
        <f>ОУ2012!H4+(ОДХ!C11/1000)+ОУ2012!L6</f>
        <v>35157451.796000004</v>
      </c>
      <c r="K5" s="1567">
        <f>ОУ2012!H4+(ОДХ!C11/1000)</f>
        <v>35122263.796000004</v>
      </c>
      <c r="L5" s="1567"/>
      <c r="M5" s="1565">
        <f t="shared" si="2"/>
        <v>81786</v>
      </c>
      <c r="N5" s="1567"/>
      <c r="O5" s="1567">
        <f>'[4]HF-HP2'!AD4</f>
        <v>81786</v>
      </c>
      <c r="P5" s="1562"/>
      <c r="Q5" s="1562">
        <f t="shared" si="3"/>
        <v>214593736.33484125</v>
      </c>
    </row>
    <row r="6" spans="1:17" s="1527" customFormat="1" ht="67.5">
      <c r="A6" s="1563" t="s">
        <v>346</v>
      </c>
      <c r="B6" s="1564" t="s">
        <v>348</v>
      </c>
      <c r="C6" s="1565">
        <f t="shared" si="0"/>
        <v>16742686.853129506</v>
      </c>
      <c r="D6" s="1568">
        <f>'[4]HF-HP2'!D8</f>
        <v>16742686.853129506</v>
      </c>
      <c r="E6" s="1567"/>
      <c r="F6" s="1565"/>
      <c r="G6" s="1567"/>
      <c r="H6" s="1567"/>
      <c r="I6" s="1567"/>
      <c r="J6" s="1567"/>
      <c r="K6" s="1567"/>
      <c r="L6" s="1567"/>
      <c r="M6" s="1565"/>
      <c r="N6" s="1567"/>
      <c r="O6" s="1567"/>
      <c r="P6" s="1562"/>
      <c r="Q6" s="1562">
        <f t="shared" si="3"/>
        <v>16742686.853129506</v>
      </c>
    </row>
    <row r="7" spans="1:17" s="1527" customFormat="1" ht="78.75">
      <c r="A7" s="1563" t="s">
        <v>353</v>
      </c>
      <c r="B7" s="1564" t="s">
        <v>354</v>
      </c>
      <c r="C7" s="1565">
        <f t="shared" si="0"/>
        <v>143124994.59814468</v>
      </c>
      <c r="D7" s="1568">
        <f>'[4]HF-HP2'!D11</f>
        <v>143124994.59814468</v>
      </c>
      <c r="E7" s="1567"/>
      <c r="F7" s="1565"/>
      <c r="G7" s="1567"/>
      <c r="H7" s="1567"/>
      <c r="I7" s="1567"/>
      <c r="J7" s="1567"/>
      <c r="K7" s="1567"/>
      <c r="L7" s="1567"/>
      <c r="M7" s="1565"/>
      <c r="N7" s="1567"/>
      <c r="O7" s="1567"/>
      <c r="P7" s="1562"/>
      <c r="Q7" s="1562">
        <f t="shared" si="3"/>
        <v>143124994.59814468</v>
      </c>
    </row>
    <row r="8" spans="1:17" s="1518" customFormat="1" ht="22.5">
      <c r="A8" s="1560" t="s">
        <v>379</v>
      </c>
      <c r="B8" s="1560" t="s">
        <v>381</v>
      </c>
      <c r="C8" s="1562">
        <f t="shared" si="0"/>
        <v>3307099</v>
      </c>
      <c r="D8" s="1562">
        <f>D9+D11+D10</f>
        <v>3307099</v>
      </c>
      <c r="E8" s="1562"/>
      <c r="F8" s="1562"/>
      <c r="G8" s="1562"/>
      <c r="H8" s="1562"/>
      <c r="I8" s="1562"/>
      <c r="J8" s="1562"/>
      <c r="K8" s="1562"/>
      <c r="L8" s="1562"/>
      <c r="M8" s="1562"/>
      <c r="N8" s="1562"/>
      <c r="O8" s="1562"/>
      <c r="P8" s="1562"/>
      <c r="Q8" s="1562">
        <f t="shared" si="3"/>
        <v>3307099</v>
      </c>
    </row>
    <row r="9" spans="1:17" s="1527" customFormat="1" ht="33.75">
      <c r="A9" s="1563" t="s">
        <v>383</v>
      </c>
      <c r="B9" s="1569" t="s">
        <v>385</v>
      </c>
      <c r="C9" s="1562">
        <f t="shared" si="0"/>
        <v>0</v>
      </c>
      <c r="D9" s="1570"/>
      <c r="E9" s="1571"/>
      <c r="F9" s="1562"/>
      <c r="G9" s="1571"/>
      <c r="H9" s="1571"/>
      <c r="I9" s="1571"/>
      <c r="J9" s="1571"/>
      <c r="K9" s="1571"/>
      <c r="L9" s="1571"/>
      <c r="M9" s="1562"/>
      <c r="N9" s="1571"/>
      <c r="O9" s="1571"/>
      <c r="P9" s="1562"/>
      <c r="Q9" s="1562">
        <f t="shared" si="3"/>
        <v>0</v>
      </c>
    </row>
    <row r="10" spans="1:17" s="1527" customFormat="1" ht="33.75">
      <c r="A10" s="1563" t="s">
        <v>635</v>
      </c>
      <c r="B10" s="1569" t="s">
        <v>2734</v>
      </c>
      <c r="C10" s="1562"/>
      <c r="D10" s="1570"/>
      <c r="E10" s="1571"/>
      <c r="F10" s="1562"/>
      <c r="G10" s="1571"/>
      <c r="H10" s="1571"/>
      <c r="I10" s="1571"/>
      <c r="J10" s="1571"/>
      <c r="K10" s="1571"/>
      <c r="L10" s="1571"/>
      <c r="M10" s="1562"/>
      <c r="N10" s="1571"/>
      <c r="O10" s="1571"/>
      <c r="P10" s="1562"/>
      <c r="Q10" s="1562"/>
    </row>
    <row r="11" spans="1:17" s="1527" customFormat="1" ht="22.5">
      <c r="A11" s="1563" t="s">
        <v>396</v>
      </c>
      <c r="B11" s="1564" t="s">
        <v>398</v>
      </c>
      <c r="C11" s="1562">
        <f t="shared" si="0"/>
        <v>3307099</v>
      </c>
      <c r="D11" s="1570">
        <f>'[4]HF-HP2'!D29</f>
        <v>3307099</v>
      </c>
      <c r="E11" s="1571"/>
      <c r="F11" s="1562"/>
      <c r="G11" s="1571"/>
      <c r="H11" s="1571"/>
      <c r="I11" s="1571"/>
      <c r="J11" s="1571"/>
      <c r="K11" s="1571"/>
      <c r="L11" s="1571"/>
      <c r="M11" s="1562"/>
      <c r="N11" s="1571"/>
      <c r="O11" s="1571"/>
      <c r="P11" s="1562"/>
      <c r="Q11" s="1562">
        <f t="shared" si="3"/>
        <v>3307099</v>
      </c>
    </row>
    <row r="12" spans="1:17" s="1518" customFormat="1" ht="33.75">
      <c r="A12" s="1572" t="s">
        <v>646</v>
      </c>
      <c r="B12" s="1560" t="s">
        <v>812</v>
      </c>
      <c r="C12" s="1562">
        <f t="shared" si="0"/>
        <v>161467818.77266294</v>
      </c>
      <c r="D12" s="1562">
        <f>D13+D14+D15+D16+D17</f>
        <v>161467818.77266294</v>
      </c>
      <c r="E12" s="1562"/>
      <c r="F12" s="1562">
        <f>G12+I12</f>
        <v>9256556</v>
      </c>
      <c r="G12" s="1562">
        <f>G13+G14+G15+G16+G17</f>
        <v>0</v>
      </c>
      <c r="H12" s="1562"/>
      <c r="I12" s="1562">
        <f>I13+I14+I15+I16-'[4]АФН страх'!T24+I17</f>
        <v>9256556</v>
      </c>
      <c r="J12" s="1562">
        <f>K12</f>
        <v>31318312</v>
      </c>
      <c r="K12" s="1562">
        <f>K13+K14+K16</f>
        <v>31318312</v>
      </c>
      <c r="L12" s="1562"/>
      <c r="M12" s="1562"/>
      <c r="N12" s="1562"/>
      <c r="O12" s="1562"/>
      <c r="P12" s="1562"/>
      <c r="Q12" s="1562">
        <f t="shared" si="3"/>
        <v>202042686.77266294</v>
      </c>
    </row>
    <row r="13" spans="1:17" s="1527" customFormat="1">
      <c r="A13" s="1563" t="s">
        <v>404</v>
      </c>
      <c r="B13" s="1564" t="s">
        <v>811</v>
      </c>
      <c r="C13" s="1565">
        <f t="shared" si="0"/>
        <v>161467818.77266294</v>
      </c>
      <c r="D13" s="1568">
        <f>'[4]HF-HP2'!D30</f>
        <v>161467818.77266294</v>
      </c>
      <c r="E13" s="1567"/>
      <c r="F13" s="1565">
        <f>G13+I13</f>
        <v>14363297</v>
      </c>
      <c r="G13" s="1567"/>
      <c r="H13" s="1567"/>
      <c r="I13" s="1567">
        <f>'HF-HP2'!AA30</f>
        <v>14363297</v>
      </c>
      <c r="J13" s="1571">
        <f>ОУ2012!I4+ОУ2012!L7</f>
        <v>14036055</v>
      </c>
      <c r="K13" s="1571">
        <f>ОУ2012!I4+ОУ2012!L7</f>
        <v>14036055</v>
      </c>
      <c r="L13" s="1571"/>
      <c r="M13" s="1562"/>
      <c r="N13" s="1571"/>
      <c r="O13" s="1571"/>
      <c r="P13" s="1562"/>
      <c r="Q13" s="1562">
        <f t="shared" si="3"/>
        <v>189867170.77266294</v>
      </c>
    </row>
    <row r="14" spans="1:17" s="1527" customFormat="1" ht="22.5">
      <c r="A14" s="1563" t="s">
        <v>415</v>
      </c>
      <c r="B14" s="1564" t="s">
        <v>417</v>
      </c>
      <c r="C14" s="1565"/>
      <c r="D14" s="1568"/>
      <c r="E14" s="1567"/>
      <c r="F14" s="1565">
        <f>G14+I14</f>
        <v>1814689</v>
      </c>
      <c r="G14" s="1567"/>
      <c r="H14" s="1567"/>
      <c r="I14" s="1567">
        <f>'[4]HF-HP2'!AA35</f>
        <v>1814689</v>
      </c>
      <c r="J14" s="1571">
        <f>ОУ2012!K4+ОУ2012!L9</f>
        <v>12487947</v>
      </c>
      <c r="K14" s="1571">
        <f>ОУ2012!K4+ОУ2012!L9</f>
        <v>12487947</v>
      </c>
      <c r="L14" s="1571"/>
      <c r="M14" s="1562"/>
      <c r="N14" s="1571"/>
      <c r="O14" s="1571"/>
      <c r="P14" s="1562"/>
      <c r="Q14" s="1562">
        <f t="shared" si="3"/>
        <v>14302636</v>
      </c>
    </row>
    <row r="15" spans="1:17" s="1527" customFormat="1" ht="22.5">
      <c r="A15" s="1563" t="s">
        <v>418</v>
      </c>
      <c r="B15" s="1564" t="s">
        <v>420</v>
      </c>
      <c r="C15" s="1565">
        <f t="shared" si="0"/>
        <v>0</v>
      </c>
      <c r="D15" s="1573"/>
      <c r="E15" s="1567"/>
      <c r="F15" s="1565">
        <f>G15+I15</f>
        <v>3295343</v>
      </c>
      <c r="G15" s="1567"/>
      <c r="H15" s="1567"/>
      <c r="I15" s="1567">
        <f>'[4]HF-HP2'!AA36</f>
        <v>3295343</v>
      </c>
      <c r="J15" s="1571">
        <f>ОУ2012!L10+(ОДХ!C8/1000)</f>
        <v>48450346.609999999</v>
      </c>
      <c r="K15" s="1571">
        <f>ОУ2012!L10+ОДХ!D8/1000</f>
        <v>48450346.609999999</v>
      </c>
      <c r="L15" s="1571"/>
      <c r="M15" s="1562"/>
      <c r="N15" s="1571"/>
      <c r="O15" s="1571"/>
      <c r="P15" s="1562"/>
      <c r="Q15" s="1562">
        <f t="shared" si="3"/>
        <v>51745689.609999999</v>
      </c>
    </row>
    <row r="16" spans="1:17" s="1527" customFormat="1" ht="22.5">
      <c r="A16" s="1563" t="s">
        <v>421</v>
      </c>
      <c r="B16" s="1564" t="s">
        <v>422</v>
      </c>
      <c r="C16" s="1565">
        <f t="shared" si="0"/>
        <v>0</v>
      </c>
      <c r="D16" s="1573"/>
      <c r="E16" s="1567"/>
      <c r="F16" s="1565"/>
      <c r="G16" s="1567"/>
      <c r="H16" s="1567"/>
      <c r="I16" s="1567"/>
      <c r="J16" s="1571">
        <f>ОУ2012!L8+ОУ2012!L17+ОУ2012!J4</f>
        <v>4794310</v>
      </c>
      <c r="K16" s="1571">
        <f>ОУ2012!J4+ОУ2012!L8+ОУ2012!L17</f>
        <v>4794310</v>
      </c>
      <c r="L16" s="1571"/>
      <c r="M16" s="1562"/>
      <c r="N16" s="1571"/>
      <c r="O16" s="1571"/>
      <c r="P16" s="1562"/>
      <c r="Q16" s="1562">
        <f t="shared" si="3"/>
        <v>4794310</v>
      </c>
    </row>
    <row r="17" spans="1:17" s="1527" customFormat="1" ht="33.75">
      <c r="A17" s="1563" t="s">
        <v>689</v>
      </c>
      <c r="B17" s="1564" t="s">
        <v>2735</v>
      </c>
      <c r="C17" s="1562"/>
      <c r="D17" s="1570"/>
      <c r="E17" s="1571"/>
      <c r="F17" s="1562"/>
      <c r="G17" s="1571"/>
      <c r="H17" s="1571"/>
      <c r="I17" s="1571"/>
      <c r="J17" s="1571"/>
      <c r="K17" s="1571"/>
      <c r="L17" s="1571"/>
      <c r="M17" s="1562"/>
      <c r="N17" s="1571"/>
      <c r="O17" s="1571"/>
      <c r="P17" s="1562"/>
      <c r="Q17" s="1562"/>
    </row>
    <row r="18" spans="1:17" s="1518" customFormat="1" ht="33.75">
      <c r="A18" s="1560" t="s">
        <v>446</v>
      </c>
      <c r="B18" s="1561" t="s">
        <v>448</v>
      </c>
      <c r="C18" s="1562">
        <f>D18+E18</f>
        <v>44248581.493299603</v>
      </c>
      <c r="D18" s="1562">
        <f>D19+D20+D21</f>
        <v>44248581.493299603</v>
      </c>
      <c r="E18" s="1562"/>
      <c r="F18" s="1562"/>
      <c r="G18" s="1562"/>
      <c r="H18" s="1562"/>
      <c r="I18" s="1562"/>
      <c r="J18" s="1562">
        <f>K18</f>
        <v>48450346.609999999</v>
      </c>
      <c r="K18" s="1562">
        <f>'HF-HP'!K21+ОУ2012!L10</f>
        <v>48450346.609999999</v>
      </c>
      <c r="L18" s="1562"/>
      <c r="M18" s="1562"/>
      <c r="N18" s="1562"/>
      <c r="O18" s="1562"/>
      <c r="P18" s="1562"/>
      <c r="Q18" s="1562">
        <f t="shared" si="3"/>
        <v>92698928.103299603</v>
      </c>
    </row>
    <row r="19" spans="1:17" s="1527" customFormat="1" ht="90">
      <c r="A19" s="1563" t="s">
        <v>449</v>
      </c>
      <c r="B19" s="1564" t="s">
        <v>451</v>
      </c>
      <c r="C19" s="1562">
        <f t="shared" si="0"/>
        <v>26491571.493299607</v>
      </c>
      <c r="D19" s="1571">
        <f>'[4]HF-HP2'!C48</f>
        <v>26491571.493299607</v>
      </c>
      <c r="E19" s="1571"/>
      <c r="F19" s="1562"/>
      <c r="G19" s="1571"/>
      <c r="H19" s="1571"/>
      <c r="I19" s="1571"/>
      <c r="J19" s="1571"/>
      <c r="K19" s="1571"/>
      <c r="L19" s="1571"/>
      <c r="M19" s="1562"/>
      <c r="N19" s="1571"/>
      <c r="O19" s="1571"/>
      <c r="P19" s="1562"/>
      <c r="Q19" s="1562">
        <f t="shared" si="3"/>
        <v>26491571.493299607</v>
      </c>
    </row>
    <row r="20" spans="1:17" s="1527" customFormat="1" ht="33.75">
      <c r="A20" s="1563" t="s">
        <v>467</v>
      </c>
      <c r="B20" s="1564" t="s">
        <v>454</v>
      </c>
      <c r="C20" s="1562"/>
      <c r="D20" s="1574"/>
      <c r="E20" s="1571"/>
      <c r="F20" s="1562"/>
      <c r="G20" s="1571"/>
      <c r="H20" s="1571"/>
      <c r="I20" s="1571"/>
      <c r="J20" s="1571"/>
      <c r="K20" s="1571"/>
      <c r="L20" s="1571"/>
      <c r="M20" s="1562"/>
      <c r="N20" s="1571"/>
      <c r="O20" s="1571"/>
      <c r="P20" s="1562"/>
      <c r="Q20" s="1562"/>
    </row>
    <row r="21" spans="1:17" s="1527" customFormat="1" ht="22.5">
      <c r="A21" s="1563" t="s">
        <v>478</v>
      </c>
      <c r="B21" s="1564" t="s">
        <v>2736</v>
      </c>
      <c r="C21" s="1562"/>
      <c r="D21" s="1574">
        <f>'[4]HF-HP2'!C50</f>
        <v>17757010</v>
      </c>
      <c r="E21" s="1571"/>
      <c r="F21" s="1562"/>
      <c r="G21" s="1571"/>
      <c r="H21" s="1571"/>
      <c r="I21" s="1571"/>
      <c r="J21" s="1571">
        <f>ОДХ!C8/1000</f>
        <v>32179038.609999999</v>
      </c>
      <c r="K21" s="1571">
        <f>ОДХ!C8/1000</f>
        <v>32179038.609999999</v>
      </c>
      <c r="L21" s="1571"/>
      <c r="M21" s="1562"/>
      <c r="N21" s="1571"/>
      <c r="O21" s="1571"/>
      <c r="P21" s="1562"/>
      <c r="Q21" s="1562"/>
    </row>
    <row r="22" spans="1:17" s="1518" customFormat="1" ht="33.75">
      <c r="A22" s="1560" t="s">
        <v>458</v>
      </c>
      <c r="B22" s="1561" t="s">
        <v>813</v>
      </c>
      <c r="C22" s="1562">
        <f t="shared" si="0"/>
        <v>37086094</v>
      </c>
      <c r="D22" s="1562">
        <f>D23+D24+D25</f>
        <v>37086094</v>
      </c>
      <c r="E22" s="1562"/>
      <c r="F22" s="1562"/>
      <c r="G22" s="1562"/>
      <c r="H22" s="1562"/>
      <c r="I22" s="1562"/>
      <c r="J22" s="1562">
        <f>K22</f>
        <v>150826800</v>
      </c>
      <c r="K22" s="1562">
        <f>K23+K24</f>
        <v>150826800</v>
      </c>
      <c r="L22" s="1562"/>
      <c r="M22" s="1562"/>
      <c r="N22" s="1562"/>
      <c r="O22" s="1562"/>
      <c r="P22" s="1562"/>
      <c r="Q22" s="1562">
        <f t="shared" si="3"/>
        <v>187912894</v>
      </c>
    </row>
    <row r="23" spans="1:17" s="1527" customFormat="1">
      <c r="A23" s="1563" t="s">
        <v>460</v>
      </c>
      <c r="B23" s="1564" t="s">
        <v>462</v>
      </c>
      <c r="C23" s="1562">
        <f t="shared" si="0"/>
        <v>37086094</v>
      </c>
      <c r="D23" s="1571">
        <f>'[4]HF-HP2'!D52</f>
        <v>37086094</v>
      </c>
      <c r="E23" s="1571"/>
      <c r="F23" s="1562"/>
      <c r="G23" s="1571"/>
      <c r="H23" s="1571"/>
      <c r="I23" s="1571"/>
      <c r="J23" s="1571"/>
      <c r="K23" s="1571">
        <f>'Розница ЛС'!J26*1000</f>
        <v>118698700</v>
      </c>
      <c r="L23" s="1571"/>
      <c r="M23" s="1562"/>
      <c r="N23" s="1571"/>
      <c r="O23" s="1571"/>
      <c r="P23" s="1562"/>
      <c r="Q23" s="1562">
        <f t="shared" si="3"/>
        <v>37086094</v>
      </c>
    </row>
    <row r="24" spans="1:17" s="1527" customFormat="1" ht="78.75">
      <c r="A24" s="1563" t="s">
        <v>464</v>
      </c>
      <c r="B24" s="1564" t="s">
        <v>466</v>
      </c>
      <c r="C24" s="1562"/>
      <c r="D24" s="1574"/>
      <c r="E24" s="1571"/>
      <c r="F24" s="1562"/>
      <c r="G24" s="1571"/>
      <c r="H24" s="1571"/>
      <c r="I24" s="1571"/>
      <c r="J24" s="1571"/>
      <c r="K24" s="1571">
        <f>'Розница ЛС'!J27*1000</f>
        <v>32128100</v>
      </c>
      <c r="L24" s="1571"/>
      <c r="M24" s="1562"/>
      <c r="N24" s="1571"/>
      <c r="O24" s="1571"/>
      <c r="P24" s="1562"/>
      <c r="Q24" s="1562">
        <f t="shared" si="3"/>
        <v>0</v>
      </c>
    </row>
    <row r="25" spans="1:17" s="1527" customFormat="1" ht="78.75">
      <c r="A25" s="1563" t="s">
        <v>2737</v>
      </c>
      <c r="B25" s="1575" t="s">
        <v>2738</v>
      </c>
      <c r="C25" s="1562"/>
      <c r="D25" s="1574"/>
      <c r="E25" s="1571"/>
      <c r="F25" s="1562"/>
      <c r="G25" s="1571"/>
      <c r="H25" s="1571"/>
      <c r="I25" s="1571"/>
      <c r="J25" s="1571"/>
      <c r="K25" s="1571"/>
      <c r="L25" s="1571"/>
      <c r="M25" s="1562"/>
      <c r="N25" s="1571"/>
      <c r="O25" s="1571"/>
      <c r="P25" s="1562"/>
      <c r="Q25" s="1562">
        <f t="shared" si="3"/>
        <v>0</v>
      </c>
    </row>
    <row r="26" spans="1:17" s="1518" customFormat="1" ht="45">
      <c r="A26" s="1560" t="s">
        <v>480</v>
      </c>
      <c r="B26" s="1561" t="s">
        <v>482</v>
      </c>
      <c r="C26" s="1562">
        <f t="shared" si="0"/>
        <v>4976244</v>
      </c>
      <c r="D26" s="1562">
        <f>'[4]HF-HP2'!D57</f>
        <v>4976244</v>
      </c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>
        <f t="shared" si="3"/>
        <v>4976244</v>
      </c>
    </row>
    <row r="27" spans="1:17" s="1518" customFormat="1" ht="33.75">
      <c r="A27" s="1560" t="s">
        <v>483</v>
      </c>
      <c r="B27" s="1561" t="s">
        <v>485</v>
      </c>
      <c r="C27" s="1562">
        <f t="shared" si="0"/>
        <v>24790893.700000003</v>
      </c>
      <c r="D27" s="1562">
        <f>D28+D29+D30+D31</f>
        <v>24790893.700000003</v>
      </c>
      <c r="E27" s="1562"/>
      <c r="F27" s="1562">
        <f>I27+G27</f>
        <v>4658843</v>
      </c>
      <c r="G27" s="1562">
        <f>G28+G29+G30+G31</f>
        <v>4658843</v>
      </c>
      <c r="H27" s="1562"/>
      <c r="I27" s="1562">
        <f>I28+I29+I30+I31</f>
        <v>0</v>
      </c>
      <c r="J27" s="1562"/>
      <c r="K27" s="1562"/>
      <c r="L27" s="1562"/>
      <c r="M27" s="1562"/>
      <c r="N27" s="1562"/>
      <c r="O27" s="1562"/>
      <c r="P27" s="1562"/>
      <c r="Q27" s="1562">
        <f t="shared" si="3"/>
        <v>29449736.700000003</v>
      </c>
    </row>
    <row r="28" spans="1:17" s="1527" customFormat="1" ht="45">
      <c r="A28" s="1563" t="s">
        <v>488</v>
      </c>
      <c r="B28" s="1564" t="s">
        <v>490</v>
      </c>
      <c r="C28" s="1562">
        <f t="shared" si="0"/>
        <v>24790893.700000003</v>
      </c>
      <c r="D28" s="1571">
        <f>'[4]HF-HP2'!D59</f>
        <v>24790893.700000003</v>
      </c>
      <c r="E28" s="1571"/>
      <c r="F28" s="1562"/>
      <c r="G28" s="1571"/>
      <c r="H28" s="1571"/>
      <c r="I28" s="1571"/>
      <c r="J28" s="1571"/>
      <c r="K28" s="1571"/>
      <c r="L28" s="1571"/>
      <c r="M28" s="1562"/>
      <c r="N28" s="1571"/>
      <c r="O28" s="1571"/>
      <c r="P28" s="1562"/>
      <c r="Q28" s="1562">
        <f t="shared" si="3"/>
        <v>24790893.700000003</v>
      </c>
    </row>
    <row r="29" spans="1:17" s="1527" customFormat="1" ht="33.75">
      <c r="A29" s="1563" t="s">
        <v>522</v>
      </c>
      <c r="B29" s="1564" t="s">
        <v>2739</v>
      </c>
      <c r="C29" s="1562"/>
      <c r="D29" s="1574"/>
      <c r="E29" s="1571"/>
      <c r="F29" s="1562"/>
      <c r="G29" s="1571"/>
      <c r="H29" s="1571"/>
      <c r="I29" s="1571"/>
      <c r="J29" s="1571"/>
      <c r="K29" s="1571"/>
      <c r="L29" s="1571"/>
      <c r="M29" s="1562"/>
      <c r="N29" s="1571"/>
      <c r="O29" s="1571"/>
      <c r="P29" s="1562"/>
      <c r="Q29" s="1562"/>
    </row>
    <row r="30" spans="1:17" s="1527" customFormat="1" ht="33.75">
      <c r="A30" s="1563" t="s">
        <v>502</v>
      </c>
      <c r="B30" s="1564" t="s">
        <v>504</v>
      </c>
      <c r="C30" s="1562"/>
      <c r="D30" s="1574"/>
      <c r="E30" s="1571"/>
      <c r="F30" s="1562">
        <f>I30+G30</f>
        <v>4658843</v>
      </c>
      <c r="G30" s="1571">
        <f>'[4]HF-HP2'!Z58</f>
        <v>4658843</v>
      </c>
      <c r="H30" s="1571"/>
      <c r="I30" s="1571"/>
      <c r="J30" s="1571"/>
      <c r="K30" s="1571"/>
      <c r="L30" s="1571"/>
      <c r="M30" s="1562"/>
      <c r="N30" s="1571"/>
      <c r="O30" s="1571"/>
      <c r="P30" s="1562"/>
      <c r="Q30" s="1562">
        <f t="shared" si="3"/>
        <v>4658843</v>
      </c>
    </row>
    <row r="31" spans="1:17" s="1527" customFormat="1" ht="45">
      <c r="A31" s="1563" t="s">
        <v>530</v>
      </c>
      <c r="B31" s="1564" t="s">
        <v>2740</v>
      </c>
      <c r="C31" s="1562"/>
      <c r="D31" s="1574"/>
      <c r="E31" s="1571"/>
      <c r="F31" s="1562"/>
      <c r="G31" s="1571"/>
      <c r="H31" s="1571"/>
      <c r="I31" s="1571"/>
      <c r="J31" s="1571"/>
      <c r="K31" s="1571"/>
      <c r="L31" s="1571"/>
      <c r="M31" s="1562"/>
      <c r="N31" s="1571"/>
      <c r="O31" s="1571"/>
      <c r="P31" s="1562"/>
      <c r="Q31" s="1562"/>
    </row>
    <row r="32" spans="1:17" s="1518" customFormat="1" ht="22.5">
      <c r="A32" s="1560" t="s">
        <v>516</v>
      </c>
      <c r="B32" s="1561" t="s">
        <v>517</v>
      </c>
      <c r="C32" s="1562">
        <f t="shared" si="0"/>
        <v>0</v>
      </c>
      <c r="D32" s="1562">
        <f t="shared" ref="D32" si="4">D34+D35+D33</f>
        <v>0</v>
      </c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>
        <f t="shared" si="3"/>
        <v>0</v>
      </c>
    </row>
    <row r="33" spans="1:17" s="1518" customFormat="1" ht="45">
      <c r="A33" s="1563" t="s">
        <v>540</v>
      </c>
      <c r="B33" s="1564" t="s">
        <v>2741</v>
      </c>
      <c r="C33" s="1562"/>
      <c r="D33" s="1574"/>
      <c r="E33" s="1571"/>
      <c r="F33" s="1562"/>
      <c r="G33" s="1571"/>
      <c r="H33" s="1571"/>
      <c r="I33" s="1571"/>
      <c r="J33" s="1571"/>
      <c r="K33" s="1571"/>
      <c r="L33" s="1571"/>
      <c r="M33" s="1562"/>
      <c r="N33" s="1571"/>
      <c r="O33" s="1571"/>
      <c r="P33" s="1562"/>
      <c r="Q33" s="1562"/>
    </row>
    <row r="34" spans="1:17" s="1527" customFormat="1" ht="67.5">
      <c r="A34" s="1563" t="s">
        <v>527</v>
      </c>
      <c r="B34" s="1564" t="s">
        <v>529</v>
      </c>
      <c r="C34" s="1562">
        <f t="shared" si="0"/>
        <v>0</v>
      </c>
      <c r="D34" s="1574"/>
      <c r="E34" s="1571"/>
      <c r="F34" s="1562"/>
      <c r="G34" s="1571"/>
      <c r="H34" s="1571"/>
      <c r="I34" s="1571"/>
      <c r="J34" s="1571"/>
      <c r="K34" s="1571"/>
      <c r="L34" s="1571"/>
      <c r="M34" s="1562"/>
      <c r="N34" s="1571"/>
      <c r="O34" s="1571"/>
      <c r="P34" s="1562"/>
      <c r="Q34" s="1562">
        <f t="shared" si="3"/>
        <v>0</v>
      </c>
    </row>
    <row r="35" spans="1:17" s="1527" customFormat="1">
      <c r="A35" s="1563" t="s">
        <v>535</v>
      </c>
      <c r="B35" s="1564" t="s">
        <v>536</v>
      </c>
      <c r="C35" s="1562">
        <f t="shared" si="0"/>
        <v>0</v>
      </c>
      <c r="D35" s="1574"/>
      <c r="E35" s="1571"/>
      <c r="F35" s="1562"/>
      <c r="G35" s="1571"/>
      <c r="H35" s="1571"/>
      <c r="I35" s="1571"/>
      <c r="J35" s="1571"/>
      <c r="K35" s="1571"/>
      <c r="L35" s="1571"/>
      <c r="M35" s="1562"/>
      <c r="N35" s="1571"/>
      <c r="O35" s="1571"/>
      <c r="P35" s="1562"/>
      <c r="Q35" s="1562">
        <f t="shared" si="3"/>
        <v>0</v>
      </c>
    </row>
    <row r="36" spans="1:17" s="1518" customFormat="1">
      <c r="A36" s="1560" t="s">
        <v>568</v>
      </c>
      <c r="B36" s="1561" t="s">
        <v>40</v>
      </c>
      <c r="C36" s="1562">
        <f t="shared" si="0"/>
        <v>2557219</v>
      </c>
      <c r="D36" s="1562">
        <f>'[4]HF-HP2'!D72</f>
        <v>2557219</v>
      </c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>
        <f t="shared" si="3"/>
        <v>2557219</v>
      </c>
    </row>
    <row r="37" spans="1:17" s="1518" customFormat="1" ht="21" customHeight="1">
      <c r="A37" s="1576" t="s">
        <v>2742</v>
      </c>
      <c r="B37" s="1561" t="s">
        <v>2743</v>
      </c>
      <c r="C37" s="1562">
        <f t="shared" si="0"/>
        <v>31940521.800000001</v>
      </c>
      <c r="D37" s="1562">
        <f>'HF-HP2'!C75+'HF-HP2'!C73+'HF-HP2'!D72</f>
        <v>31940521.800000001</v>
      </c>
      <c r="E37" s="1562"/>
      <c r="F37" s="1562">
        <f>G37+I37</f>
        <v>8793121</v>
      </c>
      <c r="G37" s="1562"/>
      <c r="H37" s="1562"/>
      <c r="I37" s="1562">
        <f>'HF-HP2'!AA73</f>
        <v>8793121</v>
      </c>
      <c r="J37" s="1562"/>
      <c r="K37" s="1562"/>
      <c r="L37" s="1562"/>
      <c r="M37" s="1562">
        <f>O37+N37</f>
        <v>501242.59221841913</v>
      </c>
      <c r="N37" s="1562"/>
      <c r="O37" s="1577">
        <f>'[4]HF-HP2'!AF57</f>
        <v>501242.59221841913</v>
      </c>
      <c r="P37" s="1562"/>
      <c r="Q37" s="1562">
        <f>C37+F37+J37+M37+P37</f>
        <v>41234885.392218418</v>
      </c>
    </row>
    <row r="38" spans="1:17" s="1518" customFormat="1" ht="30.95" customHeight="1">
      <c r="A38" s="1644" t="s">
        <v>1211</v>
      </c>
      <c r="B38" s="1645"/>
      <c r="C38" s="1562">
        <f t="shared" ref="C38" si="5">C37+C36+C32+C27+C26+C22+C18+C12+C8+C4</f>
        <v>641979938.756078</v>
      </c>
      <c r="D38" s="1562">
        <f>D37+D36+D32+D27+D26+D22+D18+D12+D8+D4</f>
        <v>641979938.756078</v>
      </c>
      <c r="E38" s="1562"/>
      <c r="F38" s="1562">
        <f>F37+F36+F32+F27+F26+F22+F18+F12+F8+F4</f>
        <v>30325233</v>
      </c>
      <c r="G38" s="1562">
        <f>G37+G36+G32+G27+G26+G22+G18+G12+G8+G4</f>
        <v>4658843</v>
      </c>
      <c r="H38" s="1562"/>
      <c r="I38" s="1562">
        <f>I37+I36+I32+I27+I26+I22+I18+I12+I8+I4</f>
        <v>25666390</v>
      </c>
      <c r="J38" s="1562">
        <f>J37+J36+J32+J27+J26+J22+J18+J12+J8+J4</f>
        <v>265752910.40600002</v>
      </c>
      <c r="K38" s="1562"/>
      <c r="L38" s="1562"/>
      <c r="M38" s="1562">
        <f>M37+M5</f>
        <v>583028.59221841907</v>
      </c>
      <c r="N38" s="1562"/>
      <c r="O38" s="1562">
        <f>O37+O36+O32+O27+O26+O22+O18+O12+O8+O4</f>
        <v>583028.59221841907</v>
      </c>
      <c r="P38" s="1562"/>
      <c r="Q38" s="1562">
        <f>Q37+Q36+Q32+Q27+Q26+Q22+Q18+Q12+Q8+Q4</f>
        <v>938641110.7542963</v>
      </c>
    </row>
    <row r="39" spans="1:17" s="1555" customFormat="1">
      <c r="A39" s="1578"/>
      <c r="B39" s="1579"/>
      <c r="C39" s="1578"/>
      <c r="D39" s="1578"/>
      <c r="E39" s="1578"/>
      <c r="F39" s="1580"/>
      <c r="G39" s="1580"/>
      <c r="H39" s="1580"/>
      <c r="I39" s="1580"/>
      <c r="J39" s="1580"/>
      <c r="K39" s="1580"/>
      <c r="L39" s="1580"/>
      <c r="M39" s="1580"/>
      <c r="N39" s="1580"/>
      <c r="O39" s="1580"/>
      <c r="P39" s="1580"/>
      <c r="Q39" s="1580"/>
    </row>
    <row r="40" spans="1:17" s="1555" customFormat="1">
      <c r="A40" s="1578"/>
      <c r="B40" s="1579"/>
      <c r="C40" s="1578"/>
      <c r="D40" s="1578"/>
      <c r="E40" s="1578"/>
      <c r="F40" s="1580"/>
      <c r="G40" s="1580"/>
      <c r="H40" s="1580"/>
      <c r="I40" s="1580"/>
      <c r="J40" s="1580"/>
      <c r="K40" s="1580"/>
      <c r="L40" s="1580"/>
      <c r="M40" s="1580"/>
      <c r="N40" s="1580"/>
      <c r="O40" s="1580"/>
      <c r="P40" s="1580"/>
      <c r="Q40" s="1580"/>
    </row>
    <row r="41" spans="1:17" s="1555" customFormat="1">
      <c r="A41" s="1578"/>
      <c r="B41" s="1579"/>
      <c r="C41" s="1578"/>
      <c r="D41" s="1578"/>
      <c r="E41" s="1578"/>
      <c r="F41" s="1580"/>
      <c r="G41" s="1580"/>
      <c r="H41" s="1580"/>
      <c r="I41" s="1580"/>
      <c r="J41" s="1580"/>
      <c r="K41" s="1580"/>
      <c r="L41" s="1580"/>
      <c r="M41" s="1580"/>
      <c r="N41" s="1580"/>
      <c r="O41" s="1580"/>
      <c r="P41" s="1580"/>
      <c r="Q41" s="1580"/>
    </row>
    <row r="42" spans="1:17" s="1555" customFormat="1">
      <c r="A42" s="1578"/>
      <c r="B42" s="1579"/>
      <c r="C42" s="1578"/>
      <c r="D42" s="1578"/>
      <c r="E42" s="1578"/>
      <c r="F42" s="1580"/>
      <c r="G42" s="1580"/>
      <c r="H42" s="1580"/>
      <c r="I42" s="1580"/>
      <c r="J42" s="1580"/>
      <c r="K42" s="1580"/>
      <c r="L42" s="1580"/>
      <c r="M42" s="1580"/>
      <c r="N42" s="1580"/>
      <c r="O42" s="1580"/>
      <c r="P42" s="1580"/>
      <c r="Q42" s="1580"/>
    </row>
    <row r="43" spans="1:17" s="1555" customFormat="1">
      <c r="A43" s="1578"/>
      <c r="B43" s="1579"/>
      <c r="C43" s="1578"/>
      <c r="D43" s="1578"/>
      <c r="E43" s="1578"/>
      <c r="F43" s="1580"/>
      <c r="G43" s="1580"/>
      <c r="H43" s="1580"/>
      <c r="I43" s="1580"/>
      <c r="J43" s="1580"/>
      <c r="K43" s="1580"/>
      <c r="L43" s="1580"/>
      <c r="M43" s="1580"/>
      <c r="N43" s="1580"/>
      <c r="O43" s="1580"/>
      <c r="P43" s="1580"/>
      <c r="Q43" s="1580"/>
    </row>
    <row r="44" spans="1:17" s="1555" customFormat="1">
      <c r="A44" s="1578"/>
      <c r="B44" s="1579"/>
      <c r="C44" s="1578"/>
      <c r="D44" s="1578"/>
      <c r="E44" s="1578"/>
      <c r="F44" s="1580"/>
      <c r="G44" s="1580"/>
      <c r="H44" s="1580"/>
      <c r="I44" s="1580"/>
      <c r="J44" s="1580"/>
      <c r="K44" s="1580"/>
      <c r="L44" s="1580"/>
      <c r="M44" s="1580"/>
      <c r="N44" s="1580"/>
      <c r="O44" s="1580"/>
      <c r="P44" s="1580"/>
      <c r="Q44" s="1580"/>
    </row>
    <row r="45" spans="1:17" s="1555" customFormat="1">
      <c r="A45" s="1578"/>
      <c r="B45" s="1579"/>
      <c r="C45" s="1578"/>
      <c r="D45" s="1578"/>
      <c r="E45" s="1578"/>
      <c r="F45" s="1580"/>
      <c r="G45" s="1580"/>
      <c r="H45" s="1580"/>
      <c r="I45" s="1580"/>
      <c r="J45" s="1580"/>
      <c r="K45" s="1580"/>
      <c r="L45" s="1580"/>
      <c r="M45" s="1580"/>
      <c r="N45" s="1580"/>
      <c r="O45" s="1580"/>
      <c r="P45" s="1580"/>
      <c r="Q45" s="1580"/>
    </row>
    <row r="46" spans="1:17" s="1555" customFormat="1">
      <c r="A46" s="1578"/>
      <c r="B46" s="1579"/>
      <c r="C46" s="1578"/>
      <c r="D46" s="1578"/>
      <c r="E46" s="1578"/>
      <c r="F46" s="1580"/>
      <c r="G46" s="1580"/>
      <c r="H46" s="1580"/>
      <c r="I46" s="1580"/>
      <c r="J46" s="1580"/>
      <c r="K46" s="1580"/>
      <c r="L46" s="1580"/>
      <c r="M46" s="1580"/>
      <c r="N46" s="1580"/>
      <c r="O46" s="1580"/>
      <c r="P46" s="1580"/>
      <c r="Q46" s="1580"/>
    </row>
    <row r="47" spans="1:17" s="1555" customFormat="1">
      <c r="A47" s="1578"/>
      <c r="B47" s="1579"/>
      <c r="C47" s="1578"/>
      <c r="D47" s="1578"/>
      <c r="E47" s="1578"/>
      <c r="F47" s="1580"/>
      <c r="G47" s="1580"/>
      <c r="H47" s="1580"/>
      <c r="I47" s="1580"/>
      <c r="J47" s="1580"/>
      <c r="K47" s="1580"/>
      <c r="L47" s="1580"/>
      <c r="M47" s="1580"/>
      <c r="N47" s="1580"/>
      <c r="O47" s="1580"/>
      <c r="P47" s="1580"/>
      <c r="Q47" s="1580"/>
    </row>
    <row r="48" spans="1:17" s="1555" customFormat="1">
      <c r="A48" s="1578"/>
      <c r="B48" s="1579"/>
      <c r="C48" s="1578"/>
      <c r="D48" s="1578"/>
      <c r="E48" s="1578"/>
      <c r="F48" s="1580"/>
      <c r="G48" s="1580"/>
      <c r="H48" s="1580"/>
      <c r="I48" s="1580"/>
      <c r="J48" s="1580"/>
      <c r="K48" s="1580"/>
      <c r="L48" s="1580"/>
      <c r="M48" s="1580"/>
      <c r="N48" s="1580"/>
      <c r="O48" s="1580"/>
      <c r="P48" s="1580"/>
      <c r="Q48" s="1580"/>
    </row>
    <row r="49" spans="1:17" s="1555" customFormat="1">
      <c r="A49" s="1578"/>
      <c r="B49" s="1579"/>
      <c r="C49" s="1578"/>
      <c r="D49" s="1578"/>
      <c r="E49" s="1578"/>
      <c r="F49" s="1580"/>
      <c r="G49" s="1580"/>
      <c r="H49" s="1580"/>
      <c r="I49" s="1580"/>
      <c r="J49" s="1580"/>
      <c r="K49" s="1580"/>
      <c r="L49" s="1580"/>
      <c r="M49" s="1580"/>
      <c r="N49" s="1580"/>
      <c r="O49" s="1580"/>
      <c r="P49" s="1580"/>
      <c r="Q49" s="1580"/>
    </row>
    <row r="50" spans="1:17" s="1555" customFormat="1">
      <c r="A50" s="1578"/>
      <c r="B50" s="1579"/>
      <c r="C50" s="1578"/>
      <c r="D50" s="1578"/>
      <c r="E50" s="1578"/>
      <c r="F50" s="1580"/>
      <c r="G50" s="1580"/>
      <c r="H50" s="1580"/>
      <c r="I50" s="1580"/>
      <c r="J50" s="1580"/>
      <c r="K50" s="1580"/>
      <c r="L50" s="1580"/>
      <c r="M50" s="1580"/>
      <c r="N50" s="1580"/>
      <c r="O50" s="1580"/>
      <c r="P50" s="1580"/>
      <c r="Q50" s="1580"/>
    </row>
    <row r="51" spans="1:17" s="1555" customFormat="1">
      <c r="A51" s="1578"/>
      <c r="B51" s="1579"/>
      <c r="C51" s="1578"/>
      <c r="D51" s="1578"/>
      <c r="E51" s="1578"/>
      <c r="F51" s="1580"/>
      <c r="G51" s="1580"/>
      <c r="H51" s="1580"/>
      <c r="I51" s="1580"/>
      <c r="J51" s="1580"/>
      <c r="K51" s="1580"/>
      <c r="L51" s="1580"/>
      <c r="M51" s="1580"/>
      <c r="N51" s="1580"/>
      <c r="O51" s="1580"/>
      <c r="P51" s="1580"/>
      <c r="Q51" s="1580"/>
    </row>
    <row r="52" spans="1:17">
      <c r="J52" s="1580"/>
    </row>
    <row r="53" spans="1:17">
      <c r="J53" s="1580"/>
    </row>
    <row r="54" spans="1:17">
      <c r="J54" s="1580"/>
    </row>
    <row r="55" spans="1:17">
      <c r="J55" s="1580"/>
    </row>
    <row r="56" spans="1:17">
      <c r="J56" s="1580"/>
    </row>
    <row r="57" spans="1:17">
      <c r="J57" s="1580"/>
    </row>
    <row r="58" spans="1:17">
      <c r="J58" s="1580"/>
    </row>
    <row r="59" spans="1:17">
      <c r="J59" s="1580"/>
    </row>
    <row r="60" spans="1:17">
      <c r="J60" s="1580"/>
    </row>
    <row r="61" spans="1:17">
      <c r="J61" s="1580"/>
    </row>
    <row r="62" spans="1:17">
      <c r="J62" s="1580"/>
    </row>
    <row r="63" spans="1:17">
      <c r="J63" s="1580"/>
    </row>
    <row r="64" spans="1:17">
      <c r="J64" s="1580"/>
    </row>
    <row r="65" spans="10:10">
      <c r="J65" s="1580"/>
    </row>
    <row r="66" spans="10:10">
      <c r="J66" s="1580"/>
    </row>
    <row r="67" spans="10:10">
      <c r="J67" s="1580"/>
    </row>
    <row r="68" spans="10:10">
      <c r="J68" s="1580"/>
    </row>
    <row r="69" spans="10:10">
      <c r="J69" s="1580"/>
    </row>
    <row r="70" spans="10:10">
      <c r="J70" s="1580"/>
    </row>
    <row r="71" spans="10:10">
      <c r="J71" s="1580"/>
    </row>
    <row r="72" spans="10:10">
      <c r="J72" s="1580"/>
    </row>
    <row r="73" spans="10:10">
      <c r="J73" s="1580"/>
    </row>
    <row r="74" spans="10:10">
      <c r="J74" s="1580"/>
    </row>
    <row r="75" spans="10:10">
      <c r="J75" s="1580"/>
    </row>
    <row r="76" spans="10:10">
      <c r="J76" s="1580"/>
    </row>
    <row r="77" spans="10:10">
      <c r="J77" s="1580"/>
    </row>
    <row r="78" spans="10:10">
      <c r="J78" s="1580"/>
    </row>
    <row r="79" spans="10:10">
      <c r="J79" s="1580"/>
    </row>
    <row r="80" spans="10:10">
      <c r="J80" s="1580"/>
    </row>
    <row r="81" spans="10:10">
      <c r="J81" s="1580"/>
    </row>
    <row r="82" spans="10:10">
      <c r="J82" s="1580"/>
    </row>
    <row r="83" spans="10:10">
      <c r="J83" s="1580"/>
    </row>
    <row r="84" spans="10:10">
      <c r="J84" s="1580"/>
    </row>
    <row r="85" spans="10:10">
      <c r="J85" s="1580"/>
    </row>
    <row r="86" spans="10:10">
      <c r="J86" s="1580"/>
    </row>
    <row r="87" spans="10:10">
      <c r="J87" s="1580"/>
    </row>
    <row r="88" spans="10:10">
      <c r="J88" s="1580"/>
    </row>
    <row r="89" spans="10:10">
      <c r="J89" s="1580"/>
    </row>
    <row r="90" spans="10:10">
      <c r="J90" s="1580"/>
    </row>
    <row r="91" spans="10:10">
      <c r="J91" s="1580"/>
    </row>
    <row r="92" spans="10:10">
      <c r="J92" s="1580"/>
    </row>
    <row r="93" spans="10:10">
      <c r="J93" s="1580"/>
    </row>
    <row r="94" spans="10:10">
      <c r="J94" s="1580"/>
    </row>
    <row r="95" spans="10:10">
      <c r="J95" s="1580"/>
    </row>
    <row r="96" spans="10:10">
      <c r="J96" s="1580"/>
    </row>
    <row r="97" spans="10:10">
      <c r="J97" s="1580"/>
    </row>
    <row r="98" spans="10:10">
      <c r="J98" s="1580"/>
    </row>
    <row r="99" spans="10:10">
      <c r="J99" s="1580"/>
    </row>
    <row r="100" spans="10:10">
      <c r="J100" s="1580"/>
    </row>
  </sheetData>
  <sheetProtection selectLockedCells="1" selectUnlockedCells="1"/>
  <mergeCells count="7">
    <mergeCell ref="P1:P2"/>
    <mergeCell ref="Q1:Q3"/>
    <mergeCell ref="A38:B38"/>
    <mergeCell ref="A1:B3"/>
    <mergeCell ref="C1:E1"/>
    <mergeCell ref="F1:L1"/>
    <mergeCell ref="M1:O1"/>
  </mergeCells>
  <printOptions horizontalCentered="1"/>
  <pageMargins left="0.11811023622047245" right="0.11811023622047245" top="0.94488188976377963" bottom="0.15748031496062992" header="0.31496062992125984" footer="0.31496062992125984"/>
  <pageSetup paperSize="9" scale="31" firstPageNumber="108" orientation="landscape" useFirstPageNumber="1" r:id="rId1"/>
  <headerFooter scaleWithDoc="0">
    <oddHeader>&amp;R
Приложение 1.</oddHeader>
    <oddFooter>&amp;C&amp;P</oddFooter>
  </headerFooter>
  <rowBreaks count="1" manualBreakCount="1">
    <brk id="17" max="27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2"/>
  <sheetViews>
    <sheetView topLeftCell="A21" zoomScale="55" zoomScaleNormal="55" zoomScaleSheetLayoutView="90" workbookViewId="0">
      <selection activeCell="U29" sqref="U29"/>
    </sheetView>
  </sheetViews>
  <sheetFormatPr defaultRowHeight="15"/>
  <cols>
    <col min="1" max="1" width="6.28515625" style="898" bestFit="1" customWidth="1"/>
    <col min="2" max="2" width="57.28515625" style="898" customWidth="1"/>
    <col min="3" max="3" width="16.7109375" style="898" hidden="1" customWidth="1"/>
    <col min="4" max="5" width="16.5703125" style="898" hidden="1" customWidth="1"/>
    <col min="6" max="11" width="16.7109375" style="898" hidden="1" customWidth="1"/>
    <col min="12" max="12" width="18.140625" style="898" hidden="1" customWidth="1"/>
    <col min="13" max="13" width="17.7109375" style="898" hidden="1" customWidth="1"/>
    <col min="14" max="14" width="16.85546875" style="898" hidden="1" customWidth="1"/>
    <col min="15" max="16" width="16.5703125" style="898" hidden="1" customWidth="1"/>
    <col min="17" max="17" width="16" style="898" customWidth="1"/>
    <col min="18" max="18" width="20" style="898" customWidth="1"/>
    <col min="19" max="19" width="9.140625" style="898"/>
    <col min="20" max="20" width="12.28515625" style="898" customWidth="1"/>
    <col min="21" max="21" width="14.42578125" style="898" bestFit="1" customWidth="1"/>
    <col min="22" max="256" width="9.140625" style="898"/>
    <col min="257" max="257" width="6.28515625" style="898" bestFit="1" customWidth="1"/>
    <col min="258" max="258" width="57.28515625" style="898" customWidth="1"/>
    <col min="259" max="259" width="16.7109375" style="898" customWidth="1"/>
    <col min="260" max="261" width="16.5703125" style="898" customWidth="1"/>
    <col min="262" max="267" width="16.7109375" style="898" customWidth="1"/>
    <col min="268" max="268" width="18.140625" style="898" customWidth="1"/>
    <col min="269" max="269" width="17.7109375" style="898" customWidth="1"/>
    <col min="270" max="270" width="16.85546875" style="898" customWidth="1"/>
    <col min="271" max="272" width="16.5703125" style="898" customWidth="1"/>
    <col min="273" max="273" width="16" style="898" customWidth="1"/>
    <col min="274" max="274" width="9.140625" style="898" customWidth="1"/>
    <col min="275" max="512" width="9.140625" style="898"/>
    <col min="513" max="513" width="6.28515625" style="898" bestFit="1" customWidth="1"/>
    <col min="514" max="514" width="57.28515625" style="898" customWidth="1"/>
    <col min="515" max="515" width="16.7109375" style="898" customWidth="1"/>
    <col min="516" max="517" width="16.5703125" style="898" customWidth="1"/>
    <col min="518" max="523" width="16.7109375" style="898" customWidth="1"/>
    <col min="524" max="524" width="18.140625" style="898" customWidth="1"/>
    <col min="525" max="525" width="17.7109375" style="898" customWidth="1"/>
    <col min="526" max="526" width="16.85546875" style="898" customWidth="1"/>
    <col min="527" max="528" width="16.5703125" style="898" customWidth="1"/>
    <col min="529" max="529" width="16" style="898" customWidth="1"/>
    <col min="530" max="530" width="9.140625" style="898" customWidth="1"/>
    <col min="531" max="768" width="9.140625" style="898"/>
    <col min="769" max="769" width="6.28515625" style="898" bestFit="1" customWidth="1"/>
    <col min="770" max="770" width="57.28515625" style="898" customWidth="1"/>
    <col min="771" max="771" width="16.7109375" style="898" customWidth="1"/>
    <col min="772" max="773" width="16.5703125" style="898" customWidth="1"/>
    <col min="774" max="779" width="16.7109375" style="898" customWidth="1"/>
    <col min="780" max="780" width="18.140625" style="898" customWidth="1"/>
    <col min="781" max="781" width="17.7109375" style="898" customWidth="1"/>
    <col min="782" max="782" width="16.85546875" style="898" customWidth="1"/>
    <col min="783" max="784" width="16.5703125" style="898" customWidth="1"/>
    <col min="785" max="785" width="16" style="898" customWidth="1"/>
    <col min="786" max="786" width="9.140625" style="898" customWidth="1"/>
    <col min="787" max="1024" width="9.140625" style="898"/>
    <col min="1025" max="1025" width="6.28515625" style="898" bestFit="1" customWidth="1"/>
    <col min="1026" max="1026" width="57.28515625" style="898" customWidth="1"/>
    <col min="1027" max="1027" width="16.7109375" style="898" customWidth="1"/>
    <col min="1028" max="1029" width="16.5703125" style="898" customWidth="1"/>
    <col min="1030" max="1035" width="16.7109375" style="898" customWidth="1"/>
    <col min="1036" max="1036" width="18.140625" style="898" customWidth="1"/>
    <col min="1037" max="1037" width="17.7109375" style="898" customWidth="1"/>
    <col min="1038" max="1038" width="16.85546875" style="898" customWidth="1"/>
    <col min="1039" max="1040" width="16.5703125" style="898" customWidth="1"/>
    <col min="1041" max="1041" width="16" style="898" customWidth="1"/>
    <col min="1042" max="1042" width="9.140625" style="898" customWidth="1"/>
    <col min="1043" max="1280" width="9.140625" style="898"/>
    <col min="1281" max="1281" width="6.28515625" style="898" bestFit="1" customWidth="1"/>
    <col min="1282" max="1282" width="57.28515625" style="898" customWidth="1"/>
    <col min="1283" max="1283" width="16.7109375" style="898" customWidth="1"/>
    <col min="1284" max="1285" width="16.5703125" style="898" customWidth="1"/>
    <col min="1286" max="1291" width="16.7109375" style="898" customWidth="1"/>
    <col min="1292" max="1292" width="18.140625" style="898" customWidth="1"/>
    <col min="1293" max="1293" width="17.7109375" style="898" customWidth="1"/>
    <col min="1294" max="1294" width="16.85546875" style="898" customWidth="1"/>
    <col min="1295" max="1296" width="16.5703125" style="898" customWidth="1"/>
    <col min="1297" max="1297" width="16" style="898" customWidth="1"/>
    <col min="1298" max="1298" width="9.140625" style="898" customWidth="1"/>
    <col min="1299" max="1536" width="9.140625" style="898"/>
    <col min="1537" max="1537" width="6.28515625" style="898" bestFit="1" customWidth="1"/>
    <col min="1538" max="1538" width="57.28515625" style="898" customWidth="1"/>
    <col min="1539" max="1539" width="16.7109375" style="898" customWidth="1"/>
    <col min="1540" max="1541" width="16.5703125" style="898" customWidth="1"/>
    <col min="1542" max="1547" width="16.7109375" style="898" customWidth="1"/>
    <col min="1548" max="1548" width="18.140625" style="898" customWidth="1"/>
    <col min="1549" max="1549" width="17.7109375" style="898" customWidth="1"/>
    <col min="1550" max="1550" width="16.85546875" style="898" customWidth="1"/>
    <col min="1551" max="1552" width="16.5703125" style="898" customWidth="1"/>
    <col min="1553" max="1553" width="16" style="898" customWidth="1"/>
    <col min="1554" max="1554" width="9.140625" style="898" customWidth="1"/>
    <col min="1555" max="1792" width="9.140625" style="898"/>
    <col min="1793" max="1793" width="6.28515625" style="898" bestFit="1" customWidth="1"/>
    <col min="1794" max="1794" width="57.28515625" style="898" customWidth="1"/>
    <col min="1795" max="1795" width="16.7109375" style="898" customWidth="1"/>
    <col min="1796" max="1797" width="16.5703125" style="898" customWidth="1"/>
    <col min="1798" max="1803" width="16.7109375" style="898" customWidth="1"/>
    <col min="1804" max="1804" width="18.140625" style="898" customWidth="1"/>
    <col min="1805" max="1805" width="17.7109375" style="898" customWidth="1"/>
    <col min="1806" max="1806" width="16.85546875" style="898" customWidth="1"/>
    <col min="1807" max="1808" width="16.5703125" style="898" customWidth="1"/>
    <col min="1809" max="1809" width="16" style="898" customWidth="1"/>
    <col min="1810" max="1810" width="9.140625" style="898" customWidth="1"/>
    <col min="1811" max="2048" width="9.140625" style="898"/>
    <col min="2049" max="2049" width="6.28515625" style="898" bestFit="1" customWidth="1"/>
    <col min="2050" max="2050" width="57.28515625" style="898" customWidth="1"/>
    <col min="2051" max="2051" width="16.7109375" style="898" customWidth="1"/>
    <col min="2052" max="2053" width="16.5703125" style="898" customWidth="1"/>
    <col min="2054" max="2059" width="16.7109375" style="898" customWidth="1"/>
    <col min="2060" max="2060" width="18.140625" style="898" customWidth="1"/>
    <col min="2061" max="2061" width="17.7109375" style="898" customWidth="1"/>
    <col min="2062" max="2062" width="16.85546875" style="898" customWidth="1"/>
    <col min="2063" max="2064" width="16.5703125" style="898" customWidth="1"/>
    <col min="2065" max="2065" width="16" style="898" customWidth="1"/>
    <col min="2066" max="2066" width="9.140625" style="898" customWidth="1"/>
    <col min="2067" max="2304" width="9.140625" style="898"/>
    <col min="2305" max="2305" width="6.28515625" style="898" bestFit="1" customWidth="1"/>
    <col min="2306" max="2306" width="57.28515625" style="898" customWidth="1"/>
    <col min="2307" max="2307" width="16.7109375" style="898" customWidth="1"/>
    <col min="2308" max="2309" width="16.5703125" style="898" customWidth="1"/>
    <col min="2310" max="2315" width="16.7109375" style="898" customWidth="1"/>
    <col min="2316" max="2316" width="18.140625" style="898" customWidth="1"/>
    <col min="2317" max="2317" width="17.7109375" style="898" customWidth="1"/>
    <col min="2318" max="2318" width="16.85546875" style="898" customWidth="1"/>
    <col min="2319" max="2320" width="16.5703125" style="898" customWidth="1"/>
    <col min="2321" max="2321" width="16" style="898" customWidth="1"/>
    <col min="2322" max="2322" width="9.140625" style="898" customWidth="1"/>
    <col min="2323" max="2560" width="9.140625" style="898"/>
    <col min="2561" max="2561" width="6.28515625" style="898" bestFit="1" customWidth="1"/>
    <col min="2562" max="2562" width="57.28515625" style="898" customWidth="1"/>
    <col min="2563" max="2563" width="16.7109375" style="898" customWidth="1"/>
    <col min="2564" max="2565" width="16.5703125" style="898" customWidth="1"/>
    <col min="2566" max="2571" width="16.7109375" style="898" customWidth="1"/>
    <col min="2572" max="2572" width="18.140625" style="898" customWidth="1"/>
    <col min="2573" max="2573" width="17.7109375" style="898" customWidth="1"/>
    <col min="2574" max="2574" width="16.85546875" style="898" customWidth="1"/>
    <col min="2575" max="2576" width="16.5703125" style="898" customWidth="1"/>
    <col min="2577" max="2577" width="16" style="898" customWidth="1"/>
    <col min="2578" max="2578" width="9.140625" style="898" customWidth="1"/>
    <col min="2579" max="2816" width="9.140625" style="898"/>
    <col min="2817" max="2817" width="6.28515625" style="898" bestFit="1" customWidth="1"/>
    <col min="2818" max="2818" width="57.28515625" style="898" customWidth="1"/>
    <col min="2819" max="2819" width="16.7109375" style="898" customWidth="1"/>
    <col min="2820" max="2821" width="16.5703125" style="898" customWidth="1"/>
    <col min="2822" max="2827" width="16.7109375" style="898" customWidth="1"/>
    <col min="2828" max="2828" width="18.140625" style="898" customWidth="1"/>
    <col min="2829" max="2829" width="17.7109375" style="898" customWidth="1"/>
    <col min="2830" max="2830" width="16.85546875" style="898" customWidth="1"/>
    <col min="2831" max="2832" width="16.5703125" style="898" customWidth="1"/>
    <col min="2833" max="2833" width="16" style="898" customWidth="1"/>
    <col min="2834" max="2834" width="9.140625" style="898" customWidth="1"/>
    <col min="2835" max="3072" width="9.140625" style="898"/>
    <col min="3073" max="3073" width="6.28515625" style="898" bestFit="1" customWidth="1"/>
    <col min="3074" max="3074" width="57.28515625" style="898" customWidth="1"/>
    <col min="3075" max="3075" width="16.7109375" style="898" customWidth="1"/>
    <col min="3076" max="3077" width="16.5703125" style="898" customWidth="1"/>
    <col min="3078" max="3083" width="16.7109375" style="898" customWidth="1"/>
    <col min="3084" max="3084" width="18.140625" style="898" customWidth="1"/>
    <col min="3085" max="3085" width="17.7109375" style="898" customWidth="1"/>
    <col min="3086" max="3086" width="16.85546875" style="898" customWidth="1"/>
    <col min="3087" max="3088" width="16.5703125" style="898" customWidth="1"/>
    <col min="3089" max="3089" width="16" style="898" customWidth="1"/>
    <col min="3090" max="3090" width="9.140625" style="898" customWidth="1"/>
    <col min="3091" max="3328" width="9.140625" style="898"/>
    <col min="3329" max="3329" width="6.28515625" style="898" bestFit="1" customWidth="1"/>
    <col min="3330" max="3330" width="57.28515625" style="898" customWidth="1"/>
    <col min="3331" max="3331" width="16.7109375" style="898" customWidth="1"/>
    <col min="3332" max="3333" width="16.5703125" style="898" customWidth="1"/>
    <col min="3334" max="3339" width="16.7109375" style="898" customWidth="1"/>
    <col min="3340" max="3340" width="18.140625" style="898" customWidth="1"/>
    <col min="3341" max="3341" width="17.7109375" style="898" customWidth="1"/>
    <col min="3342" max="3342" width="16.85546875" style="898" customWidth="1"/>
    <col min="3343" max="3344" width="16.5703125" style="898" customWidth="1"/>
    <col min="3345" max="3345" width="16" style="898" customWidth="1"/>
    <col min="3346" max="3346" width="9.140625" style="898" customWidth="1"/>
    <col min="3347" max="3584" width="9.140625" style="898"/>
    <col min="3585" max="3585" width="6.28515625" style="898" bestFit="1" customWidth="1"/>
    <col min="3586" max="3586" width="57.28515625" style="898" customWidth="1"/>
    <col min="3587" max="3587" width="16.7109375" style="898" customWidth="1"/>
    <col min="3588" max="3589" width="16.5703125" style="898" customWidth="1"/>
    <col min="3590" max="3595" width="16.7109375" style="898" customWidth="1"/>
    <col min="3596" max="3596" width="18.140625" style="898" customWidth="1"/>
    <col min="3597" max="3597" width="17.7109375" style="898" customWidth="1"/>
    <col min="3598" max="3598" width="16.85546875" style="898" customWidth="1"/>
    <col min="3599" max="3600" width="16.5703125" style="898" customWidth="1"/>
    <col min="3601" max="3601" width="16" style="898" customWidth="1"/>
    <col min="3602" max="3602" width="9.140625" style="898" customWidth="1"/>
    <col min="3603" max="3840" width="9.140625" style="898"/>
    <col min="3841" max="3841" width="6.28515625" style="898" bestFit="1" customWidth="1"/>
    <col min="3842" max="3842" width="57.28515625" style="898" customWidth="1"/>
    <col min="3843" max="3843" width="16.7109375" style="898" customWidth="1"/>
    <col min="3844" max="3845" width="16.5703125" style="898" customWidth="1"/>
    <col min="3846" max="3851" width="16.7109375" style="898" customWidth="1"/>
    <col min="3852" max="3852" width="18.140625" style="898" customWidth="1"/>
    <col min="3853" max="3853" width="17.7109375" style="898" customWidth="1"/>
    <col min="3854" max="3854" width="16.85546875" style="898" customWidth="1"/>
    <col min="3855" max="3856" width="16.5703125" style="898" customWidth="1"/>
    <col min="3857" max="3857" width="16" style="898" customWidth="1"/>
    <col min="3858" max="3858" width="9.140625" style="898" customWidth="1"/>
    <col min="3859" max="4096" width="9.140625" style="898"/>
    <col min="4097" max="4097" width="6.28515625" style="898" bestFit="1" customWidth="1"/>
    <col min="4098" max="4098" width="57.28515625" style="898" customWidth="1"/>
    <col min="4099" max="4099" width="16.7109375" style="898" customWidth="1"/>
    <col min="4100" max="4101" width="16.5703125" style="898" customWidth="1"/>
    <col min="4102" max="4107" width="16.7109375" style="898" customWidth="1"/>
    <col min="4108" max="4108" width="18.140625" style="898" customWidth="1"/>
    <col min="4109" max="4109" width="17.7109375" style="898" customWidth="1"/>
    <col min="4110" max="4110" width="16.85546875" style="898" customWidth="1"/>
    <col min="4111" max="4112" width="16.5703125" style="898" customWidth="1"/>
    <col min="4113" max="4113" width="16" style="898" customWidth="1"/>
    <col min="4114" max="4114" width="9.140625" style="898" customWidth="1"/>
    <col min="4115" max="4352" width="9.140625" style="898"/>
    <col min="4353" max="4353" width="6.28515625" style="898" bestFit="1" customWidth="1"/>
    <col min="4354" max="4354" width="57.28515625" style="898" customWidth="1"/>
    <col min="4355" max="4355" width="16.7109375" style="898" customWidth="1"/>
    <col min="4356" max="4357" width="16.5703125" style="898" customWidth="1"/>
    <col min="4358" max="4363" width="16.7109375" style="898" customWidth="1"/>
    <col min="4364" max="4364" width="18.140625" style="898" customWidth="1"/>
    <col min="4365" max="4365" width="17.7109375" style="898" customWidth="1"/>
    <col min="4366" max="4366" width="16.85546875" style="898" customWidth="1"/>
    <col min="4367" max="4368" width="16.5703125" style="898" customWidth="1"/>
    <col min="4369" max="4369" width="16" style="898" customWidth="1"/>
    <col min="4370" max="4370" width="9.140625" style="898" customWidth="1"/>
    <col min="4371" max="4608" width="9.140625" style="898"/>
    <col min="4609" max="4609" width="6.28515625" style="898" bestFit="1" customWidth="1"/>
    <col min="4610" max="4610" width="57.28515625" style="898" customWidth="1"/>
    <col min="4611" max="4611" width="16.7109375" style="898" customWidth="1"/>
    <col min="4612" max="4613" width="16.5703125" style="898" customWidth="1"/>
    <col min="4614" max="4619" width="16.7109375" style="898" customWidth="1"/>
    <col min="4620" max="4620" width="18.140625" style="898" customWidth="1"/>
    <col min="4621" max="4621" width="17.7109375" style="898" customWidth="1"/>
    <col min="4622" max="4622" width="16.85546875" style="898" customWidth="1"/>
    <col min="4623" max="4624" width="16.5703125" style="898" customWidth="1"/>
    <col min="4625" max="4625" width="16" style="898" customWidth="1"/>
    <col min="4626" max="4626" width="9.140625" style="898" customWidth="1"/>
    <col min="4627" max="4864" width="9.140625" style="898"/>
    <col min="4865" max="4865" width="6.28515625" style="898" bestFit="1" customWidth="1"/>
    <col min="4866" max="4866" width="57.28515625" style="898" customWidth="1"/>
    <col min="4867" max="4867" width="16.7109375" style="898" customWidth="1"/>
    <col min="4868" max="4869" width="16.5703125" style="898" customWidth="1"/>
    <col min="4870" max="4875" width="16.7109375" style="898" customWidth="1"/>
    <col min="4876" max="4876" width="18.140625" style="898" customWidth="1"/>
    <col min="4877" max="4877" width="17.7109375" style="898" customWidth="1"/>
    <col min="4878" max="4878" width="16.85546875" style="898" customWidth="1"/>
    <col min="4879" max="4880" width="16.5703125" style="898" customWidth="1"/>
    <col min="4881" max="4881" width="16" style="898" customWidth="1"/>
    <col min="4882" max="4882" width="9.140625" style="898" customWidth="1"/>
    <col min="4883" max="5120" width="9.140625" style="898"/>
    <col min="5121" max="5121" width="6.28515625" style="898" bestFit="1" customWidth="1"/>
    <col min="5122" max="5122" width="57.28515625" style="898" customWidth="1"/>
    <col min="5123" max="5123" width="16.7109375" style="898" customWidth="1"/>
    <col min="5124" max="5125" width="16.5703125" style="898" customWidth="1"/>
    <col min="5126" max="5131" width="16.7109375" style="898" customWidth="1"/>
    <col min="5132" max="5132" width="18.140625" style="898" customWidth="1"/>
    <col min="5133" max="5133" width="17.7109375" style="898" customWidth="1"/>
    <col min="5134" max="5134" width="16.85546875" style="898" customWidth="1"/>
    <col min="5135" max="5136" width="16.5703125" style="898" customWidth="1"/>
    <col min="5137" max="5137" width="16" style="898" customWidth="1"/>
    <col min="5138" max="5138" width="9.140625" style="898" customWidth="1"/>
    <col min="5139" max="5376" width="9.140625" style="898"/>
    <col min="5377" max="5377" width="6.28515625" style="898" bestFit="1" customWidth="1"/>
    <col min="5378" max="5378" width="57.28515625" style="898" customWidth="1"/>
    <col min="5379" max="5379" width="16.7109375" style="898" customWidth="1"/>
    <col min="5380" max="5381" width="16.5703125" style="898" customWidth="1"/>
    <col min="5382" max="5387" width="16.7109375" style="898" customWidth="1"/>
    <col min="5388" max="5388" width="18.140625" style="898" customWidth="1"/>
    <col min="5389" max="5389" width="17.7109375" style="898" customWidth="1"/>
    <col min="5390" max="5390" width="16.85546875" style="898" customWidth="1"/>
    <col min="5391" max="5392" width="16.5703125" style="898" customWidth="1"/>
    <col min="5393" max="5393" width="16" style="898" customWidth="1"/>
    <col min="5394" max="5394" width="9.140625" style="898" customWidth="1"/>
    <col min="5395" max="5632" width="9.140625" style="898"/>
    <col min="5633" max="5633" width="6.28515625" style="898" bestFit="1" customWidth="1"/>
    <col min="5634" max="5634" width="57.28515625" style="898" customWidth="1"/>
    <col min="5635" max="5635" width="16.7109375" style="898" customWidth="1"/>
    <col min="5636" max="5637" width="16.5703125" style="898" customWidth="1"/>
    <col min="5638" max="5643" width="16.7109375" style="898" customWidth="1"/>
    <col min="5644" max="5644" width="18.140625" style="898" customWidth="1"/>
    <col min="5645" max="5645" width="17.7109375" style="898" customWidth="1"/>
    <col min="5646" max="5646" width="16.85546875" style="898" customWidth="1"/>
    <col min="5647" max="5648" width="16.5703125" style="898" customWidth="1"/>
    <col min="5649" max="5649" width="16" style="898" customWidth="1"/>
    <col min="5650" max="5650" width="9.140625" style="898" customWidth="1"/>
    <col min="5651" max="5888" width="9.140625" style="898"/>
    <col min="5889" max="5889" width="6.28515625" style="898" bestFit="1" customWidth="1"/>
    <col min="5890" max="5890" width="57.28515625" style="898" customWidth="1"/>
    <col min="5891" max="5891" width="16.7109375" style="898" customWidth="1"/>
    <col min="5892" max="5893" width="16.5703125" style="898" customWidth="1"/>
    <col min="5894" max="5899" width="16.7109375" style="898" customWidth="1"/>
    <col min="5900" max="5900" width="18.140625" style="898" customWidth="1"/>
    <col min="5901" max="5901" width="17.7109375" style="898" customWidth="1"/>
    <col min="5902" max="5902" width="16.85546875" style="898" customWidth="1"/>
    <col min="5903" max="5904" width="16.5703125" style="898" customWidth="1"/>
    <col min="5905" max="5905" width="16" style="898" customWidth="1"/>
    <col min="5906" max="5906" width="9.140625" style="898" customWidth="1"/>
    <col min="5907" max="6144" width="9.140625" style="898"/>
    <col min="6145" max="6145" width="6.28515625" style="898" bestFit="1" customWidth="1"/>
    <col min="6146" max="6146" width="57.28515625" style="898" customWidth="1"/>
    <col min="6147" max="6147" width="16.7109375" style="898" customWidth="1"/>
    <col min="6148" max="6149" width="16.5703125" style="898" customWidth="1"/>
    <col min="6150" max="6155" width="16.7109375" style="898" customWidth="1"/>
    <col min="6156" max="6156" width="18.140625" style="898" customWidth="1"/>
    <col min="6157" max="6157" width="17.7109375" style="898" customWidth="1"/>
    <col min="6158" max="6158" width="16.85546875" style="898" customWidth="1"/>
    <col min="6159" max="6160" width="16.5703125" style="898" customWidth="1"/>
    <col min="6161" max="6161" width="16" style="898" customWidth="1"/>
    <col min="6162" max="6162" width="9.140625" style="898" customWidth="1"/>
    <col min="6163" max="6400" width="9.140625" style="898"/>
    <col min="6401" max="6401" width="6.28515625" style="898" bestFit="1" customWidth="1"/>
    <col min="6402" max="6402" width="57.28515625" style="898" customWidth="1"/>
    <col min="6403" max="6403" width="16.7109375" style="898" customWidth="1"/>
    <col min="6404" max="6405" width="16.5703125" style="898" customWidth="1"/>
    <col min="6406" max="6411" width="16.7109375" style="898" customWidth="1"/>
    <col min="6412" max="6412" width="18.140625" style="898" customWidth="1"/>
    <col min="6413" max="6413" width="17.7109375" style="898" customWidth="1"/>
    <col min="6414" max="6414" width="16.85546875" style="898" customWidth="1"/>
    <col min="6415" max="6416" width="16.5703125" style="898" customWidth="1"/>
    <col min="6417" max="6417" width="16" style="898" customWidth="1"/>
    <col min="6418" max="6418" width="9.140625" style="898" customWidth="1"/>
    <col min="6419" max="6656" width="9.140625" style="898"/>
    <col min="6657" max="6657" width="6.28515625" style="898" bestFit="1" customWidth="1"/>
    <col min="6658" max="6658" width="57.28515625" style="898" customWidth="1"/>
    <col min="6659" max="6659" width="16.7109375" style="898" customWidth="1"/>
    <col min="6660" max="6661" width="16.5703125" style="898" customWidth="1"/>
    <col min="6662" max="6667" width="16.7109375" style="898" customWidth="1"/>
    <col min="6668" max="6668" width="18.140625" style="898" customWidth="1"/>
    <col min="6669" max="6669" width="17.7109375" style="898" customWidth="1"/>
    <col min="6670" max="6670" width="16.85546875" style="898" customWidth="1"/>
    <col min="6671" max="6672" width="16.5703125" style="898" customWidth="1"/>
    <col min="6673" max="6673" width="16" style="898" customWidth="1"/>
    <col min="6674" max="6674" width="9.140625" style="898" customWidth="1"/>
    <col min="6675" max="6912" width="9.140625" style="898"/>
    <col min="6913" max="6913" width="6.28515625" style="898" bestFit="1" customWidth="1"/>
    <col min="6914" max="6914" width="57.28515625" style="898" customWidth="1"/>
    <col min="6915" max="6915" width="16.7109375" style="898" customWidth="1"/>
    <col min="6916" max="6917" width="16.5703125" style="898" customWidth="1"/>
    <col min="6918" max="6923" width="16.7109375" style="898" customWidth="1"/>
    <col min="6924" max="6924" width="18.140625" style="898" customWidth="1"/>
    <col min="6925" max="6925" width="17.7109375" style="898" customWidth="1"/>
    <col min="6926" max="6926" width="16.85546875" style="898" customWidth="1"/>
    <col min="6927" max="6928" width="16.5703125" style="898" customWidth="1"/>
    <col min="6929" max="6929" width="16" style="898" customWidth="1"/>
    <col min="6930" max="6930" width="9.140625" style="898" customWidth="1"/>
    <col min="6931" max="7168" width="9.140625" style="898"/>
    <col min="7169" max="7169" width="6.28515625" style="898" bestFit="1" customWidth="1"/>
    <col min="7170" max="7170" width="57.28515625" style="898" customWidth="1"/>
    <col min="7171" max="7171" width="16.7109375" style="898" customWidth="1"/>
    <col min="7172" max="7173" width="16.5703125" style="898" customWidth="1"/>
    <col min="7174" max="7179" width="16.7109375" style="898" customWidth="1"/>
    <col min="7180" max="7180" width="18.140625" style="898" customWidth="1"/>
    <col min="7181" max="7181" width="17.7109375" style="898" customWidth="1"/>
    <col min="7182" max="7182" width="16.85546875" style="898" customWidth="1"/>
    <col min="7183" max="7184" width="16.5703125" style="898" customWidth="1"/>
    <col min="7185" max="7185" width="16" style="898" customWidth="1"/>
    <col min="7186" max="7186" width="9.140625" style="898" customWidth="1"/>
    <col min="7187" max="7424" width="9.140625" style="898"/>
    <col min="7425" max="7425" width="6.28515625" style="898" bestFit="1" customWidth="1"/>
    <col min="7426" max="7426" width="57.28515625" style="898" customWidth="1"/>
    <col min="7427" max="7427" width="16.7109375" style="898" customWidth="1"/>
    <col min="7428" max="7429" width="16.5703125" style="898" customWidth="1"/>
    <col min="7430" max="7435" width="16.7109375" style="898" customWidth="1"/>
    <col min="7436" max="7436" width="18.140625" style="898" customWidth="1"/>
    <col min="7437" max="7437" width="17.7109375" style="898" customWidth="1"/>
    <col min="7438" max="7438" width="16.85546875" style="898" customWidth="1"/>
    <col min="7439" max="7440" width="16.5703125" style="898" customWidth="1"/>
    <col min="7441" max="7441" width="16" style="898" customWidth="1"/>
    <col min="7442" max="7442" width="9.140625" style="898" customWidth="1"/>
    <col min="7443" max="7680" width="9.140625" style="898"/>
    <col min="7681" max="7681" width="6.28515625" style="898" bestFit="1" customWidth="1"/>
    <col min="7682" max="7682" width="57.28515625" style="898" customWidth="1"/>
    <col min="7683" max="7683" width="16.7109375" style="898" customWidth="1"/>
    <col min="7684" max="7685" width="16.5703125" style="898" customWidth="1"/>
    <col min="7686" max="7691" width="16.7109375" style="898" customWidth="1"/>
    <col min="7692" max="7692" width="18.140625" style="898" customWidth="1"/>
    <col min="7693" max="7693" width="17.7109375" style="898" customWidth="1"/>
    <col min="7694" max="7694" width="16.85546875" style="898" customWidth="1"/>
    <col min="7695" max="7696" width="16.5703125" style="898" customWidth="1"/>
    <col min="7697" max="7697" width="16" style="898" customWidth="1"/>
    <col min="7698" max="7698" width="9.140625" style="898" customWidth="1"/>
    <col min="7699" max="7936" width="9.140625" style="898"/>
    <col min="7937" max="7937" width="6.28515625" style="898" bestFit="1" customWidth="1"/>
    <col min="7938" max="7938" width="57.28515625" style="898" customWidth="1"/>
    <col min="7939" max="7939" width="16.7109375" style="898" customWidth="1"/>
    <col min="7940" max="7941" width="16.5703125" style="898" customWidth="1"/>
    <col min="7942" max="7947" width="16.7109375" style="898" customWidth="1"/>
    <col min="7948" max="7948" width="18.140625" style="898" customWidth="1"/>
    <col min="7949" max="7949" width="17.7109375" style="898" customWidth="1"/>
    <col min="7950" max="7950" width="16.85546875" style="898" customWidth="1"/>
    <col min="7951" max="7952" width="16.5703125" style="898" customWidth="1"/>
    <col min="7953" max="7953" width="16" style="898" customWidth="1"/>
    <col min="7954" max="7954" width="9.140625" style="898" customWidth="1"/>
    <col min="7955" max="8192" width="9.140625" style="898"/>
    <col min="8193" max="8193" width="6.28515625" style="898" bestFit="1" customWidth="1"/>
    <col min="8194" max="8194" width="57.28515625" style="898" customWidth="1"/>
    <col min="8195" max="8195" width="16.7109375" style="898" customWidth="1"/>
    <col min="8196" max="8197" width="16.5703125" style="898" customWidth="1"/>
    <col min="8198" max="8203" width="16.7109375" style="898" customWidth="1"/>
    <col min="8204" max="8204" width="18.140625" style="898" customWidth="1"/>
    <col min="8205" max="8205" width="17.7109375" style="898" customWidth="1"/>
    <col min="8206" max="8206" width="16.85546875" style="898" customWidth="1"/>
    <col min="8207" max="8208" width="16.5703125" style="898" customWidth="1"/>
    <col min="8209" max="8209" width="16" style="898" customWidth="1"/>
    <col min="8210" max="8210" width="9.140625" style="898" customWidth="1"/>
    <col min="8211" max="8448" width="9.140625" style="898"/>
    <col min="8449" max="8449" width="6.28515625" style="898" bestFit="1" customWidth="1"/>
    <col min="8450" max="8450" width="57.28515625" style="898" customWidth="1"/>
    <col min="8451" max="8451" width="16.7109375" style="898" customWidth="1"/>
    <col min="8452" max="8453" width="16.5703125" style="898" customWidth="1"/>
    <col min="8454" max="8459" width="16.7109375" style="898" customWidth="1"/>
    <col min="8460" max="8460" width="18.140625" style="898" customWidth="1"/>
    <col min="8461" max="8461" width="17.7109375" style="898" customWidth="1"/>
    <col min="8462" max="8462" width="16.85546875" style="898" customWidth="1"/>
    <col min="8463" max="8464" width="16.5703125" style="898" customWidth="1"/>
    <col min="8465" max="8465" width="16" style="898" customWidth="1"/>
    <col min="8466" max="8466" width="9.140625" style="898" customWidth="1"/>
    <col min="8467" max="8704" width="9.140625" style="898"/>
    <col min="8705" max="8705" width="6.28515625" style="898" bestFit="1" customWidth="1"/>
    <col min="8706" max="8706" width="57.28515625" style="898" customWidth="1"/>
    <col min="8707" max="8707" width="16.7109375" style="898" customWidth="1"/>
    <col min="8708" max="8709" width="16.5703125" style="898" customWidth="1"/>
    <col min="8710" max="8715" width="16.7109375" style="898" customWidth="1"/>
    <col min="8716" max="8716" width="18.140625" style="898" customWidth="1"/>
    <col min="8717" max="8717" width="17.7109375" style="898" customWidth="1"/>
    <col min="8718" max="8718" width="16.85546875" style="898" customWidth="1"/>
    <col min="8719" max="8720" width="16.5703125" style="898" customWidth="1"/>
    <col min="8721" max="8721" width="16" style="898" customWidth="1"/>
    <col min="8722" max="8722" width="9.140625" style="898" customWidth="1"/>
    <col min="8723" max="8960" width="9.140625" style="898"/>
    <col min="8961" max="8961" width="6.28515625" style="898" bestFit="1" customWidth="1"/>
    <col min="8962" max="8962" width="57.28515625" style="898" customWidth="1"/>
    <col min="8963" max="8963" width="16.7109375" style="898" customWidth="1"/>
    <col min="8964" max="8965" width="16.5703125" style="898" customWidth="1"/>
    <col min="8966" max="8971" width="16.7109375" style="898" customWidth="1"/>
    <col min="8972" max="8972" width="18.140625" style="898" customWidth="1"/>
    <col min="8973" max="8973" width="17.7109375" style="898" customWidth="1"/>
    <col min="8974" max="8974" width="16.85546875" style="898" customWidth="1"/>
    <col min="8975" max="8976" width="16.5703125" style="898" customWidth="1"/>
    <col min="8977" max="8977" width="16" style="898" customWidth="1"/>
    <col min="8978" max="8978" width="9.140625" style="898" customWidth="1"/>
    <col min="8979" max="9216" width="9.140625" style="898"/>
    <col min="9217" max="9217" width="6.28515625" style="898" bestFit="1" customWidth="1"/>
    <col min="9218" max="9218" width="57.28515625" style="898" customWidth="1"/>
    <col min="9219" max="9219" width="16.7109375" style="898" customWidth="1"/>
    <col min="9220" max="9221" width="16.5703125" style="898" customWidth="1"/>
    <col min="9222" max="9227" width="16.7109375" style="898" customWidth="1"/>
    <col min="9228" max="9228" width="18.140625" style="898" customWidth="1"/>
    <col min="9229" max="9229" width="17.7109375" style="898" customWidth="1"/>
    <col min="9230" max="9230" width="16.85546875" style="898" customWidth="1"/>
    <col min="9231" max="9232" width="16.5703125" style="898" customWidth="1"/>
    <col min="9233" max="9233" width="16" style="898" customWidth="1"/>
    <col min="9234" max="9234" width="9.140625" style="898" customWidth="1"/>
    <col min="9235" max="9472" width="9.140625" style="898"/>
    <col min="9473" max="9473" width="6.28515625" style="898" bestFit="1" customWidth="1"/>
    <col min="9474" max="9474" width="57.28515625" style="898" customWidth="1"/>
    <col min="9475" max="9475" width="16.7109375" style="898" customWidth="1"/>
    <col min="9476" max="9477" width="16.5703125" style="898" customWidth="1"/>
    <col min="9478" max="9483" width="16.7109375" style="898" customWidth="1"/>
    <col min="9484" max="9484" width="18.140625" style="898" customWidth="1"/>
    <col min="9485" max="9485" width="17.7109375" style="898" customWidth="1"/>
    <col min="9486" max="9486" width="16.85546875" style="898" customWidth="1"/>
    <col min="9487" max="9488" width="16.5703125" style="898" customWidth="1"/>
    <col min="9489" max="9489" width="16" style="898" customWidth="1"/>
    <col min="9490" max="9490" width="9.140625" style="898" customWidth="1"/>
    <col min="9491" max="9728" width="9.140625" style="898"/>
    <col min="9729" max="9729" width="6.28515625" style="898" bestFit="1" customWidth="1"/>
    <col min="9730" max="9730" width="57.28515625" style="898" customWidth="1"/>
    <col min="9731" max="9731" width="16.7109375" style="898" customWidth="1"/>
    <col min="9732" max="9733" width="16.5703125" style="898" customWidth="1"/>
    <col min="9734" max="9739" width="16.7109375" style="898" customWidth="1"/>
    <col min="9740" max="9740" width="18.140625" style="898" customWidth="1"/>
    <col min="9741" max="9741" width="17.7109375" style="898" customWidth="1"/>
    <col min="9742" max="9742" width="16.85546875" style="898" customWidth="1"/>
    <col min="9743" max="9744" width="16.5703125" style="898" customWidth="1"/>
    <col min="9745" max="9745" width="16" style="898" customWidth="1"/>
    <col min="9746" max="9746" width="9.140625" style="898" customWidth="1"/>
    <col min="9747" max="9984" width="9.140625" style="898"/>
    <col min="9985" max="9985" width="6.28515625" style="898" bestFit="1" customWidth="1"/>
    <col min="9986" max="9986" width="57.28515625" style="898" customWidth="1"/>
    <col min="9987" max="9987" width="16.7109375" style="898" customWidth="1"/>
    <col min="9988" max="9989" width="16.5703125" style="898" customWidth="1"/>
    <col min="9990" max="9995" width="16.7109375" style="898" customWidth="1"/>
    <col min="9996" max="9996" width="18.140625" style="898" customWidth="1"/>
    <col min="9997" max="9997" width="17.7109375" style="898" customWidth="1"/>
    <col min="9998" max="9998" width="16.85546875" style="898" customWidth="1"/>
    <col min="9999" max="10000" width="16.5703125" style="898" customWidth="1"/>
    <col min="10001" max="10001" width="16" style="898" customWidth="1"/>
    <col min="10002" max="10002" width="9.140625" style="898" customWidth="1"/>
    <col min="10003" max="10240" width="9.140625" style="898"/>
    <col min="10241" max="10241" width="6.28515625" style="898" bestFit="1" customWidth="1"/>
    <col min="10242" max="10242" width="57.28515625" style="898" customWidth="1"/>
    <col min="10243" max="10243" width="16.7109375" style="898" customWidth="1"/>
    <col min="10244" max="10245" width="16.5703125" style="898" customWidth="1"/>
    <col min="10246" max="10251" width="16.7109375" style="898" customWidth="1"/>
    <col min="10252" max="10252" width="18.140625" style="898" customWidth="1"/>
    <col min="10253" max="10253" width="17.7109375" style="898" customWidth="1"/>
    <col min="10254" max="10254" width="16.85546875" style="898" customWidth="1"/>
    <col min="10255" max="10256" width="16.5703125" style="898" customWidth="1"/>
    <col min="10257" max="10257" width="16" style="898" customWidth="1"/>
    <col min="10258" max="10258" width="9.140625" style="898" customWidth="1"/>
    <col min="10259" max="10496" width="9.140625" style="898"/>
    <col min="10497" max="10497" width="6.28515625" style="898" bestFit="1" customWidth="1"/>
    <col min="10498" max="10498" width="57.28515625" style="898" customWidth="1"/>
    <col min="10499" max="10499" width="16.7109375" style="898" customWidth="1"/>
    <col min="10500" max="10501" width="16.5703125" style="898" customWidth="1"/>
    <col min="10502" max="10507" width="16.7109375" style="898" customWidth="1"/>
    <col min="10508" max="10508" width="18.140625" style="898" customWidth="1"/>
    <col min="10509" max="10509" width="17.7109375" style="898" customWidth="1"/>
    <col min="10510" max="10510" width="16.85546875" style="898" customWidth="1"/>
    <col min="10511" max="10512" width="16.5703125" style="898" customWidth="1"/>
    <col min="10513" max="10513" width="16" style="898" customWidth="1"/>
    <col min="10514" max="10514" width="9.140625" style="898" customWidth="1"/>
    <col min="10515" max="10752" width="9.140625" style="898"/>
    <col min="10753" max="10753" width="6.28515625" style="898" bestFit="1" customWidth="1"/>
    <col min="10754" max="10754" width="57.28515625" style="898" customWidth="1"/>
    <col min="10755" max="10755" width="16.7109375" style="898" customWidth="1"/>
    <col min="10756" max="10757" width="16.5703125" style="898" customWidth="1"/>
    <col min="10758" max="10763" width="16.7109375" style="898" customWidth="1"/>
    <col min="10764" max="10764" width="18.140625" style="898" customWidth="1"/>
    <col min="10765" max="10765" width="17.7109375" style="898" customWidth="1"/>
    <col min="10766" max="10766" width="16.85546875" style="898" customWidth="1"/>
    <col min="10767" max="10768" width="16.5703125" style="898" customWidth="1"/>
    <col min="10769" max="10769" width="16" style="898" customWidth="1"/>
    <col min="10770" max="10770" width="9.140625" style="898" customWidth="1"/>
    <col min="10771" max="11008" width="9.140625" style="898"/>
    <col min="11009" max="11009" width="6.28515625" style="898" bestFit="1" customWidth="1"/>
    <col min="11010" max="11010" width="57.28515625" style="898" customWidth="1"/>
    <col min="11011" max="11011" width="16.7109375" style="898" customWidth="1"/>
    <col min="11012" max="11013" width="16.5703125" style="898" customWidth="1"/>
    <col min="11014" max="11019" width="16.7109375" style="898" customWidth="1"/>
    <col min="11020" max="11020" width="18.140625" style="898" customWidth="1"/>
    <col min="11021" max="11021" width="17.7109375" style="898" customWidth="1"/>
    <col min="11022" max="11022" width="16.85546875" style="898" customWidth="1"/>
    <col min="11023" max="11024" width="16.5703125" style="898" customWidth="1"/>
    <col min="11025" max="11025" width="16" style="898" customWidth="1"/>
    <col min="11026" max="11026" width="9.140625" style="898" customWidth="1"/>
    <col min="11027" max="11264" width="9.140625" style="898"/>
    <col min="11265" max="11265" width="6.28515625" style="898" bestFit="1" customWidth="1"/>
    <col min="11266" max="11266" width="57.28515625" style="898" customWidth="1"/>
    <col min="11267" max="11267" width="16.7109375" style="898" customWidth="1"/>
    <col min="11268" max="11269" width="16.5703125" style="898" customWidth="1"/>
    <col min="11270" max="11275" width="16.7109375" style="898" customWidth="1"/>
    <col min="11276" max="11276" width="18.140625" style="898" customWidth="1"/>
    <col min="11277" max="11277" width="17.7109375" style="898" customWidth="1"/>
    <col min="11278" max="11278" width="16.85546875" style="898" customWidth="1"/>
    <col min="11279" max="11280" width="16.5703125" style="898" customWidth="1"/>
    <col min="11281" max="11281" width="16" style="898" customWidth="1"/>
    <col min="11282" max="11282" width="9.140625" style="898" customWidth="1"/>
    <col min="11283" max="11520" width="9.140625" style="898"/>
    <col min="11521" max="11521" width="6.28515625" style="898" bestFit="1" customWidth="1"/>
    <col min="11522" max="11522" width="57.28515625" style="898" customWidth="1"/>
    <col min="11523" max="11523" width="16.7109375" style="898" customWidth="1"/>
    <col min="11524" max="11525" width="16.5703125" style="898" customWidth="1"/>
    <col min="11526" max="11531" width="16.7109375" style="898" customWidth="1"/>
    <col min="11532" max="11532" width="18.140625" style="898" customWidth="1"/>
    <col min="11533" max="11533" width="17.7109375" style="898" customWidth="1"/>
    <col min="11534" max="11534" width="16.85546875" style="898" customWidth="1"/>
    <col min="11535" max="11536" width="16.5703125" style="898" customWidth="1"/>
    <col min="11537" max="11537" width="16" style="898" customWidth="1"/>
    <col min="11538" max="11538" width="9.140625" style="898" customWidth="1"/>
    <col min="11539" max="11776" width="9.140625" style="898"/>
    <col min="11777" max="11777" width="6.28515625" style="898" bestFit="1" customWidth="1"/>
    <col min="11778" max="11778" width="57.28515625" style="898" customWidth="1"/>
    <col min="11779" max="11779" width="16.7109375" style="898" customWidth="1"/>
    <col min="11780" max="11781" width="16.5703125" style="898" customWidth="1"/>
    <col min="11782" max="11787" width="16.7109375" style="898" customWidth="1"/>
    <col min="11788" max="11788" width="18.140625" style="898" customWidth="1"/>
    <col min="11789" max="11789" width="17.7109375" style="898" customWidth="1"/>
    <col min="11790" max="11790" width="16.85546875" style="898" customWidth="1"/>
    <col min="11791" max="11792" width="16.5703125" style="898" customWidth="1"/>
    <col min="11793" max="11793" width="16" style="898" customWidth="1"/>
    <col min="11794" max="11794" width="9.140625" style="898" customWidth="1"/>
    <col min="11795" max="12032" width="9.140625" style="898"/>
    <col min="12033" max="12033" width="6.28515625" style="898" bestFit="1" customWidth="1"/>
    <col min="12034" max="12034" width="57.28515625" style="898" customWidth="1"/>
    <col min="12035" max="12035" width="16.7109375" style="898" customWidth="1"/>
    <col min="12036" max="12037" width="16.5703125" style="898" customWidth="1"/>
    <col min="12038" max="12043" width="16.7109375" style="898" customWidth="1"/>
    <col min="12044" max="12044" width="18.140625" style="898" customWidth="1"/>
    <col min="12045" max="12045" width="17.7109375" style="898" customWidth="1"/>
    <col min="12046" max="12046" width="16.85546875" style="898" customWidth="1"/>
    <col min="12047" max="12048" width="16.5703125" style="898" customWidth="1"/>
    <col min="12049" max="12049" width="16" style="898" customWidth="1"/>
    <col min="12050" max="12050" width="9.140625" style="898" customWidth="1"/>
    <col min="12051" max="12288" width="9.140625" style="898"/>
    <col min="12289" max="12289" width="6.28515625" style="898" bestFit="1" customWidth="1"/>
    <col min="12290" max="12290" width="57.28515625" style="898" customWidth="1"/>
    <col min="12291" max="12291" width="16.7109375" style="898" customWidth="1"/>
    <col min="12292" max="12293" width="16.5703125" style="898" customWidth="1"/>
    <col min="12294" max="12299" width="16.7109375" style="898" customWidth="1"/>
    <col min="12300" max="12300" width="18.140625" style="898" customWidth="1"/>
    <col min="12301" max="12301" width="17.7109375" style="898" customWidth="1"/>
    <col min="12302" max="12302" width="16.85546875" style="898" customWidth="1"/>
    <col min="12303" max="12304" width="16.5703125" style="898" customWidth="1"/>
    <col min="12305" max="12305" width="16" style="898" customWidth="1"/>
    <col min="12306" max="12306" width="9.140625" style="898" customWidth="1"/>
    <col min="12307" max="12544" width="9.140625" style="898"/>
    <col min="12545" max="12545" width="6.28515625" style="898" bestFit="1" customWidth="1"/>
    <col min="12546" max="12546" width="57.28515625" style="898" customWidth="1"/>
    <col min="12547" max="12547" width="16.7109375" style="898" customWidth="1"/>
    <col min="12548" max="12549" width="16.5703125" style="898" customWidth="1"/>
    <col min="12550" max="12555" width="16.7109375" style="898" customWidth="1"/>
    <col min="12556" max="12556" width="18.140625" style="898" customWidth="1"/>
    <col min="12557" max="12557" width="17.7109375" style="898" customWidth="1"/>
    <col min="12558" max="12558" width="16.85546875" style="898" customWidth="1"/>
    <col min="12559" max="12560" width="16.5703125" style="898" customWidth="1"/>
    <col min="12561" max="12561" width="16" style="898" customWidth="1"/>
    <col min="12562" max="12562" width="9.140625" style="898" customWidth="1"/>
    <col min="12563" max="12800" width="9.140625" style="898"/>
    <col min="12801" max="12801" width="6.28515625" style="898" bestFit="1" customWidth="1"/>
    <col min="12802" max="12802" width="57.28515625" style="898" customWidth="1"/>
    <col min="12803" max="12803" width="16.7109375" style="898" customWidth="1"/>
    <col min="12804" max="12805" width="16.5703125" style="898" customWidth="1"/>
    <col min="12806" max="12811" width="16.7109375" style="898" customWidth="1"/>
    <col min="12812" max="12812" width="18.140625" style="898" customWidth="1"/>
    <col min="12813" max="12813" width="17.7109375" style="898" customWidth="1"/>
    <col min="12814" max="12814" width="16.85546875" style="898" customWidth="1"/>
    <col min="12815" max="12816" width="16.5703125" style="898" customWidth="1"/>
    <col min="12817" max="12817" width="16" style="898" customWidth="1"/>
    <col min="12818" max="12818" width="9.140625" style="898" customWidth="1"/>
    <col min="12819" max="13056" width="9.140625" style="898"/>
    <col min="13057" max="13057" width="6.28515625" style="898" bestFit="1" customWidth="1"/>
    <col min="13058" max="13058" width="57.28515625" style="898" customWidth="1"/>
    <col min="13059" max="13059" width="16.7109375" style="898" customWidth="1"/>
    <col min="13060" max="13061" width="16.5703125" style="898" customWidth="1"/>
    <col min="13062" max="13067" width="16.7109375" style="898" customWidth="1"/>
    <col min="13068" max="13068" width="18.140625" style="898" customWidth="1"/>
    <col min="13069" max="13069" width="17.7109375" style="898" customWidth="1"/>
    <col min="13070" max="13070" width="16.85546875" style="898" customWidth="1"/>
    <col min="13071" max="13072" width="16.5703125" style="898" customWidth="1"/>
    <col min="13073" max="13073" width="16" style="898" customWidth="1"/>
    <col min="13074" max="13074" width="9.140625" style="898" customWidth="1"/>
    <col min="13075" max="13312" width="9.140625" style="898"/>
    <col min="13313" max="13313" width="6.28515625" style="898" bestFit="1" customWidth="1"/>
    <col min="13314" max="13314" width="57.28515625" style="898" customWidth="1"/>
    <col min="13315" max="13315" width="16.7109375" style="898" customWidth="1"/>
    <col min="13316" max="13317" width="16.5703125" style="898" customWidth="1"/>
    <col min="13318" max="13323" width="16.7109375" style="898" customWidth="1"/>
    <col min="13324" max="13324" width="18.140625" style="898" customWidth="1"/>
    <col min="13325" max="13325" width="17.7109375" style="898" customWidth="1"/>
    <col min="13326" max="13326" width="16.85546875" style="898" customWidth="1"/>
    <col min="13327" max="13328" width="16.5703125" style="898" customWidth="1"/>
    <col min="13329" max="13329" width="16" style="898" customWidth="1"/>
    <col min="13330" max="13330" width="9.140625" style="898" customWidth="1"/>
    <col min="13331" max="13568" width="9.140625" style="898"/>
    <col min="13569" max="13569" width="6.28515625" style="898" bestFit="1" customWidth="1"/>
    <col min="13570" max="13570" width="57.28515625" style="898" customWidth="1"/>
    <col min="13571" max="13571" width="16.7109375" style="898" customWidth="1"/>
    <col min="13572" max="13573" width="16.5703125" style="898" customWidth="1"/>
    <col min="13574" max="13579" width="16.7109375" style="898" customWidth="1"/>
    <col min="13580" max="13580" width="18.140625" style="898" customWidth="1"/>
    <col min="13581" max="13581" width="17.7109375" style="898" customWidth="1"/>
    <col min="13582" max="13582" width="16.85546875" style="898" customWidth="1"/>
    <col min="13583" max="13584" width="16.5703125" style="898" customWidth="1"/>
    <col min="13585" max="13585" width="16" style="898" customWidth="1"/>
    <col min="13586" max="13586" width="9.140625" style="898" customWidth="1"/>
    <col min="13587" max="13824" width="9.140625" style="898"/>
    <col min="13825" max="13825" width="6.28515625" style="898" bestFit="1" customWidth="1"/>
    <col min="13826" max="13826" width="57.28515625" style="898" customWidth="1"/>
    <col min="13827" max="13827" width="16.7109375" style="898" customWidth="1"/>
    <col min="13828" max="13829" width="16.5703125" style="898" customWidth="1"/>
    <col min="13830" max="13835" width="16.7109375" style="898" customWidth="1"/>
    <col min="13836" max="13836" width="18.140625" style="898" customWidth="1"/>
    <col min="13837" max="13837" width="17.7109375" style="898" customWidth="1"/>
    <col min="13838" max="13838" width="16.85546875" style="898" customWidth="1"/>
    <col min="13839" max="13840" width="16.5703125" style="898" customWidth="1"/>
    <col min="13841" max="13841" width="16" style="898" customWidth="1"/>
    <col min="13842" max="13842" width="9.140625" style="898" customWidth="1"/>
    <col min="13843" max="14080" width="9.140625" style="898"/>
    <col min="14081" max="14081" width="6.28515625" style="898" bestFit="1" customWidth="1"/>
    <col min="14082" max="14082" width="57.28515625" style="898" customWidth="1"/>
    <col min="14083" max="14083" width="16.7109375" style="898" customWidth="1"/>
    <col min="14084" max="14085" width="16.5703125" style="898" customWidth="1"/>
    <col min="14086" max="14091" width="16.7109375" style="898" customWidth="1"/>
    <col min="14092" max="14092" width="18.140625" style="898" customWidth="1"/>
    <col min="14093" max="14093" width="17.7109375" style="898" customWidth="1"/>
    <col min="14094" max="14094" width="16.85546875" style="898" customWidth="1"/>
    <col min="14095" max="14096" width="16.5703125" style="898" customWidth="1"/>
    <col min="14097" max="14097" width="16" style="898" customWidth="1"/>
    <col min="14098" max="14098" width="9.140625" style="898" customWidth="1"/>
    <col min="14099" max="14336" width="9.140625" style="898"/>
    <col min="14337" max="14337" width="6.28515625" style="898" bestFit="1" customWidth="1"/>
    <col min="14338" max="14338" width="57.28515625" style="898" customWidth="1"/>
    <col min="14339" max="14339" width="16.7109375" style="898" customWidth="1"/>
    <col min="14340" max="14341" width="16.5703125" style="898" customWidth="1"/>
    <col min="14342" max="14347" width="16.7109375" style="898" customWidth="1"/>
    <col min="14348" max="14348" width="18.140625" style="898" customWidth="1"/>
    <col min="14349" max="14349" width="17.7109375" style="898" customWidth="1"/>
    <col min="14350" max="14350" width="16.85546875" style="898" customWidth="1"/>
    <col min="14351" max="14352" width="16.5703125" style="898" customWidth="1"/>
    <col min="14353" max="14353" width="16" style="898" customWidth="1"/>
    <col min="14354" max="14354" width="9.140625" style="898" customWidth="1"/>
    <col min="14355" max="14592" width="9.140625" style="898"/>
    <col min="14593" max="14593" width="6.28515625" style="898" bestFit="1" customWidth="1"/>
    <col min="14594" max="14594" width="57.28515625" style="898" customWidth="1"/>
    <col min="14595" max="14595" width="16.7109375" style="898" customWidth="1"/>
    <col min="14596" max="14597" width="16.5703125" style="898" customWidth="1"/>
    <col min="14598" max="14603" width="16.7109375" style="898" customWidth="1"/>
    <col min="14604" max="14604" width="18.140625" style="898" customWidth="1"/>
    <col min="14605" max="14605" width="17.7109375" style="898" customWidth="1"/>
    <col min="14606" max="14606" width="16.85546875" style="898" customWidth="1"/>
    <col min="14607" max="14608" width="16.5703125" style="898" customWidth="1"/>
    <col min="14609" max="14609" width="16" style="898" customWidth="1"/>
    <col min="14610" max="14610" width="9.140625" style="898" customWidth="1"/>
    <col min="14611" max="14848" width="9.140625" style="898"/>
    <col min="14849" max="14849" width="6.28515625" style="898" bestFit="1" customWidth="1"/>
    <col min="14850" max="14850" width="57.28515625" style="898" customWidth="1"/>
    <col min="14851" max="14851" width="16.7109375" style="898" customWidth="1"/>
    <col min="14852" max="14853" width="16.5703125" style="898" customWidth="1"/>
    <col min="14854" max="14859" width="16.7109375" style="898" customWidth="1"/>
    <col min="14860" max="14860" width="18.140625" style="898" customWidth="1"/>
    <col min="14861" max="14861" width="17.7109375" style="898" customWidth="1"/>
    <col min="14862" max="14862" width="16.85546875" style="898" customWidth="1"/>
    <col min="14863" max="14864" width="16.5703125" style="898" customWidth="1"/>
    <col min="14865" max="14865" width="16" style="898" customWidth="1"/>
    <col min="14866" max="14866" width="9.140625" style="898" customWidth="1"/>
    <col min="14867" max="15104" width="9.140625" style="898"/>
    <col min="15105" max="15105" width="6.28515625" style="898" bestFit="1" customWidth="1"/>
    <col min="15106" max="15106" width="57.28515625" style="898" customWidth="1"/>
    <col min="15107" max="15107" width="16.7109375" style="898" customWidth="1"/>
    <col min="15108" max="15109" width="16.5703125" style="898" customWidth="1"/>
    <col min="15110" max="15115" width="16.7109375" style="898" customWidth="1"/>
    <col min="15116" max="15116" width="18.140625" style="898" customWidth="1"/>
    <col min="15117" max="15117" width="17.7109375" style="898" customWidth="1"/>
    <col min="15118" max="15118" width="16.85546875" style="898" customWidth="1"/>
    <col min="15119" max="15120" width="16.5703125" style="898" customWidth="1"/>
    <col min="15121" max="15121" width="16" style="898" customWidth="1"/>
    <col min="15122" max="15122" width="9.140625" style="898" customWidth="1"/>
    <col min="15123" max="15360" width="9.140625" style="898"/>
    <col min="15361" max="15361" width="6.28515625" style="898" bestFit="1" customWidth="1"/>
    <col min="15362" max="15362" width="57.28515625" style="898" customWidth="1"/>
    <col min="15363" max="15363" width="16.7109375" style="898" customWidth="1"/>
    <col min="15364" max="15365" width="16.5703125" style="898" customWidth="1"/>
    <col min="15366" max="15371" width="16.7109375" style="898" customWidth="1"/>
    <col min="15372" max="15372" width="18.140625" style="898" customWidth="1"/>
    <col min="15373" max="15373" width="17.7109375" style="898" customWidth="1"/>
    <col min="15374" max="15374" width="16.85546875" style="898" customWidth="1"/>
    <col min="15375" max="15376" width="16.5703125" style="898" customWidth="1"/>
    <col min="15377" max="15377" width="16" style="898" customWidth="1"/>
    <col min="15378" max="15378" width="9.140625" style="898" customWidth="1"/>
    <col min="15379" max="15616" width="9.140625" style="898"/>
    <col min="15617" max="15617" width="6.28515625" style="898" bestFit="1" customWidth="1"/>
    <col min="15618" max="15618" width="57.28515625" style="898" customWidth="1"/>
    <col min="15619" max="15619" width="16.7109375" style="898" customWidth="1"/>
    <col min="15620" max="15621" width="16.5703125" style="898" customWidth="1"/>
    <col min="15622" max="15627" width="16.7109375" style="898" customWidth="1"/>
    <col min="15628" max="15628" width="18.140625" style="898" customWidth="1"/>
    <col min="15629" max="15629" width="17.7109375" style="898" customWidth="1"/>
    <col min="15630" max="15630" width="16.85546875" style="898" customWidth="1"/>
    <col min="15631" max="15632" width="16.5703125" style="898" customWidth="1"/>
    <col min="15633" max="15633" width="16" style="898" customWidth="1"/>
    <col min="15634" max="15634" width="9.140625" style="898" customWidth="1"/>
    <col min="15635" max="15872" width="9.140625" style="898"/>
    <col min="15873" max="15873" width="6.28515625" style="898" bestFit="1" customWidth="1"/>
    <col min="15874" max="15874" width="57.28515625" style="898" customWidth="1"/>
    <col min="15875" max="15875" width="16.7109375" style="898" customWidth="1"/>
    <col min="15876" max="15877" width="16.5703125" style="898" customWidth="1"/>
    <col min="15878" max="15883" width="16.7109375" style="898" customWidth="1"/>
    <col min="15884" max="15884" width="18.140625" style="898" customWidth="1"/>
    <col min="15885" max="15885" width="17.7109375" style="898" customWidth="1"/>
    <col min="15886" max="15886" width="16.85546875" style="898" customWidth="1"/>
    <col min="15887" max="15888" width="16.5703125" style="898" customWidth="1"/>
    <col min="15889" max="15889" width="16" style="898" customWidth="1"/>
    <col min="15890" max="15890" width="9.140625" style="898" customWidth="1"/>
    <col min="15891" max="16128" width="9.140625" style="898"/>
    <col min="16129" max="16129" width="6.28515625" style="898" bestFit="1" customWidth="1"/>
    <col min="16130" max="16130" width="57.28515625" style="898" customWidth="1"/>
    <col min="16131" max="16131" width="16.7109375" style="898" customWidth="1"/>
    <col min="16132" max="16133" width="16.5703125" style="898" customWidth="1"/>
    <col min="16134" max="16139" width="16.7109375" style="898" customWidth="1"/>
    <col min="16140" max="16140" width="18.140625" style="898" customWidth="1"/>
    <col min="16141" max="16141" width="17.7109375" style="898" customWidth="1"/>
    <col min="16142" max="16142" width="16.85546875" style="898" customWidth="1"/>
    <col min="16143" max="16144" width="16.5703125" style="898" customWidth="1"/>
    <col min="16145" max="16145" width="16" style="898" customWidth="1"/>
    <col min="16146" max="16146" width="9.140625" style="898" customWidth="1"/>
    <col min="16147" max="16384" width="9.140625" style="898"/>
  </cols>
  <sheetData>
    <row r="1" spans="1:17" ht="18.75">
      <c r="A1" s="1890" t="s">
        <v>2590</v>
      </c>
      <c r="B1" s="1890"/>
      <c r="C1" s="1890"/>
      <c r="D1" s="1890"/>
      <c r="E1" s="1890"/>
      <c r="F1" s="1890"/>
      <c r="G1" s="1890"/>
      <c r="H1" s="1890"/>
      <c r="I1" s="1890"/>
      <c r="J1" s="1890"/>
      <c r="K1" s="1890"/>
      <c r="L1" s="1890"/>
      <c r="M1" s="1890"/>
      <c r="N1" s="1890"/>
      <c r="O1" s="1890"/>
      <c r="P1" s="1890"/>
      <c r="Q1" s="1890"/>
    </row>
    <row r="2" spans="1:17" ht="18.75">
      <c r="A2" s="1891" t="s">
        <v>2591</v>
      </c>
      <c r="B2" s="1891"/>
      <c r="C2" s="1891"/>
      <c r="D2" s="1891"/>
      <c r="E2" s="1891"/>
      <c r="F2" s="1891"/>
      <c r="G2" s="1891"/>
      <c r="H2" s="1891"/>
      <c r="I2" s="1891"/>
      <c r="J2" s="1891"/>
      <c r="K2" s="1891"/>
      <c r="L2" s="1891"/>
      <c r="M2" s="1891"/>
      <c r="N2" s="1891"/>
      <c r="O2" s="1891"/>
      <c r="P2" s="1891"/>
      <c r="Q2" s="1891"/>
    </row>
    <row r="3" spans="1:17" ht="18.75">
      <c r="A3" s="1892" t="s">
        <v>1072</v>
      </c>
      <c r="B3" s="1892"/>
      <c r="C3" s="1892"/>
      <c r="D3" s="1892"/>
      <c r="E3" s="1892"/>
      <c r="F3" s="1892"/>
      <c r="G3" s="1892"/>
      <c r="H3" s="1892"/>
      <c r="I3" s="1892"/>
      <c r="J3" s="1892"/>
      <c r="K3" s="1892"/>
      <c r="L3" s="1892"/>
      <c r="M3" s="1892"/>
      <c r="N3" s="1892"/>
      <c r="O3" s="1892"/>
      <c r="P3" s="1892"/>
      <c r="Q3" s="1892"/>
    </row>
    <row r="4" spans="1:17" ht="15.75">
      <c r="A4" s="899"/>
      <c r="B4" s="899"/>
      <c r="C4" s="899"/>
      <c r="D4" s="899"/>
      <c r="E4" s="899"/>
      <c r="F4" s="900"/>
      <c r="G4" s="900"/>
      <c r="H4" s="900"/>
      <c r="I4" s="900"/>
      <c r="J4" s="900"/>
      <c r="K4" s="900"/>
      <c r="L4" s="900"/>
      <c r="M4" s="900"/>
      <c r="N4" s="1893" t="s">
        <v>1073</v>
      </c>
      <c r="O4" s="1893"/>
      <c r="P4" s="1893"/>
      <c r="Q4" s="1893"/>
    </row>
    <row r="5" spans="1:17" s="901" customFormat="1" ht="12.75" customHeight="1">
      <c r="A5" s="1882" t="s">
        <v>1148</v>
      </c>
      <c r="B5" s="1882" t="s">
        <v>1074</v>
      </c>
      <c r="C5" s="1885" t="s">
        <v>2592</v>
      </c>
      <c r="D5" s="1885"/>
      <c r="E5" s="1885"/>
      <c r="F5" s="1885" t="s">
        <v>2593</v>
      </c>
      <c r="G5" s="1885"/>
      <c r="H5" s="1885"/>
      <c r="I5" s="1885" t="s">
        <v>2594</v>
      </c>
      <c r="J5" s="1885"/>
      <c r="K5" s="1885"/>
      <c r="L5" s="1894" t="s">
        <v>2595</v>
      </c>
      <c r="M5" s="1882" t="s">
        <v>2596</v>
      </c>
      <c r="N5" s="1885" t="s">
        <v>2597</v>
      </c>
      <c r="O5" s="1885"/>
      <c r="P5" s="1885"/>
      <c r="Q5" s="1886" t="s">
        <v>2598</v>
      </c>
    </row>
    <row r="6" spans="1:17" s="901" customFormat="1" ht="15.75">
      <c r="A6" s="1883"/>
      <c r="B6" s="1883"/>
      <c r="C6" s="1885"/>
      <c r="D6" s="1885"/>
      <c r="E6" s="1885"/>
      <c r="F6" s="1885"/>
      <c r="G6" s="1885"/>
      <c r="H6" s="1885"/>
      <c r="I6" s="1885"/>
      <c r="J6" s="1885"/>
      <c r="K6" s="1885"/>
      <c r="L6" s="1895"/>
      <c r="M6" s="1883"/>
      <c r="N6" s="1885"/>
      <c r="O6" s="1885"/>
      <c r="P6" s="1885"/>
      <c r="Q6" s="1887"/>
    </row>
    <row r="7" spans="1:17" s="901" customFormat="1" ht="12.75" customHeight="1">
      <c r="A7" s="1883"/>
      <c r="B7" s="1883"/>
      <c r="C7" s="1885"/>
      <c r="D7" s="1885"/>
      <c r="E7" s="1885"/>
      <c r="F7" s="1885"/>
      <c r="G7" s="1885"/>
      <c r="H7" s="1885"/>
      <c r="I7" s="1885"/>
      <c r="J7" s="1885"/>
      <c r="K7" s="1885"/>
      <c r="L7" s="1895"/>
      <c r="M7" s="1883"/>
      <c r="N7" s="1885"/>
      <c r="O7" s="1885"/>
      <c r="P7" s="1885"/>
      <c r="Q7" s="1887"/>
    </row>
    <row r="8" spans="1:17" s="901" customFormat="1" ht="15.75">
      <c r="A8" s="1883"/>
      <c r="B8" s="1883"/>
      <c r="C8" s="1885" t="s">
        <v>1075</v>
      </c>
      <c r="D8" s="1889" t="s">
        <v>2264</v>
      </c>
      <c r="E8" s="1889"/>
      <c r="F8" s="1885" t="s">
        <v>1075</v>
      </c>
      <c r="G8" s="1889" t="s">
        <v>2264</v>
      </c>
      <c r="H8" s="1889"/>
      <c r="I8" s="1885" t="s">
        <v>1075</v>
      </c>
      <c r="J8" s="1885" t="s">
        <v>2264</v>
      </c>
      <c r="K8" s="1885"/>
      <c r="L8" s="1895"/>
      <c r="M8" s="1883"/>
      <c r="N8" s="1885" t="s">
        <v>1075</v>
      </c>
      <c r="O8" s="1885" t="s">
        <v>2264</v>
      </c>
      <c r="P8" s="1885"/>
      <c r="Q8" s="1887"/>
    </row>
    <row r="9" spans="1:17" s="901" customFormat="1" ht="28.5" customHeight="1">
      <c r="A9" s="1884"/>
      <c r="B9" s="1884"/>
      <c r="C9" s="1885"/>
      <c r="D9" s="360" t="s">
        <v>2599</v>
      </c>
      <c r="E9" s="360" t="s">
        <v>2600</v>
      </c>
      <c r="F9" s="1885"/>
      <c r="G9" s="360" t="s">
        <v>2599</v>
      </c>
      <c r="H9" s="360" t="s">
        <v>2600</v>
      </c>
      <c r="I9" s="1885"/>
      <c r="J9" s="354" t="s">
        <v>2601</v>
      </c>
      <c r="K9" s="354" t="s">
        <v>2602</v>
      </c>
      <c r="L9" s="1896"/>
      <c r="M9" s="1884"/>
      <c r="N9" s="1885"/>
      <c r="O9" s="354" t="s">
        <v>2601</v>
      </c>
      <c r="P9" s="354" t="s">
        <v>2602</v>
      </c>
      <c r="Q9" s="1888"/>
    </row>
    <row r="10" spans="1:17" s="901" customFormat="1" ht="15.75">
      <c r="A10" s="902">
        <v>1</v>
      </c>
      <c r="B10" s="354">
        <v>2</v>
      </c>
      <c r="C10" s="354">
        <v>3</v>
      </c>
      <c r="D10" s="361">
        <v>4</v>
      </c>
      <c r="E10" s="361">
        <v>5</v>
      </c>
      <c r="F10" s="354">
        <v>6</v>
      </c>
      <c r="G10" s="361">
        <v>7</v>
      </c>
      <c r="H10" s="361">
        <v>8</v>
      </c>
      <c r="I10" s="354">
        <v>9</v>
      </c>
      <c r="J10" s="354">
        <v>10</v>
      </c>
      <c r="K10" s="354">
        <v>11</v>
      </c>
      <c r="L10" s="354">
        <v>12</v>
      </c>
      <c r="M10" s="354">
        <v>13</v>
      </c>
      <c r="N10" s="354">
        <v>14</v>
      </c>
      <c r="O10" s="354">
        <v>15</v>
      </c>
      <c r="P10" s="354">
        <v>16</v>
      </c>
      <c r="Q10" s="354">
        <v>17</v>
      </c>
    </row>
    <row r="11" spans="1:17" s="906" customFormat="1" ht="15.75">
      <c r="A11" s="903">
        <v>1</v>
      </c>
      <c r="B11" s="904" t="s">
        <v>1076</v>
      </c>
      <c r="C11" s="905">
        <v>48791130</v>
      </c>
      <c r="D11" s="905">
        <v>47620544</v>
      </c>
      <c r="E11" s="905">
        <v>1170586</v>
      </c>
      <c r="F11" s="905">
        <v>8507411</v>
      </c>
      <c r="G11" s="905">
        <v>8506669</v>
      </c>
      <c r="H11" s="905">
        <v>742</v>
      </c>
      <c r="I11" s="905">
        <v>20226045</v>
      </c>
      <c r="J11" s="905">
        <v>10274512</v>
      </c>
      <c r="K11" s="905">
        <v>9951533</v>
      </c>
      <c r="L11" s="905">
        <v>37072496</v>
      </c>
      <c r="M11" s="905">
        <v>5139927</v>
      </c>
      <c r="N11" s="905">
        <v>6717339</v>
      </c>
      <c r="O11" s="905">
        <v>381275</v>
      </c>
      <c r="P11" s="905">
        <v>6336064</v>
      </c>
      <c r="Q11" s="905">
        <v>38649908</v>
      </c>
    </row>
    <row r="12" spans="1:17" ht="31.5">
      <c r="A12" s="907" t="s">
        <v>954</v>
      </c>
      <c r="B12" s="908" t="s">
        <v>1077</v>
      </c>
      <c r="C12" s="909">
        <v>27915310</v>
      </c>
      <c r="D12" s="909">
        <v>26902713</v>
      </c>
      <c r="E12" s="909">
        <v>1012597</v>
      </c>
      <c r="F12" s="909">
        <v>8872</v>
      </c>
      <c r="G12" s="909">
        <v>8631</v>
      </c>
      <c r="H12" s="909">
        <v>241</v>
      </c>
      <c r="I12" s="909">
        <v>6612122</v>
      </c>
      <c r="J12" s="909">
        <v>925114</v>
      </c>
      <c r="K12" s="909">
        <v>5687008</v>
      </c>
      <c r="L12" s="909">
        <v>21312060</v>
      </c>
      <c r="M12" s="909">
        <v>769007</v>
      </c>
      <c r="N12" s="909">
        <v>2675104</v>
      </c>
      <c r="O12" s="909">
        <v>-241131</v>
      </c>
      <c r="P12" s="909">
        <v>2916235</v>
      </c>
      <c r="Q12" s="909">
        <v>23218157</v>
      </c>
    </row>
    <row r="13" spans="1:17" ht="31.5">
      <c r="A13" s="907" t="s">
        <v>1078</v>
      </c>
      <c r="B13" s="908" t="s">
        <v>1079</v>
      </c>
      <c r="C13" s="909">
        <v>1294349</v>
      </c>
      <c r="D13" s="909">
        <v>1284209</v>
      </c>
      <c r="E13" s="909">
        <v>10140</v>
      </c>
      <c r="F13" s="909">
        <v>15056</v>
      </c>
      <c r="G13" s="909">
        <v>15056</v>
      </c>
      <c r="H13" s="909">
        <v>0</v>
      </c>
      <c r="I13" s="909">
        <v>29391</v>
      </c>
      <c r="J13" s="909">
        <v>29391</v>
      </c>
      <c r="K13" s="909">
        <v>0</v>
      </c>
      <c r="L13" s="909">
        <v>1280014</v>
      </c>
      <c r="M13" s="909">
        <v>107920</v>
      </c>
      <c r="N13" s="909">
        <v>-24326</v>
      </c>
      <c r="O13" s="909">
        <v>-24326</v>
      </c>
      <c r="P13" s="909">
        <v>0</v>
      </c>
      <c r="Q13" s="909">
        <v>1147768</v>
      </c>
    </row>
    <row r="14" spans="1:17" ht="15.75">
      <c r="A14" s="907" t="s">
        <v>1080</v>
      </c>
      <c r="B14" s="908" t="s">
        <v>1081</v>
      </c>
      <c r="C14" s="909">
        <v>411774</v>
      </c>
      <c r="D14" s="909">
        <v>411774</v>
      </c>
      <c r="E14" s="909">
        <v>0</v>
      </c>
      <c r="F14" s="909">
        <v>0</v>
      </c>
      <c r="G14" s="909">
        <v>0</v>
      </c>
      <c r="H14" s="909">
        <v>0</v>
      </c>
      <c r="I14" s="909">
        <v>0</v>
      </c>
      <c r="J14" s="909">
        <v>0</v>
      </c>
      <c r="K14" s="909">
        <v>0</v>
      </c>
      <c r="L14" s="909">
        <v>411774</v>
      </c>
      <c r="M14" s="909">
        <v>-19391</v>
      </c>
      <c r="N14" s="909">
        <v>0</v>
      </c>
      <c r="O14" s="909">
        <v>0</v>
      </c>
      <c r="P14" s="909">
        <v>0</v>
      </c>
      <c r="Q14" s="909">
        <v>431165</v>
      </c>
    </row>
    <row r="15" spans="1:17" ht="31.5">
      <c r="A15" s="907" t="s">
        <v>1082</v>
      </c>
      <c r="B15" s="908" t="s">
        <v>1083</v>
      </c>
      <c r="C15" s="909">
        <v>42004</v>
      </c>
      <c r="D15" s="909">
        <v>42004</v>
      </c>
      <c r="E15" s="909">
        <v>0</v>
      </c>
      <c r="F15" s="909">
        <v>0</v>
      </c>
      <c r="G15" s="909">
        <v>0</v>
      </c>
      <c r="H15" s="909">
        <v>0</v>
      </c>
      <c r="I15" s="909">
        <v>0</v>
      </c>
      <c r="J15" s="909">
        <v>0</v>
      </c>
      <c r="K15" s="909">
        <v>0</v>
      </c>
      <c r="L15" s="909">
        <v>42004</v>
      </c>
      <c r="M15" s="909">
        <v>-3545</v>
      </c>
      <c r="N15" s="909">
        <v>82</v>
      </c>
      <c r="O15" s="909">
        <v>82</v>
      </c>
      <c r="P15" s="909">
        <v>0</v>
      </c>
      <c r="Q15" s="909">
        <v>45631</v>
      </c>
    </row>
    <row r="16" spans="1:17" ht="15.75">
      <c r="A16" s="907" t="s">
        <v>1084</v>
      </c>
      <c r="B16" s="908" t="s">
        <v>1085</v>
      </c>
      <c r="C16" s="909">
        <v>903295</v>
      </c>
      <c r="D16" s="909">
        <v>891220</v>
      </c>
      <c r="E16" s="909">
        <v>12075</v>
      </c>
      <c r="F16" s="909">
        <v>9477</v>
      </c>
      <c r="G16" s="909">
        <v>9477</v>
      </c>
      <c r="H16" s="909">
        <v>0</v>
      </c>
      <c r="I16" s="909">
        <v>11565</v>
      </c>
      <c r="J16" s="909">
        <v>11565</v>
      </c>
      <c r="K16" s="909">
        <v>0</v>
      </c>
      <c r="L16" s="909">
        <v>901207</v>
      </c>
      <c r="M16" s="909">
        <v>17865</v>
      </c>
      <c r="N16" s="909">
        <v>1420</v>
      </c>
      <c r="O16" s="909">
        <v>1420</v>
      </c>
      <c r="P16" s="909">
        <v>0</v>
      </c>
      <c r="Q16" s="909">
        <v>884762</v>
      </c>
    </row>
    <row r="17" spans="1:21" ht="31.5">
      <c r="A17" s="907" t="s">
        <v>1086</v>
      </c>
      <c r="B17" s="908" t="s">
        <v>1087</v>
      </c>
      <c r="C17" s="909">
        <v>14503</v>
      </c>
      <c r="D17" s="909">
        <v>14503</v>
      </c>
      <c r="E17" s="909">
        <v>0</v>
      </c>
      <c r="F17" s="909">
        <v>-40</v>
      </c>
      <c r="G17" s="909">
        <v>0</v>
      </c>
      <c r="H17" s="909">
        <v>-40</v>
      </c>
      <c r="I17" s="909">
        <v>0</v>
      </c>
      <c r="J17" s="909">
        <v>0</v>
      </c>
      <c r="K17" s="909">
        <v>0</v>
      </c>
      <c r="L17" s="909">
        <v>14463</v>
      </c>
      <c r="M17" s="909">
        <v>-11626</v>
      </c>
      <c r="N17" s="909">
        <v>20</v>
      </c>
      <c r="O17" s="909">
        <v>20</v>
      </c>
      <c r="P17" s="909">
        <v>0</v>
      </c>
      <c r="Q17" s="909">
        <v>26109</v>
      </c>
    </row>
    <row r="18" spans="1:21" ht="31.5">
      <c r="A18" s="907" t="s">
        <v>1088</v>
      </c>
      <c r="B18" s="908" t="s">
        <v>1089</v>
      </c>
      <c r="C18" s="909">
        <v>85359</v>
      </c>
      <c r="D18" s="909">
        <v>85359</v>
      </c>
      <c r="E18" s="909">
        <v>0</v>
      </c>
      <c r="F18" s="909">
        <v>1637</v>
      </c>
      <c r="G18" s="909">
        <v>1637</v>
      </c>
      <c r="H18" s="909">
        <v>0</v>
      </c>
      <c r="I18" s="909">
        <v>1897</v>
      </c>
      <c r="J18" s="909">
        <v>1897</v>
      </c>
      <c r="K18" s="909">
        <v>0</v>
      </c>
      <c r="L18" s="909">
        <v>85099</v>
      </c>
      <c r="M18" s="909">
        <v>12981</v>
      </c>
      <c r="N18" s="909">
        <v>1053</v>
      </c>
      <c r="O18" s="909">
        <v>1053</v>
      </c>
      <c r="P18" s="909">
        <v>0</v>
      </c>
      <c r="Q18" s="909">
        <v>73171</v>
      </c>
    </row>
    <row r="19" spans="1:21" ht="47.25">
      <c r="A19" s="907" t="s">
        <v>1090</v>
      </c>
      <c r="B19" s="908" t="s">
        <v>1091</v>
      </c>
      <c r="C19" s="909">
        <v>514462</v>
      </c>
      <c r="D19" s="909">
        <v>506695</v>
      </c>
      <c r="E19" s="909">
        <v>7767</v>
      </c>
      <c r="F19" s="909">
        <v>16856</v>
      </c>
      <c r="G19" s="909">
        <v>16856</v>
      </c>
      <c r="H19" s="909">
        <v>0</v>
      </c>
      <c r="I19" s="909">
        <v>21530</v>
      </c>
      <c r="J19" s="909">
        <v>21375</v>
      </c>
      <c r="K19" s="909">
        <v>155</v>
      </c>
      <c r="L19" s="909">
        <v>509788</v>
      </c>
      <c r="M19" s="909">
        <v>-100348</v>
      </c>
      <c r="N19" s="909">
        <v>-85065</v>
      </c>
      <c r="O19" s="909">
        <v>-45864</v>
      </c>
      <c r="P19" s="909">
        <v>-39201</v>
      </c>
      <c r="Q19" s="909">
        <v>525071</v>
      </c>
    </row>
    <row r="20" spans="1:21" ht="31.5">
      <c r="A20" s="907" t="s">
        <v>1092</v>
      </c>
      <c r="B20" s="908" t="s">
        <v>1093</v>
      </c>
      <c r="C20" s="909">
        <v>17610074</v>
      </c>
      <c r="D20" s="909">
        <v>17482067</v>
      </c>
      <c r="E20" s="909">
        <v>128007</v>
      </c>
      <c r="F20" s="909">
        <v>8455553</v>
      </c>
      <c r="G20" s="909">
        <v>8455012</v>
      </c>
      <c r="H20" s="909">
        <v>541</v>
      </c>
      <c r="I20" s="909">
        <v>13549540</v>
      </c>
      <c r="J20" s="909">
        <v>9285170</v>
      </c>
      <c r="K20" s="909">
        <v>4264370</v>
      </c>
      <c r="L20" s="909">
        <v>12516087</v>
      </c>
      <c r="M20" s="909">
        <v>4367064</v>
      </c>
      <c r="N20" s="909">
        <v>4149051</v>
      </c>
      <c r="O20" s="909">
        <v>690021</v>
      </c>
      <c r="P20" s="909">
        <v>3459030</v>
      </c>
      <c r="Q20" s="909">
        <v>12298074</v>
      </c>
    </row>
    <row r="21" spans="1:21" ht="15.75">
      <c r="A21" s="907" t="s">
        <v>1094</v>
      </c>
      <c r="B21" s="908" t="s">
        <v>1095</v>
      </c>
      <c r="C21" s="909">
        <v>0</v>
      </c>
      <c r="D21" s="909">
        <v>0</v>
      </c>
      <c r="E21" s="909">
        <v>0</v>
      </c>
      <c r="F21" s="909">
        <v>0</v>
      </c>
      <c r="G21" s="909">
        <v>0</v>
      </c>
      <c r="H21" s="909">
        <v>0</v>
      </c>
      <c r="I21" s="909">
        <v>0</v>
      </c>
      <c r="J21" s="909">
        <v>0</v>
      </c>
      <c r="K21" s="909">
        <v>0</v>
      </c>
      <c r="L21" s="909">
        <v>0</v>
      </c>
      <c r="M21" s="909">
        <v>0</v>
      </c>
      <c r="N21" s="909">
        <v>0</v>
      </c>
      <c r="O21" s="909">
        <v>0</v>
      </c>
      <c r="P21" s="909">
        <v>0</v>
      </c>
      <c r="Q21" s="909">
        <v>0</v>
      </c>
    </row>
    <row r="22" spans="1:21" s="906" customFormat="1" ht="15.75">
      <c r="A22" s="903">
        <v>2</v>
      </c>
      <c r="B22" s="904" t="s">
        <v>1096</v>
      </c>
      <c r="C22" s="905">
        <v>85156566</v>
      </c>
      <c r="D22" s="905">
        <v>84384432</v>
      </c>
      <c r="E22" s="905">
        <v>772134</v>
      </c>
      <c r="F22" s="905">
        <v>2019163</v>
      </c>
      <c r="G22" s="905">
        <v>1002864</v>
      </c>
      <c r="H22" s="905">
        <v>1016299</v>
      </c>
      <c r="I22" s="905">
        <v>1255635</v>
      </c>
      <c r="J22" s="905">
        <v>921784</v>
      </c>
      <c r="K22" s="905">
        <v>333851</v>
      </c>
      <c r="L22" s="905">
        <v>85920094</v>
      </c>
      <c r="M22" s="905">
        <v>6381743</v>
      </c>
      <c r="N22" s="905">
        <v>311550</v>
      </c>
      <c r="O22" s="905">
        <v>257441</v>
      </c>
      <c r="P22" s="905">
        <v>54109</v>
      </c>
      <c r="Q22" s="905">
        <v>79849901</v>
      </c>
    </row>
    <row r="23" spans="1:21" ht="15.75">
      <c r="A23" s="907" t="s">
        <v>1097</v>
      </c>
      <c r="B23" s="908" t="s">
        <v>1098</v>
      </c>
      <c r="C23" s="909">
        <v>15020691</v>
      </c>
      <c r="D23" s="909">
        <v>14905972</v>
      </c>
      <c r="E23" s="909">
        <v>114719</v>
      </c>
      <c r="F23" s="909">
        <v>2662</v>
      </c>
      <c r="G23" s="909">
        <v>0</v>
      </c>
      <c r="H23" s="909">
        <v>2662</v>
      </c>
      <c r="I23" s="909">
        <v>242648</v>
      </c>
      <c r="J23" s="909">
        <v>0</v>
      </c>
      <c r="K23" s="909">
        <v>242648</v>
      </c>
      <c r="L23" s="909">
        <v>14780705</v>
      </c>
      <c r="M23" s="909">
        <v>10366</v>
      </c>
      <c r="N23" s="909">
        <v>6130</v>
      </c>
      <c r="O23" s="909">
        <v>0</v>
      </c>
      <c r="P23" s="909">
        <v>6130</v>
      </c>
      <c r="Q23" s="909">
        <v>14776469</v>
      </c>
    </row>
    <row r="24" spans="1:21" ht="15.75">
      <c r="A24" s="907" t="s">
        <v>1099</v>
      </c>
      <c r="B24" s="908" t="s">
        <v>1100</v>
      </c>
      <c r="C24" s="909">
        <v>37417168</v>
      </c>
      <c r="D24" s="909">
        <v>37415894</v>
      </c>
      <c r="E24" s="909">
        <v>1274</v>
      </c>
      <c r="F24" s="909">
        <v>0</v>
      </c>
      <c r="G24" s="909">
        <v>0</v>
      </c>
      <c r="H24" s="909">
        <v>0</v>
      </c>
      <c r="I24" s="909">
        <v>2415</v>
      </c>
      <c r="J24" s="909">
        <v>0</v>
      </c>
      <c r="K24" s="909">
        <v>2415</v>
      </c>
      <c r="L24" s="909">
        <v>37414753</v>
      </c>
      <c r="M24" s="909">
        <v>1094555</v>
      </c>
      <c r="N24" s="909">
        <v>17557</v>
      </c>
      <c r="O24" s="909">
        <v>0</v>
      </c>
      <c r="P24" s="909">
        <v>17557</v>
      </c>
      <c r="Q24" s="909">
        <v>36337755</v>
      </c>
    </row>
    <row r="25" spans="1:21" ht="63">
      <c r="A25" s="907" t="s">
        <v>1101</v>
      </c>
      <c r="B25" s="908" t="s">
        <v>1102</v>
      </c>
      <c r="C25" s="909">
        <v>30444209</v>
      </c>
      <c r="D25" s="909">
        <v>30444209</v>
      </c>
      <c r="E25" s="909">
        <v>0</v>
      </c>
      <c r="F25" s="909">
        <v>0</v>
      </c>
      <c r="G25" s="909">
        <v>0</v>
      </c>
      <c r="H25" s="909">
        <v>0</v>
      </c>
      <c r="I25" s="909">
        <v>0</v>
      </c>
      <c r="J25" s="909">
        <v>0</v>
      </c>
      <c r="K25" s="909">
        <v>0</v>
      </c>
      <c r="L25" s="909">
        <v>30444209</v>
      </c>
      <c r="M25" s="909">
        <v>0</v>
      </c>
      <c r="N25" s="909">
        <v>0</v>
      </c>
      <c r="O25" s="909">
        <v>0</v>
      </c>
      <c r="P25" s="909">
        <v>0</v>
      </c>
      <c r="Q25" s="909">
        <v>30444209</v>
      </c>
    </row>
    <row r="26" spans="1:21" ht="78.75">
      <c r="A26" s="907" t="s">
        <v>1103</v>
      </c>
      <c r="B26" s="908" t="s">
        <v>1104</v>
      </c>
      <c r="C26" s="909">
        <v>6019846</v>
      </c>
      <c r="D26" s="909">
        <v>6019846</v>
      </c>
      <c r="E26" s="909">
        <v>0</v>
      </c>
      <c r="F26" s="909">
        <v>0</v>
      </c>
      <c r="G26" s="909">
        <v>0</v>
      </c>
      <c r="H26" s="909">
        <v>0</v>
      </c>
      <c r="I26" s="909">
        <v>0</v>
      </c>
      <c r="J26" s="909">
        <v>0</v>
      </c>
      <c r="K26" s="909">
        <v>0</v>
      </c>
      <c r="L26" s="909">
        <v>6019846</v>
      </c>
      <c r="M26" s="909">
        <v>1094555</v>
      </c>
      <c r="N26" s="909">
        <v>17557</v>
      </c>
      <c r="O26" s="909">
        <v>0</v>
      </c>
      <c r="P26" s="909">
        <v>17557</v>
      </c>
      <c r="Q26" s="909">
        <v>4942848</v>
      </c>
    </row>
    <row r="27" spans="1:21" ht="15.75">
      <c r="A27" s="907" t="s">
        <v>1105</v>
      </c>
      <c r="B27" s="908" t="s">
        <v>1106</v>
      </c>
      <c r="C27" s="909">
        <v>953113</v>
      </c>
      <c r="D27" s="909">
        <v>951839</v>
      </c>
      <c r="E27" s="909">
        <v>1274</v>
      </c>
      <c r="F27" s="909">
        <v>0</v>
      </c>
      <c r="G27" s="909">
        <v>0</v>
      </c>
      <c r="H27" s="909">
        <v>0</v>
      </c>
      <c r="I27" s="909">
        <v>2415</v>
      </c>
      <c r="J27" s="909">
        <v>0</v>
      </c>
      <c r="K27" s="909">
        <v>2415</v>
      </c>
      <c r="L27" s="909">
        <v>950698</v>
      </c>
      <c r="M27" s="909">
        <v>0</v>
      </c>
      <c r="N27" s="909">
        <v>0</v>
      </c>
      <c r="O27" s="909">
        <v>0</v>
      </c>
      <c r="P27" s="909">
        <v>0</v>
      </c>
      <c r="Q27" s="909">
        <v>950698</v>
      </c>
    </row>
    <row r="28" spans="1:21" ht="15.75">
      <c r="A28" s="907" t="s">
        <v>1107</v>
      </c>
      <c r="B28" s="908" t="s">
        <v>1108</v>
      </c>
      <c r="C28" s="909">
        <v>17089935</v>
      </c>
      <c r="D28" s="909">
        <v>16979045</v>
      </c>
      <c r="E28" s="909">
        <v>110890</v>
      </c>
      <c r="F28" s="909">
        <v>1095261</v>
      </c>
      <c r="G28" s="909">
        <v>97234</v>
      </c>
      <c r="H28" s="909">
        <v>998027</v>
      </c>
      <c r="I28" s="909">
        <v>143048</v>
      </c>
      <c r="J28" s="909">
        <v>54435</v>
      </c>
      <c r="K28" s="909">
        <v>88613</v>
      </c>
      <c r="L28" s="909">
        <v>18042148</v>
      </c>
      <c r="M28" s="909">
        <v>4115707</v>
      </c>
      <c r="N28" s="909">
        <v>38278</v>
      </c>
      <c r="O28" s="909">
        <v>8028</v>
      </c>
      <c r="P28" s="909">
        <v>30250</v>
      </c>
      <c r="Q28" s="909">
        <v>13964719</v>
      </c>
    </row>
    <row r="29" spans="1:21" s="946" customFormat="1" ht="20.25">
      <c r="A29" s="943" t="s">
        <v>1109</v>
      </c>
      <c r="B29" s="944" t="s">
        <v>1110</v>
      </c>
      <c r="C29" s="945">
        <v>15628772</v>
      </c>
      <c r="D29" s="945">
        <v>15083521</v>
      </c>
      <c r="E29" s="945">
        <v>545251</v>
      </c>
      <c r="F29" s="945">
        <v>921240</v>
      </c>
      <c r="G29" s="945">
        <v>905630</v>
      </c>
      <c r="H29" s="945">
        <v>15610</v>
      </c>
      <c r="I29" s="945">
        <v>867524</v>
      </c>
      <c r="J29" s="945">
        <v>867349</v>
      </c>
      <c r="K29" s="945">
        <v>175</v>
      </c>
      <c r="L29" s="945">
        <v>15682488</v>
      </c>
      <c r="M29" s="945">
        <v>1161115</v>
      </c>
      <c r="N29" s="945">
        <v>249585</v>
      </c>
      <c r="O29" s="945">
        <v>249413</v>
      </c>
      <c r="P29" s="945">
        <v>172</v>
      </c>
      <c r="Q29" s="947">
        <v>14770958</v>
      </c>
      <c r="R29" s="948">
        <v>10216773</v>
      </c>
      <c r="T29" s="1442" t="s">
        <v>2878</v>
      </c>
      <c r="U29" s="1443">
        <f>Q29-R29</f>
        <v>4554185</v>
      </c>
    </row>
    <row r="30" spans="1:21" ht="15.75">
      <c r="A30" s="907" t="s">
        <v>959</v>
      </c>
      <c r="B30" s="908" t="s">
        <v>1095</v>
      </c>
      <c r="C30" s="909">
        <v>0</v>
      </c>
      <c r="D30" s="909">
        <v>0</v>
      </c>
      <c r="E30" s="909">
        <v>0</v>
      </c>
      <c r="F30" s="909">
        <v>0</v>
      </c>
      <c r="G30" s="909">
        <v>0</v>
      </c>
      <c r="H30" s="909">
        <v>0</v>
      </c>
      <c r="I30" s="909">
        <v>0</v>
      </c>
      <c r="J30" s="909">
        <v>0</v>
      </c>
      <c r="K30" s="909">
        <v>0</v>
      </c>
      <c r="L30" s="909">
        <v>0</v>
      </c>
      <c r="M30" s="909">
        <v>0</v>
      </c>
      <c r="N30" s="909">
        <v>0</v>
      </c>
      <c r="O30" s="909">
        <v>0</v>
      </c>
      <c r="P30" s="909">
        <v>0</v>
      </c>
      <c r="Q30" s="909">
        <v>0</v>
      </c>
    </row>
    <row r="31" spans="1:21" s="906" customFormat="1" ht="15.75">
      <c r="A31" s="903">
        <v>3</v>
      </c>
      <c r="B31" s="904" t="s">
        <v>1111</v>
      </c>
      <c r="C31" s="905">
        <v>77723614</v>
      </c>
      <c r="D31" s="905">
        <v>75508959</v>
      </c>
      <c r="E31" s="905">
        <v>2214655</v>
      </c>
      <c r="F31" s="905">
        <v>15103549</v>
      </c>
      <c r="G31" s="905">
        <v>5938479</v>
      </c>
      <c r="H31" s="905">
        <v>9165070</v>
      </c>
      <c r="I31" s="905">
        <v>43758344</v>
      </c>
      <c r="J31" s="905">
        <v>5795319</v>
      </c>
      <c r="K31" s="905">
        <v>37963025</v>
      </c>
      <c r="L31" s="905">
        <v>49068819</v>
      </c>
      <c r="M31" s="905">
        <v>6075262</v>
      </c>
      <c r="N31" s="905">
        <v>-2042035</v>
      </c>
      <c r="O31" s="905">
        <v>-357864</v>
      </c>
      <c r="P31" s="905">
        <v>-1684171</v>
      </c>
      <c r="Q31" s="905">
        <v>40951522</v>
      </c>
    </row>
    <row r="32" spans="1:21" ht="15.75">
      <c r="A32" s="907" t="s">
        <v>1112</v>
      </c>
      <c r="B32" s="908" t="s">
        <v>1113</v>
      </c>
      <c r="C32" s="909">
        <v>6426123</v>
      </c>
      <c r="D32" s="909">
        <v>6146491</v>
      </c>
      <c r="E32" s="909">
        <v>279632</v>
      </c>
      <c r="F32" s="909">
        <v>304562</v>
      </c>
      <c r="G32" s="909">
        <v>204083</v>
      </c>
      <c r="H32" s="909">
        <v>100479</v>
      </c>
      <c r="I32" s="909">
        <v>1067368</v>
      </c>
      <c r="J32" s="909">
        <v>298373</v>
      </c>
      <c r="K32" s="909">
        <v>768995</v>
      </c>
      <c r="L32" s="909">
        <v>5663317</v>
      </c>
      <c r="M32" s="909">
        <v>1409699</v>
      </c>
      <c r="N32" s="909">
        <v>452998</v>
      </c>
      <c r="O32" s="909">
        <v>201775</v>
      </c>
      <c r="P32" s="909">
        <v>251223</v>
      </c>
      <c r="Q32" s="909">
        <v>4706616</v>
      </c>
    </row>
    <row r="33" spans="1:17" ht="15.75">
      <c r="A33" s="907" t="s">
        <v>1114</v>
      </c>
      <c r="B33" s="908" t="s">
        <v>1115</v>
      </c>
      <c r="C33" s="909">
        <v>475056</v>
      </c>
      <c r="D33" s="909">
        <v>474467</v>
      </c>
      <c r="E33" s="909">
        <v>589</v>
      </c>
      <c r="F33" s="909">
        <v>143928</v>
      </c>
      <c r="G33" s="909">
        <v>111650</v>
      </c>
      <c r="H33" s="909">
        <v>32278</v>
      </c>
      <c r="I33" s="909">
        <v>174652</v>
      </c>
      <c r="J33" s="909">
        <v>56509</v>
      </c>
      <c r="K33" s="909">
        <v>118143</v>
      </c>
      <c r="L33" s="909">
        <v>444332</v>
      </c>
      <c r="M33" s="909">
        <v>-1312913</v>
      </c>
      <c r="N33" s="909">
        <v>-1288209</v>
      </c>
      <c r="O33" s="909">
        <v>-11356</v>
      </c>
      <c r="P33" s="909">
        <v>-1276853</v>
      </c>
      <c r="Q33" s="909">
        <v>469036</v>
      </c>
    </row>
    <row r="34" spans="1:17" ht="15.75">
      <c r="A34" s="907" t="s">
        <v>1116</v>
      </c>
      <c r="B34" s="908" t="s">
        <v>1117</v>
      </c>
      <c r="C34" s="909">
        <v>1582089</v>
      </c>
      <c r="D34" s="909">
        <v>1544972</v>
      </c>
      <c r="E34" s="909">
        <v>37117</v>
      </c>
      <c r="F34" s="909">
        <v>439035</v>
      </c>
      <c r="G34" s="909">
        <v>316822</v>
      </c>
      <c r="H34" s="909">
        <v>122213</v>
      </c>
      <c r="I34" s="909">
        <v>1226811</v>
      </c>
      <c r="J34" s="909">
        <v>239180</v>
      </c>
      <c r="K34" s="909">
        <v>987631</v>
      </c>
      <c r="L34" s="909">
        <v>794313</v>
      </c>
      <c r="M34" s="909">
        <v>40526</v>
      </c>
      <c r="N34" s="909">
        <v>84979</v>
      </c>
      <c r="O34" s="909">
        <v>25248</v>
      </c>
      <c r="P34" s="909">
        <v>59731</v>
      </c>
      <c r="Q34" s="909">
        <v>838766</v>
      </c>
    </row>
    <row r="35" spans="1:17" ht="15.75">
      <c r="A35" s="907" t="s">
        <v>1118</v>
      </c>
      <c r="B35" s="908" t="s">
        <v>1119</v>
      </c>
      <c r="C35" s="909">
        <v>1020940</v>
      </c>
      <c r="D35" s="909">
        <v>698198</v>
      </c>
      <c r="E35" s="909">
        <v>322742</v>
      </c>
      <c r="F35" s="909">
        <v>475443</v>
      </c>
      <c r="G35" s="909">
        <v>78197</v>
      </c>
      <c r="H35" s="909">
        <v>397246</v>
      </c>
      <c r="I35" s="909">
        <v>968604</v>
      </c>
      <c r="J35" s="909">
        <v>23844</v>
      </c>
      <c r="K35" s="909">
        <v>944760</v>
      </c>
      <c r="L35" s="909">
        <v>527779</v>
      </c>
      <c r="M35" s="909">
        <v>120065</v>
      </c>
      <c r="N35" s="909">
        <v>27566</v>
      </c>
      <c r="O35" s="909">
        <v>2889</v>
      </c>
      <c r="P35" s="909">
        <v>24677</v>
      </c>
      <c r="Q35" s="909">
        <v>435280</v>
      </c>
    </row>
    <row r="36" spans="1:17" ht="15.75">
      <c r="A36" s="907" t="s">
        <v>1120</v>
      </c>
      <c r="B36" s="908" t="s">
        <v>1121</v>
      </c>
      <c r="C36" s="909">
        <v>4347204</v>
      </c>
      <c r="D36" s="909">
        <v>4212573</v>
      </c>
      <c r="E36" s="909">
        <v>134631</v>
      </c>
      <c r="F36" s="909">
        <v>174304</v>
      </c>
      <c r="G36" s="909">
        <v>151620</v>
      </c>
      <c r="H36" s="909">
        <v>22684</v>
      </c>
      <c r="I36" s="909">
        <v>2450046</v>
      </c>
      <c r="J36" s="909">
        <v>91968</v>
      </c>
      <c r="K36" s="909">
        <v>2358078</v>
      </c>
      <c r="L36" s="909">
        <v>2071462</v>
      </c>
      <c r="M36" s="909">
        <v>-808116</v>
      </c>
      <c r="N36" s="909">
        <v>-551623</v>
      </c>
      <c r="O36" s="909">
        <v>27824</v>
      </c>
      <c r="P36" s="909">
        <v>-579447</v>
      </c>
      <c r="Q36" s="909">
        <v>2327955</v>
      </c>
    </row>
    <row r="37" spans="1:17" ht="31.5">
      <c r="A37" s="907" t="s">
        <v>1122</v>
      </c>
      <c r="B37" s="908" t="s">
        <v>1123</v>
      </c>
      <c r="C37" s="909">
        <v>35304599</v>
      </c>
      <c r="D37" s="909">
        <v>34486532</v>
      </c>
      <c r="E37" s="909">
        <v>818067</v>
      </c>
      <c r="F37" s="909">
        <v>11543694</v>
      </c>
      <c r="G37" s="909">
        <v>3255742</v>
      </c>
      <c r="H37" s="909">
        <v>8287952</v>
      </c>
      <c r="I37" s="909">
        <v>24751608</v>
      </c>
      <c r="J37" s="909">
        <v>2984195</v>
      </c>
      <c r="K37" s="909">
        <v>21767413</v>
      </c>
      <c r="L37" s="909">
        <v>22096685</v>
      </c>
      <c r="M37" s="909">
        <v>888334</v>
      </c>
      <c r="N37" s="909">
        <v>226579</v>
      </c>
      <c r="O37" s="909">
        <v>-328514</v>
      </c>
      <c r="P37" s="909">
        <v>555093</v>
      </c>
      <c r="Q37" s="909">
        <v>21434930</v>
      </c>
    </row>
    <row r="38" spans="1:17" ht="31.5">
      <c r="A38" s="907" t="s">
        <v>1124</v>
      </c>
      <c r="B38" s="908" t="s">
        <v>1125</v>
      </c>
      <c r="C38" s="909">
        <v>393817</v>
      </c>
      <c r="D38" s="909">
        <v>375228</v>
      </c>
      <c r="E38" s="909">
        <v>18589</v>
      </c>
      <c r="F38" s="909">
        <v>101130</v>
      </c>
      <c r="G38" s="909">
        <v>75865</v>
      </c>
      <c r="H38" s="909">
        <v>25265</v>
      </c>
      <c r="I38" s="909">
        <v>42352</v>
      </c>
      <c r="J38" s="909">
        <v>16085</v>
      </c>
      <c r="K38" s="909">
        <v>26267</v>
      </c>
      <c r="L38" s="909">
        <v>452595</v>
      </c>
      <c r="M38" s="909">
        <v>-20653</v>
      </c>
      <c r="N38" s="909">
        <v>-1088</v>
      </c>
      <c r="O38" s="909">
        <v>-2527</v>
      </c>
      <c r="P38" s="909">
        <v>1439</v>
      </c>
      <c r="Q38" s="909">
        <v>472160</v>
      </c>
    </row>
    <row r="39" spans="1:17" ht="31.5">
      <c r="A39" s="907" t="s">
        <v>1126</v>
      </c>
      <c r="B39" s="908" t="s">
        <v>1127</v>
      </c>
      <c r="C39" s="909">
        <v>1241826</v>
      </c>
      <c r="D39" s="909">
        <v>1236205</v>
      </c>
      <c r="E39" s="909">
        <v>5621</v>
      </c>
      <c r="F39" s="909">
        <v>358481</v>
      </c>
      <c r="G39" s="909">
        <v>352370</v>
      </c>
      <c r="H39" s="909">
        <v>6111</v>
      </c>
      <c r="I39" s="909">
        <v>1235371</v>
      </c>
      <c r="J39" s="909">
        <v>305867</v>
      </c>
      <c r="K39" s="909">
        <v>929504</v>
      </c>
      <c r="L39" s="909">
        <v>364936</v>
      </c>
      <c r="M39" s="909">
        <v>357788</v>
      </c>
      <c r="N39" s="909">
        <v>314103</v>
      </c>
      <c r="O39" s="909">
        <v>155950</v>
      </c>
      <c r="P39" s="909">
        <v>158153</v>
      </c>
      <c r="Q39" s="909">
        <v>321251</v>
      </c>
    </row>
    <row r="40" spans="1:17" ht="31.5">
      <c r="A40" s="907" t="s">
        <v>1128</v>
      </c>
      <c r="B40" s="908" t="s">
        <v>1129</v>
      </c>
      <c r="C40" s="909">
        <v>457196</v>
      </c>
      <c r="D40" s="909">
        <v>376347</v>
      </c>
      <c r="E40" s="909">
        <v>80849</v>
      </c>
      <c r="F40" s="909">
        <v>82764</v>
      </c>
      <c r="G40" s="909">
        <v>63900</v>
      </c>
      <c r="H40" s="909">
        <v>18864</v>
      </c>
      <c r="I40" s="909">
        <v>431887</v>
      </c>
      <c r="J40" s="909">
        <v>525</v>
      </c>
      <c r="K40" s="909">
        <v>431362</v>
      </c>
      <c r="L40" s="909">
        <v>108073</v>
      </c>
      <c r="M40" s="909">
        <v>27281</v>
      </c>
      <c r="N40" s="909">
        <v>18775</v>
      </c>
      <c r="O40" s="909">
        <v>13099</v>
      </c>
      <c r="P40" s="909">
        <v>5676</v>
      </c>
      <c r="Q40" s="909">
        <v>99567</v>
      </c>
    </row>
    <row r="41" spans="1:17" ht="31.5">
      <c r="A41" s="907" t="s">
        <v>1130</v>
      </c>
      <c r="B41" s="908" t="s">
        <v>1131</v>
      </c>
      <c r="C41" s="909">
        <v>11009749</v>
      </c>
      <c r="D41" s="909">
        <v>10633499</v>
      </c>
      <c r="E41" s="909">
        <v>376250</v>
      </c>
      <c r="F41" s="909">
        <v>1124719</v>
      </c>
      <c r="G41" s="909">
        <v>1024208</v>
      </c>
      <c r="H41" s="909">
        <v>100511</v>
      </c>
      <c r="I41" s="909">
        <v>7291542</v>
      </c>
      <c r="J41" s="909">
        <v>1213404</v>
      </c>
      <c r="K41" s="909">
        <v>6078138</v>
      </c>
      <c r="L41" s="909">
        <v>4842926</v>
      </c>
      <c r="M41" s="909">
        <v>-1751886</v>
      </c>
      <c r="N41" s="909">
        <v>-1245615</v>
      </c>
      <c r="O41" s="909">
        <v>608035</v>
      </c>
      <c r="P41" s="909">
        <v>-1853650</v>
      </c>
      <c r="Q41" s="909">
        <v>5349197</v>
      </c>
    </row>
    <row r="42" spans="1:17" ht="15.75">
      <c r="A42" s="907" t="s">
        <v>1132</v>
      </c>
      <c r="B42" s="908" t="s">
        <v>1133</v>
      </c>
      <c r="C42" s="909">
        <v>527611</v>
      </c>
      <c r="D42" s="909">
        <v>527607</v>
      </c>
      <c r="E42" s="909">
        <v>4</v>
      </c>
      <c r="F42" s="909">
        <v>0</v>
      </c>
      <c r="G42" s="909">
        <v>0</v>
      </c>
      <c r="H42" s="909">
        <v>0</v>
      </c>
      <c r="I42" s="909">
        <v>10592</v>
      </c>
      <c r="J42" s="909">
        <v>0</v>
      </c>
      <c r="K42" s="909">
        <v>10592</v>
      </c>
      <c r="L42" s="909">
        <v>517019</v>
      </c>
      <c r="M42" s="909">
        <v>-688</v>
      </c>
      <c r="N42" s="909">
        <v>-67739</v>
      </c>
      <c r="O42" s="909">
        <v>-56834</v>
      </c>
      <c r="P42" s="909">
        <v>-10905</v>
      </c>
      <c r="Q42" s="909">
        <v>449968</v>
      </c>
    </row>
    <row r="43" spans="1:17" ht="15.75">
      <c r="A43" s="907" t="s">
        <v>1134</v>
      </c>
      <c r="B43" s="908" t="s">
        <v>1135</v>
      </c>
      <c r="C43" s="909">
        <v>0</v>
      </c>
      <c r="D43" s="909">
        <v>0</v>
      </c>
      <c r="E43" s="909">
        <v>0</v>
      </c>
      <c r="F43" s="909">
        <v>0</v>
      </c>
      <c r="G43" s="909">
        <v>0</v>
      </c>
      <c r="H43" s="909">
        <v>0</v>
      </c>
      <c r="I43" s="909">
        <v>0</v>
      </c>
      <c r="J43" s="909">
        <v>0</v>
      </c>
      <c r="K43" s="909">
        <v>0</v>
      </c>
      <c r="L43" s="909">
        <v>0</v>
      </c>
      <c r="M43" s="909">
        <v>0</v>
      </c>
      <c r="N43" s="909">
        <v>0</v>
      </c>
      <c r="O43" s="909">
        <v>0</v>
      </c>
      <c r="P43" s="909">
        <v>0</v>
      </c>
      <c r="Q43" s="909">
        <v>0</v>
      </c>
    </row>
    <row r="44" spans="1:17" ht="15.75">
      <c r="A44" s="907" t="s">
        <v>1136</v>
      </c>
      <c r="B44" s="908" t="s">
        <v>1137</v>
      </c>
      <c r="C44" s="909">
        <v>285433</v>
      </c>
      <c r="D44" s="909">
        <v>285433</v>
      </c>
      <c r="E44" s="909">
        <v>0</v>
      </c>
      <c r="F44" s="909">
        <v>290903</v>
      </c>
      <c r="G44" s="909">
        <v>281944</v>
      </c>
      <c r="H44" s="909">
        <v>8959</v>
      </c>
      <c r="I44" s="909">
        <v>387651</v>
      </c>
      <c r="J44" s="909">
        <v>387651</v>
      </c>
      <c r="K44" s="909">
        <v>0</v>
      </c>
      <c r="L44" s="909">
        <v>188685</v>
      </c>
      <c r="M44" s="909">
        <v>244515</v>
      </c>
      <c r="N44" s="909">
        <v>91154</v>
      </c>
      <c r="O44" s="909">
        <v>91154</v>
      </c>
      <c r="P44" s="909">
        <v>0</v>
      </c>
      <c r="Q44" s="909">
        <v>35324</v>
      </c>
    </row>
    <row r="45" spans="1:17" ht="15.75">
      <c r="A45" s="907" t="s">
        <v>1138</v>
      </c>
      <c r="B45" s="908" t="s">
        <v>1139</v>
      </c>
      <c r="C45" s="909">
        <v>14152549</v>
      </c>
      <c r="D45" s="909">
        <v>14029848</v>
      </c>
      <c r="E45" s="909">
        <v>122701</v>
      </c>
      <c r="F45" s="909">
        <v>64121</v>
      </c>
      <c r="G45" s="909">
        <v>21727</v>
      </c>
      <c r="H45" s="909">
        <v>42394</v>
      </c>
      <c r="I45" s="909">
        <v>3492512</v>
      </c>
      <c r="J45" s="909">
        <v>166589</v>
      </c>
      <c r="K45" s="909">
        <v>3325923</v>
      </c>
      <c r="L45" s="909">
        <v>10724158</v>
      </c>
      <c r="M45" s="909">
        <v>6851727</v>
      </c>
      <c r="N45" s="909">
        <v>-123850</v>
      </c>
      <c r="O45" s="909">
        <v>-1119825</v>
      </c>
      <c r="P45" s="909">
        <v>995975</v>
      </c>
      <c r="Q45" s="909">
        <v>3748581</v>
      </c>
    </row>
    <row r="46" spans="1:17" ht="31.5">
      <c r="A46" s="907" t="s">
        <v>1140</v>
      </c>
      <c r="B46" s="908" t="s">
        <v>1141</v>
      </c>
      <c r="C46" s="909">
        <v>393671</v>
      </c>
      <c r="D46" s="909">
        <v>376277</v>
      </c>
      <c r="E46" s="909">
        <v>17394</v>
      </c>
      <c r="F46" s="909">
        <v>266</v>
      </c>
      <c r="G46" s="909">
        <v>152</v>
      </c>
      <c r="H46" s="909">
        <v>114</v>
      </c>
      <c r="I46" s="909">
        <v>224161</v>
      </c>
      <c r="J46" s="909">
        <v>8310</v>
      </c>
      <c r="K46" s="909">
        <v>215851</v>
      </c>
      <c r="L46" s="909">
        <v>169776</v>
      </c>
      <c r="M46" s="909">
        <v>2854</v>
      </c>
      <c r="N46" s="909">
        <v>15316</v>
      </c>
      <c r="O46" s="909">
        <v>35007</v>
      </c>
      <c r="P46" s="909">
        <v>-19691</v>
      </c>
      <c r="Q46" s="909">
        <v>182238</v>
      </c>
    </row>
    <row r="47" spans="1:17" ht="15.75">
      <c r="A47" s="907" t="s">
        <v>1142</v>
      </c>
      <c r="B47" s="908" t="s">
        <v>1143</v>
      </c>
      <c r="C47" s="909">
        <v>104472</v>
      </c>
      <c r="D47" s="909">
        <v>104266</v>
      </c>
      <c r="E47" s="909">
        <v>206</v>
      </c>
      <c r="F47" s="909">
        <v>157</v>
      </c>
      <c r="G47" s="909">
        <v>157</v>
      </c>
      <c r="H47" s="909">
        <v>0</v>
      </c>
      <c r="I47" s="909">
        <v>2819</v>
      </c>
      <c r="J47" s="909">
        <v>2819</v>
      </c>
      <c r="K47" s="909">
        <v>0</v>
      </c>
      <c r="L47" s="909">
        <v>101810</v>
      </c>
      <c r="M47" s="909">
        <v>26686</v>
      </c>
      <c r="N47" s="909">
        <v>4617</v>
      </c>
      <c r="O47" s="909">
        <v>211</v>
      </c>
      <c r="P47" s="909">
        <v>4406</v>
      </c>
      <c r="Q47" s="909">
        <v>79741</v>
      </c>
    </row>
    <row r="48" spans="1:17" ht="15.75">
      <c r="A48" s="907" t="s">
        <v>1144</v>
      </c>
      <c r="B48" s="908" t="s">
        <v>1145</v>
      </c>
      <c r="C48" s="909">
        <v>1279</v>
      </c>
      <c r="D48" s="909">
        <v>1016</v>
      </c>
      <c r="E48" s="909">
        <v>263</v>
      </c>
      <c r="F48" s="909">
        <v>42</v>
      </c>
      <c r="G48" s="909">
        <v>42</v>
      </c>
      <c r="H48" s="909">
        <v>0</v>
      </c>
      <c r="I48" s="909">
        <v>368</v>
      </c>
      <c r="J48" s="909">
        <v>0</v>
      </c>
      <c r="K48" s="909">
        <v>368</v>
      </c>
      <c r="L48" s="909">
        <v>953</v>
      </c>
      <c r="M48" s="909">
        <v>43</v>
      </c>
      <c r="N48" s="909">
        <v>2</v>
      </c>
      <c r="O48" s="909">
        <v>0</v>
      </c>
      <c r="P48" s="909">
        <v>2</v>
      </c>
      <c r="Q48" s="909">
        <v>912</v>
      </c>
    </row>
    <row r="49" spans="1:17" ht="15.75">
      <c r="A49" s="907" t="s">
        <v>1146</v>
      </c>
      <c r="B49" s="908" t="s">
        <v>1095</v>
      </c>
      <c r="C49" s="909">
        <v>0</v>
      </c>
      <c r="D49" s="909">
        <v>0</v>
      </c>
      <c r="E49" s="909">
        <v>0</v>
      </c>
      <c r="F49" s="909">
        <v>0</v>
      </c>
      <c r="G49" s="909">
        <v>0</v>
      </c>
      <c r="H49" s="909">
        <v>0</v>
      </c>
      <c r="I49" s="909">
        <v>0</v>
      </c>
      <c r="J49" s="909">
        <v>0</v>
      </c>
      <c r="K49" s="909">
        <v>0</v>
      </c>
      <c r="L49" s="909">
        <v>0</v>
      </c>
      <c r="M49" s="909">
        <v>0</v>
      </c>
      <c r="N49" s="909">
        <v>0</v>
      </c>
      <c r="O49" s="909">
        <v>0</v>
      </c>
      <c r="P49" s="909">
        <v>0</v>
      </c>
      <c r="Q49" s="909">
        <v>0</v>
      </c>
    </row>
    <row r="50" spans="1:17" s="906" customFormat="1" ht="15.75">
      <c r="A50" s="903">
        <v>4</v>
      </c>
      <c r="B50" s="904" t="s">
        <v>816</v>
      </c>
      <c r="C50" s="905">
        <v>211671310</v>
      </c>
      <c r="D50" s="905">
        <v>207513935</v>
      </c>
      <c r="E50" s="905">
        <v>4157375</v>
      </c>
      <c r="F50" s="905">
        <v>25630123</v>
      </c>
      <c r="G50" s="905">
        <v>15448012</v>
      </c>
      <c r="H50" s="905">
        <v>10182111</v>
      </c>
      <c r="I50" s="905">
        <v>65240024</v>
      </c>
      <c r="J50" s="905">
        <v>16991615</v>
      </c>
      <c r="K50" s="905">
        <v>48248409</v>
      </c>
      <c r="L50" s="905">
        <v>172061409</v>
      </c>
      <c r="M50" s="905">
        <v>17596932</v>
      </c>
      <c r="N50" s="905">
        <v>4986854</v>
      </c>
      <c r="O50" s="905">
        <v>280852</v>
      </c>
      <c r="P50" s="905">
        <v>4706002</v>
      </c>
      <c r="Q50" s="905">
        <v>159451331</v>
      </c>
    </row>
    <row r="52" spans="1:17" ht="70.5" customHeight="1">
      <c r="A52" s="1881" t="s">
        <v>2603</v>
      </c>
      <c r="B52" s="1881"/>
      <c r="C52" s="1881"/>
      <c r="D52" s="1881"/>
      <c r="E52" s="1881"/>
    </row>
  </sheetData>
  <mergeCells count="22">
    <mergeCell ref="A1:Q1"/>
    <mergeCell ref="A2:Q2"/>
    <mergeCell ref="A3:Q3"/>
    <mergeCell ref="N4:Q4"/>
    <mergeCell ref="A5:A9"/>
    <mergeCell ref="B5:B9"/>
    <mergeCell ref="C5:E7"/>
    <mergeCell ref="F5:H7"/>
    <mergeCell ref="I5:K7"/>
    <mergeCell ref="L5:L9"/>
    <mergeCell ref="O8:P8"/>
    <mergeCell ref="A52:E52"/>
    <mergeCell ref="M5:M9"/>
    <mergeCell ref="N5:P7"/>
    <mergeCell ref="Q5:Q9"/>
    <mergeCell ref="C8:C9"/>
    <mergeCell ref="D8:E8"/>
    <mergeCell ref="F8:F9"/>
    <mergeCell ref="G8:H8"/>
    <mergeCell ref="I8:I9"/>
    <mergeCell ref="J8:K8"/>
    <mergeCell ref="N8:N9"/>
  </mergeCells>
  <pageMargins left="0.31496062992125984" right="0.31496062992125984" top="0.35433070866141736" bottom="0.35433070866141736" header="0.31496062992125984" footer="0.31496062992125984"/>
  <pageSetup paperSize="9" scale="44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92D050"/>
  </sheetPr>
  <dimension ref="A1:CB101"/>
  <sheetViews>
    <sheetView view="pageBreakPreview" zoomScale="55" zoomScaleSheetLayoutView="55" workbookViewId="0">
      <pane xSplit="2" ySplit="2" topLeftCell="C84" activePane="bottomRight" state="frozen"/>
      <selection activeCell="BV14" sqref="BV14"/>
      <selection pane="topRight" activeCell="BV14" sqref="BV14"/>
      <selection pane="bottomLeft" activeCell="BV14" sqref="BV14"/>
      <selection pane="bottomRight" activeCell="BV14" sqref="BV14"/>
    </sheetView>
  </sheetViews>
  <sheetFormatPr defaultRowHeight="19.5"/>
  <cols>
    <col min="1" max="1" width="9.140625" style="208"/>
    <col min="2" max="2" width="33.42578125" style="208" customWidth="1"/>
    <col min="3" max="3" width="16.85546875" style="209" customWidth="1"/>
    <col min="4" max="4" width="14.7109375" style="199" bestFit="1" customWidth="1"/>
    <col min="5" max="5" width="14.7109375" style="198" bestFit="1" customWidth="1"/>
    <col min="6" max="6" width="23.28515625" style="198" customWidth="1"/>
    <col min="7" max="7" width="14.140625" style="198" customWidth="1"/>
    <col min="8" max="8" width="18.140625" style="199" bestFit="1" customWidth="1"/>
    <col min="9" max="9" width="13" style="198" customWidth="1"/>
    <col min="10" max="10" width="12.42578125" style="198" bestFit="1" customWidth="1"/>
    <col min="11" max="11" width="13.42578125" style="199" bestFit="1" customWidth="1"/>
    <col min="12" max="12" width="14.85546875" style="198" bestFit="1" customWidth="1"/>
    <col min="13" max="13" width="13.42578125" style="198" bestFit="1" customWidth="1"/>
    <col min="14" max="14" width="12.140625" style="198" bestFit="1" customWidth="1"/>
    <col min="15" max="15" width="13.7109375" style="198" customWidth="1"/>
    <col min="16" max="16" width="13.42578125" style="198" bestFit="1" customWidth="1"/>
    <col min="17" max="17" width="9.140625" style="198"/>
    <col min="18" max="18" width="12.42578125" style="198" bestFit="1" customWidth="1"/>
    <col min="19" max="20" width="13.42578125" style="198" bestFit="1" customWidth="1"/>
    <col min="21" max="21" width="13.7109375" style="209" customWidth="1"/>
    <col min="22" max="22" width="10.85546875" style="199" bestFit="1" customWidth="1"/>
    <col min="23" max="23" width="10.85546875" style="198" bestFit="1" customWidth="1"/>
    <col min="24" max="24" width="9.140625" style="198"/>
    <col min="25" max="27" width="9.140625" style="199"/>
    <col min="28" max="28" width="16.42578125" style="199" customWidth="1"/>
    <col min="29" max="29" width="20.7109375" style="209" bestFit="1" customWidth="1"/>
    <col min="30" max="30" width="15.28515625" style="199" customWidth="1"/>
    <col min="31" max="31" width="15.140625" style="199" customWidth="1"/>
    <col min="32" max="32" width="14.85546875" style="199" customWidth="1"/>
    <col min="33" max="33" width="13.42578125" style="199" bestFit="1" customWidth="1"/>
    <col min="34" max="34" width="9.7109375" style="198" bestFit="1" customWidth="1"/>
    <col min="35" max="35" width="9.140625" style="198"/>
    <col min="36" max="36" width="10.140625" style="198" bestFit="1" customWidth="1"/>
    <col min="37" max="37" width="11.140625" style="198" bestFit="1" customWidth="1"/>
    <col min="38" max="38" width="14.140625" style="198" bestFit="1" customWidth="1"/>
    <col min="39" max="39" width="14.140625" style="210" customWidth="1"/>
    <col min="40" max="40" width="10.85546875" style="198" bestFit="1" customWidth="1"/>
    <col min="41" max="41" width="11.28515625" style="210" bestFit="1" customWidth="1"/>
    <col min="42" max="42" width="13.42578125" style="199" bestFit="1" customWidth="1"/>
    <col min="43" max="43" width="13.5703125" style="198" bestFit="1" customWidth="1"/>
    <col min="44" max="44" width="12.5703125" style="198" bestFit="1" customWidth="1"/>
    <col min="45" max="45" width="14.7109375" style="198" customWidth="1"/>
    <col min="46" max="46" width="12.42578125" style="198" bestFit="1" customWidth="1"/>
    <col min="47" max="47" width="15.5703125" style="209" bestFit="1" customWidth="1"/>
    <col min="48" max="48" width="14.7109375" style="199" bestFit="1" customWidth="1"/>
    <col min="49" max="49" width="14.7109375" style="198" bestFit="1" customWidth="1"/>
    <col min="50" max="50" width="12.42578125" style="199" bestFit="1" customWidth="1"/>
    <col min="51" max="52" width="9.140625" style="198"/>
    <col min="53" max="53" width="10.85546875" style="199" bestFit="1" customWidth="1"/>
    <col min="54" max="54" width="15.7109375" style="199" customWidth="1"/>
    <col min="55" max="55" width="9.140625" style="198"/>
    <col min="56" max="56" width="12.42578125" style="199" bestFit="1" customWidth="1"/>
    <col min="57" max="57" width="15" style="209" customWidth="1"/>
    <col min="58" max="58" width="13.85546875" style="209" bestFit="1" customWidth="1"/>
    <col min="59" max="59" width="13.42578125" style="199" bestFit="1" customWidth="1"/>
    <col min="60" max="60" width="13.5703125" style="198" bestFit="1" customWidth="1"/>
    <col min="61" max="61" width="13.28515625" style="198" bestFit="1" customWidth="1"/>
    <col min="62" max="62" width="12.42578125" style="199" bestFit="1" customWidth="1"/>
    <col min="63" max="63" width="13.28515625" style="199" customWidth="1"/>
    <col min="64" max="64" width="9.5703125" style="199" bestFit="1" customWidth="1"/>
    <col min="65" max="65" width="9.85546875" style="198" bestFit="1" customWidth="1"/>
    <col min="66" max="66" width="10.7109375" style="198" customWidth="1"/>
    <col min="67" max="67" width="12.42578125" style="209" bestFit="1" customWidth="1"/>
    <col min="68" max="69" width="9.140625" style="199"/>
    <col min="70" max="70" width="12.42578125" style="199" bestFit="1" customWidth="1"/>
    <col min="71" max="71" width="9.140625" style="198"/>
    <col min="72" max="72" width="13.42578125" style="209" bestFit="1" customWidth="1"/>
    <col min="73" max="73" width="12.5703125" style="199" bestFit="1" customWidth="1"/>
    <col min="74" max="74" width="15.42578125" style="199" bestFit="1" customWidth="1"/>
    <col min="75" max="75" width="12.5703125" style="198" bestFit="1" customWidth="1"/>
    <col min="76" max="76" width="16.42578125" style="199" bestFit="1" customWidth="1"/>
    <col min="77" max="77" width="16" style="198" customWidth="1"/>
    <col min="78" max="78" width="12.5703125" style="198" bestFit="1" customWidth="1"/>
    <col min="79" max="79" width="23.5703125" style="239" customWidth="1"/>
    <col min="80" max="80" width="14.42578125" style="208" customWidth="1"/>
    <col min="81" max="16384" width="9.140625" style="208"/>
  </cols>
  <sheetData>
    <row r="1" spans="1:80" ht="15" customHeight="1">
      <c r="A1" s="1874"/>
      <c r="B1" s="1874"/>
      <c r="C1" s="23" t="s">
        <v>334</v>
      </c>
      <c r="D1" s="24" t="s">
        <v>337</v>
      </c>
      <c r="E1" s="25" t="s">
        <v>340</v>
      </c>
      <c r="F1" s="25" t="s">
        <v>342</v>
      </c>
      <c r="G1" s="25" t="s">
        <v>344</v>
      </c>
      <c r="H1" s="24" t="s">
        <v>346</v>
      </c>
      <c r="I1" s="25" t="s">
        <v>349</v>
      </c>
      <c r="J1" s="25" t="s">
        <v>351</v>
      </c>
      <c r="K1" s="24" t="s">
        <v>353</v>
      </c>
      <c r="L1" s="27" t="s">
        <v>355</v>
      </c>
      <c r="M1" s="27" t="s">
        <v>357</v>
      </c>
      <c r="N1" s="27" t="s">
        <v>359</v>
      </c>
      <c r="O1" s="27" t="s">
        <v>361</v>
      </c>
      <c r="P1" s="27" t="s">
        <v>363</v>
      </c>
      <c r="Q1" s="27" t="s">
        <v>365</v>
      </c>
      <c r="R1" s="27" t="s">
        <v>367</v>
      </c>
      <c r="S1" s="27" t="s">
        <v>369</v>
      </c>
      <c r="T1" s="27" t="s">
        <v>371</v>
      </c>
      <c r="U1" s="27" t="s">
        <v>373</v>
      </c>
      <c r="V1" s="27" t="s">
        <v>375</v>
      </c>
      <c r="W1" s="27" t="s">
        <v>377</v>
      </c>
      <c r="X1" s="23" t="s">
        <v>379</v>
      </c>
      <c r="Y1" s="24" t="s">
        <v>383</v>
      </c>
      <c r="Z1" s="30" t="s">
        <v>387</v>
      </c>
      <c r="AA1" s="30" t="s">
        <v>389</v>
      </c>
      <c r="AB1" s="24" t="s">
        <v>391</v>
      </c>
      <c r="AC1" s="30" t="s">
        <v>394</v>
      </c>
      <c r="AD1" s="24" t="s">
        <v>396</v>
      </c>
      <c r="AE1" s="25" t="s">
        <v>400</v>
      </c>
      <c r="AF1" s="23" t="s">
        <v>402</v>
      </c>
      <c r="AG1" s="24" t="s">
        <v>404</v>
      </c>
      <c r="AH1" s="33" t="s">
        <v>406</v>
      </c>
      <c r="AI1" s="33" t="s">
        <v>409</v>
      </c>
      <c r="AJ1" s="33" t="s">
        <v>412</v>
      </c>
      <c r="AK1" s="24" t="s">
        <v>415</v>
      </c>
      <c r="AL1" s="24" t="s">
        <v>418</v>
      </c>
      <c r="AM1" s="24" t="s">
        <v>421</v>
      </c>
      <c r="AN1" s="33" t="s">
        <v>423</v>
      </c>
      <c r="AO1" s="33" t="s">
        <v>425</v>
      </c>
      <c r="AP1" s="33" t="s">
        <v>428</v>
      </c>
      <c r="AQ1" s="33" t="s">
        <v>431</v>
      </c>
      <c r="AR1" s="26" t="s">
        <v>434</v>
      </c>
      <c r="AS1" s="26" t="s">
        <v>436</v>
      </c>
      <c r="AT1" s="33" t="s">
        <v>438</v>
      </c>
      <c r="AU1" s="33" t="s">
        <v>441</v>
      </c>
      <c r="AV1" s="24" t="s">
        <v>443</v>
      </c>
      <c r="AW1" s="23" t="s">
        <v>446</v>
      </c>
      <c r="AX1" s="24" t="s">
        <v>449</v>
      </c>
      <c r="AY1" s="24" t="s">
        <v>452</v>
      </c>
      <c r="AZ1" s="24" t="s">
        <v>455</v>
      </c>
      <c r="BA1" s="23" t="s">
        <v>458</v>
      </c>
      <c r="BB1" s="24" t="s">
        <v>460</v>
      </c>
      <c r="BC1" s="24" t="s">
        <v>464</v>
      </c>
      <c r="BD1" s="25" t="s">
        <v>469</v>
      </c>
      <c r="BE1" s="25" t="s">
        <v>472</v>
      </c>
      <c r="BF1" s="24" t="s">
        <v>475</v>
      </c>
      <c r="BG1" s="23" t="s">
        <v>480</v>
      </c>
      <c r="BH1" s="23" t="s">
        <v>483</v>
      </c>
      <c r="BI1" s="24" t="s">
        <v>488</v>
      </c>
      <c r="BJ1" s="34" t="s">
        <v>493</v>
      </c>
      <c r="BK1" s="34" t="s">
        <v>496</v>
      </c>
      <c r="BL1" s="24" t="s">
        <v>498</v>
      </c>
      <c r="BM1" s="24" t="s">
        <v>502</v>
      </c>
      <c r="BN1" s="24" t="s">
        <v>507</v>
      </c>
      <c r="BO1" s="18" t="s">
        <v>512</v>
      </c>
      <c r="BP1" s="18" t="s">
        <v>514</v>
      </c>
      <c r="BQ1" s="23" t="s">
        <v>516</v>
      </c>
      <c r="BR1" s="24" t="s">
        <v>519</v>
      </c>
      <c r="BS1" s="24" t="s">
        <v>524</v>
      </c>
      <c r="BT1" s="24" t="s">
        <v>527</v>
      </c>
      <c r="BU1" s="24" t="s">
        <v>532</v>
      </c>
      <c r="BV1" s="24" t="s">
        <v>535</v>
      </c>
      <c r="BW1" s="23" t="s">
        <v>568</v>
      </c>
      <c r="BX1" s="19" t="s">
        <v>570</v>
      </c>
      <c r="BY1" s="19" t="s">
        <v>573</v>
      </c>
      <c r="BZ1" s="19" t="s">
        <v>576</v>
      </c>
      <c r="CA1" s="208"/>
    </row>
    <row r="2" spans="1:80" ht="157.5" customHeight="1">
      <c r="A2" s="1874"/>
      <c r="B2" s="1874"/>
      <c r="C2" s="18" t="s">
        <v>336</v>
      </c>
      <c r="D2" s="18" t="s">
        <v>339</v>
      </c>
      <c r="E2" s="18" t="s">
        <v>341</v>
      </c>
      <c r="F2" s="18" t="s">
        <v>343</v>
      </c>
      <c r="G2" s="18" t="s">
        <v>345</v>
      </c>
      <c r="H2" s="18" t="s">
        <v>348</v>
      </c>
      <c r="I2" s="18" t="s">
        <v>350</v>
      </c>
      <c r="J2" s="18" t="s">
        <v>352</v>
      </c>
      <c r="K2" s="21" t="s">
        <v>354</v>
      </c>
      <c r="L2" s="27" t="s">
        <v>356</v>
      </c>
      <c r="M2" s="27" t="s">
        <v>358</v>
      </c>
      <c r="N2" s="27" t="s">
        <v>360</v>
      </c>
      <c r="O2" s="27" t="s">
        <v>809</v>
      </c>
      <c r="P2" s="27" t="s">
        <v>364</v>
      </c>
      <c r="Q2" s="27" t="s">
        <v>366</v>
      </c>
      <c r="R2" s="27" t="s">
        <v>368</v>
      </c>
      <c r="S2" s="27" t="s">
        <v>810</v>
      </c>
      <c r="T2" s="27" t="s">
        <v>372</v>
      </c>
      <c r="U2" s="27" t="s">
        <v>808</v>
      </c>
      <c r="V2" s="27" t="s">
        <v>376</v>
      </c>
      <c r="W2" s="27" t="s">
        <v>378</v>
      </c>
      <c r="X2" s="28" t="s">
        <v>381</v>
      </c>
      <c r="Y2" s="29" t="s">
        <v>385</v>
      </c>
      <c r="Z2" s="31" t="s">
        <v>388</v>
      </c>
      <c r="AA2" s="31"/>
      <c r="AB2" s="21" t="s">
        <v>393</v>
      </c>
      <c r="AC2" s="32" t="s">
        <v>395</v>
      </c>
      <c r="AD2" s="21" t="s">
        <v>398</v>
      </c>
      <c r="AE2" s="31" t="s">
        <v>401</v>
      </c>
      <c r="AF2" s="28" t="s">
        <v>812</v>
      </c>
      <c r="AG2" s="21" t="s">
        <v>811</v>
      </c>
      <c r="AH2" s="21" t="s">
        <v>408</v>
      </c>
      <c r="AI2" s="18" t="s">
        <v>411</v>
      </c>
      <c r="AJ2" s="18" t="s">
        <v>414</v>
      </c>
      <c r="AK2" s="18" t="s">
        <v>417</v>
      </c>
      <c r="AL2" s="18" t="s">
        <v>420</v>
      </c>
      <c r="AM2" s="18" t="s">
        <v>422</v>
      </c>
      <c r="AN2" s="18" t="s">
        <v>424</v>
      </c>
      <c r="AO2" s="18" t="s">
        <v>426</v>
      </c>
      <c r="AP2" s="18" t="s">
        <v>429</v>
      </c>
      <c r="AQ2" s="18" t="s">
        <v>432</v>
      </c>
      <c r="AR2" s="27" t="s">
        <v>435</v>
      </c>
      <c r="AS2" s="27" t="s">
        <v>437</v>
      </c>
      <c r="AT2" s="18" t="s">
        <v>439</v>
      </c>
      <c r="AU2" s="18" t="s">
        <v>442</v>
      </c>
      <c r="AV2" s="18" t="s">
        <v>445</v>
      </c>
      <c r="AW2" s="35" t="s">
        <v>448</v>
      </c>
      <c r="AX2" s="18" t="s">
        <v>451</v>
      </c>
      <c r="AY2" s="18" t="s">
        <v>454</v>
      </c>
      <c r="AZ2" s="18" t="s">
        <v>457</v>
      </c>
      <c r="BA2" s="35" t="s">
        <v>813</v>
      </c>
      <c r="BB2" s="18" t="s">
        <v>462</v>
      </c>
      <c r="BC2" s="18" t="s">
        <v>466</v>
      </c>
      <c r="BD2" s="32"/>
      <c r="BE2" s="143" t="s">
        <v>473</v>
      </c>
      <c r="BF2" s="36" t="s">
        <v>477</v>
      </c>
      <c r="BG2" s="35" t="s">
        <v>482</v>
      </c>
      <c r="BH2" s="35" t="s">
        <v>485</v>
      </c>
      <c r="BI2" s="18" t="s">
        <v>490</v>
      </c>
      <c r="BJ2" s="18" t="s">
        <v>494</v>
      </c>
      <c r="BK2" s="18" t="s">
        <v>77</v>
      </c>
      <c r="BL2" s="18" t="s">
        <v>500</v>
      </c>
      <c r="BM2" s="37" t="s">
        <v>504</v>
      </c>
      <c r="BN2" s="18" t="s">
        <v>509</v>
      </c>
      <c r="BO2" s="18" t="s">
        <v>513</v>
      </c>
      <c r="BP2" s="18" t="s">
        <v>515</v>
      </c>
      <c r="BQ2" s="18" t="s">
        <v>517</v>
      </c>
      <c r="BR2" s="18" t="s">
        <v>521</v>
      </c>
      <c r="BS2" s="21" t="s">
        <v>525</v>
      </c>
      <c r="BT2" s="37" t="s">
        <v>529</v>
      </c>
      <c r="BU2" s="32" t="s">
        <v>533</v>
      </c>
      <c r="BV2" s="18" t="s">
        <v>536</v>
      </c>
      <c r="BW2" s="35" t="s">
        <v>40</v>
      </c>
      <c r="BX2" s="20" t="s">
        <v>571</v>
      </c>
      <c r="BY2" s="38" t="s">
        <v>574</v>
      </c>
      <c r="BZ2" s="38" t="s">
        <v>577</v>
      </c>
      <c r="CA2" s="208"/>
    </row>
    <row r="3" spans="1:80" s="209" customFormat="1" ht="39.950000000000003" customHeight="1">
      <c r="A3" s="9" t="s">
        <v>136</v>
      </c>
      <c r="B3" s="9" t="s">
        <v>137</v>
      </c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5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3"/>
      <c r="BZ3" s="184"/>
      <c r="CA3" s="201"/>
      <c r="CB3" s="229"/>
    </row>
    <row r="4" spans="1:80" s="199" customFormat="1" ht="39.950000000000003" customHeight="1">
      <c r="A4" s="10" t="s">
        <v>138</v>
      </c>
      <c r="B4" s="11" t="s">
        <v>139</v>
      </c>
      <c r="C4" s="181"/>
      <c r="D4" s="181"/>
      <c r="E4" s="181">
        <f>Отчет!J33+Отчет!J35+Отчет!J37+Отчет!J41</f>
        <v>8630762</v>
      </c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1"/>
      <c r="BZ4" s="186"/>
      <c r="CA4" s="187"/>
      <c r="CB4" s="230"/>
    </row>
    <row r="5" spans="1:80" s="198" customFormat="1" ht="39.950000000000003" customHeight="1">
      <c r="A5" s="12" t="s">
        <v>140</v>
      </c>
      <c r="B5" s="11" t="s">
        <v>141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8"/>
      <c r="AE5" s="188"/>
      <c r="AF5" s="188"/>
      <c r="AG5" s="188"/>
      <c r="AH5" s="189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2"/>
      <c r="BZ5" s="188"/>
      <c r="CA5" s="201"/>
      <c r="CB5" s="231"/>
    </row>
    <row r="6" spans="1:80" s="198" customFormat="1" ht="39.950000000000003" customHeight="1">
      <c r="A6" s="12" t="s">
        <v>142</v>
      </c>
      <c r="B6" s="11" t="s">
        <v>143</v>
      </c>
      <c r="C6" s="182"/>
      <c r="D6" s="182"/>
      <c r="E6" s="182">
        <f>[7]Акмол!$P$15+[7]Акмол!$P$19</f>
        <v>466927.23399999988</v>
      </c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8"/>
      <c r="AE6" s="188"/>
      <c r="AF6" s="188"/>
      <c r="AG6" s="190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2"/>
      <c r="BZ6" s="188"/>
      <c r="CA6" s="201">
        <f>СВОД!M10</f>
        <v>38636185.810017444</v>
      </c>
      <c r="CB6" s="231"/>
    </row>
    <row r="7" spans="1:80" s="199" customFormat="1" ht="39.950000000000003" customHeight="1">
      <c r="A7" s="10" t="s">
        <v>144</v>
      </c>
      <c r="B7" s="11" t="s">
        <v>145</v>
      </c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6"/>
      <c r="AE7" s="186"/>
      <c r="AF7" s="186"/>
      <c r="AG7" s="191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1"/>
      <c r="BZ7" s="186"/>
      <c r="CA7" s="201">
        <f>СВОД!M11</f>
        <v>19295658.701777376</v>
      </c>
      <c r="CB7" s="230"/>
    </row>
    <row r="8" spans="1:80" s="199" customFormat="1" ht="39.950000000000003" customHeight="1">
      <c r="A8" s="12" t="s">
        <v>146</v>
      </c>
      <c r="B8" s="11" t="s">
        <v>147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1"/>
      <c r="BZ8" s="186"/>
      <c r="CA8" s="201"/>
      <c r="CB8" s="230"/>
    </row>
    <row r="9" spans="1:80" s="198" customFormat="1" ht="39.950000000000003" customHeight="1">
      <c r="A9" s="12" t="s">
        <v>148</v>
      </c>
      <c r="B9" s="11" t="s">
        <v>149</v>
      </c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2"/>
      <c r="BZ9" s="188"/>
      <c r="CA9" s="201"/>
      <c r="CB9" s="231"/>
    </row>
    <row r="10" spans="1:80" s="198" customFormat="1" ht="39.950000000000003" customHeight="1">
      <c r="A10" s="10" t="s">
        <v>150</v>
      </c>
      <c r="B10" s="11" t="s">
        <v>151</v>
      </c>
      <c r="C10" s="182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8"/>
      <c r="AE10" s="182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2"/>
      <c r="BZ10" s="188"/>
      <c r="CA10" s="201"/>
      <c r="CB10" s="231"/>
    </row>
    <row r="11" spans="1:80" s="198" customFormat="1" ht="39.950000000000003" customHeight="1">
      <c r="A11" s="12" t="s">
        <v>152</v>
      </c>
      <c r="B11" s="10" t="s">
        <v>153</v>
      </c>
      <c r="C11" s="182"/>
      <c r="D11" s="182"/>
      <c r="E11" s="182"/>
      <c r="F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8"/>
      <c r="AE11" s="188"/>
      <c r="AF11" s="188"/>
      <c r="AG11" s="182">
        <f>Отчет!J141+Отчет!J153</f>
        <v>144733158.80000001</v>
      </c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2"/>
      <c r="BZ11" s="188"/>
      <c r="CA11" s="201"/>
      <c r="CB11" s="231"/>
    </row>
    <row r="12" spans="1:80" s="198" customFormat="1" ht="39.950000000000003" customHeight="1">
      <c r="A12" s="12" t="s">
        <v>154</v>
      </c>
      <c r="B12" s="11" t="s">
        <v>155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2"/>
      <c r="BZ12" s="188"/>
      <c r="CA12" s="201"/>
      <c r="CB12" s="231"/>
    </row>
    <row r="13" spans="1:80" s="199" customFormat="1" ht="39.950000000000003" customHeight="1">
      <c r="A13" s="12" t="s">
        <v>156</v>
      </c>
      <c r="B13" s="11" t="s">
        <v>157</v>
      </c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1"/>
      <c r="BZ13" s="186"/>
      <c r="CA13" s="201"/>
      <c r="CB13" s="230"/>
    </row>
    <row r="14" spans="1:80" s="209" customFormat="1" ht="39.950000000000003" customHeight="1">
      <c r="A14" s="13" t="s">
        <v>158</v>
      </c>
      <c r="B14" s="14" t="s">
        <v>159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3"/>
      <c r="BZ14" s="184"/>
      <c r="CA14" s="201"/>
      <c r="CB14" s="229"/>
    </row>
    <row r="15" spans="1:80" s="199" customFormat="1" ht="39.950000000000003" customHeight="1">
      <c r="A15" s="10" t="s">
        <v>160</v>
      </c>
      <c r="B15" s="11" t="s">
        <v>161</v>
      </c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1"/>
      <c r="BZ15" s="186"/>
      <c r="CA15" s="201"/>
      <c r="CB15" s="230"/>
    </row>
    <row r="16" spans="1:80" s="199" customFormat="1" ht="39.950000000000003" customHeight="1">
      <c r="A16" s="9" t="s">
        <v>162</v>
      </c>
      <c r="B16" s="9" t="s">
        <v>163</v>
      </c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1"/>
      <c r="BZ16" s="186"/>
      <c r="CA16" s="201"/>
      <c r="CB16" s="230"/>
    </row>
    <row r="17" spans="1:80" s="199" customFormat="1" ht="39.950000000000003" customHeight="1">
      <c r="A17" s="10" t="s">
        <v>164</v>
      </c>
      <c r="B17" s="11" t="s">
        <v>165</v>
      </c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1"/>
      <c r="BZ17" s="186"/>
      <c r="CA17" s="201"/>
      <c r="CB17" s="230"/>
    </row>
    <row r="18" spans="1:80" s="199" customFormat="1" ht="39.950000000000003" customHeight="1">
      <c r="A18" s="10" t="s">
        <v>166</v>
      </c>
      <c r="B18" s="11" t="s">
        <v>167</v>
      </c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1"/>
      <c r="BZ18" s="186"/>
      <c r="CA18" s="201"/>
      <c r="CB18" s="230"/>
    </row>
    <row r="19" spans="1:80" s="199" customFormat="1" ht="39.950000000000003" customHeight="1">
      <c r="A19" s="10" t="s">
        <v>168</v>
      </c>
      <c r="B19" s="11" t="s">
        <v>169</v>
      </c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  <c r="BJ19" s="186"/>
      <c r="BK19" s="186"/>
      <c r="BL19" s="186"/>
      <c r="BM19" s="186"/>
      <c r="BN19" s="186"/>
      <c r="BO19" s="186"/>
      <c r="BP19" s="186"/>
      <c r="BQ19" s="186"/>
      <c r="BR19" s="186"/>
      <c r="BS19" s="186"/>
      <c r="BT19" s="186"/>
      <c r="BU19" s="186"/>
      <c r="BV19" s="186"/>
      <c r="BW19" s="186"/>
      <c r="BX19" s="186"/>
      <c r="BY19" s="181"/>
      <c r="BZ19" s="186"/>
      <c r="CA19" s="201"/>
      <c r="CB19" s="230"/>
    </row>
    <row r="20" spans="1:80" s="209" customFormat="1" ht="39.950000000000003" customHeight="1">
      <c r="A20" s="10" t="s">
        <v>170</v>
      </c>
      <c r="B20" s="11" t="s">
        <v>171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3"/>
      <c r="BZ20" s="184"/>
      <c r="CA20" s="201"/>
      <c r="CB20" s="229"/>
    </row>
    <row r="21" spans="1:80" s="199" customFormat="1" ht="39.950000000000003" customHeight="1">
      <c r="A21" s="9" t="s">
        <v>172</v>
      </c>
      <c r="B21" s="9" t="s">
        <v>173</v>
      </c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186"/>
      <c r="BP21" s="186"/>
      <c r="BQ21" s="186"/>
      <c r="BR21" s="186"/>
      <c r="BS21" s="186"/>
      <c r="BT21" s="186"/>
      <c r="BU21" s="186"/>
      <c r="BV21" s="186"/>
      <c r="BW21" s="186"/>
      <c r="BX21" s="186"/>
      <c r="BY21" s="181"/>
      <c r="BZ21" s="186"/>
      <c r="CA21" s="201"/>
      <c r="CB21" s="230"/>
    </row>
    <row r="22" spans="1:80" s="199" customFormat="1" ht="39.950000000000003" customHeight="1">
      <c r="A22" s="10" t="s">
        <v>174</v>
      </c>
      <c r="B22" s="11" t="s">
        <v>175</v>
      </c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186"/>
      <c r="BV22" s="186"/>
      <c r="BW22" s="186"/>
      <c r="BX22" s="186"/>
      <c r="BY22" s="181"/>
      <c r="BZ22" s="186"/>
      <c r="CA22" s="201"/>
      <c r="CB22" s="230"/>
    </row>
    <row r="23" spans="1:80" s="199" customFormat="1" ht="39.950000000000003" customHeight="1">
      <c r="A23" s="10" t="s">
        <v>176</v>
      </c>
      <c r="B23" s="11" t="s">
        <v>177</v>
      </c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  <c r="BV23" s="186"/>
      <c r="BW23" s="186"/>
      <c r="BX23" s="186"/>
      <c r="BY23" s="181"/>
      <c r="BZ23" s="186"/>
      <c r="CA23" s="201"/>
      <c r="CB23" s="230"/>
    </row>
    <row r="24" spans="1:80" s="209" customFormat="1" ht="39.950000000000003" customHeight="1">
      <c r="A24" s="10" t="s">
        <v>178</v>
      </c>
      <c r="B24" s="11" t="s">
        <v>179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  <c r="AA24" s="183"/>
      <c r="AB24" s="183"/>
      <c r="AC24" s="183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3"/>
      <c r="BZ24" s="184"/>
      <c r="CA24" s="201"/>
      <c r="CB24" s="229"/>
    </row>
    <row r="25" spans="1:80" s="199" customFormat="1" ht="39.950000000000003" customHeight="1">
      <c r="A25" s="10" t="s">
        <v>180</v>
      </c>
      <c r="B25" s="11" t="s">
        <v>181</v>
      </c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1"/>
      <c r="BZ25" s="186"/>
      <c r="CA25" s="201"/>
      <c r="CB25" s="230"/>
    </row>
    <row r="26" spans="1:80" s="199" customFormat="1" ht="39.950000000000003" customHeight="1">
      <c r="A26" s="9" t="s">
        <v>182</v>
      </c>
      <c r="B26" s="9" t="s">
        <v>183</v>
      </c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1"/>
      <c r="BZ26" s="186"/>
      <c r="CA26" s="201"/>
      <c r="CB26" s="230"/>
    </row>
    <row r="27" spans="1:80" s="199" customFormat="1" ht="39.950000000000003" customHeight="1">
      <c r="A27" s="10" t="s">
        <v>184</v>
      </c>
      <c r="B27" s="11" t="s">
        <v>185</v>
      </c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1"/>
      <c r="BZ27" s="186"/>
      <c r="CA27" s="201"/>
      <c r="CB27" s="230"/>
    </row>
    <row r="28" spans="1:80" s="199" customFormat="1" ht="39.950000000000003" customHeight="1">
      <c r="A28" s="10" t="s">
        <v>186</v>
      </c>
      <c r="B28" s="11" t="s">
        <v>187</v>
      </c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186"/>
      <c r="BC28" s="186"/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  <c r="BV28" s="186"/>
      <c r="BW28" s="186"/>
      <c r="BX28" s="186"/>
      <c r="BY28" s="181"/>
      <c r="BZ28" s="186"/>
      <c r="CA28" s="201"/>
      <c r="CB28" s="230"/>
    </row>
    <row r="29" spans="1:80" s="199" customFormat="1" ht="39.950000000000003" customHeight="1">
      <c r="A29" s="10" t="s">
        <v>188</v>
      </c>
      <c r="B29" s="11" t="s">
        <v>189</v>
      </c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>
        <f>Отчет!J164+Отчет!J168+Отчет!J173+Отчет!J207</f>
        <v>24601397.800000001</v>
      </c>
      <c r="AY29" s="186"/>
      <c r="AZ29" s="186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1"/>
      <c r="BZ29" s="186"/>
      <c r="CA29" s="201"/>
      <c r="CB29" s="230"/>
    </row>
    <row r="30" spans="1:80" s="199" customFormat="1" ht="39.950000000000003" customHeight="1">
      <c r="A30" s="15" t="s">
        <v>190</v>
      </c>
      <c r="B30" s="14" t="s">
        <v>191</v>
      </c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  <c r="BN30" s="186">
        <f>Отчет!J205</f>
        <v>694584</v>
      </c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1"/>
      <c r="BZ30" s="186"/>
      <c r="CA30" s="201"/>
      <c r="CB30" s="230"/>
    </row>
    <row r="31" spans="1:80" s="209" customFormat="1" ht="39.950000000000003" customHeight="1">
      <c r="A31" s="15" t="s">
        <v>192</v>
      </c>
      <c r="B31" s="14" t="s">
        <v>193</v>
      </c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>
        <f>Отчет!J54+Отчет!J64</f>
        <v>6891413</v>
      </c>
      <c r="BW31" s="184"/>
      <c r="BX31" s="184"/>
      <c r="BY31" s="183"/>
      <c r="BZ31" s="184"/>
      <c r="CA31" s="201"/>
      <c r="CB31" s="229"/>
    </row>
    <row r="32" spans="1:80" s="199" customFormat="1" ht="39.950000000000003" customHeight="1">
      <c r="A32" s="15" t="s">
        <v>194</v>
      </c>
      <c r="B32" s="14" t="s">
        <v>195</v>
      </c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186"/>
      <c r="BH32" s="186"/>
      <c r="BI32" s="186"/>
      <c r="BJ32" s="186"/>
      <c r="BK32" s="186"/>
      <c r="BL32" s="186"/>
      <c r="BM32" s="186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1"/>
      <c r="BZ32" s="186"/>
      <c r="CA32" s="201"/>
      <c r="CB32" s="230"/>
    </row>
    <row r="33" spans="1:80" s="198" customFormat="1" ht="39.950000000000003" customHeight="1">
      <c r="A33" s="9" t="s">
        <v>196</v>
      </c>
      <c r="B33" s="9" t="s">
        <v>197</v>
      </c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2"/>
      <c r="BZ33" s="188"/>
      <c r="CA33" s="201"/>
      <c r="CB33" s="231"/>
    </row>
    <row r="34" spans="1:80" s="198" customFormat="1" ht="39.950000000000003" customHeight="1">
      <c r="A34" s="10" t="s">
        <v>198</v>
      </c>
      <c r="B34" s="11" t="s">
        <v>199</v>
      </c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>
        <f>Отчет!J87+Отчет!J90+Отчет!J93+Отчет!J96+Отчет!J102+Отчет!J105+Отчет!J117+Отчет!J119+Отчет!J121+Отчет!J123+Отчет!J128+Отчет!J131</f>
        <v>24966834</v>
      </c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2"/>
      <c r="BZ34" s="188"/>
      <c r="CA34" s="201"/>
      <c r="CB34" s="231"/>
    </row>
    <row r="35" spans="1:80" s="198" customFormat="1" ht="39.950000000000003" customHeight="1">
      <c r="A35" s="16" t="s">
        <v>200</v>
      </c>
      <c r="B35" s="11" t="s">
        <v>201</v>
      </c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2"/>
      <c r="BZ35" s="188"/>
      <c r="CA35" s="201"/>
      <c r="CB35" s="231"/>
    </row>
    <row r="36" spans="1:80" s="198" customFormat="1" ht="39.950000000000003" customHeight="1">
      <c r="A36" s="16" t="s">
        <v>202</v>
      </c>
      <c r="B36" s="11" t="s">
        <v>203</v>
      </c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2"/>
      <c r="BZ36" s="188"/>
      <c r="CA36" s="201"/>
      <c r="CB36" s="231"/>
    </row>
    <row r="37" spans="1:80" s="199" customFormat="1" ht="39.950000000000003" customHeight="1">
      <c r="A37" s="16" t="s">
        <v>204</v>
      </c>
      <c r="B37" s="11" t="s">
        <v>205</v>
      </c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>
        <f>Отчет!J99+Отчет!J126+Отчет!J144+Отчет!J149+Отчет!J156+Отчет!J159</f>
        <v>28369129.5</v>
      </c>
      <c r="BG37" s="186"/>
      <c r="BH37" s="186"/>
      <c r="BI37" s="186"/>
      <c r="BJ37" s="186"/>
      <c r="BK37" s="186"/>
      <c r="BL37" s="186"/>
      <c r="BM37" s="186"/>
      <c r="BN37" s="186"/>
      <c r="BO37" s="186"/>
      <c r="BP37" s="186"/>
      <c r="BQ37" s="186"/>
      <c r="BR37" s="186"/>
      <c r="BS37" s="186"/>
      <c r="BT37" s="186"/>
      <c r="BU37" s="186"/>
      <c r="BV37" s="186"/>
      <c r="BW37" s="186"/>
      <c r="BX37" s="186"/>
      <c r="BY37" s="181"/>
      <c r="BZ37" s="186"/>
      <c r="CA37" s="201"/>
      <c r="CB37" s="230"/>
    </row>
    <row r="38" spans="1:80" s="198" customFormat="1" ht="39.950000000000003" customHeight="1">
      <c r="A38" s="10" t="s">
        <v>206</v>
      </c>
      <c r="B38" s="11" t="s">
        <v>207</v>
      </c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2"/>
      <c r="BZ38" s="188"/>
      <c r="CA38" s="201"/>
      <c r="CB38" s="231"/>
    </row>
    <row r="39" spans="1:80" s="198" customFormat="1" ht="39.950000000000003" customHeight="1">
      <c r="A39" s="16" t="s">
        <v>208</v>
      </c>
      <c r="B39" s="11" t="s">
        <v>209</v>
      </c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2"/>
      <c r="BZ39" s="188"/>
      <c r="CA39" s="201"/>
      <c r="CB39" s="231"/>
    </row>
    <row r="40" spans="1:80" s="198" customFormat="1" ht="39.950000000000003" customHeight="1">
      <c r="A40" s="16" t="s">
        <v>210</v>
      </c>
      <c r="B40" s="11" t="s">
        <v>211</v>
      </c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2"/>
      <c r="BZ40" s="188"/>
      <c r="CA40" s="201"/>
      <c r="CB40" s="231"/>
    </row>
    <row r="41" spans="1:80" s="198" customFormat="1" ht="39.950000000000003" customHeight="1">
      <c r="A41" s="16" t="s">
        <v>212</v>
      </c>
      <c r="B41" s="11" t="s">
        <v>213</v>
      </c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2"/>
      <c r="BZ41" s="188"/>
      <c r="CA41" s="201"/>
      <c r="CB41" s="231"/>
    </row>
    <row r="42" spans="1:80" s="198" customFormat="1" ht="39.950000000000003" customHeight="1">
      <c r="A42" s="16" t="s">
        <v>214</v>
      </c>
      <c r="B42" s="11" t="s">
        <v>215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90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2"/>
      <c r="BZ42" s="188"/>
      <c r="CA42" s="201"/>
      <c r="CB42" s="231"/>
    </row>
    <row r="43" spans="1:80" s="209" customFormat="1" ht="39.950000000000003" customHeight="1">
      <c r="A43" s="17" t="s">
        <v>216</v>
      </c>
      <c r="B43" s="14" t="s">
        <v>217</v>
      </c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B43" s="183"/>
      <c r="AC43" s="183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84"/>
      <c r="BU43" s="184"/>
      <c r="BV43" s="184"/>
      <c r="BW43" s="184"/>
      <c r="BX43" s="184"/>
      <c r="BY43" s="183"/>
      <c r="BZ43" s="184"/>
      <c r="CA43" s="201"/>
      <c r="CB43" s="229"/>
    </row>
    <row r="44" spans="1:80" s="199" customFormat="1" ht="39.950000000000003" customHeight="1">
      <c r="A44" s="9" t="s">
        <v>218</v>
      </c>
      <c r="B44" s="9" t="s">
        <v>219</v>
      </c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92"/>
      <c r="BS44" s="186"/>
      <c r="BT44" s="186"/>
      <c r="BU44" s="186"/>
      <c r="BV44" s="186"/>
      <c r="BW44" s="186"/>
      <c r="BX44" s="186"/>
      <c r="BY44" s="181"/>
      <c r="BZ44" s="186"/>
      <c r="CA44" s="201"/>
      <c r="CB44" s="230"/>
    </row>
    <row r="45" spans="1:80" s="233" customFormat="1" ht="39.950000000000003" customHeight="1">
      <c r="A45" s="10" t="s">
        <v>220</v>
      </c>
      <c r="B45" s="11" t="s">
        <v>221</v>
      </c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  <c r="BM45" s="194"/>
      <c r="BN45" s="194"/>
      <c r="BO45" s="194"/>
      <c r="BP45" s="194"/>
      <c r="BQ45" s="194"/>
      <c r="BR45" s="194"/>
      <c r="BS45" s="194"/>
      <c r="BT45" s="194"/>
      <c r="BU45" s="194"/>
      <c r="BV45" s="194"/>
      <c r="BW45" s="194"/>
      <c r="BX45" s="194"/>
      <c r="BY45" s="193"/>
      <c r="BZ45" s="194"/>
      <c r="CA45" s="201"/>
      <c r="CB45" s="232"/>
    </row>
    <row r="46" spans="1:80" s="233" customFormat="1" ht="39.950000000000003" customHeight="1">
      <c r="A46" s="10" t="s">
        <v>222</v>
      </c>
      <c r="B46" s="11" t="s">
        <v>223</v>
      </c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  <c r="BM46" s="194"/>
      <c r="BN46" s="194"/>
      <c r="BO46" s="194"/>
      <c r="BP46" s="194"/>
      <c r="BQ46" s="194"/>
      <c r="BR46" s="194"/>
      <c r="BS46" s="194"/>
      <c r="BT46" s="194"/>
      <c r="BU46" s="194"/>
      <c r="BV46" s="194"/>
      <c r="BW46" s="194"/>
      <c r="BX46" s="194"/>
      <c r="BY46" s="193"/>
      <c r="BZ46" s="194"/>
      <c r="CA46" s="201"/>
      <c r="CB46" s="232"/>
    </row>
    <row r="47" spans="1:80" s="233" customFormat="1" ht="39.950000000000003" customHeight="1">
      <c r="A47" s="10" t="s">
        <v>224</v>
      </c>
      <c r="B47" s="11" t="s">
        <v>226</v>
      </c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  <c r="BM47" s="194"/>
      <c r="BN47" s="194"/>
      <c r="BO47" s="194"/>
      <c r="BP47" s="194"/>
      <c r="BQ47" s="194"/>
      <c r="BR47" s="194"/>
      <c r="BS47" s="194"/>
      <c r="BT47" s="194"/>
      <c r="BU47" s="194"/>
      <c r="BV47" s="194"/>
      <c r="BW47" s="194"/>
      <c r="BX47" s="194"/>
      <c r="BY47" s="193"/>
      <c r="BZ47" s="194"/>
      <c r="CA47" s="201"/>
      <c r="CB47" s="232"/>
    </row>
    <row r="48" spans="1:80" s="233" customFormat="1" ht="39.950000000000003" customHeight="1">
      <c r="A48" s="10" t="s">
        <v>227</v>
      </c>
      <c r="B48" s="11" t="s">
        <v>229</v>
      </c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  <c r="BM48" s="194"/>
      <c r="BN48" s="194"/>
      <c r="BO48" s="194"/>
      <c r="BP48" s="194"/>
      <c r="BQ48" s="194"/>
      <c r="BR48" s="194"/>
      <c r="BS48" s="194"/>
      <c r="BT48" s="194"/>
      <c r="BU48" s="194"/>
      <c r="BV48" s="194"/>
      <c r="BW48" s="194"/>
      <c r="BX48" s="194"/>
      <c r="BY48" s="193"/>
      <c r="BZ48" s="194"/>
      <c r="CA48" s="201"/>
      <c r="CB48" s="232"/>
    </row>
    <row r="49" spans="1:80" s="233" customFormat="1" ht="39.950000000000003" customHeight="1">
      <c r="A49" s="10" t="s">
        <v>230</v>
      </c>
      <c r="B49" s="11" t="s">
        <v>231</v>
      </c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  <c r="BM49" s="194"/>
      <c r="BN49" s="194"/>
      <c r="BO49" s="194"/>
      <c r="BP49" s="194"/>
      <c r="BQ49" s="194"/>
      <c r="BR49" s="194"/>
      <c r="BS49" s="194"/>
      <c r="BT49" s="194"/>
      <c r="BU49" s="194"/>
      <c r="BV49" s="194"/>
      <c r="BW49" s="194"/>
      <c r="BX49" s="194"/>
      <c r="BY49" s="193"/>
      <c r="BZ49" s="194"/>
      <c r="CA49" s="201"/>
      <c r="CB49" s="232"/>
    </row>
    <row r="50" spans="1:80" s="209" customFormat="1" ht="39.950000000000003" customHeight="1">
      <c r="A50" s="10" t="s">
        <v>233</v>
      </c>
      <c r="B50" s="11" t="s">
        <v>234</v>
      </c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84"/>
      <c r="BU50" s="184"/>
      <c r="BV50" s="184">
        <f>Отчет!J166+Отчет!J170</f>
        <v>571342</v>
      </c>
      <c r="BW50" s="184"/>
      <c r="BX50" s="184"/>
      <c r="BY50" s="183"/>
      <c r="BZ50" s="184"/>
      <c r="CA50" s="201"/>
      <c r="CB50" s="229"/>
    </row>
    <row r="51" spans="1:80" s="199" customFormat="1" ht="39.950000000000003" customHeight="1">
      <c r="A51" s="15" t="s">
        <v>235</v>
      </c>
      <c r="B51" s="11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6"/>
      <c r="AE51" s="186"/>
      <c r="AF51" s="186"/>
      <c r="AG51" s="186"/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86"/>
      <c r="AT51" s="186"/>
      <c r="AU51" s="186"/>
      <c r="AV51" s="186"/>
      <c r="AW51" s="186"/>
      <c r="AX51" s="186"/>
      <c r="AY51" s="186"/>
      <c r="AZ51" s="186"/>
      <c r="BA51" s="186"/>
      <c r="BB51" s="186"/>
      <c r="BC51" s="186"/>
      <c r="BD51" s="186"/>
      <c r="BE51" s="186"/>
      <c r="BF51" s="186"/>
      <c r="BG51" s="186"/>
      <c r="BH51" s="186"/>
      <c r="BI51" s="186"/>
      <c r="BJ51" s="186"/>
      <c r="BK51" s="186"/>
      <c r="BL51" s="186"/>
      <c r="BM51" s="186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1"/>
      <c r="BZ51" s="186"/>
      <c r="CA51" s="201"/>
      <c r="CB51" s="230"/>
    </row>
    <row r="52" spans="1:80" s="198" customFormat="1" ht="39.950000000000003" customHeight="1">
      <c r="A52" s="15" t="s">
        <v>236</v>
      </c>
      <c r="B52" s="14" t="s">
        <v>237</v>
      </c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V52" s="188">
        <f>Отчет!J46</f>
        <v>425488</v>
      </c>
      <c r="BW52" s="188"/>
      <c r="BX52" s="188">
        <f>Отчет!J81</f>
        <v>4585632</v>
      </c>
      <c r="BY52" s="182"/>
      <c r="BZ52" s="188"/>
      <c r="CA52" s="201"/>
      <c r="CB52" s="231"/>
    </row>
    <row r="53" spans="1:80" s="235" customFormat="1" ht="39.950000000000003" customHeight="1">
      <c r="A53" s="9" t="s">
        <v>238</v>
      </c>
      <c r="B53" s="9" t="s">
        <v>239</v>
      </c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  <c r="AA53" s="195"/>
      <c r="AB53" s="195"/>
      <c r="AC53" s="195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  <c r="BN53" s="196"/>
      <c r="BO53" s="196"/>
      <c r="BP53" s="196"/>
      <c r="BQ53" s="196"/>
      <c r="BR53" s="196"/>
      <c r="BS53" s="196"/>
      <c r="BT53" s="196"/>
      <c r="BU53" s="196"/>
      <c r="BV53" s="196"/>
      <c r="BW53" s="196"/>
      <c r="BX53" s="196"/>
      <c r="BY53" s="195"/>
      <c r="BZ53" s="196"/>
      <c r="CA53" s="201"/>
      <c r="CB53" s="234"/>
    </row>
    <row r="54" spans="1:80" s="235" customFormat="1" ht="39.950000000000003" customHeight="1">
      <c r="A54" s="10" t="s">
        <v>240</v>
      </c>
      <c r="B54" s="11" t="s">
        <v>239</v>
      </c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95"/>
      <c r="V54" s="195"/>
      <c r="W54" s="195"/>
      <c r="X54" s="195"/>
      <c r="Y54" s="195"/>
      <c r="Z54" s="195"/>
      <c r="AA54" s="195"/>
      <c r="AB54" s="195"/>
      <c r="AC54" s="195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6"/>
      <c r="BG54" s="196"/>
      <c r="BH54" s="196"/>
      <c r="BI54" s="196"/>
      <c r="BJ54" s="196"/>
      <c r="BK54" s="196"/>
      <c r="BL54" s="196"/>
      <c r="BM54" s="196"/>
      <c r="BN54" s="196"/>
      <c r="BO54" s="196"/>
      <c r="BP54" s="196"/>
      <c r="BQ54" s="196"/>
      <c r="BR54" s="196"/>
      <c r="BS54" s="196"/>
      <c r="BT54" s="196"/>
      <c r="BU54" s="196"/>
      <c r="BV54" s="196"/>
      <c r="BW54" s="196"/>
      <c r="BX54" s="196"/>
      <c r="BY54" s="195"/>
      <c r="BZ54" s="196"/>
      <c r="CA54" s="201"/>
      <c r="CB54" s="234"/>
    </row>
    <row r="55" spans="1:80" s="235" customFormat="1" ht="39.75" customHeight="1">
      <c r="A55" s="15" t="s">
        <v>241</v>
      </c>
      <c r="B55" s="14" t="s">
        <v>242</v>
      </c>
      <c r="C55" s="195"/>
      <c r="D55" s="195"/>
      <c r="E55" s="195"/>
      <c r="F55" s="195"/>
      <c r="G55" s="195"/>
      <c r="H55" s="195"/>
      <c r="I55" s="195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95"/>
      <c r="V55" s="195"/>
      <c r="W55" s="195"/>
      <c r="X55" s="195"/>
      <c r="Y55" s="195"/>
      <c r="Z55" s="195"/>
      <c r="AA55" s="195"/>
      <c r="AB55" s="195"/>
      <c r="AC55" s="195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6"/>
      <c r="BG55" s="196"/>
      <c r="BH55" s="196"/>
      <c r="BI55" s="196"/>
      <c r="BJ55" s="196">
        <f>Отчет!J179</f>
        <v>12460564</v>
      </c>
      <c r="BK55" s="196"/>
      <c r="BL55" s="196"/>
      <c r="BM55" s="196"/>
      <c r="BN55" s="196"/>
      <c r="BO55" s="196"/>
      <c r="BP55" s="196"/>
      <c r="BQ55" s="196"/>
      <c r="BR55" s="196"/>
      <c r="BS55" s="196"/>
      <c r="BT55" s="196"/>
      <c r="BU55" s="196"/>
      <c r="BV55" s="196"/>
      <c r="BW55" s="196"/>
      <c r="BX55" s="196"/>
      <c r="BY55" s="195"/>
      <c r="BZ55" s="196"/>
      <c r="CA55" s="201"/>
      <c r="CB55" s="234"/>
    </row>
    <row r="56" spans="1:80" s="235" customFormat="1" ht="39.950000000000003" customHeight="1">
      <c r="A56" s="15" t="s">
        <v>243</v>
      </c>
      <c r="B56" s="14" t="s">
        <v>244</v>
      </c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95"/>
      <c r="T56" s="195"/>
      <c r="U56" s="195"/>
      <c r="V56" s="195"/>
      <c r="W56" s="195"/>
      <c r="X56" s="195"/>
      <c r="Y56" s="195"/>
      <c r="Z56" s="195"/>
      <c r="AA56" s="195"/>
      <c r="AB56" s="195"/>
      <c r="AC56" s="195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  <c r="AP56" s="196"/>
      <c r="AQ56" s="196"/>
      <c r="AR56" s="196"/>
      <c r="AS56" s="196"/>
      <c r="AT56" s="196"/>
      <c r="AU56" s="196"/>
      <c r="AV56" s="196"/>
      <c r="AW56" s="196"/>
      <c r="AX56" s="196"/>
      <c r="AY56" s="196"/>
      <c r="AZ56" s="196"/>
      <c r="BA56" s="196"/>
      <c r="BB56" s="196"/>
      <c r="BC56" s="196"/>
      <c r="BD56" s="196"/>
      <c r="BE56" s="196"/>
      <c r="BF56" s="196"/>
      <c r="BG56" s="196"/>
      <c r="BH56" s="196"/>
      <c r="BI56" s="196"/>
      <c r="BJ56" s="196"/>
      <c r="BK56" s="196"/>
      <c r="BL56" s="196"/>
      <c r="BM56" s="196"/>
      <c r="BN56" s="196"/>
      <c r="BO56" s="196"/>
      <c r="BP56" s="196"/>
      <c r="BQ56" s="196"/>
      <c r="BR56" s="196"/>
      <c r="BS56" s="196"/>
      <c r="BT56" s="196"/>
      <c r="BU56" s="196"/>
      <c r="BV56" s="196"/>
      <c r="BW56" s="196"/>
      <c r="BX56" s="196"/>
      <c r="BY56" s="195"/>
      <c r="BZ56" s="196"/>
      <c r="CA56" s="201"/>
      <c r="CB56" s="234"/>
    </row>
    <row r="57" spans="1:80" s="235" customFormat="1" ht="39.950000000000003" customHeight="1">
      <c r="A57" s="15" t="s">
        <v>245</v>
      </c>
      <c r="B57" s="14" t="s">
        <v>246</v>
      </c>
      <c r="C57" s="195"/>
      <c r="D57" s="195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5"/>
      <c r="V57" s="195"/>
      <c r="W57" s="195"/>
      <c r="X57" s="195"/>
      <c r="Y57" s="195"/>
      <c r="Z57" s="195"/>
      <c r="AA57" s="195"/>
      <c r="AB57" s="195"/>
      <c r="AC57" s="195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6"/>
      <c r="AS57" s="196"/>
      <c r="AT57" s="196"/>
      <c r="AU57" s="196"/>
      <c r="AV57" s="196"/>
      <c r="AW57" s="196"/>
      <c r="AX57" s="196"/>
      <c r="AY57" s="196"/>
      <c r="AZ57" s="196"/>
      <c r="BA57" s="196"/>
      <c r="BB57" s="196"/>
      <c r="BC57" s="196"/>
      <c r="BD57" s="196"/>
      <c r="BE57" s="196"/>
      <c r="BF57" s="196"/>
      <c r="BG57" s="196"/>
      <c r="BH57" s="196"/>
      <c r="BI57" s="196"/>
      <c r="BJ57" s="196"/>
      <c r="BK57" s="196">
        <f>Отчет!J201</f>
        <v>1370104.3</v>
      </c>
      <c r="BL57" s="196"/>
      <c r="BM57" s="196"/>
      <c r="BN57" s="196"/>
      <c r="BO57" s="196"/>
      <c r="BP57" s="196"/>
      <c r="BQ57" s="196"/>
      <c r="BR57" s="196"/>
      <c r="BS57" s="196"/>
      <c r="BT57" s="196"/>
      <c r="BU57" s="196"/>
      <c r="BV57" s="196"/>
      <c r="BW57" s="196"/>
      <c r="BX57" s="196"/>
      <c r="BY57" s="195"/>
      <c r="BZ57" s="196"/>
      <c r="CA57" s="201"/>
      <c r="CB57" s="234"/>
    </row>
    <row r="58" spans="1:80" s="235" customFormat="1" ht="39.950000000000003" customHeight="1">
      <c r="A58" s="15" t="s">
        <v>247</v>
      </c>
      <c r="B58" s="14" t="s">
        <v>248</v>
      </c>
      <c r="C58" s="195"/>
      <c r="D58" s="195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5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  <c r="AP58" s="196"/>
      <c r="AQ58" s="196"/>
      <c r="AR58" s="196"/>
      <c r="AS58" s="196"/>
      <c r="AT58" s="196"/>
      <c r="AU58" s="196"/>
      <c r="AV58" s="196"/>
      <c r="AW58" s="196"/>
      <c r="AX58" s="196"/>
      <c r="AY58" s="196"/>
      <c r="AZ58" s="196"/>
      <c r="BA58" s="196"/>
      <c r="BB58" s="196"/>
      <c r="BC58" s="196"/>
      <c r="BD58" s="196"/>
      <c r="BE58" s="196"/>
      <c r="BF58" s="197"/>
      <c r="BG58" s="196"/>
      <c r="BH58" s="196"/>
      <c r="BI58" s="196"/>
      <c r="BJ58" s="196"/>
      <c r="BK58" s="196"/>
      <c r="BL58" s="196"/>
      <c r="BM58" s="196"/>
      <c r="BN58" s="196"/>
      <c r="BO58" s="196"/>
      <c r="BP58" s="196"/>
      <c r="BQ58" s="196"/>
      <c r="BR58" s="196"/>
      <c r="BS58" s="196"/>
      <c r="BT58" s="196"/>
      <c r="BU58" s="196"/>
      <c r="BV58" s="196"/>
      <c r="BW58" s="196"/>
      <c r="BX58" s="196"/>
      <c r="BY58" s="195"/>
      <c r="BZ58" s="196"/>
      <c r="CA58" s="201"/>
      <c r="CB58" s="234"/>
    </row>
    <row r="59" spans="1:80" s="199" customFormat="1" ht="39.950000000000003" customHeight="1">
      <c r="A59" s="10" t="s">
        <v>249</v>
      </c>
      <c r="B59" s="11" t="s">
        <v>250</v>
      </c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1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1"/>
      <c r="BZ59" s="186"/>
      <c r="CA59" s="201"/>
      <c r="CB59" s="230"/>
    </row>
    <row r="60" spans="1:80" s="199" customFormat="1" ht="39.950000000000003" customHeight="1">
      <c r="A60" s="9" t="s">
        <v>252</v>
      </c>
      <c r="B60" s="9" t="s">
        <v>253</v>
      </c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1"/>
      <c r="BZ60" s="186"/>
      <c r="CA60" s="201"/>
      <c r="CB60" s="230"/>
    </row>
    <row r="61" spans="1:80" s="209" customFormat="1" ht="39.950000000000003" customHeight="1">
      <c r="A61" s="9" t="s">
        <v>254</v>
      </c>
      <c r="B61" s="9" t="s">
        <v>255</v>
      </c>
      <c r="C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  <c r="AA61" s="183"/>
      <c r="AB61" s="183"/>
      <c r="AC61" s="183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3"/>
      <c r="BZ61" s="184"/>
      <c r="CA61" s="201"/>
      <c r="CB61" s="229"/>
    </row>
    <row r="62" spans="1:80" s="199" customFormat="1" ht="39.950000000000003" customHeight="1">
      <c r="A62" s="9" t="s">
        <v>256</v>
      </c>
      <c r="B62" s="9" t="s">
        <v>257</v>
      </c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1"/>
      <c r="BZ62" s="186"/>
      <c r="CA62" s="201"/>
      <c r="CB62" s="230"/>
    </row>
    <row r="63" spans="1:80" s="199" customFormat="1" ht="39.950000000000003" customHeight="1">
      <c r="A63" s="16" t="s">
        <v>258</v>
      </c>
      <c r="B63" s="11" t="s">
        <v>259</v>
      </c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1"/>
      <c r="BZ63" s="186"/>
      <c r="CA63" s="201"/>
      <c r="CB63" s="230"/>
    </row>
    <row r="64" spans="1:80" s="198" customFormat="1" ht="39.950000000000003" customHeight="1">
      <c r="A64" s="16" t="s">
        <v>260</v>
      </c>
      <c r="B64" s="11" t="s">
        <v>261</v>
      </c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2"/>
      <c r="BZ64" s="188"/>
      <c r="CA64" s="201"/>
      <c r="CB64" s="231"/>
    </row>
    <row r="65" spans="1:80" s="198" customFormat="1" ht="39.950000000000003" customHeight="1">
      <c r="A65" s="16" t="s">
        <v>262</v>
      </c>
      <c r="B65" s="11" t="s">
        <v>263</v>
      </c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2"/>
      <c r="BZ65" s="188"/>
      <c r="CA65" s="201"/>
      <c r="CB65" s="231"/>
    </row>
    <row r="66" spans="1:80" s="198" customFormat="1" ht="39.950000000000003" customHeight="1">
      <c r="A66" s="9" t="s">
        <v>264</v>
      </c>
      <c r="B66" s="9" t="s">
        <v>265</v>
      </c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>
        <f>Отчет!J57+Отчет!J67</f>
        <v>2096863</v>
      </c>
      <c r="BW66" s="188"/>
      <c r="BX66" s="188"/>
      <c r="BY66" s="182"/>
      <c r="BZ66" s="188"/>
      <c r="CA66" s="201"/>
      <c r="CB66" s="231"/>
    </row>
    <row r="67" spans="1:80" s="198" customFormat="1" ht="39.950000000000003" customHeight="1">
      <c r="A67" s="16" t="s">
        <v>266</v>
      </c>
      <c r="B67" s="18" t="s">
        <v>267</v>
      </c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8"/>
      <c r="AE67" s="188">
        <f>Отчет!J56+Отчет!J66</f>
        <v>3307099</v>
      </c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2"/>
      <c r="BZ67" s="188"/>
      <c r="CA67" s="201"/>
      <c r="CB67" s="231"/>
    </row>
    <row r="68" spans="1:80" s="198" customFormat="1" ht="39.950000000000003" customHeight="1">
      <c r="A68" s="16" t="s">
        <v>268</v>
      </c>
      <c r="B68" s="18" t="s">
        <v>269</v>
      </c>
      <c r="C68" s="182"/>
      <c r="D68" s="182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2"/>
      <c r="BZ68" s="188"/>
      <c r="CA68" s="201"/>
      <c r="CB68" s="231"/>
    </row>
    <row r="69" spans="1:80" s="199" customFormat="1" ht="39.950000000000003" customHeight="1">
      <c r="A69" s="16" t="s">
        <v>270</v>
      </c>
      <c r="B69" s="18" t="s">
        <v>225</v>
      </c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6"/>
      <c r="AE69" s="186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186"/>
      <c r="BE69" s="186"/>
      <c r="BF69" s="186"/>
      <c r="BG69" s="186"/>
      <c r="BH69" s="186"/>
      <c r="BI69" s="186"/>
      <c r="BJ69" s="186"/>
      <c r="BK69" s="186"/>
      <c r="BL69" s="186"/>
      <c r="BM69" s="186"/>
      <c r="BN69" s="186">
        <f>Отчет!J202</f>
        <v>2374989.2000000002</v>
      </c>
      <c r="BO69" s="186"/>
      <c r="BP69" s="186"/>
      <c r="BQ69" s="186"/>
      <c r="BR69" s="186"/>
      <c r="BS69" s="186"/>
      <c r="BT69" s="186"/>
      <c r="BU69" s="186"/>
      <c r="BW69" s="186"/>
      <c r="BX69" s="186">
        <f>Отчет!J60+Отчет!J70+Отчет!J76</f>
        <v>143769</v>
      </c>
      <c r="BY69" s="181"/>
      <c r="BZ69" s="186"/>
      <c r="CA69" s="201"/>
      <c r="CB69" s="230"/>
    </row>
    <row r="70" spans="1:80" s="199" customFormat="1" ht="39.950000000000003" customHeight="1">
      <c r="A70" s="16" t="s">
        <v>271</v>
      </c>
      <c r="B70" s="18" t="s">
        <v>228</v>
      </c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>
        <f>Отчет!J197</f>
        <v>39934</v>
      </c>
      <c r="BY70" s="181"/>
      <c r="BZ70" s="186"/>
      <c r="CA70" s="201"/>
      <c r="CB70" s="230"/>
    </row>
    <row r="71" spans="1:80" s="198" customFormat="1" ht="39.950000000000003" customHeight="1">
      <c r="A71" s="16" t="s">
        <v>272</v>
      </c>
      <c r="B71" s="18" t="s">
        <v>232</v>
      </c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  <c r="BW71" s="188"/>
      <c r="BX71" s="188"/>
      <c r="BY71" s="182"/>
      <c r="BZ71" s="188"/>
      <c r="CA71" s="201"/>
      <c r="CB71" s="231"/>
    </row>
    <row r="72" spans="1:80" s="198" customFormat="1" ht="39.950000000000003" customHeight="1">
      <c r="A72" s="16" t="s">
        <v>273</v>
      </c>
      <c r="B72" s="18" t="s">
        <v>274</v>
      </c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2"/>
      <c r="BZ72" s="188"/>
      <c r="CA72" s="201"/>
      <c r="CB72" s="231"/>
    </row>
    <row r="73" spans="1:80" s="198" customFormat="1" ht="39.950000000000003" customHeight="1">
      <c r="A73" s="9" t="s">
        <v>275</v>
      </c>
      <c r="B73" s="38" t="s">
        <v>276</v>
      </c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  <c r="BU73" s="188"/>
      <c r="BV73" s="188"/>
      <c r="BW73" s="188"/>
      <c r="BX73" s="188"/>
      <c r="BY73" s="182"/>
      <c r="BZ73" s="188"/>
      <c r="CA73" s="201"/>
      <c r="CB73" s="231"/>
    </row>
    <row r="74" spans="1:80" s="198" customFormat="1" ht="39.950000000000003" customHeight="1">
      <c r="A74" s="16" t="s">
        <v>277</v>
      </c>
      <c r="B74" s="32" t="s">
        <v>278</v>
      </c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  <c r="AY74" s="188"/>
      <c r="AZ74" s="188"/>
      <c r="BA74" s="188"/>
      <c r="BB74" s="188"/>
      <c r="BC74" s="188"/>
      <c r="BD74" s="188"/>
      <c r="BE74" s="188"/>
      <c r="BF74" s="188"/>
      <c r="BG74" s="188"/>
      <c r="BH74" s="188"/>
      <c r="BI74" s="188"/>
      <c r="BJ74" s="188"/>
      <c r="BK74" s="188"/>
      <c r="BL74" s="188"/>
      <c r="BM74" s="188"/>
      <c r="BN74" s="188"/>
      <c r="BO74" s="188"/>
      <c r="BP74" s="188"/>
      <c r="BQ74" s="188"/>
      <c r="BR74" s="188"/>
      <c r="BS74" s="188"/>
      <c r="BT74" s="188"/>
      <c r="BU74" s="188"/>
      <c r="BV74" s="188"/>
      <c r="BW74" s="188"/>
      <c r="BX74" s="188"/>
      <c r="BY74" s="182"/>
      <c r="BZ74" s="188"/>
      <c r="CA74" s="201"/>
      <c r="CB74" s="231"/>
    </row>
    <row r="75" spans="1:80" s="199" customFormat="1" ht="39.950000000000003" customHeight="1">
      <c r="A75" s="16" t="s">
        <v>279</v>
      </c>
      <c r="B75" s="32" t="s">
        <v>280</v>
      </c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1"/>
      <c r="BZ75" s="186"/>
      <c r="CA75" s="201"/>
      <c r="CB75" s="230"/>
    </row>
    <row r="76" spans="1:80" s="198" customFormat="1" ht="39.950000000000003" customHeight="1">
      <c r="A76" s="16" t="s">
        <v>281</v>
      </c>
      <c r="B76" s="32" t="s">
        <v>282</v>
      </c>
      <c r="C76" s="18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188"/>
      <c r="BD76" s="188"/>
      <c r="BE76" s="188"/>
      <c r="BF76" s="188"/>
      <c r="BG76" s="188"/>
      <c r="BH76" s="188"/>
      <c r="BI76" s="188"/>
      <c r="BJ76" s="188"/>
      <c r="BK76" s="188"/>
      <c r="BL76" s="188"/>
      <c r="BM76" s="188"/>
      <c r="BN76" s="188"/>
      <c r="BO76" s="188"/>
      <c r="BP76" s="188"/>
      <c r="BQ76" s="188"/>
      <c r="BR76" s="188"/>
      <c r="BS76" s="188"/>
      <c r="BT76" s="188"/>
      <c r="BU76" s="188"/>
      <c r="BV76" s="188"/>
      <c r="BW76" s="188"/>
      <c r="BX76" s="188"/>
      <c r="BY76" s="182"/>
      <c r="BZ76" s="188"/>
      <c r="CA76" s="201"/>
      <c r="CB76" s="231"/>
    </row>
    <row r="77" spans="1:80" s="198" customFormat="1" ht="39.950000000000003" customHeight="1">
      <c r="A77" s="16" t="s">
        <v>283</v>
      </c>
      <c r="B77" s="32" t="s">
        <v>284</v>
      </c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  <c r="AU77" s="188"/>
      <c r="AV77" s="188"/>
      <c r="AW77" s="188"/>
      <c r="AX77" s="188"/>
      <c r="AY77" s="188"/>
      <c r="AZ77" s="188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  <c r="BK77" s="188"/>
      <c r="BL77" s="188"/>
      <c r="BM77" s="188"/>
      <c r="BN77" s="188"/>
      <c r="BO77" s="188"/>
      <c r="BP77" s="188"/>
      <c r="BQ77" s="188"/>
      <c r="BR77" s="188"/>
      <c r="BS77" s="188"/>
      <c r="BT77" s="188"/>
      <c r="BU77" s="188"/>
      <c r="BV77" s="188"/>
      <c r="BW77" s="188"/>
      <c r="BX77" s="188"/>
      <c r="BY77" s="182"/>
      <c r="BZ77" s="188"/>
      <c r="CA77" s="201"/>
      <c r="CB77" s="231"/>
    </row>
    <row r="78" spans="1:80" s="199" customFormat="1" ht="39.950000000000003" customHeight="1">
      <c r="A78" s="16" t="s">
        <v>285</v>
      </c>
      <c r="B78" s="32" t="s">
        <v>286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1"/>
      <c r="BZ78" s="186"/>
      <c r="CA78" s="201"/>
      <c r="CB78" s="230"/>
    </row>
    <row r="79" spans="1:80" s="198" customFormat="1" ht="39.950000000000003" customHeight="1">
      <c r="A79" s="9" t="s">
        <v>287</v>
      </c>
      <c r="B79" s="38" t="s">
        <v>288</v>
      </c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  <c r="AU79" s="188"/>
      <c r="AV79" s="188"/>
      <c r="AW79" s="188"/>
      <c r="AX79" s="188"/>
      <c r="AY79" s="188"/>
      <c r="AZ79" s="188"/>
      <c r="BA79" s="188"/>
      <c r="BB79" s="188"/>
      <c r="BC79" s="188"/>
      <c r="BD79" s="188"/>
      <c r="BE79" s="188"/>
      <c r="BF79" s="188"/>
      <c r="BG79" s="188"/>
      <c r="BH79" s="188"/>
      <c r="BI79" s="188"/>
      <c r="BJ79" s="188"/>
      <c r="BK79" s="188"/>
      <c r="BL79" s="188"/>
      <c r="BM79" s="188"/>
      <c r="BN79" s="188"/>
      <c r="BO79" s="188"/>
      <c r="BP79" s="188"/>
      <c r="BQ79" s="188"/>
      <c r="BR79" s="188"/>
      <c r="BS79" s="188"/>
      <c r="BT79" s="188"/>
      <c r="BU79" s="188"/>
      <c r="BV79" s="188"/>
      <c r="BW79" s="188"/>
      <c r="BX79" s="188">
        <f>Отчет!J175+Отчет!J185+Отчет!J186+Отчет!J190+Отчет!J210+Отчет!J211</f>
        <v>34929235.399999999</v>
      </c>
      <c r="BY79" s="182"/>
      <c r="BZ79" s="188"/>
      <c r="CA79" s="201"/>
      <c r="CB79" s="231"/>
    </row>
    <row r="80" spans="1:80" s="198" customFormat="1" ht="39.950000000000003" customHeight="1">
      <c r="A80" s="9" t="s">
        <v>289</v>
      </c>
      <c r="B80" s="20" t="s">
        <v>290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  <c r="BB80" s="188"/>
      <c r="BC80" s="188"/>
      <c r="BD80" s="188"/>
      <c r="BE80" s="188"/>
      <c r="BF80" s="188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  <c r="BU80" s="188"/>
      <c r="BV80" s="188">
        <f>Отчет!J183</f>
        <v>1702892</v>
      </c>
      <c r="BW80" s="188"/>
      <c r="BX80" s="188"/>
      <c r="BY80" s="182"/>
      <c r="BZ80" s="188"/>
      <c r="CA80" s="201"/>
      <c r="CB80" s="231"/>
    </row>
    <row r="81" spans="1:80" s="198" customFormat="1" ht="39.950000000000003" customHeight="1">
      <c r="A81" s="9" t="s">
        <v>291</v>
      </c>
      <c r="B81" s="38" t="s">
        <v>292</v>
      </c>
      <c r="C81" s="182"/>
      <c r="D81" s="182"/>
      <c r="E81" s="182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C81" s="188"/>
      <c r="BD81" s="188"/>
      <c r="BE81" s="188"/>
      <c r="BF81" s="188"/>
      <c r="BG81" s="188"/>
      <c r="BH81" s="188"/>
      <c r="BI81" s="188"/>
      <c r="BJ81" s="188"/>
      <c r="BK81" s="188"/>
      <c r="BL81" s="188"/>
      <c r="BM81" s="188"/>
      <c r="BN81" s="188"/>
      <c r="BO81" s="188"/>
      <c r="BP81" s="188"/>
      <c r="BQ81" s="188"/>
      <c r="BR81" s="188"/>
      <c r="BS81" s="188"/>
      <c r="BT81" s="188"/>
      <c r="BU81" s="188"/>
      <c r="BV81" s="188">
        <f>Отчет!J48+Отчет!J62+Отчет!J72+Отчет!J80</f>
        <v>10965645.800000001</v>
      </c>
      <c r="BW81" s="188"/>
      <c r="BX81" s="188"/>
      <c r="BY81" s="182"/>
      <c r="BZ81" s="188"/>
      <c r="CA81" s="201"/>
      <c r="CB81" s="231"/>
    </row>
    <row r="82" spans="1:80" s="199" customFormat="1" ht="39.950000000000003" customHeight="1">
      <c r="A82" s="16" t="s">
        <v>293</v>
      </c>
      <c r="B82" s="223" t="s">
        <v>294</v>
      </c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1"/>
      <c r="BZ82" s="186"/>
      <c r="CA82" s="201"/>
      <c r="CB82" s="230"/>
    </row>
    <row r="83" spans="1:80" s="199" customFormat="1" ht="39.950000000000003" customHeight="1">
      <c r="A83" s="16" t="s">
        <v>295</v>
      </c>
      <c r="B83" s="223" t="s">
        <v>296</v>
      </c>
      <c r="C83" s="181"/>
      <c r="D83" s="200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1"/>
      <c r="BZ83" s="186"/>
      <c r="CA83" s="201"/>
      <c r="CB83" s="230"/>
    </row>
    <row r="84" spans="1:80" s="199" customFormat="1" ht="39.950000000000003" customHeight="1">
      <c r="A84" s="16" t="s">
        <v>297</v>
      </c>
      <c r="B84" s="223" t="s">
        <v>298</v>
      </c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1"/>
      <c r="BZ84" s="186"/>
      <c r="CA84" s="201"/>
      <c r="CB84" s="230"/>
    </row>
    <row r="85" spans="1:80" s="238" customFormat="1" ht="39.950000000000003" customHeight="1">
      <c r="A85" s="16" t="s">
        <v>299</v>
      </c>
      <c r="B85" s="223" t="s">
        <v>300</v>
      </c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6"/>
      <c r="AX85" s="236"/>
      <c r="AY85" s="236"/>
      <c r="AZ85" s="236"/>
      <c r="BA85" s="236"/>
      <c r="BB85" s="236"/>
      <c r="BC85" s="236"/>
      <c r="BD85" s="236"/>
      <c r="BE85" s="236"/>
      <c r="BF85" s="236"/>
      <c r="BG85" s="236"/>
      <c r="BH85" s="236"/>
      <c r="BI85" s="236"/>
      <c r="BJ85" s="236"/>
      <c r="BK85" s="236"/>
      <c r="BL85" s="236"/>
      <c r="BM85" s="236"/>
      <c r="BN85" s="236"/>
      <c r="BO85" s="236"/>
      <c r="BP85" s="236"/>
      <c r="BQ85" s="236"/>
      <c r="BR85" s="236"/>
      <c r="BS85" s="236"/>
      <c r="BT85" s="236"/>
      <c r="BU85" s="236"/>
      <c r="BV85" s="236"/>
      <c r="BW85" s="236"/>
      <c r="BX85" s="236"/>
      <c r="BY85" s="236"/>
      <c r="BZ85" s="236"/>
      <c r="CA85" s="237"/>
    </row>
    <row r="86" spans="1:80">
      <c r="A86" s="9" t="s">
        <v>301</v>
      </c>
      <c r="B86" s="20" t="s">
        <v>302</v>
      </c>
    </row>
    <row r="87" spans="1:80" ht="31.5">
      <c r="A87" s="16" t="s">
        <v>303</v>
      </c>
      <c r="B87" s="21" t="s">
        <v>304</v>
      </c>
    </row>
    <row r="88" spans="1:80" ht="63">
      <c r="A88" s="16" t="s">
        <v>305</v>
      </c>
      <c r="B88" s="11" t="s">
        <v>306</v>
      </c>
    </row>
    <row r="89" spans="1:80" ht="27">
      <c r="A89" s="9" t="s">
        <v>307</v>
      </c>
      <c r="B89" s="224" t="s">
        <v>308</v>
      </c>
    </row>
    <row r="90" spans="1:80" ht="31.5">
      <c r="A90" s="16" t="s">
        <v>309</v>
      </c>
      <c r="B90" s="225" t="s">
        <v>310</v>
      </c>
      <c r="BV90" s="315">
        <f>Отчет!J187</f>
        <v>2146492</v>
      </c>
    </row>
    <row r="91" spans="1:80" ht="31.5">
      <c r="A91" s="16" t="s">
        <v>311</v>
      </c>
      <c r="B91" s="225" t="s">
        <v>312</v>
      </c>
      <c r="BV91" s="199">
        <f>Отчет!J188</f>
        <v>10132</v>
      </c>
    </row>
    <row r="92" spans="1:80" ht="38.25">
      <c r="A92" s="16" t="s">
        <v>313</v>
      </c>
      <c r="B92" s="225" t="s">
        <v>314</v>
      </c>
      <c r="BN92" s="198">
        <f>Отчет!J208</f>
        <v>495432</v>
      </c>
      <c r="BV92" s="199">
        <f>Отчет!J189</f>
        <v>1680389</v>
      </c>
    </row>
    <row r="93" spans="1:80" ht="31.5">
      <c r="A93" s="226" t="s">
        <v>315</v>
      </c>
      <c r="B93" s="227" t="s">
        <v>316</v>
      </c>
      <c r="BI93" s="198">
        <f>Отчет!J194</f>
        <v>2103719</v>
      </c>
      <c r="BX93" s="315">
        <f>Отчет!J52+Отчет!J76+Отчет!J78+Отчет!J78+Отчет!J177+Отчет!J191</f>
        <v>22800749</v>
      </c>
    </row>
    <row r="94" spans="1:80" ht="47.25">
      <c r="A94" s="9" t="s">
        <v>317</v>
      </c>
      <c r="B94" s="14" t="s">
        <v>318</v>
      </c>
      <c r="BV94" s="199">
        <f>Отчет!J49</f>
        <v>52629</v>
      </c>
    </row>
    <row r="95" spans="1:80" ht="31.5">
      <c r="A95" s="9" t="s">
        <v>319</v>
      </c>
      <c r="B95" s="14" t="s">
        <v>320</v>
      </c>
      <c r="BJ95" s="199">
        <f>Отчет!J195+Отчет!J196+Отчет!J199</f>
        <v>951384.90000000014</v>
      </c>
      <c r="BX95" s="199">
        <f>Отчет!J209</f>
        <v>116131</v>
      </c>
    </row>
    <row r="96" spans="1:80" ht="31.5">
      <c r="A96" s="9" t="s">
        <v>321</v>
      </c>
      <c r="B96" s="14" t="s">
        <v>322</v>
      </c>
    </row>
    <row r="97" spans="1:2">
      <c r="A97" s="22" t="s">
        <v>323</v>
      </c>
      <c r="B97" s="228"/>
    </row>
    <row r="98" spans="1:2">
      <c r="A98" s="145" t="s">
        <v>324</v>
      </c>
      <c r="B98" s="145" t="s">
        <v>325</v>
      </c>
    </row>
    <row r="99" spans="1:2" ht="31.5">
      <c r="A99" s="145" t="s">
        <v>326</v>
      </c>
      <c r="B99" s="145" t="s">
        <v>327</v>
      </c>
    </row>
    <row r="100" spans="1:2" ht="31.5">
      <c r="A100" s="145" t="s">
        <v>328</v>
      </c>
      <c r="B100" s="145" t="s">
        <v>329</v>
      </c>
    </row>
    <row r="101" spans="1:2" ht="31.5">
      <c r="A101" s="145" t="s">
        <v>330</v>
      </c>
      <c r="B101" s="145" t="s">
        <v>331</v>
      </c>
    </row>
  </sheetData>
  <mergeCells count="1">
    <mergeCell ref="A1:B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CB290"/>
  <sheetViews>
    <sheetView topLeftCell="A10" zoomScale="70" zoomScaleNormal="70" workbookViewId="0">
      <pane xSplit="3" topLeftCell="BM1" activePane="topRight" state="frozen"/>
      <selection pane="topRight" activeCell="BT13" sqref="BT13"/>
    </sheetView>
  </sheetViews>
  <sheetFormatPr defaultRowHeight="15"/>
  <cols>
    <col min="2" max="4" width="33.42578125" customWidth="1"/>
    <col min="5" max="5" width="16.85546875" customWidth="1"/>
    <col min="6" max="7" width="14.7109375" bestFit="1" customWidth="1"/>
    <col min="8" max="8" width="23.28515625" customWidth="1"/>
    <col min="9" max="9" width="14.140625" customWidth="1"/>
    <col min="10" max="10" width="18.140625" bestFit="1" customWidth="1"/>
    <col min="11" max="11" width="13" customWidth="1"/>
    <col min="12" max="12" width="12.42578125" bestFit="1" customWidth="1"/>
    <col min="13" max="13" width="13.42578125" bestFit="1" customWidth="1"/>
    <col min="14" max="14" width="14.85546875" bestFit="1" customWidth="1"/>
    <col min="15" max="15" width="13.42578125" bestFit="1" customWidth="1"/>
    <col min="16" max="16" width="12.140625" bestFit="1" customWidth="1"/>
    <col min="17" max="17" width="13.7109375" customWidth="1"/>
    <col min="18" max="18" width="13.42578125" bestFit="1" customWidth="1"/>
    <col min="20" max="20" width="12.42578125" bestFit="1" customWidth="1"/>
    <col min="21" max="22" width="13.42578125" bestFit="1" customWidth="1"/>
    <col min="23" max="23" width="13.7109375" customWidth="1"/>
    <col min="24" max="25" width="10.85546875" bestFit="1" customWidth="1"/>
    <col min="30" max="30" width="16.42578125" customWidth="1"/>
    <col min="31" max="31" width="20.7109375" bestFit="1" customWidth="1"/>
    <col min="32" max="32" width="15.28515625" customWidth="1"/>
    <col min="33" max="33" width="15.140625" customWidth="1"/>
    <col min="34" max="34" width="14.85546875" customWidth="1"/>
    <col min="35" max="35" width="13.42578125" bestFit="1" customWidth="1"/>
    <col min="36" max="36" width="9.7109375" bestFit="1" customWidth="1"/>
    <col min="38" max="38" width="10.140625" bestFit="1" customWidth="1"/>
    <col min="39" max="39" width="11.140625" bestFit="1" customWidth="1"/>
    <col min="40" max="40" width="14.140625" bestFit="1" customWidth="1"/>
    <col min="41" max="41" width="14.140625" customWidth="1"/>
    <col min="42" max="42" width="10.85546875" bestFit="1" customWidth="1"/>
    <col min="43" max="43" width="11.28515625" bestFit="1" customWidth="1"/>
    <col min="44" max="44" width="13.42578125" bestFit="1" customWidth="1"/>
    <col min="45" max="45" width="13.5703125" bestFit="1" customWidth="1"/>
    <col min="46" max="46" width="12.5703125" bestFit="1" customWidth="1"/>
    <col min="47" max="47" width="14.7109375" customWidth="1"/>
    <col min="48" max="48" width="12.42578125" bestFit="1" customWidth="1"/>
    <col min="49" max="49" width="15.5703125" bestFit="1" customWidth="1"/>
    <col min="50" max="51" width="14.7109375" bestFit="1" customWidth="1"/>
    <col min="52" max="52" width="12.42578125" bestFit="1" customWidth="1"/>
    <col min="55" max="55" width="10.85546875" bestFit="1" customWidth="1"/>
    <col min="56" max="56" width="15.7109375" customWidth="1"/>
    <col min="58" max="58" width="12.42578125" bestFit="1" customWidth="1"/>
    <col min="59" max="59" width="15" customWidth="1"/>
    <col min="60" max="60" width="13.85546875" bestFit="1" customWidth="1"/>
    <col min="61" max="61" width="13.42578125" bestFit="1" customWidth="1"/>
    <col min="62" max="62" width="13.5703125" bestFit="1" customWidth="1"/>
    <col min="63" max="63" width="13.28515625" bestFit="1" customWidth="1"/>
    <col min="64" max="64" width="12.42578125" bestFit="1" customWidth="1"/>
    <col min="65" max="65" width="13.28515625" customWidth="1"/>
    <col min="66" max="66" width="9.5703125" bestFit="1" customWidth="1"/>
    <col min="67" max="67" width="9.85546875" bestFit="1" customWidth="1"/>
    <col min="68" max="68" width="10.7109375" customWidth="1"/>
    <col min="69" max="69" width="12.42578125" bestFit="1" customWidth="1"/>
    <col min="72" max="72" width="12.42578125" bestFit="1" customWidth="1"/>
    <col min="74" max="74" width="13.42578125" bestFit="1" customWidth="1"/>
    <col min="75" max="75" width="12.5703125" bestFit="1" customWidth="1"/>
    <col min="76" max="76" width="15.42578125" bestFit="1" customWidth="1"/>
    <col min="77" max="77" width="12.5703125" bestFit="1" customWidth="1"/>
    <col min="78" max="78" width="16.42578125" bestFit="1" customWidth="1"/>
    <col min="79" max="79" width="16" customWidth="1"/>
    <col min="80" max="80" width="12.5703125" bestFit="1" customWidth="1"/>
    <col min="81" max="81" width="23.5703125" customWidth="1"/>
    <col min="82" max="82" width="14.42578125" customWidth="1"/>
  </cols>
  <sheetData>
    <row r="1" spans="1:80" s="208" customFormat="1" ht="15" customHeight="1">
      <c r="A1" s="1874"/>
      <c r="B1" s="1874"/>
      <c r="C1" s="351"/>
      <c r="D1" s="351"/>
      <c r="E1" s="23" t="s">
        <v>334</v>
      </c>
      <c r="F1" s="24" t="s">
        <v>337</v>
      </c>
      <c r="G1" s="25" t="s">
        <v>340</v>
      </c>
      <c r="H1" s="25" t="s">
        <v>342</v>
      </c>
      <c r="I1" s="25" t="s">
        <v>344</v>
      </c>
      <c r="J1" s="24" t="s">
        <v>346</v>
      </c>
      <c r="K1" s="25" t="s">
        <v>349</v>
      </c>
      <c r="L1" s="25" t="s">
        <v>351</v>
      </c>
      <c r="M1" s="24" t="s">
        <v>353</v>
      </c>
      <c r="N1" s="27" t="s">
        <v>355</v>
      </c>
      <c r="O1" s="27" t="s">
        <v>357</v>
      </c>
      <c r="P1" s="27" t="s">
        <v>359</v>
      </c>
      <c r="Q1" s="27" t="s">
        <v>361</v>
      </c>
      <c r="R1" s="27" t="s">
        <v>363</v>
      </c>
      <c r="S1" s="27" t="s">
        <v>365</v>
      </c>
      <c r="T1" s="27" t="s">
        <v>367</v>
      </c>
      <c r="U1" s="27" t="s">
        <v>369</v>
      </c>
      <c r="V1" s="27" t="s">
        <v>371</v>
      </c>
      <c r="W1" s="27" t="s">
        <v>373</v>
      </c>
      <c r="X1" s="27" t="s">
        <v>375</v>
      </c>
      <c r="Y1" s="27" t="s">
        <v>377</v>
      </c>
      <c r="Z1" s="23" t="s">
        <v>379</v>
      </c>
      <c r="AA1" s="24" t="s">
        <v>383</v>
      </c>
      <c r="AB1" s="30" t="s">
        <v>387</v>
      </c>
      <c r="AC1" s="30" t="s">
        <v>389</v>
      </c>
      <c r="AD1" s="24" t="s">
        <v>391</v>
      </c>
      <c r="AE1" s="30" t="s">
        <v>394</v>
      </c>
      <c r="AF1" s="24" t="s">
        <v>396</v>
      </c>
      <c r="AG1" s="25" t="s">
        <v>400</v>
      </c>
      <c r="AH1" s="23" t="s">
        <v>402</v>
      </c>
      <c r="AI1" s="24" t="s">
        <v>404</v>
      </c>
      <c r="AJ1" s="33" t="s">
        <v>406</v>
      </c>
      <c r="AK1" s="33" t="s">
        <v>409</v>
      </c>
      <c r="AL1" s="33" t="s">
        <v>412</v>
      </c>
      <c r="AM1" s="24" t="s">
        <v>415</v>
      </c>
      <c r="AN1" s="24" t="s">
        <v>418</v>
      </c>
      <c r="AO1" s="24" t="s">
        <v>421</v>
      </c>
      <c r="AP1" s="33" t="s">
        <v>423</v>
      </c>
      <c r="AQ1" s="33" t="s">
        <v>425</v>
      </c>
      <c r="AR1" s="33" t="s">
        <v>428</v>
      </c>
      <c r="AS1" s="33" t="s">
        <v>431</v>
      </c>
      <c r="AT1" s="26" t="s">
        <v>434</v>
      </c>
      <c r="AU1" s="26" t="s">
        <v>436</v>
      </c>
      <c r="AV1" s="33" t="s">
        <v>438</v>
      </c>
      <c r="AW1" s="33" t="s">
        <v>441</v>
      </c>
      <c r="AX1" s="24" t="s">
        <v>443</v>
      </c>
      <c r="AY1" s="23" t="s">
        <v>446</v>
      </c>
      <c r="AZ1" s="24" t="s">
        <v>449</v>
      </c>
      <c r="BA1" s="24" t="s">
        <v>452</v>
      </c>
      <c r="BB1" s="24" t="s">
        <v>455</v>
      </c>
      <c r="BC1" s="23" t="s">
        <v>458</v>
      </c>
      <c r="BD1" s="24" t="s">
        <v>460</v>
      </c>
      <c r="BE1" s="24" t="s">
        <v>464</v>
      </c>
      <c r="BF1" s="25" t="s">
        <v>469</v>
      </c>
      <c r="BG1" s="25" t="s">
        <v>472</v>
      </c>
      <c r="BH1" s="24" t="s">
        <v>475</v>
      </c>
      <c r="BI1" s="23" t="s">
        <v>480</v>
      </c>
      <c r="BJ1" s="23" t="s">
        <v>483</v>
      </c>
      <c r="BK1" s="24" t="s">
        <v>488</v>
      </c>
      <c r="BL1" s="34" t="s">
        <v>493</v>
      </c>
      <c r="BM1" s="34" t="s">
        <v>496</v>
      </c>
      <c r="BN1" s="24" t="s">
        <v>498</v>
      </c>
      <c r="BO1" s="24" t="s">
        <v>502</v>
      </c>
      <c r="BP1" s="24" t="s">
        <v>507</v>
      </c>
      <c r="BQ1" s="18" t="s">
        <v>512</v>
      </c>
      <c r="BR1" s="18" t="s">
        <v>514</v>
      </c>
      <c r="BS1" s="23" t="s">
        <v>516</v>
      </c>
      <c r="BT1" s="24" t="s">
        <v>519</v>
      </c>
      <c r="BU1" s="24" t="s">
        <v>524</v>
      </c>
      <c r="BV1" s="24" t="s">
        <v>527</v>
      </c>
      <c r="BW1" s="24" t="s">
        <v>532</v>
      </c>
      <c r="BX1" s="24" t="s">
        <v>535</v>
      </c>
      <c r="BY1" s="23" t="s">
        <v>568</v>
      </c>
      <c r="BZ1" s="19" t="s">
        <v>570</v>
      </c>
      <c r="CA1" s="19" t="s">
        <v>573</v>
      </c>
      <c r="CB1" s="19" t="s">
        <v>576</v>
      </c>
    </row>
    <row r="2" spans="1:80" s="208" customFormat="1" ht="157.5" customHeight="1">
      <c r="A2" s="1874"/>
      <c r="B2" s="1874"/>
      <c r="C2" s="351"/>
      <c r="D2" s="351"/>
      <c r="E2" s="18" t="s">
        <v>336</v>
      </c>
      <c r="F2" s="18" t="s">
        <v>339</v>
      </c>
      <c r="G2" s="18" t="s">
        <v>341</v>
      </c>
      <c r="H2" s="18" t="s">
        <v>343</v>
      </c>
      <c r="I2" s="18" t="s">
        <v>345</v>
      </c>
      <c r="J2" s="18" t="s">
        <v>348</v>
      </c>
      <c r="K2" s="18" t="s">
        <v>350</v>
      </c>
      <c r="L2" s="18" t="s">
        <v>352</v>
      </c>
      <c r="M2" s="21" t="s">
        <v>354</v>
      </c>
      <c r="N2" s="27" t="s">
        <v>356</v>
      </c>
      <c r="O2" s="27" t="s">
        <v>358</v>
      </c>
      <c r="P2" s="27" t="s">
        <v>360</v>
      </c>
      <c r="Q2" s="27" t="s">
        <v>809</v>
      </c>
      <c r="R2" s="27" t="s">
        <v>364</v>
      </c>
      <c r="S2" s="27" t="s">
        <v>366</v>
      </c>
      <c r="T2" s="27" t="s">
        <v>368</v>
      </c>
      <c r="U2" s="27" t="s">
        <v>810</v>
      </c>
      <c r="V2" s="27" t="s">
        <v>372</v>
      </c>
      <c r="W2" s="27" t="s">
        <v>808</v>
      </c>
      <c r="X2" s="27" t="s">
        <v>376</v>
      </c>
      <c r="Y2" s="27" t="s">
        <v>378</v>
      </c>
      <c r="Z2" s="28" t="s">
        <v>381</v>
      </c>
      <c r="AA2" s="29" t="s">
        <v>385</v>
      </c>
      <c r="AB2" s="31" t="s">
        <v>388</v>
      </c>
      <c r="AC2" s="31"/>
      <c r="AD2" s="21" t="s">
        <v>393</v>
      </c>
      <c r="AE2" s="32" t="s">
        <v>395</v>
      </c>
      <c r="AF2" s="21" t="s">
        <v>398</v>
      </c>
      <c r="AG2" s="31" t="s">
        <v>401</v>
      </c>
      <c r="AH2" s="28" t="s">
        <v>812</v>
      </c>
      <c r="AI2" s="21" t="s">
        <v>811</v>
      </c>
      <c r="AJ2" s="21" t="s">
        <v>408</v>
      </c>
      <c r="AK2" s="18" t="s">
        <v>411</v>
      </c>
      <c r="AL2" s="18" t="s">
        <v>414</v>
      </c>
      <c r="AM2" s="18" t="s">
        <v>417</v>
      </c>
      <c r="AN2" s="18" t="s">
        <v>420</v>
      </c>
      <c r="AO2" s="18" t="s">
        <v>422</v>
      </c>
      <c r="AP2" s="18" t="s">
        <v>424</v>
      </c>
      <c r="AQ2" s="18" t="s">
        <v>426</v>
      </c>
      <c r="AR2" s="18" t="s">
        <v>429</v>
      </c>
      <c r="AS2" s="18" t="s">
        <v>432</v>
      </c>
      <c r="AT2" s="27" t="s">
        <v>435</v>
      </c>
      <c r="AU2" s="27" t="s">
        <v>437</v>
      </c>
      <c r="AV2" s="18" t="s">
        <v>439</v>
      </c>
      <c r="AW2" s="18" t="s">
        <v>442</v>
      </c>
      <c r="AX2" s="18" t="s">
        <v>445</v>
      </c>
      <c r="AY2" s="35" t="s">
        <v>448</v>
      </c>
      <c r="AZ2" s="18" t="s">
        <v>451</v>
      </c>
      <c r="BA2" s="18" t="s">
        <v>454</v>
      </c>
      <c r="BB2" s="18" t="s">
        <v>457</v>
      </c>
      <c r="BC2" s="35" t="s">
        <v>813</v>
      </c>
      <c r="BD2" s="18" t="s">
        <v>462</v>
      </c>
      <c r="BE2" s="18" t="s">
        <v>466</v>
      </c>
      <c r="BF2" s="32"/>
      <c r="BG2" s="143" t="s">
        <v>473</v>
      </c>
      <c r="BH2" s="36" t="s">
        <v>477</v>
      </c>
      <c r="BI2" s="35" t="s">
        <v>482</v>
      </c>
      <c r="BJ2" s="35" t="s">
        <v>485</v>
      </c>
      <c r="BK2" s="18" t="s">
        <v>490</v>
      </c>
      <c r="BL2" s="18" t="s">
        <v>494</v>
      </c>
      <c r="BM2" s="18" t="s">
        <v>77</v>
      </c>
      <c r="BN2" s="18" t="s">
        <v>500</v>
      </c>
      <c r="BO2" s="37" t="s">
        <v>504</v>
      </c>
      <c r="BP2" s="18" t="s">
        <v>509</v>
      </c>
      <c r="BQ2" s="18" t="s">
        <v>513</v>
      </c>
      <c r="BR2" s="18" t="s">
        <v>515</v>
      </c>
      <c r="BS2" s="18" t="s">
        <v>517</v>
      </c>
      <c r="BT2" s="18" t="s">
        <v>521</v>
      </c>
      <c r="BU2" s="21" t="s">
        <v>525</v>
      </c>
      <c r="BV2" s="37" t="s">
        <v>529</v>
      </c>
      <c r="BW2" s="32" t="s">
        <v>533</v>
      </c>
      <c r="BX2" s="18" t="s">
        <v>536</v>
      </c>
      <c r="BY2" s="35" t="s">
        <v>40</v>
      </c>
      <c r="BZ2" s="20" t="s">
        <v>571</v>
      </c>
      <c r="CA2" s="38" t="s">
        <v>574</v>
      </c>
      <c r="CB2" s="38" t="s">
        <v>577</v>
      </c>
    </row>
    <row r="3" spans="1:80">
      <c r="A3" s="1902" t="s">
        <v>1215</v>
      </c>
      <c r="B3" s="1902"/>
      <c r="C3" s="553"/>
      <c r="D3" s="553"/>
    </row>
    <row r="4" spans="1:80" ht="15" customHeight="1">
      <c r="A4" s="1789">
        <v>1</v>
      </c>
      <c r="B4" s="1899" t="s">
        <v>1216</v>
      </c>
      <c r="C4" s="556" t="s">
        <v>1206</v>
      </c>
      <c r="D4" s="557">
        <v>1606018.8269999998</v>
      </c>
    </row>
    <row r="5" spans="1:80">
      <c r="A5" s="1790"/>
      <c r="B5" s="1900"/>
      <c r="C5" s="558" t="s">
        <v>1251</v>
      </c>
      <c r="D5" s="559"/>
      <c r="E5" s="559">
        <v>1048690.5049999999</v>
      </c>
    </row>
    <row r="6" spans="1:80">
      <c r="A6" s="1790"/>
      <c r="B6" s="1900"/>
      <c r="C6" s="558" t="s">
        <v>1252</v>
      </c>
      <c r="D6" s="559">
        <v>467903.1779999999</v>
      </c>
    </row>
    <row r="7" spans="1:80">
      <c r="A7" s="1791"/>
      <c r="B7" s="1901"/>
      <c r="C7" s="558" t="s">
        <v>1253</v>
      </c>
      <c r="D7" s="559">
        <v>89425.144000000015</v>
      </c>
    </row>
    <row r="8" spans="1:80" ht="15" customHeight="1">
      <c r="A8" s="1789">
        <v>2</v>
      </c>
      <c r="B8" s="1899" t="s">
        <v>1217</v>
      </c>
      <c r="C8" s="556" t="s">
        <v>1206</v>
      </c>
      <c r="D8" s="557">
        <v>386029.45500000002</v>
      </c>
    </row>
    <row r="9" spans="1:80">
      <c r="A9" s="1790"/>
      <c r="B9" s="1900"/>
      <c r="C9" s="558" t="s">
        <v>1251</v>
      </c>
      <c r="D9" s="559"/>
      <c r="E9" s="559">
        <v>382219.48200000002</v>
      </c>
    </row>
    <row r="10" spans="1:80">
      <c r="A10" s="1790"/>
      <c r="B10" s="1900"/>
      <c r="C10" s="558" t="s">
        <v>1252</v>
      </c>
      <c r="D10" s="559">
        <v>-975.94400000000019</v>
      </c>
    </row>
    <row r="11" spans="1:80">
      <c r="A11" s="1791"/>
      <c r="B11" s="1901"/>
      <c r="C11" s="558" t="s">
        <v>1253</v>
      </c>
      <c r="D11" s="559">
        <v>4785.9170000000004</v>
      </c>
    </row>
    <row r="12" spans="1:80" ht="15" customHeight="1">
      <c r="A12" s="1789">
        <v>3</v>
      </c>
      <c r="B12" s="1899" t="s">
        <v>1218</v>
      </c>
      <c r="C12" s="556" t="str">
        <f>[6]Акмол!C9</f>
        <v>ВСМП</v>
      </c>
      <c r="D12" s="557">
        <v>441518.43000000011</v>
      </c>
    </row>
    <row r="13" spans="1:80">
      <c r="A13" s="1790"/>
      <c r="B13" s="1900"/>
      <c r="C13" s="558" t="str">
        <f>[6]Акмол!C10</f>
        <v>СЗП</v>
      </c>
      <c r="D13" s="559"/>
      <c r="W13" s="559">
        <v>427959.74700000009</v>
      </c>
    </row>
    <row r="14" spans="1:80">
      <c r="A14" s="1791"/>
      <c r="B14" s="1901"/>
      <c r="C14" s="558" t="str">
        <f>[6]Акмол!C11</f>
        <v>Лизинг</v>
      </c>
      <c r="D14" s="559">
        <v>13558.682999999999</v>
      </c>
    </row>
    <row r="15" spans="1:80" ht="15" customHeight="1">
      <c r="A15" s="1789">
        <v>4</v>
      </c>
      <c r="B15" s="1899" t="s">
        <v>1219</v>
      </c>
      <c r="C15" s="558" t="str">
        <f>[6]Акмол!C13</f>
        <v>СМП</v>
      </c>
      <c r="D15" s="557">
        <v>71617.32699999999</v>
      </c>
    </row>
    <row r="16" spans="1:80">
      <c r="A16" s="1790"/>
      <c r="B16" s="1900"/>
      <c r="C16" s="558" t="str">
        <f>[6]Акмол!C14</f>
        <v>ВСМП</v>
      </c>
      <c r="T16" s="559">
        <v>62445.024999999994</v>
      </c>
    </row>
    <row r="17" spans="1:5">
      <c r="A17" s="1791"/>
      <c r="B17" s="1901"/>
      <c r="C17" s="556" t="str">
        <f>[6]Акмол!C12</f>
        <v>ИТОГО</v>
      </c>
      <c r="D17" s="559">
        <v>9172.3019999999997</v>
      </c>
    </row>
    <row r="18" spans="1:5" ht="15" customHeight="1">
      <c r="A18" s="1789">
        <v>5</v>
      </c>
      <c r="B18" s="1899" t="s">
        <v>1220</v>
      </c>
      <c r="C18" s="556" t="str">
        <f>[6]Акмол!C15</f>
        <v>СЗП</v>
      </c>
      <c r="D18" s="557">
        <v>296069.49800000002</v>
      </c>
    </row>
    <row r="19" spans="1:5">
      <c r="A19" s="1791"/>
      <c r="B19" s="1901"/>
      <c r="C19" s="558" t="str">
        <f>[6]Акмол!C16</f>
        <v>ИТОГО</v>
      </c>
      <c r="D19" s="559">
        <v>296069.49800000002</v>
      </c>
    </row>
    <row r="20" spans="1:5" ht="15" customHeight="1">
      <c r="A20" s="1789">
        <v>6</v>
      </c>
      <c r="B20" s="1899" t="s">
        <v>1221</v>
      </c>
      <c r="C20" s="556" t="str">
        <f>[6]Акмол!C17</f>
        <v>СМП</v>
      </c>
      <c r="D20" s="557">
        <v>375598.29199999996</v>
      </c>
    </row>
    <row r="21" spans="1:5">
      <c r="A21" s="1790"/>
      <c r="B21" s="1900"/>
      <c r="C21" s="558" t="str">
        <f>[6]Акмол!C18</f>
        <v>ВСМП</v>
      </c>
      <c r="E21" s="559">
        <v>370434.50099999993</v>
      </c>
    </row>
    <row r="22" spans="1:5">
      <c r="A22" s="1790"/>
      <c r="B22" s="1900"/>
      <c r="C22" s="558" t="str">
        <f>[6]Акмол!C19</f>
        <v>СЗП</v>
      </c>
      <c r="D22" s="559">
        <v>2995.7910000000002</v>
      </c>
    </row>
    <row r="23" spans="1:5">
      <c r="A23" s="1791"/>
      <c r="B23" s="1901"/>
      <c r="C23" s="558" t="s">
        <v>1203</v>
      </c>
      <c r="D23" s="559">
        <v>2168</v>
      </c>
    </row>
    <row r="24" spans="1:5" ht="15" customHeight="1">
      <c r="A24" s="1789">
        <v>7</v>
      </c>
      <c r="B24" s="1899" t="s">
        <v>1222</v>
      </c>
      <c r="C24" s="556" t="str">
        <f>[6]Акмол!C20</f>
        <v>ИТОГО</v>
      </c>
      <c r="D24" s="557">
        <v>40160.722000000002</v>
      </c>
    </row>
    <row r="25" spans="1:5">
      <c r="A25" s="1790"/>
      <c r="B25" s="1900"/>
      <c r="C25" s="558" t="str">
        <f>[6]Акмол!C21</f>
        <v>СМП</v>
      </c>
      <c r="E25" s="559">
        <v>34799.764999999999</v>
      </c>
    </row>
    <row r="26" spans="1:5">
      <c r="A26" s="1791"/>
      <c r="B26" s="1901"/>
      <c r="C26" s="558" t="str">
        <f>[6]Акмол!C22</f>
        <v>СЗП</v>
      </c>
      <c r="D26" s="559">
        <v>5360.9569999999994</v>
      </c>
    </row>
    <row r="27" spans="1:5" ht="15" customHeight="1">
      <c r="A27" s="1789">
        <v>8</v>
      </c>
      <c r="B27" s="1899" t="s">
        <v>1223</v>
      </c>
      <c r="C27" s="556" t="str">
        <f>[6]Акмол!C23</f>
        <v>ИТОГО</v>
      </c>
      <c r="D27" s="557">
        <v>32943.254000000001</v>
      </c>
    </row>
    <row r="28" spans="1:5">
      <c r="A28" s="1790"/>
      <c r="B28" s="1900"/>
      <c r="C28" s="558" t="str">
        <f>[6]Акмол!C24</f>
        <v>СМП</v>
      </c>
      <c r="E28" s="559">
        <v>25715.702000000001</v>
      </c>
    </row>
    <row r="29" spans="1:5">
      <c r="A29" s="1791"/>
      <c r="B29" s="1901"/>
      <c r="C29" s="558" t="str">
        <f>[6]Акмол!C25</f>
        <v>СЗП</v>
      </c>
      <c r="D29" s="559">
        <v>7227.5519999999997</v>
      </c>
    </row>
    <row r="30" spans="1:5" ht="15" customHeight="1">
      <c r="A30" s="1789">
        <v>9</v>
      </c>
      <c r="B30" s="1899" t="s">
        <v>1224</v>
      </c>
      <c r="C30" s="556" t="s">
        <v>1206</v>
      </c>
      <c r="D30" s="557">
        <v>14926.54</v>
      </c>
    </row>
    <row r="31" spans="1:5">
      <c r="A31" s="1791"/>
      <c r="B31" s="1901"/>
      <c r="C31" s="558" t="str">
        <f>[6]Акмол!C27</f>
        <v>СМП</v>
      </c>
      <c r="D31" s="559">
        <v>14926.54</v>
      </c>
    </row>
    <row r="32" spans="1:5" ht="15" customHeight="1">
      <c r="A32" s="1789">
        <v>10</v>
      </c>
      <c r="B32" s="1899" t="s">
        <v>1225</v>
      </c>
      <c r="C32" s="556" t="str">
        <f>[6]Акмол!C28</f>
        <v>ИТОГО</v>
      </c>
      <c r="D32" s="557">
        <v>8426.7119999999995</v>
      </c>
    </row>
    <row r="33" spans="1:5">
      <c r="A33" s="1791"/>
      <c r="B33" s="1901"/>
      <c r="C33" s="558" t="str">
        <f>[6]Акмол!C29</f>
        <v>СМП</v>
      </c>
      <c r="E33" s="559">
        <v>8426.7119999999995</v>
      </c>
    </row>
    <row r="34" spans="1:5" ht="15" customHeight="1">
      <c r="A34" s="1789">
        <v>11</v>
      </c>
      <c r="B34" s="1899" t="s">
        <v>1226</v>
      </c>
      <c r="C34" s="558" t="str">
        <f>[6]Акмол!C31</f>
        <v>Лизинг</v>
      </c>
      <c r="D34" s="557">
        <v>6550.0019999999986</v>
      </c>
    </row>
    <row r="35" spans="1:5">
      <c r="A35" s="1791"/>
      <c r="B35" s="1901"/>
      <c r="C35" s="556" t="str">
        <f>[6]Акмол!C30</f>
        <v>СЗП</v>
      </c>
      <c r="D35" s="559">
        <v>6550.0019999999986</v>
      </c>
    </row>
    <row r="36" spans="1:5" ht="15" customHeight="1">
      <c r="A36" s="1789">
        <v>12</v>
      </c>
      <c r="B36" s="1899" t="s">
        <v>1227</v>
      </c>
      <c r="C36" s="556" t="str">
        <f>[6]Акмол!C32</f>
        <v>ИТОГО</v>
      </c>
      <c r="D36" s="557">
        <v>8158.4979999999996</v>
      </c>
    </row>
    <row r="37" spans="1:5">
      <c r="A37" s="1791"/>
      <c r="B37" s="1901"/>
      <c r="C37" s="558" t="str">
        <f>[6]Акмол!C33</f>
        <v>СМП</v>
      </c>
      <c r="D37" s="559">
        <v>8158.4979999999996</v>
      </c>
    </row>
    <row r="38" spans="1:5" ht="15" customHeight="1">
      <c r="A38" s="1789">
        <v>13</v>
      </c>
      <c r="B38" s="1899" t="s">
        <v>1228</v>
      </c>
      <c r="C38" s="556" t="str">
        <f>[6]Акмол!C34</f>
        <v>СЗП</v>
      </c>
      <c r="D38" s="557">
        <v>464666.47399999999</v>
      </c>
    </row>
    <row r="39" spans="1:5">
      <c r="A39" s="1790"/>
      <c r="B39" s="1900"/>
      <c r="C39" s="558" t="str">
        <f>[6]Акмол!C35</f>
        <v>ИТОГО</v>
      </c>
      <c r="D39" s="559">
        <v>451143.01399999997</v>
      </c>
    </row>
    <row r="40" spans="1:5">
      <c r="A40" s="1791"/>
      <c r="B40" s="1901"/>
      <c r="C40" s="558" t="str">
        <f>[6]Акмол!C36</f>
        <v>СМП</v>
      </c>
      <c r="D40" s="559">
        <v>13523.46</v>
      </c>
    </row>
    <row r="41" spans="1:5" ht="15" customHeight="1">
      <c r="A41" s="1789">
        <v>14</v>
      </c>
      <c r="B41" s="1899" t="s">
        <v>1229</v>
      </c>
      <c r="C41" s="556" t="str">
        <f>[6]Акмол!C37</f>
        <v>СЗП</v>
      </c>
      <c r="D41" s="557">
        <v>8182.612000000001</v>
      </c>
    </row>
    <row r="42" spans="1:5">
      <c r="A42" s="1791"/>
      <c r="B42" s="1901"/>
      <c r="C42" s="558" t="str">
        <f>[6]Акмол!C38</f>
        <v>ИТОГО</v>
      </c>
      <c r="D42" s="559">
        <v>8182.612000000001</v>
      </c>
    </row>
    <row r="43" spans="1:5" ht="15" customHeight="1">
      <c r="A43" s="1789">
        <v>15</v>
      </c>
      <c r="B43" s="1899" t="s">
        <v>1230</v>
      </c>
      <c r="C43" s="556" t="str">
        <f>[6]Акмол!C39</f>
        <v>СЗП</v>
      </c>
      <c r="D43" s="557">
        <v>155404.15477000002</v>
      </c>
    </row>
    <row r="44" spans="1:5">
      <c r="A44" s="1790"/>
      <c r="B44" s="1900"/>
      <c r="C44" s="558" t="str">
        <f>[6]Акмол!C40</f>
        <v>ИТОГО</v>
      </c>
      <c r="D44" s="559">
        <v>127665.98929</v>
      </c>
    </row>
    <row r="45" spans="1:5">
      <c r="A45" s="1791"/>
      <c r="B45" s="1901"/>
      <c r="C45" s="558" t="str">
        <f>[6]Акмол!C41</f>
        <v>СЗП</v>
      </c>
      <c r="D45" s="559">
        <v>27738.165480000011</v>
      </c>
    </row>
    <row r="46" spans="1:5" ht="15" customHeight="1">
      <c r="A46" s="1789">
        <v>16</v>
      </c>
      <c r="B46" s="1899" t="s">
        <v>1231</v>
      </c>
      <c r="C46" s="556" t="str">
        <f>[6]Акмол!C42</f>
        <v>ИТОГО</v>
      </c>
      <c r="D46" s="557">
        <v>129733.97300000003</v>
      </c>
    </row>
    <row r="47" spans="1:5">
      <c r="A47" s="1790"/>
      <c r="B47" s="1900"/>
      <c r="C47" s="558" t="str">
        <f>[6]Акмол!C43</f>
        <v>СЗП</v>
      </c>
      <c r="D47" s="559">
        <v>108377.01300000002</v>
      </c>
    </row>
    <row r="48" spans="1:5">
      <c r="A48" s="1791"/>
      <c r="B48" s="1901"/>
      <c r="C48" s="558" t="str">
        <f>[6]Акмол!C44</f>
        <v>ИТОГО</v>
      </c>
      <c r="D48" s="559">
        <v>21356.959999999999</v>
      </c>
    </row>
    <row r="49" spans="1:4" ht="15" customHeight="1">
      <c r="A49" s="1789">
        <v>17</v>
      </c>
      <c r="B49" s="1899" t="s">
        <v>1232</v>
      </c>
      <c r="C49" s="556" t="str">
        <f>[6]Акмол!C45</f>
        <v>СЗП</v>
      </c>
      <c r="D49" s="557">
        <v>125307.12599999999</v>
      </c>
    </row>
    <row r="50" spans="1:4">
      <c r="A50" s="1790"/>
      <c r="B50" s="1900"/>
      <c r="C50" s="558" t="str">
        <f>[6]Акмол!C46</f>
        <v>ИТОГО</v>
      </c>
      <c r="D50" s="559">
        <v>103623.70699999999</v>
      </c>
    </row>
    <row r="51" spans="1:4">
      <c r="A51" s="1791"/>
      <c r="B51" s="1901"/>
      <c r="C51" s="558" t="str">
        <f>[6]Акмол!C47</f>
        <v>СМП</v>
      </c>
      <c r="D51" s="559">
        <v>21683.418999999998</v>
      </c>
    </row>
    <row r="52" spans="1:4" ht="15" customHeight="1">
      <c r="A52" s="1789">
        <v>18</v>
      </c>
      <c r="B52" s="1899" t="s">
        <v>1233</v>
      </c>
      <c r="C52" s="556" t="str">
        <f>[6]Акмол!C48</f>
        <v>СЗП</v>
      </c>
      <c r="D52" s="557">
        <v>278123.11800000002</v>
      </c>
    </row>
    <row r="53" spans="1:4">
      <c r="A53" s="1790"/>
      <c r="B53" s="1900"/>
      <c r="C53" s="558" t="str">
        <f>[6]Акмол!C49</f>
        <v>ИТОГО</v>
      </c>
      <c r="D53" s="559">
        <v>247373.55500000002</v>
      </c>
    </row>
    <row r="54" spans="1:4">
      <c r="A54" s="1791"/>
      <c r="B54" s="1901"/>
      <c r="C54" s="558" t="str">
        <f>[6]Акмол!C50</f>
        <v>СЗП</v>
      </c>
      <c r="D54" s="559">
        <v>30749.562999999998</v>
      </c>
    </row>
    <row r="55" spans="1:4" ht="15" customHeight="1">
      <c r="A55" s="1789">
        <v>19</v>
      </c>
      <c r="B55" s="1899" t="s">
        <v>1234</v>
      </c>
      <c r="C55" s="556" t="str">
        <f>[6]Акмол!C51</f>
        <v>ИТОГО</v>
      </c>
      <c r="D55" s="557">
        <v>169040.92700000003</v>
      </c>
    </row>
    <row r="56" spans="1:4">
      <c r="A56" s="1790"/>
      <c r="B56" s="1900"/>
      <c r="C56" s="558" t="str">
        <f>[6]Акмол!C52</f>
        <v>СМП</v>
      </c>
      <c r="D56" s="559">
        <v>158107.24600000001</v>
      </c>
    </row>
    <row r="57" spans="1:4">
      <c r="A57" s="1791"/>
      <c r="B57" s="1901"/>
      <c r="C57" s="558" t="str">
        <f>[6]Акмол!C53</f>
        <v>СЗП</v>
      </c>
      <c r="D57" s="559">
        <v>10933.681</v>
      </c>
    </row>
    <row r="58" spans="1:4" ht="15" customHeight="1">
      <c r="A58" s="1789">
        <v>20</v>
      </c>
      <c r="B58" s="1899" t="s">
        <v>1235</v>
      </c>
      <c r="C58" s="556" t="str">
        <f>[6]Акмол!C54</f>
        <v>ИТОГО</v>
      </c>
      <c r="D58" s="557">
        <v>289697.21999999997</v>
      </c>
    </row>
    <row r="59" spans="1:4">
      <c r="A59" s="1790"/>
      <c r="B59" s="1900"/>
      <c r="C59" s="558" t="str">
        <f>[6]Акмол!C55</f>
        <v>СМП</v>
      </c>
      <c r="D59" s="559">
        <v>288023.95299999998</v>
      </c>
    </row>
    <row r="60" spans="1:4">
      <c r="A60" s="1791"/>
      <c r="B60" s="1901"/>
      <c r="C60" s="558" t="str">
        <f>[6]Акмол!C56</f>
        <v>СЗП</v>
      </c>
      <c r="D60" s="559">
        <v>1673.2670000000001</v>
      </c>
    </row>
    <row r="61" spans="1:4" ht="15" customHeight="1">
      <c r="A61" s="1789">
        <v>21</v>
      </c>
      <c r="B61" s="1899" t="s">
        <v>1236</v>
      </c>
      <c r="C61" s="556" t="str">
        <f>[6]Акмол!C57</f>
        <v>ИТОГО</v>
      </c>
      <c r="D61" s="557">
        <v>16393.886999999999</v>
      </c>
    </row>
    <row r="62" spans="1:4">
      <c r="A62" s="1791"/>
      <c r="B62" s="1901"/>
      <c r="C62" s="558" t="str">
        <f>[6]Акмол!C58</f>
        <v>СМП</v>
      </c>
      <c r="D62" s="559">
        <v>16393.886999999999</v>
      </c>
    </row>
    <row r="63" spans="1:4" ht="15" customHeight="1">
      <c r="A63" s="1789">
        <v>22</v>
      </c>
      <c r="B63" s="1899" t="s">
        <v>1237</v>
      </c>
      <c r="C63" s="556" t="str">
        <f>[6]Акмол!C59</f>
        <v>СЗП</v>
      </c>
      <c r="D63" s="557">
        <v>54668.88</v>
      </c>
    </row>
    <row r="64" spans="1:4">
      <c r="A64" s="1790"/>
      <c r="B64" s="1900"/>
      <c r="C64" s="558" t="str">
        <f>[6]Акмол!C60</f>
        <v>ИТОГО</v>
      </c>
      <c r="D64" s="559">
        <v>47596.381000000001</v>
      </c>
    </row>
    <row r="65" spans="1:4">
      <c r="A65" s="1791"/>
      <c r="B65" s="1901"/>
      <c r="C65" s="558" t="str">
        <f>[6]Акмол!C61</f>
        <v>СМП</v>
      </c>
      <c r="D65" s="559">
        <v>7072.4989999999989</v>
      </c>
    </row>
    <row r="66" spans="1:4" ht="15" customHeight="1">
      <c r="A66" s="1789">
        <v>23</v>
      </c>
      <c r="B66" s="1899" t="s">
        <v>1238</v>
      </c>
      <c r="C66" s="556" t="str">
        <f>[6]Акмол!C62</f>
        <v>СЗП</v>
      </c>
      <c r="D66" s="557">
        <v>78520.071000000011</v>
      </c>
    </row>
    <row r="67" spans="1:4">
      <c r="A67" s="1790"/>
      <c r="B67" s="1900"/>
      <c r="C67" s="558" t="str">
        <f>[6]Акмол!C63</f>
        <v>ИТОГО</v>
      </c>
      <c r="D67" s="559">
        <v>66643.332000000009</v>
      </c>
    </row>
    <row r="68" spans="1:4">
      <c r="A68" s="1791"/>
      <c r="B68" s="1901"/>
      <c r="C68" s="558" t="str">
        <f>[6]Акмол!C64</f>
        <v>СМП</v>
      </c>
      <c r="D68" s="559">
        <v>11876.739000000001</v>
      </c>
    </row>
    <row r="69" spans="1:4" ht="15" customHeight="1">
      <c r="A69" s="1789">
        <v>24</v>
      </c>
      <c r="B69" s="1899" t="s">
        <v>1239</v>
      </c>
      <c r="C69" s="556" t="str">
        <f>[6]Акмол!C65</f>
        <v>СЗП</v>
      </c>
      <c r="D69" s="557">
        <v>157376.44500000001</v>
      </c>
    </row>
    <row r="70" spans="1:4">
      <c r="A70" s="1790"/>
      <c r="B70" s="1900"/>
      <c r="C70" s="558" t="str">
        <f>[6]Акмол!C66</f>
        <v>ИТОГО</v>
      </c>
      <c r="D70" s="559">
        <v>145446.50599999999</v>
      </c>
    </row>
    <row r="71" spans="1:4">
      <c r="A71" s="1791"/>
      <c r="B71" s="1901"/>
      <c r="C71" s="558" t="str">
        <f>[6]Акмол!C67</f>
        <v>СМП</v>
      </c>
      <c r="D71" s="559">
        <v>11929.939000000002</v>
      </c>
    </row>
    <row r="72" spans="1:4" ht="15" customHeight="1">
      <c r="A72" s="1789">
        <v>25</v>
      </c>
      <c r="B72" s="1899" t="s">
        <v>1240</v>
      </c>
      <c r="C72" s="556" t="str">
        <f>[6]Акмол!C68</f>
        <v>СЗП</v>
      </c>
      <c r="D72" s="557">
        <v>144422.19699999999</v>
      </c>
    </row>
    <row r="73" spans="1:4">
      <c r="A73" s="1790"/>
      <c r="B73" s="1900"/>
      <c r="C73" s="558" t="str">
        <f>[6]Акмол!C69</f>
        <v>ИТОГО</v>
      </c>
      <c r="D73" s="559">
        <v>121249.32699999998</v>
      </c>
    </row>
    <row r="74" spans="1:4">
      <c r="A74" s="1791"/>
      <c r="B74" s="1901"/>
      <c r="C74" s="558" t="str">
        <f>[6]Акмол!C70</f>
        <v>СЗП</v>
      </c>
      <c r="D74" s="559">
        <v>23172.870000000003</v>
      </c>
    </row>
    <row r="75" spans="1:4" ht="15" customHeight="1">
      <c r="A75" s="1789">
        <v>26</v>
      </c>
      <c r="B75" s="1899" t="s">
        <v>1241</v>
      </c>
      <c r="C75" s="556" t="str">
        <f>[6]Акмол!C71</f>
        <v>ИТОГО</v>
      </c>
      <c r="D75" s="557">
        <v>107206.20299999998</v>
      </c>
    </row>
    <row r="76" spans="1:4">
      <c r="A76" s="1790"/>
      <c r="B76" s="1900"/>
      <c r="C76" s="558" t="str">
        <f>[6]Акмол!C72</f>
        <v>СМП</v>
      </c>
      <c r="D76" s="559">
        <v>88199.405999999988</v>
      </c>
    </row>
    <row r="77" spans="1:4">
      <c r="A77" s="1791"/>
      <c r="B77" s="1901"/>
      <c r="C77" s="558" t="str">
        <f>[6]Акмол!C73</f>
        <v>СЗП</v>
      </c>
      <c r="D77" s="559">
        <v>19006.796999999999</v>
      </c>
    </row>
    <row r="78" spans="1:4" ht="15" customHeight="1">
      <c r="A78" s="1789">
        <v>27</v>
      </c>
      <c r="B78" s="1899" t="s">
        <v>1242</v>
      </c>
      <c r="C78" s="556" t="str">
        <f>[6]Акмол!C74</f>
        <v>ИТОГО</v>
      </c>
      <c r="D78" s="557">
        <v>68722.311999999991</v>
      </c>
    </row>
    <row r="79" spans="1:4">
      <c r="A79" s="1790"/>
      <c r="B79" s="1900"/>
      <c r="C79" s="558" t="str">
        <f>[6]Акмол!C75</f>
        <v>СМП</v>
      </c>
      <c r="D79" s="559">
        <v>60164.560999999994</v>
      </c>
    </row>
    <row r="80" spans="1:4">
      <c r="A80" s="1791"/>
      <c r="B80" s="1901"/>
      <c r="C80" s="558" t="str">
        <f>[6]Акмол!C76</f>
        <v>СЗП</v>
      </c>
      <c r="D80" s="559">
        <v>8557.7510000000002</v>
      </c>
    </row>
    <row r="81" spans="1:4" ht="15" customHeight="1">
      <c r="A81" s="1789">
        <v>28</v>
      </c>
      <c r="B81" s="1899" t="s">
        <v>1243</v>
      </c>
      <c r="C81" s="556" t="str">
        <f>[6]Акмол!C77</f>
        <v>ИТОГО</v>
      </c>
      <c r="D81" s="557">
        <v>119662.70500000002</v>
      </c>
    </row>
    <row r="82" spans="1:4">
      <c r="A82" s="1790"/>
      <c r="B82" s="1900"/>
      <c r="C82" s="558" t="str">
        <f>[6]Акмол!C78</f>
        <v>СМП</v>
      </c>
      <c r="D82" s="559">
        <v>96884.545000000013</v>
      </c>
    </row>
    <row r="83" spans="1:4">
      <c r="A83" s="1791"/>
      <c r="B83" s="1901"/>
      <c r="C83" s="558" t="str">
        <f>[6]Акмол!C79</f>
        <v>СЗП</v>
      </c>
      <c r="D83" s="559">
        <v>22778.159999999996</v>
      </c>
    </row>
    <row r="84" spans="1:4" ht="15" customHeight="1">
      <c r="A84" s="1789">
        <v>29</v>
      </c>
      <c r="B84" s="1899" t="s">
        <v>1244</v>
      </c>
      <c r="C84" s="556" t="str">
        <f>[6]Акмол!C80</f>
        <v>ИТОГО</v>
      </c>
      <c r="D84" s="557">
        <v>53917.219000000012</v>
      </c>
    </row>
    <row r="85" spans="1:4">
      <c r="A85" s="1790"/>
      <c r="B85" s="1900"/>
      <c r="C85" s="558" t="str">
        <f>[6]Акмол!C81</f>
        <v>СМП</v>
      </c>
      <c r="D85" s="559">
        <v>51567.386000000013</v>
      </c>
    </row>
    <row r="86" spans="1:4">
      <c r="A86" s="1791"/>
      <c r="B86" s="1901"/>
      <c r="C86" s="558" t="str">
        <f>[6]Акмол!C82</f>
        <v>СЗП</v>
      </c>
      <c r="D86" s="559">
        <v>2349.8329999999992</v>
      </c>
    </row>
    <row r="87" spans="1:4" ht="15" customHeight="1">
      <c r="A87" s="1789">
        <v>30</v>
      </c>
      <c r="B87" s="1899" t="s">
        <v>1245</v>
      </c>
      <c r="C87" s="556" t="str">
        <f>[6]Акмол!C83</f>
        <v>ИТОГО</v>
      </c>
      <c r="D87" s="557">
        <v>126952.024</v>
      </c>
    </row>
    <row r="88" spans="1:4">
      <c r="A88" s="1790"/>
      <c r="B88" s="1900"/>
      <c r="C88" s="558" t="str">
        <f>[6]Акмол!C84</f>
        <v>СМП</v>
      </c>
      <c r="D88" s="559">
        <v>108843.65800000001</v>
      </c>
    </row>
    <row r="89" spans="1:4">
      <c r="A89" s="1791"/>
      <c r="B89" s="1901"/>
      <c r="C89" s="558" t="str">
        <f>[6]Акмол!C85</f>
        <v>СЗП</v>
      </c>
      <c r="D89" s="559">
        <v>18108.365999999998</v>
      </c>
    </row>
    <row r="90" spans="1:4" ht="15" customHeight="1">
      <c r="A90" s="1789">
        <v>31</v>
      </c>
      <c r="B90" s="1899" t="s">
        <v>1246</v>
      </c>
      <c r="C90" s="556" t="str">
        <f>[6]Акмол!C86</f>
        <v>ИТОГО</v>
      </c>
      <c r="D90" s="557">
        <v>144768.19999999998</v>
      </c>
    </row>
    <row r="91" spans="1:4">
      <c r="A91" s="1790"/>
      <c r="B91" s="1900"/>
      <c r="C91" s="558" t="str">
        <f>[6]Акмол!C87</f>
        <v>СМП</v>
      </c>
      <c r="D91" s="559">
        <v>117046.87299999999</v>
      </c>
    </row>
    <row r="92" spans="1:4">
      <c r="A92" s="1791"/>
      <c r="B92" s="1901"/>
      <c r="C92" s="558" t="str">
        <f>[6]Акмол!C88</f>
        <v>СЗП</v>
      </c>
      <c r="D92" s="559">
        <v>27721.327000000001</v>
      </c>
    </row>
    <row r="93" spans="1:4" ht="15" customHeight="1">
      <c r="A93" s="1789">
        <v>32</v>
      </c>
      <c r="B93" s="1899" t="s">
        <v>1247</v>
      </c>
      <c r="C93" s="556" t="str">
        <f>[6]Акмол!C89</f>
        <v>ИТОГО</v>
      </c>
      <c r="D93" s="557">
        <v>1371.2370000000001</v>
      </c>
    </row>
    <row r="94" spans="1:4">
      <c r="A94" s="1791"/>
      <c r="B94" s="1901"/>
      <c r="C94" s="558" t="str">
        <f>[6]Акмол!C90</f>
        <v>СМП</v>
      </c>
      <c r="D94" s="559">
        <v>1371.2370000000001</v>
      </c>
    </row>
    <row r="95" spans="1:4" ht="15" customHeight="1">
      <c r="A95" s="1789">
        <v>33</v>
      </c>
      <c r="B95" s="1903" t="s">
        <v>1248</v>
      </c>
      <c r="C95" s="556" t="str">
        <f>[6]Акмол!C91</f>
        <v>СЗП</v>
      </c>
      <c r="D95" s="557">
        <v>284460.37</v>
      </c>
    </row>
    <row r="96" spans="1:4">
      <c r="A96" s="1791"/>
      <c r="B96" s="1904"/>
      <c r="C96" s="560" t="str">
        <f>[6]Акмол!C92</f>
        <v>ИТОГО</v>
      </c>
      <c r="D96" s="559">
        <v>284460.37</v>
      </c>
    </row>
    <row r="97" spans="1:4" ht="15" customHeight="1">
      <c r="A97" s="1789">
        <v>34</v>
      </c>
      <c r="B97" s="1903" t="s">
        <v>1249</v>
      </c>
      <c r="C97" s="556" t="str">
        <f>[6]Акмол!C93</f>
        <v>СМП</v>
      </c>
      <c r="D97" s="557">
        <v>192703.95300000001</v>
      </c>
    </row>
    <row r="98" spans="1:4">
      <c r="A98" s="1791"/>
      <c r="B98" s="1904"/>
      <c r="C98" s="560" t="str">
        <f>[6]Акмол!C94</f>
        <v>СЗП</v>
      </c>
      <c r="D98" s="559">
        <v>192703.95300000001</v>
      </c>
    </row>
    <row r="99" spans="1:4">
      <c r="A99" s="1902" t="s">
        <v>1198</v>
      </c>
      <c r="B99" s="1902"/>
      <c r="C99" s="553"/>
      <c r="D99" s="553"/>
    </row>
    <row r="100" spans="1:4">
      <c r="A100" s="1786">
        <v>1</v>
      </c>
      <c r="B100" s="1898" t="s">
        <v>1216</v>
      </c>
      <c r="C100" s="554"/>
      <c r="D100" s="554"/>
    </row>
    <row r="101" spans="1:4">
      <c r="A101" s="1786"/>
      <c r="B101" s="1898"/>
      <c r="C101" s="554"/>
      <c r="D101" s="554"/>
    </row>
    <row r="102" spans="1:4">
      <c r="A102" s="1786"/>
      <c r="B102" s="1898"/>
      <c r="C102" s="554"/>
      <c r="D102" s="554"/>
    </row>
    <row r="103" spans="1:4">
      <c r="A103" s="1786"/>
      <c r="B103" s="1898"/>
      <c r="C103" s="554"/>
      <c r="D103" s="554"/>
    </row>
    <row r="104" spans="1:4">
      <c r="A104" s="1786">
        <v>2</v>
      </c>
      <c r="B104" s="1899" t="s">
        <v>1217</v>
      </c>
      <c r="C104" s="554"/>
      <c r="D104" s="554"/>
    </row>
    <row r="105" spans="1:4">
      <c r="A105" s="1786"/>
      <c r="B105" s="1900"/>
      <c r="C105" s="554"/>
      <c r="D105" s="554"/>
    </row>
    <row r="106" spans="1:4">
      <c r="A106" s="1786"/>
      <c r="B106" s="1900"/>
      <c r="C106" s="554"/>
      <c r="D106" s="554"/>
    </row>
    <row r="107" spans="1:4">
      <c r="A107" s="1786"/>
      <c r="B107" s="1901"/>
      <c r="C107" s="554"/>
      <c r="D107" s="554"/>
    </row>
    <row r="108" spans="1:4">
      <c r="A108" s="1786">
        <v>3</v>
      </c>
      <c r="B108" s="1898" t="s">
        <v>1218</v>
      </c>
      <c r="C108" s="554"/>
      <c r="D108" s="554"/>
    </row>
    <row r="109" spans="1:4">
      <c r="A109" s="1786"/>
      <c r="B109" s="1898"/>
      <c r="C109" s="554"/>
      <c r="D109" s="554"/>
    </row>
    <row r="110" spans="1:4">
      <c r="A110" s="1786"/>
      <c r="B110" s="1898"/>
      <c r="C110" s="554"/>
      <c r="D110" s="554"/>
    </row>
    <row r="111" spans="1:4">
      <c r="A111" s="1786">
        <v>4</v>
      </c>
      <c r="B111" s="1898" t="s">
        <v>1219</v>
      </c>
      <c r="C111" s="554"/>
      <c r="D111" s="554"/>
    </row>
    <row r="112" spans="1:4">
      <c r="A112" s="1786"/>
      <c r="B112" s="1898"/>
      <c r="C112" s="554"/>
      <c r="D112" s="554"/>
    </row>
    <row r="113" spans="1:4">
      <c r="A113" s="1786"/>
      <c r="B113" s="1898"/>
      <c r="C113" s="554"/>
      <c r="D113" s="554"/>
    </row>
    <row r="114" spans="1:4">
      <c r="A114" s="1789">
        <v>5</v>
      </c>
      <c r="B114" s="1899" t="s">
        <v>1220</v>
      </c>
      <c r="C114" s="554"/>
      <c r="D114" s="554"/>
    </row>
    <row r="115" spans="1:4">
      <c r="A115" s="1790"/>
      <c r="B115" s="1900"/>
      <c r="C115" s="554"/>
      <c r="D115" s="554"/>
    </row>
    <row r="116" spans="1:4">
      <c r="A116" s="1789">
        <v>6</v>
      </c>
      <c r="B116" s="1899" t="s">
        <v>1221</v>
      </c>
      <c r="C116" s="554"/>
      <c r="D116" s="554"/>
    </row>
    <row r="117" spans="1:4">
      <c r="A117" s="1790"/>
      <c r="B117" s="1900"/>
      <c r="C117" s="554"/>
      <c r="D117" s="554"/>
    </row>
    <row r="118" spans="1:4">
      <c r="A118" s="1790"/>
      <c r="B118" s="1900"/>
      <c r="C118" s="554"/>
      <c r="D118" s="554"/>
    </row>
    <row r="119" spans="1:4">
      <c r="A119" s="1791"/>
      <c r="B119" s="1901"/>
      <c r="C119" s="554"/>
      <c r="D119" s="554"/>
    </row>
    <row r="120" spans="1:4">
      <c r="A120" s="1786">
        <v>7</v>
      </c>
      <c r="B120" s="1898" t="s">
        <v>1222</v>
      </c>
      <c r="C120" s="554"/>
      <c r="D120" s="554"/>
    </row>
    <row r="121" spans="1:4">
      <c r="A121" s="1786"/>
      <c r="B121" s="1898"/>
      <c r="C121" s="554"/>
      <c r="D121" s="554"/>
    </row>
    <row r="122" spans="1:4">
      <c r="A122" s="1786"/>
      <c r="B122" s="1898"/>
      <c r="C122" s="554"/>
      <c r="D122" s="554"/>
    </row>
    <row r="123" spans="1:4">
      <c r="A123" s="1786">
        <v>8</v>
      </c>
      <c r="B123" s="1898" t="s">
        <v>1223</v>
      </c>
      <c r="C123" s="554"/>
      <c r="D123" s="554"/>
    </row>
    <row r="124" spans="1:4">
      <c r="A124" s="1786"/>
      <c r="B124" s="1898"/>
      <c r="C124" s="554"/>
      <c r="D124" s="554"/>
    </row>
    <row r="125" spans="1:4">
      <c r="A125" s="1786"/>
      <c r="B125" s="1898"/>
      <c r="C125" s="554"/>
      <c r="D125" s="554"/>
    </row>
    <row r="126" spans="1:4">
      <c r="A126" s="1786">
        <v>9</v>
      </c>
      <c r="B126" s="1898" t="s">
        <v>1224</v>
      </c>
      <c r="C126" s="554"/>
      <c r="D126" s="554"/>
    </row>
    <row r="127" spans="1:4">
      <c r="A127" s="1786"/>
      <c r="B127" s="1898"/>
      <c r="C127" s="554"/>
      <c r="D127" s="554"/>
    </row>
    <row r="128" spans="1:4">
      <c r="A128" s="1786">
        <v>10</v>
      </c>
      <c r="B128" s="1898" t="s">
        <v>1225</v>
      </c>
      <c r="C128" s="554"/>
      <c r="D128" s="554"/>
    </row>
    <row r="129" spans="1:4">
      <c r="A129" s="1786"/>
      <c r="B129" s="1898"/>
      <c r="C129" s="554"/>
      <c r="D129" s="554"/>
    </row>
    <row r="130" spans="1:4">
      <c r="A130" s="1786">
        <v>11</v>
      </c>
      <c r="B130" s="1898" t="s">
        <v>1226</v>
      </c>
      <c r="C130" s="554"/>
      <c r="D130" s="554"/>
    </row>
    <row r="131" spans="1:4">
      <c r="A131" s="1786"/>
      <c r="B131" s="1898"/>
      <c r="C131" s="554"/>
      <c r="D131" s="554"/>
    </row>
    <row r="132" spans="1:4">
      <c r="A132" s="1786">
        <v>12</v>
      </c>
      <c r="B132" s="1898" t="s">
        <v>1227</v>
      </c>
      <c r="C132" s="554"/>
      <c r="D132" s="554"/>
    </row>
    <row r="133" spans="1:4">
      <c r="A133" s="1786"/>
      <c r="B133" s="1898"/>
      <c r="C133" s="554"/>
      <c r="D133" s="554"/>
    </row>
    <row r="134" spans="1:4">
      <c r="A134" s="1786">
        <v>13</v>
      </c>
      <c r="B134" s="1898" t="s">
        <v>1228</v>
      </c>
      <c r="C134" s="554"/>
      <c r="D134" s="554"/>
    </row>
    <row r="135" spans="1:4">
      <c r="A135" s="1786"/>
      <c r="B135" s="1898"/>
      <c r="C135" s="554"/>
      <c r="D135" s="554"/>
    </row>
    <row r="136" spans="1:4">
      <c r="A136" s="1786"/>
      <c r="B136" s="1898"/>
      <c r="C136" s="554"/>
      <c r="D136" s="554"/>
    </row>
    <row r="137" spans="1:4">
      <c r="A137" s="1786">
        <v>14</v>
      </c>
      <c r="B137" s="1898" t="s">
        <v>1229</v>
      </c>
      <c r="C137" s="554"/>
      <c r="D137" s="554"/>
    </row>
    <row r="138" spans="1:4">
      <c r="A138" s="1786"/>
      <c r="B138" s="1898"/>
      <c r="C138" s="554"/>
      <c r="D138" s="554"/>
    </row>
    <row r="139" spans="1:4">
      <c r="A139" s="1786">
        <v>15</v>
      </c>
      <c r="B139" s="1898" t="s">
        <v>1230</v>
      </c>
      <c r="C139" s="554"/>
      <c r="D139" s="554"/>
    </row>
    <row r="140" spans="1:4">
      <c r="A140" s="1786"/>
      <c r="B140" s="1898"/>
      <c r="C140" s="554"/>
      <c r="D140" s="554"/>
    </row>
    <row r="141" spans="1:4">
      <c r="A141" s="1786"/>
      <c r="B141" s="1898"/>
      <c r="C141" s="554"/>
      <c r="D141" s="554"/>
    </row>
    <row r="142" spans="1:4">
      <c r="A142" s="1786">
        <v>16</v>
      </c>
      <c r="B142" s="1898" t="s">
        <v>1231</v>
      </c>
      <c r="C142" s="554"/>
      <c r="D142" s="554"/>
    </row>
    <row r="143" spans="1:4">
      <c r="A143" s="1786"/>
      <c r="B143" s="1898"/>
      <c r="C143" s="554"/>
      <c r="D143" s="554"/>
    </row>
    <row r="144" spans="1:4">
      <c r="A144" s="1786"/>
      <c r="B144" s="1898"/>
      <c r="C144" s="554"/>
      <c r="D144" s="554"/>
    </row>
    <row r="145" spans="1:4">
      <c r="A145" s="1786">
        <v>17</v>
      </c>
      <c r="B145" s="1898" t="s">
        <v>1232</v>
      </c>
      <c r="C145" s="554"/>
      <c r="D145" s="554"/>
    </row>
    <row r="146" spans="1:4">
      <c r="A146" s="1786"/>
      <c r="B146" s="1898"/>
      <c r="C146" s="554"/>
      <c r="D146" s="554"/>
    </row>
    <row r="147" spans="1:4">
      <c r="A147" s="1786"/>
      <c r="B147" s="1898"/>
      <c r="C147" s="554"/>
      <c r="D147" s="554"/>
    </row>
    <row r="148" spans="1:4">
      <c r="A148" s="1786">
        <v>18</v>
      </c>
      <c r="B148" s="1898" t="s">
        <v>1233</v>
      </c>
      <c r="C148" s="554"/>
      <c r="D148" s="554"/>
    </row>
    <row r="149" spans="1:4">
      <c r="A149" s="1786"/>
      <c r="B149" s="1898"/>
      <c r="C149" s="554"/>
      <c r="D149" s="554"/>
    </row>
    <row r="150" spans="1:4">
      <c r="A150" s="1786"/>
      <c r="B150" s="1898"/>
      <c r="C150" s="554"/>
      <c r="D150" s="554"/>
    </row>
    <row r="151" spans="1:4">
      <c r="A151" s="1786">
        <v>19</v>
      </c>
      <c r="B151" s="1898" t="s">
        <v>1234</v>
      </c>
      <c r="C151" s="554"/>
      <c r="D151" s="554"/>
    </row>
    <row r="152" spans="1:4">
      <c r="A152" s="1786"/>
      <c r="B152" s="1898"/>
      <c r="C152" s="554"/>
      <c r="D152" s="554"/>
    </row>
    <row r="153" spans="1:4">
      <c r="A153" s="1786"/>
      <c r="B153" s="1898"/>
      <c r="C153" s="554"/>
      <c r="D153" s="554"/>
    </row>
    <row r="154" spans="1:4">
      <c r="A154" s="1786">
        <v>20</v>
      </c>
      <c r="B154" s="1898" t="s">
        <v>1235</v>
      </c>
      <c r="C154" s="554"/>
      <c r="D154" s="554"/>
    </row>
    <row r="155" spans="1:4">
      <c r="A155" s="1786"/>
      <c r="B155" s="1898"/>
      <c r="C155" s="554"/>
      <c r="D155" s="554"/>
    </row>
    <row r="156" spans="1:4">
      <c r="A156" s="1786"/>
      <c r="B156" s="1898"/>
      <c r="C156" s="554"/>
      <c r="D156" s="554"/>
    </row>
    <row r="157" spans="1:4">
      <c r="A157" s="1786">
        <v>21</v>
      </c>
      <c r="B157" s="1898" t="s">
        <v>1236</v>
      </c>
      <c r="C157" s="554"/>
      <c r="D157" s="554"/>
    </row>
    <row r="158" spans="1:4">
      <c r="A158" s="1786"/>
      <c r="B158" s="1898"/>
      <c r="C158" s="554"/>
      <c r="D158" s="554"/>
    </row>
    <row r="159" spans="1:4">
      <c r="A159" s="1786">
        <v>22</v>
      </c>
      <c r="B159" s="1898" t="s">
        <v>1237</v>
      </c>
      <c r="C159" s="554"/>
      <c r="D159" s="554"/>
    </row>
    <row r="160" spans="1:4">
      <c r="A160" s="1786"/>
      <c r="B160" s="1898"/>
      <c r="C160" s="554"/>
      <c r="D160" s="554"/>
    </row>
    <row r="161" spans="1:4">
      <c r="A161" s="1786"/>
      <c r="B161" s="1898"/>
      <c r="C161" s="554"/>
      <c r="D161" s="554"/>
    </row>
    <row r="162" spans="1:4">
      <c r="A162" s="1786">
        <v>23</v>
      </c>
      <c r="B162" s="1898" t="s">
        <v>1238</v>
      </c>
      <c r="C162" s="554"/>
      <c r="D162" s="554"/>
    </row>
    <row r="163" spans="1:4">
      <c r="A163" s="1786"/>
      <c r="B163" s="1898"/>
      <c r="C163" s="554"/>
      <c r="D163" s="554"/>
    </row>
    <row r="164" spans="1:4">
      <c r="A164" s="1786"/>
      <c r="B164" s="1898"/>
      <c r="C164" s="554"/>
      <c r="D164" s="554"/>
    </row>
    <row r="165" spans="1:4">
      <c r="A165" s="1786">
        <v>24</v>
      </c>
      <c r="B165" s="1898" t="s">
        <v>1239</v>
      </c>
      <c r="C165" s="554"/>
      <c r="D165" s="554"/>
    </row>
    <row r="166" spans="1:4">
      <c r="A166" s="1786"/>
      <c r="B166" s="1898"/>
      <c r="C166" s="554"/>
      <c r="D166" s="554"/>
    </row>
    <row r="167" spans="1:4">
      <c r="A167" s="1786"/>
      <c r="B167" s="1898"/>
      <c r="C167" s="554"/>
      <c r="D167" s="554"/>
    </row>
    <row r="168" spans="1:4">
      <c r="A168" s="1786">
        <v>25</v>
      </c>
      <c r="B168" s="1898" t="s">
        <v>1240</v>
      </c>
      <c r="C168" s="554"/>
      <c r="D168" s="554"/>
    </row>
    <row r="169" spans="1:4">
      <c r="A169" s="1786"/>
      <c r="B169" s="1898"/>
      <c r="C169" s="554"/>
      <c r="D169" s="554"/>
    </row>
    <row r="170" spans="1:4">
      <c r="A170" s="1786"/>
      <c r="B170" s="1898"/>
      <c r="C170" s="554"/>
      <c r="D170" s="554"/>
    </row>
    <row r="171" spans="1:4">
      <c r="A171" s="1786">
        <v>26</v>
      </c>
      <c r="B171" s="1898" t="s">
        <v>1241</v>
      </c>
      <c r="C171" s="554"/>
      <c r="D171" s="554"/>
    </row>
    <row r="172" spans="1:4">
      <c r="A172" s="1786"/>
      <c r="B172" s="1898"/>
      <c r="C172" s="554"/>
      <c r="D172" s="554"/>
    </row>
    <row r="173" spans="1:4">
      <c r="A173" s="1786"/>
      <c r="B173" s="1898"/>
      <c r="C173" s="554"/>
      <c r="D173" s="554"/>
    </row>
    <row r="174" spans="1:4">
      <c r="A174" s="1786">
        <v>27</v>
      </c>
      <c r="B174" s="1898" t="s">
        <v>1242</v>
      </c>
      <c r="C174" s="554"/>
      <c r="D174" s="554"/>
    </row>
    <row r="175" spans="1:4">
      <c r="A175" s="1786"/>
      <c r="B175" s="1898"/>
      <c r="C175" s="554"/>
      <c r="D175" s="554"/>
    </row>
    <row r="176" spans="1:4">
      <c r="A176" s="1786"/>
      <c r="B176" s="1898"/>
      <c r="C176" s="554"/>
      <c r="D176" s="554"/>
    </row>
    <row r="177" spans="1:4">
      <c r="A177" s="1786">
        <v>28</v>
      </c>
      <c r="B177" s="1898" t="s">
        <v>1243</v>
      </c>
      <c r="C177" s="554"/>
      <c r="D177" s="554"/>
    </row>
    <row r="178" spans="1:4">
      <c r="A178" s="1786"/>
      <c r="B178" s="1898"/>
      <c r="C178" s="554"/>
      <c r="D178" s="554"/>
    </row>
    <row r="179" spans="1:4">
      <c r="A179" s="1786"/>
      <c r="B179" s="1898"/>
      <c r="C179" s="554"/>
      <c r="D179" s="554"/>
    </row>
    <row r="180" spans="1:4">
      <c r="A180" s="1786">
        <v>29</v>
      </c>
      <c r="B180" s="1898" t="s">
        <v>1244</v>
      </c>
      <c r="C180" s="554"/>
      <c r="D180" s="554"/>
    </row>
    <row r="181" spans="1:4">
      <c r="A181" s="1786"/>
      <c r="B181" s="1898"/>
      <c r="C181" s="554"/>
      <c r="D181" s="554"/>
    </row>
    <row r="182" spans="1:4">
      <c r="A182" s="1786"/>
      <c r="B182" s="1898"/>
      <c r="C182" s="554"/>
      <c r="D182" s="554"/>
    </row>
    <row r="183" spans="1:4">
      <c r="A183" s="1786">
        <v>30</v>
      </c>
      <c r="B183" s="1898" t="s">
        <v>1245</v>
      </c>
      <c r="C183" s="554"/>
      <c r="D183" s="554"/>
    </row>
    <row r="184" spans="1:4">
      <c r="A184" s="1786"/>
      <c r="B184" s="1898"/>
      <c r="C184" s="554"/>
      <c r="D184" s="554"/>
    </row>
    <row r="185" spans="1:4">
      <c r="A185" s="1786"/>
      <c r="B185" s="1898"/>
      <c r="C185" s="554"/>
      <c r="D185" s="554"/>
    </row>
    <row r="186" spans="1:4">
      <c r="A186" s="1786">
        <v>31</v>
      </c>
      <c r="B186" s="1898" t="s">
        <v>1246</v>
      </c>
      <c r="C186" s="554"/>
      <c r="D186" s="554"/>
    </row>
    <row r="187" spans="1:4">
      <c r="A187" s="1786"/>
      <c r="B187" s="1898"/>
      <c r="C187" s="554"/>
      <c r="D187" s="554"/>
    </row>
    <row r="188" spans="1:4">
      <c r="A188" s="1786"/>
      <c r="B188" s="1898"/>
      <c r="C188" s="554"/>
      <c r="D188" s="554"/>
    </row>
    <row r="189" spans="1:4">
      <c r="A189" s="1786">
        <v>32</v>
      </c>
      <c r="B189" s="1898" t="s">
        <v>1247</v>
      </c>
      <c r="C189" s="554"/>
      <c r="D189" s="554"/>
    </row>
    <row r="190" spans="1:4">
      <c r="A190" s="1786"/>
      <c r="B190" s="1898"/>
      <c r="C190" s="554"/>
      <c r="D190" s="554"/>
    </row>
    <row r="191" spans="1:4">
      <c r="A191" s="1786">
        <v>33</v>
      </c>
      <c r="B191" s="1897" t="s">
        <v>1248</v>
      </c>
      <c r="C191" s="555"/>
      <c r="D191" s="555"/>
    </row>
    <row r="192" spans="1:4">
      <c r="A192" s="1786"/>
      <c r="B192" s="1897"/>
      <c r="C192" s="555"/>
      <c r="D192" s="555"/>
    </row>
    <row r="193" spans="1:4">
      <c r="A193" s="1786">
        <v>34</v>
      </c>
      <c r="B193" s="1897" t="s">
        <v>1249</v>
      </c>
      <c r="C193" s="555"/>
      <c r="D193" s="555"/>
    </row>
    <row r="194" spans="1:4">
      <c r="A194" s="1786"/>
      <c r="B194" s="1897"/>
      <c r="C194" s="555"/>
      <c r="D194" s="555"/>
    </row>
    <row r="195" spans="1:4">
      <c r="A195" s="1902" t="s">
        <v>1250</v>
      </c>
      <c r="B195" s="1902"/>
      <c r="C195" s="553"/>
      <c r="D195" s="553"/>
    </row>
    <row r="196" spans="1:4">
      <c r="A196" s="1786">
        <v>1</v>
      </c>
      <c r="B196" s="1898" t="s">
        <v>1216</v>
      </c>
      <c r="C196" s="554"/>
      <c r="D196" s="554"/>
    </row>
    <row r="197" spans="1:4">
      <c r="A197" s="1786"/>
      <c r="B197" s="1898"/>
      <c r="C197" s="554"/>
      <c r="D197" s="554"/>
    </row>
    <row r="198" spans="1:4">
      <c r="A198" s="1786"/>
      <c r="B198" s="1898"/>
      <c r="C198" s="554"/>
      <c r="D198" s="554"/>
    </row>
    <row r="199" spans="1:4">
      <c r="A199" s="1786"/>
      <c r="B199" s="1898"/>
      <c r="C199" s="554"/>
      <c r="D199" s="554"/>
    </row>
    <row r="200" spans="1:4">
      <c r="A200" s="1786">
        <v>2</v>
      </c>
      <c r="B200" s="1899" t="s">
        <v>1217</v>
      </c>
      <c r="C200" s="554"/>
      <c r="D200" s="554"/>
    </row>
    <row r="201" spans="1:4">
      <c r="A201" s="1786"/>
      <c r="B201" s="1900"/>
      <c r="C201" s="554"/>
      <c r="D201" s="554"/>
    </row>
    <row r="202" spans="1:4">
      <c r="A202" s="1786"/>
      <c r="B202" s="1900"/>
      <c r="C202" s="554"/>
      <c r="D202" s="554"/>
    </row>
    <row r="203" spans="1:4">
      <c r="A203" s="1786"/>
      <c r="B203" s="1901"/>
      <c r="C203" s="554"/>
      <c r="D203" s="554"/>
    </row>
    <row r="204" spans="1:4">
      <c r="A204" s="1786">
        <v>3</v>
      </c>
      <c r="B204" s="1898" t="s">
        <v>1218</v>
      </c>
      <c r="C204" s="554"/>
      <c r="D204" s="554"/>
    </row>
    <row r="205" spans="1:4">
      <c r="A205" s="1786"/>
      <c r="B205" s="1898"/>
      <c r="C205" s="554"/>
      <c r="D205" s="554"/>
    </row>
    <row r="206" spans="1:4">
      <c r="A206" s="1786"/>
      <c r="B206" s="1898"/>
      <c r="C206" s="554"/>
      <c r="D206" s="554"/>
    </row>
    <row r="207" spans="1:4">
      <c r="A207" s="1786">
        <v>4</v>
      </c>
      <c r="B207" s="1898" t="s">
        <v>1219</v>
      </c>
      <c r="C207" s="554"/>
      <c r="D207" s="554"/>
    </row>
    <row r="208" spans="1:4">
      <c r="A208" s="1786"/>
      <c r="B208" s="1898"/>
      <c r="C208" s="554"/>
      <c r="D208" s="554"/>
    </row>
    <row r="209" spans="1:4">
      <c r="A209" s="1786"/>
      <c r="B209" s="1898"/>
      <c r="C209" s="554"/>
      <c r="D209" s="554"/>
    </row>
    <row r="210" spans="1:4">
      <c r="A210" s="1789">
        <v>5</v>
      </c>
      <c r="B210" s="1899" t="s">
        <v>1220</v>
      </c>
      <c r="C210" s="554"/>
      <c r="D210" s="554"/>
    </row>
    <row r="211" spans="1:4">
      <c r="A211" s="1790"/>
      <c r="B211" s="1900"/>
      <c r="C211" s="554"/>
      <c r="D211" s="554"/>
    </row>
    <row r="212" spans="1:4">
      <c r="A212" s="1789">
        <v>6</v>
      </c>
      <c r="B212" s="1899" t="s">
        <v>1221</v>
      </c>
      <c r="C212" s="554"/>
      <c r="D212" s="554"/>
    </row>
    <row r="213" spans="1:4">
      <c r="A213" s="1790"/>
      <c r="B213" s="1900"/>
      <c r="C213" s="554"/>
      <c r="D213" s="554"/>
    </row>
    <row r="214" spans="1:4">
      <c r="A214" s="1790"/>
      <c r="B214" s="1900"/>
      <c r="C214" s="554"/>
      <c r="D214" s="554"/>
    </row>
    <row r="215" spans="1:4">
      <c r="A215" s="1791"/>
      <c r="B215" s="1901"/>
      <c r="C215" s="554"/>
      <c r="D215" s="554"/>
    </row>
    <row r="216" spans="1:4">
      <c r="A216" s="1786">
        <v>7</v>
      </c>
      <c r="B216" s="1898" t="s">
        <v>1222</v>
      </c>
      <c r="C216" s="554"/>
      <c r="D216" s="554"/>
    </row>
    <row r="217" spans="1:4">
      <c r="A217" s="1786"/>
      <c r="B217" s="1898"/>
      <c r="C217" s="554"/>
      <c r="D217" s="554"/>
    </row>
    <row r="218" spans="1:4">
      <c r="A218" s="1786"/>
      <c r="B218" s="1898"/>
      <c r="C218" s="554"/>
      <c r="D218" s="554"/>
    </row>
    <row r="219" spans="1:4">
      <c r="A219" s="1786">
        <v>8</v>
      </c>
      <c r="B219" s="1898" t="s">
        <v>1223</v>
      </c>
      <c r="C219" s="554"/>
      <c r="D219" s="554"/>
    </row>
    <row r="220" spans="1:4">
      <c r="A220" s="1786"/>
      <c r="B220" s="1898"/>
      <c r="C220" s="554"/>
      <c r="D220" s="554"/>
    </row>
    <row r="221" spans="1:4">
      <c r="A221" s="1786"/>
      <c r="B221" s="1898"/>
      <c r="C221" s="554"/>
      <c r="D221" s="554"/>
    </row>
    <row r="222" spans="1:4">
      <c r="A222" s="1786">
        <v>9</v>
      </c>
      <c r="B222" s="1898" t="s">
        <v>1224</v>
      </c>
      <c r="C222" s="554"/>
      <c r="D222" s="554"/>
    </row>
    <row r="223" spans="1:4">
      <c r="A223" s="1786"/>
      <c r="B223" s="1898"/>
      <c r="C223" s="554"/>
      <c r="D223" s="554"/>
    </row>
    <row r="224" spans="1:4">
      <c r="A224" s="1786">
        <v>10</v>
      </c>
      <c r="B224" s="1898" t="s">
        <v>1225</v>
      </c>
      <c r="C224" s="554"/>
      <c r="D224" s="554"/>
    </row>
    <row r="225" spans="1:4">
      <c r="A225" s="1786"/>
      <c r="B225" s="1898"/>
      <c r="C225" s="554"/>
      <c r="D225" s="554"/>
    </row>
    <row r="226" spans="1:4">
      <c r="A226" s="1786">
        <v>11</v>
      </c>
      <c r="B226" s="1898" t="s">
        <v>1226</v>
      </c>
      <c r="C226" s="554"/>
      <c r="D226" s="554"/>
    </row>
    <row r="227" spans="1:4">
      <c r="A227" s="1786"/>
      <c r="B227" s="1898"/>
      <c r="C227" s="554"/>
      <c r="D227" s="554"/>
    </row>
    <row r="228" spans="1:4">
      <c r="A228" s="1786">
        <v>12</v>
      </c>
      <c r="B228" s="1898" t="s">
        <v>1227</v>
      </c>
      <c r="C228" s="554"/>
      <c r="D228" s="554"/>
    </row>
    <row r="229" spans="1:4">
      <c r="A229" s="1786"/>
      <c r="B229" s="1898"/>
      <c r="C229" s="554"/>
      <c r="D229" s="554"/>
    </row>
    <row r="230" spans="1:4">
      <c r="A230" s="1786">
        <v>13</v>
      </c>
      <c r="B230" s="1898" t="s">
        <v>1228</v>
      </c>
      <c r="C230" s="554"/>
      <c r="D230" s="554"/>
    </row>
    <row r="231" spans="1:4">
      <c r="A231" s="1786"/>
      <c r="B231" s="1898"/>
      <c r="C231" s="554"/>
      <c r="D231" s="554"/>
    </row>
    <row r="232" spans="1:4">
      <c r="A232" s="1786"/>
      <c r="B232" s="1898"/>
      <c r="C232" s="554"/>
      <c r="D232" s="554"/>
    </row>
    <row r="233" spans="1:4">
      <c r="A233" s="1786">
        <v>14</v>
      </c>
      <c r="B233" s="1898" t="s">
        <v>1229</v>
      </c>
      <c r="C233" s="554"/>
      <c r="D233" s="554"/>
    </row>
    <row r="234" spans="1:4">
      <c r="A234" s="1786"/>
      <c r="B234" s="1898"/>
      <c r="C234" s="554"/>
      <c r="D234" s="554"/>
    </row>
    <row r="235" spans="1:4">
      <c r="A235" s="1786">
        <v>15</v>
      </c>
      <c r="B235" s="1898" t="s">
        <v>1230</v>
      </c>
      <c r="C235" s="554"/>
      <c r="D235" s="554"/>
    </row>
    <row r="236" spans="1:4">
      <c r="A236" s="1786"/>
      <c r="B236" s="1898"/>
      <c r="C236" s="554"/>
      <c r="D236" s="554"/>
    </row>
    <row r="237" spans="1:4">
      <c r="A237" s="1786"/>
      <c r="B237" s="1898"/>
      <c r="C237" s="554"/>
      <c r="D237" s="554"/>
    </row>
    <row r="238" spans="1:4">
      <c r="A238" s="1786">
        <v>16</v>
      </c>
      <c r="B238" s="1898" t="s">
        <v>1231</v>
      </c>
      <c r="C238" s="554"/>
      <c r="D238" s="554"/>
    </row>
    <row r="239" spans="1:4">
      <c r="A239" s="1786"/>
      <c r="B239" s="1898"/>
      <c r="C239" s="554"/>
      <c r="D239" s="554"/>
    </row>
    <row r="240" spans="1:4">
      <c r="A240" s="1786"/>
      <c r="B240" s="1898"/>
      <c r="C240" s="554"/>
      <c r="D240" s="554"/>
    </row>
    <row r="241" spans="1:4">
      <c r="A241" s="1786">
        <v>17</v>
      </c>
      <c r="B241" s="1898" t="s">
        <v>1232</v>
      </c>
      <c r="C241" s="554"/>
      <c r="D241" s="554"/>
    </row>
    <row r="242" spans="1:4">
      <c r="A242" s="1786"/>
      <c r="B242" s="1898"/>
      <c r="C242" s="554"/>
      <c r="D242" s="554"/>
    </row>
    <row r="243" spans="1:4">
      <c r="A243" s="1786"/>
      <c r="B243" s="1898"/>
      <c r="C243" s="554"/>
      <c r="D243" s="554"/>
    </row>
    <row r="244" spans="1:4">
      <c r="A244" s="1786">
        <v>18</v>
      </c>
      <c r="B244" s="1898" t="s">
        <v>1233</v>
      </c>
      <c r="C244" s="554"/>
      <c r="D244" s="554"/>
    </row>
    <row r="245" spans="1:4">
      <c r="A245" s="1786"/>
      <c r="B245" s="1898"/>
      <c r="C245" s="554"/>
      <c r="D245" s="554"/>
    </row>
    <row r="246" spans="1:4">
      <c r="A246" s="1786"/>
      <c r="B246" s="1898"/>
      <c r="C246" s="554"/>
      <c r="D246" s="554"/>
    </row>
    <row r="247" spans="1:4">
      <c r="A247" s="1786">
        <v>19</v>
      </c>
      <c r="B247" s="1898" t="s">
        <v>1234</v>
      </c>
      <c r="C247" s="554"/>
      <c r="D247" s="554"/>
    </row>
    <row r="248" spans="1:4">
      <c r="A248" s="1786"/>
      <c r="B248" s="1898"/>
      <c r="C248" s="554"/>
      <c r="D248" s="554"/>
    </row>
    <row r="249" spans="1:4">
      <c r="A249" s="1786"/>
      <c r="B249" s="1898"/>
      <c r="C249" s="554"/>
      <c r="D249" s="554"/>
    </row>
    <row r="250" spans="1:4">
      <c r="A250" s="1786">
        <v>20</v>
      </c>
      <c r="B250" s="1898" t="s">
        <v>1235</v>
      </c>
      <c r="C250" s="554"/>
      <c r="D250" s="554"/>
    </row>
    <row r="251" spans="1:4">
      <c r="A251" s="1786"/>
      <c r="B251" s="1898"/>
      <c r="C251" s="554"/>
      <c r="D251" s="554"/>
    </row>
    <row r="252" spans="1:4">
      <c r="A252" s="1786"/>
      <c r="B252" s="1898"/>
      <c r="C252" s="554"/>
      <c r="D252" s="554"/>
    </row>
    <row r="253" spans="1:4">
      <c r="A253" s="1786">
        <v>21</v>
      </c>
      <c r="B253" s="1898" t="s">
        <v>1236</v>
      </c>
      <c r="C253" s="554"/>
      <c r="D253" s="554"/>
    </row>
    <row r="254" spans="1:4">
      <c r="A254" s="1786"/>
      <c r="B254" s="1898"/>
      <c r="C254" s="554"/>
      <c r="D254" s="554"/>
    </row>
    <row r="255" spans="1:4">
      <c r="A255" s="1786">
        <v>22</v>
      </c>
      <c r="B255" s="1898" t="s">
        <v>1237</v>
      </c>
      <c r="C255" s="554"/>
      <c r="D255" s="554"/>
    </row>
    <row r="256" spans="1:4">
      <c r="A256" s="1786"/>
      <c r="B256" s="1898"/>
      <c r="C256" s="554"/>
      <c r="D256" s="554"/>
    </row>
    <row r="257" spans="1:4">
      <c r="A257" s="1786"/>
      <c r="B257" s="1898"/>
      <c r="C257" s="554"/>
      <c r="D257" s="554"/>
    </row>
    <row r="258" spans="1:4">
      <c r="A258" s="1786">
        <v>23</v>
      </c>
      <c r="B258" s="1898" t="s">
        <v>1238</v>
      </c>
      <c r="C258" s="554"/>
      <c r="D258" s="554"/>
    </row>
    <row r="259" spans="1:4">
      <c r="A259" s="1786"/>
      <c r="B259" s="1898"/>
      <c r="C259" s="554"/>
      <c r="D259" s="554"/>
    </row>
    <row r="260" spans="1:4">
      <c r="A260" s="1786"/>
      <c r="B260" s="1898"/>
      <c r="C260" s="554"/>
      <c r="D260" s="554"/>
    </row>
    <row r="261" spans="1:4">
      <c r="A261" s="1786">
        <v>24</v>
      </c>
      <c r="B261" s="1898" t="s">
        <v>1239</v>
      </c>
      <c r="C261" s="554"/>
      <c r="D261" s="554"/>
    </row>
    <row r="262" spans="1:4">
      <c r="A262" s="1786"/>
      <c r="B262" s="1898"/>
      <c r="C262" s="554"/>
      <c r="D262" s="554"/>
    </row>
    <row r="263" spans="1:4">
      <c r="A263" s="1786"/>
      <c r="B263" s="1898"/>
      <c r="C263" s="554"/>
      <c r="D263" s="554"/>
    </row>
    <row r="264" spans="1:4">
      <c r="A264" s="1786">
        <v>25</v>
      </c>
      <c r="B264" s="1898" t="s">
        <v>1240</v>
      </c>
      <c r="C264" s="554"/>
      <c r="D264" s="554"/>
    </row>
    <row r="265" spans="1:4">
      <c r="A265" s="1786"/>
      <c r="B265" s="1898"/>
      <c r="C265" s="554"/>
      <c r="D265" s="554"/>
    </row>
    <row r="266" spans="1:4">
      <c r="A266" s="1786"/>
      <c r="B266" s="1898"/>
      <c r="C266" s="554"/>
      <c r="D266" s="554"/>
    </row>
    <row r="267" spans="1:4">
      <c r="A267" s="1786">
        <v>26</v>
      </c>
      <c r="B267" s="1898" t="s">
        <v>1241</v>
      </c>
      <c r="C267" s="554"/>
      <c r="D267" s="554"/>
    </row>
    <row r="268" spans="1:4">
      <c r="A268" s="1786"/>
      <c r="B268" s="1898"/>
      <c r="C268" s="554"/>
      <c r="D268" s="554"/>
    </row>
    <row r="269" spans="1:4">
      <c r="A269" s="1786"/>
      <c r="B269" s="1898"/>
      <c r="C269" s="554"/>
      <c r="D269" s="554"/>
    </row>
    <row r="270" spans="1:4">
      <c r="A270" s="1786">
        <v>27</v>
      </c>
      <c r="B270" s="1898" t="s">
        <v>1242</v>
      </c>
      <c r="C270" s="554"/>
      <c r="D270" s="554"/>
    </row>
    <row r="271" spans="1:4">
      <c r="A271" s="1786"/>
      <c r="B271" s="1898"/>
      <c r="C271" s="554"/>
      <c r="D271" s="554"/>
    </row>
    <row r="272" spans="1:4">
      <c r="A272" s="1786"/>
      <c r="B272" s="1898"/>
      <c r="C272" s="554"/>
      <c r="D272" s="554"/>
    </row>
    <row r="273" spans="1:4">
      <c r="A273" s="1786">
        <v>28</v>
      </c>
      <c r="B273" s="1898" t="s">
        <v>1243</v>
      </c>
      <c r="C273" s="554"/>
      <c r="D273" s="554"/>
    </row>
    <row r="274" spans="1:4">
      <c r="A274" s="1786"/>
      <c r="B274" s="1898"/>
      <c r="C274" s="554"/>
      <c r="D274" s="554"/>
    </row>
    <row r="275" spans="1:4">
      <c r="A275" s="1786"/>
      <c r="B275" s="1898"/>
      <c r="C275" s="554"/>
      <c r="D275" s="554"/>
    </row>
    <row r="276" spans="1:4">
      <c r="A276" s="1786">
        <v>29</v>
      </c>
      <c r="B276" s="1898" t="s">
        <v>1244</v>
      </c>
      <c r="C276" s="554"/>
      <c r="D276" s="554"/>
    </row>
    <row r="277" spans="1:4">
      <c r="A277" s="1786"/>
      <c r="B277" s="1898"/>
      <c r="C277" s="554"/>
      <c r="D277" s="554"/>
    </row>
    <row r="278" spans="1:4">
      <c r="A278" s="1786"/>
      <c r="B278" s="1898"/>
      <c r="C278" s="554"/>
      <c r="D278" s="554"/>
    </row>
    <row r="279" spans="1:4">
      <c r="A279" s="1786">
        <v>30</v>
      </c>
      <c r="B279" s="1898" t="s">
        <v>1245</v>
      </c>
      <c r="C279" s="554"/>
      <c r="D279" s="554"/>
    </row>
    <row r="280" spans="1:4">
      <c r="A280" s="1786"/>
      <c r="B280" s="1898"/>
      <c r="C280" s="554"/>
      <c r="D280" s="554"/>
    </row>
    <row r="281" spans="1:4">
      <c r="A281" s="1786"/>
      <c r="B281" s="1898"/>
      <c r="C281" s="554"/>
      <c r="D281" s="554"/>
    </row>
    <row r="282" spans="1:4">
      <c r="A282" s="1786">
        <v>31</v>
      </c>
      <c r="B282" s="1898" t="s">
        <v>1246</v>
      </c>
      <c r="C282" s="554"/>
      <c r="D282" s="554"/>
    </row>
    <row r="283" spans="1:4">
      <c r="A283" s="1786"/>
      <c r="B283" s="1898"/>
      <c r="C283" s="554"/>
      <c r="D283" s="554"/>
    </row>
    <row r="284" spans="1:4">
      <c r="A284" s="1786"/>
      <c r="B284" s="1898"/>
      <c r="C284" s="554"/>
      <c r="D284" s="554"/>
    </row>
    <row r="285" spans="1:4">
      <c r="A285" s="1786">
        <v>32</v>
      </c>
      <c r="B285" s="1898" t="s">
        <v>1247</v>
      </c>
      <c r="C285" s="554"/>
      <c r="D285" s="554"/>
    </row>
    <row r="286" spans="1:4">
      <c r="A286" s="1786"/>
      <c r="B286" s="1898"/>
      <c r="C286" s="554"/>
      <c r="D286" s="554"/>
    </row>
    <row r="287" spans="1:4">
      <c r="A287" s="1786">
        <v>33</v>
      </c>
      <c r="B287" s="1897" t="s">
        <v>1248</v>
      </c>
      <c r="C287" s="555"/>
      <c r="D287" s="555"/>
    </row>
    <row r="288" spans="1:4">
      <c r="A288" s="1786"/>
      <c r="B288" s="1897"/>
      <c r="C288" s="555"/>
      <c r="D288" s="555"/>
    </row>
    <row r="289" spans="1:4">
      <c r="A289" s="1786">
        <v>34</v>
      </c>
      <c r="B289" s="1897" t="s">
        <v>1249</v>
      </c>
      <c r="C289" s="555"/>
      <c r="D289" s="555"/>
    </row>
    <row r="290" spans="1:4">
      <c r="A290" s="1786"/>
      <c r="B290" s="1897"/>
      <c r="C290" s="555"/>
      <c r="D290" s="555"/>
    </row>
  </sheetData>
  <mergeCells count="208">
    <mergeCell ref="A12:A14"/>
    <mergeCell ref="B12:B14"/>
    <mergeCell ref="A15:A17"/>
    <mergeCell ref="B15:B17"/>
    <mergeCell ref="A18:A19"/>
    <mergeCell ref="B18:B19"/>
    <mergeCell ref="A1:B2"/>
    <mergeCell ref="A3:B3"/>
    <mergeCell ref="A4:A7"/>
    <mergeCell ref="B4:B7"/>
    <mergeCell ref="A8:A11"/>
    <mergeCell ref="B8:B11"/>
    <mergeCell ref="A30:A31"/>
    <mergeCell ref="B30:B31"/>
    <mergeCell ref="A32:A33"/>
    <mergeCell ref="B32:B33"/>
    <mergeCell ref="A34:A35"/>
    <mergeCell ref="B34:B35"/>
    <mergeCell ref="A20:A23"/>
    <mergeCell ref="B20:B23"/>
    <mergeCell ref="A24:A26"/>
    <mergeCell ref="B24:B26"/>
    <mergeCell ref="A27:A29"/>
    <mergeCell ref="B27:B29"/>
    <mergeCell ref="A43:A45"/>
    <mergeCell ref="B43:B45"/>
    <mergeCell ref="A46:A48"/>
    <mergeCell ref="B46:B48"/>
    <mergeCell ref="A49:A51"/>
    <mergeCell ref="B49:B51"/>
    <mergeCell ref="A36:A37"/>
    <mergeCell ref="B36:B37"/>
    <mergeCell ref="A38:A40"/>
    <mergeCell ref="B38:B40"/>
    <mergeCell ref="A41:A42"/>
    <mergeCell ref="B41:B42"/>
    <mergeCell ref="A61:A62"/>
    <mergeCell ref="B61:B62"/>
    <mergeCell ref="A63:A65"/>
    <mergeCell ref="B63:B65"/>
    <mergeCell ref="A66:A68"/>
    <mergeCell ref="B66:B68"/>
    <mergeCell ref="A52:A54"/>
    <mergeCell ref="B52:B54"/>
    <mergeCell ref="A55:A57"/>
    <mergeCell ref="B55:B57"/>
    <mergeCell ref="A58:A60"/>
    <mergeCell ref="B58:B60"/>
    <mergeCell ref="A78:A80"/>
    <mergeCell ref="B78:B80"/>
    <mergeCell ref="A81:A83"/>
    <mergeCell ref="B81:B83"/>
    <mergeCell ref="A84:A86"/>
    <mergeCell ref="B84:B86"/>
    <mergeCell ref="A69:A71"/>
    <mergeCell ref="B69:B71"/>
    <mergeCell ref="A72:A74"/>
    <mergeCell ref="B72:B74"/>
    <mergeCell ref="A75:A77"/>
    <mergeCell ref="B75:B77"/>
    <mergeCell ref="A95:A96"/>
    <mergeCell ref="B95:B96"/>
    <mergeCell ref="A97:A98"/>
    <mergeCell ref="B97:B98"/>
    <mergeCell ref="A99:B99"/>
    <mergeCell ref="A100:A103"/>
    <mergeCell ref="B100:B103"/>
    <mergeCell ref="A87:A89"/>
    <mergeCell ref="B87:B89"/>
    <mergeCell ref="A90:A92"/>
    <mergeCell ref="B90:B92"/>
    <mergeCell ref="A93:A94"/>
    <mergeCell ref="B93:B94"/>
    <mergeCell ref="A114:A115"/>
    <mergeCell ref="B114:B115"/>
    <mergeCell ref="A116:A119"/>
    <mergeCell ref="B116:B119"/>
    <mergeCell ref="A120:A122"/>
    <mergeCell ref="B120:B122"/>
    <mergeCell ref="A104:A107"/>
    <mergeCell ref="B104:B107"/>
    <mergeCell ref="A108:A110"/>
    <mergeCell ref="B108:B110"/>
    <mergeCell ref="A111:A113"/>
    <mergeCell ref="B111:B113"/>
    <mergeCell ref="A130:A131"/>
    <mergeCell ref="B130:B131"/>
    <mergeCell ref="A132:A133"/>
    <mergeCell ref="B132:B133"/>
    <mergeCell ref="A134:A136"/>
    <mergeCell ref="B134:B136"/>
    <mergeCell ref="A123:A125"/>
    <mergeCell ref="B123:B125"/>
    <mergeCell ref="A126:A127"/>
    <mergeCell ref="B126:B127"/>
    <mergeCell ref="A128:A129"/>
    <mergeCell ref="B128:B129"/>
    <mergeCell ref="A145:A147"/>
    <mergeCell ref="B145:B147"/>
    <mergeCell ref="A148:A150"/>
    <mergeCell ref="B148:B150"/>
    <mergeCell ref="A151:A153"/>
    <mergeCell ref="B151:B153"/>
    <mergeCell ref="A137:A138"/>
    <mergeCell ref="B137:B138"/>
    <mergeCell ref="A139:A141"/>
    <mergeCell ref="B139:B141"/>
    <mergeCell ref="A142:A144"/>
    <mergeCell ref="B142:B144"/>
    <mergeCell ref="A162:A164"/>
    <mergeCell ref="B162:B164"/>
    <mergeCell ref="A165:A167"/>
    <mergeCell ref="B165:B167"/>
    <mergeCell ref="A168:A170"/>
    <mergeCell ref="B168:B170"/>
    <mergeCell ref="A154:A156"/>
    <mergeCell ref="B154:B156"/>
    <mergeCell ref="A157:A158"/>
    <mergeCell ref="B157:B158"/>
    <mergeCell ref="A159:A161"/>
    <mergeCell ref="B159:B161"/>
    <mergeCell ref="A180:A182"/>
    <mergeCell ref="B180:B182"/>
    <mergeCell ref="A183:A185"/>
    <mergeCell ref="B183:B185"/>
    <mergeCell ref="A186:A188"/>
    <mergeCell ref="B186:B188"/>
    <mergeCell ref="A171:A173"/>
    <mergeCell ref="B171:B173"/>
    <mergeCell ref="A174:A176"/>
    <mergeCell ref="B174:B176"/>
    <mergeCell ref="A177:A179"/>
    <mergeCell ref="B177:B179"/>
    <mergeCell ref="A195:B195"/>
    <mergeCell ref="A196:A199"/>
    <mergeCell ref="B196:B199"/>
    <mergeCell ref="A200:A203"/>
    <mergeCell ref="B200:B203"/>
    <mergeCell ref="A204:A206"/>
    <mergeCell ref="B204:B206"/>
    <mergeCell ref="A189:A190"/>
    <mergeCell ref="B189:B190"/>
    <mergeCell ref="A191:A192"/>
    <mergeCell ref="B191:B192"/>
    <mergeCell ref="A193:A194"/>
    <mergeCell ref="B193:B194"/>
    <mergeCell ref="A216:A218"/>
    <mergeCell ref="B216:B218"/>
    <mergeCell ref="A219:A221"/>
    <mergeCell ref="B219:B221"/>
    <mergeCell ref="A222:A223"/>
    <mergeCell ref="B222:B223"/>
    <mergeCell ref="A207:A209"/>
    <mergeCell ref="B207:B209"/>
    <mergeCell ref="A210:A211"/>
    <mergeCell ref="B210:B211"/>
    <mergeCell ref="A212:A215"/>
    <mergeCell ref="B212:B215"/>
    <mergeCell ref="A230:A232"/>
    <mergeCell ref="B230:B232"/>
    <mergeCell ref="A233:A234"/>
    <mergeCell ref="B233:B234"/>
    <mergeCell ref="A235:A237"/>
    <mergeCell ref="B235:B237"/>
    <mergeCell ref="A224:A225"/>
    <mergeCell ref="B224:B225"/>
    <mergeCell ref="A226:A227"/>
    <mergeCell ref="B226:B227"/>
    <mergeCell ref="A228:A229"/>
    <mergeCell ref="B228:B229"/>
    <mergeCell ref="A247:A249"/>
    <mergeCell ref="B247:B249"/>
    <mergeCell ref="A250:A252"/>
    <mergeCell ref="B250:B252"/>
    <mergeCell ref="A253:A254"/>
    <mergeCell ref="B253:B254"/>
    <mergeCell ref="A238:A240"/>
    <mergeCell ref="B238:B240"/>
    <mergeCell ref="A241:A243"/>
    <mergeCell ref="B241:B243"/>
    <mergeCell ref="A244:A246"/>
    <mergeCell ref="B244:B246"/>
    <mergeCell ref="A264:A266"/>
    <mergeCell ref="B264:B266"/>
    <mergeCell ref="A267:A269"/>
    <mergeCell ref="B267:B269"/>
    <mergeCell ref="A270:A272"/>
    <mergeCell ref="B270:B272"/>
    <mergeCell ref="A255:A257"/>
    <mergeCell ref="B255:B257"/>
    <mergeCell ref="A258:A260"/>
    <mergeCell ref="B258:B260"/>
    <mergeCell ref="A261:A263"/>
    <mergeCell ref="B261:B263"/>
    <mergeCell ref="A289:A290"/>
    <mergeCell ref="B289:B290"/>
    <mergeCell ref="A282:A284"/>
    <mergeCell ref="B282:B284"/>
    <mergeCell ref="A285:A286"/>
    <mergeCell ref="B285:B286"/>
    <mergeCell ref="A287:A288"/>
    <mergeCell ref="B287:B288"/>
    <mergeCell ref="A273:A275"/>
    <mergeCell ref="B273:B275"/>
    <mergeCell ref="A276:A278"/>
    <mergeCell ref="B276:B278"/>
    <mergeCell ref="A279:A281"/>
    <mergeCell ref="B279:B281"/>
  </mergeCells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1"/>
  <dimension ref="A1:EX105"/>
  <sheetViews>
    <sheetView view="pageBreakPreview" zoomScaleNormal="100" zoomScaleSheetLayoutView="75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M97" sqref="M97"/>
    </sheetView>
  </sheetViews>
  <sheetFormatPr defaultRowHeight="12.75"/>
  <cols>
    <col min="1" max="1" width="0.140625" style="548" customWidth="1"/>
    <col min="2" max="2" width="23.5703125" style="549" customWidth="1"/>
    <col min="3" max="3" width="18.7109375" style="550" customWidth="1"/>
    <col min="4" max="4" width="14.42578125" style="388" customWidth="1"/>
    <col min="5" max="5" width="12.5703125" style="388" customWidth="1"/>
    <col min="6" max="6" width="13.7109375" style="388" customWidth="1"/>
    <col min="7" max="7" width="11.42578125" style="388" customWidth="1"/>
    <col min="8" max="8" width="13.140625" style="388" customWidth="1"/>
    <col min="9" max="9" width="10.7109375" style="388" customWidth="1"/>
    <col min="10" max="10" width="12.28515625" style="388" customWidth="1"/>
    <col min="11" max="11" width="11.7109375" style="388" customWidth="1"/>
    <col min="12" max="12" width="14.5703125" style="388" customWidth="1"/>
    <col min="13" max="13" width="14.140625" style="551" customWidth="1"/>
    <col min="14" max="14" width="13" style="388" customWidth="1"/>
    <col min="15" max="15" width="10.85546875" style="388" customWidth="1"/>
    <col min="16" max="16" width="14.140625" style="388" customWidth="1"/>
    <col min="17" max="17" width="14.85546875" style="388" customWidth="1"/>
    <col min="18" max="18" width="9" style="552" customWidth="1"/>
    <col min="19" max="19" width="14.140625" style="388" customWidth="1"/>
    <col min="20" max="20" width="9.28515625" style="388" customWidth="1"/>
    <col min="21" max="21" width="9.85546875" style="388" customWidth="1"/>
    <col min="22" max="22" width="13.5703125" style="388" customWidth="1"/>
    <col min="23" max="23" width="10.7109375" style="388" customWidth="1"/>
    <col min="24" max="24" width="13.42578125" style="388" customWidth="1"/>
    <col min="25" max="25" width="8.5703125" style="388" customWidth="1"/>
    <col min="26" max="26" width="9.5703125" style="388" customWidth="1"/>
    <col min="27" max="27" width="11.42578125" style="388" customWidth="1"/>
    <col min="28" max="28" width="13.140625" style="388" customWidth="1"/>
    <col min="29" max="29" width="12.85546875" style="388" customWidth="1"/>
    <col min="30" max="30" width="8.28515625" style="388" customWidth="1"/>
    <col min="31" max="31" width="8.85546875" style="388" customWidth="1"/>
    <col min="32" max="32" width="13.5703125" style="388" customWidth="1"/>
    <col min="33" max="33" width="14.140625" style="388" customWidth="1"/>
    <col min="34" max="34" width="13" style="388" customWidth="1"/>
    <col min="35" max="35" width="13.140625" style="388" customWidth="1"/>
    <col min="36" max="36" width="7.42578125" style="388" customWidth="1"/>
    <col min="37" max="37" width="8.28515625" style="388" customWidth="1"/>
    <col min="38" max="154" width="9.140625" style="390"/>
    <col min="155" max="256" width="9.140625" style="388"/>
    <col min="257" max="257" width="0.140625" style="388" customWidth="1"/>
    <col min="258" max="258" width="23.5703125" style="388" customWidth="1"/>
    <col min="259" max="259" width="18.7109375" style="388" customWidth="1"/>
    <col min="260" max="260" width="14.42578125" style="388" customWidth="1"/>
    <col min="261" max="261" width="12.5703125" style="388" customWidth="1"/>
    <col min="262" max="262" width="13.7109375" style="388" customWidth="1"/>
    <col min="263" max="263" width="11.42578125" style="388" customWidth="1"/>
    <col min="264" max="264" width="13.140625" style="388" customWidth="1"/>
    <col min="265" max="265" width="10.7109375" style="388" customWidth="1"/>
    <col min="266" max="266" width="12.28515625" style="388" customWidth="1"/>
    <col min="267" max="267" width="11.7109375" style="388" customWidth="1"/>
    <col min="268" max="268" width="14.5703125" style="388" customWidth="1"/>
    <col min="269" max="269" width="14.140625" style="388" customWidth="1"/>
    <col min="270" max="270" width="13" style="388" customWidth="1"/>
    <col min="271" max="271" width="10.85546875" style="388" customWidth="1"/>
    <col min="272" max="272" width="14.140625" style="388" customWidth="1"/>
    <col min="273" max="273" width="14.85546875" style="388" customWidth="1"/>
    <col min="274" max="274" width="9" style="388" customWidth="1"/>
    <col min="275" max="275" width="14.140625" style="388" customWidth="1"/>
    <col min="276" max="276" width="9.28515625" style="388" customWidth="1"/>
    <col min="277" max="277" width="9.85546875" style="388" customWidth="1"/>
    <col min="278" max="278" width="13.5703125" style="388" customWidth="1"/>
    <col min="279" max="279" width="10.7109375" style="388" customWidth="1"/>
    <col min="280" max="280" width="13.42578125" style="388" customWidth="1"/>
    <col min="281" max="281" width="8.5703125" style="388" customWidth="1"/>
    <col min="282" max="282" width="9.5703125" style="388" customWidth="1"/>
    <col min="283" max="283" width="11.42578125" style="388" customWidth="1"/>
    <col min="284" max="284" width="13.140625" style="388" customWidth="1"/>
    <col min="285" max="285" width="12.85546875" style="388" customWidth="1"/>
    <col min="286" max="286" width="8.28515625" style="388" customWidth="1"/>
    <col min="287" max="287" width="8.85546875" style="388" customWidth="1"/>
    <col min="288" max="288" width="13.5703125" style="388" customWidth="1"/>
    <col min="289" max="289" width="14.140625" style="388" customWidth="1"/>
    <col min="290" max="290" width="13" style="388" customWidth="1"/>
    <col min="291" max="291" width="13.140625" style="388" customWidth="1"/>
    <col min="292" max="292" width="7.42578125" style="388" customWidth="1"/>
    <col min="293" max="293" width="8.28515625" style="388" customWidth="1"/>
    <col min="294" max="512" width="9.140625" style="388"/>
    <col min="513" max="513" width="0.140625" style="388" customWidth="1"/>
    <col min="514" max="514" width="23.5703125" style="388" customWidth="1"/>
    <col min="515" max="515" width="18.7109375" style="388" customWidth="1"/>
    <col min="516" max="516" width="14.42578125" style="388" customWidth="1"/>
    <col min="517" max="517" width="12.5703125" style="388" customWidth="1"/>
    <col min="518" max="518" width="13.7109375" style="388" customWidth="1"/>
    <col min="519" max="519" width="11.42578125" style="388" customWidth="1"/>
    <col min="520" max="520" width="13.140625" style="388" customWidth="1"/>
    <col min="521" max="521" width="10.7109375" style="388" customWidth="1"/>
    <col min="522" max="522" width="12.28515625" style="388" customWidth="1"/>
    <col min="523" max="523" width="11.7109375" style="388" customWidth="1"/>
    <col min="524" max="524" width="14.5703125" style="388" customWidth="1"/>
    <col min="525" max="525" width="14.140625" style="388" customWidth="1"/>
    <col min="526" max="526" width="13" style="388" customWidth="1"/>
    <col min="527" max="527" width="10.85546875" style="388" customWidth="1"/>
    <col min="528" max="528" width="14.140625" style="388" customWidth="1"/>
    <col min="529" max="529" width="14.85546875" style="388" customWidth="1"/>
    <col min="530" max="530" width="9" style="388" customWidth="1"/>
    <col min="531" max="531" width="14.140625" style="388" customWidth="1"/>
    <col min="532" max="532" width="9.28515625" style="388" customWidth="1"/>
    <col min="533" max="533" width="9.85546875" style="388" customWidth="1"/>
    <col min="534" max="534" width="13.5703125" style="388" customWidth="1"/>
    <col min="535" max="535" width="10.7109375" style="388" customWidth="1"/>
    <col min="536" max="536" width="13.42578125" style="388" customWidth="1"/>
    <col min="537" max="537" width="8.5703125" style="388" customWidth="1"/>
    <col min="538" max="538" width="9.5703125" style="388" customWidth="1"/>
    <col min="539" max="539" width="11.42578125" style="388" customWidth="1"/>
    <col min="540" max="540" width="13.140625" style="388" customWidth="1"/>
    <col min="541" max="541" width="12.85546875" style="388" customWidth="1"/>
    <col min="542" max="542" width="8.28515625" style="388" customWidth="1"/>
    <col min="543" max="543" width="8.85546875" style="388" customWidth="1"/>
    <col min="544" max="544" width="13.5703125" style="388" customWidth="1"/>
    <col min="545" max="545" width="14.140625" style="388" customWidth="1"/>
    <col min="546" max="546" width="13" style="388" customWidth="1"/>
    <col min="547" max="547" width="13.140625" style="388" customWidth="1"/>
    <col min="548" max="548" width="7.42578125" style="388" customWidth="1"/>
    <col min="549" max="549" width="8.28515625" style="388" customWidth="1"/>
    <col min="550" max="768" width="9.140625" style="388"/>
    <col min="769" max="769" width="0.140625" style="388" customWidth="1"/>
    <col min="770" max="770" width="23.5703125" style="388" customWidth="1"/>
    <col min="771" max="771" width="18.7109375" style="388" customWidth="1"/>
    <col min="772" max="772" width="14.42578125" style="388" customWidth="1"/>
    <col min="773" max="773" width="12.5703125" style="388" customWidth="1"/>
    <col min="774" max="774" width="13.7109375" style="388" customWidth="1"/>
    <col min="775" max="775" width="11.42578125" style="388" customWidth="1"/>
    <col min="776" max="776" width="13.140625" style="388" customWidth="1"/>
    <col min="777" max="777" width="10.7109375" style="388" customWidth="1"/>
    <col min="778" max="778" width="12.28515625" style="388" customWidth="1"/>
    <col min="779" max="779" width="11.7109375" style="388" customWidth="1"/>
    <col min="780" max="780" width="14.5703125" style="388" customWidth="1"/>
    <col min="781" max="781" width="14.140625" style="388" customWidth="1"/>
    <col min="782" max="782" width="13" style="388" customWidth="1"/>
    <col min="783" max="783" width="10.85546875" style="388" customWidth="1"/>
    <col min="784" max="784" width="14.140625" style="388" customWidth="1"/>
    <col min="785" max="785" width="14.85546875" style="388" customWidth="1"/>
    <col min="786" max="786" width="9" style="388" customWidth="1"/>
    <col min="787" max="787" width="14.140625" style="388" customWidth="1"/>
    <col min="788" max="788" width="9.28515625" style="388" customWidth="1"/>
    <col min="789" max="789" width="9.85546875" style="388" customWidth="1"/>
    <col min="790" max="790" width="13.5703125" style="388" customWidth="1"/>
    <col min="791" max="791" width="10.7109375" style="388" customWidth="1"/>
    <col min="792" max="792" width="13.42578125" style="388" customWidth="1"/>
    <col min="793" max="793" width="8.5703125" style="388" customWidth="1"/>
    <col min="794" max="794" width="9.5703125" style="388" customWidth="1"/>
    <col min="795" max="795" width="11.42578125" style="388" customWidth="1"/>
    <col min="796" max="796" width="13.140625" style="388" customWidth="1"/>
    <col min="797" max="797" width="12.85546875" style="388" customWidth="1"/>
    <col min="798" max="798" width="8.28515625" style="388" customWidth="1"/>
    <col min="799" max="799" width="8.85546875" style="388" customWidth="1"/>
    <col min="800" max="800" width="13.5703125" style="388" customWidth="1"/>
    <col min="801" max="801" width="14.140625" style="388" customWidth="1"/>
    <col min="802" max="802" width="13" style="388" customWidth="1"/>
    <col min="803" max="803" width="13.140625" style="388" customWidth="1"/>
    <col min="804" max="804" width="7.42578125" style="388" customWidth="1"/>
    <col min="805" max="805" width="8.28515625" style="388" customWidth="1"/>
    <col min="806" max="1024" width="9.140625" style="388"/>
    <col min="1025" max="1025" width="0.140625" style="388" customWidth="1"/>
    <col min="1026" max="1026" width="23.5703125" style="388" customWidth="1"/>
    <col min="1027" max="1027" width="18.7109375" style="388" customWidth="1"/>
    <col min="1028" max="1028" width="14.42578125" style="388" customWidth="1"/>
    <col min="1029" max="1029" width="12.5703125" style="388" customWidth="1"/>
    <col min="1030" max="1030" width="13.7109375" style="388" customWidth="1"/>
    <col min="1031" max="1031" width="11.42578125" style="388" customWidth="1"/>
    <col min="1032" max="1032" width="13.140625" style="388" customWidth="1"/>
    <col min="1033" max="1033" width="10.7109375" style="388" customWidth="1"/>
    <col min="1034" max="1034" width="12.28515625" style="388" customWidth="1"/>
    <col min="1035" max="1035" width="11.7109375" style="388" customWidth="1"/>
    <col min="1036" max="1036" width="14.5703125" style="388" customWidth="1"/>
    <col min="1037" max="1037" width="14.140625" style="388" customWidth="1"/>
    <col min="1038" max="1038" width="13" style="388" customWidth="1"/>
    <col min="1039" max="1039" width="10.85546875" style="388" customWidth="1"/>
    <col min="1040" max="1040" width="14.140625" style="388" customWidth="1"/>
    <col min="1041" max="1041" width="14.85546875" style="388" customWidth="1"/>
    <col min="1042" max="1042" width="9" style="388" customWidth="1"/>
    <col min="1043" max="1043" width="14.140625" style="388" customWidth="1"/>
    <col min="1044" max="1044" width="9.28515625" style="388" customWidth="1"/>
    <col min="1045" max="1045" width="9.85546875" style="388" customWidth="1"/>
    <col min="1046" max="1046" width="13.5703125" style="388" customWidth="1"/>
    <col min="1047" max="1047" width="10.7109375" style="388" customWidth="1"/>
    <col min="1048" max="1048" width="13.42578125" style="388" customWidth="1"/>
    <col min="1049" max="1049" width="8.5703125" style="388" customWidth="1"/>
    <col min="1050" max="1050" width="9.5703125" style="388" customWidth="1"/>
    <col min="1051" max="1051" width="11.42578125" style="388" customWidth="1"/>
    <col min="1052" max="1052" width="13.140625" style="388" customWidth="1"/>
    <col min="1053" max="1053" width="12.85546875" style="388" customWidth="1"/>
    <col min="1054" max="1054" width="8.28515625" style="388" customWidth="1"/>
    <col min="1055" max="1055" width="8.85546875" style="388" customWidth="1"/>
    <col min="1056" max="1056" width="13.5703125" style="388" customWidth="1"/>
    <col min="1057" max="1057" width="14.140625" style="388" customWidth="1"/>
    <col min="1058" max="1058" width="13" style="388" customWidth="1"/>
    <col min="1059" max="1059" width="13.140625" style="388" customWidth="1"/>
    <col min="1060" max="1060" width="7.42578125" style="388" customWidth="1"/>
    <col min="1061" max="1061" width="8.28515625" style="388" customWidth="1"/>
    <col min="1062" max="1280" width="9.140625" style="388"/>
    <col min="1281" max="1281" width="0.140625" style="388" customWidth="1"/>
    <col min="1282" max="1282" width="23.5703125" style="388" customWidth="1"/>
    <col min="1283" max="1283" width="18.7109375" style="388" customWidth="1"/>
    <col min="1284" max="1284" width="14.42578125" style="388" customWidth="1"/>
    <col min="1285" max="1285" width="12.5703125" style="388" customWidth="1"/>
    <col min="1286" max="1286" width="13.7109375" style="388" customWidth="1"/>
    <col min="1287" max="1287" width="11.42578125" style="388" customWidth="1"/>
    <col min="1288" max="1288" width="13.140625" style="388" customWidth="1"/>
    <col min="1289" max="1289" width="10.7109375" style="388" customWidth="1"/>
    <col min="1290" max="1290" width="12.28515625" style="388" customWidth="1"/>
    <col min="1291" max="1291" width="11.7109375" style="388" customWidth="1"/>
    <col min="1292" max="1292" width="14.5703125" style="388" customWidth="1"/>
    <col min="1293" max="1293" width="14.140625" style="388" customWidth="1"/>
    <col min="1294" max="1294" width="13" style="388" customWidth="1"/>
    <col min="1295" max="1295" width="10.85546875" style="388" customWidth="1"/>
    <col min="1296" max="1296" width="14.140625" style="388" customWidth="1"/>
    <col min="1297" max="1297" width="14.85546875" style="388" customWidth="1"/>
    <col min="1298" max="1298" width="9" style="388" customWidth="1"/>
    <col min="1299" max="1299" width="14.140625" style="388" customWidth="1"/>
    <col min="1300" max="1300" width="9.28515625" style="388" customWidth="1"/>
    <col min="1301" max="1301" width="9.85546875" style="388" customWidth="1"/>
    <col min="1302" max="1302" width="13.5703125" style="388" customWidth="1"/>
    <col min="1303" max="1303" width="10.7109375" style="388" customWidth="1"/>
    <col min="1304" max="1304" width="13.42578125" style="388" customWidth="1"/>
    <col min="1305" max="1305" width="8.5703125" style="388" customWidth="1"/>
    <col min="1306" max="1306" width="9.5703125" style="388" customWidth="1"/>
    <col min="1307" max="1307" width="11.42578125" style="388" customWidth="1"/>
    <col min="1308" max="1308" width="13.140625" style="388" customWidth="1"/>
    <col min="1309" max="1309" width="12.85546875" style="388" customWidth="1"/>
    <col min="1310" max="1310" width="8.28515625" style="388" customWidth="1"/>
    <col min="1311" max="1311" width="8.85546875" style="388" customWidth="1"/>
    <col min="1312" max="1312" width="13.5703125" style="388" customWidth="1"/>
    <col min="1313" max="1313" width="14.140625" style="388" customWidth="1"/>
    <col min="1314" max="1314" width="13" style="388" customWidth="1"/>
    <col min="1315" max="1315" width="13.140625" style="388" customWidth="1"/>
    <col min="1316" max="1316" width="7.42578125" style="388" customWidth="1"/>
    <col min="1317" max="1317" width="8.28515625" style="388" customWidth="1"/>
    <col min="1318" max="1536" width="9.140625" style="388"/>
    <col min="1537" max="1537" width="0.140625" style="388" customWidth="1"/>
    <col min="1538" max="1538" width="23.5703125" style="388" customWidth="1"/>
    <col min="1539" max="1539" width="18.7109375" style="388" customWidth="1"/>
    <col min="1540" max="1540" width="14.42578125" style="388" customWidth="1"/>
    <col min="1541" max="1541" width="12.5703125" style="388" customWidth="1"/>
    <col min="1542" max="1542" width="13.7109375" style="388" customWidth="1"/>
    <col min="1543" max="1543" width="11.42578125" style="388" customWidth="1"/>
    <col min="1544" max="1544" width="13.140625" style="388" customWidth="1"/>
    <col min="1545" max="1545" width="10.7109375" style="388" customWidth="1"/>
    <col min="1546" max="1546" width="12.28515625" style="388" customWidth="1"/>
    <col min="1547" max="1547" width="11.7109375" style="388" customWidth="1"/>
    <col min="1548" max="1548" width="14.5703125" style="388" customWidth="1"/>
    <col min="1549" max="1549" width="14.140625" style="388" customWidth="1"/>
    <col min="1550" max="1550" width="13" style="388" customWidth="1"/>
    <col min="1551" max="1551" width="10.85546875" style="388" customWidth="1"/>
    <col min="1552" max="1552" width="14.140625" style="388" customWidth="1"/>
    <col min="1553" max="1553" width="14.85546875" style="388" customWidth="1"/>
    <col min="1554" max="1554" width="9" style="388" customWidth="1"/>
    <col min="1555" max="1555" width="14.140625" style="388" customWidth="1"/>
    <col min="1556" max="1556" width="9.28515625" style="388" customWidth="1"/>
    <col min="1557" max="1557" width="9.85546875" style="388" customWidth="1"/>
    <col min="1558" max="1558" width="13.5703125" style="388" customWidth="1"/>
    <col min="1559" max="1559" width="10.7109375" style="388" customWidth="1"/>
    <col min="1560" max="1560" width="13.42578125" style="388" customWidth="1"/>
    <col min="1561" max="1561" width="8.5703125" style="388" customWidth="1"/>
    <col min="1562" max="1562" width="9.5703125" style="388" customWidth="1"/>
    <col min="1563" max="1563" width="11.42578125" style="388" customWidth="1"/>
    <col min="1564" max="1564" width="13.140625" style="388" customWidth="1"/>
    <col min="1565" max="1565" width="12.85546875" style="388" customWidth="1"/>
    <col min="1566" max="1566" width="8.28515625" style="388" customWidth="1"/>
    <col min="1567" max="1567" width="8.85546875" style="388" customWidth="1"/>
    <col min="1568" max="1568" width="13.5703125" style="388" customWidth="1"/>
    <col min="1569" max="1569" width="14.140625" style="388" customWidth="1"/>
    <col min="1570" max="1570" width="13" style="388" customWidth="1"/>
    <col min="1571" max="1571" width="13.140625" style="388" customWidth="1"/>
    <col min="1572" max="1572" width="7.42578125" style="388" customWidth="1"/>
    <col min="1573" max="1573" width="8.28515625" style="388" customWidth="1"/>
    <col min="1574" max="1792" width="9.140625" style="388"/>
    <col min="1793" max="1793" width="0.140625" style="388" customWidth="1"/>
    <col min="1794" max="1794" width="23.5703125" style="388" customWidth="1"/>
    <col min="1795" max="1795" width="18.7109375" style="388" customWidth="1"/>
    <col min="1796" max="1796" width="14.42578125" style="388" customWidth="1"/>
    <col min="1797" max="1797" width="12.5703125" style="388" customWidth="1"/>
    <col min="1798" max="1798" width="13.7109375" style="388" customWidth="1"/>
    <col min="1799" max="1799" width="11.42578125" style="388" customWidth="1"/>
    <col min="1800" max="1800" width="13.140625" style="388" customWidth="1"/>
    <col min="1801" max="1801" width="10.7109375" style="388" customWidth="1"/>
    <col min="1802" max="1802" width="12.28515625" style="388" customWidth="1"/>
    <col min="1803" max="1803" width="11.7109375" style="388" customWidth="1"/>
    <col min="1804" max="1804" width="14.5703125" style="388" customWidth="1"/>
    <col min="1805" max="1805" width="14.140625" style="388" customWidth="1"/>
    <col min="1806" max="1806" width="13" style="388" customWidth="1"/>
    <col min="1807" max="1807" width="10.85546875" style="388" customWidth="1"/>
    <col min="1808" max="1808" width="14.140625" style="388" customWidth="1"/>
    <col min="1809" max="1809" width="14.85546875" style="388" customWidth="1"/>
    <col min="1810" max="1810" width="9" style="388" customWidth="1"/>
    <col min="1811" max="1811" width="14.140625" style="388" customWidth="1"/>
    <col min="1812" max="1812" width="9.28515625" style="388" customWidth="1"/>
    <col min="1813" max="1813" width="9.85546875" style="388" customWidth="1"/>
    <col min="1814" max="1814" width="13.5703125" style="388" customWidth="1"/>
    <col min="1815" max="1815" width="10.7109375" style="388" customWidth="1"/>
    <col min="1816" max="1816" width="13.42578125" style="388" customWidth="1"/>
    <col min="1817" max="1817" width="8.5703125" style="388" customWidth="1"/>
    <col min="1818" max="1818" width="9.5703125" style="388" customWidth="1"/>
    <col min="1819" max="1819" width="11.42578125" style="388" customWidth="1"/>
    <col min="1820" max="1820" width="13.140625" style="388" customWidth="1"/>
    <col min="1821" max="1821" width="12.85546875" style="388" customWidth="1"/>
    <col min="1822" max="1822" width="8.28515625" style="388" customWidth="1"/>
    <col min="1823" max="1823" width="8.85546875" style="388" customWidth="1"/>
    <col min="1824" max="1824" width="13.5703125" style="388" customWidth="1"/>
    <col min="1825" max="1825" width="14.140625" style="388" customWidth="1"/>
    <col min="1826" max="1826" width="13" style="388" customWidth="1"/>
    <col min="1827" max="1827" width="13.140625" style="388" customWidth="1"/>
    <col min="1828" max="1828" width="7.42578125" style="388" customWidth="1"/>
    <col min="1829" max="1829" width="8.28515625" style="388" customWidth="1"/>
    <col min="1830" max="2048" width="9.140625" style="388"/>
    <col min="2049" max="2049" width="0.140625" style="388" customWidth="1"/>
    <col min="2050" max="2050" width="23.5703125" style="388" customWidth="1"/>
    <col min="2051" max="2051" width="18.7109375" style="388" customWidth="1"/>
    <col min="2052" max="2052" width="14.42578125" style="388" customWidth="1"/>
    <col min="2053" max="2053" width="12.5703125" style="388" customWidth="1"/>
    <col min="2054" max="2054" width="13.7109375" style="388" customWidth="1"/>
    <col min="2055" max="2055" width="11.42578125" style="388" customWidth="1"/>
    <col min="2056" max="2056" width="13.140625" style="388" customWidth="1"/>
    <col min="2057" max="2057" width="10.7109375" style="388" customWidth="1"/>
    <col min="2058" max="2058" width="12.28515625" style="388" customWidth="1"/>
    <col min="2059" max="2059" width="11.7109375" style="388" customWidth="1"/>
    <col min="2060" max="2060" width="14.5703125" style="388" customWidth="1"/>
    <col min="2061" max="2061" width="14.140625" style="388" customWidth="1"/>
    <col min="2062" max="2062" width="13" style="388" customWidth="1"/>
    <col min="2063" max="2063" width="10.85546875" style="388" customWidth="1"/>
    <col min="2064" max="2064" width="14.140625" style="388" customWidth="1"/>
    <col min="2065" max="2065" width="14.85546875" style="388" customWidth="1"/>
    <col min="2066" max="2066" width="9" style="388" customWidth="1"/>
    <col min="2067" max="2067" width="14.140625" style="388" customWidth="1"/>
    <col min="2068" max="2068" width="9.28515625" style="388" customWidth="1"/>
    <col min="2069" max="2069" width="9.85546875" style="388" customWidth="1"/>
    <col min="2070" max="2070" width="13.5703125" style="388" customWidth="1"/>
    <col min="2071" max="2071" width="10.7109375" style="388" customWidth="1"/>
    <col min="2072" max="2072" width="13.42578125" style="388" customWidth="1"/>
    <col min="2073" max="2073" width="8.5703125" style="388" customWidth="1"/>
    <col min="2074" max="2074" width="9.5703125" style="388" customWidth="1"/>
    <col min="2075" max="2075" width="11.42578125" style="388" customWidth="1"/>
    <col min="2076" max="2076" width="13.140625" style="388" customWidth="1"/>
    <col min="2077" max="2077" width="12.85546875" style="388" customWidth="1"/>
    <col min="2078" max="2078" width="8.28515625" style="388" customWidth="1"/>
    <col min="2079" max="2079" width="8.85546875" style="388" customWidth="1"/>
    <col min="2080" max="2080" width="13.5703125" style="388" customWidth="1"/>
    <col min="2081" max="2081" width="14.140625" style="388" customWidth="1"/>
    <col min="2082" max="2082" width="13" style="388" customWidth="1"/>
    <col min="2083" max="2083" width="13.140625" style="388" customWidth="1"/>
    <col min="2084" max="2084" width="7.42578125" style="388" customWidth="1"/>
    <col min="2085" max="2085" width="8.28515625" style="388" customWidth="1"/>
    <col min="2086" max="2304" width="9.140625" style="388"/>
    <col min="2305" max="2305" width="0.140625" style="388" customWidth="1"/>
    <col min="2306" max="2306" width="23.5703125" style="388" customWidth="1"/>
    <col min="2307" max="2307" width="18.7109375" style="388" customWidth="1"/>
    <col min="2308" max="2308" width="14.42578125" style="388" customWidth="1"/>
    <col min="2309" max="2309" width="12.5703125" style="388" customWidth="1"/>
    <col min="2310" max="2310" width="13.7109375" style="388" customWidth="1"/>
    <col min="2311" max="2311" width="11.42578125" style="388" customWidth="1"/>
    <col min="2312" max="2312" width="13.140625" style="388" customWidth="1"/>
    <col min="2313" max="2313" width="10.7109375" style="388" customWidth="1"/>
    <col min="2314" max="2314" width="12.28515625" style="388" customWidth="1"/>
    <col min="2315" max="2315" width="11.7109375" style="388" customWidth="1"/>
    <col min="2316" max="2316" width="14.5703125" style="388" customWidth="1"/>
    <col min="2317" max="2317" width="14.140625" style="388" customWidth="1"/>
    <col min="2318" max="2318" width="13" style="388" customWidth="1"/>
    <col min="2319" max="2319" width="10.85546875" style="388" customWidth="1"/>
    <col min="2320" max="2320" width="14.140625" style="388" customWidth="1"/>
    <col min="2321" max="2321" width="14.85546875" style="388" customWidth="1"/>
    <col min="2322" max="2322" width="9" style="388" customWidth="1"/>
    <col min="2323" max="2323" width="14.140625" style="388" customWidth="1"/>
    <col min="2324" max="2324" width="9.28515625" style="388" customWidth="1"/>
    <col min="2325" max="2325" width="9.85546875" style="388" customWidth="1"/>
    <col min="2326" max="2326" width="13.5703125" style="388" customWidth="1"/>
    <col min="2327" max="2327" width="10.7109375" style="388" customWidth="1"/>
    <col min="2328" max="2328" width="13.42578125" style="388" customWidth="1"/>
    <col min="2329" max="2329" width="8.5703125" style="388" customWidth="1"/>
    <col min="2330" max="2330" width="9.5703125" style="388" customWidth="1"/>
    <col min="2331" max="2331" width="11.42578125" style="388" customWidth="1"/>
    <col min="2332" max="2332" width="13.140625" style="388" customWidth="1"/>
    <col min="2333" max="2333" width="12.85546875" style="388" customWidth="1"/>
    <col min="2334" max="2334" width="8.28515625" style="388" customWidth="1"/>
    <col min="2335" max="2335" width="8.85546875" style="388" customWidth="1"/>
    <col min="2336" max="2336" width="13.5703125" style="388" customWidth="1"/>
    <col min="2337" max="2337" width="14.140625" style="388" customWidth="1"/>
    <col min="2338" max="2338" width="13" style="388" customWidth="1"/>
    <col min="2339" max="2339" width="13.140625" style="388" customWidth="1"/>
    <col min="2340" max="2340" width="7.42578125" style="388" customWidth="1"/>
    <col min="2341" max="2341" width="8.28515625" style="388" customWidth="1"/>
    <col min="2342" max="2560" width="9.140625" style="388"/>
    <col min="2561" max="2561" width="0.140625" style="388" customWidth="1"/>
    <col min="2562" max="2562" width="23.5703125" style="388" customWidth="1"/>
    <col min="2563" max="2563" width="18.7109375" style="388" customWidth="1"/>
    <col min="2564" max="2564" width="14.42578125" style="388" customWidth="1"/>
    <col min="2565" max="2565" width="12.5703125" style="388" customWidth="1"/>
    <col min="2566" max="2566" width="13.7109375" style="388" customWidth="1"/>
    <col min="2567" max="2567" width="11.42578125" style="388" customWidth="1"/>
    <col min="2568" max="2568" width="13.140625" style="388" customWidth="1"/>
    <col min="2569" max="2569" width="10.7109375" style="388" customWidth="1"/>
    <col min="2570" max="2570" width="12.28515625" style="388" customWidth="1"/>
    <col min="2571" max="2571" width="11.7109375" style="388" customWidth="1"/>
    <col min="2572" max="2572" width="14.5703125" style="388" customWidth="1"/>
    <col min="2573" max="2573" width="14.140625" style="388" customWidth="1"/>
    <col min="2574" max="2574" width="13" style="388" customWidth="1"/>
    <col min="2575" max="2575" width="10.85546875" style="388" customWidth="1"/>
    <col min="2576" max="2576" width="14.140625" style="388" customWidth="1"/>
    <col min="2577" max="2577" width="14.85546875" style="388" customWidth="1"/>
    <col min="2578" max="2578" width="9" style="388" customWidth="1"/>
    <col min="2579" max="2579" width="14.140625" style="388" customWidth="1"/>
    <col min="2580" max="2580" width="9.28515625" style="388" customWidth="1"/>
    <col min="2581" max="2581" width="9.85546875" style="388" customWidth="1"/>
    <col min="2582" max="2582" width="13.5703125" style="388" customWidth="1"/>
    <col min="2583" max="2583" width="10.7109375" style="388" customWidth="1"/>
    <col min="2584" max="2584" width="13.42578125" style="388" customWidth="1"/>
    <col min="2585" max="2585" width="8.5703125" style="388" customWidth="1"/>
    <col min="2586" max="2586" width="9.5703125" style="388" customWidth="1"/>
    <col min="2587" max="2587" width="11.42578125" style="388" customWidth="1"/>
    <col min="2588" max="2588" width="13.140625" style="388" customWidth="1"/>
    <col min="2589" max="2589" width="12.85546875" style="388" customWidth="1"/>
    <col min="2590" max="2590" width="8.28515625" style="388" customWidth="1"/>
    <col min="2591" max="2591" width="8.85546875" style="388" customWidth="1"/>
    <col min="2592" max="2592" width="13.5703125" style="388" customWidth="1"/>
    <col min="2593" max="2593" width="14.140625" style="388" customWidth="1"/>
    <col min="2594" max="2594" width="13" style="388" customWidth="1"/>
    <col min="2595" max="2595" width="13.140625" style="388" customWidth="1"/>
    <col min="2596" max="2596" width="7.42578125" style="388" customWidth="1"/>
    <col min="2597" max="2597" width="8.28515625" style="388" customWidth="1"/>
    <col min="2598" max="2816" width="9.140625" style="388"/>
    <col min="2817" max="2817" width="0.140625" style="388" customWidth="1"/>
    <col min="2818" max="2818" width="23.5703125" style="388" customWidth="1"/>
    <col min="2819" max="2819" width="18.7109375" style="388" customWidth="1"/>
    <col min="2820" max="2820" width="14.42578125" style="388" customWidth="1"/>
    <col min="2821" max="2821" width="12.5703125" style="388" customWidth="1"/>
    <col min="2822" max="2822" width="13.7109375" style="388" customWidth="1"/>
    <col min="2823" max="2823" width="11.42578125" style="388" customWidth="1"/>
    <col min="2824" max="2824" width="13.140625" style="388" customWidth="1"/>
    <col min="2825" max="2825" width="10.7109375" style="388" customWidth="1"/>
    <col min="2826" max="2826" width="12.28515625" style="388" customWidth="1"/>
    <col min="2827" max="2827" width="11.7109375" style="388" customWidth="1"/>
    <col min="2828" max="2828" width="14.5703125" style="388" customWidth="1"/>
    <col min="2829" max="2829" width="14.140625" style="388" customWidth="1"/>
    <col min="2830" max="2830" width="13" style="388" customWidth="1"/>
    <col min="2831" max="2831" width="10.85546875" style="388" customWidth="1"/>
    <col min="2832" max="2832" width="14.140625" style="388" customWidth="1"/>
    <col min="2833" max="2833" width="14.85546875" style="388" customWidth="1"/>
    <col min="2834" max="2834" width="9" style="388" customWidth="1"/>
    <col min="2835" max="2835" width="14.140625" style="388" customWidth="1"/>
    <col min="2836" max="2836" width="9.28515625" style="388" customWidth="1"/>
    <col min="2837" max="2837" width="9.85546875" style="388" customWidth="1"/>
    <col min="2838" max="2838" width="13.5703125" style="388" customWidth="1"/>
    <col min="2839" max="2839" width="10.7109375" style="388" customWidth="1"/>
    <col min="2840" max="2840" width="13.42578125" style="388" customWidth="1"/>
    <col min="2841" max="2841" width="8.5703125" style="388" customWidth="1"/>
    <col min="2842" max="2842" width="9.5703125" style="388" customWidth="1"/>
    <col min="2843" max="2843" width="11.42578125" style="388" customWidth="1"/>
    <col min="2844" max="2844" width="13.140625" style="388" customWidth="1"/>
    <col min="2845" max="2845" width="12.85546875" style="388" customWidth="1"/>
    <col min="2846" max="2846" width="8.28515625" style="388" customWidth="1"/>
    <col min="2847" max="2847" width="8.85546875" style="388" customWidth="1"/>
    <col min="2848" max="2848" width="13.5703125" style="388" customWidth="1"/>
    <col min="2849" max="2849" width="14.140625" style="388" customWidth="1"/>
    <col min="2850" max="2850" width="13" style="388" customWidth="1"/>
    <col min="2851" max="2851" width="13.140625" style="388" customWidth="1"/>
    <col min="2852" max="2852" width="7.42578125" style="388" customWidth="1"/>
    <col min="2853" max="2853" width="8.28515625" style="388" customWidth="1"/>
    <col min="2854" max="3072" width="9.140625" style="388"/>
    <col min="3073" max="3073" width="0.140625" style="388" customWidth="1"/>
    <col min="3074" max="3074" width="23.5703125" style="388" customWidth="1"/>
    <col min="3075" max="3075" width="18.7109375" style="388" customWidth="1"/>
    <col min="3076" max="3076" width="14.42578125" style="388" customWidth="1"/>
    <col min="3077" max="3077" width="12.5703125" style="388" customWidth="1"/>
    <col min="3078" max="3078" width="13.7109375" style="388" customWidth="1"/>
    <col min="3079" max="3079" width="11.42578125" style="388" customWidth="1"/>
    <col min="3080" max="3080" width="13.140625" style="388" customWidth="1"/>
    <col min="3081" max="3081" width="10.7109375" style="388" customWidth="1"/>
    <col min="3082" max="3082" width="12.28515625" style="388" customWidth="1"/>
    <col min="3083" max="3083" width="11.7109375" style="388" customWidth="1"/>
    <col min="3084" max="3084" width="14.5703125" style="388" customWidth="1"/>
    <col min="3085" max="3085" width="14.140625" style="388" customWidth="1"/>
    <col min="3086" max="3086" width="13" style="388" customWidth="1"/>
    <col min="3087" max="3087" width="10.85546875" style="388" customWidth="1"/>
    <col min="3088" max="3088" width="14.140625" style="388" customWidth="1"/>
    <col min="3089" max="3089" width="14.85546875" style="388" customWidth="1"/>
    <col min="3090" max="3090" width="9" style="388" customWidth="1"/>
    <col min="3091" max="3091" width="14.140625" style="388" customWidth="1"/>
    <col min="3092" max="3092" width="9.28515625" style="388" customWidth="1"/>
    <col min="3093" max="3093" width="9.85546875" style="388" customWidth="1"/>
    <col min="3094" max="3094" width="13.5703125" style="388" customWidth="1"/>
    <col min="3095" max="3095" width="10.7109375" style="388" customWidth="1"/>
    <col min="3096" max="3096" width="13.42578125" style="388" customWidth="1"/>
    <col min="3097" max="3097" width="8.5703125" style="388" customWidth="1"/>
    <col min="3098" max="3098" width="9.5703125" style="388" customWidth="1"/>
    <col min="3099" max="3099" width="11.42578125" style="388" customWidth="1"/>
    <col min="3100" max="3100" width="13.140625" style="388" customWidth="1"/>
    <col min="3101" max="3101" width="12.85546875" style="388" customWidth="1"/>
    <col min="3102" max="3102" width="8.28515625" style="388" customWidth="1"/>
    <col min="3103" max="3103" width="8.85546875" style="388" customWidth="1"/>
    <col min="3104" max="3104" width="13.5703125" style="388" customWidth="1"/>
    <col min="3105" max="3105" width="14.140625" style="388" customWidth="1"/>
    <col min="3106" max="3106" width="13" style="388" customWidth="1"/>
    <col min="3107" max="3107" width="13.140625" style="388" customWidth="1"/>
    <col min="3108" max="3108" width="7.42578125" style="388" customWidth="1"/>
    <col min="3109" max="3109" width="8.28515625" style="388" customWidth="1"/>
    <col min="3110" max="3328" width="9.140625" style="388"/>
    <col min="3329" max="3329" width="0.140625" style="388" customWidth="1"/>
    <col min="3330" max="3330" width="23.5703125" style="388" customWidth="1"/>
    <col min="3331" max="3331" width="18.7109375" style="388" customWidth="1"/>
    <col min="3332" max="3332" width="14.42578125" style="388" customWidth="1"/>
    <col min="3333" max="3333" width="12.5703125" style="388" customWidth="1"/>
    <col min="3334" max="3334" width="13.7109375" style="388" customWidth="1"/>
    <col min="3335" max="3335" width="11.42578125" style="388" customWidth="1"/>
    <col min="3336" max="3336" width="13.140625" style="388" customWidth="1"/>
    <col min="3337" max="3337" width="10.7109375" style="388" customWidth="1"/>
    <col min="3338" max="3338" width="12.28515625" style="388" customWidth="1"/>
    <col min="3339" max="3339" width="11.7109375" style="388" customWidth="1"/>
    <col min="3340" max="3340" width="14.5703125" style="388" customWidth="1"/>
    <col min="3341" max="3341" width="14.140625" style="388" customWidth="1"/>
    <col min="3342" max="3342" width="13" style="388" customWidth="1"/>
    <col min="3343" max="3343" width="10.85546875" style="388" customWidth="1"/>
    <col min="3344" max="3344" width="14.140625" style="388" customWidth="1"/>
    <col min="3345" max="3345" width="14.85546875" style="388" customWidth="1"/>
    <col min="3346" max="3346" width="9" style="388" customWidth="1"/>
    <col min="3347" max="3347" width="14.140625" style="388" customWidth="1"/>
    <col min="3348" max="3348" width="9.28515625" style="388" customWidth="1"/>
    <col min="3349" max="3349" width="9.85546875" style="388" customWidth="1"/>
    <col min="3350" max="3350" width="13.5703125" style="388" customWidth="1"/>
    <col min="3351" max="3351" width="10.7109375" style="388" customWidth="1"/>
    <col min="3352" max="3352" width="13.42578125" style="388" customWidth="1"/>
    <col min="3353" max="3353" width="8.5703125" style="388" customWidth="1"/>
    <col min="3354" max="3354" width="9.5703125" style="388" customWidth="1"/>
    <col min="3355" max="3355" width="11.42578125" style="388" customWidth="1"/>
    <col min="3356" max="3356" width="13.140625" style="388" customWidth="1"/>
    <col min="3357" max="3357" width="12.85546875" style="388" customWidth="1"/>
    <col min="3358" max="3358" width="8.28515625" style="388" customWidth="1"/>
    <col min="3359" max="3359" width="8.85546875" style="388" customWidth="1"/>
    <col min="3360" max="3360" width="13.5703125" style="388" customWidth="1"/>
    <col min="3361" max="3361" width="14.140625" style="388" customWidth="1"/>
    <col min="3362" max="3362" width="13" style="388" customWidth="1"/>
    <col min="3363" max="3363" width="13.140625" style="388" customWidth="1"/>
    <col min="3364" max="3364" width="7.42578125" style="388" customWidth="1"/>
    <col min="3365" max="3365" width="8.28515625" style="388" customWidth="1"/>
    <col min="3366" max="3584" width="9.140625" style="388"/>
    <col min="3585" max="3585" width="0.140625" style="388" customWidth="1"/>
    <col min="3586" max="3586" width="23.5703125" style="388" customWidth="1"/>
    <col min="3587" max="3587" width="18.7109375" style="388" customWidth="1"/>
    <col min="3588" max="3588" width="14.42578125" style="388" customWidth="1"/>
    <col min="3589" max="3589" width="12.5703125" style="388" customWidth="1"/>
    <col min="3590" max="3590" width="13.7109375" style="388" customWidth="1"/>
    <col min="3591" max="3591" width="11.42578125" style="388" customWidth="1"/>
    <col min="3592" max="3592" width="13.140625" style="388" customWidth="1"/>
    <col min="3593" max="3593" width="10.7109375" style="388" customWidth="1"/>
    <col min="3594" max="3594" width="12.28515625" style="388" customWidth="1"/>
    <col min="3595" max="3595" width="11.7109375" style="388" customWidth="1"/>
    <col min="3596" max="3596" width="14.5703125" style="388" customWidth="1"/>
    <col min="3597" max="3597" width="14.140625" style="388" customWidth="1"/>
    <col min="3598" max="3598" width="13" style="388" customWidth="1"/>
    <col min="3599" max="3599" width="10.85546875" style="388" customWidth="1"/>
    <col min="3600" max="3600" width="14.140625" style="388" customWidth="1"/>
    <col min="3601" max="3601" width="14.85546875" style="388" customWidth="1"/>
    <col min="3602" max="3602" width="9" style="388" customWidth="1"/>
    <col min="3603" max="3603" width="14.140625" style="388" customWidth="1"/>
    <col min="3604" max="3604" width="9.28515625" style="388" customWidth="1"/>
    <col min="3605" max="3605" width="9.85546875" style="388" customWidth="1"/>
    <col min="3606" max="3606" width="13.5703125" style="388" customWidth="1"/>
    <col min="3607" max="3607" width="10.7109375" style="388" customWidth="1"/>
    <col min="3608" max="3608" width="13.42578125" style="388" customWidth="1"/>
    <col min="3609" max="3609" width="8.5703125" style="388" customWidth="1"/>
    <col min="3610" max="3610" width="9.5703125" style="388" customWidth="1"/>
    <col min="3611" max="3611" width="11.42578125" style="388" customWidth="1"/>
    <col min="3612" max="3612" width="13.140625" style="388" customWidth="1"/>
    <col min="3613" max="3613" width="12.85546875" style="388" customWidth="1"/>
    <col min="3614" max="3614" width="8.28515625" style="388" customWidth="1"/>
    <col min="3615" max="3615" width="8.85546875" style="388" customWidth="1"/>
    <col min="3616" max="3616" width="13.5703125" style="388" customWidth="1"/>
    <col min="3617" max="3617" width="14.140625" style="388" customWidth="1"/>
    <col min="3618" max="3618" width="13" style="388" customWidth="1"/>
    <col min="3619" max="3619" width="13.140625" style="388" customWidth="1"/>
    <col min="3620" max="3620" width="7.42578125" style="388" customWidth="1"/>
    <col min="3621" max="3621" width="8.28515625" style="388" customWidth="1"/>
    <col min="3622" max="3840" width="9.140625" style="388"/>
    <col min="3841" max="3841" width="0.140625" style="388" customWidth="1"/>
    <col min="3842" max="3842" width="23.5703125" style="388" customWidth="1"/>
    <col min="3843" max="3843" width="18.7109375" style="388" customWidth="1"/>
    <col min="3844" max="3844" width="14.42578125" style="388" customWidth="1"/>
    <col min="3845" max="3845" width="12.5703125" style="388" customWidth="1"/>
    <col min="3846" max="3846" width="13.7109375" style="388" customWidth="1"/>
    <col min="3847" max="3847" width="11.42578125" style="388" customWidth="1"/>
    <col min="3848" max="3848" width="13.140625" style="388" customWidth="1"/>
    <col min="3849" max="3849" width="10.7109375" style="388" customWidth="1"/>
    <col min="3850" max="3850" width="12.28515625" style="388" customWidth="1"/>
    <col min="3851" max="3851" width="11.7109375" style="388" customWidth="1"/>
    <col min="3852" max="3852" width="14.5703125" style="388" customWidth="1"/>
    <col min="3853" max="3853" width="14.140625" style="388" customWidth="1"/>
    <col min="3854" max="3854" width="13" style="388" customWidth="1"/>
    <col min="3855" max="3855" width="10.85546875" style="388" customWidth="1"/>
    <col min="3856" max="3856" width="14.140625" style="388" customWidth="1"/>
    <col min="3857" max="3857" width="14.85546875" style="388" customWidth="1"/>
    <col min="3858" max="3858" width="9" style="388" customWidth="1"/>
    <col min="3859" max="3859" width="14.140625" style="388" customWidth="1"/>
    <col min="3860" max="3860" width="9.28515625" style="388" customWidth="1"/>
    <col min="3861" max="3861" width="9.85546875" style="388" customWidth="1"/>
    <col min="3862" max="3862" width="13.5703125" style="388" customWidth="1"/>
    <col min="3863" max="3863" width="10.7109375" style="388" customWidth="1"/>
    <col min="3864" max="3864" width="13.42578125" style="388" customWidth="1"/>
    <col min="3865" max="3865" width="8.5703125" style="388" customWidth="1"/>
    <col min="3866" max="3866" width="9.5703125" style="388" customWidth="1"/>
    <col min="3867" max="3867" width="11.42578125" style="388" customWidth="1"/>
    <col min="3868" max="3868" width="13.140625" style="388" customWidth="1"/>
    <col min="3869" max="3869" width="12.85546875" style="388" customWidth="1"/>
    <col min="3870" max="3870" width="8.28515625" style="388" customWidth="1"/>
    <col min="3871" max="3871" width="8.85546875" style="388" customWidth="1"/>
    <col min="3872" max="3872" width="13.5703125" style="388" customWidth="1"/>
    <col min="3873" max="3873" width="14.140625" style="388" customWidth="1"/>
    <col min="3874" max="3874" width="13" style="388" customWidth="1"/>
    <col min="3875" max="3875" width="13.140625" style="388" customWidth="1"/>
    <col min="3876" max="3876" width="7.42578125" style="388" customWidth="1"/>
    <col min="3877" max="3877" width="8.28515625" style="388" customWidth="1"/>
    <col min="3878" max="4096" width="9.140625" style="388"/>
    <col min="4097" max="4097" width="0.140625" style="388" customWidth="1"/>
    <col min="4098" max="4098" width="23.5703125" style="388" customWidth="1"/>
    <col min="4099" max="4099" width="18.7109375" style="388" customWidth="1"/>
    <col min="4100" max="4100" width="14.42578125" style="388" customWidth="1"/>
    <col min="4101" max="4101" width="12.5703125" style="388" customWidth="1"/>
    <col min="4102" max="4102" width="13.7109375" style="388" customWidth="1"/>
    <col min="4103" max="4103" width="11.42578125" style="388" customWidth="1"/>
    <col min="4104" max="4104" width="13.140625" style="388" customWidth="1"/>
    <col min="4105" max="4105" width="10.7109375" style="388" customWidth="1"/>
    <col min="4106" max="4106" width="12.28515625" style="388" customWidth="1"/>
    <col min="4107" max="4107" width="11.7109375" style="388" customWidth="1"/>
    <col min="4108" max="4108" width="14.5703125" style="388" customWidth="1"/>
    <col min="4109" max="4109" width="14.140625" style="388" customWidth="1"/>
    <col min="4110" max="4110" width="13" style="388" customWidth="1"/>
    <col min="4111" max="4111" width="10.85546875" style="388" customWidth="1"/>
    <col min="4112" max="4112" width="14.140625" style="388" customWidth="1"/>
    <col min="4113" max="4113" width="14.85546875" style="388" customWidth="1"/>
    <col min="4114" max="4114" width="9" style="388" customWidth="1"/>
    <col min="4115" max="4115" width="14.140625" style="388" customWidth="1"/>
    <col min="4116" max="4116" width="9.28515625" style="388" customWidth="1"/>
    <col min="4117" max="4117" width="9.85546875" style="388" customWidth="1"/>
    <col min="4118" max="4118" width="13.5703125" style="388" customWidth="1"/>
    <col min="4119" max="4119" width="10.7109375" style="388" customWidth="1"/>
    <col min="4120" max="4120" width="13.42578125" style="388" customWidth="1"/>
    <col min="4121" max="4121" width="8.5703125" style="388" customWidth="1"/>
    <col min="4122" max="4122" width="9.5703125" style="388" customWidth="1"/>
    <col min="4123" max="4123" width="11.42578125" style="388" customWidth="1"/>
    <col min="4124" max="4124" width="13.140625" style="388" customWidth="1"/>
    <col min="4125" max="4125" width="12.85546875" style="388" customWidth="1"/>
    <col min="4126" max="4126" width="8.28515625" style="388" customWidth="1"/>
    <col min="4127" max="4127" width="8.85546875" style="388" customWidth="1"/>
    <col min="4128" max="4128" width="13.5703125" style="388" customWidth="1"/>
    <col min="4129" max="4129" width="14.140625" style="388" customWidth="1"/>
    <col min="4130" max="4130" width="13" style="388" customWidth="1"/>
    <col min="4131" max="4131" width="13.140625" style="388" customWidth="1"/>
    <col min="4132" max="4132" width="7.42578125" style="388" customWidth="1"/>
    <col min="4133" max="4133" width="8.28515625" style="388" customWidth="1"/>
    <col min="4134" max="4352" width="9.140625" style="388"/>
    <col min="4353" max="4353" width="0.140625" style="388" customWidth="1"/>
    <col min="4354" max="4354" width="23.5703125" style="388" customWidth="1"/>
    <col min="4355" max="4355" width="18.7109375" style="388" customWidth="1"/>
    <col min="4356" max="4356" width="14.42578125" style="388" customWidth="1"/>
    <col min="4357" max="4357" width="12.5703125" style="388" customWidth="1"/>
    <col min="4358" max="4358" width="13.7109375" style="388" customWidth="1"/>
    <col min="4359" max="4359" width="11.42578125" style="388" customWidth="1"/>
    <col min="4360" max="4360" width="13.140625" style="388" customWidth="1"/>
    <col min="4361" max="4361" width="10.7109375" style="388" customWidth="1"/>
    <col min="4362" max="4362" width="12.28515625" style="388" customWidth="1"/>
    <col min="4363" max="4363" width="11.7109375" style="388" customWidth="1"/>
    <col min="4364" max="4364" width="14.5703125" style="388" customWidth="1"/>
    <col min="4365" max="4365" width="14.140625" style="388" customWidth="1"/>
    <col min="4366" max="4366" width="13" style="388" customWidth="1"/>
    <col min="4367" max="4367" width="10.85546875" style="388" customWidth="1"/>
    <col min="4368" max="4368" width="14.140625" style="388" customWidth="1"/>
    <col min="4369" max="4369" width="14.85546875" style="388" customWidth="1"/>
    <col min="4370" max="4370" width="9" style="388" customWidth="1"/>
    <col min="4371" max="4371" width="14.140625" style="388" customWidth="1"/>
    <col min="4372" max="4372" width="9.28515625" style="388" customWidth="1"/>
    <col min="4373" max="4373" width="9.85546875" style="388" customWidth="1"/>
    <col min="4374" max="4374" width="13.5703125" style="388" customWidth="1"/>
    <col min="4375" max="4375" width="10.7109375" style="388" customWidth="1"/>
    <col min="4376" max="4376" width="13.42578125" style="388" customWidth="1"/>
    <col min="4377" max="4377" width="8.5703125" style="388" customWidth="1"/>
    <col min="4378" max="4378" width="9.5703125" style="388" customWidth="1"/>
    <col min="4379" max="4379" width="11.42578125" style="388" customWidth="1"/>
    <col min="4380" max="4380" width="13.140625" style="388" customWidth="1"/>
    <col min="4381" max="4381" width="12.85546875" style="388" customWidth="1"/>
    <col min="4382" max="4382" width="8.28515625" style="388" customWidth="1"/>
    <col min="4383" max="4383" width="8.85546875" style="388" customWidth="1"/>
    <col min="4384" max="4384" width="13.5703125" style="388" customWidth="1"/>
    <col min="4385" max="4385" width="14.140625" style="388" customWidth="1"/>
    <col min="4386" max="4386" width="13" style="388" customWidth="1"/>
    <col min="4387" max="4387" width="13.140625" style="388" customWidth="1"/>
    <col min="4388" max="4388" width="7.42578125" style="388" customWidth="1"/>
    <col min="4389" max="4389" width="8.28515625" style="388" customWidth="1"/>
    <col min="4390" max="4608" width="9.140625" style="388"/>
    <col min="4609" max="4609" width="0.140625" style="388" customWidth="1"/>
    <col min="4610" max="4610" width="23.5703125" style="388" customWidth="1"/>
    <col min="4611" max="4611" width="18.7109375" style="388" customWidth="1"/>
    <col min="4612" max="4612" width="14.42578125" style="388" customWidth="1"/>
    <col min="4613" max="4613" width="12.5703125" style="388" customWidth="1"/>
    <col min="4614" max="4614" width="13.7109375" style="388" customWidth="1"/>
    <col min="4615" max="4615" width="11.42578125" style="388" customWidth="1"/>
    <col min="4616" max="4616" width="13.140625" style="388" customWidth="1"/>
    <col min="4617" max="4617" width="10.7109375" style="388" customWidth="1"/>
    <col min="4618" max="4618" width="12.28515625" style="388" customWidth="1"/>
    <col min="4619" max="4619" width="11.7109375" style="388" customWidth="1"/>
    <col min="4620" max="4620" width="14.5703125" style="388" customWidth="1"/>
    <col min="4621" max="4621" width="14.140625" style="388" customWidth="1"/>
    <col min="4622" max="4622" width="13" style="388" customWidth="1"/>
    <col min="4623" max="4623" width="10.85546875" style="388" customWidth="1"/>
    <col min="4624" max="4624" width="14.140625" style="388" customWidth="1"/>
    <col min="4625" max="4625" width="14.85546875" style="388" customWidth="1"/>
    <col min="4626" max="4626" width="9" style="388" customWidth="1"/>
    <col min="4627" max="4627" width="14.140625" style="388" customWidth="1"/>
    <col min="4628" max="4628" width="9.28515625" style="388" customWidth="1"/>
    <col min="4629" max="4629" width="9.85546875" style="388" customWidth="1"/>
    <col min="4630" max="4630" width="13.5703125" style="388" customWidth="1"/>
    <col min="4631" max="4631" width="10.7109375" style="388" customWidth="1"/>
    <col min="4632" max="4632" width="13.42578125" style="388" customWidth="1"/>
    <col min="4633" max="4633" width="8.5703125" style="388" customWidth="1"/>
    <col min="4634" max="4634" width="9.5703125" style="388" customWidth="1"/>
    <col min="4635" max="4635" width="11.42578125" style="388" customWidth="1"/>
    <col min="4636" max="4636" width="13.140625" style="388" customWidth="1"/>
    <col min="4637" max="4637" width="12.85546875" style="388" customWidth="1"/>
    <col min="4638" max="4638" width="8.28515625" style="388" customWidth="1"/>
    <col min="4639" max="4639" width="8.85546875" style="388" customWidth="1"/>
    <col min="4640" max="4640" width="13.5703125" style="388" customWidth="1"/>
    <col min="4641" max="4641" width="14.140625" style="388" customWidth="1"/>
    <col min="4642" max="4642" width="13" style="388" customWidth="1"/>
    <col min="4643" max="4643" width="13.140625" style="388" customWidth="1"/>
    <col min="4644" max="4644" width="7.42578125" style="388" customWidth="1"/>
    <col min="4645" max="4645" width="8.28515625" style="388" customWidth="1"/>
    <col min="4646" max="4864" width="9.140625" style="388"/>
    <col min="4865" max="4865" width="0.140625" style="388" customWidth="1"/>
    <col min="4866" max="4866" width="23.5703125" style="388" customWidth="1"/>
    <col min="4867" max="4867" width="18.7109375" style="388" customWidth="1"/>
    <col min="4868" max="4868" width="14.42578125" style="388" customWidth="1"/>
    <col min="4869" max="4869" width="12.5703125" style="388" customWidth="1"/>
    <col min="4870" max="4870" width="13.7109375" style="388" customWidth="1"/>
    <col min="4871" max="4871" width="11.42578125" style="388" customWidth="1"/>
    <col min="4872" max="4872" width="13.140625" style="388" customWidth="1"/>
    <col min="4873" max="4873" width="10.7109375" style="388" customWidth="1"/>
    <col min="4874" max="4874" width="12.28515625" style="388" customWidth="1"/>
    <col min="4875" max="4875" width="11.7109375" style="388" customWidth="1"/>
    <col min="4876" max="4876" width="14.5703125" style="388" customWidth="1"/>
    <col min="4877" max="4877" width="14.140625" style="388" customWidth="1"/>
    <col min="4878" max="4878" width="13" style="388" customWidth="1"/>
    <col min="4879" max="4879" width="10.85546875" style="388" customWidth="1"/>
    <col min="4880" max="4880" width="14.140625" style="388" customWidth="1"/>
    <col min="4881" max="4881" width="14.85546875" style="388" customWidth="1"/>
    <col min="4882" max="4882" width="9" style="388" customWidth="1"/>
    <col min="4883" max="4883" width="14.140625" style="388" customWidth="1"/>
    <col min="4884" max="4884" width="9.28515625" style="388" customWidth="1"/>
    <col min="4885" max="4885" width="9.85546875" style="388" customWidth="1"/>
    <col min="4886" max="4886" width="13.5703125" style="388" customWidth="1"/>
    <col min="4887" max="4887" width="10.7109375" style="388" customWidth="1"/>
    <col min="4888" max="4888" width="13.42578125" style="388" customWidth="1"/>
    <col min="4889" max="4889" width="8.5703125" style="388" customWidth="1"/>
    <col min="4890" max="4890" width="9.5703125" style="388" customWidth="1"/>
    <col min="4891" max="4891" width="11.42578125" style="388" customWidth="1"/>
    <col min="4892" max="4892" width="13.140625" style="388" customWidth="1"/>
    <col min="4893" max="4893" width="12.85546875" style="388" customWidth="1"/>
    <col min="4894" max="4894" width="8.28515625" style="388" customWidth="1"/>
    <col min="4895" max="4895" width="8.85546875" style="388" customWidth="1"/>
    <col min="4896" max="4896" width="13.5703125" style="388" customWidth="1"/>
    <col min="4897" max="4897" width="14.140625" style="388" customWidth="1"/>
    <col min="4898" max="4898" width="13" style="388" customWidth="1"/>
    <col min="4899" max="4899" width="13.140625" style="388" customWidth="1"/>
    <col min="4900" max="4900" width="7.42578125" style="388" customWidth="1"/>
    <col min="4901" max="4901" width="8.28515625" style="388" customWidth="1"/>
    <col min="4902" max="5120" width="9.140625" style="388"/>
    <col min="5121" max="5121" width="0.140625" style="388" customWidth="1"/>
    <col min="5122" max="5122" width="23.5703125" style="388" customWidth="1"/>
    <col min="5123" max="5123" width="18.7109375" style="388" customWidth="1"/>
    <col min="5124" max="5124" width="14.42578125" style="388" customWidth="1"/>
    <col min="5125" max="5125" width="12.5703125" style="388" customWidth="1"/>
    <col min="5126" max="5126" width="13.7109375" style="388" customWidth="1"/>
    <col min="5127" max="5127" width="11.42578125" style="388" customWidth="1"/>
    <col min="5128" max="5128" width="13.140625" style="388" customWidth="1"/>
    <col min="5129" max="5129" width="10.7109375" style="388" customWidth="1"/>
    <col min="5130" max="5130" width="12.28515625" style="388" customWidth="1"/>
    <col min="5131" max="5131" width="11.7109375" style="388" customWidth="1"/>
    <col min="5132" max="5132" width="14.5703125" style="388" customWidth="1"/>
    <col min="5133" max="5133" width="14.140625" style="388" customWidth="1"/>
    <col min="5134" max="5134" width="13" style="388" customWidth="1"/>
    <col min="5135" max="5135" width="10.85546875" style="388" customWidth="1"/>
    <col min="5136" max="5136" width="14.140625" style="388" customWidth="1"/>
    <col min="5137" max="5137" width="14.85546875" style="388" customWidth="1"/>
    <col min="5138" max="5138" width="9" style="388" customWidth="1"/>
    <col min="5139" max="5139" width="14.140625" style="388" customWidth="1"/>
    <col min="5140" max="5140" width="9.28515625" style="388" customWidth="1"/>
    <col min="5141" max="5141" width="9.85546875" style="388" customWidth="1"/>
    <col min="5142" max="5142" width="13.5703125" style="388" customWidth="1"/>
    <col min="5143" max="5143" width="10.7109375" style="388" customWidth="1"/>
    <col min="5144" max="5144" width="13.42578125" style="388" customWidth="1"/>
    <col min="5145" max="5145" width="8.5703125" style="388" customWidth="1"/>
    <col min="5146" max="5146" width="9.5703125" style="388" customWidth="1"/>
    <col min="5147" max="5147" width="11.42578125" style="388" customWidth="1"/>
    <col min="5148" max="5148" width="13.140625" style="388" customWidth="1"/>
    <col min="5149" max="5149" width="12.85546875" style="388" customWidth="1"/>
    <col min="5150" max="5150" width="8.28515625" style="388" customWidth="1"/>
    <col min="5151" max="5151" width="8.85546875" style="388" customWidth="1"/>
    <col min="5152" max="5152" width="13.5703125" style="388" customWidth="1"/>
    <col min="5153" max="5153" width="14.140625" style="388" customWidth="1"/>
    <col min="5154" max="5154" width="13" style="388" customWidth="1"/>
    <col min="5155" max="5155" width="13.140625" style="388" customWidth="1"/>
    <col min="5156" max="5156" width="7.42578125" style="388" customWidth="1"/>
    <col min="5157" max="5157" width="8.28515625" style="388" customWidth="1"/>
    <col min="5158" max="5376" width="9.140625" style="388"/>
    <col min="5377" max="5377" width="0.140625" style="388" customWidth="1"/>
    <col min="5378" max="5378" width="23.5703125" style="388" customWidth="1"/>
    <col min="5379" max="5379" width="18.7109375" style="388" customWidth="1"/>
    <col min="5380" max="5380" width="14.42578125" style="388" customWidth="1"/>
    <col min="5381" max="5381" width="12.5703125" style="388" customWidth="1"/>
    <col min="5382" max="5382" width="13.7109375" style="388" customWidth="1"/>
    <col min="5383" max="5383" width="11.42578125" style="388" customWidth="1"/>
    <col min="5384" max="5384" width="13.140625" style="388" customWidth="1"/>
    <col min="5385" max="5385" width="10.7109375" style="388" customWidth="1"/>
    <col min="5386" max="5386" width="12.28515625" style="388" customWidth="1"/>
    <col min="5387" max="5387" width="11.7109375" style="388" customWidth="1"/>
    <col min="5388" max="5388" width="14.5703125" style="388" customWidth="1"/>
    <col min="5389" max="5389" width="14.140625" style="388" customWidth="1"/>
    <col min="5390" max="5390" width="13" style="388" customWidth="1"/>
    <col min="5391" max="5391" width="10.85546875" style="388" customWidth="1"/>
    <col min="5392" max="5392" width="14.140625" style="388" customWidth="1"/>
    <col min="5393" max="5393" width="14.85546875" style="388" customWidth="1"/>
    <col min="5394" max="5394" width="9" style="388" customWidth="1"/>
    <col min="5395" max="5395" width="14.140625" style="388" customWidth="1"/>
    <col min="5396" max="5396" width="9.28515625" style="388" customWidth="1"/>
    <col min="5397" max="5397" width="9.85546875" style="388" customWidth="1"/>
    <col min="5398" max="5398" width="13.5703125" style="388" customWidth="1"/>
    <col min="5399" max="5399" width="10.7109375" style="388" customWidth="1"/>
    <col min="5400" max="5400" width="13.42578125" style="388" customWidth="1"/>
    <col min="5401" max="5401" width="8.5703125" style="388" customWidth="1"/>
    <col min="5402" max="5402" width="9.5703125" style="388" customWidth="1"/>
    <col min="5403" max="5403" width="11.42578125" style="388" customWidth="1"/>
    <col min="5404" max="5404" width="13.140625" style="388" customWidth="1"/>
    <col min="5405" max="5405" width="12.85546875" style="388" customWidth="1"/>
    <col min="5406" max="5406" width="8.28515625" style="388" customWidth="1"/>
    <col min="5407" max="5407" width="8.85546875" style="388" customWidth="1"/>
    <col min="5408" max="5408" width="13.5703125" style="388" customWidth="1"/>
    <col min="5409" max="5409" width="14.140625" style="388" customWidth="1"/>
    <col min="5410" max="5410" width="13" style="388" customWidth="1"/>
    <col min="5411" max="5411" width="13.140625" style="388" customWidth="1"/>
    <col min="5412" max="5412" width="7.42578125" style="388" customWidth="1"/>
    <col min="5413" max="5413" width="8.28515625" style="388" customWidth="1"/>
    <col min="5414" max="5632" width="9.140625" style="388"/>
    <col min="5633" max="5633" width="0.140625" style="388" customWidth="1"/>
    <col min="5634" max="5634" width="23.5703125" style="388" customWidth="1"/>
    <col min="5635" max="5635" width="18.7109375" style="388" customWidth="1"/>
    <col min="5636" max="5636" width="14.42578125" style="388" customWidth="1"/>
    <col min="5637" max="5637" width="12.5703125" style="388" customWidth="1"/>
    <col min="5638" max="5638" width="13.7109375" style="388" customWidth="1"/>
    <col min="5639" max="5639" width="11.42578125" style="388" customWidth="1"/>
    <col min="5640" max="5640" width="13.140625" style="388" customWidth="1"/>
    <col min="5641" max="5641" width="10.7109375" style="388" customWidth="1"/>
    <col min="5642" max="5642" width="12.28515625" style="388" customWidth="1"/>
    <col min="5643" max="5643" width="11.7109375" style="388" customWidth="1"/>
    <col min="5644" max="5644" width="14.5703125" style="388" customWidth="1"/>
    <col min="5645" max="5645" width="14.140625" style="388" customWidth="1"/>
    <col min="5646" max="5646" width="13" style="388" customWidth="1"/>
    <col min="5647" max="5647" width="10.85546875" style="388" customWidth="1"/>
    <col min="5648" max="5648" width="14.140625" style="388" customWidth="1"/>
    <col min="5649" max="5649" width="14.85546875" style="388" customWidth="1"/>
    <col min="5650" max="5650" width="9" style="388" customWidth="1"/>
    <col min="5651" max="5651" width="14.140625" style="388" customWidth="1"/>
    <col min="5652" max="5652" width="9.28515625" style="388" customWidth="1"/>
    <col min="5653" max="5653" width="9.85546875" style="388" customWidth="1"/>
    <col min="5654" max="5654" width="13.5703125" style="388" customWidth="1"/>
    <col min="5655" max="5655" width="10.7109375" style="388" customWidth="1"/>
    <col min="5656" max="5656" width="13.42578125" style="388" customWidth="1"/>
    <col min="5657" max="5657" width="8.5703125" style="388" customWidth="1"/>
    <col min="5658" max="5658" width="9.5703125" style="388" customWidth="1"/>
    <col min="5659" max="5659" width="11.42578125" style="388" customWidth="1"/>
    <col min="5660" max="5660" width="13.140625" style="388" customWidth="1"/>
    <col min="5661" max="5661" width="12.85546875" style="388" customWidth="1"/>
    <col min="5662" max="5662" width="8.28515625" style="388" customWidth="1"/>
    <col min="5663" max="5663" width="8.85546875" style="388" customWidth="1"/>
    <col min="5664" max="5664" width="13.5703125" style="388" customWidth="1"/>
    <col min="5665" max="5665" width="14.140625" style="388" customWidth="1"/>
    <col min="5666" max="5666" width="13" style="388" customWidth="1"/>
    <col min="5667" max="5667" width="13.140625" style="388" customWidth="1"/>
    <col min="5668" max="5668" width="7.42578125" style="388" customWidth="1"/>
    <col min="5669" max="5669" width="8.28515625" style="388" customWidth="1"/>
    <col min="5670" max="5888" width="9.140625" style="388"/>
    <col min="5889" max="5889" width="0.140625" style="388" customWidth="1"/>
    <col min="5890" max="5890" width="23.5703125" style="388" customWidth="1"/>
    <col min="5891" max="5891" width="18.7109375" style="388" customWidth="1"/>
    <col min="5892" max="5892" width="14.42578125" style="388" customWidth="1"/>
    <col min="5893" max="5893" width="12.5703125" style="388" customWidth="1"/>
    <col min="5894" max="5894" width="13.7109375" style="388" customWidth="1"/>
    <col min="5895" max="5895" width="11.42578125" style="388" customWidth="1"/>
    <col min="5896" max="5896" width="13.140625" style="388" customWidth="1"/>
    <col min="5897" max="5897" width="10.7109375" style="388" customWidth="1"/>
    <col min="5898" max="5898" width="12.28515625" style="388" customWidth="1"/>
    <col min="5899" max="5899" width="11.7109375" style="388" customWidth="1"/>
    <col min="5900" max="5900" width="14.5703125" style="388" customWidth="1"/>
    <col min="5901" max="5901" width="14.140625" style="388" customWidth="1"/>
    <col min="5902" max="5902" width="13" style="388" customWidth="1"/>
    <col min="5903" max="5903" width="10.85546875" style="388" customWidth="1"/>
    <col min="5904" max="5904" width="14.140625" style="388" customWidth="1"/>
    <col min="5905" max="5905" width="14.85546875" style="388" customWidth="1"/>
    <col min="5906" max="5906" width="9" style="388" customWidth="1"/>
    <col min="5907" max="5907" width="14.140625" style="388" customWidth="1"/>
    <col min="5908" max="5908" width="9.28515625" style="388" customWidth="1"/>
    <col min="5909" max="5909" width="9.85546875" style="388" customWidth="1"/>
    <col min="5910" max="5910" width="13.5703125" style="388" customWidth="1"/>
    <col min="5911" max="5911" width="10.7109375" style="388" customWidth="1"/>
    <col min="5912" max="5912" width="13.42578125" style="388" customWidth="1"/>
    <col min="5913" max="5913" width="8.5703125" style="388" customWidth="1"/>
    <col min="5914" max="5914" width="9.5703125" style="388" customWidth="1"/>
    <col min="5915" max="5915" width="11.42578125" style="388" customWidth="1"/>
    <col min="5916" max="5916" width="13.140625" style="388" customWidth="1"/>
    <col min="5917" max="5917" width="12.85546875" style="388" customWidth="1"/>
    <col min="5918" max="5918" width="8.28515625" style="388" customWidth="1"/>
    <col min="5919" max="5919" width="8.85546875" style="388" customWidth="1"/>
    <col min="5920" max="5920" width="13.5703125" style="388" customWidth="1"/>
    <col min="5921" max="5921" width="14.140625" style="388" customWidth="1"/>
    <col min="5922" max="5922" width="13" style="388" customWidth="1"/>
    <col min="5923" max="5923" width="13.140625" style="388" customWidth="1"/>
    <col min="5924" max="5924" width="7.42578125" style="388" customWidth="1"/>
    <col min="5925" max="5925" width="8.28515625" style="388" customWidth="1"/>
    <col min="5926" max="6144" width="9.140625" style="388"/>
    <col min="6145" max="6145" width="0.140625" style="388" customWidth="1"/>
    <col min="6146" max="6146" width="23.5703125" style="388" customWidth="1"/>
    <col min="6147" max="6147" width="18.7109375" style="388" customWidth="1"/>
    <col min="6148" max="6148" width="14.42578125" style="388" customWidth="1"/>
    <col min="6149" max="6149" width="12.5703125" style="388" customWidth="1"/>
    <col min="6150" max="6150" width="13.7109375" style="388" customWidth="1"/>
    <col min="6151" max="6151" width="11.42578125" style="388" customWidth="1"/>
    <col min="6152" max="6152" width="13.140625" style="388" customWidth="1"/>
    <col min="6153" max="6153" width="10.7109375" style="388" customWidth="1"/>
    <col min="6154" max="6154" width="12.28515625" style="388" customWidth="1"/>
    <col min="6155" max="6155" width="11.7109375" style="388" customWidth="1"/>
    <col min="6156" max="6156" width="14.5703125" style="388" customWidth="1"/>
    <col min="6157" max="6157" width="14.140625" style="388" customWidth="1"/>
    <col min="6158" max="6158" width="13" style="388" customWidth="1"/>
    <col min="6159" max="6159" width="10.85546875" style="388" customWidth="1"/>
    <col min="6160" max="6160" width="14.140625" style="388" customWidth="1"/>
    <col min="6161" max="6161" width="14.85546875" style="388" customWidth="1"/>
    <col min="6162" max="6162" width="9" style="388" customWidth="1"/>
    <col min="6163" max="6163" width="14.140625" style="388" customWidth="1"/>
    <col min="6164" max="6164" width="9.28515625" style="388" customWidth="1"/>
    <col min="6165" max="6165" width="9.85546875" style="388" customWidth="1"/>
    <col min="6166" max="6166" width="13.5703125" style="388" customWidth="1"/>
    <col min="6167" max="6167" width="10.7109375" style="388" customWidth="1"/>
    <col min="6168" max="6168" width="13.42578125" style="388" customWidth="1"/>
    <col min="6169" max="6169" width="8.5703125" style="388" customWidth="1"/>
    <col min="6170" max="6170" width="9.5703125" style="388" customWidth="1"/>
    <col min="6171" max="6171" width="11.42578125" style="388" customWidth="1"/>
    <col min="6172" max="6172" width="13.140625" style="388" customWidth="1"/>
    <col min="6173" max="6173" width="12.85546875" style="388" customWidth="1"/>
    <col min="6174" max="6174" width="8.28515625" style="388" customWidth="1"/>
    <col min="6175" max="6175" width="8.85546875" style="388" customWidth="1"/>
    <col min="6176" max="6176" width="13.5703125" style="388" customWidth="1"/>
    <col min="6177" max="6177" width="14.140625" style="388" customWidth="1"/>
    <col min="6178" max="6178" width="13" style="388" customWidth="1"/>
    <col min="6179" max="6179" width="13.140625" style="388" customWidth="1"/>
    <col min="6180" max="6180" width="7.42578125" style="388" customWidth="1"/>
    <col min="6181" max="6181" width="8.28515625" style="388" customWidth="1"/>
    <col min="6182" max="6400" width="9.140625" style="388"/>
    <col min="6401" max="6401" width="0.140625" style="388" customWidth="1"/>
    <col min="6402" max="6402" width="23.5703125" style="388" customWidth="1"/>
    <col min="6403" max="6403" width="18.7109375" style="388" customWidth="1"/>
    <col min="6404" max="6404" width="14.42578125" style="388" customWidth="1"/>
    <col min="6405" max="6405" width="12.5703125" style="388" customWidth="1"/>
    <col min="6406" max="6406" width="13.7109375" style="388" customWidth="1"/>
    <col min="6407" max="6407" width="11.42578125" style="388" customWidth="1"/>
    <col min="6408" max="6408" width="13.140625" style="388" customWidth="1"/>
    <col min="6409" max="6409" width="10.7109375" style="388" customWidth="1"/>
    <col min="6410" max="6410" width="12.28515625" style="388" customWidth="1"/>
    <col min="6411" max="6411" width="11.7109375" style="388" customWidth="1"/>
    <col min="6412" max="6412" width="14.5703125" style="388" customWidth="1"/>
    <col min="6413" max="6413" width="14.140625" style="388" customWidth="1"/>
    <col min="6414" max="6414" width="13" style="388" customWidth="1"/>
    <col min="6415" max="6415" width="10.85546875" style="388" customWidth="1"/>
    <col min="6416" max="6416" width="14.140625" style="388" customWidth="1"/>
    <col min="6417" max="6417" width="14.85546875" style="388" customWidth="1"/>
    <col min="6418" max="6418" width="9" style="388" customWidth="1"/>
    <col min="6419" max="6419" width="14.140625" style="388" customWidth="1"/>
    <col min="6420" max="6420" width="9.28515625" style="388" customWidth="1"/>
    <col min="6421" max="6421" width="9.85546875" style="388" customWidth="1"/>
    <col min="6422" max="6422" width="13.5703125" style="388" customWidth="1"/>
    <col min="6423" max="6423" width="10.7109375" style="388" customWidth="1"/>
    <col min="6424" max="6424" width="13.42578125" style="388" customWidth="1"/>
    <col min="6425" max="6425" width="8.5703125" style="388" customWidth="1"/>
    <col min="6426" max="6426" width="9.5703125" style="388" customWidth="1"/>
    <col min="6427" max="6427" width="11.42578125" style="388" customWidth="1"/>
    <col min="6428" max="6428" width="13.140625" style="388" customWidth="1"/>
    <col min="6429" max="6429" width="12.85546875" style="388" customWidth="1"/>
    <col min="6430" max="6430" width="8.28515625" style="388" customWidth="1"/>
    <col min="6431" max="6431" width="8.85546875" style="388" customWidth="1"/>
    <col min="6432" max="6432" width="13.5703125" style="388" customWidth="1"/>
    <col min="6433" max="6433" width="14.140625" style="388" customWidth="1"/>
    <col min="6434" max="6434" width="13" style="388" customWidth="1"/>
    <col min="6435" max="6435" width="13.140625" style="388" customWidth="1"/>
    <col min="6436" max="6436" width="7.42578125" style="388" customWidth="1"/>
    <col min="6437" max="6437" width="8.28515625" style="388" customWidth="1"/>
    <col min="6438" max="6656" width="9.140625" style="388"/>
    <col min="6657" max="6657" width="0.140625" style="388" customWidth="1"/>
    <col min="6658" max="6658" width="23.5703125" style="388" customWidth="1"/>
    <col min="6659" max="6659" width="18.7109375" style="388" customWidth="1"/>
    <col min="6660" max="6660" width="14.42578125" style="388" customWidth="1"/>
    <col min="6661" max="6661" width="12.5703125" style="388" customWidth="1"/>
    <col min="6662" max="6662" width="13.7109375" style="388" customWidth="1"/>
    <col min="6663" max="6663" width="11.42578125" style="388" customWidth="1"/>
    <col min="6664" max="6664" width="13.140625" style="388" customWidth="1"/>
    <col min="6665" max="6665" width="10.7109375" style="388" customWidth="1"/>
    <col min="6666" max="6666" width="12.28515625" style="388" customWidth="1"/>
    <col min="6667" max="6667" width="11.7109375" style="388" customWidth="1"/>
    <col min="6668" max="6668" width="14.5703125" style="388" customWidth="1"/>
    <col min="6669" max="6669" width="14.140625" style="388" customWidth="1"/>
    <col min="6670" max="6670" width="13" style="388" customWidth="1"/>
    <col min="6671" max="6671" width="10.85546875" style="388" customWidth="1"/>
    <col min="6672" max="6672" width="14.140625" style="388" customWidth="1"/>
    <col min="6673" max="6673" width="14.85546875" style="388" customWidth="1"/>
    <col min="6674" max="6674" width="9" style="388" customWidth="1"/>
    <col min="6675" max="6675" width="14.140625" style="388" customWidth="1"/>
    <col min="6676" max="6676" width="9.28515625" style="388" customWidth="1"/>
    <col min="6677" max="6677" width="9.85546875" style="388" customWidth="1"/>
    <col min="6678" max="6678" width="13.5703125" style="388" customWidth="1"/>
    <col min="6679" max="6679" width="10.7109375" style="388" customWidth="1"/>
    <col min="6680" max="6680" width="13.42578125" style="388" customWidth="1"/>
    <col min="6681" max="6681" width="8.5703125" style="388" customWidth="1"/>
    <col min="6682" max="6682" width="9.5703125" style="388" customWidth="1"/>
    <col min="6683" max="6683" width="11.42578125" style="388" customWidth="1"/>
    <col min="6684" max="6684" width="13.140625" style="388" customWidth="1"/>
    <col min="6685" max="6685" width="12.85546875" style="388" customWidth="1"/>
    <col min="6686" max="6686" width="8.28515625" style="388" customWidth="1"/>
    <col min="6687" max="6687" width="8.85546875" style="388" customWidth="1"/>
    <col min="6688" max="6688" width="13.5703125" style="388" customWidth="1"/>
    <col min="6689" max="6689" width="14.140625" style="388" customWidth="1"/>
    <col min="6690" max="6690" width="13" style="388" customWidth="1"/>
    <col min="6691" max="6691" width="13.140625" style="388" customWidth="1"/>
    <col min="6692" max="6692" width="7.42578125" style="388" customWidth="1"/>
    <col min="6693" max="6693" width="8.28515625" style="388" customWidth="1"/>
    <col min="6694" max="6912" width="9.140625" style="388"/>
    <col min="6913" max="6913" width="0.140625" style="388" customWidth="1"/>
    <col min="6914" max="6914" width="23.5703125" style="388" customWidth="1"/>
    <col min="6915" max="6915" width="18.7109375" style="388" customWidth="1"/>
    <col min="6916" max="6916" width="14.42578125" style="388" customWidth="1"/>
    <col min="6917" max="6917" width="12.5703125" style="388" customWidth="1"/>
    <col min="6918" max="6918" width="13.7109375" style="388" customWidth="1"/>
    <col min="6919" max="6919" width="11.42578125" style="388" customWidth="1"/>
    <col min="6920" max="6920" width="13.140625" style="388" customWidth="1"/>
    <col min="6921" max="6921" width="10.7109375" style="388" customWidth="1"/>
    <col min="6922" max="6922" width="12.28515625" style="388" customWidth="1"/>
    <col min="6923" max="6923" width="11.7109375" style="388" customWidth="1"/>
    <col min="6924" max="6924" width="14.5703125" style="388" customWidth="1"/>
    <col min="6925" max="6925" width="14.140625" style="388" customWidth="1"/>
    <col min="6926" max="6926" width="13" style="388" customWidth="1"/>
    <col min="6927" max="6927" width="10.85546875" style="388" customWidth="1"/>
    <col min="6928" max="6928" width="14.140625" style="388" customWidth="1"/>
    <col min="6929" max="6929" width="14.85546875" style="388" customWidth="1"/>
    <col min="6930" max="6930" width="9" style="388" customWidth="1"/>
    <col min="6931" max="6931" width="14.140625" style="388" customWidth="1"/>
    <col min="6932" max="6932" width="9.28515625" style="388" customWidth="1"/>
    <col min="6933" max="6933" width="9.85546875" style="388" customWidth="1"/>
    <col min="6934" max="6934" width="13.5703125" style="388" customWidth="1"/>
    <col min="6935" max="6935" width="10.7109375" style="388" customWidth="1"/>
    <col min="6936" max="6936" width="13.42578125" style="388" customWidth="1"/>
    <col min="6937" max="6937" width="8.5703125" style="388" customWidth="1"/>
    <col min="6938" max="6938" width="9.5703125" style="388" customWidth="1"/>
    <col min="6939" max="6939" width="11.42578125" style="388" customWidth="1"/>
    <col min="6940" max="6940" width="13.140625" style="388" customWidth="1"/>
    <col min="6941" max="6941" width="12.85546875" style="388" customWidth="1"/>
    <col min="6942" max="6942" width="8.28515625" style="388" customWidth="1"/>
    <col min="6943" max="6943" width="8.85546875" style="388" customWidth="1"/>
    <col min="6944" max="6944" width="13.5703125" style="388" customWidth="1"/>
    <col min="6945" max="6945" width="14.140625" style="388" customWidth="1"/>
    <col min="6946" max="6946" width="13" style="388" customWidth="1"/>
    <col min="6947" max="6947" width="13.140625" style="388" customWidth="1"/>
    <col min="6948" max="6948" width="7.42578125" style="388" customWidth="1"/>
    <col min="6949" max="6949" width="8.28515625" style="388" customWidth="1"/>
    <col min="6950" max="7168" width="9.140625" style="388"/>
    <col min="7169" max="7169" width="0.140625" style="388" customWidth="1"/>
    <col min="7170" max="7170" width="23.5703125" style="388" customWidth="1"/>
    <col min="7171" max="7171" width="18.7109375" style="388" customWidth="1"/>
    <col min="7172" max="7172" width="14.42578125" style="388" customWidth="1"/>
    <col min="7173" max="7173" width="12.5703125" style="388" customWidth="1"/>
    <col min="7174" max="7174" width="13.7109375" style="388" customWidth="1"/>
    <col min="7175" max="7175" width="11.42578125" style="388" customWidth="1"/>
    <col min="7176" max="7176" width="13.140625" style="388" customWidth="1"/>
    <col min="7177" max="7177" width="10.7109375" style="388" customWidth="1"/>
    <col min="7178" max="7178" width="12.28515625" style="388" customWidth="1"/>
    <col min="7179" max="7179" width="11.7109375" style="388" customWidth="1"/>
    <col min="7180" max="7180" width="14.5703125" style="388" customWidth="1"/>
    <col min="7181" max="7181" width="14.140625" style="388" customWidth="1"/>
    <col min="7182" max="7182" width="13" style="388" customWidth="1"/>
    <col min="7183" max="7183" width="10.85546875" style="388" customWidth="1"/>
    <col min="7184" max="7184" width="14.140625" style="388" customWidth="1"/>
    <col min="7185" max="7185" width="14.85546875" style="388" customWidth="1"/>
    <col min="7186" max="7186" width="9" style="388" customWidth="1"/>
    <col min="7187" max="7187" width="14.140625" style="388" customWidth="1"/>
    <col min="7188" max="7188" width="9.28515625" style="388" customWidth="1"/>
    <col min="7189" max="7189" width="9.85546875" style="388" customWidth="1"/>
    <col min="7190" max="7190" width="13.5703125" style="388" customWidth="1"/>
    <col min="7191" max="7191" width="10.7109375" style="388" customWidth="1"/>
    <col min="7192" max="7192" width="13.42578125" style="388" customWidth="1"/>
    <col min="7193" max="7193" width="8.5703125" style="388" customWidth="1"/>
    <col min="7194" max="7194" width="9.5703125" style="388" customWidth="1"/>
    <col min="7195" max="7195" width="11.42578125" style="388" customWidth="1"/>
    <col min="7196" max="7196" width="13.140625" style="388" customWidth="1"/>
    <col min="7197" max="7197" width="12.85546875" style="388" customWidth="1"/>
    <col min="7198" max="7198" width="8.28515625" style="388" customWidth="1"/>
    <col min="7199" max="7199" width="8.85546875" style="388" customWidth="1"/>
    <col min="7200" max="7200" width="13.5703125" style="388" customWidth="1"/>
    <col min="7201" max="7201" width="14.140625" style="388" customWidth="1"/>
    <col min="7202" max="7202" width="13" style="388" customWidth="1"/>
    <col min="7203" max="7203" width="13.140625" style="388" customWidth="1"/>
    <col min="7204" max="7204" width="7.42578125" style="388" customWidth="1"/>
    <col min="7205" max="7205" width="8.28515625" style="388" customWidth="1"/>
    <col min="7206" max="7424" width="9.140625" style="388"/>
    <col min="7425" max="7425" width="0.140625" style="388" customWidth="1"/>
    <col min="7426" max="7426" width="23.5703125" style="388" customWidth="1"/>
    <col min="7427" max="7427" width="18.7109375" style="388" customWidth="1"/>
    <col min="7428" max="7428" width="14.42578125" style="388" customWidth="1"/>
    <col min="7429" max="7429" width="12.5703125" style="388" customWidth="1"/>
    <col min="7430" max="7430" width="13.7109375" style="388" customWidth="1"/>
    <col min="7431" max="7431" width="11.42578125" style="388" customWidth="1"/>
    <col min="7432" max="7432" width="13.140625" style="388" customWidth="1"/>
    <col min="7433" max="7433" width="10.7109375" style="388" customWidth="1"/>
    <col min="7434" max="7434" width="12.28515625" style="388" customWidth="1"/>
    <col min="7435" max="7435" width="11.7109375" style="388" customWidth="1"/>
    <col min="7436" max="7436" width="14.5703125" style="388" customWidth="1"/>
    <col min="7437" max="7437" width="14.140625" style="388" customWidth="1"/>
    <col min="7438" max="7438" width="13" style="388" customWidth="1"/>
    <col min="7439" max="7439" width="10.85546875" style="388" customWidth="1"/>
    <col min="7440" max="7440" width="14.140625" style="388" customWidth="1"/>
    <col min="7441" max="7441" width="14.85546875" style="388" customWidth="1"/>
    <col min="7442" max="7442" width="9" style="388" customWidth="1"/>
    <col min="7443" max="7443" width="14.140625" style="388" customWidth="1"/>
    <col min="7444" max="7444" width="9.28515625" style="388" customWidth="1"/>
    <col min="7445" max="7445" width="9.85546875" style="388" customWidth="1"/>
    <col min="7446" max="7446" width="13.5703125" style="388" customWidth="1"/>
    <col min="7447" max="7447" width="10.7109375" style="388" customWidth="1"/>
    <col min="7448" max="7448" width="13.42578125" style="388" customWidth="1"/>
    <col min="7449" max="7449" width="8.5703125" style="388" customWidth="1"/>
    <col min="7450" max="7450" width="9.5703125" style="388" customWidth="1"/>
    <col min="7451" max="7451" width="11.42578125" style="388" customWidth="1"/>
    <col min="7452" max="7452" width="13.140625" style="388" customWidth="1"/>
    <col min="7453" max="7453" width="12.85546875" style="388" customWidth="1"/>
    <col min="7454" max="7454" width="8.28515625" style="388" customWidth="1"/>
    <col min="7455" max="7455" width="8.85546875" style="388" customWidth="1"/>
    <col min="7456" max="7456" width="13.5703125" style="388" customWidth="1"/>
    <col min="7457" max="7457" width="14.140625" style="388" customWidth="1"/>
    <col min="7458" max="7458" width="13" style="388" customWidth="1"/>
    <col min="7459" max="7459" width="13.140625" style="388" customWidth="1"/>
    <col min="7460" max="7460" width="7.42578125" style="388" customWidth="1"/>
    <col min="7461" max="7461" width="8.28515625" style="388" customWidth="1"/>
    <col min="7462" max="7680" width="9.140625" style="388"/>
    <col min="7681" max="7681" width="0.140625" style="388" customWidth="1"/>
    <col min="7682" max="7682" width="23.5703125" style="388" customWidth="1"/>
    <col min="7683" max="7683" width="18.7109375" style="388" customWidth="1"/>
    <col min="7684" max="7684" width="14.42578125" style="388" customWidth="1"/>
    <col min="7685" max="7685" width="12.5703125" style="388" customWidth="1"/>
    <col min="7686" max="7686" width="13.7109375" style="388" customWidth="1"/>
    <col min="7687" max="7687" width="11.42578125" style="388" customWidth="1"/>
    <col min="7688" max="7688" width="13.140625" style="388" customWidth="1"/>
    <col min="7689" max="7689" width="10.7109375" style="388" customWidth="1"/>
    <col min="7690" max="7690" width="12.28515625" style="388" customWidth="1"/>
    <col min="7691" max="7691" width="11.7109375" style="388" customWidth="1"/>
    <col min="7692" max="7692" width="14.5703125" style="388" customWidth="1"/>
    <col min="7693" max="7693" width="14.140625" style="388" customWidth="1"/>
    <col min="7694" max="7694" width="13" style="388" customWidth="1"/>
    <col min="7695" max="7695" width="10.85546875" style="388" customWidth="1"/>
    <col min="7696" max="7696" width="14.140625" style="388" customWidth="1"/>
    <col min="7697" max="7697" width="14.85546875" style="388" customWidth="1"/>
    <col min="7698" max="7698" width="9" style="388" customWidth="1"/>
    <col min="7699" max="7699" width="14.140625" style="388" customWidth="1"/>
    <col min="7700" max="7700" width="9.28515625" style="388" customWidth="1"/>
    <col min="7701" max="7701" width="9.85546875" style="388" customWidth="1"/>
    <col min="7702" max="7702" width="13.5703125" style="388" customWidth="1"/>
    <col min="7703" max="7703" width="10.7109375" style="388" customWidth="1"/>
    <col min="7704" max="7704" width="13.42578125" style="388" customWidth="1"/>
    <col min="7705" max="7705" width="8.5703125" style="388" customWidth="1"/>
    <col min="7706" max="7706" width="9.5703125" style="388" customWidth="1"/>
    <col min="7707" max="7707" width="11.42578125" style="388" customWidth="1"/>
    <col min="7708" max="7708" width="13.140625" style="388" customWidth="1"/>
    <col min="7709" max="7709" width="12.85546875" style="388" customWidth="1"/>
    <col min="7710" max="7710" width="8.28515625" style="388" customWidth="1"/>
    <col min="7711" max="7711" width="8.85546875" style="388" customWidth="1"/>
    <col min="7712" max="7712" width="13.5703125" style="388" customWidth="1"/>
    <col min="7713" max="7713" width="14.140625" style="388" customWidth="1"/>
    <col min="7714" max="7714" width="13" style="388" customWidth="1"/>
    <col min="7715" max="7715" width="13.140625" style="388" customWidth="1"/>
    <col min="7716" max="7716" width="7.42578125" style="388" customWidth="1"/>
    <col min="7717" max="7717" width="8.28515625" style="388" customWidth="1"/>
    <col min="7718" max="7936" width="9.140625" style="388"/>
    <col min="7937" max="7937" width="0.140625" style="388" customWidth="1"/>
    <col min="7938" max="7938" width="23.5703125" style="388" customWidth="1"/>
    <col min="7939" max="7939" width="18.7109375" style="388" customWidth="1"/>
    <col min="7940" max="7940" width="14.42578125" style="388" customWidth="1"/>
    <col min="7941" max="7941" width="12.5703125" style="388" customWidth="1"/>
    <col min="7942" max="7942" width="13.7109375" style="388" customWidth="1"/>
    <col min="7943" max="7943" width="11.42578125" style="388" customWidth="1"/>
    <col min="7944" max="7944" width="13.140625" style="388" customWidth="1"/>
    <col min="7945" max="7945" width="10.7109375" style="388" customWidth="1"/>
    <col min="7946" max="7946" width="12.28515625" style="388" customWidth="1"/>
    <col min="7947" max="7947" width="11.7109375" style="388" customWidth="1"/>
    <col min="7948" max="7948" width="14.5703125" style="388" customWidth="1"/>
    <col min="7949" max="7949" width="14.140625" style="388" customWidth="1"/>
    <col min="7950" max="7950" width="13" style="388" customWidth="1"/>
    <col min="7951" max="7951" width="10.85546875" style="388" customWidth="1"/>
    <col min="7952" max="7952" width="14.140625" style="388" customWidth="1"/>
    <col min="7953" max="7953" width="14.85546875" style="388" customWidth="1"/>
    <col min="7954" max="7954" width="9" style="388" customWidth="1"/>
    <col min="7955" max="7955" width="14.140625" style="388" customWidth="1"/>
    <col min="7956" max="7956" width="9.28515625" style="388" customWidth="1"/>
    <col min="7957" max="7957" width="9.85546875" style="388" customWidth="1"/>
    <col min="7958" max="7958" width="13.5703125" style="388" customWidth="1"/>
    <col min="7959" max="7959" width="10.7109375" style="388" customWidth="1"/>
    <col min="7960" max="7960" width="13.42578125" style="388" customWidth="1"/>
    <col min="7961" max="7961" width="8.5703125" style="388" customWidth="1"/>
    <col min="7962" max="7962" width="9.5703125" style="388" customWidth="1"/>
    <col min="7963" max="7963" width="11.42578125" style="388" customWidth="1"/>
    <col min="7964" max="7964" width="13.140625" style="388" customWidth="1"/>
    <col min="7965" max="7965" width="12.85546875" style="388" customWidth="1"/>
    <col min="7966" max="7966" width="8.28515625" style="388" customWidth="1"/>
    <col min="7967" max="7967" width="8.85546875" style="388" customWidth="1"/>
    <col min="7968" max="7968" width="13.5703125" style="388" customWidth="1"/>
    <col min="7969" max="7969" width="14.140625" style="388" customWidth="1"/>
    <col min="7970" max="7970" width="13" style="388" customWidth="1"/>
    <col min="7971" max="7971" width="13.140625" style="388" customWidth="1"/>
    <col min="7972" max="7972" width="7.42578125" style="388" customWidth="1"/>
    <col min="7973" max="7973" width="8.28515625" style="388" customWidth="1"/>
    <col min="7974" max="8192" width="9.140625" style="388"/>
    <col min="8193" max="8193" width="0.140625" style="388" customWidth="1"/>
    <col min="8194" max="8194" width="23.5703125" style="388" customWidth="1"/>
    <col min="8195" max="8195" width="18.7109375" style="388" customWidth="1"/>
    <col min="8196" max="8196" width="14.42578125" style="388" customWidth="1"/>
    <col min="8197" max="8197" width="12.5703125" style="388" customWidth="1"/>
    <col min="8198" max="8198" width="13.7109375" style="388" customWidth="1"/>
    <col min="8199" max="8199" width="11.42578125" style="388" customWidth="1"/>
    <col min="8200" max="8200" width="13.140625" style="388" customWidth="1"/>
    <col min="8201" max="8201" width="10.7109375" style="388" customWidth="1"/>
    <col min="8202" max="8202" width="12.28515625" style="388" customWidth="1"/>
    <col min="8203" max="8203" width="11.7109375" style="388" customWidth="1"/>
    <col min="8204" max="8204" width="14.5703125" style="388" customWidth="1"/>
    <col min="8205" max="8205" width="14.140625" style="388" customWidth="1"/>
    <col min="8206" max="8206" width="13" style="388" customWidth="1"/>
    <col min="8207" max="8207" width="10.85546875" style="388" customWidth="1"/>
    <col min="8208" max="8208" width="14.140625" style="388" customWidth="1"/>
    <col min="8209" max="8209" width="14.85546875" style="388" customWidth="1"/>
    <col min="8210" max="8210" width="9" style="388" customWidth="1"/>
    <col min="8211" max="8211" width="14.140625" style="388" customWidth="1"/>
    <col min="8212" max="8212" width="9.28515625" style="388" customWidth="1"/>
    <col min="8213" max="8213" width="9.85546875" style="388" customWidth="1"/>
    <col min="8214" max="8214" width="13.5703125" style="388" customWidth="1"/>
    <col min="8215" max="8215" width="10.7109375" style="388" customWidth="1"/>
    <col min="8216" max="8216" width="13.42578125" style="388" customWidth="1"/>
    <col min="8217" max="8217" width="8.5703125" style="388" customWidth="1"/>
    <col min="8218" max="8218" width="9.5703125" style="388" customWidth="1"/>
    <col min="8219" max="8219" width="11.42578125" style="388" customWidth="1"/>
    <col min="8220" max="8220" width="13.140625" style="388" customWidth="1"/>
    <col min="8221" max="8221" width="12.85546875" style="388" customWidth="1"/>
    <col min="8222" max="8222" width="8.28515625" style="388" customWidth="1"/>
    <col min="8223" max="8223" width="8.85546875" style="388" customWidth="1"/>
    <col min="8224" max="8224" width="13.5703125" style="388" customWidth="1"/>
    <col min="8225" max="8225" width="14.140625" style="388" customWidth="1"/>
    <col min="8226" max="8226" width="13" style="388" customWidth="1"/>
    <col min="8227" max="8227" width="13.140625" style="388" customWidth="1"/>
    <col min="8228" max="8228" width="7.42578125" style="388" customWidth="1"/>
    <col min="8229" max="8229" width="8.28515625" style="388" customWidth="1"/>
    <col min="8230" max="8448" width="9.140625" style="388"/>
    <col min="8449" max="8449" width="0.140625" style="388" customWidth="1"/>
    <col min="8450" max="8450" width="23.5703125" style="388" customWidth="1"/>
    <col min="8451" max="8451" width="18.7109375" style="388" customWidth="1"/>
    <col min="8452" max="8452" width="14.42578125" style="388" customWidth="1"/>
    <col min="8453" max="8453" width="12.5703125" style="388" customWidth="1"/>
    <col min="8454" max="8454" width="13.7109375" style="388" customWidth="1"/>
    <col min="8455" max="8455" width="11.42578125" style="388" customWidth="1"/>
    <col min="8456" max="8456" width="13.140625" style="388" customWidth="1"/>
    <col min="8457" max="8457" width="10.7109375" style="388" customWidth="1"/>
    <col min="8458" max="8458" width="12.28515625" style="388" customWidth="1"/>
    <col min="8459" max="8459" width="11.7109375" style="388" customWidth="1"/>
    <col min="8460" max="8460" width="14.5703125" style="388" customWidth="1"/>
    <col min="8461" max="8461" width="14.140625" style="388" customWidth="1"/>
    <col min="8462" max="8462" width="13" style="388" customWidth="1"/>
    <col min="8463" max="8463" width="10.85546875" style="388" customWidth="1"/>
    <col min="8464" max="8464" width="14.140625" style="388" customWidth="1"/>
    <col min="8465" max="8465" width="14.85546875" style="388" customWidth="1"/>
    <col min="8466" max="8466" width="9" style="388" customWidth="1"/>
    <col min="8467" max="8467" width="14.140625" style="388" customWidth="1"/>
    <col min="8468" max="8468" width="9.28515625" style="388" customWidth="1"/>
    <col min="8469" max="8469" width="9.85546875" style="388" customWidth="1"/>
    <col min="8470" max="8470" width="13.5703125" style="388" customWidth="1"/>
    <col min="8471" max="8471" width="10.7109375" style="388" customWidth="1"/>
    <col min="8472" max="8472" width="13.42578125" style="388" customWidth="1"/>
    <col min="8473" max="8473" width="8.5703125" style="388" customWidth="1"/>
    <col min="8474" max="8474" width="9.5703125" style="388" customWidth="1"/>
    <col min="8475" max="8475" width="11.42578125" style="388" customWidth="1"/>
    <col min="8476" max="8476" width="13.140625" style="388" customWidth="1"/>
    <col min="8477" max="8477" width="12.85546875" style="388" customWidth="1"/>
    <col min="8478" max="8478" width="8.28515625" style="388" customWidth="1"/>
    <col min="8479" max="8479" width="8.85546875" style="388" customWidth="1"/>
    <col min="8480" max="8480" width="13.5703125" style="388" customWidth="1"/>
    <col min="8481" max="8481" width="14.140625" style="388" customWidth="1"/>
    <col min="8482" max="8482" width="13" style="388" customWidth="1"/>
    <col min="8483" max="8483" width="13.140625" style="388" customWidth="1"/>
    <col min="8484" max="8484" width="7.42578125" style="388" customWidth="1"/>
    <col min="8485" max="8485" width="8.28515625" style="388" customWidth="1"/>
    <col min="8486" max="8704" width="9.140625" style="388"/>
    <col min="8705" max="8705" width="0.140625" style="388" customWidth="1"/>
    <col min="8706" max="8706" width="23.5703125" style="388" customWidth="1"/>
    <col min="8707" max="8707" width="18.7109375" style="388" customWidth="1"/>
    <col min="8708" max="8708" width="14.42578125" style="388" customWidth="1"/>
    <col min="8709" max="8709" width="12.5703125" style="388" customWidth="1"/>
    <col min="8710" max="8710" width="13.7109375" style="388" customWidth="1"/>
    <col min="8711" max="8711" width="11.42578125" style="388" customWidth="1"/>
    <col min="8712" max="8712" width="13.140625" style="388" customWidth="1"/>
    <col min="8713" max="8713" width="10.7109375" style="388" customWidth="1"/>
    <col min="8714" max="8714" width="12.28515625" style="388" customWidth="1"/>
    <col min="8715" max="8715" width="11.7109375" style="388" customWidth="1"/>
    <col min="8716" max="8716" width="14.5703125" style="388" customWidth="1"/>
    <col min="8717" max="8717" width="14.140625" style="388" customWidth="1"/>
    <col min="8718" max="8718" width="13" style="388" customWidth="1"/>
    <col min="8719" max="8719" width="10.85546875" style="388" customWidth="1"/>
    <col min="8720" max="8720" width="14.140625" style="388" customWidth="1"/>
    <col min="8721" max="8721" width="14.85546875" style="388" customWidth="1"/>
    <col min="8722" max="8722" width="9" style="388" customWidth="1"/>
    <col min="8723" max="8723" width="14.140625" style="388" customWidth="1"/>
    <col min="8724" max="8724" width="9.28515625" style="388" customWidth="1"/>
    <col min="8725" max="8725" width="9.85546875" style="388" customWidth="1"/>
    <col min="8726" max="8726" width="13.5703125" style="388" customWidth="1"/>
    <col min="8727" max="8727" width="10.7109375" style="388" customWidth="1"/>
    <col min="8728" max="8728" width="13.42578125" style="388" customWidth="1"/>
    <col min="8729" max="8729" width="8.5703125" style="388" customWidth="1"/>
    <col min="8730" max="8730" width="9.5703125" style="388" customWidth="1"/>
    <col min="8731" max="8731" width="11.42578125" style="388" customWidth="1"/>
    <col min="8732" max="8732" width="13.140625" style="388" customWidth="1"/>
    <col min="8733" max="8733" width="12.85546875" style="388" customWidth="1"/>
    <col min="8734" max="8734" width="8.28515625" style="388" customWidth="1"/>
    <col min="8735" max="8735" width="8.85546875" style="388" customWidth="1"/>
    <col min="8736" max="8736" width="13.5703125" style="388" customWidth="1"/>
    <col min="8737" max="8737" width="14.140625" style="388" customWidth="1"/>
    <col min="8738" max="8738" width="13" style="388" customWidth="1"/>
    <col min="8739" max="8739" width="13.140625" style="388" customWidth="1"/>
    <col min="8740" max="8740" width="7.42578125" style="388" customWidth="1"/>
    <col min="8741" max="8741" width="8.28515625" style="388" customWidth="1"/>
    <col min="8742" max="8960" width="9.140625" style="388"/>
    <col min="8961" max="8961" width="0.140625" style="388" customWidth="1"/>
    <col min="8962" max="8962" width="23.5703125" style="388" customWidth="1"/>
    <col min="8963" max="8963" width="18.7109375" style="388" customWidth="1"/>
    <col min="8964" max="8964" width="14.42578125" style="388" customWidth="1"/>
    <col min="8965" max="8965" width="12.5703125" style="388" customWidth="1"/>
    <col min="8966" max="8966" width="13.7109375" style="388" customWidth="1"/>
    <col min="8967" max="8967" width="11.42578125" style="388" customWidth="1"/>
    <col min="8968" max="8968" width="13.140625" style="388" customWidth="1"/>
    <col min="8969" max="8969" width="10.7109375" style="388" customWidth="1"/>
    <col min="8970" max="8970" width="12.28515625" style="388" customWidth="1"/>
    <col min="8971" max="8971" width="11.7109375" style="388" customWidth="1"/>
    <col min="8972" max="8972" width="14.5703125" style="388" customWidth="1"/>
    <col min="8973" max="8973" width="14.140625" style="388" customWidth="1"/>
    <col min="8974" max="8974" width="13" style="388" customWidth="1"/>
    <col min="8975" max="8975" width="10.85546875" style="388" customWidth="1"/>
    <col min="8976" max="8976" width="14.140625" style="388" customWidth="1"/>
    <col min="8977" max="8977" width="14.85546875" style="388" customWidth="1"/>
    <col min="8978" max="8978" width="9" style="388" customWidth="1"/>
    <col min="8979" max="8979" width="14.140625" style="388" customWidth="1"/>
    <col min="8980" max="8980" width="9.28515625" style="388" customWidth="1"/>
    <col min="8981" max="8981" width="9.85546875" style="388" customWidth="1"/>
    <col min="8982" max="8982" width="13.5703125" style="388" customWidth="1"/>
    <col min="8983" max="8983" width="10.7109375" style="388" customWidth="1"/>
    <col min="8984" max="8984" width="13.42578125" style="388" customWidth="1"/>
    <col min="8985" max="8985" width="8.5703125" style="388" customWidth="1"/>
    <col min="8986" max="8986" width="9.5703125" style="388" customWidth="1"/>
    <col min="8987" max="8987" width="11.42578125" style="388" customWidth="1"/>
    <col min="8988" max="8988" width="13.140625" style="388" customWidth="1"/>
    <col min="8989" max="8989" width="12.85546875" style="388" customWidth="1"/>
    <col min="8990" max="8990" width="8.28515625" style="388" customWidth="1"/>
    <col min="8991" max="8991" width="8.85546875" style="388" customWidth="1"/>
    <col min="8992" max="8992" width="13.5703125" style="388" customWidth="1"/>
    <col min="8993" max="8993" width="14.140625" style="388" customWidth="1"/>
    <col min="8994" max="8994" width="13" style="388" customWidth="1"/>
    <col min="8995" max="8995" width="13.140625" style="388" customWidth="1"/>
    <col min="8996" max="8996" width="7.42578125" style="388" customWidth="1"/>
    <col min="8997" max="8997" width="8.28515625" style="388" customWidth="1"/>
    <col min="8998" max="9216" width="9.140625" style="388"/>
    <col min="9217" max="9217" width="0.140625" style="388" customWidth="1"/>
    <col min="9218" max="9218" width="23.5703125" style="388" customWidth="1"/>
    <col min="9219" max="9219" width="18.7109375" style="388" customWidth="1"/>
    <col min="9220" max="9220" width="14.42578125" style="388" customWidth="1"/>
    <col min="9221" max="9221" width="12.5703125" style="388" customWidth="1"/>
    <col min="9222" max="9222" width="13.7109375" style="388" customWidth="1"/>
    <col min="9223" max="9223" width="11.42578125" style="388" customWidth="1"/>
    <col min="9224" max="9224" width="13.140625" style="388" customWidth="1"/>
    <col min="9225" max="9225" width="10.7109375" style="388" customWidth="1"/>
    <col min="9226" max="9226" width="12.28515625" style="388" customWidth="1"/>
    <col min="9227" max="9227" width="11.7109375" style="388" customWidth="1"/>
    <col min="9228" max="9228" width="14.5703125" style="388" customWidth="1"/>
    <col min="9229" max="9229" width="14.140625" style="388" customWidth="1"/>
    <col min="9230" max="9230" width="13" style="388" customWidth="1"/>
    <col min="9231" max="9231" width="10.85546875" style="388" customWidth="1"/>
    <col min="9232" max="9232" width="14.140625" style="388" customWidth="1"/>
    <col min="9233" max="9233" width="14.85546875" style="388" customWidth="1"/>
    <col min="9234" max="9234" width="9" style="388" customWidth="1"/>
    <col min="9235" max="9235" width="14.140625" style="388" customWidth="1"/>
    <col min="9236" max="9236" width="9.28515625" style="388" customWidth="1"/>
    <col min="9237" max="9237" width="9.85546875" style="388" customWidth="1"/>
    <col min="9238" max="9238" width="13.5703125" style="388" customWidth="1"/>
    <col min="9239" max="9239" width="10.7109375" style="388" customWidth="1"/>
    <col min="9240" max="9240" width="13.42578125" style="388" customWidth="1"/>
    <col min="9241" max="9241" width="8.5703125" style="388" customWidth="1"/>
    <col min="9242" max="9242" width="9.5703125" style="388" customWidth="1"/>
    <col min="9243" max="9243" width="11.42578125" style="388" customWidth="1"/>
    <col min="9244" max="9244" width="13.140625" style="388" customWidth="1"/>
    <col min="9245" max="9245" width="12.85546875" style="388" customWidth="1"/>
    <col min="9246" max="9246" width="8.28515625" style="388" customWidth="1"/>
    <col min="9247" max="9247" width="8.85546875" style="388" customWidth="1"/>
    <col min="9248" max="9248" width="13.5703125" style="388" customWidth="1"/>
    <col min="9249" max="9249" width="14.140625" style="388" customWidth="1"/>
    <col min="9250" max="9250" width="13" style="388" customWidth="1"/>
    <col min="9251" max="9251" width="13.140625" style="388" customWidth="1"/>
    <col min="9252" max="9252" width="7.42578125" style="388" customWidth="1"/>
    <col min="9253" max="9253" width="8.28515625" style="388" customWidth="1"/>
    <col min="9254" max="9472" width="9.140625" style="388"/>
    <col min="9473" max="9473" width="0.140625" style="388" customWidth="1"/>
    <col min="9474" max="9474" width="23.5703125" style="388" customWidth="1"/>
    <col min="9475" max="9475" width="18.7109375" style="388" customWidth="1"/>
    <col min="9476" max="9476" width="14.42578125" style="388" customWidth="1"/>
    <col min="9477" max="9477" width="12.5703125" style="388" customWidth="1"/>
    <col min="9478" max="9478" width="13.7109375" style="388" customWidth="1"/>
    <col min="9479" max="9479" width="11.42578125" style="388" customWidth="1"/>
    <col min="9480" max="9480" width="13.140625" style="388" customWidth="1"/>
    <col min="9481" max="9481" width="10.7109375" style="388" customWidth="1"/>
    <col min="9482" max="9482" width="12.28515625" style="388" customWidth="1"/>
    <col min="9483" max="9483" width="11.7109375" style="388" customWidth="1"/>
    <col min="9484" max="9484" width="14.5703125" style="388" customWidth="1"/>
    <col min="9485" max="9485" width="14.140625" style="388" customWidth="1"/>
    <col min="9486" max="9486" width="13" style="388" customWidth="1"/>
    <col min="9487" max="9487" width="10.85546875" style="388" customWidth="1"/>
    <col min="9488" max="9488" width="14.140625" style="388" customWidth="1"/>
    <col min="9489" max="9489" width="14.85546875" style="388" customWidth="1"/>
    <col min="9490" max="9490" width="9" style="388" customWidth="1"/>
    <col min="9491" max="9491" width="14.140625" style="388" customWidth="1"/>
    <col min="9492" max="9492" width="9.28515625" style="388" customWidth="1"/>
    <col min="9493" max="9493" width="9.85546875" style="388" customWidth="1"/>
    <col min="9494" max="9494" width="13.5703125" style="388" customWidth="1"/>
    <col min="9495" max="9495" width="10.7109375" style="388" customWidth="1"/>
    <col min="9496" max="9496" width="13.42578125" style="388" customWidth="1"/>
    <col min="9497" max="9497" width="8.5703125" style="388" customWidth="1"/>
    <col min="9498" max="9498" width="9.5703125" style="388" customWidth="1"/>
    <col min="9499" max="9499" width="11.42578125" style="388" customWidth="1"/>
    <col min="9500" max="9500" width="13.140625" style="388" customWidth="1"/>
    <col min="9501" max="9501" width="12.85546875" style="388" customWidth="1"/>
    <col min="9502" max="9502" width="8.28515625" style="388" customWidth="1"/>
    <col min="9503" max="9503" width="8.85546875" style="388" customWidth="1"/>
    <col min="9504" max="9504" width="13.5703125" style="388" customWidth="1"/>
    <col min="9505" max="9505" width="14.140625" style="388" customWidth="1"/>
    <col min="9506" max="9506" width="13" style="388" customWidth="1"/>
    <col min="9507" max="9507" width="13.140625" style="388" customWidth="1"/>
    <col min="9508" max="9508" width="7.42578125" style="388" customWidth="1"/>
    <col min="9509" max="9509" width="8.28515625" style="388" customWidth="1"/>
    <col min="9510" max="9728" width="9.140625" style="388"/>
    <col min="9729" max="9729" width="0.140625" style="388" customWidth="1"/>
    <col min="9730" max="9730" width="23.5703125" style="388" customWidth="1"/>
    <col min="9731" max="9731" width="18.7109375" style="388" customWidth="1"/>
    <col min="9732" max="9732" width="14.42578125" style="388" customWidth="1"/>
    <col min="9733" max="9733" width="12.5703125" style="388" customWidth="1"/>
    <col min="9734" max="9734" width="13.7109375" style="388" customWidth="1"/>
    <col min="9735" max="9735" width="11.42578125" style="388" customWidth="1"/>
    <col min="9736" max="9736" width="13.140625" style="388" customWidth="1"/>
    <col min="9737" max="9737" width="10.7109375" style="388" customWidth="1"/>
    <col min="9738" max="9738" width="12.28515625" style="388" customWidth="1"/>
    <col min="9739" max="9739" width="11.7109375" style="388" customWidth="1"/>
    <col min="9740" max="9740" width="14.5703125" style="388" customWidth="1"/>
    <col min="9741" max="9741" width="14.140625" style="388" customWidth="1"/>
    <col min="9742" max="9742" width="13" style="388" customWidth="1"/>
    <col min="9743" max="9743" width="10.85546875" style="388" customWidth="1"/>
    <col min="9744" max="9744" width="14.140625" style="388" customWidth="1"/>
    <col min="9745" max="9745" width="14.85546875" style="388" customWidth="1"/>
    <col min="9746" max="9746" width="9" style="388" customWidth="1"/>
    <col min="9747" max="9747" width="14.140625" style="388" customWidth="1"/>
    <col min="9748" max="9748" width="9.28515625" style="388" customWidth="1"/>
    <col min="9749" max="9749" width="9.85546875" style="388" customWidth="1"/>
    <col min="9750" max="9750" width="13.5703125" style="388" customWidth="1"/>
    <col min="9751" max="9751" width="10.7109375" style="388" customWidth="1"/>
    <col min="9752" max="9752" width="13.42578125" style="388" customWidth="1"/>
    <col min="9753" max="9753" width="8.5703125" style="388" customWidth="1"/>
    <col min="9754" max="9754" width="9.5703125" style="388" customWidth="1"/>
    <col min="9755" max="9755" width="11.42578125" style="388" customWidth="1"/>
    <col min="9756" max="9756" width="13.140625" style="388" customWidth="1"/>
    <col min="9757" max="9757" width="12.85546875" style="388" customWidth="1"/>
    <col min="9758" max="9758" width="8.28515625" style="388" customWidth="1"/>
    <col min="9759" max="9759" width="8.85546875" style="388" customWidth="1"/>
    <col min="9760" max="9760" width="13.5703125" style="388" customWidth="1"/>
    <col min="9761" max="9761" width="14.140625" style="388" customWidth="1"/>
    <col min="9762" max="9762" width="13" style="388" customWidth="1"/>
    <col min="9763" max="9763" width="13.140625" style="388" customWidth="1"/>
    <col min="9764" max="9764" width="7.42578125" style="388" customWidth="1"/>
    <col min="9765" max="9765" width="8.28515625" style="388" customWidth="1"/>
    <col min="9766" max="9984" width="9.140625" style="388"/>
    <col min="9985" max="9985" width="0.140625" style="388" customWidth="1"/>
    <col min="9986" max="9986" width="23.5703125" style="388" customWidth="1"/>
    <col min="9987" max="9987" width="18.7109375" style="388" customWidth="1"/>
    <col min="9988" max="9988" width="14.42578125" style="388" customWidth="1"/>
    <col min="9989" max="9989" width="12.5703125" style="388" customWidth="1"/>
    <col min="9990" max="9990" width="13.7109375" style="388" customWidth="1"/>
    <col min="9991" max="9991" width="11.42578125" style="388" customWidth="1"/>
    <col min="9992" max="9992" width="13.140625" style="388" customWidth="1"/>
    <col min="9993" max="9993" width="10.7109375" style="388" customWidth="1"/>
    <col min="9994" max="9994" width="12.28515625" style="388" customWidth="1"/>
    <col min="9995" max="9995" width="11.7109375" style="388" customWidth="1"/>
    <col min="9996" max="9996" width="14.5703125" style="388" customWidth="1"/>
    <col min="9997" max="9997" width="14.140625" style="388" customWidth="1"/>
    <col min="9998" max="9998" width="13" style="388" customWidth="1"/>
    <col min="9999" max="9999" width="10.85546875" style="388" customWidth="1"/>
    <col min="10000" max="10000" width="14.140625" style="388" customWidth="1"/>
    <col min="10001" max="10001" width="14.85546875" style="388" customWidth="1"/>
    <col min="10002" max="10002" width="9" style="388" customWidth="1"/>
    <col min="10003" max="10003" width="14.140625" style="388" customWidth="1"/>
    <col min="10004" max="10004" width="9.28515625" style="388" customWidth="1"/>
    <col min="10005" max="10005" width="9.85546875" style="388" customWidth="1"/>
    <col min="10006" max="10006" width="13.5703125" style="388" customWidth="1"/>
    <col min="10007" max="10007" width="10.7109375" style="388" customWidth="1"/>
    <col min="10008" max="10008" width="13.42578125" style="388" customWidth="1"/>
    <col min="10009" max="10009" width="8.5703125" style="388" customWidth="1"/>
    <col min="10010" max="10010" width="9.5703125" style="388" customWidth="1"/>
    <col min="10011" max="10011" width="11.42578125" style="388" customWidth="1"/>
    <col min="10012" max="10012" width="13.140625" style="388" customWidth="1"/>
    <col min="10013" max="10013" width="12.85546875" style="388" customWidth="1"/>
    <col min="10014" max="10014" width="8.28515625" style="388" customWidth="1"/>
    <col min="10015" max="10015" width="8.85546875" style="388" customWidth="1"/>
    <col min="10016" max="10016" width="13.5703125" style="388" customWidth="1"/>
    <col min="10017" max="10017" width="14.140625" style="388" customWidth="1"/>
    <col min="10018" max="10018" width="13" style="388" customWidth="1"/>
    <col min="10019" max="10019" width="13.140625" style="388" customWidth="1"/>
    <col min="10020" max="10020" width="7.42578125" style="388" customWidth="1"/>
    <col min="10021" max="10021" width="8.28515625" style="388" customWidth="1"/>
    <col min="10022" max="10240" width="9.140625" style="388"/>
    <col min="10241" max="10241" width="0.140625" style="388" customWidth="1"/>
    <col min="10242" max="10242" width="23.5703125" style="388" customWidth="1"/>
    <col min="10243" max="10243" width="18.7109375" style="388" customWidth="1"/>
    <col min="10244" max="10244" width="14.42578125" style="388" customWidth="1"/>
    <col min="10245" max="10245" width="12.5703125" style="388" customWidth="1"/>
    <col min="10246" max="10246" width="13.7109375" style="388" customWidth="1"/>
    <col min="10247" max="10247" width="11.42578125" style="388" customWidth="1"/>
    <col min="10248" max="10248" width="13.140625" style="388" customWidth="1"/>
    <col min="10249" max="10249" width="10.7109375" style="388" customWidth="1"/>
    <col min="10250" max="10250" width="12.28515625" style="388" customWidth="1"/>
    <col min="10251" max="10251" width="11.7109375" style="388" customWidth="1"/>
    <col min="10252" max="10252" width="14.5703125" style="388" customWidth="1"/>
    <col min="10253" max="10253" width="14.140625" style="388" customWidth="1"/>
    <col min="10254" max="10254" width="13" style="388" customWidth="1"/>
    <col min="10255" max="10255" width="10.85546875" style="388" customWidth="1"/>
    <col min="10256" max="10256" width="14.140625" style="388" customWidth="1"/>
    <col min="10257" max="10257" width="14.85546875" style="388" customWidth="1"/>
    <col min="10258" max="10258" width="9" style="388" customWidth="1"/>
    <col min="10259" max="10259" width="14.140625" style="388" customWidth="1"/>
    <col min="10260" max="10260" width="9.28515625" style="388" customWidth="1"/>
    <col min="10261" max="10261" width="9.85546875" style="388" customWidth="1"/>
    <col min="10262" max="10262" width="13.5703125" style="388" customWidth="1"/>
    <col min="10263" max="10263" width="10.7109375" style="388" customWidth="1"/>
    <col min="10264" max="10264" width="13.42578125" style="388" customWidth="1"/>
    <col min="10265" max="10265" width="8.5703125" style="388" customWidth="1"/>
    <col min="10266" max="10266" width="9.5703125" style="388" customWidth="1"/>
    <col min="10267" max="10267" width="11.42578125" style="388" customWidth="1"/>
    <col min="10268" max="10268" width="13.140625" style="388" customWidth="1"/>
    <col min="10269" max="10269" width="12.85546875" style="388" customWidth="1"/>
    <col min="10270" max="10270" width="8.28515625" style="388" customWidth="1"/>
    <col min="10271" max="10271" width="8.85546875" style="388" customWidth="1"/>
    <col min="10272" max="10272" width="13.5703125" style="388" customWidth="1"/>
    <col min="10273" max="10273" width="14.140625" style="388" customWidth="1"/>
    <col min="10274" max="10274" width="13" style="388" customWidth="1"/>
    <col min="10275" max="10275" width="13.140625" style="388" customWidth="1"/>
    <col min="10276" max="10276" width="7.42578125" style="388" customWidth="1"/>
    <col min="10277" max="10277" width="8.28515625" style="388" customWidth="1"/>
    <col min="10278" max="10496" width="9.140625" style="388"/>
    <col min="10497" max="10497" width="0.140625" style="388" customWidth="1"/>
    <col min="10498" max="10498" width="23.5703125" style="388" customWidth="1"/>
    <col min="10499" max="10499" width="18.7109375" style="388" customWidth="1"/>
    <col min="10500" max="10500" width="14.42578125" style="388" customWidth="1"/>
    <col min="10501" max="10501" width="12.5703125" style="388" customWidth="1"/>
    <col min="10502" max="10502" width="13.7109375" style="388" customWidth="1"/>
    <col min="10503" max="10503" width="11.42578125" style="388" customWidth="1"/>
    <col min="10504" max="10504" width="13.140625" style="388" customWidth="1"/>
    <col min="10505" max="10505" width="10.7109375" style="388" customWidth="1"/>
    <col min="10506" max="10506" width="12.28515625" style="388" customWidth="1"/>
    <col min="10507" max="10507" width="11.7109375" style="388" customWidth="1"/>
    <col min="10508" max="10508" width="14.5703125" style="388" customWidth="1"/>
    <col min="10509" max="10509" width="14.140625" style="388" customWidth="1"/>
    <col min="10510" max="10510" width="13" style="388" customWidth="1"/>
    <col min="10511" max="10511" width="10.85546875" style="388" customWidth="1"/>
    <col min="10512" max="10512" width="14.140625" style="388" customWidth="1"/>
    <col min="10513" max="10513" width="14.85546875" style="388" customWidth="1"/>
    <col min="10514" max="10514" width="9" style="388" customWidth="1"/>
    <col min="10515" max="10515" width="14.140625" style="388" customWidth="1"/>
    <col min="10516" max="10516" width="9.28515625" style="388" customWidth="1"/>
    <col min="10517" max="10517" width="9.85546875" style="388" customWidth="1"/>
    <col min="10518" max="10518" width="13.5703125" style="388" customWidth="1"/>
    <col min="10519" max="10519" width="10.7109375" style="388" customWidth="1"/>
    <col min="10520" max="10520" width="13.42578125" style="388" customWidth="1"/>
    <col min="10521" max="10521" width="8.5703125" style="388" customWidth="1"/>
    <col min="10522" max="10522" width="9.5703125" style="388" customWidth="1"/>
    <col min="10523" max="10523" width="11.42578125" style="388" customWidth="1"/>
    <col min="10524" max="10524" width="13.140625" style="388" customWidth="1"/>
    <col min="10525" max="10525" width="12.85546875" style="388" customWidth="1"/>
    <col min="10526" max="10526" width="8.28515625" style="388" customWidth="1"/>
    <col min="10527" max="10527" width="8.85546875" style="388" customWidth="1"/>
    <col min="10528" max="10528" width="13.5703125" style="388" customWidth="1"/>
    <col min="10529" max="10529" width="14.140625" style="388" customWidth="1"/>
    <col min="10530" max="10530" width="13" style="388" customWidth="1"/>
    <col min="10531" max="10531" width="13.140625" style="388" customWidth="1"/>
    <col min="10532" max="10532" width="7.42578125" style="388" customWidth="1"/>
    <col min="10533" max="10533" width="8.28515625" style="388" customWidth="1"/>
    <col min="10534" max="10752" width="9.140625" style="388"/>
    <col min="10753" max="10753" width="0.140625" style="388" customWidth="1"/>
    <col min="10754" max="10754" width="23.5703125" style="388" customWidth="1"/>
    <col min="10755" max="10755" width="18.7109375" style="388" customWidth="1"/>
    <col min="10756" max="10756" width="14.42578125" style="388" customWidth="1"/>
    <col min="10757" max="10757" width="12.5703125" style="388" customWidth="1"/>
    <col min="10758" max="10758" width="13.7109375" style="388" customWidth="1"/>
    <col min="10759" max="10759" width="11.42578125" style="388" customWidth="1"/>
    <col min="10760" max="10760" width="13.140625" style="388" customWidth="1"/>
    <col min="10761" max="10761" width="10.7109375" style="388" customWidth="1"/>
    <col min="10762" max="10762" width="12.28515625" style="388" customWidth="1"/>
    <col min="10763" max="10763" width="11.7109375" style="388" customWidth="1"/>
    <col min="10764" max="10764" width="14.5703125" style="388" customWidth="1"/>
    <col min="10765" max="10765" width="14.140625" style="388" customWidth="1"/>
    <col min="10766" max="10766" width="13" style="388" customWidth="1"/>
    <col min="10767" max="10767" width="10.85546875" style="388" customWidth="1"/>
    <col min="10768" max="10768" width="14.140625" style="388" customWidth="1"/>
    <col min="10769" max="10769" width="14.85546875" style="388" customWidth="1"/>
    <col min="10770" max="10770" width="9" style="388" customWidth="1"/>
    <col min="10771" max="10771" width="14.140625" style="388" customWidth="1"/>
    <col min="10772" max="10772" width="9.28515625" style="388" customWidth="1"/>
    <col min="10773" max="10773" width="9.85546875" style="388" customWidth="1"/>
    <col min="10774" max="10774" width="13.5703125" style="388" customWidth="1"/>
    <col min="10775" max="10775" width="10.7109375" style="388" customWidth="1"/>
    <col min="10776" max="10776" width="13.42578125" style="388" customWidth="1"/>
    <col min="10777" max="10777" width="8.5703125" style="388" customWidth="1"/>
    <col min="10778" max="10778" width="9.5703125" style="388" customWidth="1"/>
    <col min="10779" max="10779" width="11.42578125" style="388" customWidth="1"/>
    <col min="10780" max="10780" width="13.140625" style="388" customWidth="1"/>
    <col min="10781" max="10781" width="12.85546875" style="388" customWidth="1"/>
    <col min="10782" max="10782" width="8.28515625" style="388" customWidth="1"/>
    <col min="10783" max="10783" width="8.85546875" style="388" customWidth="1"/>
    <col min="10784" max="10784" width="13.5703125" style="388" customWidth="1"/>
    <col min="10785" max="10785" width="14.140625" style="388" customWidth="1"/>
    <col min="10786" max="10786" width="13" style="388" customWidth="1"/>
    <col min="10787" max="10787" width="13.140625" style="388" customWidth="1"/>
    <col min="10788" max="10788" width="7.42578125" style="388" customWidth="1"/>
    <col min="10789" max="10789" width="8.28515625" style="388" customWidth="1"/>
    <col min="10790" max="11008" width="9.140625" style="388"/>
    <col min="11009" max="11009" width="0.140625" style="388" customWidth="1"/>
    <col min="11010" max="11010" width="23.5703125" style="388" customWidth="1"/>
    <col min="11011" max="11011" width="18.7109375" style="388" customWidth="1"/>
    <col min="11012" max="11012" width="14.42578125" style="388" customWidth="1"/>
    <col min="11013" max="11013" width="12.5703125" style="388" customWidth="1"/>
    <col min="11014" max="11014" width="13.7109375" style="388" customWidth="1"/>
    <col min="11015" max="11015" width="11.42578125" style="388" customWidth="1"/>
    <col min="11016" max="11016" width="13.140625" style="388" customWidth="1"/>
    <col min="11017" max="11017" width="10.7109375" style="388" customWidth="1"/>
    <col min="11018" max="11018" width="12.28515625" style="388" customWidth="1"/>
    <col min="11019" max="11019" width="11.7109375" style="388" customWidth="1"/>
    <col min="11020" max="11020" width="14.5703125" style="388" customWidth="1"/>
    <col min="11021" max="11021" width="14.140625" style="388" customWidth="1"/>
    <col min="11022" max="11022" width="13" style="388" customWidth="1"/>
    <col min="11023" max="11023" width="10.85546875" style="388" customWidth="1"/>
    <col min="11024" max="11024" width="14.140625" style="388" customWidth="1"/>
    <col min="11025" max="11025" width="14.85546875" style="388" customWidth="1"/>
    <col min="11026" max="11026" width="9" style="388" customWidth="1"/>
    <col min="11027" max="11027" width="14.140625" style="388" customWidth="1"/>
    <col min="11028" max="11028" width="9.28515625" style="388" customWidth="1"/>
    <col min="11029" max="11029" width="9.85546875" style="388" customWidth="1"/>
    <col min="11030" max="11030" width="13.5703125" style="388" customWidth="1"/>
    <col min="11031" max="11031" width="10.7109375" style="388" customWidth="1"/>
    <col min="11032" max="11032" width="13.42578125" style="388" customWidth="1"/>
    <col min="11033" max="11033" width="8.5703125" style="388" customWidth="1"/>
    <col min="11034" max="11034" width="9.5703125" style="388" customWidth="1"/>
    <col min="11035" max="11035" width="11.42578125" style="388" customWidth="1"/>
    <col min="11036" max="11036" width="13.140625" style="388" customWidth="1"/>
    <col min="11037" max="11037" width="12.85546875" style="388" customWidth="1"/>
    <col min="11038" max="11038" width="8.28515625" style="388" customWidth="1"/>
    <col min="11039" max="11039" width="8.85546875" style="388" customWidth="1"/>
    <col min="11040" max="11040" width="13.5703125" style="388" customWidth="1"/>
    <col min="11041" max="11041" width="14.140625" style="388" customWidth="1"/>
    <col min="11042" max="11042" width="13" style="388" customWidth="1"/>
    <col min="11043" max="11043" width="13.140625" style="388" customWidth="1"/>
    <col min="11044" max="11044" width="7.42578125" style="388" customWidth="1"/>
    <col min="11045" max="11045" width="8.28515625" style="388" customWidth="1"/>
    <col min="11046" max="11264" width="9.140625" style="388"/>
    <col min="11265" max="11265" width="0.140625" style="388" customWidth="1"/>
    <col min="11266" max="11266" width="23.5703125" style="388" customWidth="1"/>
    <col min="11267" max="11267" width="18.7109375" style="388" customWidth="1"/>
    <col min="11268" max="11268" width="14.42578125" style="388" customWidth="1"/>
    <col min="11269" max="11269" width="12.5703125" style="388" customWidth="1"/>
    <col min="11270" max="11270" width="13.7109375" style="388" customWidth="1"/>
    <col min="11271" max="11271" width="11.42578125" style="388" customWidth="1"/>
    <col min="11272" max="11272" width="13.140625" style="388" customWidth="1"/>
    <col min="11273" max="11273" width="10.7109375" style="388" customWidth="1"/>
    <col min="11274" max="11274" width="12.28515625" style="388" customWidth="1"/>
    <col min="11275" max="11275" width="11.7109375" style="388" customWidth="1"/>
    <col min="11276" max="11276" width="14.5703125" style="388" customWidth="1"/>
    <col min="11277" max="11277" width="14.140625" style="388" customWidth="1"/>
    <col min="11278" max="11278" width="13" style="388" customWidth="1"/>
    <col min="11279" max="11279" width="10.85546875" style="388" customWidth="1"/>
    <col min="11280" max="11280" width="14.140625" style="388" customWidth="1"/>
    <col min="11281" max="11281" width="14.85546875" style="388" customWidth="1"/>
    <col min="11282" max="11282" width="9" style="388" customWidth="1"/>
    <col min="11283" max="11283" width="14.140625" style="388" customWidth="1"/>
    <col min="11284" max="11284" width="9.28515625" style="388" customWidth="1"/>
    <col min="11285" max="11285" width="9.85546875" style="388" customWidth="1"/>
    <col min="11286" max="11286" width="13.5703125" style="388" customWidth="1"/>
    <col min="11287" max="11287" width="10.7109375" style="388" customWidth="1"/>
    <col min="11288" max="11288" width="13.42578125" style="388" customWidth="1"/>
    <col min="11289" max="11289" width="8.5703125" style="388" customWidth="1"/>
    <col min="11290" max="11290" width="9.5703125" style="388" customWidth="1"/>
    <col min="11291" max="11291" width="11.42578125" style="388" customWidth="1"/>
    <col min="11292" max="11292" width="13.140625" style="388" customWidth="1"/>
    <col min="11293" max="11293" width="12.85546875" style="388" customWidth="1"/>
    <col min="11294" max="11294" width="8.28515625" style="388" customWidth="1"/>
    <col min="11295" max="11295" width="8.85546875" style="388" customWidth="1"/>
    <col min="11296" max="11296" width="13.5703125" style="388" customWidth="1"/>
    <col min="11297" max="11297" width="14.140625" style="388" customWidth="1"/>
    <col min="11298" max="11298" width="13" style="388" customWidth="1"/>
    <col min="11299" max="11299" width="13.140625" style="388" customWidth="1"/>
    <col min="11300" max="11300" width="7.42578125" style="388" customWidth="1"/>
    <col min="11301" max="11301" width="8.28515625" style="388" customWidth="1"/>
    <col min="11302" max="11520" width="9.140625" style="388"/>
    <col min="11521" max="11521" width="0.140625" style="388" customWidth="1"/>
    <col min="11522" max="11522" width="23.5703125" style="388" customWidth="1"/>
    <col min="11523" max="11523" width="18.7109375" style="388" customWidth="1"/>
    <col min="11524" max="11524" width="14.42578125" style="388" customWidth="1"/>
    <col min="11525" max="11525" width="12.5703125" style="388" customWidth="1"/>
    <col min="11526" max="11526" width="13.7109375" style="388" customWidth="1"/>
    <col min="11527" max="11527" width="11.42578125" style="388" customWidth="1"/>
    <col min="11528" max="11528" width="13.140625" style="388" customWidth="1"/>
    <col min="11529" max="11529" width="10.7109375" style="388" customWidth="1"/>
    <col min="11530" max="11530" width="12.28515625" style="388" customWidth="1"/>
    <col min="11531" max="11531" width="11.7109375" style="388" customWidth="1"/>
    <col min="11532" max="11532" width="14.5703125" style="388" customWidth="1"/>
    <col min="11533" max="11533" width="14.140625" style="388" customWidth="1"/>
    <col min="11534" max="11534" width="13" style="388" customWidth="1"/>
    <col min="11535" max="11535" width="10.85546875" style="388" customWidth="1"/>
    <col min="11536" max="11536" width="14.140625" style="388" customWidth="1"/>
    <col min="11537" max="11537" width="14.85546875" style="388" customWidth="1"/>
    <col min="11538" max="11538" width="9" style="388" customWidth="1"/>
    <col min="11539" max="11539" width="14.140625" style="388" customWidth="1"/>
    <col min="11540" max="11540" width="9.28515625" style="388" customWidth="1"/>
    <col min="11541" max="11541" width="9.85546875" style="388" customWidth="1"/>
    <col min="11542" max="11542" width="13.5703125" style="388" customWidth="1"/>
    <col min="11543" max="11543" width="10.7109375" style="388" customWidth="1"/>
    <col min="11544" max="11544" width="13.42578125" style="388" customWidth="1"/>
    <col min="11545" max="11545" width="8.5703125" style="388" customWidth="1"/>
    <col min="11546" max="11546" width="9.5703125" style="388" customWidth="1"/>
    <col min="11547" max="11547" width="11.42578125" style="388" customWidth="1"/>
    <col min="11548" max="11548" width="13.140625" style="388" customWidth="1"/>
    <col min="11549" max="11549" width="12.85546875" style="388" customWidth="1"/>
    <col min="11550" max="11550" width="8.28515625" style="388" customWidth="1"/>
    <col min="11551" max="11551" width="8.85546875" style="388" customWidth="1"/>
    <col min="11552" max="11552" width="13.5703125" style="388" customWidth="1"/>
    <col min="11553" max="11553" width="14.140625" style="388" customWidth="1"/>
    <col min="11554" max="11554" width="13" style="388" customWidth="1"/>
    <col min="11555" max="11555" width="13.140625" style="388" customWidth="1"/>
    <col min="11556" max="11556" width="7.42578125" style="388" customWidth="1"/>
    <col min="11557" max="11557" width="8.28515625" style="388" customWidth="1"/>
    <col min="11558" max="11776" width="9.140625" style="388"/>
    <col min="11777" max="11777" width="0.140625" style="388" customWidth="1"/>
    <col min="11778" max="11778" width="23.5703125" style="388" customWidth="1"/>
    <col min="11779" max="11779" width="18.7109375" style="388" customWidth="1"/>
    <col min="11780" max="11780" width="14.42578125" style="388" customWidth="1"/>
    <col min="11781" max="11781" width="12.5703125" style="388" customWidth="1"/>
    <col min="11782" max="11782" width="13.7109375" style="388" customWidth="1"/>
    <col min="11783" max="11783" width="11.42578125" style="388" customWidth="1"/>
    <col min="11784" max="11784" width="13.140625" style="388" customWidth="1"/>
    <col min="11785" max="11785" width="10.7109375" style="388" customWidth="1"/>
    <col min="11786" max="11786" width="12.28515625" style="388" customWidth="1"/>
    <col min="11787" max="11787" width="11.7109375" style="388" customWidth="1"/>
    <col min="11788" max="11788" width="14.5703125" style="388" customWidth="1"/>
    <col min="11789" max="11789" width="14.140625" style="388" customWidth="1"/>
    <col min="11790" max="11790" width="13" style="388" customWidth="1"/>
    <col min="11791" max="11791" width="10.85546875" style="388" customWidth="1"/>
    <col min="11792" max="11792" width="14.140625" style="388" customWidth="1"/>
    <col min="11793" max="11793" width="14.85546875" style="388" customWidth="1"/>
    <col min="11794" max="11794" width="9" style="388" customWidth="1"/>
    <col min="11795" max="11795" width="14.140625" style="388" customWidth="1"/>
    <col min="11796" max="11796" width="9.28515625" style="388" customWidth="1"/>
    <col min="11797" max="11797" width="9.85546875" style="388" customWidth="1"/>
    <col min="11798" max="11798" width="13.5703125" style="388" customWidth="1"/>
    <col min="11799" max="11799" width="10.7109375" style="388" customWidth="1"/>
    <col min="11800" max="11800" width="13.42578125" style="388" customWidth="1"/>
    <col min="11801" max="11801" width="8.5703125" style="388" customWidth="1"/>
    <col min="11802" max="11802" width="9.5703125" style="388" customWidth="1"/>
    <col min="11803" max="11803" width="11.42578125" style="388" customWidth="1"/>
    <col min="11804" max="11804" width="13.140625" style="388" customWidth="1"/>
    <col min="11805" max="11805" width="12.85546875" style="388" customWidth="1"/>
    <col min="11806" max="11806" width="8.28515625" style="388" customWidth="1"/>
    <col min="11807" max="11807" width="8.85546875" style="388" customWidth="1"/>
    <col min="11808" max="11808" width="13.5703125" style="388" customWidth="1"/>
    <col min="11809" max="11809" width="14.140625" style="388" customWidth="1"/>
    <col min="11810" max="11810" width="13" style="388" customWidth="1"/>
    <col min="11811" max="11811" width="13.140625" style="388" customWidth="1"/>
    <col min="11812" max="11812" width="7.42578125" style="388" customWidth="1"/>
    <col min="11813" max="11813" width="8.28515625" style="388" customWidth="1"/>
    <col min="11814" max="12032" width="9.140625" style="388"/>
    <col min="12033" max="12033" width="0.140625" style="388" customWidth="1"/>
    <col min="12034" max="12034" width="23.5703125" style="388" customWidth="1"/>
    <col min="12035" max="12035" width="18.7109375" style="388" customWidth="1"/>
    <col min="12036" max="12036" width="14.42578125" style="388" customWidth="1"/>
    <col min="12037" max="12037" width="12.5703125" style="388" customWidth="1"/>
    <col min="12038" max="12038" width="13.7109375" style="388" customWidth="1"/>
    <col min="12039" max="12039" width="11.42578125" style="388" customWidth="1"/>
    <col min="12040" max="12040" width="13.140625" style="388" customWidth="1"/>
    <col min="12041" max="12041" width="10.7109375" style="388" customWidth="1"/>
    <col min="12042" max="12042" width="12.28515625" style="388" customWidth="1"/>
    <col min="12043" max="12043" width="11.7109375" style="388" customWidth="1"/>
    <col min="12044" max="12044" width="14.5703125" style="388" customWidth="1"/>
    <col min="12045" max="12045" width="14.140625" style="388" customWidth="1"/>
    <col min="12046" max="12046" width="13" style="388" customWidth="1"/>
    <col min="12047" max="12047" width="10.85546875" style="388" customWidth="1"/>
    <col min="12048" max="12048" width="14.140625" style="388" customWidth="1"/>
    <col min="12049" max="12049" width="14.85546875" style="388" customWidth="1"/>
    <col min="12050" max="12050" width="9" style="388" customWidth="1"/>
    <col min="12051" max="12051" width="14.140625" style="388" customWidth="1"/>
    <col min="12052" max="12052" width="9.28515625" style="388" customWidth="1"/>
    <col min="12053" max="12053" width="9.85546875" style="388" customWidth="1"/>
    <col min="12054" max="12054" width="13.5703125" style="388" customWidth="1"/>
    <col min="12055" max="12055" width="10.7109375" style="388" customWidth="1"/>
    <col min="12056" max="12056" width="13.42578125" style="388" customWidth="1"/>
    <col min="12057" max="12057" width="8.5703125" style="388" customWidth="1"/>
    <col min="12058" max="12058" width="9.5703125" style="388" customWidth="1"/>
    <col min="12059" max="12059" width="11.42578125" style="388" customWidth="1"/>
    <col min="12060" max="12060" width="13.140625" style="388" customWidth="1"/>
    <col min="12061" max="12061" width="12.85546875" style="388" customWidth="1"/>
    <col min="12062" max="12062" width="8.28515625" style="388" customWidth="1"/>
    <col min="12063" max="12063" width="8.85546875" style="388" customWidth="1"/>
    <col min="12064" max="12064" width="13.5703125" style="388" customWidth="1"/>
    <col min="12065" max="12065" width="14.140625" style="388" customWidth="1"/>
    <col min="12066" max="12066" width="13" style="388" customWidth="1"/>
    <col min="12067" max="12067" width="13.140625" style="388" customWidth="1"/>
    <col min="12068" max="12068" width="7.42578125" style="388" customWidth="1"/>
    <col min="12069" max="12069" width="8.28515625" style="388" customWidth="1"/>
    <col min="12070" max="12288" width="9.140625" style="388"/>
    <col min="12289" max="12289" width="0.140625" style="388" customWidth="1"/>
    <col min="12290" max="12290" width="23.5703125" style="388" customWidth="1"/>
    <col min="12291" max="12291" width="18.7109375" style="388" customWidth="1"/>
    <col min="12292" max="12292" width="14.42578125" style="388" customWidth="1"/>
    <col min="12293" max="12293" width="12.5703125" style="388" customWidth="1"/>
    <col min="12294" max="12294" width="13.7109375" style="388" customWidth="1"/>
    <col min="12295" max="12295" width="11.42578125" style="388" customWidth="1"/>
    <col min="12296" max="12296" width="13.140625" style="388" customWidth="1"/>
    <col min="12297" max="12297" width="10.7109375" style="388" customWidth="1"/>
    <col min="12298" max="12298" width="12.28515625" style="388" customWidth="1"/>
    <col min="12299" max="12299" width="11.7109375" style="388" customWidth="1"/>
    <col min="12300" max="12300" width="14.5703125" style="388" customWidth="1"/>
    <col min="12301" max="12301" width="14.140625" style="388" customWidth="1"/>
    <col min="12302" max="12302" width="13" style="388" customWidth="1"/>
    <col min="12303" max="12303" width="10.85546875" style="388" customWidth="1"/>
    <col min="12304" max="12304" width="14.140625" style="388" customWidth="1"/>
    <col min="12305" max="12305" width="14.85546875" style="388" customWidth="1"/>
    <col min="12306" max="12306" width="9" style="388" customWidth="1"/>
    <col min="12307" max="12307" width="14.140625" style="388" customWidth="1"/>
    <col min="12308" max="12308" width="9.28515625" style="388" customWidth="1"/>
    <col min="12309" max="12309" width="9.85546875" style="388" customWidth="1"/>
    <col min="12310" max="12310" width="13.5703125" style="388" customWidth="1"/>
    <col min="12311" max="12311" width="10.7109375" style="388" customWidth="1"/>
    <col min="12312" max="12312" width="13.42578125" style="388" customWidth="1"/>
    <col min="12313" max="12313" width="8.5703125" style="388" customWidth="1"/>
    <col min="12314" max="12314" width="9.5703125" style="388" customWidth="1"/>
    <col min="12315" max="12315" width="11.42578125" style="388" customWidth="1"/>
    <col min="12316" max="12316" width="13.140625" style="388" customWidth="1"/>
    <col min="12317" max="12317" width="12.85546875" style="388" customWidth="1"/>
    <col min="12318" max="12318" width="8.28515625" style="388" customWidth="1"/>
    <col min="12319" max="12319" width="8.85546875" style="388" customWidth="1"/>
    <col min="12320" max="12320" width="13.5703125" style="388" customWidth="1"/>
    <col min="12321" max="12321" width="14.140625" style="388" customWidth="1"/>
    <col min="12322" max="12322" width="13" style="388" customWidth="1"/>
    <col min="12323" max="12323" width="13.140625" style="388" customWidth="1"/>
    <col min="12324" max="12324" width="7.42578125" style="388" customWidth="1"/>
    <col min="12325" max="12325" width="8.28515625" style="388" customWidth="1"/>
    <col min="12326" max="12544" width="9.140625" style="388"/>
    <col min="12545" max="12545" width="0.140625" style="388" customWidth="1"/>
    <col min="12546" max="12546" width="23.5703125" style="388" customWidth="1"/>
    <col min="12547" max="12547" width="18.7109375" style="388" customWidth="1"/>
    <col min="12548" max="12548" width="14.42578125" style="388" customWidth="1"/>
    <col min="12549" max="12549" width="12.5703125" style="388" customWidth="1"/>
    <col min="12550" max="12550" width="13.7109375" style="388" customWidth="1"/>
    <col min="12551" max="12551" width="11.42578125" style="388" customWidth="1"/>
    <col min="12552" max="12552" width="13.140625" style="388" customWidth="1"/>
    <col min="12553" max="12553" width="10.7109375" style="388" customWidth="1"/>
    <col min="12554" max="12554" width="12.28515625" style="388" customWidth="1"/>
    <col min="12555" max="12555" width="11.7109375" style="388" customWidth="1"/>
    <col min="12556" max="12556" width="14.5703125" style="388" customWidth="1"/>
    <col min="12557" max="12557" width="14.140625" style="388" customWidth="1"/>
    <col min="12558" max="12558" width="13" style="388" customWidth="1"/>
    <col min="12559" max="12559" width="10.85546875" style="388" customWidth="1"/>
    <col min="12560" max="12560" width="14.140625" style="388" customWidth="1"/>
    <col min="12561" max="12561" width="14.85546875" style="388" customWidth="1"/>
    <col min="12562" max="12562" width="9" style="388" customWidth="1"/>
    <col min="12563" max="12563" width="14.140625" style="388" customWidth="1"/>
    <col min="12564" max="12564" width="9.28515625" style="388" customWidth="1"/>
    <col min="12565" max="12565" width="9.85546875" style="388" customWidth="1"/>
    <col min="12566" max="12566" width="13.5703125" style="388" customWidth="1"/>
    <col min="12567" max="12567" width="10.7109375" style="388" customWidth="1"/>
    <col min="12568" max="12568" width="13.42578125" style="388" customWidth="1"/>
    <col min="12569" max="12569" width="8.5703125" style="388" customWidth="1"/>
    <col min="12570" max="12570" width="9.5703125" style="388" customWidth="1"/>
    <col min="12571" max="12571" width="11.42578125" style="388" customWidth="1"/>
    <col min="12572" max="12572" width="13.140625" style="388" customWidth="1"/>
    <col min="12573" max="12573" width="12.85546875" style="388" customWidth="1"/>
    <col min="12574" max="12574" width="8.28515625" style="388" customWidth="1"/>
    <col min="12575" max="12575" width="8.85546875" style="388" customWidth="1"/>
    <col min="12576" max="12576" width="13.5703125" style="388" customWidth="1"/>
    <col min="12577" max="12577" width="14.140625" style="388" customWidth="1"/>
    <col min="12578" max="12578" width="13" style="388" customWidth="1"/>
    <col min="12579" max="12579" width="13.140625" style="388" customWidth="1"/>
    <col min="12580" max="12580" width="7.42578125" style="388" customWidth="1"/>
    <col min="12581" max="12581" width="8.28515625" style="388" customWidth="1"/>
    <col min="12582" max="12800" width="9.140625" style="388"/>
    <col min="12801" max="12801" width="0.140625" style="388" customWidth="1"/>
    <col min="12802" max="12802" width="23.5703125" style="388" customWidth="1"/>
    <col min="12803" max="12803" width="18.7109375" style="388" customWidth="1"/>
    <col min="12804" max="12804" width="14.42578125" style="388" customWidth="1"/>
    <col min="12805" max="12805" width="12.5703125" style="388" customWidth="1"/>
    <col min="12806" max="12806" width="13.7109375" style="388" customWidth="1"/>
    <col min="12807" max="12807" width="11.42578125" style="388" customWidth="1"/>
    <col min="12808" max="12808" width="13.140625" style="388" customWidth="1"/>
    <col min="12809" max="12809" width="10.7109375" style="388" customWidth="1"/>
    <col min="12810" max="12810" width="12.28515625" style="388" customWidth="1"/>
    <col min="12811" max="12811" width="11.7109375" style="388" customWidth="1"/>
    <col min="12812" max="12812" width="14.5703125" style="388" customWidth="1"/>
    <col min="12813" max="12813" width="14.140625" style="388" customWidth="1"/>
    <col min="12814" max="12814" width="13" style="388" customWidth="1"/>
    <col min="12815" max="12815" width="10.85546875" style="388" customWidth="1"/>
    <col min="12816" max="12816" width="14.140625" style="388" customWidth="1"/>
    <col min="12817" max="12817" width="14.85546875" style="388" customWidth="1"/>
    <col min="12818" max="12818" width="9" style="388" customWidth="1"/>
    <col min="12819" max="12819" width="14.140625" style="388" customWidth="1"/>
    <col min="12820" max="12820" width="9.28515625" style="388" customWidth="1"/>
    <col min="12821" max="12821" width="9.85546875" style="388" customWidth="1"/>
    <col min="12822" max="12822" width="13.5703125" style="388" customWidth="1"/>
    <col min="12823" max="12823" width="10.7109375" style="388" customWidth="1"/>
    <col min="12824" max="12824" width="13.42578125" style="388" customWidth="1"/>
    <col min="12825" max="12825" width="8.5703125" style="388" customWidth="1"/>
    <col min="12826" max="12826" width="9.5703125" style="388" customWidth="1"/>
    <col min="12827" max="12827" width="11.42578125" style="388" customWidth="1"/>
    <col min="12828" max="12828" width="13.140625" style="388" customWidth="1"/>
    <col min="12829" max="12829" width="12.85546875" style="388" customWidth="1"/>
    <col min="12830" max="12830" width="8.28515625" style="388" customWidth="1"/>
    <col min="12831" max="12831" width="8.85546875" style="388" customWidth="1"/>
    <col min="12832" max="12832" width="13.5703125" style="388" customWidth="1"/>
    <col min="12833" max="12833" width="14.140625" style="388" customWidth="1"/>
    <col min="12834" max="12834" width="13" style="388" customWidth="1"/>
    <col min="12835" max="12835" width="13.140625" style="388" customWidth="1"/>
    <col min="12836" max="12836" width="7.42578125" style="388" customWidth="1"/>
    <col min="12837" max="12837" width="8.28515625" style="388" customWidth="1"/>
    <col min="12838" max="13056" width="9.140625" style="388"/>
    <col min="13057" max="13057" width="0.140625" style="388" customWidth="1"/>
    <col min="13058" max="13058" width="23.5703125" style="388" customWidth="1"/>
    <col min="13059" max="13059" width="18.7109375" style="388" customWidth="1"/>
    <col min="13060" max="13060" width="14.42578125" style="388" customWidth="1"/>
    <col min="13061" max="13061" width="12.5703125" style="388" customWidth="1"/>
    <col min="13062" max="13062" width="13.7109375" style="388" customWidth="1"/>
    <col min="13063" max="13063" width="11.42578125" style="388" customWidth="1"/>
    <col min="13064" max="13064" width="13.140625" style="388" customWidth="1"/>
    <col min="13065" max="13065" width="10.7109375" style="388" customWidth="1"/>
    <col min="13066" max="13066" width="12.28515625" style="388" customWidth="1"/>
    <col min="13067" max="13067" width="11.7109375" style="388" customWidth="1"/>
    <col min="13068" max="13068" width="14.5703125" style="388" customWidth="1"/>
    <col min="13069" max="13069" width="14.140625" style="388" customWidth="1"/>
    <col min="13070" max="13070" width="13" style="388" customWidth="1"/>
    <col min="13071" max="13071" width="10.85546875" style="388" customWidth="1"/>
    <col min="13072" max="13072" width="14.140625" style="388" customWidth="1"/>
    <col min="13073" max="13073" width="14.85546875" style="388" customWidth="1"/>
    <col min="13074" max="13074" width="9" style="388" customWidth="1"/>
    <col min="13075" max="13075" width="14.140625" style="388" customWidth="1"/>
    <col min="13076" max="13076" width="9.28515625" style="388" customWidth="1"/>
    <col min="13077" max="13077" width="9.85546875" style="388" customWidth="1"/>
    <col min="13078" max="13078" width="13.5703125" style="388" customWidth="1"/>
    <col min="13079" max="13079" width="10.7109375" style="388" customWidth="1"/>
    <col min="13080" max="13080" width="13.42578125" style="388" customWidth="1"/>
    <col min="13081" max="13081" width="8.5703125" style="388" customWidth="1"/>
    <col min="13082" max="13082" width="9.5703125" style="388" customWidth="1"/>
    <col min="13083" max="13083" width="11.42578125" style="388" customWidth="1"/>
    <col min="13084" max="13084" width="13.140625" style="388" customWidth="1"/>
    <col min="13085" max="13085" width="12.85546875" style="388" customWidth="1"/>
    <col min="13086" max="13086" width="8.28515625" style="388" customWidth="1"/>
    <col min="13087" max="13087" width="8.85546875" style="388" customWidth="1"/>
    <col min="13088" max="13088" width="13.5703125" style="388" customWidth="1"/>
    <col min="13089" max="13089" width="14.140625" style="388" customWidth="1"/>
    <col min="13090" max="13090" width="13" style="388" customWidth="1"/>
    <col min="13091" max="13091" width="13.140625" style="388" customWidth="1"/>
    <col min="13092" max="13092" width="7.42578125" style="388" customWidth="1"/>
    <col min="13093" max="13093" width="8.28515625" style="388" customWidth="1"/>
    <col min="13094" max="13312" width="9.140625" style="388"/>
    <col min="13313" max="13313" width="0.140625" style="388" customWidth="1"/>
    <col min="13314" max="13314" width="23.5703125" style="388" customWidth="1"/>
    <col min="13315" max="13315" width="18.7109375" style="388" customWidth="1"/>
    <col min="13316" max="13316" width="14.42578125" style="388" customWidth="1"/>
    <col min="13317" max="13317" width="12.5703125" style="388" customWidth="1"/>
    <col min="13318" max="13318" width="13.7109375" style="388" customWidth="1"/>
    <col min="13319" max="13319" width="11.42578125" style="388" customWidth="1"/>
    <col min="13320" max="13320" width="13.140625" style="388" customWidth="1"/>
    <col min="13321" max="13321" width="10.7109375" style="388" customWidth="1"/>
    <col min="13322" max="13322" width="12.28515625" style="388" customWidth="1"/>
    <col min="13323" max="13323" width="11.7109375" style="388" customWidth="1"/>
    <col min="13324" max="13324" width="14.5703125" style="388" customWidth="1"/>
    <col min="13325" max="13325" width="14.140625" style="388" customWidth="1"/>
    <col min="13326" max="13326" width="13" style="388" customWidth="1"/>
    <col min="13327" max="13327" width="10.85546875" style="388" customWidth="1"/>
    <col min="13328" max="13328" width="14.140625" style="388" customWidth="1"/>
    <col min="13329" max="13329" width="14.85546875" style="388" customWidth="1"/>
    <col min="13330" max="13330" width="9" style="388" customWidth="1"/>
    <col min="13331" max="13331" width="14.140625" style="388" customWidth="1"/>
    <col min="13332" max="13332" width="9.28515625" style="388" customWidth="1"/>
    <col min="13333" max="13333" width="9.85546875" style="388" customWidth="1"/>
    <col min="13334" max="13334" width="13.5703125" style="388" customWidth="1"/>
    <col min="13335" max="13335" width="10.7109375" style="388" customWidth="1"/>
    <col min="13336" max="13336" width="13.42578125" style="388" customWidth="1"/>
    <col min="13337" max="13337" width="8.5703125" style="388" customWidth="1"/>
    <col min="13338" max="13338" width="9.5703125" style="388" customWidth="1"/>
    <col min="13339" max="13339" width="11.42578125" style="388" customWidth="1"/>
    <col min="13340" max="13340" width="13.140625" style="388" customWidth="1"/>
    <col min="13341" max="13341" width="12.85546875" style="388" customWidth="1"/>
    <col min="13342" max="13342" width="8.28515625" style="388" customWidth="1"/>
    <col min="13343" max="13343" width="8.85546875" style="388" customWidth="1"/>
    <col min="13344" max="13344" width="13.5703125" style="388" customWidth="1"/>
    <col min="13345" max="13345" width="14.140625" style="388" customWidth="1"/>
    <col min="13346" max="13346" width="13" style="388" customWidth="1"/>
    <col min="13347" max="13347" width="13.140625" style="388" customWidth="1"/>
    <col min="13348" max="13348" width="7.42578125" style="388" customWidth="1"/>
    <col min="13349" max="13349" width="8.28515625" style="388" customWidth="1"/>
    <col min="13350" max="13568" width="9.140625" style="388"/>
    <col min="13569" max="13569" width="0.140625" style="388" customWidth="1"/>
    <col min="13570" max="13570" width="23.5703125" style="388" customWidth="1"/>
    <col min="13571" max="13571" width="18.7109375" style="388" customWidth="1"/>
    <col min="13572" max="13572" width="14.42578125" style="388" customWidth="1"/>
    <col min="13573" max="13573" width="12.5703125" style="388" customWidth="1"/>
    <col min="13574" max="13574" width="13.7109375" style="388" customWidth="1"/>
    <col min="13575" max="13575" width="11.42578125" style="388" customWidth="1"/>
    <col min="13576" max="13576" width="13.140625" style="388" customWidth="1"/>
    <col min="13577" max="13577" width="10.7109375" style="388" customWidth="1"/>
    <col min="13578" max="13578" width="12.28515625" style="388" customWidth="1"/>
    <col min="13579" max="13579" width="11.7109375" style="388" customWidth="1"/>
    <col min="13580" max="13580" width="14.5703125" style="388" customWidth="1"/>
    <col min="13581" max="13581" width="14.140625" style="388" customWidth="1"/>
    <col min="13582" max="13582" width="13" style="388" customWidth="1"/>
    <col min="13583" max="13583" width="10.85546875" style="388" customWidth="1"/>
    <col min="13584" max="13584" width="14.140625" style="388" customWidth="1"/>
    <col min="13585" max="13585" width="14.85546875" style="388" customWidth="1"/>
    <col min="13586" max="13586" width="9" style="388" customWidth="1"/>
    <col min="13587" max="13587" width="14.140625" style="388" customWidth="1"/>
    <col min="13588" max="13588" width="9.28515625" style="388" customWidth="1"/>
    <col min="13589" max="13589" width="9.85546875" style="388" customWidth="1"/>
    <col min="13590" max="13590" width="13.5703125" style="388" customWidth="1"/>
    <col min="13591" max="13591" width="10.7109375" style="388" customWidth="1"/>
    <col min="13592" max="13592" width="13.42578125" style="388" customWidth="1"/>
    <col min="13593" max="13593" width="8.5703125" style="388" customWidth="1"/>
    <col min="13594" max="13594" width="9.5703125" style="388" customWidth="1"/>
    <col min="13595" max="13595" width="11.42578125" style="388" customWidth="1"/>
    <col min="13596" max="13596" width="13.140625" style="388" customWidth="1"/>
    <col min="13597" max="13597" width="12.85546875" style="388" customWidth="1"/>
    <col min="13598" max="13598" width="8.28515625" style="388" customWidth="1"/>
    <col min="13599" max="13599" width="8.85546875" style="388" customWidth="1"/>
    <col min="13600" max="13600" width="13.5703125" style="388" customWidth="1"/>
    <col min="13601" max="13601" width="14.140625" style="388" customWidth="1"/>
    <col min="13602" max="13602" width="13" style="388" customWidth="1"/>
    <col min="13603" max="13603" width="13.140625" style="388" customWidth="1"/>
    <col min="13604" max="13604" width="7.42578125" style="388" customWidth="1"/>
    <col min="13605" max="13605" width="8.28515625" style="388" customWidth="1"/>
    <col min="13606" max="13824" width="9.140625" style="388"/>
    <col min="13825" max="13825" width="0.140625" style="388" customWidth="1"/>
    <col min="13826" max="13826" width="23.5703125" style="388" customWidth="1"/>
    <col min="13827" max="13827" width="18.7109375" style="388" customWidth="1"/>
    <col min="13828" max="13828" width="14.42578125" style="388" customWidth="1"/>
    <col min="13829" max="13829" width="12.5703125" style="388" customWidth="1"/>
    <col min="13830" max="13830" width="13.7109375" style="388" customWidth="1"/>
    <col min="13831" max="13831" width="11.42578125" style="388" customWidth="1"/>
    <col min="13832" max="13832" width="13.140625" style="388" customWidth="1"/>
    <col min="13833" max="13833" width="10.7109375" style="388" customWidth="1"/>
    <col min="13834" max="13834" width="12.28515625" style="388" customWidth="1"/>
    <col min="13835" max="13835" width="11.7109375" style="388" customWidth="1"/>
    <col min="13836" max="13836" width="14.5703125" style="388" customWidth="1"/>
    <col min="13837" max="13837" width="14.140625" style="388" customWidth="1"/>
    <col min="13838" max="13838" width="13" style="388" customWidth="1"/>
    <col min="13839" max="13839" width="10.85546875" style="388" customWidth="1"/>
    <col min="13840" max="13840" width="14.140625" style="388" customWidth="1"/>
    <col min="13841" max="13841" width="14.85546875" style="388" customWidth="1"/>
    <col min="13842" max="13842" width="9" style="388" customWidth="1"/>
    <col min="13843" max="13843" width="14.140625" style="388" customWidth="1"/>
    <col min="13844" max="13844" width="9.28515625" style="388" customWidth="1"/>
    <col min="13845" max="13845" width="9.85546875" style="388" customWidth="1"/>
    <col min="13846" max="13846" width="13.5703125" style="388" customWidth="1"/>
    <col min="13847" max="13847" width="10.7109375" style="388" customWidth="1"/>
    <col min="13848" max="13848" width="13.42578125" style="388" customWidth="1"/>
    <col min="13849" max="13849" width="8.5703125" style="388" customWidth="1"/>
    <col min="13850" max="13850" width="9.5703125" style="388" customWidth="1"/>
    <col min="13851" max="13851" width="11.42578125" style="388" customWidth="1"/>
    <col min="13852" max="13852" width="13.140625" style="388" customWidth="1"/>
    <col min="13853" max="13853" width="12.85546875" style="388" customWidth="1"/>
    <col min="13854" max="13854" width="8.28515625" style="388" customWidth="1"/>
    <col min="13855" max="13855" width="8.85546875" style="388" customWidth="1"/>
    <col min="13856" max="13856" width="13.5703125" style="388" customWidth="1"/>
    <col min="13857" max="13857" width="14.140625" style="388" customWidth="1"/>
    <col min="13858" max="13858" width="13" style="388" customWidth="1"/>
    <col min="13859" max="13859" width="13.140625" style="388" customWidth="1"/>
    <col min="13860" max="13860" width="7.42578125" style="388" customWidth="1"/>
    <col min="13861" max="13861" width="8.28515625" style="388" customWidth="1"/>
    <col min="13862" max="14080" width="9.140625" style="388"/>
    <col min="14081" max="14081" width="0.140625" style="388" customWidth="1"/>
    <col min="14082" max="14082" width="23.5703125" style="388" customWidth="1"/>
    <col min="14083" max="14083" width="18.7109375" style="388" customWidth="1"/>
    <col min="14084" max="14084" width="14.42578125" style="388" customWidth="1"/>
    <col min="14085" max="14085" width="12.5703125" style="388" customWidth="1"/>
    <col min="14086" max="14086" width="13.7109375" style="388" customWidth="1"/>
    <col min="14087" max="14087" width="11.42578125" style="388" customWidth="1"/>
    <col min="14088" max="14088" width="13.140625" style="388" customWidth="1"/>
    <col min="14089" max="14089" width="10.7109375" style="388" customWidth="1"/>
    <col min="14090" max="14090" width="12.28515625" style="388" customWidth="1"/>
    <col min="14091" max="14091" width="11.7109375" style="388" customWidth="1"/>
    <col min="14092" max="14092" width="14.5703125" style="388" customWidth="1"/>
    <col min="14093" max="14093" width="14.140625" style="388" customWidth="1"/>
    <col min="14094" max="14094" width="13" style="388" customWidth="1"/>
    <col min="14095" max="14095" width="10.85546875" style="388" customWidth="1"/>
    <col min="14096" max="14096" width="14.140625" style="388" customWidth="1"/>
    <col min="14097" max="14097" width="14.85546875" style="388" customWidth="1"/>
    <col min="14098" max="14098" width="9" style="388" customWidth="1"/>
    <col min="14099" max="14099" width="14.140625" style="388" customWidth="1"/>
    <col min="14100" max="14100" width="9.28515625" style="388" customWidth="1"/>
    <col min="14101" max="14101" width="9.85546875" style="388" customWidth="1"/>
    <col min="14102" max="14102" width="13.5703125" style="388" customWidth="1"/>
    <col min="14103" max="14103" width="10.7109375" style="388" customWidth="1"/>
    <col min="14104" max="14104" width="13.42578125" style="388" customWidth="1"/>
    <col min="14105" max="14105" width="8.5703125" style="388" customWidth="1"/>
    <col min="14106" max="14106" width="9.5703125" style="388" customWidth="1"/>
    <col min="14107" max="14107" width="11.42578125" style="388" customWidth="1"/>
    <col min="14108" max="14108" width="13.140625" style="388" customWidth="1"/>
    <col min="14109" max="14109" width="12.85546875" style="388" customWidth="1"/>
    <col min="14110" max="14110" width="8.28515625" style="388" customWidth="1"/>
    <col min="14111" max="14111" width="8.85546875" style="388" customWidth="1"/>
    <col min="14112" max="14112" width="13.5703125" style="388" customWidth="1"/>
    <col min="14113" max="14113" width="14.140625" style="388" customWidth="1"/>
    <col min="14114" max="14114" width="13" style="388" customWidth="1"/>
    <col min="14115" max="14115" width="13.140625" style="388" customWidth="1"/>
    <col min="14116" max="14116" width="7.42578125" style="388" customWidth="1"/>
    <col min="14117" max="14117" width="8.28515625" style="388" customWidth="1"/>
    <col min="14118" max="14336" width="9.140625" style="388"/>
    <col min="14337" max="14337" width="0.140625" style="388" customWidth="1"/>
    <col min="14338" max="14338" width="23.5703125" style="388" customWidth="1"/>
    <col min="14339" max="14339" width="18.7109375" style="388" customWidth="1"/>
    <col min="14340" max="14340" width="14.42578125" style="388" customWidth="1"/>
    <col min="14341" max="14341" width="12.5703125" style="388" customWidth="1"/>
    <col min="14342" max="14342" width="13.7109375" style="388" customWidth="1"/>
    <col min="14343" max="14343" width="11.42578125" style="388" customWidth="1"/>
    <col min="14344" max="14344" width="13.140625" style="388" customWidth="1"/>
    <col min="14345" max="14345" width="10.7109375" style="388" customWidth="1"/>
    <col min="14346" max="14346" width="12.28515625" style="388" customWidth="1"/>
    <col min="14347" max="14347" width="11.7109375" style="388" customWidth="1"/>
    <col min="14348" max="14348" width="14.5703125" style="388" customWidth="1"/>
    <col min="14349" max="14349" width="14.140625" style="388" customWidth="1"/>
    <col min="14350" max="14350" width="13" style="388" customWidth="1"/>
    <col min="14351" max="14351" width="10.85546875" style="388" customWidth="1"/>
    <col min="14352" max="14352" width="14.140625" style="388" customWidth="1"/>
    <col min="14353" max="14353" width="14.85546875" style="388" customWidth="1"/>
    <col min="14354" max="14354" width="9" style="388" customWidth="1"/>
    <col min="14355" max="14355" width="14.140625" style="388" customWidth="1"/>
    <col min="14356" max="14356" width="9.28515625" style="388" customWidth="1"/>
    <col min="14357" max="14357" width="9.85546875" style="388" customWidth="1"/>
    <col min="14358" max="14358" width="13.5703125" style="388" customWidth="1"/>
    <col min="14359" max="14359" width="10.7109375" style="388" customWidth="1"/>
    <col min="14360" max="14360" width="13.42578125" style="388" customWidth="1"/>
    <col min="14361" max="14361" width="8.5703125" style="388" customWidth="1"/>
    <col min="14362" max="14362" width="9.5703125" style="388" customWidth="1"/>
    <col min="14363" max="14363" width="11.42578125" style="388" customWidth="1"/>
    <col min="14364" max="14364" width="13.140625" style="388" customWidth="1"/>
    <col min="14365" max="14365" width="12.85546875" style="388" customWidth="1"/>
    <col min="14366" max="14366" width="8.28515625" style="388" customWidth="1"/>
    <col min="14367" max="14367" width="8.85546875" style="388" customWidth="1"/>
    <col min="14368" max="14368" width="13.5703125" style="388" customWidth="1"/>
    <col min="14369" max="14369" width="14.140625" style="388" customWidth="1"/>
    <col min="14370" max="14370" width="13" style="388" customWidth="1"/>
    <col min="14371" max="14371" width="13.140625" style="388" customWidth="1"/>
    <col min="14372" max="14372" width="7.42578125" style="388" customWidth="1"/>
    <col min="14373" max="14373" width="8.28515625" style="388" customWidth="1"/>
    <col min="14374" max="14592" width="9.140625" style="388"/>
    <col min="14593" max="14593" width="0.140625" style="388" customWidth="1"/>
    <col min="14594" max="14594" width="23.5703125" style="388" customWidth="1"/>
    <col min="14595" max="14595" width="18.7109375" style="388" customWidth="1"/>
    <col min="14596" max="14596" width="14.42578125" style="388" customWidth="1"/>
    <col min="14597" max="14597" width="12.5703125" style="388" customWidth="1"/>
    <col min="14598" max="14598" width="13.7109375" style="388" customWidth="1"/>
    <col min="14599" max="14599" width="11.42578125" style="388" customWidth="1"/>
    <col min="14600" max="14600" width="13.140625" style="388" customWidth="1"/>
    <col min="14601" max="14601" width="10.7109375" style="388" customWidth="1"/>
    <col min="14602" max="14602" width="12.28515625" style="388" customWidth="1"/>
    <col min="14603" max="14603" width="11.7109375" style="388" customWidth="1"/>
    <col min="14604" max="14604" width="14.5703125" style="388" customWidth="1"/>
    <col min="14605" max="14605" width="14.140625" style="388" customWidth="1"/>
    <col min="14606" max="14606" width="13" style="388" customWidth="1"/>
    <col min="14607" max="14607" width="10.85546875" style="388" customWidth="1"/>
    <col min="14608" max="14608" width="14.140625" style="388" customWidth="1"/>
    <col min="14609" max="14609" width="14.85546875" style="388" customWidth="1"/>
    <col min="14610" max="14610" width="9" style="388" customWidth="1"/>
    <col min="14611" max="14611" width="14.140625" style="388" customWidth="1"/>
    <col min="14612" max="14612" width="9.28515625" style="388" customWidth="1"/>
    <col min="14613" max="14613" width="9.85546875" style="388" customWidth="1"/>
    <col min="14614" max="14614" width="13.5703125" style="388" customWidth="1"/>
    <col min="14615" max="14615" width="10.7109375" style="388" customWidth="1"/>
    <col min="14616" max="14616" width="13.42578125" style="388" customWidth="1"/>
    <col min="14617" max="14617" width="8.5703125" style="388" customWidth="1"/>
    <col min="14618" max="14618" width="9.5703125" style="388" customWidth="1"/>
    <col min="14619" max="14619" width="11.42578125" style="388" customWidth="1"/>
    <col min="14620" max="14620" width="13.140625" style="388" customWidth="1"/>
    <col min="14621" max="14621" width="12.85546875" style="388" customWidth="1"/>
    <col min="14622" max="14622" width="8.28515625" style="388" customWidth="1"/>
    <col min="14623" max="14623" width="8.85546875" style="388" customWidth="1"/>
    <col min="14624" max="14624" width="13.5703125" style="388" customWidth="1"/>
    <col min="14625" max="14625" width="14.140625" style="388" customWidth="1"/>
    <col min="14626" max="14626" width="13" style="388" customWidth="1"/>
    <col min="14627" max="14627" width="13.140625" style="388" customWidth="1"/>
    <col min="14628" max="14628" width="7.42578125" style="388" customWidth="1"/>
    <col min="14629" max="14629" width="8.28515625" style="388" customWidth="1"/>
    <col min="14630" max="14848" width="9.140625" style="388"/>
    <col min="14849" max="14849" width="0.140625" style="388" customWidth="1"/>
    <col min="14850" max="14850" width="23.5703125" style="388" customWidth="1"/>
    <col min="14851" max="14851" width="18.7109375" style="388" customWidth="1"/>
    <col min="14852" max="14852" width="14.42578125" style="388" customWidth="1"/>
    <col min="14853" max="14853" width="12.5703125" style="388" customWidth="1"/>
    <col min="14854" max="14854" width="13.7109375" style="388" customWidth="1"/>
    <col min="14855" max="14855" width="11.42578125" style="388" customWidth="1"/>
    <col min="14856" max="14856" width="13.140625" style="388" customWidth="1"/>
    <col min="14857" max="14857" width="10.7109375" style="388" customWidth="1"/>
    <col min="14858" max="14858" width="12.28515625" style="388" customWidth="1"/>
    <col min="14859" max="14859" width="11.7109375" style="388" customWidth="1"/>
    <col min="14860" max="14860" width="14.5703125" style="388" customWidth="1"/>
    <col min="14861" max="14861" width="14.140625" style="388" customWidth="1"/>
    <col min="14862" max="14862" width="13" style="388" customWidth="1"/>
    <col min="14863" max="14863" width="10.85546875" style="388" customWidth="1"/>
    <col min="14864" max="14864" width="14.140625" style="388" customWidth="1"/>
    <col min="14865" max="14865" width="14.85546875" style="388" customWidth="1"/>
    <col min="14866" max="14866" width="9" style="388" customWidth="1"/>
    <col min="14867" max="14867" width="14.140625" style="388" customWidth="1"/>
    <col min="14868" max="14868" width="9.28515625" style="388" customWidth="1"/>
    <col min="14869" max="14869" width="9.85546875" style="388" customWidth="1"/>
    <col min="14870" max="14870" width="13.5703125" style="388" customWidth="1"/>
    <col min="14871" max="14871" width="10.7109375" style="388" customWidth="1"/>
    <col min="14872" max="14872" width="13.42578125" style="388" customWidth="1"/>
    <col min="14873" max="14873" width="8.5703125" style="388" customWidth="1"/>
    <col min="14874" max="14874" width="9.5703125" style="388" customWidth="1"/>
    <col min="14875" max="14875" width="11.42578125" style="388" customWidth="1"/>
    <col min="14876" max="14876" width="13.140625" style="388" customWidth="1"/>
    <col min="14877" max="14877" width="12.85546875" style="388" customWidth="1"/>
    <col min="14878" max="14878" width="8.28515625" style="388" customWidth="1"/>
    <col min="14879" max="14879" width="8.85546875" style="388" customWidth="1"/>
    <col min="14880" max="14880" width="13.5703125" style="388" customWidth="1"/>
    <col min="14881" max="14881" width="14.140625" style="388" customWidth="1"/>
    <col min="14882" max="14882" width="13" style="388" customWidth="1"/>
    <col min="14883" max="14883" width="13.140625" style="388" customWidth="1"/>
    <col min="14884" max="14884" width="7.42578125" style="388" customWidth="1"/>
    <col min="14885" max="14885" width="8.28515625" style="388" customWidth="1"/>
    <col min="14886" max="15104" width="9.140625" style="388"/>
    <col min="15105" max="15105" width="0.140625" style="388" customWidth="1"/>
    <col min="15106" max="15106" width="23.5703125" style="388" customWidth="1"/>
    <col min="15107" max="15107" width="18.7109375" style="388" customWidth="1"/>
    <col min="15108" max="15108" width="14.42578125" style="388" customWidth="1"/>
    <col min="15109" max="15109" width="12.5703125" style="388" customWidth="1"/>
    <col min="15110" max="15110" width="13.7109375" style="388" customWidth="1"/>
    <col min="15111" max="15111" width="11.42578125" style="388" customWidth="1"/>
    <col min="15112" max="15112" width="13.140625" style="388" customWidth="1"/>
    <col min="15113" max="15113" width="10.7109375" style="388" customWidth="1"/>
    <col min="15114" max="15114" width="12.28515625" style="388" customWidth="1"/>
    <col min="15115" max="15115" width="11.7109375" style="388" customWidth="1"/>
    <col min="15116" max="15116" width="14.5703125" style="388" customWidth="1"/>
    <col min="15117" max="15117" width="14.140625" style="388" customWidth="1"/>
    <col min="15118" max="15118" width="13" style="388" customWidth="1"/>
    <col min="15119" max="15119" width="10.85546875" style="388" customWidth="1"/>
    <col min="15120" max="15120" width="14.140625" style="388" customWidth="1"/>
    <col min="15121" max="15121" width="14.85546875" style="388" customWidth="1"/>
    <col min="15122" max="15122" width="9" style="388" customWidth="1"/>
    <col min="15123" max="15123" width="14.140625" style="388" customWidth="1"/>
    <col min="15124" max="15124" width="9.28515625" style="388" customWidth="1"/>
    <col min="15125" max="15125" width="9.85546875" style="388" customWidth="1"/>
    <col min="15126" max="15126" width="13.5703125" style="388" customWidth="1"/>
    <col min="15127" max="15127" width="10.7109375" style="388" customWidth="1"/>
    <col min="15128" max="15128" width="13.42578125" style="388" customWidth="1"/>
    <col min="15129" max="15129" width="8.5703125" style="388" customWidth="1"/>
    <col min="15130" max="15130" width="9.5703125" style="388" customWidth="1"/>
    <col min="15131" max="15131" width="11.42578125" style="388" customWidth="1"/>
    <col min="15132" max="15132" width="13.140625" style="388" customWidth="1"/>
    <col min="15133" max="15133" width="12.85546875" style="388" customWidth="1"/>
    <col min="15134" max="15134" width="8.28515625" style="388" customWidth="1"/>
    <col min="15135" max="15135" width="8.85546875" style="388" customWidth="1"/>
    <col min="15136" max="15136" width="13.5703125" style="388" customWidth="1"/>
    <col min="15137" max="15137" width="14.140625" style="388" customWidth="1"/>
    <col min="15138" max="15138" width="13" style="388" customWidth="1"/>
    <col min="15139" max="15139" width="13.140625" style="388" customWidth="1"/>
    <col min="15140" max="15140" width="7.42578125" style="388" customWidth="1"/>
    <col min="15141" max="15141" width="8.28515625" style="388" customWidth="1"/>
    <col min="15142" max="15360" width="9.140625" style="388"/>
    <col min="15361" max="15361" width="0.140625" style="388" customWidth="1"/>
    <col min="15362" max="15362" width="23.5703125" style="388" customWidth="1"/>
    <col min="15363" max="15363" width="18.7109375" style="388" customWidth="1"/>
    <col min="15364" max="15364" width="14.42578125" style="388" customWidth="1"/>
    <col min="15365" max="15365" width="12.5703125" style="388" customWidth="1"/>
    <col min="15366" max="15366" width="13.7109375" style="388" customWidth="1"/>
    <col min="15367" max="15367" width="11.42578125" style="388" customWidth="1"/>
    <col min="15368" max="15368" width="13.140625" style="388" customWidth="1"/>
    <col min="15369" max="15369" width="10.7109375" style="388" customWidth="1"/>
    <col min="15370" max="15370" width="12.28515625" style="388" customWidth="1"/>
    <col min="15371" max="15371" width="11.7109375" style="388" customWidth="1"/>
    <col min="15372" max="15372" width="14.5703125" style="388" customWidth="1"/>
    <col min="15373" max="15373" width="14.140625" style="388" customWidth="1"/>
    <col min="15374" max="15374" width="13" style="388" customWidth="1"/>
    <col min="15375" max="15375" width="10.85546875" style="388" customWidth="1"/>
    <col min="15376" max="15376" width="14.140625" style="388" customWidth="1"/>
    <col min="15377" max="15377" width="14.85546875" style="388" customWidth="1"/>
    <col min="15378" max="15378" width="9" style="388" customWidth="1"/>
    <col min="15379" max="15379" width="14.140625" style="388" customWidth="1"/>
    <col min="15380" max="15380" width="9.28515625" style="388" customWidth="1"/>
    <col min="15381" max="15381" width="9.85546875" style="388" customWidth="1"/>
    <col min="15382" max="15382" width="13.5703125" style="388" customWidth="1"/>
    <col min="15383" max="15383" width="10.7109375" style="388" customWidth="1"/>
    <col min="15384" max="15384" width="13.42578125" style="388" customWidth="1"/>
    <col min="15385" max="15385" width="8.5703125" style="388" customWidth="1"/>
    <col min="15386" max="15386" width="9.5703125" style="388" customWidth="1"/>
    <col min="15387" max="15387" width="11.42578125" style="388" customWidth="1"/>
    <col min="15388" max="15388" width="13.140625" style="388" customWidth="1"/>
    <col min="15389" max="15389" width="12.85546875" style="388" customWidth="1"/>
    <col min="15390" max="15390" width="8.28515625" style="388" customWidth="1"/>
    <col min="15391" max="15391" width="8.85546875" style="388" customWidth="1"/>
    <col min="15392" max="15392" width="13.5703125" style="388" customWidth="1"/>
    <col min="15393" max="15393" width="14.140625" style="388" customWidth="1"/>
    <col min="15394" max="15394" width="13" style="388" customWidth="1"/>
    <col min="15395" max="15395" width="13.140625" style="388" customWidth="1"/>
    <col min="15396" max="15396" width="7.42578125" style="388" customWidth="1"/>
    <col min="15397" max="15397" width="8.28515625" style="388" customWidth="1"/>
    <col min="15398" max="15616" width="9.140625" style="388"/>
    <col min="15617" max="15617" width="0.140625" style="388" customWidth="1"/>
    <col min="15618" max="15618" width="23.5703125" style="388" customWidth="1"/>
    <col min="15619" max="15619" width="18.7109375" style="388" customWidth="1"/>
    <col min="15620" max="15620" width="14.42578125" style="388" customWidth="1"/>
    <col min="15621" max="15621" width="12.5703125" style="388" customWidth="1"/>
    <col min="15622" max="15622" width="13.7109375" style="388" customWidth="1"/>
    <col min="15623" max="15623" width="11.42578125" style="388" customWidth="1"/>
    <col min="15624" max="15624" width="13.140625" style="388" customWidth="1"/>
    <col min="15625" max="15625" width="10.7109375" style="388" customWidth="1"/>
    <col min="15626" max="15626" width="12.28515625" style="388" customWidth="1"/>
    <col min="15627" max="15627" width="11.7109375" style="388" customWidth="1"/>
    <col min="15628" max="15628" width="14.5703125" style="388" customWidth="1"/>
    <col min="15629" max="15629" width="14.140625" style="388" customWidth="1"/>
    <col min="15630" max="15630" width="13" style="388" customWidth="1"/>
    <col min="15631" max="15631" width="10.85546875" style="388" customWidth="1"/>
    <col min="15632" max="15632" width="14.140625" style="388" customWidth="1"/>
    <col min="15633" max="15633" width="14.85546875" style="388" customWidth="1"/>
    <col min="15634" max="15634" width="9" style="388" customWidth="1"/>
    <col min="15635" max="15635" width="14.140625" style="388" customWidth="1"/>
    <col min="15636" max="15636" width="9.28515625" style="388" customWidth="1"/>
    <col min="15637" max="15637" width="9.85546875" style="388" customWidth="1"/>
    <col min="15638" max="15638" width="13.5703125" style="388" customWidth="1"/>
    <col min="15639" max="15639" width="10.7109375" style="388" customWidth="1"/>
    <col min="15640" max="15640" width="13.42578125" style="388" customWidth="1"/>
    <col min="15641" max="15641" width="8.5703125" style="388" customWidth="1"/>
    <col min="15642" max="15642" width="9.5703125" style="388" customWidth="1"/>
    <col min="15643" max="15643" width="11.42578125" style="388" customWidth="1"/>
    <col min="15644" max="15644" width="13.140625" style="388" customWidth="1"/>
    <col min="15645" max="15645" width="12.85546875" style="388" customWidth="1"/>
    <col min="15646" max="15646" width="8.28515625" style="388" customWidth="1"/>
    <col min="15647" max="15647" width="8.85546875" style="388" customWidth="1"/>
    <col min="15648" max="15648" width="13.5703125" style="388" customWidth="1"/>
    <col min="15649" max="15649" width="14.140625" style="388" customWidth="1"/>
    <col min="15650" max="15650" width="13" style="388" customWidth="1"/>
    <col min="15651" max="15651" width="13.140625" style="388" customWidth="1"/>
    <col min="15652" max="15652" width="7.42578125" style="388" customWidth="1"/>
    <col min="15653" max="15653" width="8.28515625" style="388" customWidth="1"/>
    <col min="15654" max="15872" width="9.140625" style="388"/>
    <col min="15873" max="15873" width="0.140625" style="388" customWidth="1"/>
    <col min="15874" max="15874" width="23.5703125" style="388" customWidth="1"/>
    <col min="15875" max="15875" width="18.7109375" style="388" customWidth="1"/>
    <col min="15876" max="15876" width="14.42578125" style="388" customWidth="1"/>
    <col min="15877" max="15877" width="12.5703125" style="388" customWidth="1"/>
    <col min="15878" max="15878" width="13.7109375" style="388" customWidth="1"/>
    <col min="15879" max="15879" width="11.42578125" style="388" customWidth="1"/>
    <col min="15880" max="15880" width="13.140625" style="388" customWidth="1"/>
    <col min="15881" max="15881" width="10.7109375" style="388" customWidth="1"/>
    <col min="15882" max="15882" width="12.28515625" style="388" customWidth="1"/>
    <col min="15883" max="15883" width="11.7109375" style="388" customWidth="1"/>
    <col min="15884" max="15884" width="14.5703125" style="388" customWidth="1"/>
    <col min="15885" max="15885" width="14.140625" style="388" customWidth="1"/>
    <col min="15886" max="15886" width="13" style="388" customWidth="1"/>
    <col min="15887" max="15887" width="10.85546875" style="388" customWidth="1"/>
    <col min="15888" max="15888" width="14.140625" style="388" customWidth="1"/>
    <col min="15889" max="15889" width="14.85546875" style="388" customWidth="1"/>
    <col min="15890" max="15890" width="9" style="388" customWidth="1"/>
    <col min="15891" max="15891" width="14.140625" style="388" customWidth="1"/>
    <col min="15892" max="15892" width="9.28515625" style="388" customWidth="1"/>
    <col min="15893" max="15893" width="9.85546875" style="388" customWidth="1"/>
    <col min="15894" max="15894" width="13.5703125" style="388" customWidth="1"/>
    <col min="15895" max="15895" width="10.7109375" style="388" customWidth="1"/>
    <col min="15896" max="15896" width="13.42578125" style="388" customWidth="1"/>
    <col min="15897" max="15897" width="8.5703125" style="388" customWidth="1"/>
    <col min="15898" max="15898" width="9.5703125" style="388" customWidth="1"/>
    <col min="15899" max="15899" width="11.42578125" style="388" customWidth="1"/>
    <col min="15900" max="15900" width="13.140625" style="388" customWidth="1"/>
    <col min="15901" max="15901" width="12.85546875" style="388" customWidth="1"/>
    <col min="15902" max="15902" width="8.28515625" style="388" customWidth="1"/>
    <col min="15903" max="15903" width="8.85546875" style="388" customWidth="1"/>
    <col min="15904" max="15904" width="13.5703125" style="388" customWidth="1"/>
    <col min="15905" max="15905" width="14.140625" style="388" customWidth="1"/>
    <col min="15906" max="15906" width="13" style="388" customWidth="1"/>
    <col min="15907" max="15907" width="13.140625" style="388" customWidth="1"/>
    <col min="15908" max="15908" width="7.42578125" style="388" customWidth="1"/>
    <col min="15909" max="15909" width="8.28515625" style="388" customWidth="1"/>
    <col min="15910" max="16128" width="9.140625" style="388"/>
    <col min="16129" max="16129" width="0.140625" style="388" customWidth="1"/>
    <col min="16130" max="16130" width="23.5703125" style="388" customWidth="1"/>
    <col min="16131" max="16131" width="18.7109375" style="388" customWidth="1"/>
    <col min="16132" max="16132" width="14.42578125" style="388" customWidth="1"/>
    <col min="16133" max="16133" width="12.5703125" style="388" customWidth="1"/>
    <col min="16134" max="16134" width="13.7109375" style="388" customWidth="1"/>
    <col min="16135" max="16135" width="11.42578125" style="388" customWidth="1"/>
    <col min="16136" max="16136" width="13.140625" style="388" customWidth="1"/>
    <col min="16137" max="16137" width="10.7109375" style="388" customWidth="1"/>
    <col min="16138" max="16138" width="12.28515625" style="388" customWidth="1"/>
    <col min="16139" max="16139" width="11.7109375" style="388" customWidth="1"/>
    <col min="16140" max="16140" width="14.5703125" style="388" customWidth="1"/>
    <col min="16141" max="16141" width="14.140625" style="388" customWidth="1"/>
    <col min="16142" max="16142" width="13" style="388" customWidth="1"/>
    <col min="16143" max="16143" width="10.85546875" style="388" customWidth="1"/>
    <col min="16144" max="16144" width="14.140625" style="388" customWidth="1"/>
    <col min="16145" max="16145" width="14.85546875" style="388" customWidth="1"/>
    <col min="16146" max="16146" width="9" style="388" customWidth="1"/>
    <col min="16147" max="16147" width="14.140625" style="388" customWidth="1"/>
    <col min="16148" max="16148" width="9.28515625" style="388" customWidth="1"/>
    <col min="16149" max="16149" width="9.85546875" style="388" customWidth="1"/>
    <col min="16150" max="16150" width="13.5703125" style="388" customWidth="1"/>
    <col min="16151" max="16151" width="10.7109375" style="388" customWidth="1"/>
    <col min="16152" max="16152" width="13.42578125" style="388" customWidth="1"/>
    <col min="16153" max="16153" width="8.5703125" style="388" customWidth="1"/>
    <col min="16154" max="16154" width="9.5703125" style="388" customWidth="1"/>
    <col min="16155" max="16155" width="11.42578125" style="388" customWidth="1"/>
    <col min="16156" max="16156" width="13.140625" style="388" customWidth="1"/>
    <col min="16157" max="16157" width="12.85546875" style="388" customWidth="1"/>
    <col min="16158" max="16158" width="8.28515625" style="388" customWidth="1"/>
    <col min="16159" max="16159" width="8.85546875" style="388" customWidth="1"/>
    <col min="16160" max="16160" width="13.5703125" style="388" customWidth="1"/>
    <col min="16161" max="16161" width="14.140625" style="388" customWidth="1"/>
    <col min="16162" max="16162" width="13" style="388" customWidth="1"/>
    <col min="16163" max="16163" width="13.140625" style="388" customWidth="1"/>
    <col min="16164" max="16164" width="7.42578125" style="388" customWidth="1"/>
    <col min="16165" max="16165" width="8.28515625" style="388" customWidth="1"/>
    <col min="16166" max="16384" width="9.140625" style="388"/>
  </cols>
  <sheetData>
    <row r="1" spans="1:154" ht="29.25" customHeight="1">
      <c r="A1" s="384"/>
      <c r="B1" s="1932" t="s">
        <v>1165</v>
      </c>
      <c r="C1" s="1932"/>
      <c r="D1" s="1932"/>
      <c r="E1" s="1932"/>
      <c r="F1" s="1932"/>
      <c r="G1" s="1932"/>
      <c r="H1" s="1932"/>
      <c r="I1" s="1932"/>
      <c r="J1" s="1932"/>
      <c r="K1" s="1932"/>
      <c r="L1" s="1932"/>
      <c r="M1" s="1932"/>
      <c r="N1" s="1932"/>
      <c r="O1" s="1932"/>
      <c r="P1" s="1932"/>
      <c r="Q1" s="1932"/>
      <c r="R1" s="1932"/>
      <c r="S1" s="385"/>
      <c r="T1" s="385"/>
      <c r="U1" s="386">
        <f>F8-Q8</f>
        <v>79.251614183187485</v>
      </c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8">
        <f>AC8-AD8-AE8</f>
        <v>10589753.117185296</v>
      </c>
      <c r="AG1" s="387"/>
      <c r="AH1" s="387">
        <f>AF8-AG8</f>
        <v>-218587.08467296138</v>
      </c>
      <c r="AI1" s="387">
        <f>V8-AG8</f>
        <v>-605.01503676921129</v>
      </c>
      <c r="AJ1" s="389"/>
      <c r="AK1" s="389"/>
    </row>
    <row r="2" spans="1:154" ht="43.5" hidden="1" customHeight="1">
      <c r="A2" s="391"/>
      <c r="B2" s="392"/>
      <c r="C2" s="393"/>
      <c r="D2" s="393"/>
      <c r="E2" s="394"/>
      <c r="F2" s="393"/>
      <c r="G2" s="393"/>
      <c r="H2" s="393"/>
      <c r="I2" s="393"/>
      <c r="J2" s="393"/>
      <c r="K2" s="393"/>
      <c r="L2" s="393">
        <f>H8-J8</f>
        <v>230476994.45031208</v>
      </c>
      <c r="M2" s="395">
        <f>D8-M8</f>
        <v>80.703813642263412</v>
      </c>
      <c r="N2" s="393"/>
      <c r="O2" s="393"/>
      <c r="P2" s="394">
        <f>M8-N8-O8</f>
        <v>169374666.11160037</v>
      </c>
      <c r="Q2" s="393"/>
      <c r="R2" s="393"/>
      <c r="S2" s="393">
        <f>F8-Q8</f>
        <v>79.251614183187485</v>
      </c>
      <c r="T2" s="396">
        <f>M8/(N8+F8)</f>
        <v>1.0028401691932622</v>
      </c>
      <c r="U2" s="396">
        <f>Q8/F8</f>
        <v>0.99999953209309267</v>
      </c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>
        <f>V8-AG8</f>
        <v>-605.01503676921129</v>
      </c>
      <c r="AJ2" s="393"/>
      <c r="AK2" s="393"/>
    </row>
    <row r="3" spans="1:154" ht="43.5" hidden="1" customHeight="1">
      <c r="A3" s="391"/>
      <c r="B3" s="392"/>
      <c r="C3" s="393"/>
      <c r="D3" s="394">
        <f>D9+D10+D11+D12+D13+D14+D15</f>
        <v>228806869.3410717</v>
      </c>
      <c r="E3" s="394">
        <f t="shared" ref="E3:AK3" si="0">E9+E10+E11+E12+E13+E14+E15</f>
        <v>59432122.059799999</v>
      </c>
      <c r="F3" s="394">
        <f t="shared" si="0"/>
        <v>169374747.30698344</v>
      </c>
      <c r="G3" s="394">
        <f t="shared" si="0"/>
        <v>4172750</v>
      </c>
      <c r="H3" s="394">
        <f t="shared" si="0"/>
        <v>241010378.78556749</v>
      </c>
      <c r="I3" s="394">
        <f>I9+I10+I11+I12+I13+I14+I15</f>
        <v>236641</v>
      </c>
      <c r="J3" s="394">
        <f t="shared" si="0"/>
        <v>10533384.335255412</v>
      </c>
      <c r="K3" s="394">
        <f t="shared" si="0"/>
        <v>4086847</v>
      </c>
      <c r="L3" s="394">
        <f t="shared" si="0"/>
        <v>229315587.20355153</v>
      </c>
      <c r="M3" s="397">
        <f t="shared" si="0"/>
        <v>228806788.63725805</v>
      </c>
      <c r="N3" s="394">
        <f t="shared" si="0"/>
        <v>58784031.794697672</v>
      </c>
      <c r="O3" s="394">
        <f t="shared" si="0"/>
        <v>648090.73095999984</v>
      </c>
      <c r="P3" s="394">
        <f t="shared" si="0"/>
        <v>169374666.58361688</v>
      </c>
      <c r="Q3" s="394">
        <f t="shared" si="0"/>
        <v>169374668.05536926</v>
      </c>
      <c r="R3" s="394">
        <f t="shared" si="0"/>
        <v>-1.471332406086816</v>
      </c>
      <c r="S3" s="394">
        <f t="shared" si="0"/>
        <v>79.254224169476856</v>
      </c>
      <c r="T3" s="394" t="e">
        <f t="shared" si="0"/>
        <v>#DIV/0!</v>
      </c>
      <c r="U3" s="394" t="e">
        <f t="shared" si="0"/>
        <v>#DIV/0!</v>
      </c>
      <c r="V3" s="394">
        <f t="shared" si="0"/>
        <v>10807735.186821491</v>
      </c>
      <c r="W3" s="394">
        <f t="shared" si="0"/>
        <v>144309</v>
      </c>
      <c r="X3" s="394">
        <f t="shared" si="0"/>
        <v>11098733.038527235</v>
      </c>
      <c r="Y3" s="394">
        <f t="shared" si="0"/>
        <v>9386</v>
      </c>
      <c r="Z3" s="394">
        <f t="shared" si="0"/>
        <v>671298.98569420388</v>
      </c>
      <c r="AA3" s="394">
        <f t="shared" si="0"/>
        <v>140350</v>
      </c>
      <c r="AB3" s="394">
        <f t="shared" si="0"/>
        <v>10649752.792375298</v>
      </c>
      <c r="AC3" s="394">
        <f t="shared" si="0"/>
        <v>10589753.115305297</v>
      </c>
      <c r="AD3" s="394" t="e">
        <f t="shared" si="0"/>
        <v>#VALUE!</v>
      </c>
      <c r="AE3" s="394">
        <f t="shared" si="0"/>
        <v>0</v>
      </c>
      <c r="AF3" s="394">
        <f t="shared" si="0"/>
        <v>10589753.117185298</v>
      </c>
      <c r="AG3" s="394">
        <f t="shared" si="0"/>
        <v>10808340.20185826</v>
      </c>
      <c r="AH3" s="394">
        <f t="shared" si="0"/>
        <v>-217346.33667296171</v>
      </c>
      <c r="AI3" s="394">
        <f t="shared" si="0"/>
        <v>-605.01503676857828</v>
      </c>
      <c r="AJ3" s="394">
        <f t="shared" si="0"/>
        <v>4.3760490987252068</v>
      </c>
      <c r="AK3" s="394">
        <f t="shared" si="0"/>
        <v>4.7423353750534849</v>
      </c>
    </row>
    <row r="4" spans="1:154" ht="12.75" customHeight="1">
      <c r="A4" s="1925" t="s">
        <v>1148</v>
      </c>
      <c r="B4" s="1922" t="s">
        <v>1166</v>
      </c>
      <c r="C4" s="1933"/>
      <c r="D4" s="1922" t="s">
        <v>1167</v>
      </c>
      <c r="E4" s="1922" t="s">
        <v>1168</v>
      </c>
      <c r="F4" s="1922" t="s">
        <v>1169</v>
      </c>
      <c r="G4" s="1922"/>
      <c r="H4" s="1922"/>
      <c r="I4" s="1922"/>
      <c r="J4" s="1922"/>
      <c r="K4" s="1922"/>
      <c r="L4" s="1922"/>
      <c r="M4" s="1922"/>
      <c r="N4" s="1922"/>
      <c r="O4" s="1922"/>
      <c r="P4" s="1922"/>
      <c r="Q4" s="1922"/>
      <c r="R4" s="1922"/>
      <c r="S4" s="1922"/>
      <c r="T4" s="1922"/>
      <c r="U4" s="398"/>
      <c r="V4" s="1922" t="s">
        <v>1170</v>
      </c>
      <c r="W4" s="1922"/>
      <c r="X4" s="1922"/>
      <c r="Y4" s="1922"/>
      <c r="Z4" s="1922"/>
      <c r="AA4" s="1922"/>
      <c r="AB4" s="1922"/>
      <c r="AC4" s="1922"/>
      <c r="AD4" s="1922"/>
      <c r="AE4" s="1922"/>
      <c r="AF4" s="1922"/>
      <c r="AG4" s="1922"/>
      <c r="AH4" s="1922"/>
      <c r="AI4" s="1922"/>
      <c r="AJ4" s="1922"/>
      <c r="AK4" s="1922"/>
    </row>
    <row r="5" spans="1:154" ht="48" customHeight="1">
      <c r="A5" s="1925"/>
      <c r="B5" s="1922"/>
      <c r="C5" s="1933"/>
      <c r="D5" s="1922"/>
      <c r="E5" s="1922"/>
      <c r="F5" s="1922" t="s">
        <v>1171</v>
      </c>
      <c r="G5" s="1922" t="s">
        <v>1172</v>
      </c>
      <c r="H5" s="1922"/>
      <c r="I5" s="1922" t="s">
        <v>1173</v>
      </c>
      <c r="J5" s="1922"/>
      <c r="K5" s="1922" t="s">
        <v>1174</v>
      </c>
      <c r="L5" s="1922"/>
      <c r="M5" s="1931" t="s">
        <v>1175</v>
      </c>
      <c r="N5" s="1922" t="s">
        <v>1176</v>
      </c>
      <c r="O5" s="1922"/>
      <c r="P5" s="1922" t="s">
        <v>1177</v>
      </c>
      <c r="Q5" s="1922" t="s">
        <v>1178</v>
      </c>
      <c r="R5" s="1922" t="s">
        <v>1179</v>
      </c>
      <c r="S5" s="1922" t="s">
        <v>1180</v>
      </c>
      <c r="T5" s="1922" t="s">
        <v>1181</v>
      </c>
      <c r="U5" s="1922" t="s">
        <v>1182</v>
      </c>
      <c r="V5" s="1922" t="s">
        <v>1183</v>
      </c>
      <c r="W5" s="1922" t="s">
        <v>1172</v>
      </c>
      <c r="X5" s="1922"/>
      <c r="Y5" s="1922" t="s">
        <v>1173</v>
      </c>
      <c r="Z5" s="1922"/>
      <c r="AA5" s="1922" t="s">
        <v>1174</v>
      </c>
      <c r="AB5" s="1922"/>
      <c r="AC5" s="1922" t="s">
        <v>1175</v>
      </c>
      <c r="AD5" s="1922" t="s">
        <v>1184</v>
      </c>
      <c r="AE5" s="1922"/>
      <c r="AF5" s="1922" t="s">
        <v>1185</v>
      </c>
      <c r="AG5" s="1922" t="s">
        <v>1178</v>
      </c>
      <c r="AH5" s="1922" t="s">
        <v>1186</v>
      </c>
      <c r="AI5" s="1922" t="s">
        <v>1187</v>
      </c>
      <c r="AJ5" s="1922" t="s">
        <v>1181</v>
      </c>
      <c r="AK5" s="1922" t="s">
        <v>1182</v>
      </c>
    </row>
    <row r="6" spans="1:154" ht="39.75" customHeight="1">
      <c r="A6" s="1925"/>
      <c r="B6" s="1922"/>
      <c r="C6" s="1933"/>
      <c r="D6" s="1922"/>
      <c r="E6" s="1922"/>
      <c r="F6" s="1922"/>
      <c r="G6" s="398" t="s">
        <v>1188</v>
      </c>
      <c r="H6" s="398" t="s">
        <v>1189</v>
      </c>
      <c r="I6" s="398" t="s">
        <v>1188</v>
      </c>
      <c r="J6" s="398" t="s">
        <v>1189</v>
      </c>
      <c r="K6" s="398" t="s">
        <v>1188</v>
      </c>
      <c r="L6" s="398" t="s">
        <v>1189</v>
      </c>
      <c r="M6" s="1931"/>
      <c r="N6" s="398" t="s">
        <v>1190</v>
      </c>
      <c r="O6" s="398" t="s">
        <v>1191</v>
      </c>
      <c r="P6" s="1922"/>
      <c r="Q6" s="1922"/>
      <c r="R6" s="1922"/>
      <c r="S6" s="1922"/>
      <c r="T6" s="1922"/>
      <c r="U6" s="1922"/>
      <c r="V6" s="1922"/>
      <c r="W6" s="398" t="s">
        <v>1188</v>
      </c>
      <c r="X6" s="398" t="s">
        <v>1189</v>
      </c>
      <c r="Y6" s="398" t="s">
        <v>1188</v>
      </c>
      <c r="Z6" s="398" t="s">
        <v>1189</v>
      </c>
      <c r="AA6" s="398" t="s">
        <v>1188</v>
      </c>
      <c r="AB6" s="398" t="s">
        <v>1189</v>
      </c>
      <c r="AC6" s="1922"/>
      <c r="AD6" s="398" t="s">
        <v>1190</v>
      </c>
      <c r="AE6" s="398" t="s">
        <v>1191</v>
      </c>
      <c r="AF6" s="1922"/>
      <c r="AG6" s="1922"/>
      <c r="AH6" s="1922"/>
      <c r="AI6" s="1922"/>
      <c r="AJ6" s="1922"/>
      <c r="AK6" s="1922"/>
    </row>
    <row r="7" spans="1:154" s="406" customFormat="1" ht="11.25">
      <c r="A7" s="399" t="s">
        <v>1192</v>
      </c>
      <c r="B7" s="400" t="s">
        <v>1193</v>
      </c>
      <c r="C7" s="401" t="s">
        <v>1194</v>
      </c>
      <c r="D7" s="402">
        <v>1</v>
      </c>
      <c r="E7" s="402">
        <v>2</v>
      </c>
      <c r="F7" s="402">
        <v>3</v>
      </c>
      <c r="G7" s="402">
        <v>4</v>
      </c>
      <c r="H7" s="402">
        <v>5</v>
      </c>
      <c r="I7" s="402">
        <v>6</v>
      </c>
      <c r="J7" s="402">
        <v>7</v>
      </c>
      <c r="K7" s="402">
        <v>8</v>
      </c>
      <c r="L7" s="402">
        <v>9</v>
      </c>
      <c r="M7" s="403">
        <v>10</v>
      </c>
      <c r="N7" s="402">
        <v>11</v>
      </c>
      <c r="O7" s="402">
        <v>12</v>
      </c>
      <c r="P7" s="402">
        <v>13</v>
      </c>
      <c r="Q7" s="402">
        <v>14</v>
      </c>
      <c r="R7" s="402">
        <v>15</v>
      </c>
      <c r="S7" s="402">
        <v>16</v>
      </c>
      <c r="T7" s="402"/>
      <c r="U7" s="402"/>
      <c r="V7" s="402">
        <v>18</v>
      </c>
      <c r="W7" s="402">
        <v>19</v>
      </c>
      <c r="X7" s="402">
        <v>20</v>
      </c>
      <c r="Y7" s="402">
        <v>21</v>
      </c>
      <c r="Z7" s="402">
        <v>22</v>
      </c>
      <c r="AA7" s="402">
        <v>23</v>
      </c>
      <c r="AB7" s="402">
        <v>24</v>
      </c>
      <c r="AC7" s="402">
        <v>25</v>
      </c>
      <c r="AD7" s="402">
        <v>26</v>
      </c>
      <c r="AE7" s="402">
        <v>27</v>
      </c>
      <c r="AF7" s="402">
        <v>28</v>
      </c>
      <c r="AG7" s="402">
        <v>29</v>
      </c>
      <c r="AH7" s="402">
        <v>30</v>
      </c>
      <c r="AI7" s="402">
        <v>31</v>
      </c>
      <c r="AJ7" s="404"/>
      <c r="AK7" s="404"/>
      <c r="AL7" s="405"/>
      <c r="AM7" s="405"/>
      <c r="AN7" s="405"/>
      <c r="AO7" s="405"/>
      <c r="AP7" s="405"/>
      <c r="AQ7" s="405"/>
      <c r="AR7" s="405"/>
      <c r="AS7" s="405"/>
      <c r="AT7" s="405"/>
      <c r="AU7" s="405"/>
      <c r="AV7" s="405"/>
      <c r="AW7" s="405"/>
      <c r="AX7" s="405"/>
      <c r="AY7" s="405"/>
      <c r="AZ7" s="405"/>
      <c r="BA7" s="405"/>
      <c r="BB7" s="405"/>
      <c r="BC7" s="405"/>
      <c r="BD7" s="405"/>
      <c r="BE7" s="405"/>
      <c r="BF7" s="405"/>
      <c r="BG7" s="405"/>
      <c r="BH7" s="405"/>
      <c r="BI7" s="405"/>
      <c r="BJ7" s="405"/>
      <c r="BK7" s="405"/>
      <c r="BL7" s="405"/>
      <c r="BM7" s="405"/>
      <c r="BN7" s="405"/>
      <c r="BO7" s="405"/>
      <c r="BP7" s="405"/>
      <c r="BQ7" s="405"/>
      <c r="BR7" s="405"/>
      <c r="BS7" s="405"/>
      <c r="BT7" s="405"/>
      <c r="BU7" s="405"/>
      <c r="BV7" s="405"/>
      <c r="BW7" s="405"/>
      <c r="BX7" s="405"/>
      <c r="BY7" s="405"/>
      <c r="BZ7" s="405"/>
      <c r="CA7" s="405"/>
      <c r="CB7" s="405"/>
      <c r="CC7" s="405"/>
      <c r="CD7" s="405"/>
      <c r="CE7" s="405"/>
      <c r="CF7" s="405"/>
      <c r="CG7" s="405"/>
      <c r="CH7" s="405"/>
      <c r="CI7" s="405"/>
      <c r="CJ7" s="405"/>
      <c r="CK7" s="405"/>
      <c r="CL7" s="405"/>
      <c r="CM7" s="405"/>
      <c r="CN7" s="405"/>
      <c r="CO7" s="405"/>
      <c r="CP7" s="405"/>
      <c r="CQ7" s="405"/>
      <c r="CR7" s="405"/>
      <c r="CS7" s="405"/>
      <c r="CT7" s="405"/>
      <c r="CU7" s="405"/>
      <c r="CV7" s="405"/>
      <c r="CW7" s="405"/>
      <c r="CX7" s="405"/>
      <c r="CY7" s="405"/>
      <c r="CZ7" s="405"/>
      <c r="DA7" s="405"/>
      <c r="DB7" s="405"/>
      <c r="DC7" s="405"/>
      <c r="DD7" s="405"/>
      <c r="DE7" s="405"/>
      <c r="DF7" s="405"/>
      <c r="DG7" s="405"/>
      <c r="DH7" s="405"/>
      <c r="DI7" s="405"/>
      <c r="DJ7" s="405"/>
      <c r="DK7" s="405"/>
      <c r="DL7" s="405"/>
      <c r="DM7" s="405"/>
      <c r="DN7" s="405"/>
      <c r="DO7" s="405"/>
      <c r="DP7" s="405"/>
      <c r="DQ7" s="405"/>
      <c r="DR7" s="405"/>
      <c r="DS7" s="405"/>
      <c r="DT7" s="405"/>
      <c r="DU7" s="405"/>
      <c r="DV7" s="405"/>
      <c r="DW7" s="405"/>
      <c r="DX7" s="405"/>
      <c r="DY7" s="405"/>
      <c r="DZ7" s="405"/>
      <c r="EA7" s="405"/>
      <c r="EB7" s="405"/>
      <c r="EC7" s="405"/>
      <c r="ED7" s="405"/>
      <c r="EE7" s="405"/>
      <c r="EF7" s="405"/>
      <c r="EG7" s="405"/>
      <c r="EH7" s="405"/>
      <c r="EI7" s="405"/>
      <c r="EJ7" s="405"/>
      <c r="EK7" s="405"/>
      <c r="EL7" s="405"/>
      <c r="EM7" s="405"/>
      <c r="EN7" s="405"/>
      <c r="EO7" s="405"/>
      <c r="EP7" s="405"/>
      <c r="EQ7" s="405"/>
      <c r="ER7" s="405"/>
      <c r="ES7" s="405"/>
      <c r="ET7" s="405"/>
      <c r="EU7" s="405"/>
      <c r="EV7" s="405"/>
      <c r="EW7" s="405"/>
      <c r="EX7" s="405"/>
    </row>
    <row r="8" spans="1:154" s="415" customFormat="1" ht="16.5" customHeight="1">
      <c r="A8" s="1921"/>
      <c r="B8" s="1922" t="s">
        <v>1195</v>
      </c>
      <c r="C8" s="407" t="s">
        <v>1196</v>
      </c>
      <c r="D8" s="408">
        <f t="shared" ref="D8:S8" si="1">D9+D10+D11+D12+D13+D14+D15</f>
        <v>228806869.3410717</v>
      </c>
      <c r="E8" s="408">
        <f t="shared" si="1"/>
        <v>59432122.059799999</v>
      </c>
      <c r="F8" s="408">
        <f t="shared" si="1"/>
        <v>169374747.30698344</v>
      </c>
      <c r="G8" s="408">
        <f t="shared" si="1"/>
        <v>4172750</v>
      </c>
      <c r="H8" s="408">
        <f t="shared" si="1"/>
        <v>241010378.78556749</v>
      </c>
      <c r="I8" s="408">
        <f t="shared" si="1"/>
        <v>236641</v>
      </c>
      <c r="J8" s="408">
        <f t="shared" si="1"/>
        <v>10533384.335255412</v>
      </c>
      <c r="K8" s="408">
        <f t="shared" si="1"/>
        <v>4086847</v>
      </c>
      <c r="L8" s="408">
        <f t="shared" si="1"/>
        <v>229315587.20355153</v>
      </c>
      <c r="M8" s="409">
        <f t="shared" si="1"/>
        <v>228806788.63725805</v>
      </c>
      <c r="N8" s="408">
        <f t="shared" si="1"/>
        <v>58784031.794697672</v>
      </c>
      <c r="O8" s="408">
        <f t="shared" si="1"/>
        <v>648090.73095999984</v>
      </c>
      <c r="P8" s="408">
        <f t="shared" si="1"/>
        <v>169374666.58361688</v>
      </c>
      <c r="Q8" s="408">
        <f t="shared" si="1"/>
        <v>169374668.05536926</v>
      </c>
      <c r="R8" s="408">
        <f t="shared" si="1"/>
        <v>-1.471332406086816</v>
      </c>
      <c r="S8" s="410">
        <f t="shared" si="1"/>
        <v>79.254224169476856</v>
      </c>
      <c r="T8" s="411">
        <f>M8/(N8+F8)</f>
        <v>1.0028401691932622</v>
      </c>
      <c r="U8" s="411">
        <f>Q8/F8</f>
        <v>0.99999953209309267</v>
      </c>
      <c r="V8" s="408">
        <f>V9+V10+V11+V12+V13+V14+V15</f>
        <v>10807735.186821491</v>
      </c>
      <c r="W8" s="408">
        <f t="shared" ref="W8:AC8" si="2">W9+W10+W11+W12+W13+W14+W15</f>
        <v>144309</v>
      </c>
      <c r="X8" s="408">
        <f t="shared" si="2"/>
        <v>11098733.038527235</v>
      </c>
      <c r="Y8" s="408">
        <f t="shared" si="2"/>
        <v>9386</v>
      </c>
      <c r="Z8" s="408">
        <f t="shared" si="2"/>
        <v>671298.98569420388</v>
      </c>
      <c r="AA8" s="408">
        <f t="shared" si="2"/>
        <v>140350</v>
      </c>
      <c r="AB8" s="408">
        <f t="shared" si="2"/>
        <v>10649752.792375298</v>
      </c>
      <c r="AC8" s="408">
        <f t="shared" si="2"/>
        <v>10589753.115305297</v>
      </c>
      <c r="AD8" s="408">
        <f>AD9+AD10+AD11</f>
        <v>-1.8799997030782833E-3</v>
      </c>
      <c r="AE8" s="408">
        <f>AE9+AE10+AE11+AE12+AE13+AE14+AE15</f>
        <v>0</v>
      </c>
      <c r="AF8" s="408">
        <f>AF9+AF10+AF11+AF12+AF13+AF14+AF15</f>
        <v>10589753.117185298</v>
      </c>
      <c r="AG8" s="408">
        <f>AG9+AG10+AG11+AG12+AG13+AG14+AG15</f>
        <v>10808340.20185826</v>
      </c>
      <c r="AH8" s="408">
        <f>AH9+AH10+AH11+AH12+AH13+AH14+AH15</f>
        <v>-217346.33667296171</v>
      </c>
      <c r="AI8" s="408">
        <f>AI9+AI10+AI11+AI12+AI13+AI14+AI15</f>
        <v>-605.01503676857828</v>
      </c>
      <c r="AJ8" s="412">
        <f>AC8/(AD8+V8)</f>
        <v>0.97983092054846876</v>
      </c>
      <c r="AK8" s="413">
        <f>AG8/V8</f>
        <v>1.0000559798168913</v>
      </c>
      <c r="AL8" s="414"/>
      <c r="AM8" s="414"/>
      <c r="AN8" s="414"/>
      <c r="AO8" s="414"/>
      <c r="AP8" s="414"/>
      <c r="AQ8" s="414"/>
      <c r="AR8" s="414"/>
      <c r="AS8" s="414"/>
      <c r="AT8" s="414"/>
      <c r="AU8" s="414"/>
      <c r="AV8" s="414"/>
      <c r="AW8" s="414"/>
      <c r="AX8" s="414"/>
      <c r="AY8" s="414"/>
      <c r="AZ8" s="414"/>
      <c r="BA8" s="414"/>
      <c r="BB8" s="414"/>
      <c r="BC8" s="414"/>
      <c r="BD8" s="414"/>
      <c r="BE8" s="414"/>
      <c r="BF8" s="414"/>
      <c r="BG8" s="414"/>
      <c r="BH8" s="414"/>
      <c r="BI8" s="414"/>
      <c r="BJ8" s="414"/>
      <c r="BK8" s="414"/>
      <c r="BL8" s="414"/>
      <c r="BM8" s="414"/>
      <c r="BN8" s="414"/>
      <c r="BO8" s="414"/>
      <c r="BP8" s="414"/>
      <c r="BQ8" s="414"/>
      <c r="BR8" s="414"/>
      <c r="BS8" s="414"/>
      <c r="BT8" s="414"/>
      <c r="BU8" s="414"/>
      <c r="BV8" s="414"/>
      <c r="BW8" s="414"/>
      <c r="BX8" s="414"/>
      <c r="BY8" s="414"/>
      <c r="BZ8" s="414"/>
      <c r="CA8" s="414"/>
      <c r="CB8" s="414"/>
      <c r="CC8" s="414"/>
      <c r="CD8" s="414"/>
      <c r="CE8" s="414"/>
      <c r="CF8" s="414"/>
      <c r="CG8" s="414"/>
      <c r="CH8" s="414"/>
      <c r="CI8" s="414"/>
      <c r="CJ8" s="414"/>
      <c r="CK8" s="414"/>
      <c r="CL8" s="414"/>
      <c r="CM8" s="414"/>
      <c r="CN8" s="414"/>
      <c r="CO8" s="414"/>
      <c r="CP8" s="414"/>
      <c r="CQ8" s="414"/>
      <c r="CR8" s="414"/>
      <c r="CS8" s="414"/>
      <c r="CT8" s="414"/>
      <c r="CU8" s="414"/>
      <c r="CV8" s="414"/>
      <c r="CW8" s="414"/>
      <c r="CX8" s="414"/>
      <c r="CY8" s="414"/>
      <c r="CZ8" s="414"/>
      <c r="DA8" s="414"/>
      <c r="DB8" s="414"/>
      <c r="DC8" s="414"/>
      <c r="DD8" s="414"/>
      <c r="DE8" s="414"/>
      <c r="DF8" s="414"/>
      <c r="DG8" s="414"/>
      <c r="DH8" s="414"/>
      <c r="DI8" s="414"/>
      <c r="DJ8" s="414"/>
      <c r="DK8" s="414"/>
      <c r="DL8" s="414"/>
      <c r="DM8" s="414"/>
      <c r="DN8" s="414"/>
      <c r="DO8" s="414"/>
      <c r="DP8" s="414"/>
      <c r="DQ8" s="414"/>
      <c r="DR8" s="414"/>
      <c r="DS8" s="414"/>
      <c r="DT8" s="414"/>
      <c r="DU8" s="414"/>
      <c r="DV8" s="414"/>
      <c r="DW8" s="414"/>
      <c r="DX8" s="414"/>
      <c r="DY8" s="414"/>
      <c r="DZ8" s="414"/>
      <c r="EA8" s="414"/>
      <c r="EB8" s="414"/>
      <c r="EC8" s="414"/>
      <c r="ED8" s="414"/>
      <c r="EE8" s="414"/>
      <c r="EF8" s="414"/>
      <c r="EG8" s="414"/>
      <c r="EH8" s="414"/>
      <c r="EI8" s="414"/>
      <c r="EJ8" s="414"/>
      <c r="EK8" s="414"/>
      <c r="EL8" s="414"/>
      <c r="EM8" s="414"/>
      <c r="EN8" s="414"/>
      <c r="EO8" s="414"/>
      <c r="EP8" s="414"/>
      <c r="EQ8" s="414"/>
      <c r="ER8" s="414"/>
      <c r="ES8" s="414"/>
      <c r="ET8" s="414"/>
      <c r="EU8" s="414"/>
      <c r="EV8" s="414"/>
      <c r="EW8" s="414"/>
      <c r="EX8" s="414"/>
    </row>
    <row r="9" spans="1:154" s="415" customFormat="1" ht="16.5" customHeight="1">
      <c r="A9" s="1921"/>
      <c r="B9" s="1922"/>
      <c r="C9" s="407" t="s">
        <v>1197</v>
      </c>
      <c r="D9" s="408">
        <f>D17+D22+D27+D32+D37+D43+D48+D52+D58+D62+D66+D71+D76+D81+D86+D93</f>
        <v>168520916.73733246</v>
      </c>
      <c r="E9" s="408">
        <f t="shared" ref="E9:S9" si="3">E17+E22+E27+E32+E37+E43+E48+E52+E58+E62+E66+E71+E76+E81+E86+E93</f>
        <v>47002907.216799997</v>
      </c>
      <c r="F9" s="408">
        <f t="shared" si="3"/>
        <v>121518009.82842319</v>
      </c>
      <c r="G9" s="408">
        <f t="shared" si="3"/>
        <v>2240912</v>
      </c>
      <c r="H9" s="408">
        <f t="shared" si="3"/>
        <v>176780774.12646008</v>
      </c>
      <c r="I9" s="408">
        <f t="shared" si="3"/>
        <v>143005</v>
      </c>
      <c r="J9" s="408">
        <f t="shared" si="3"/>
        <v>7803402.0800369233</v>
      </c>
      <c r="K9" s="408">
        <f t="shared" si="3"/>
        <v>2221631</v>
      </c>
      <c r="L9" s="408">
        <f t="shared" si="3"/>
        <v>167965741.23358405</v>
      </c>
      <c r="M9" s="409">
        <f t="shared" si="3"/>
        <v>167513347.5327979</v>
      </c>
      <c r="N9" s="408">
        <f t="shared" si="3"/>
        <v>46428210.153355561</v>
      </c>
      <c r="O9" s="408">
        <f t="shared" si="3"/>
        <v>611032.92999999993</v>
      </c>
      <c r="P9" s="408">
        <f t="shared" si="3"/>
        <v>120473429.11044325</v>
      </c>
      <c r="Q9" s="408">
        <f t="shared" si="3"/>
        <v>120489407.33097334</v>
      </c>
      <c r="R9" s="408">
        <f t="shared" si="3"/>
        <v>-15978.220530096129</v>
      </c>
      <c r="S9" s="410">
        <f t="shared" si="3"/>
        <v>1041521.4808898254</v>
      </c>
      <c r="T9" s="411">
        <f t="shared" ref="T9:T72" si="4">M9/(N9+F9)</f>
        <v>0.99742255318977824</v>
      </c>
      <c r="U9" s="411">
        <f t="shared" ref="U9:U72" si="5">Q9/F9</f>
        <v>0.99153539052439899</v>
      </c>
      <c r="V9" s="408">
        <f t="shared" ref="V9:AI9" si="6">V17+V22+V27+V32+V37+V43+V48+V52+V58+V62+V66+V71+V76+V81+V86+V93</f>
        <v>5200420.8972096629</v>
      </c>
      <c r="W9" s="408">
        <f t="shared" si="6"/>
        <v>83883</v>
      </c>
      <c r="X9" s="408">
        <f t="shared" si="6"/>
        <v>7283487.4574640468</v>
      </c>
      <c r="Y9" s="408">
        <f t="shared" si="6"/>
        <v>5993</v>
      </c>
      <c r="Z9" s="408">
        <f t="shared" si="6"/>
        <v>438787.14967420412</v>
      </c>
      <c r="AA9" s="408">
        <f t="shared" si="6"/>
        <v>82594</v>
      </c>
      <c r="AB9" s="408">
        <f t="shared" si="6"/>
        <v>6883625.4102528347</v>
      </c>
      <c r="AC9" s="408">
        <f t="shared" si="6"/>
        <v>6836807.5329528349</v>
      </c>
      <c r="AD9" s="408">
        <f t="shared" si="6"/>
        <v>-3.7999972118996084E-4</v>
      </c>
      <c r="AE9" s="408">
        <f t="shared" si="6"/>
        <v>0</v>
      </c>
      <c r="AF9" s="408">
        <f t="shared" si="6"/>
        <v>6836807.533332835</v>
      </c>
      <c r="AG9" s="408">
        <f t="shared" si="6"/>
        <v>7032745.5186045496</v>
      </c>
      <c r="AH9" s="408">
        <f t="shared" si="6"/>
        <v>-195937.98527171489</v>
      </c>
      <c r="AI9" s="408">
        <f t="shared" si="6"/>
        <v>-1832324.6213948871</v>
      </c>
      <c r="AJ9" s="412">
        <f>AC9/(AD9+V9)</f>
        <v>1.3146642682558183</v>
      </c>
      <c r="AK9" s="413">
        <f>AG9/V9</f>
        <v>1.3523416003458564</v>
      </c>
      <c r="AL9" s="414"/>
      <c r="AM9" s="414"/>
      <c r="AN9" s="414"/>
      <c r="AO9" s="414"/>
      <c r="AP9" s="414"/>
      <c r="AQ9" s="414"/>
      <c r="AR9" s="414"/>
      <c r="AS9" s="414"/>
      <c r="AT9" s="414"/>
      <c r="AU9" s="414"/>
      <c r="AV9" s="414"/>
      <c r="AW9" s="414"/>
      <c r="AX9" s="414"/>
      <c r="AY9" s="414"/>
      <c r="AZ9" s="414"/>
      <c r="BA9" s="414"/>
      <c r="BB9" s="414"/>
      <c r="BC9" s="414"/>
      <c r="BD9" s="414"/>
      <c r="BE9" s="414"/>
      <c r="BF9" s="414"/>
      <c r="BG9" s="414"/>
      <c r="BH9" s="414"/>
      <c r="BI9" s="414"/>
      <c r="BJ9" s="414"/>
      <c r="BK9" s="414"/>
      <c r="BL9" s="414"/>
      <c r="BM9" s="414"/>
      <c r="BN9" s="414"/>
      <c r="BO9" s="414"/>
      <c r="BP9" s="414"/>
      <c r="BQ9" s="414"/>
      <c r="BR9" s="414"/>
      <c r="BS9" s="414"/>
      <c r="BT9" s="414"/>
      <c r="BU9" s="414"/>
      <c r="BV9" s="414"/>
      <c r="BW9" s="414"/>
      <c r="BX9" s="414"/>
      <c r="BY9" s="414"/>
      <c r="BZ9" s="414"/>
      <c r="CA9" s="414"/>
      <c r="CB9" s="414"/>
      <c r="CC9" s="414"/>
      <c r="CD9" s="414"/>
      <c r="CE9" s="414"/>
      <c r="CF9" s="414"/>
      <c r="CG9" s="414"/>
      <c r="CH9" s="414"/>
      <c r="CI9" s="414"/>
      <c r="CJ9" s="414"/>
      <c r="CK9" s="414"/>
      <c r="CL9" s="414"/>
      <c r="CM9" s="414"/>
      <c r="CN9" s="414"/>
      <c r="CO9" s="414"/>
      <c r="CP9" s="414"/>
      <c r="CQ9" s="414"/>
      <c r="CR9" s="414"/>
      <c r="CS9" s="414"/>
      <c r="CT9" s="414"/>
      <c r="CU9" s="414"/>
      <c r="CV9" s="414"/>
      <c r="CW9" s="414"/>
      <c r="CX9" s="414"/>
      <c r="CY9" s="414"/>
      <c r="CZ9" s="414"/>
      <c r="DA9" s="414"/>
      <c r="DB9" s="414"/>
      <c r="DC9" s="414"/>
      <c r="DD9" s="414"/>
      <c r="DE9" s="414"/>
      <c r="DF9" s="414"/>
      <c r="DG9" s="414"/>
      <c r="DH9" s="414"/>
      <c r="DI9" s="414"/>
      <c r="DJ9" s="414"/>
      <c r="DK9" s="414"/>
      <c r="DL9" s="414"/>
      <c r="DM9" s="414"/>
      <c r="DN9" s="414"/>
      <c r="DO9" s="414"/>
      <c r="DP9" s="414"/>
      <c r="DQ9" s="414"/>
      <c r="DR9" s="414"/>
      <c r="DS9" s="414"/>
      <c r="DT9" s="414"/>
      <c r="DU9" s="414"/>
      <c r="DV9" s="414"/>
      <c r="DW9" s="414"/>
      <c r="DX9" s="414"/>
      <c r="DY9" s="414"/>
      <c r="DZ9" s="414"/>
      <c r="EA9" s="414"/>
      <c r="EB9" s="414"/>
      <c r="EC9" s="414"/>
      <c r="ED9" s="414"/>
      <c r="EE9" s="414"/>
      <c r="EF9" s="414"/>
      <c r="EG9" s="414"/>
      <c r="EH9" s="414"/>
      <c r="EI9" s="414"/>
      <c r="EJ9" s="414"/>
      <c r="EK9" s="414"/>
      <c r="EL9" s="414"/>
      <c r="EM9" s="414"/>
      <c r="EN9" s="414"/>
      <c r="EO9" s="414"/>
      <c r="EP9" s="414"/>
      <c r="EQ9" s="414"/>
      <c r="ER9" s="414"/>
      <c r="ES9" s="414"/>
      <c r="ET9" s="414"/>
      <c r="EU9" s="414"/>
      <c r="EV9" s="414"/>
      <c r="EW9" s="414"/>
      <c r="EX9" s="414"/>
    </row>
    <row r="10" spans="1:154" s="415" customFormat="1" ht="16.5" customHeight="1">
      <c r="A10" s="1921"/>
      <c r="B10" s="1922"/>
      <c r="C10" s="407" t="s">
        <v>1198</v>
      </c>
      <c r="D10" s="408">
        <f>D18+D23+D28+D33+D38+D44+D53+D49+D59+D63+D67+D72+D77+D82+D87+D94</f>
        <v>37682370.318235628</v>
      </c>
      <c r="E10" s="408">
        <f t="shared" ref="E10:S10" si="7">E18+E23+E28+E33+E38+E44+E53+E49+E59+E63+E67+E72+E77+E82+E87+E94</f>
        <v>6905541.3440000005</v>
      </c>
      <c r="F10" s="408">
        <f t="shared" si="7"/>
        <v>30776828.975645632</v>
      </c>
      <c r="G10" s="408">
        <f t="shared" si="7"/>
        <v>43606</v>
      </c>
      <c r="H10" s="408">
        <f t="shared" si="7"/>
        <v>40134928.790206626</v>
      </c>
      <c r="I10" s="408">
        <f t="shared" si="7"/>
        <v>3104</v>
      </c>
      <c r="J10" s="408">
        <f t="shared" si="7"/>
        <v>1773689.7468869884</v>
      </c>
      <c r="K10" s="408">
        <f t="shared" si="7"/>
        <v>42745</v>
      </c>
      <c r="L10" s="408">
        <f t="shared" si="7"/>
        <v>38655408.063367441</v>
      </c>
      <c r="M10" s="409">
        <f t="shared" si="7"/>
        <v>38636185.810017444</v>
      </c>
      <c r="N10" s="408">
        <f t="shared" si="7"/>
        <v>6862456.1364444438</v>
      </c>
      <c r="O10" s="408">
        <f t="shared" si="7"/>
        <v>10529.717000000001</v>
      </c>
      <c r="P10" s="408">
        <f t="shared" si="7"/>
        <v>31763199.953573</v>
      </c>
      <c r="Q10" s="408">
        <f t="shared" si="7"/>
        <v>31753045.113645632</v>
      </c>
      <c r="R10" s="408">
        <f t="shared" si="7"/>
        <v>10154.839927366349</v>
      </c>
      <c r="S10" s="410">
        <f t="shared" si="7"/>
        <v>-986821.73474000022</v>
      </c>
      <c r="T10" s="411">
        <f t="shared" si="4"/>
        <v>1.0264856437883609</v>
      </c>
      <c r="U10" s="411">
        <f t="shared" si="5"/>
        <v>1.0317191916936115</v>
      </c>
      <c r="V10" s="408">
        <f t="shared" ref="V10:AI10" si="8">V18+V23+V28+V33+V38+V44+V53+V49+V59+V63+V67+V72+V77+V82+V87+V94</f>
        <v>4389229.1367476303</v>
      </c>
      <c r="W10" s="408">
        <f t="shared" si="8"/>
        <v>2173</v>
      </c>
      <c r="X10" s="408">
        <f t="shared" si="8"/>
        <v>2355526.7462893492</v>
      </c>
      <c r="Y10" s="408">
        <f t="shared" si="8"/>
        <v>94</v>
      </c>
      <c r="Z10" s="408">
        <f t="shared" si="8"/>
        <v>-2009.1182900000713</v>
      </c>
      <c r="AA10" s="408">
        <f t="shared" si="8"/>
        <v>2216</v>
      </c>
      <c r="AB10" s="408">
        <f t="shared" si="8"/>
        <v>2574883.222891964</v>
      </c>
      <c r="AC10" s="408">
        <f t="shared" si="8"/>
        <v>2574883.222891964</v>
      </c>
      <c r="AD10" s="408">
        <f t="shared" si="8"/>
        <v>-9.0949470177292824E-13</v>
      </c>
      <c r="AE10" s="408">
        <f t="shared" si="8"/>
        <v>0</v>
      </c>
      <c r="AF10" s="408">
        <f t="shared" si="8"/>
        <v>2574883.222891964</v>
      </c>
      <c r="AG10" s="408">
        <f t="shared" si="8"/>
        <v>2572956.2697962895</v>
      </c>
      <c r="AH10" s="408">
        <f t="shared" si="8"/>
        <v>1926.9530956736044</v>
      </c>
      <c r="AI10" s="408">
        <f t="shared" si="8"/>
        <v>1816272.8669513401</v>
      </c>
      <c r="AJ10" s="412">
        <f>AC10/(AD10+V10)</f>
        <v>0.58663677440178563</v>
      </c>
      <c r="AK10" s="413">
        <f>AG10/V10</f>
        <v>0.5861977558325473</v>
      </c>
      <c r="AL10" s="414"/>
      <c r="AM10" s="414"/>
      <c r="AN10" s="414"/>
      <c r="AO10" s="414"/>
      <c r="AP10" s="414"/>
      <c r="AQ10" s="414"/>
      <c r="AR10" s="414"/>
      <c r="AS10" s="414"/>
      <c r="AT10" s="414"/>
      <c r="AU10" s="414"/>
      <c r="AV10" s="414"/>
      <c r="AW10" s="414"/>
      <c r="AX10" s="414"/>
      <c r="AY10" s="414"/>
      <c r="AZ10" s="414"/>
      <c r="BA10" s="414"/>
      <c r="BB10" s="414"/>
      <c r="BC10" s="414"/>
      <c r="BD10" s="414"/>
      <c r="BE10" s="414"/>
      <c r="BF10" s="414"/>
      <c r="BG10" s="414"/>
      <c r="BH10" s="414"/>
      <c r="BI10" s="414"/>
      <c r="BJ10" s="414"/>
      <c r="BK10" s="414"/>
      <c r="BL10" s="414"/>
      <c r="BM10" s="414"/>
      <c r="BN10" s="414"/>
      <c r="BO10" s="414"/>
      <c r="BP10" s="414"/>
      <c r="BQ10" s="414"/>
      <c r="BR10" s="414"/>
      <c r="BS10" s="414"/>
      <c r="BT10" s="414"/>
      <c r="BU10" s="414"/>
      <c r="BV10" s="414"/>
      <c r="BW10" s="414"/>
      <c r="BX10" s="414"/>
      <c r="BY10" s="414"/>
      <c r="BZ10" s="414"/>
      <c r="CA10" s="414"/>
      <c r="CB10" s="414"/>
      <c r="CC10" s="414"/>
      <c r="CD10" s="414"/>
      <c r="CE10" s="414"/>
      <c r="CF10" s="414"/>
      <c r="CG10" s="414"/>
      <c r="CH10" s="414"/>
      <c r="CI10" s="414"/>
      <c r="CJ10" s="414"/>
      <c r="CK10" s="414"/>
      <c r="CL10" s="414"/>
      <c r="CM10" s="414"/>
      <c r="CN10" s="414"/>
      <c r="CO10" s="414"/>
      <c r="CP10" s="414"/>
      <c r="CQ10" s="414"/>
      <c r="CR10" s="414"/>
      <c r="CS10" s="414"/>
      <c r="CT10" s="414"/>
      <c r="CU10" s="414"/>
      <c r="CV10" s="414"/>
      <c r="CW10" s="414"/>
      <c r="CX10" s="414"/>
      <c r="CY10" s="414"/>
      <c r="CZ10" s="414"/>
      <c r="DA10" s="414"/>
      <c r="DB10" s="414"/>
      <c r="DC10" s="414"/>
      <c r="DD10" s="414"/>
      <c r="DE10" s="414"/>
      <c r="DF10" s="414"/>
      <c r="DG10" s="414"/>
      <c r="DH10" s="414"/>
      <c r="DI10" s="414"/>
      <c r="DJ10" s="414"/>
      <c r="DK10" s="414"/>
      <c r="DL10" s="414"/>
      <c r="DM10" s="414"/>
      <c r="DN10" s="414"/>
      <c r="DO10" s="414"/>
      <c r="DP10" s="414"/>
      <c r="DQ10" s="414"/>
      <c r="DR10" s="414"/>
      <c r="DS10" s="414"/>
      <c r="DT10" s="414"/>
      <c r="DU10" s="414"/>
      <c r="DV10" s="414"/>
      <c r="DW10" s="414"/>
      <c r="DX10" s="414"/>
      <c r="DY10" s="414"/>
      <c r="DZ10" s="414"/>
      <c r="EA10" s="414"/>
      <c r="EB10" s="414"/>
      <c r="EC10" s="414"/>
      <c r="ED10" s="414"/>
      <c r="EE10" s="414"/>
      <c r="EF10" s="414"/>
      <c r="EG10" s="414"/>
      <c r="EH10" s="414"/>
      <c r="EI10" s="414"/>
      <c r="EJ10" s="414"/>
      <c r="EK10" s="414"/>
      <c r="EL10" s="414"/>
      <c r="EM10" s="414"/>
      <c r="EN10" s="414"/>
      <c r="EO10" s="414"/>
      <c r="EP10" s="414"/>
      <c r="EQ10" s="414"/>
      <c r="ER10" s="414"/>
      <c r="ES10" s="414"/>
      <c r="ET10" s="414"/>
      <c r="EU10" s="414"/>
      <c r="EV10" s="414"/>
      <c r="EW10" s="414"/>
      <c r="EX10" s="414"/>
    </row>
    <row r="11" spans="1:154" s="415" customFormat="1" ht="16.5" customHeight="1">
      <c r="A11" s="1921"/>
      <c r="B11" s="1922"/>
      <c r="C11" s="407" t="s">
        <v>1199</v>
      </c>
      <c r="D11" s="408">
        <f>D19+D24+D29+D34+D39+D45+D50+D54+D60+D64+D68+D73+D78+D83+D88+D95</f>
        <v>19236430.985191599</v>
      </c>
      <c r="E11" s="408">
        <f t="shared" ref="E11:S11" si="9">E19+E24+E29+E34+E39+E45+E50+E54+E60+E64+E68+E73+E78+E83+E88+E95</f>
        <v>4743721.4990000008</v>
      </c>
      <c r="F11" s="408">
        <f t="shared" si="9"/>
        <v>14492709.173102647</v>
      </c>
      <c r="G11" s="408">
        <f t="shared" si="9"/>
        <v>931700</v>
      </c>
      <c r="H11" s="408">
        <f t="shared" si="9"/>
        <v>20313739.782725822</v>
      </c>
      <c r="I11" s="408">
        <f t="shared" si="9"/>
        <v>32915</v>
      </c>
      <c r="J11" s="408">
        <f t="shared" si="9"/>
        <v>591310.28240483464</v>
      </c>
      <c r="K11" s="408">
        <f t="shared" si="9"/>
        <v>923807</v>
      </c>
      <c r="L11" s="408">
        <f t="shared" si="9"/>
        <v>19327127.553934731</v>
      </c>
      <c r="M11" s="409">
        <f t="shared" si="9"/>
        <v>19295658.701777376</v>
      </c>
      <c r="N11" s="408">
        <f t="shared" si="9"/>
        <v>4713413.5018976685</v>
      </c>
      <c r="O11" s="408">
        <f t="shared" si="9"/>
        <v>26528.08396</v>
      </c>
      <c r="P11" s="408">
        <f t="shared" si="9"/>
        <v>14555717.137935292</v>
      </c>
      <c r="Q11" s="408">
        <f t="shared" si="9"/>
        <v>14549895.229164967</v>
      </c>
      <c r="R11" s="408">
        <f t="shared" si="9"/>
        <v>5821.9087703236928</v>
      </c>
      <c r="S11" s="410">
        <f t="shared" si="9"/>
        <v>-53898.023152322101</v>
      </c>
      <c r="T11" s="411">
        <f t="shared" si="4"/>
        <v>1.004661848114383</v>
      </c>
      <c r="U11" s="411">
        <f t="shared" si="5"/>
        <v>1.0039458499704426</v>
      </c>
      <c r="V11" s="408">
        <f t="shared" ref="V11:AI11" si="10">V19+V24+V29+V34+V39+V45+V50+V54+V60+V64+V68+V73+V78+V83+V88+V95</f>
        <v>816112.02079719794</v>
      </c>
      <c r="W11" s="408">
        <f t="shared" si="10"/>
        <v>40085</v>
      </c>
      <c r="X11" s="408">
        <f t="shared" si="10"/>
        <v>841253.5539018386</v>
      </c>
      <c r="Y11" s="408">
        <f t="shared" si="10"/>
        <v>3314</v>
      </c>
      <c r="Z11" s="408">
        <f t="shared" si="10"/>
        <v>63237.274310000001</v>
      </c>
      <c r="AA11" s="408">
        <f t="shared" si="10"/>
        <v>37606</v>
      </c>
      <c r="AB11" s="408">
        <f t="shared" si="10"/>
        <v>764592.48967849882</v>
      </c>
      <c r="AC11" s="408">
        <f t="shared" si="10"/>
        <v>757124.44990849891</v>
      </c>
      <c r="AD11" s="408">
        <f t="shared" si="10"/>
        <v>-1.4999999809788278E-3</v>
      </c>
      <c r="AE11" s="408">
        <f t="shared" si="10"/>
        <v>0</v>
      </c>
      <c r="AF11" s="408">
        <f t="shared" si="10"/>
        <v>757124.45140849892</v>
      </c>
      <c r="AG11" s="408">
        <f t="shared" si="10"/>
        <v>780302.86390541936</v>
      </c>
      <c r="AH11" s="408">
        <f t="shared" si="10"/>
        <v>-23178.412496920428</v>
      </c>
      <c r="AI11" s="408">
        <f t="shared" si="10"/>
        <v>35809.156891778439</v>
      </c>
      <c r="AJ11" s="412">
        <f>AC11/(AD11+V11)</f>
        <v>0.92772123434783293</v>
      </c>
      <c r="AK11" s="413">
        <f>AG11/V11</f>
        <v>0.95612225285347552</v>
      </c>
      <c r="AL11" s="414"/>
      <c r="AM11" s="414"/>
      <c r="AN11" s="414"/>
      <c r="AO11" s="414"/>
      <c r="AP11" s="414"/>
      <c r="AQ11" s="414"/>
      <c r="AR11" s="414"/>
      <c r="AS11" s="414"/>
      <c r="AT11" s="414"/>
      <c r="AU11" s="414"/>
      <c r="AV11" s="414"/>
      <c r="AW11" s="414"/>
      <c r="AX11" s="414"/>
      <c r="AY11" s="414"/>
      <c r="AZ11" s="414"/>
      <c r="BA11" s="414"/>
      <c r="BB11" s="414"/>
      <c r="BC11" s="414"/>
      <c r="BD11" s="414"/>
      <c r="BE11" s="414"/>
      <c r="BF11" s="414"/>
      <c r="BG11" s="414"/>
      <c r="BH11" s="414"/>
      <c r="BI11" s="414"/>
      <c r="BJ11" s="414"/>
      <c r="BK11" s="414"/>
      <c r="BL11" s="414"/>
      <c r="BM11" s="414"/>
      <c r="BN11" s="414"/>
      <c r="BO11" s="414"/>
      <c r="BP11" s="414"/>
      <c r="BQ11" s="414"/>
      <c r="BR11" s="414"/>
      <c r="BS11" s="414"/>
      <c r="BT11" s="414"/>
      <c r="BU11" s="414"/>
      <c r="BV11" s="414"/>
      <c r="BW11" s="414"/>
      <c r="BX11" s="414"/>
      <c r="BY11" s="414"/>
      <c r="BZ11" s="414"/>
      <c r="CA11" s="414"/>
      <c r="CB11" s="414"/>
      <c r="CC11" s="414"/>
      <c r="CD11" s="414"/>
      <c r="CE11" s="414"/>
      <c r="CF11" s="414"/>
      <c r="CG11" s="414"/>
      <c r="CH11" s="414"/>
      <c r="CI11" s="414"/>
      <c r="CJ11" s="414"/>
      <c r="CK11" s="414"/>
      <c r="CL11" s="414"/>
      <c r="CM11" s="414"/>
      <c r="CN11" s="414"/>
      <c r="CO11" s="414"/>
      <c r="CP11" s="414"/>
      <c r="CQ11" s="414"/>
      <c r="CR11" s="414"/>
      <c r="CS11" s="414"/>
      <c r="CT11" s="414"/>
      <c r="CU11" s="414"/>
      <c r="CV11" s="414"/>
      <c r="CW11" s="414"/>
      <c r="CX11" s="414"/>
      <c r="CY11" s="414"/>
      <c r="CZ11" s="414"/>
      <c r="DA11" s="414"/>
      <c r="DB11" s="414"/>
      <c r="DC11" s="414"/>
      <c r="DD11" s="414"/>
      <c r="DE11" s="414"/>
      <c r="DF11" s="414"/>
      <c r="DG11" s="414"/>
      <c r="DH11" s="414"/>
      <c r="DI11" s="414"/>
      <c r="DJ11" s="414"/>
      <c r="DK11" s="414"/>
      <c r="DL11" s="414"/>
      <c r="DM11" s="414"/>
      <c r="DN11" s="414"/>
      <c r="DO11" s="414"/>
      <c r="DP11" s="414"/>
      <c r="DQ11" s="414"/>
      <c r="DR11" s="414"/>
      <c r="DS11" s="414"/>
      <c r="DT11" s="414"/>
      <c r="DU11" s="414"/>
      <c r="DV11" s="414"/>
      <c r="DW11" s="414"/>
      <c r="DX11" s="414"/>
      <c r="DY11" s="414"/>
      <c r="DZ11" s="414"/>
      <c r="EA11" s="414"/>
      <c r="EB11" s="414"/>
      <c r="EC11" s="414"/>
      <c r="ED11" s="414"/>
      <c r="EE11" s="414"/>
      <c r="EF11" s="414"/>
      <c r="EG11" s="414"/>
      <c r="EH11" s="414"/>
      <c r="EI11" s="414"/>
      <c r="EJ11" s="414"/>
      <c r="EK11" s="414"/>
      <c r="EL11" s="414"/>
      <c r="EM11" s="414"/>
      <c r="EN11" s="414"/>
      <c r="EO11" s="414"/>
      <c r="EP11" s="414"/>
      <c r="EQ11" s="414"/>
      <c r="ER11" s="414"/>
      <c r="ES11" s="414"/>
      <c r="ET11" s="414"/>
      <c r="EU11" s="414"/>
      <c r="EV11" s="414"/>
      <c r="EW11" s="414"/>
      <c r="EX11" s="414"/>
    </row>
    <row r="12" spans="1:154" s="415" customFormat="1" ht="16.5" customHeight="1">
      <c r="A12" s="1921"/>
      <c r="B12" s="1922"/>
      <c r="C12" s="407" t="s">
        <v>1200</v>
      </c>
      <c r="D12" s="408">
        <f>D40+D55+D89+D96</f>
        <v>1469157.990402</v>
      </c>
      <c r="E12" s="408">
        <f t="shared" ref="E12:S12" si="11">E40+E55+E89+E96</f>
        <v>417540.6</v>
      </c>
      <c r="F12" s="408">
        <f t="shared" si="11"/>
        <v>1051617.3904019999</v>
      </c>
      <c r="G12" s="408">
        <f t="shared" si="11"/>
        <v>904444</v>
      </c>
      <c r="H12" s="408">
        <f t="shared" si="11"/>
        <v>1507417.3764649997</v>
      </c>
      <c r="I12" s="408">
        <f t="shared" si="11"/>
        <v>20679</v>
      </c>
      <c r="J12" s="408">
        <f t="shared" si="11"/>
        <v>32638.087626666504</v>
      </c>
      <c r="K12" s="408">
        <f t="shared" si="11"/>
        <v>883514</v>
      </c>
      <c r="L12" s="408">
        <f t="shared" si="11"/>
        <v>1472602.7808003335</v>
      </c>
      <c r="M12" s="409">
        <f t="shared" si="11"/>
        <v>1472602.7808003335</v>
      </c>
      <c r="N12" s="408">
        <f t="shared" si="11"/>
        <v>417540.6</v>
      </c>
      <c r="O12" s="408">
        <f t="shared" si="11"/>
        <v>0</v>
      </c>
      <c r="P12" s="408">
        <f t="shared" si="11"/>
        <v>1055062.1808003336</v>
      </c>
      <c r="Q12" s="408">
        <f t="shared" si="11"/>
        <v>1055062.1808003336</v>
      </c>
      <c r="R12" s="408">
        <f t="shared" si="11"/>
        <v>0</v>
      </c>
      <c r="S12" s="410">
        <f t="shared" si="11"/>
        <v>-3444.2413983335719</v>
      </c>
      <c r="T12" s="411">
        <f t="shared" si="4"/>
        <v>1.002344737884447</v>
      </c>
      <c r="U12" s="411">
        <f t="shared" si="5"/>
        <v>1.003275706953664</v>
      </c>
      <c r="V12" s="408">
        <f t="shared" ref="V12:AI12" si="12">V40+V55+V89+V96</f>
        <v>74241.086062000002</v>
      </c>
      <c r="W12" s="408">
        <f t="shared" si="12"/>
        <v>17737</v>
      </c>
      <c r="X12" s="408">
        <f t="shared" si="12"/>
        <v>55571.857402000009</v>
      </c>
      <c r="Y12" s="408">
        <f t="shared" si="12"/>
        <v>10</v>
      </c>
      <c r="Z12" s="408">
        <f t="shared" si="12"/>
        <v>6.6750000000029104</v>
      </c>
      <c r="AA12" s="408">
        <f t="shared" si="12"/>
        <v>17476</v>
      </c>
      <c r="AB12" s="408">
        <f t="shared" si="12"/>
        <v>55227.109402000002</v>
      </c>
      <c r="AC12" s="408">
        <f t="shared" si="12"/>
        <v>55227.109402000002</v>
      </c>
      <c r="AD12" s="408">
        <f t="shared" si="12"/>
        <v>0</v>
      </c>
      <c r="AE12" s="408">
        <f t="shared" si="12"/>
        <v>0</v>
      </c>
      <c r="AF12" s="408">
        <f t="shared" si="12"/>
        <v>55227.109402000002</v>
      </c>
      <c r="AG12" s="408">
        <f t="shared" si="12"/>
        <v>55227.109402000002</v>
      </c>
      <c r="AH12" s="408">
        <f t="shared" si="12"/>
        <v>0</v>
      </c>
      <c r="AI12" s="408">
        <f t="shared" si="12"/>
        <v>19013.976660000004</v>
      </c>
      <c r="AJ12" s="412">
        <f>AC12/(AD12+V12)</f>
        <v>0.74388875933036458</v>
      </c>
      <c r="AK12" s="413">
        <f>AG12/V12</f>
        <v>0.74388875933036458</v>
      </c>
      <c r="AL12" s="414"/>
      <c r="AM12" s="414"/>
      <c r="AN12" s="414"/>
      <c r="AO12" s="414"/>
      <c r="AP12" s="414"/>
      <c r="AQ12" s="414"/>
      <c r="AR12" s="414"/>
      <c r="AS12" s="414"/>
      <c r="AT12" s="414"/>
      <c r="AU12" s="414"/>
      <c r="AV12" s="414"/>
      <c r="AW12" s="414"/>
      <c r="AX12" s="414"/>
      <c r="AY12" s="414"/>
      <c r="AZ12" s="414"/>
      <c r="BA12" s="414"/>
      <c r="BB12" s="414"/>
      <c r="BC12" s="414"/>
      <c r="BD12" s="414"/>
      <c r="BE12" s="414"/>
      <c r="BF12" s="414"/>
      <c r="BG12" s="414"/>
      <c r="BH12" s="414"/>
      <c r="BI12" s="414"/>
      <c r="BJ12" s="414"/>
      <c r="BK12" s="414"/>
      <c r="BL12" s="414"/>
      <c r="BM12" s="414"/>
      <c r="BN12" s="414"/>
      <c r="BO12" s="414"/>
      <c r="BP12" s="414"/>
      <c r="BQ12" s="414"/>
      <c r="BR12" s="414"/>
      <c r="BS12" s="414"/>
      <c r="BT12" s="414"/>
      <c r="BU12" s="414"/>
      <c r="BV12" s="414"/>
      <c r="BW12" s="414"/>
      <c r="BX12" s="414"/>
      <c r="BY12" s="414"/>
      <c r="BZ12" s="414"/>
      <c r="CA12" s="414"/>
      <c r="CB12" s="414"/>
      <c r="CC12" s="414"/>
      <c r="CD12" s="414"/>
      <c r="CE12" s="414"/>
      <c r="CF12" s="414"/>
      <c r="CG12" s="414"/>
      <c r="CH12" s="414"/>
      <c r="CI12" s="414"/>
      <c r="CJ12" s="414"/>
      <c r="CK12" s="414"/>
      <c r="CL12" s="414"/>
      <c r="CM12" s="414"/>
      <c r="CN12" s="414"/>
      <c r="CO12" s="414"/>
      <c r="CP12" s="414"/>
      <c r="CQ12" s="414"/>
      <c r="CR12" s="414"/>
      <c r="CS12" s="414"/>
      <c r="CT12" s="414"/>
      <c r="CU12" s="414"/>
      <c r="CV12" s="414"/>
      <c r="CW12" s="414"/>
      <c r="CX12" s="414"/>
      <c r="CY12" s="414"/>
      <c r="CZ12" s="414"/>
      <c r="DA12" s="414"/>
      <c r="DB12" s="414"/>
      <c r="DC12" s="414"/>
      <c r="DD12" s="414"/>
      <c r="DE12" s="414"/>
      <c r="DF12" s="414"/>
      <c r="DG12" s="414"/>
      <c r="DH12" s="414"/>
      <c r="DI12" s="414"/>
      <c r="DJ12" s="414"/>
      <c r="DK12" s="414"/>
      <c r="DL12" s="414"/>
      <c r="DM12" s="414"/>
      <c r="DN12" s="414"/>
      <c r="DO12" s="414"/>
      <c r="DP12" s="414"/>
      <c r="DQ12" s="414"/>
      <c r="DR12" s="414"/>
      <c r="DS12" s="414"/>
      <c r="DT12" s="414"/>
      <c r="DU12" s="414"/>
      <c r="DV12" s="414"/>
      <c r="DW12" s="414"/>
      <c r="DX12" s="414"/>
      <c r="DY12" s="414"/>
      <c r="DZ12" s="414"/>
      <c r="EA12" s="414"/>
      <c r="EB12" s="414"/>
      <c r="EC12" s="414"/>
      <c r="ED12" s="414"/>
      <c r="EE12" s="414"/>
      <c r="EF12" s="414"/>
      <c r="EG12" s="414"/>
      <c r="EH12" s="414"/>
      <c r="EI12" s="414"/>
      <c r="EJ12" s="414"/>
      <c r="EK12" s="414"/>
      <c r="EL12" s="414"/>
      <c r="EM12" s="414"/>
      <c r="EN12" s="414"/>
      <c r="EO12" s="414"/>
      <c r="EP12" s="414"/>
      <c r="EQ12" s="414"/>
      <c r="ER12" s="414"/>
      <c r="ES12" s="414"/>
      <c r="ET12" s="414"/>
      <c r="EU12" s="414"/>
      <c r="EV12" s="414"/>
      <c r="EW12" s="414"/>
      <c r="EX12" s="414"/>
    </row>
    <row r="13" spans="1:154" s="415" customFormat="1" ht="16.5" customHeight="1">
      <c r="A13" s="1921"/>
      <c r="B13" s="1922"/>
      <c r="C13" s="407" t="s">
        <v>1201</v>
      </c>
      <c r="D13" s="408">
        <f>D97</f>
        <v>1708038</v>
      </c>
      <c r="E13" s="408">
        <f t="shared" ref="E13:S13" si="13">E97</f>
        <v>362411.39999999997</v>
      </c>
      <c r="F13" s="408">
        <f t="shared" si="13"/>
        <v>1345626.6</v>
      </c>
      <c r="G13" s="408">
        <f t="shared" si="13"/>
        <v>949</v>
      </c>
      <c r="H13" s="408">
        <f t="shared" si="13"/>
        <v>2008505.4479999999</v>
      </c>
      <c r="I13" s="408">
        <f t="shared" si="13"/>
        <v>12</v>
      </c>
      <c r="J13" s="408">
        <f t="shared" si="13"/>
        <v>300467.45199999982</v>
      </c>
      <c r="K13" s="408">
        <f t="shared" si="13"/>
        <v>937</v>
      </c>
      <c r="L13" s="408">
        <f t="shared" si="13"/>
        <v>1708037.996</v>
      </c>
      <c r="M13" s="409">
        <f t="shared" si="13"/>
        <v>1708037.996</v>
      </c>
      <c r="N13" s="408">
        <f t="shared" si="13"/>
        <v>362411.40299999999</v>
      </c>
      <c r="O13" s="408">
        <f t="shared" si="13"/>
        <v>0</v>
      </c>
      <c r="P13" s="408">
        <f t="shared" si="13"/>
        <v>1345626.5930000001</v>
      </c>
      <c r="Q13" s="408">
        <f t="shared" si="13"/>
        <v>1345626.5930000001</v>
      </c>
      <c r="R13" s="408">
        <f t="shared" si="13"/>
        <v>0</v>
      </c>
      <c r="S13" s="410">
        <f t="shared" si="13"/>
        <v>6.9999999832361937E-3</v>
      </c>
      <c r="T13" s="411">
        <f t="shared" si="4"/>
        <v>0.9999999959017305</v>
      </c>
      <c r="U13" s="411">
        <f t="shared" si="5"/>
        <v>0.99999999479796253</v>
      </c>
      <c r="V13" s="408">
        <f t="shared" ref="V13:AI13" si="14">V97</f>
        <v>259825</v>
      </c>
      <c r="W13" s="408">
        <f t="shared" si="14"/>
        <v>266</v>
      </c>
      <c r="X13" s="408">
        <f t="shared" si="14"/>
        <v>528133.25199999998</v>
      </c>
      <c r="Y13" s="408">
        <f t="shared" si="14"/>
        <v>-27</v>
      </c>
      <c r="Z13" s="408">
        <f t="shared" si="14"/>
        <v>166156.05999999994</v>
      </c>
      <c r="AA13" s="408">
        <f t="shared" si="14"/>
        <v>293</v>
      </c>
      <c r="AB13" s="408">
        <f t="shared" si="14"/>
        <v>361977.19200000004</v>
      </c>
      <c r="AC13" s="408">
        <f t="shared" si="14"/>
        <v>361977.19200000004</v>
      </c>
      <c r="AD13" s="408">
        <f t="shared" si="14"/>
        <v>0</v>
      </c>
      <c r="AE13" s="408">
        <f t="shared" si="14"/>
        <v>0</v>
      </c>
      <c r="AF13" s="408">
        <f t="shared" si="14"/>
        <v>361977.19200000004</v>
      </c>
      <c r="AG13" s="408">
        <f t="shared" si="14"/>
        <v>361977.19200000004</v>
      </c>
      <c r="AH13" s="408">
        <f t="shared" si="14"/>
        <v>0</v>
      </c>
      <c r="AI13" s="408">
        <f t="shared" si="14"/>
        <v>-102152.19200000004</v>
      </c>
      <c r="AJ13" s="412"/>
      <c r="AK13" s="413"/>
      <c r="AL13" s="414"/>
      <c r="AM13" s="414"/>
      <c r="AN13" s="414"/>
      <c r="AO13" s="414"/>
      <c r="AP13" s="414"/>
      <c r="AQ13" s="414"/>
      <c r="AR13" s="414"/>
      <c r="AS13" s="414"/>
      <c r="AT13" s="414"/>
      <c r="AU13" s="414"/>
      <c r="AV13" s="414"/>
      <c r="AW13" s="414"/>
      <c r="AX13" s="414"/>
      <c r="AY13" s="414"/>
      <c r="AZ13" s="414"/>
      <c r="BA13" s="414"/>
      <c r="BB13" s="414"/>
      <c r="BC13" s="414"/>
      <c r="BD13" s="414"/>
      <c r="BE13" s="414"/>
      <c r="BF13" s="414"/>
      <c r="BG13" s="414"/>
      <c r="BH13" s="414"/>
      <c r="BI13" s="414"/>
      <c r="BJ13" s="414"/>
      <c r="BK13" s="414"/>
      <c r="BL13" s="414"/>
      <c r="BM13" s="414"/>
      <c r="BN13" s="414"/>
      <c r="BO13" s="414"/>
      <c r="BP13" s="414"/>
      <c r="BQ13" s="414"/>
      <c r="BR13" s="414"/>
      <c r="BS13" s="414"/>
      <c r="BT13" s="414"/>
      <c r="BU13" s="414"/>
      <c r="BV13" s="414"/>
      <c r="BW13" s="414"/>
      <c r="BX13" s="414"/>
      <c r="BY13" s="414"/>
      <c r="BZ13" s="414"/>
      <c r="CA13" s="414"/>
      <c r="CB13" s="414"/>
      <c r="CC13" s="414"/>
      <c r="CD13" s="414"/>
      <c r="CE13" s="414"/>
      <c r="CF13" s="414"/>
      <c r="CG13" s="414"/>
      <c r="CH13" s="414"/>
      <c r="CI13" s="414"/>
      <c r="CJ13" s="414"/>
      <c r="CK13" s="414"/>
      <c r="CL13" s="414"/>
      <c r="CM13" s="414"/>
      <c r="CN13" s="414"/>
      <c r="CO13" s="414"/>
      <c r="CP13" s="414"/>
      <c r="CQ13" s="414"/>
      <c r="CR13" s="414"/>
      <c r="CS13" s="414"/>
      <c r="CT13" s="414"/>
      <c r="CU13" s="414"/>
      <c r="CV13" s="414"/>
      <c r="CW13" s="414"/>
      <c r="CX13" s="414"/>
      <c r="CY13" s="414"/>
      <c r="CZ13" s="414"/>
      <c r="DA13" s="414"/>
      <c r="DB13" s="414"/>
      <c r="DC13" s="414"/>
      <c r="DD13" s="414"/>
      <c r="DE13" s="414"/>
      <c r="DF13" s="414"/>
      <c r="DG13" s="414"/>
      <c r="DH13" s="414"/>
      <c r="DI13" s="414"/>
      <c r="DJ13" s="414"/>
      <c r="DK13" s="414"/>
      <c r="DL13" s="414"/>
      <c r="DM13" s="414"/>
      <c r="DN13" s="414"/>
      <c r="DO13" s="414"/>
      <c r="DP13" s="414"/>
      <c r="DQ13" s="414"/>
      <c r="DR13" s="414"/>
      <c r="DS13" s="414"/>
      <c r="DT13" s="414"/>
      <c r="DU13" s="414"/>
      <c r="DV13" s="414"/>
      <c r="DW13" s="414"/>
      <c r="DX13" s="414"/>
      <c r="DY13" s="414"/>
      <c r="DZ13" s="414"/>
      <c r="EA13" s="414"/>
      <c r="EB13" s="414"/>
      <c r="EC13" s="414"/>
      <c r="ED13" s="414"/>
      <c r="EE13" s="414"/>
      <c r="EF13" s="414"/>
      <c r="EG13" s="414"/>
      <c r="EH13" s="414"/>
      <c r="EI13" s="414"/>
      <c r="EJ13" s="414"/>
      <c r="EK13" s="414"/>
      <c r="EL13" s="414"/>
      <c r="EM13" s="414"/>
      <c r="EN13" s="414"/>
      <c r="EO13" s="414"/>
      <c r="EP13" s="414"/>
      <c r="EQ13" s="414"/>
      <c r="ER13" s="414"/>
      <c r="ES13" s="414"/>
      <c r="ET13" s="414"/>
      <c r="EU13" s="414"/>
      <c r="EV13" s="414"/>
      <c r="EW13" s="414"/>
      <c r="EX13" s="414"/>
    </row>
    <row r="14" spans="1:154" s="415" customFormat="1" ht="16.5" customHeight="1">
      <c r="A14" s="1921"/>
      <c r="B14" s="1922"/>
      <c r="C14" s="407" t="s">
        <v>1202</v>
      </c>
      <c r="D14" s="408">
        <f>D30+D35+D41+D46+D74+D79+D84+D91+D69+D98+D20+D56+D25</f>
        <v>189955.30990999998</v>
      </c>
      <c r="E14" s="408">
        <f t="shared" ref="E14:S14" si="15">E30+E35+E41+E46+E74+E79+E84+E91+E69+E98+E20+E56+E25</f>
        <v>0</v>
      </c>
      <c r="F14" s="408">
        <f t="shared" si="15"/>
        <v>189955.33940999999</v>
      </c>
      <c r="G14" s="408">
        <f t="shared" si="15"/>
        <v>51139</v>
      </c>
      <c r="H14" s="408">
        <f t="shared" si="15"/>
        <v>265013.26170999999</v>
      </c>
      <c r="I14" s="408">
        <f t="shared" si="15"/>
        <v>36926</v>
      </c>
      <c r="J14" s="408">
        <f t="shared" si="15"/>
        <v>31876.686299999998</v>
      </c>
      <c r="K14" s="408">
        <f t="shared" si="15"/>
        <v>14213</v>
      </c>
      <c r="L14" s="408">
        <f t="shared" si="15"/>
        <v>186669.57586500002</v>
      </c>
      <c r="M14" s="409">
        <f t="shared" si="15"/>
        <v>180955.81586500004</v>
      </c>
      <c r="N14" s="408">
        <f t="shared" si="15"/>
        <v>0</v>
      </c>
      <c r="O14" s="408">
        <f t="shared" si="15"/>
        <v>0</v>
      </c>
      <c r="P14" s="408">
        <f t="shared" si="15"/>
        <v>181631.60786500003</v>
      </c>
      <c r="Q14" s="408">
        <f t="shared" si="15"/>
        <v>181631.607785</v>
      </c>
      <c r="R14" s="408">
        <f t="shared" si="15"/>
        <v>5.0000000001659828E-4</v>
      </c>
      <c r="S14" s="410">
        <f t="shared" si="15"/>
        <v>2721.7656250000014</v>
      </c>
      <c r="T14" s="411">
        <f t="shared" si="4"/>
        <v>0.95262295035795042</v>
      </c>
      <c r="U14" s="411">
        <f t="shared" si="5"/>
        <v>0.95618058617960711</v>
      </c>
      <c r="V14" s="408">
        <f t="shared" ref="V14:AI14" si="16">V30+V35+V41+V46+V74+V79+V84+V91+V69+V98+V20+V56+V25</f>
        <v>4648.7750050000004</v>
      </c>
      <c r="W14" s="408">
        <f t="shared" si="16"/>
        <v>165</v>
      </c>
      <c r="X14" s="408">
        <f t="shared" si="16"/>
        <v>34760.171470000001</v>
      </c>
      <c r="Y14" s="408">
        <f t="shared" si="16"/>
        <v>2</v>
      </c>
      <c r="Z14" s="408">
        <f t="shared" si="16"/>
        <v>5120.9449999999997</v>
      </c>
      <c r="AA14" s="408">
        <f t="shared" si="16"/>
        <v>165</v>
      </c>
      <c r="AB14" s="408">
        <f t="shared" si="16"/>
        <v>9447.3681500000002</v>
      </c>
      <c r="AC14" s="408">
        <f t="shared" si="16"/>
        <v>3733.6081500000005</v>
      </c>
      <c r="AD14" s="408">
        <f t="shared" si="16"/>
        <v>0</v>
      </c>
      <c r="AE14" s="408">
        <f t="shared" si="16"/>
        <v>0</v>
      </c>
      <c r="AF14" s="408">
        <f t="shared" si="16"/>
        <v>3733.6081500000005</v>
      </c>
      <c r="AG14" s="408">
        <f t="shared" si="16"/>
        <v>5131.2481500000013</v>
      </c>
      <c r="AH14" s="408">
        <f t="shared" si="16"/>
        <v>-156.892</v>
      </c>
      <c r="AI14" s="408">
        <f t="shared" si="16"/>
        <v>-482.47314499999993</v>
      </c>
      <c r="AJ14" s="412">
        <f>AC14/(AD14+V14)</f>
        <v>0.80313806238940577</v>
      </c>
      <c r="AK14" s="413">
        <f>AG14/V14</f>
        <v>1.1037850066912414</v>
      </c>
      <c r="AL14" s="414"/>
      <c r="AM14" s="414"/>
      <c r="AN14" s="414"/>
      <c r="AO14" s="414"/>
      <c r="AP14" s="414"/>
      <c r="AQ14" s="414"/>
      <c r="AR14" s="414"/>
      <c r="AS14" s="414"/>
      <c r="AT14" s="414"/>
      <c r="AU14" s="414"/>
      <c r="AV14" s="414"/>
      <c r="AW14" s="414"/>
      <c r="AX14" s="414"/>
      <c r="AY14" s="414"/>
      <c r="AZ14" s="414"/>
      <c r="BA14" s="414"/>
      <c r="BB14" s="414"/>
      <c r="BC14" s="414"/>
      <c r="BD14" s="414"/>
      <c r="BE14" s="414"/>
      <c r="BF14" s="414"/>
      <c r="BG14" s="414"/>
      <c r="BH14" s="414"/>
      <c r="BI14" s="414"/>
      <c r="BJ14" s="414"/>
      <c r="BK14" s="414"/>
      <c r="BL14" s="414"/>
      <c r="BM14" s="414"/>
      <c r="BN14" s="414"/>
      <c r="BO14" s="414"/>
      <c r="BP14" s="414"/>
      <c r="BQ14" s="414"/>
      <c r="BR14" s="414"/>
      <c r="BS14" s="414"/>
      <c r="BT14" s="414"/>
      <c r="BU14" s="414"/>
      <c r="BV14" s="414"/>
      <c r="BW14" s="414"/>
      <c r="BX14" s="414"/>
      <c r="BY14" s="414"/>
      <c r="BZ14" s="414"/>
      <c r="CA14" s="414"/>
      <c r="CB14" s="414"/>
      <c r="CC14" s="414"/>
      <c r="CD14" s="414"/>
      <c r="CE14" s="414"/>
      <c r="CF14" s="414"/>
      <c r="CG14" s="414"/>
      <c r="CH14" s="414"/>
      <c r="CI14" s="414"/>
      <c r="CJ14" s="414"/>
      <c r="CK14" s="414"/>
      <c r="CL14" s="414"/>
      <c r="CM14" s="414"/>
      <c r="CN14" s="414"/>
      <c r="CO14" s="414"/>
      <c r="CP14" s="414"/>
      <c r="CQ14" s="414"/>
      <c r="CR14" s="414"/>
      <c r="CS14" s="414"/>
      <c r="CT14" s="414"/>
      <c r="CU14" s="414"/>
      <c r="CV14" s="414"/>
      <c r="CW14" s="414"/>
      <c r="CX14" s="414"/>
      <c r="CY14" s="414"/>
      <c r="CZ14" s="414"/>
      <c r="DA14" s="414"/>
      <c r="DB14" s="414"/>
      <c r="DC14" s="414"/>
      <c r="DD14" s="414"/>
      <c r="DE14" s="414"/>
      <c r="DF14" s="414"/>
      <c r="DG14" s="414"/>
      <c r="DH14" s="414"/>
      <c r="DI14" s="414"/>
      <c r="DJ14" s="414"/>
      <c r="DK14" s="414"/>
      <c r="DL14" s="414"/>
      <c r="DM14" s="414"/>
      <c r="DN14" s="414"/>
      <c r="DO14" s="414"/>
      <c r="DP14" s="414"/>
      <c r="DQ14" s="414"/>
      <c r="DR14" s="414"/>
      <c r="DS14" s="414"/>
      <c r="DT14" s="414"/>
      <c r="DU14" s="414"/>
      <c r="DV14" s="414"/>
      <c r="DW14" s="414"/>
      <c r="DX14" s="414"/>
      <c r="DY14" s="414"/>
      <c r="DZ14" s="414"/>
      <c r="EA14" s="414"/>
      <c r="EB14" s="414"/>
      <c r="EC14" s="414"/>
      <c r="ED14" s="414"/>
      <c r="EE14" s="414"/>
      <c r="EF14" s="414"/>
      <c r="EG14" s="414"/>
      <c r="EH14" s="414"/>
      <c r="EI14" s="414"/>
      <c r="EJ14" s="414"/>
      <c r="EK14" s="414"/>
      <c r="EL14" s="414"/>
      <c r="EM14" s="414"/>
      <c r="EN14" s="414"/>
      <c r="EO14" s="414"/>
      <c r="EP14" s="414"/>
      <c r="EQ14" s="414"/>
      <c r="ER14" s="414"/>
      <c r="ES14" s="414"/>
      <c r="ET14" s="414"/>
      <c r="EU14" s="414"/>
      <c r="EV14" s="414"/>
      <c r="EW14" s="414"/>
      <c r="EX14" s="414"/>
    </row>
    <row r="15" spans="1:154" s="415" customFormat="1" ht="24" customHeight="1">
      <c r="A15" s="416"/>
      <c r="B15" s="1929" t="str">
        <f>C99</f>
        <v>Разница между планами финансирования поставщиков мед. услуг и Казаначейства</v>
      </c>
      <c r="C15" s="1930"/>
      <c r="D15" s="408">
        <f>D99</f>
        <v>0</v>
      </c>
      <c r="E15" s="408">
        <f t="shared" ref="E15:S15" si="17">E99</f>
        <v>0</v>
      </c>
      <c r="F15" s="408">
        <f t="shared" si="17"/>
        <v>0</v>
      </c>
      <c r="G15" s="408">
        <f t="shared" si="17"/>
        <v>0</v>
      </c>
      <c r="H15" s="408">
        <f t="shared" si="17"/>
        <v>0</v>
      </c>
      <c r="I15" s="408">
        <f t="shared" si="17"/>
        <v>0</v>
      </c>
      <c r="J15" s="408">
        <f t="shared" si="17"/>
        <v>0</v>
      </c>
      <c r="K15" s="408">
        <f t="shared" si="17"/>
        <v>0</v>
      </c>
      <c r="L15" s="408">
        <f t="shared" si="17"/>
        <v>0</v>
      </c>
      <c r="M15" s="409">
        <f t="shared" si="17"/>
        <v>0</v>
      </c>
      <c r="N15" s="408">
        <f t="shared" si="17"/>
        <v>0</v>
      </c>
      <c r="O15" s="408">
        <f t="shared" si="17"/>
        <v>0</v>
      </c>
      <c r="P15" s="408">
        <f t="shared" si="17"/>
        <v>0</v>
      </c>
      <c r="Q15" s="408">
        <f t="shared" si="17"/>
        <v>0</v>
      </c>
      <c r="R15" s="408">
        <f t="shared" si="17"/>
        <v>0</v>
      </c>
      <c r="S15" s="410">
        <f t="shared" si="17"/>
        <v>0</v>
      </c>
      <c r="T15" s="411" t="e">
        <f t="shared" si="4"/>
        <v>#DIV/0!</v>
      </c>
      <c r="U15" s="411" t="e">
        <f t="shared" si="5"/>
        <v>#DIV/0!</v>
      </c>
      <c r="V15" s="408">
        <f>V99</f>
        <v>63258.271000000001</v>
      </c>
      <c r="W15" s="408">
        <f t="shared" ref="W15:AI15" si="18">W99</f>
        <v>0</v>
      </c>
      <c r="X15" s="408">
        <f t="shared" si="18"/>
        <v>0</v>
      </c>
      <c r="Y15" s="408">
        <f t="shared" si="18"/>
        <v>0</v>
      </c>
      <c r="Z15" s="408">
        <f t="shared" si="18"/>
        <v>0</v>
      </c>
      <c r="AA15" s="408">
        <f t="shared" si="18"/>
        <v>0</v>
      </c>
      <c r="AB15" s="408">
        <f t="shared" si="18"/>
        <v>0</v>
      </c>
      <c r="AC15" s="408">
        <f t="shared" si="18"/>
        <v>0</v>
      </c>
      <c r="AD15" s="408" t="str">
        <f t="shared" si="18"/>
        <v xml:space="preserve"> </v>
      </c>
      <c r="AE15" s="408">
        <f t="shared" si="18"/>
        <v>0</v>
      </c>
      <c r="AF15" s="408">
        <f t="shared" si="18"/>
        <v>0</v>
      </c>
      <c r="AG15" s="408">
        <f t="shared" si="18"/>
        <v>0</v>
      </c>
      <c r="AH15" s="408">
        <f t="shared" si="18"/>
        <v>0</v>
      </c>
      <c r="AI15" s="408">
        <f t="shared" si="18"/>
        <v>63258.271000000001</v>
      </c>
      <c r="AJ15" s="417"/>
      <c r="AK15" s="418">
        <f>AK99</f>
        <v>0</v>
      </c>
      <c r="AL15" s="414"/>
      <c r="AM15" s="414"/>
      <c r="AN15" s="414"/>
      <c r="AO15" s="414"/>
      <c r="AP15" s="414"/>
      <c r="AQ15" s="414"/>
      <c r="AR15" s="414"/>
      <c r="AS15" s="414"/>
      <c r="AT15" s="414"/>
      <c r="AU15" s="414"/>
      <c r="AV15" s="414"/>
      <c r="AW15" s="414"/>
      <c r="AX15" s="414"/>
      <c r="AY15" s="414"/>
      <c r="AZ15" s="414"/>
      <c r="BA15" s="414"/>
      <c r="BB15" s="414"/>
      <c r="BC15" s="414"/>
      <c r="BD15" s="414"/>
      <c r="BE15" s="414"/>
      <c r="BF15" s="414"/>
      <c r="BG15" s="414"/>
      <c r="BH15" s="414"/>
      <c r="BI15" s="414"/>
      <c r="BJ15" s="414"/>
      <c r="BK15" s="414"/>
      <c r="BL15" s="414"/>
      <c r="BM15" s="414"/>
      <c r="BN15" s="414"/>
      <c r="BO15" s="414"/>
      <c r="BP15" s="414"/>
      <c r="BQ15" s="414"/>
      <c r="BR15" s="414"/>
      <c r="BS15" s="414"/>
      <c r="BT15" s="414"/>
      <c r="BU15" s="414"/>
      <c r="BV15" s="414"/>
      <c r="BW15" s="414"/>
      <c r="BX15" s="414"/>
      <c r="BY15" s="414"/>
      <c r="BZ15" s="414"/>
      <c r="CA15" s="414"/>
      <c r="CB15" s="414"/>
      <c r="CC15" s="414"/>
      <c r="CD15" s="414"/>
      <c r="CE15" s="414"/>
      <c r="CF15" s="414"/>
      <c r="CG15" s="414"/>
      <c r="CH15" s="414"/>
      <c r="CI15" s="414"/>
      <c r="CJ15" s="414"/>
      <c r="CK15" s="414"/>
      <c r="CL15" s="414"/>
      <c r="CM15" s="414"/>
      <c r="CN15" s="414"/>
      <c r="CO15" s="414"/>
      <c r="CP15" s="414"/>
      <c r="CQ15" s="414"/>
      <c r="CR15" s="414"/>
      <c r="CS15" s="414"/>
      <c r="CT15" s="414"/>
      <c r="CU15" s="414"/>
      <c r="CV15" s="414"/>
      <c r="CW15" s="414"/>
      <c r="CX15" s="414"/>
      <c r="CY15" s="414"/>
      <c r="CZ15" s="414"/>
      <c r="DA15" s="414"/>
      <c r="DB15" s="414"/>
      <c r="DC15" s="414"/>
      <c r="DD15" s="414"/>
      <c r="DE15" s="414"/>
      <c r="DF15" s="414"/>
      <c r="DG15" s="414"/>
      <c r="DH15" s="414"/>
      <c r="DI15" s="414"/>
      <c r="DJ15" s="414"/>
      <c r="DK15" s="414"/>
      <c r="DL15" s="414"/>
      <c r="DM15" s="414"/>
      <c r="DN15" s="414"/>
      <c r="DO15" s="414"/>
      <c r="DP15" s="414"/>
      <c r="DQ15" s="414"/>
      <c r="DR15" s="414"/>
      <c r="DS15" s="414"/>
      <c r="DT15" s="414"/>
      <c r="DU15" s="414"/>
      <c r="DV15" s="414"/>
      <c r="DW15" s="414"/>
      <c r="DX15" s="414"/>
      <c r="DY15" s="414"/>
      <c r="DZ15" s="414"/>
      <c r="EA15" s="414"/>
      <c r="EB15" s="414"/>
      <c r="EC15" s="414"/>
      <c r="ED15" s="414"/>
      <c r="EE15" s="414"/>
      <c r="EF15" s="414"/>
      <c r="EG15" s="414"/>
      <c r="EH15" s="414"/>
      <c r="EI15" s="414"/>
      <c r="EJ15" s="414"/>
      <c r="EK15" s="414"/>
      <c r="EL15" s="414"/>
      <c r="EM15" s="414"/>
      <c r="EN15" s="414"/>
      <c r="EO15" s="414"/>
      <c r="EP15" s="414"/>
      <c r="EQ15" s="414"/>
      <c r="ER15" s="414"/>
      <c r="ES15" s="414"/>
      <c r="ET15" s="414"/>
      <c r="EU15" s="414"/>
      <c r="EV15" s="414"/>
      <c r="EW15" s="414"/>
      <c r="EX15" s="414"/>
    </row>
    <row r="16" spans="1:154" s="421" customFormat="1" ht="16.5" customHeight="1">
      <c r="A16" s="1921">
        <v>1</v>
      </c>
      <c r="B16" s="1922" t="s">
        <v>1151</v>
      </c>
      <c r="C16" s="419" t="s">
        <v>1196</v>
      </c>
      <c r="D16" s="408">
        <f>D17+D18+D19+D20</f>
        <v>9029171.9650000036</v>
      </c>
      <c r="E16" s="408">
        <f t="shared" ref="E16:AI16" si="19">E17+E18+E19+E20</f>
        <v>2569853.1</v>
      </c>
      <c r="F16" s="408">
        <f t="shared" si="19"/>
        <v>6459318.8650000002</v>
      </c>
      <c r="G16" s="408">
        <f t="shared" si="19"/>
        <v>141844</v>
      </c>
      <c r="H16" s="408">
        <f t="shared" si="19"/>
        <v>9256662.9850200005</v>
      </c>
      <c r="I16" s="408">
        <f t="shared" si="19"/>
        <v>556</v>
      </c>
      <c r="J16" s="408">
        <f t="shared" si="19"/>
        <v>227491.41479000013</v>
      </c>
      <c r="K16" s="408">
        <f t="shared" si="19"/>
        <v>141288</v>
      </c>
      <c r="L16" s="408">
        <f t="shared" si="19"/>
        <v>9029171.9647700023</v>
      </c>
      <c r="M16" s="409">
        <f t="shared" si="19"/>
        <v>9029171.9647700023</v>
      </c>
      <c r="N16" s="408">
        <f t="shared" si="19"/>
        <v>2569853.1</v>
      </c>
      <c r="O16" s="408">
        <f t="shared" si="19"/>
        <v>0</v>
      </c>
      <c r="P16" s="408">
        <f t="shared" si="19"/>
        <v>6459318.8647699999</v>
      </c>
      <c r="Q16" s="408">
        <f t="shared" si="19"/>
        <v>6459318.8647699999</v>
      </c>
      <c r="R16" s="408">
        <f t="shared" si="19"/>
        <v>0</v>
      </c>
      <c r="S16" s="410">
        <f>S17+S18+S19+S20</f>
        <v>2.3000022747510229E-4</v>
      </c>
      <c r="T16" s="408">
        <f t="shared" si="19"/>
        <v>3.9934892241140467</v>
      </c>
      <c r="U16" s="408">
        <f t="shared" si="19"/>
        <v>3.9915087552354116</v>
      </c>
      <c r="V16" s="408">
        <f t="shared" si="19"/>
        <v>334134.55100000004</v>
      </c>
      <c r="W16" s="408">
        <f t="shared" si="19"/>
        <v>5688</v>
      </c>
      <c r="X16" s="408">
        <f t="shared" si="19"/>
        <v>329919.03999999998</v>
      </c>
      <c r="Y16" s="408">
        <f t="shared" si="19"/>
        <v>29</v>
      </c>
      <c r="Z16" s="408">
        <f t="shared" si="19"/>
        <v>8959.3280000000032</v>
      </c>
      <c r="AA16" s="408">
        <f t="shared" si="19"/>
        <v>5659</v>
      </c>
      <c r="AB16" s="408">
        <f t="shared" si="19"/>
        <v>334134.55100000004</v>
      </c>
      <c r="AC16" s="408">
        <f t="shared" si="19"/>
        <v>334134.55100000004</v>
      </c>
      <c r="AD16" s="408">
        <f t="shared" si="19"/>
        <v>0</v>
      </c>
      <c r="AE16" s="408">
        <f t="shared" si="19"/>
        <v>0</v>
      </c>
      <c r="AF16" s="408">
        <f t="shared" si="19"/>
        <v>334134.55100000004</v>
      </c>
      <c r="AG16" s="408">
        <f t="shared" si="19"/>
        <v>334134.55100000004</v>
      </c>
      <c r="AH16" s="408">
        <f t="shared" si="19"/>
        <v>0</v>
      </c>
      <c r="AI16" s="408">
        <f t="shared" si="19"/>
        <v>0</v>
      </c>
      <c r="AJ16" s="412">
        <f>AC16/(AD16+V16)</f>
        <v>1</v>
      </c>
      <c r="AK16" s="413">
        <f>AG16/V16</f>
        <v>1</v>
      </c>
      <c r="AL16" s="420"/>
      <c r="AM16" s="420"/>
      <c r="AN16" s="420"/>
      <c r="AO16" s="420"/>
      <c r="AP16" s="420"/>
      <c r="AQ16" s="420"/>
      <c r="AR16" s="420"/>
      <c r="AS16" s="420"/>
      <c r="AT16" s="420"/>
      <c r="AU16" s="420"/>
      <c r="AV16" s="420"/>
      <c r="AW16" s="420"/>
      <c r="AX16" s="420"/>
      <c r="AY16" s="420"/>
      <c r="AZ16" s="420"/>
      <c r="BA16" s="420"/>
      <c r="BB16" s="420"/>
      <c r="BC16" s="420"/>
      <c r="BD16" s="420"/>
      <c r="BE16" s="420"/>
      <c r="BF16" s="420"/>
      <c r="BG16" s="420"/>
      <c r="BH16" s="420"/>
      <c r="BI16" s="420"/>
      <c r="BJ16" s="420"/>
      <c r="BK16" s="420"/>
      <c r="BL16" s="420"/>
      <c r="BM16" s="420"/>
      <c r="BN16" s="420"/>
      <c r="BO16" s="420"/>
      <c r="BP16" s="420"/>
      <c r="BQ16" s="420"/>
      <c r="BR16" s="420"/>
      <c r="BS16" s="420"/>
      <c r="BT16" s="420"/>
      <c r="BU16" s="420"/>
      <c r="BV16" s="420"/>
      <c r="BW16" s="420"/>
      <c r="BX16" s="420"/>
      <c r="BY16" s="420"/>
      <c r="BZ16" s="420"/>
      <c r="CA16" s="420"/>
      <c r="CB16" s="420"/>
      <c r="CC16" s="420"/>
      <c r="CD16" s="420"/>
      <c r="CE16" s="420"/>
      <c r="CF16" s="420"/>
      <c r="CG16" s="420"/>
      <c r="CH16" s="420"/>
      <c r="CI16" s="420"/>
      <c r="CJ16" s="420"/>
      <c r="CK16" s="420"/>
      <c r="CL16" s="420"/>
      <c r="CM16" s="420"/>
      <c r="CN16" s="420"/>
      <c r="CO16" s="420"/>
      <c r="CP16" s="420"/>
      <c r="CQ16" s="420"/>
      <c r="CR16" s="420"/>
      <c r="CS16" s="420"/>
      <c r="CT16" s="420"/>
      <c r="CU16" s="420"/>
      <c r="CV16" s="420"/>
      <c r="CW16" s="420"/>
      <c r="CX16" s="420"/>
      <c r="CY16" s="420"/>
      <c r="CZ16" s="420"/>
      <c r="DA16" s="420"/>
      <c r="DB16" s="420"/>
      <c r="DC16" s="420"/>
      <c r="DD16" s="420"/>
      <c r="DE16" s="420"/>
      <c r="DF16" s="420"/>
      <c r="DG16" s="420"/>
      <c r="DH16" s="420"/>
      <c r="DI16" s="420"/>
      <c r="DJ16" s="420"/>
      <c r="DK16" s="420"/>
      <c r="DL16" s="420"/>
      <c r="DM16" s="420"/>
      <c r="DN16" s="420"/>
      <c r="DO16" s="420"/>
      <c r="DP16" s="420"/>
      <c r="DQ16" s="420"/>
      <c r="DR16" s="420"/>
      <c r="DS16" s="420"/>
      <c r="DT16" s="420"/>
      <c r="DU16" s="420"/>
      <c r="DV16" s="420"/>
      <c r="DW16" s="420"/>
      <c r="DX16" s="420"/>
      <c r="DY16" s="420"/>
      <c r="DZ16" s="420"/>
      <c r="EA16" s="420"/>
      <c r="EB16" s="420"/>
      <c r="EC16" s="420"/>
      <c r="ED16" s="420"/>
      <c r="EE16" s="420"/>
      <c r="EF16" s="420"/>
      <c r="EG16" s="420"/>
      <c r="EH16" s="420"/>
      <c r="EI16" s="420"/>
      <c r="EJ16" s="420"/>
      <c r="EK16" s="420"/>
      <c r="EL16" s="420"/>
      <c r="EM16" s="420"/>
      <c r="EN16" s="420"/>
      <c r="EO16" s="420"/>
      <c r="EP16" s="420"/>
      <c r="EQ16" s="420"/>
      <c r="ER16" s="420"/>
      <c r="ES16" s="420"/>
      <c r="ET16" s="420"/>
      <c r="EU16" s="420"/>
      <c r="EV16" s="420"/>
      <c r="EW16" s="420"/>
      <c r="EX16" s="420"/>
    </row>
    <row r="17" spans="1:154" s="427" customFormat="1" ht="16.5" customHeight="1">
      <c r="A17" s="1921"/>
      <c r="B17" s="1922"/>
      <c r="C17" s="422" t="s">
        <v>1197</v>
      </c>
      <c r="D17" s="408">
        <v>7781397.0240000039</v>
      </c>
      <c r="E17" s="423">
        <v>2272350</v>
      </c>
      <c r="F17" s="423">
        <v>5509047.0240000002</v>
      </c>
      <c r="G17" s="423">
        <v>104865</v>
      </c>
      <c r="H17" s="423">
        <v>7994323.6070700008</v>
      </c>
      <c r="I17" s="423">
        <v>439</v>
      </c>
      <c r="J17" s="423">
        <v>208518.0362700001</v>
      </c>
      <c r="K17" s="423">
        <v>104426</v>
      </c>
      <c r="L17" s="423">
        <v>7785805.0002900027</v>
      </c>
      <c r="M17" s="424">
        <v>7785805.0002900027</v>
      </c>
      <c r="N17" s="423">
        <v>2272350</v>
      </c>
      <c r="O17" s="423">
        <v>0</v>
      </c>
      <c r="P17" s="423">
        <v>5513455.0002899999</v>
      </c>
      <c r="Q17" s="423">
        <v>5513455.0002899999</v>
      </c>
      <c r="R17" s="423">
        <v>0</v>
      </c>
      <c r="S17" s="425">
        <v>-4407.9762899999187</v>
      </c>
      <c r="T17" s="411">
        <f t="shared" si="4"/>
        <v>1.0005664762094013</v>
      </c>
      <c r="U17" s="411">
        <f t="shared" si="5"/>
        <v>1.0008001340832264</v>
      </c>
      <c r="V17" s="423">
        <v>295141.853</v>
      </c>
      <c r="W17" s="423">
        <v>3942</v>
      </c>
      <c r="X17" s="423">
        <v>288981.51099999994</v>
      </c>
      <c r="Y17" s="423">
        <v>25</v>
      </c>
      <c r="Z17" s="423">
        <v>7014.4970000000012</v>
      </c>
      <c r="AA17" s="423">
        <v>3917</v>
      </c>
      <c r="AB17" s="423">
        <v>295141.853</v>
      </c>
      <c r="AC17" s="423">
        <v>295141.853</v>
      </c>
      <c r="AD17" s="423">
        <v>0</v>
      </c>
      <c r="AE17" s="423">
        <v>0</v>
      </c>
      <c r="AF17" s="423">
        <v>295141.853</v>
      </c>
      <c r="AG17" s="423">
        <v>295141.853</v>
      </c>
      <c r="AH17" s="423">
        <v>0</v>
      </c>
      <c r="AI17" s="423">
        <v>0</v>
      </c>
      <c r="AJ17" s="412">
        <f>AC17/(AD17+V17)</f>
        <v>1</v>
      </c>
      <c r="AK17" s="413">
        <f>AG17/V17</f>
        <v>1</v>
      </c>
      <c r="AL17" s="426"/>
      <c r="AM17" s="426"/>
      <c r="AN17" s="426"/>
      <c r="AO17" s="426"/>
      <c r="AP17" s="426"/>
      <c r="AQ17" s="426"/>
      <c r="AR17" s="426"/>
      <c r="AS17" s="426"/>
      <c r="AT17" s="426"/>
      <c r="AU17" s="426"/>
      <c r="AV17" s="426"/>
      <c r="AW17" s="426"/>
      <c r="AX17" s="426"/>
      <c r="AY17" s="426"/>
      <c r="AZ17" s="426"/>
      <c r="BA17" s="426"/>
      <c r="BB17" s="426"/>
      <c r="BC17" s="426"/>
      <c r="BD17" s="426"/>
      <c r="BE17" s="426"/>
      <c r="BF17" s="426"/>
      <c r="BG17" s="426"/>
      <c r="BH17" s="426"/>
      <c r="BI17" s="426"/>
      <c r="BJ17" s="426"/>
      <c r="BK17" s="426"/>
      <c r="BL17" s="426"/>
      <c r="BM17" s="426"/>
      <c r="BN17" s="426"/>
      <c r="BO17" s="426"/>
      <c r="BP17" s="426"/>
      <c r="BQ17" s="426"/>
      <c r="BR17" s="426"/>
      <c r="BS17" s="426"/>
      <c r="BT17" s="426"/>
      <c r="BU17" s="426"/>
      <c r="BV17" s="426"/>
      <c r="BW17" s="426"/>
      <c r="BX17" s="426"/>
      <c r="BY17" s="426"/>
      <c r="BZ17" s="426"/>
      <c r="CA17" s="426"/>
      <c r="CB17" s="426"/>
      <c r="CC17" s="426"/>
      <c r="CD17" s="426"/>
      <c r="CE17" s="426"/>
      <c r="CF17" s="426"/>
      <c r="CG17" s="426"/>
      <c r="CH17" s="426"/>
      <c r="CI17" s="426"/>
      <c r="CJ17" s="426"/>
      <c r="CK17" s="426"/>
      <c r="CL17" s="426"/>
      <c r="CM17" s="426"/>
      <c r="CN17" s="426"/>
      <c r="CO17" s="426"/>
      <c r="CP17" s="426"/>
      <c r="CQ17" s="426"/>
      <c r="CR17" s="426"/>
      <c r="CS17" s="426"/>
      <c r="CT17" s="426"/>
      <c r="CU17" s="426"/>
      <c r="CV17" s="426"/>
      <c r="CW17" s="426"/>
      <c r="CX17" s="426"/>
      <c r="CY17" s="426"/>
      <c r="CZ17" s="426"/>
      <c r="DA17" s="426"/>
      <c r="DB17" s="426"/>
      <c r="DC17" s="426"/>
      <c r="DD17" s="426"/>
      <c r="DE17" s="426"/>
      <c r="DF17" s="426"/>
      <c r="DG17" s="426"/>
      <c r="DH17" s="426"/>
      <c r="DI17" s="426"/>
      <c r="DJ17" s="426"/>
      <c r="DK17" s="426"/>
      <c r="DL17" s="426"/>
      <c r="DM17" s="426"/>
      <c r="DN17" s="426"/>
      <c r="DO17" s="426"/>
      <c r="DP17" s="426"/>
      <c r="DQ17" s="426"/>
      <c r="DR17" s="426"/>
      <c r="DS17" s="426"/>
      <c r="DT17" s="426"/>
      <c r="DU17" s="426"/>
      <c r="DV17" s="426"/>
      <c r="DW17" s="426"/>
      <c r="DX17" s="426"/>
      <c r="DY17" s="426"/>
      <c r="DZ17" s="426"/>
      <c r="EA17" s="426"/>
      <c r="EB17" s="426"/>
      <c r="EC17" s="426"/>
      <c r="ED17" s="426"/>
      <c r="EE17" s="426"/>
      <c r="EF17" s="426"/>
      <c r="EG17" s="426"/>
      <c r="EH17" s="426"/>
      <c r="EI17" s="426"/>
      <c r="EJ17" s="426"/>
      <c r="EK17" s="426"/>
      <c r="EL17" s="426"/>
      <c r="EM17" s="426"/>
      <c r="EN17" s="426"/>
      <c r="EO17" s="426"/>
      <c r="EP17" s="426"/>
      <c r="EQ17" s="426"/>
      <c r="ER17" s="426"/>
      <c r="ES17" s="426"/>
      <c r="ET17" s="426"/>
      <c r="EU17" s="426"/>
      <c r="EV17" s="426"/>
      <c r="EW17" s="426"/>
      <c r="EX17" s="426"/>
    </row>
    <row r="18" spans="1:154" s="427" customFormat="1" ht="16.5" customHeight="1">
      <c r="A18" s="1921"/>
      <c r="B18" s="1922"/>
      <c r="C18" s="422" t="s">
        <v>1198</v>
      </c>
      <c r="D18" s="408">
        <v>572135.15500000014</v>
      </c>
      <c r="E18" s="428">
        <v>103184.7</v>
      </c>
      <c r="F18" s="428">
        <v>468950.45500000007</v>
      </c>
      <c r="G18" s="428">
        <v>637</v>
      </c>
      <c r="H18" s="428">
        <v>574995.924</v>
      </c>
      <c r="I18" s="428">
        <v>3</v>
      </c>
      <c r="J18" s="428">
        <v>4883.9900000000598</v>
      </c>
      <c r="K18" s="428">
        <v>634</v>
      </c>
      <c r="L18" s="428">
        <v>570111.93399999989</v>
      </c>
      <c r="M18" s="429">
        <v>570111.93399999989</v>
      </c>
      <c r="N18" s="428">
        <v>103184.7</v>
      </c>
      <c r="O18" s="428">
        <v>0</v>
      </c>
      <c r="P18" s="428">
        <v>466927.23399999988</v>
      </c>
      <c r="Q18" s="428">
        <v>466927.23399999988</v>
      </c>
      <c r="R18" s="428">
        <v>0</v>
      </c>
      <c r="S18" s="430">
        <v>2023.2210000001778</v>
      </c>
      <c r="T18" s="411">
        <f t="shared" si="4"/>
        <v>0.9964637359156856</v>
      </c>
      <c r="U18" s="411">
        <f t="shared" si="5"/>
        <v>0.99568564018132744</v>
      </c>
      <c r="V18" s="428">
        <v>10319.666999999999</v>
      </c>
      <c r="W18" s="428">
        <v>9</v>
      </c>
      <c r="X18" s="428">
        <v>12068.905000000001</v>
      </c>
      <c r="Y18" s="428">
        <v>1</v>
      </c>
      <c r="Z18" s="428">
        <v>1749.238000000001</v>
      </c>
      <c r="AA18" s="428">
        <v>8</v>
      </c>
      <c r="AB18" s="428">
        <v>10319.666999999999</v>
      </c>
      <c r="AC18" s="428">
        <v>10319.666999999999</v>
      </c>
      <c r="AD18" s="428">
        <v>0</v>
      </c>
      <c r="AE18" s="428">
        <v>0</v>
      </c>
      <c r="AF18" s="428">
        <v>10319.666999999999</v>
      </c>
      <c r="AG18" s="428">
        <v>10319.666999999999</v>
      </c>
      <c r="AH18" s="428">
        <v>0</v>
      </c>
      <c r="AI18" s="428">
        <v>0</v>
      </c>
      <c r="AJ18" s="412">
        <f>AC18/(AD18+V18)</f>
        <v>1</v>
      </c>
      <c r="AK18" s="413">
        <f>AG18/V18</f>
        <v>1</v>
      </c>
      <c r="AL18" s="426"/>
      <c r="AM18" s="426"/>
      <c r="AN18" s="426"/>
      <c r="AO18" s="426"/>
      <c r="AP18" s="426"/>
      <c r="AQ18" s="426"/>
      <c r="AR18" s="426"/>
      <c r="AS18" s="426"/>
      <c r="AT18" s="426"/>
      <c r="AU18" s="426"/>
      <c r="AV18" s="426"/>
      <c r="AW18" s="426"/>
      <c r="AX18" s="426"/>
      <c r="AY18" s="426"/>
      <c r="AZ18" s="426"/>
      <c r="BA18" s="426"/>
      <c r="BB18" s="426"/>
      <c r="BC18" s="426"/>
      <c r="BD18" s="426"/>
      <c r="BE18" s="426"/>
      <c r="BF18" s="426"/>
      <c r="BG18" s="426"/>
      <c r="BH18" s="426"/>
      <c r="BI18" s="426"/>
      <c r="BJ18" s="426"/>
      <c r="BK18" s="426"/>
      <c r="BL18" s="426"/>
      <c r="BM18" s="426"/>
      <c r="BN18" s="426"/>
      <c r="BO18" s="426"/>
      <c r="BP18" s="426"/>
      <c r="BQ18" s="426"/>
      <c r="BR18" s="426"/>
      <c r="BS18" s="426"/>
      <c r="BT18" s="426"/>
      <c r="BU18" s="426"/>
      <c r="BV18" s="426"/>
      <c r="BW18" s="426"/>
      <c r="BX18" s="426"/>
      <c r="BY18" s="426"/>
      <c r="BZ18" s="426"/>
      <c r="CA18" s="426"/>
      <c r="CB18" s="426"/>
      <c r="CC18" s="426"/>
      <c r="CD18" s="426"/>
      <c r="CE18" s="426"/>
      <c r="CF18" s="426"/>
      <c r="CG18" s="426"/>
      <c r="CH18" s="426"/>
      <c r="CI18" s="426"/>
      <c r="CJ18" s="426"/>
      <c r="CK18" s="426"/>
      <c r="CL18" s="426"/>
      <c r="CM18" s="426"/>
      <c r="CN18" s="426"/>
      <c r="CO18" s="426"/>
      <c r="CP18" s="426"/>
      <c r="CQ18" s="426"/>
      <c r="CR18" s="426"/>
      <c r="CS18" s="426"/>
      <c r="CT18" s="426"/>
      <c r="CU18" s="426"/>
      <c r="CV18" s="426"/>
      <c r="CW18" s="426"/>
      <c r="CX18" s="426"/>
      <c r="CY18" s="426"/>
      <c r="CZ18" s="426"/>
      <c r="DA18" s="426"/>
      <c r="DB18" s="426"/>
      <c r="DC18" s="426"/>
      <c r="DD18" s="426"/>
      <c r="DE18" s="426"/>
      <c r="DF18" s="426"/>
      <c r="DG18" s="426"/>
      <c r="DH18" s="426"/>
      <c r="DI18" s="426"/>
      <c r="DJ18" s="426"/>
      <c r="DK18" s="426"/>
      <c r="DL18" s="426"/>
      <c r="DM18" s="426"/>
      <c r="DN18" s="426"/>
      <c r="DO18" s="426"/>
      <c r="DP18" s="426"/>
      <c r="DQ18" s="426"/>
      <c r="DR18" s="426"/>
      <c r="DS18" s="426"/>
      <c r="DT18" s="426"/>
      <c r="DU18" s="426"/>
      <c r="DV18" s="426"/>
      <c r="DW18" s="426"/>
      <c r="DX18" s="426"/>
      <c r="DY18" s="426"/>
      <c r="DZ18" s="426"/>
      <c r="EA18" s="426"/>
      <c r="EB18" s="426"/>
      <c r="EC18" s="426"/>
      <c r="ED18" s="426"/>
      <c r="EE18" s="426"/>
      <c r="EF18" s="426"/>
      <c r="EG18" s="426"/>
      <c r="EH18" s="426"/>
      <c r="EI18" s="426"/>
      <c r="EJ18" s="426"/>
      <c r="EK18" s="426"/>
      <c r="EL18" s="426"/>
      <c r="EM18" s="426"/>
      <c r="EN18" s="426"/>
      <c r="EO18" s="426"/>
      <c r="EP18" s="426"/>
      <c r="EQ18" s="426"/>
      <c r="ER18" s="426"/>
      <c r="ES18" s="426"/>
      <c r="ET18" s="426"/>
      <c r="EU18" s="426"/>
      <c r="EV18" s="426"/>
      <c r="EW18" s="426"/>
      <c r="EX18" s="426"/>
    </row>
    <row r="19" spans="1:154" s="427" customFormat="1" ht="16.5" customHeight="1">
      <c r="A19" s="1921"/>
      <c r="B19" s="1922"/>
      <c r="C19" s="422" t="s">
        <v>1199</v>
      </c>
      <c r="D19" s="408">
        <v>673471.78599999985</v>
      </c>
      <c r="E19" s="428">
        <v>194318.4</v>
      </c>
      <c r="F19" s="428">
        <v>479153.38599999988</v>
      </c>
      <c r="G19" s="428">
        <v>36276</v>
      </c>
      <c r="H19" s="428">
        <v>685175.45394999976</v>
      </c>
      <c r="I19" s="428">
        <v>114</v>
      </c>
      <c r="J19" s="428">
        <v>14089.388519999984</v>
      </c>
      <c r="K19" s="428">
        <v>36162</v>
      </c>
      <c r="L19" s="428">
        <v>671087.03047999996</v>
      </c>
      <c r="M19" s="429">
        <v>671087.03047999996</v>
      </c>
      <c r="N19" s="428">
        <v>194318.4</v>
      </c>
      <c r="O19" s="428">
        <v>0</v>
      </c>
      <c r="P19" s="428">
        <v>476768.63047999999</v>
      </c>
      <c r="Q19" s="428">
        <v>476768.63047999999</v>
      </c>
      <c r="R19" s="428">
        <v>0</v>
      </c>
      <c r="S19" s="430">
        <v>2384.7555199999683</v>
      </c>
      <c r="T19" s="411">
        <f t="shared" si="4"/>
        <v>0.9964590119889597</v>
      </c>
      <c r="U19" s="411">
        <f t="shared" si="5"/>
        <v>0.99502298097085784</v>
      </c>
      <c r="V19" s="428">
        <v>28673.031000000003</v>
      </c>
      <c r="W19" s="428">
        <v>1737</v>
      </c>
      <c r="X19" s="428">
        <v>28868.624</v>
      </c>
      <c r="Y19" s="428">
        <v>3</v>
      </c>
      <c r="Z19" s="428">
        <v>195.59300000000036</v>
      </c>
      <c r="AA19" s="428">
        <v>1734</v>
      </c>
      <c r="AB19" s="428">
        <v>28673.031000000003</v>
      </c>
      <c r="AC19" s="428">
        <v>28673.031000000003</v>
      </c>
      <c r="AD19" s="428">
        <v>0</v>
      </c>
      <c r="AE19" s="428">
        <v>0</v>
      </c>
      <c r="AF19" s="428">
        <v>28673.031000000003</v>
      </c>
      <c r="AG19" s="428">
        <v>28673.031000000003</v>
      </c>
      <c r="AH19" s="428">
        <v>0</v>
      </c>
      <c r="AI19" s="428">
        <v>0</v>
      </c>
      <c r="AJ19" s="412">
        <f>AC19/(AD19+V19)</f>
        <v>1</v>
      </c>
      <c r="AK19" s="413">
        <f>AG19/V19</f>
        <v>1</v>
      </c>
      <c r="AL19" s="426"/>
      <c r="AM19" s="426"/>
      <c r="AN19" s="426"/>
      <c r="AO19" s="426"/>
      <c r="AP19" s="426"/>
      <c r="AQ19" s="426"/>
      <c r="AR19" s="426"/>
      <c r="AS19" s="426"/>
      <c r="AT19" s="426"/>
      <c r="AU19" s="426"/>
      <c r="AV19" s="426"/>
      <c r="AW19" s="426"/>
      <c r="AX19" s="426"/>
      <c r="AY19" s="426"/>
      <c r="AZ19" s="426"/>
      <c r="BA19" s="426"/>
      <c r="BB19" s="426"/>
      <c r="BC19" s="426"/>
      <c r="BD19" s="426"/>
      <c r="BE19" s="426"/>
      <c r="BF19" s="426"/>
      <c r="BG19" s="426"/>
      <c r="BH19" s="426"/>
      <c r="BI19" s="426"/>
      <c r="BJ19" s="426"/>
      <c r="BK19" s="426"/>
      <c r="BL19" s="426"/>
      <c r="BM19" s="426"/>
      <c r="BN19" s="426"/>
      <c r="BO19" s="426"/>
      <c r="BP19" s="426"/>
      <c r="BQ19" s="426"/>
      <c r="BR19" s="426"/>
      <c r="BS19" s="426"/>
      <c r="BT19" s="426"/>
      <c r="BU19" s="426"/>
      <c r="BV19" s="426"/>
      <c r="BW19" s="426"/>
      <c r="BX19" s="426"/>
      <c r="BY19" s="426"/>
      <c r="BZ19" s="426"/>
      <c r="CA19" s="426"/>
      <c r="CB19" s="426"/>
      <c r="CC19" s="426"/>
      <c r="CD19" s="426"/>
      <c r="CE19" s="426"/>
      <c r="CF19" s="426"/>
      <c r="CG19" s="426"/>
      <c r="CH19" s="426"/>
      <c r="CI19" s="426"/>
      <c r="CJ19" s="426"/>
      <c r="CK19" s="426"/>
      <c r="CL19" s="426"/>
      <c r="CM19" s="426"/>
      <c r="CN19" s="426"/>
      <c r="CO19" s="426"/>
      <c r="CP19" s="426"/>
      <c r="CQ19" s="426"/>
      <c r="CR19" s="426"/>
      <c r="CS19" s="426"/>
      <c r="CT19" s="426"/>
      <c r="CU19" s="426"/>
      <c r="CV19" s="426"/>
      <c r="CW19" s="426"/>
      <c r="CX19" s="426"/>
      <c r="CY19" s="426"/>
      <c r="CZ19" s="426"/>
      <c r="DA19" s="426"/>
      <c r="DB19" s="426"/>
      <c r="DC19" s="426"/>
      <c r="DD19" s="426"/>
      <c r="DE19" s="426"/>
      <c r="DF19" s="426"/>
      <c r="DG19" s="426"/>
      <c r="DH19" s="426"/>
      <c r="DI19" s="426"/>
      <c r="DJ19" s="426"/>
      <c r="DK19" s="426"/>
      <c r="DL19" s="426"/>
      <c r="DM19" s="426"/>
      <c r="DN19" s="426"/>
      <c r="DO19" s="426"/>
      <c r="DP19" s="426"/>
      <c r="DQ19" s="426"/>
      <c r="DR19" s="426"/>
      <c r="DS19" s="426"/>
      <c r="DT19" s="426"/>
      <c r="DU19" s="426"/>
      <c r="DV19" s="426"/>
      <c r="DW19" s="426"/>
      <c r="DX19" s="426"/>
      <c r="DY19" s="426"/>
      <c r="DZ19" s="426"/>
      <c r="EA19" s="426"/>
      <c r="EB19" s="426"/>
      <c r="EC19" s="426"/>
      <c r="ED19" s="426"/>
      <c r="EE19" s="426"/>
      <c r="EF19" s="426"/>
      <c r="EG19" s="426"/>
      <c r="EH19" s="426"/>
      <c r="EI19" s="426"/>
      <c r="EJ19" s="426"/>
      <c r="EK19" s="426"/>
      <c r="EL19" s="426"/>
      <c r="EM19" s="426"/>
      <c r="EN19" s="426"/>
      <c r="EO19" s="426"/>
      <c r="EP19" s="426"/>
      <c r="EQ19" s="426"/>
      <c r="ER19" s="426"/>
      <c r="ES19" s="426"/>
      <c r="ET19" s="426"/>
      <c r="EU19" s="426"/>
      <c r="EV19" s="426"/>
      <c r="EW19" s="426"/>
      <c r="EX19" s="426"/>
    </row>
    <row r="20" spans="1:154" s="427" customFormat="1" ht="16.5" customHeight="1">
      <c r="A20" s="1921"/>
      <c r="B20" s="1922"/>
      <c r="C20" s="407" t="s">
        <v>1202</v>
      </c>
      <c r="D20" s="408">
        <v>2168</v>
      </c>
      <c r="E20" s="428">
        <v>0</v>
      </c>
      <c r="F20" s="428">
        <v>2168</v>
      </c>
      <c r="G20" s="428">
        <v>66</v>
      </c>
      <c r="H20" s="428">
        <v>2168</v>
      </c>
      <c r="I20" s="428">
        <v>0</v>
      </c>
      <c r="J20" s="428">
        <v>0</v>
      </c>
      <c r="K20" s="428">
        <v>66</v>
      </c>
      <c r="L20" s="428">
        <v>2168</v>
      </c>
      <c r="M20" s="429">
        <v>2168</v>
      </c>
      <c r="N20" s="428">
        <v>0</v>
      </c>
      <c r="O20" s="428">
        <v>0</v>
      </c>
      <c r="P20" s="428">
        <v>2168</v>
      </c>
      <c r="Q20" s="428">
        <v>2168</v>
      </c>
      <c r="R20" s="428">
        <v>0</v>
      </c>
      <c r="S20" s="430">
        <v>0</v>
      </c>
      <c r="T20" s="411">
        <f t="shared" si="4"/>
        <v>1</v>
      </c>
      <c r="U20" s="411">
        <f t="shared" si="5"/>
        <v>1</v>
      </c>
      <c r="V20" s="428">
        <v>0</v>
      </c>
      <c r="W20" s="428">
        <v>0</v>
      </c>
      <c r="X20" s="428">
        <v>0</v>
      </c>
      <c r="Y20" s="428">
        <v>0</v>
      </c>
      <c r="Z20" s="428">
        <v>0</v>
      </c>
      <c r="AA20" s="428">
        <v>0</v>
      </c>
      <c r="AB20" s="428">
        <v>0</v>
      </c>
      <c r="AC20" s="428">
        <v>0</v>
      </c>
      <c r="AD20" s="428">
        <v>0</v>
      </c>
      <c r="AE20" s="428">
        <v>0</v>
      </c>
      <c r="AF20" s="428">
        <v>0</v>
      </c>
      <c r="AG20" s="428">
        <v>0</v>
      </c>
      <c r="AH20" s="428">
        <v>0</v>
      </c>
      <c r="AI20" s="428">
        <v>0</v>
      </c>
      <c r="AJ20" s="412"/>
      <c r="AK20" s="413"/>
      <c r="AL20" s="426"/>
      <c r="AM20" s="426"/>
      <c r="AN20" s="426"/>
      <c r="AO20" s="426"/>
      <c r="AP20" s="426"/>
      <c r="AQ20" s="426"/>
      <c r="AR20" s="426"/>
      <c r="AS20" s="426"/>
      <c r="AT20" s="426"/>
      <c r="AU20" s="426"/>
      <c r="AV20" s="426"/>
      <c r="AW20" s="426"/>
      <c r="AX20" s="426"/>
      <c r="AY20" s="426"/>
      <c r="AZ20" s="426"/>
      <c r="BA20" s="426"/>
      <c r="BB20" s="426"/>
      <c r="BC20" s="426"/>
      <c r="BD20" s="426"/>
      <c r="BE20" s="426"/>
      <c r="BF20" s="426"/>
      <c r="BG20" s="426"/>
      <c r="BH20" s="426"/>
      <c r="BI20" s="426"/>
      <c r="BJ20" s="426"/>
      <c r="BK20" s="426"/>
      <c r="BL20" s="426"/>
      <c r="BM20" s="426"/>
      <c r="BN20" s="426"/>
      <c r="BO20" s="426"/>
      <c r="BP20" s="426"/>
      <c r="BQ20" s="426"/>
      <c r="BR20" s="426"/>
      <c r="BS20" s="426"/>
      <c r="BT20" s="426"/>
      <c r="BU20" s="426"/>
      <c r="BV20" s="426"/>
      <c r="BW20" s="426"/>
      <c r="BX20" s="426"/>
      <c r="BY20" s="426"/>
      <c r="BZ20" s="426"/>
      <c r="CA20" s="426"/>
      <c r="CB20" s="426"/>
      <c r="CC20" s="426"/>
      <c r="CD20" s="426"/>
      <c r="CE20" s="426"/>
      <c r="CF20" s="426"/>
      <c r="CG20" s="426"/>
      <c r="CH20" s="426"/>
      <c r="CI20" s="426"/>
      <c r="CJ20" s="426"/>
      <c r="CK20" s="426"/>
      <c r="CL20" s="426"/>
      <c r="CM20" s="426"/>
      <c r="CN20" s="426"/>
      <c r="CO20" s="426"/>
      <c r="CP20" s="426"/>
      <c r="CQ20" s="426"/>
      <c r="CR20" s="426"/>
      <c r="CS20" s="426"/>
      <c r="CT20" s="426"/>
      <c r="CU20" s="426"/>
      <c r="CV20" s="426"/>
      <c r="CW20" s="426"/>
      <c r="CX20" s="426"/>
      <c r="CY20" s="426"/>
      <c r="CZ20" s="426"/>
      <c r="DA20" s="426"/>
      <c r="DB20" s="426"/>
      <c r="DC20" s="426"/>
      <c r="DD20" s="426"/>
      <c r="DE20" s="426"/>
      <c r="DF20" s="426"/>
      <c r="DG20" s="426"/>
      <c r="DH20" s="426"/>
      <c r="DI20" s="426"/>
      <c r="DJ20" s="426"/>
      <c r="DK20" s="426"/>
      <c r="DL20" s="426"/>
      <c r="DM20" s="426"/>
      <c r="DN20" s="426"/>
      <c r="DO20" s="426"/>
      <c r="DP20" s="426"/>
      <c r="DQ20" s="426"/>
      <c r="DR20" s="426"/>
      <c r="DS20" s="426"/>
      <c r="DT20" s="426"/>
      <c r="DU20" s="426"/>
      <c r="DV20" s="426"/>
      <c r="DW20" s="426"/>
      <c r="DX20" s="426"/>
      <c r="DY20" s="426"/>
      <c r="DZ20" s="426"/>
      <c r="EA20" s="426"/>
      <c r="EB20" s="426"/>
      <c r="EC20" s="426"/>
      <c r="ED20" s="426"/>
      <c r="EE20" s="426"/>
      <c r="EF20" s="426"/>
      <c r="EG20" s="426"/>
      <c r="EH20" s="426"/>
      <c r="EI20" s="426"/>
      <c r="EJ20" s="426"/>
      <c r="EK20" s="426"/>
      <c r="EL20" s="426"/>
      <c r="EM20" s="426"/>
      <c r="EN20" s="426"/>
      <c r="EO20" s="426"/>
      <c r="EP20" s="426"/>
      <c r="EQ20" s="426"/>
      <c r="ER20" s="426"/>
      <c r="ES20" s="426"/>
      <c r="ET20" s="426"/>
      <c r="EU20" s="426"/>
      <c r="EV20" s="426"/>
      <c r="EW20" s="426"/>
      <c r="EX20" s="426"/>
    </row>
    <row r="21" spans="1:154" s="432" customFormat="1" ht="16.5" customHeight="1">
      <c r="A21" s="1926">
        <v>2</v>
      </c>
      <c r="B21" s="1922" t="s">
        <v>1152</v>
      </c>
      <c r="C21" s="407" t="s">
        <v>1196</v>
      </c>
      <c r="D21" s="408">
        <f t="shared" ref="D21:S21" si="20">D22+D23+D24+D25</f>
        <v>8296447.6999999993</v>
      </c>
      <c r="E21" s="408">
        <f t="shared" si="20"/>
        <v>2313466.8000000003</v>
      </c>
      <c r="F21" s="408">
        <f t="shared" si="20"/>
        <v>5982980.9000000004</v>
      </c>
      <c r="G21" s="408">
        <f t="shared" si="20"/>
        <v>137847</v>
      </c>
      <c r="H21" s="408">
        <f t="shared" si="20"/>
        <v>8762868.2819999997</v>
      </c>
      <c r="I21" s="408">
        <f t="shared" si="20"/>
        <v>484</v>
      </c>
      <c r="J21" s="408">
        <f t="shared" si="20"/>
        <v>466423.57400000014</v>
      </c>
      <c r="K21" s="408">
        <f t="shared" si="20"/>
        <v>137363</v>
      </c>
      <c r="L21" s="408">
        <f t="shared" si="20"/>
        <v>8296444.7079999996</v>
      </c>
      <c r="M21" s="409">
        <f t="shared" si="20"/>
        <v>8296444.7079999996</v>
      </c>
      <c r="N21" s="408">
        <f t="shared" si="20"/>
        <v>2313466.8000000003</v>
      </c>
      <c r="O21" s="408">
        <f t="shared" si="20"/>
        <v>0</v>
      </c>
      <c r="P21" s="408">
        <f t="shared" si="20"/>
        <v>5982977.9079999998</v>
      </c>
      <c r="Q21" s="408">
        <f t="shared" si="20"/>
        <v>5982977.9079999998</v>
      </c>
      <c r="R21" s="408">
        <f t="shared" si="20"/>
        <v>0</v>
      </c>
      <c r="S21" s="410">
        <f t="shared" si="20"/>
        <v>2.9920000001820881</v>
      </c>
      <c r="T21" s="411">
        <f t="shared" si="4"/>
        <v>0.99999963936372416</v>
      </c>
      <c r="U21" s="411">
        <f t="shared" si="5"/>
        <v>0.99999949991483328</v>
      </c>
      <c r="V21" s="408">
        <f t="shared" ref="V21:AI21" si="21">V22+V23+V24+V25</f>
        <v>300806.56400000001</v>
      </c>
      <c r="W21" s="408">
        <f t="shared" si="21"/>
        <v>4642</v>
      </c>
      <c r="X21" s="408">
        <f t="shared" si="21"/>
        <v>307651.511</v>
      </c>
      <c r="Y21" s="408">
        <f t="shared" si="21"/>
        <v>36</v>
      </c>
      <c r="Z21" s="408">
        <f t="shared" si="21"/>
        <v>6844.947000000001</v>
      </c>
      <c r="AA21" s="408">
        <f t="shared" si="21"/>
        <v>4606</v>
      </c>
      <c r="AB21" s="408">
        <f t="shared" si="21"/>
        <v>300806.56400000001</v>
      </c>
      <c r="AC21" s="408">
        <f t="shared" si="21"/>
        <v>300806.56400000001</v>
      </c>
      <c r="AD21" s="408">
        <f t="shared" si="21"/>
        <v>0</v>
      </c>
      <c r="AE21" s="408">
        <f t="shared" si="21"/>
        <v>0</v>
      </c>
      <c r="AF21" s="408">
        <f t="shared" si="21"/>
        <v>300806.56400000001</v>
      </c>
      <c r="AG21" s="408">
        <f t="shared" si="21"/>
        <v>300806.56400000001</v>
      </c>
      <c r="AH21" s="408">
        <f t="shared" si="21"/>
        <v>0</v>
      </c>
      <c r="AI21" s="408">
        <f t="shared" si="21"/>
        <v>0</v>
      </c>
      <c r="AJ21" s="412">
        <f t="shared" ref="AJ21:AJ29" si="22">AC21/(AD21+V21)</f>
        <v>1</v>
      </c>
      <c r="AK21" s="413">
        <f t="shared" ref="AK21:AK29" si="23">AG21/V21</f>
        <v>1</v>
      </c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1"/>
      <c r="AX21" s="431"/>
      <c r="AY21" s="431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1"/>
      <c r="BN21" s="431"/>
      <c r="BO21" s="431"/>
      <c r="BP21" s="431"/>
      <c r="BQ21" s="431"/>
      <c r="BR21" s="431"/>
      <c r="BS21" s="431"/>
      <c r="BT21" s="431"/>
      <c r="BU21" s="431"/>
      <c r="BV21" s="431"/>
      <c r="BW21" s="431"/>
      <c r="BX21" s="431"/>
      <c r="BY21" s="431"/>
      <c r="BZ21" s="431"/>
      <c r="CA21" s="431"/>
      <c r="CB21" s="431"/>
      <c r="CC21" s="431"/>
      <c r="CD21" s="431"/>
      <c r="CE21" s="431"/>
      <c r="CF21" s="431"/>
      <c r="CG21" s="431"/>
      <c r="CH21" s="431"/>
      <c r="CI21" s="431"/>
      <c r="CJ21" s="431"/>
      <c r="CK21" s="431"/>
      <c r="CL21" s="431"/>
      <c r="CM21" s="431"/>
      <c r="CN21" s="431"/>
      <c r="CO21" s="431"/>
      <c r="CP21" s="431"/>
      <c r="CQ21" s="431"/>
      <c r="CR21" s="431"/>
      <c r="CS21" s="431"/>
      <c r="CT21" s="431"/>
      <c r="CU21" s="431"/>
      <c r="CV21" s="431"/>
      <c r="CW21" s="431"/>
      <c r="CX21" s="431"/>
      <c r="CY21" s="431"/>
      <c r="CZ21" s="431"/>
      <c r="DA21" s="431"/>
      <c r="DB21" s="431"/>
      <c r="DC21" s="431"/>
      <c r="DD21" s="431"/>
      <c r="DE21" s="431"/>
      <c r="DF21" s="431"/>
      <c r="DG21" s="431"/>
      <c r="DH21" s="431"/>
      <c r="DI21" s="431"/>
      <c r="DJ21" s="431"/>
      <c r="DK21" s="431"/>
      <c r="DL21" s="431"/>
      <c r="DM21" s="431"/>
      <c r="DN21" s="431"/>
      <c r="DO21" s="431"/>
      <c r="DP21" s="431"/>
      <c r="DQ21" s="431"/>
      <c r="DR21" s="431"/>
      <c r="DS21" s="431"/>
      <c r="DT21" s="431"/>
      <c r="DU21" s="431"/>
      <c r="DV21" s="431"/>
      <c r="DW21" s="431"/>
      <c r="DX21" s="431"/>
      <c r="DY21" s="431"/>
      <c r="DZ21" s="431"/>
      <c r="EA21" s="431"/>
      <c r="EB21" s="431"/>
      <c r="EC21" s="431"/>
      <c r="ED21" s="431"/>
      <c r="EE21" s="431"/>
      <c r="EF21" s="431"/>
      <c r="EG21" s="431"/>
      <c r="EH21" s="431"/>
      <c r="EI21" s="431"/>
      <c r="EJ21" s="431"/>
      <c r="EK21" s="431"/>
      <c r="EL21" s="431"/>
      <c r="EM21" s="431"/>
      <c r="EN21" s="431"/>
      <c r="EO21" s="431"/>
      <c r="EP21" s="431"/>
      <c r="EQ21" s="431"/>
      <c r="ER21" s="431"/>
      <c r="ES21" s="431"/>
      <c r="ET21" s="431"/>
      <c r="EU21" s="431"/>
      <c r="EV21" s="431"/>
      <c r="EW21" s="431"/>
      <c r="EX21" s="431"/>
    </row>
    <row r="22" spans="1:154" s="435" customFormat="1" ht="16.5" customHeight="1">
      <c r="A22" s="1926"/>
      <c r="B22" s="1922"/>
      <c r="C22" s="422" t="s">
        <v>1197</v>
      </c>
      <c r="D22" s="408">
        <f>6632887.443-D25</f>
        <v>6618951.7599999998</v>
      </c>
      <c r="E22" s="408">
        <v>1931166.0000000002</v>
      </c>
      <c r="F22" s="408">
        <f>4701721.443-F25</f>
        <v>4687785.76</v>
      </c>
      <c r="G22" s="408">
        <v>97189</v>
      </c>
      <c r="H22" s="408">
        <v>6958818.1560000004</v>
      </c>
      <c r="I22" s="408">
        <v>441</v>
      </c>
      <c r="J22" s="408">
        <v>334978.766</v>
      </c>
      <c r="K22" s="408">
        <v>96748</v>
      </c>
      <c r="L22" s="408">
        <f>6623839.39-L25</f>
        <v>6611593.0460000001</v>
      </c>
      <c r="M22" s="409">
        <f>6623839.39-M25</f>
        <v>6611593.0460000001</v>
      </c>
      <c r="N22" s="408">
        <v>1931165.9980000001</v>
      </c>
      <c r="O22" s="408">
        <v>0</v>
      </c>
      <c r="P22" s="408">
        <f>4692673.392-P25</f>
        <v>4679751.2560000001</v>
      </c>
      <c r="Q22" s="408">
        <f>4692673.392-Q25</f>
        <v>4679751.2560000001</v>
      </c>
      <c r="R22" s="408">
        <v>0</v>
      </c>
      <c r="S22" s="410">
        <f>D22-N22-Q22</f>
        <v>8034.5060000000522</v>
      </c>
      <c r="T22" s="411">
        <f t="shared" si="4"/>
        <v>0.99888823604264754</v>
      </c>
      <c r="U22" s="411">
        <f t="shared" si="5"/>
        <v>0.99828607696440463</v>
      </c>
      <c r="V22" s="408">
        <f>233740.142-V25</f>
        <v>233064.34899999999</v>
      </c>
      <c r="W22" s="408">
        <v>3234</v>
      </c>
      <c r="X22" s="408">
        <v>240438.073</v>
      </c>
      <c r="Y22" s="408">
        <v>32</v>
      </c>
      <c r="Z22" s="408">
        <v>6697.9310000000014</v>
      </c>
      <c r="AA22" s="408">
        <v>3202</v>
      </c>
      <c r="AB22" s="408">
        <f>233740.142-AB25</f>
        <v>233064.34899999999</v>
      </c>
      <c r="AC22" s="408">
        <f>233740.142-AC25</f>
        <v>233064.34899999999</v>
      </c>
      <c r="AD22" s="408">
        <v>0</v>
      </c>
      <c r="AE22" s="408">
        <v>0</v>
      </c>
      <c r="AF22" s="408">
        <f>233740.142-AF25</f>
        <v>233064.34899999999</v>
      </c>
      <c r="AG22" s="408">
        <f>233740.142-AG25</f>
        <v>233064.34899999999</v>
      </c>
      <c r="AH22" s="433"/>
      <c r="AI22" s="433"/>
      <c r="AJ22" s="417">
        <f t="shared" si="22"/>
        <v>1</v>
      </c>
      <c r="AK22" s="418">
        <f t="shared" si="23"/>
        <v>1</v>
      </c>
      <c r="AL22" s="434"/>
      <c r="AM22" s="434"/>
      <c r="AN22" s="434"/>
      <c r="AO22" s="434"/>
      <c r="AP22" s="434"/>
      <c r="AQ22" s="434"/>
      <c r="AR22" s="434"/>
      <c r="AS22" s="434"/>
      <c r="AT22" s="434"/>
      <c r="AU22" s="434"/>
      <c r="AV22" s="434"/>
      <c r="AW22" s="434"/>
      <c r="AX22" s="434"/>
      <c r="AY22" s="434"/>
      <c r="AZ22" s="434"/>
      <c r="BA22" s="434"/>
      <c r="BB22" s="434"/>
      <c r="BC22" s="434"/>
      <c r="BD22" s="434"/>
      <c r="BE22" s="434"/>
      <c r="BF22" s="434"/>
      <c r="BG22" s="434"/>
      <c r="BH22" s="434"/>
      <c r="BI22" s="434"/>
      <c r="BJ22" s="434"/>
      <c r="BK22" s="434"/>
      <c r="BL22" s="434"/>
      <c r="BM22" s="434"/>
      <c r="BN22" s="434"/>
      <c r="BO22" s="434"/>
      <c r="BP22" s="434"/>
      <c r="BQ22" s="434"/>
      <c r="BR22" s="434"/>
      <c r="BS22" s="434"/>
      <c r="BT22" s="434"/>
      <c r="BU22" s="434"/>
      <c r="BV22" s="434"/>
      <c r="BW22" s="434"/>
      <c r="BX22" s="434"/>
      <c r="BY22" s="434"/>
      <c r="BZ22" s="434"/>
      <c r="CA22" s="434"/>
      <c r="CB22" s="434"/>
      <c r="CC22" s="434"/>
      <c r="CD22" s="434"/>
      <c r="CE22" s="434"/>
      <c r="CF22" s="434"/>
      <c r="CG22" s="434"/>
      <c r="CH22" s="434"/>
      <c r="CI22" s="434"/>
      <c r="CJ22" s="434"/>
      <c r="CK22" s="434"/>
      <c r="CL22" s="434"/>
      <c r="CM22" s="434"/>
      <c r="CN22" s="434"/>
      <c r="CO22" s="434"/>
      <c r="CP22" s="434"/>
      <c r="CQ22" s="434"/>
      <c r="CR22" s="434"/>
      <c r="CS22" s="434"/>
      <c r="CT22" s="434"/>
      <c r="CU22" s="434"/>
      <c r="CV22" s="434"/>
      <c r="CW22" s="434"/>
      <c r="CX22" s="434"/>
      <c r="CY22" s="434"/>
      <c r="CZ22" s="434"/>
      <c r="DA22" s="434"/>
      <c r="DB22" s="434"/>
      <c r="DC22" s="434"/>
      <c r="DD22" s="434"/>
      <c r="DE22" s="434"/>
      <c r="DF22" s="434"/>
      <c r="DG22" s="434"/>
      <c r="DH22" s="434"/>
      <c r="DI22" s="434"/>
      <c r="DJ22" s="434"/>
      <c r="DK22" s="434"/>
      <c r="DL22" s="434"/>
      <c r="DM22" s="434"/>
      <c r="DN22" s="434"/>
      <c r="DO22" s="434"/>
      <c r="DP22" s="434"/>
      <c r="DQ22" s="434"/>
      <c r="DR22" s="434"/>
      <c r="DS22" s="434"/>
      <c r="DT22" s="434"/>
      <c r="DU22" s="434"/>
      <c r="DV22" s="434"/>
      <c r="DW22" s="434"/>
      <c r="DX22" s="434"/>
      <c r="DY22" s="434"/>
      <c r="DZ22" s="434"/>
      <c r="EA22" s="434"/>
      <c r="EB22" s="434"/>
      <c r="EC22" s="434"/>
      <c r="ED22" s="434"/>
      <c r="EE22" s="434"/>
      <c r="EF22" s="434"/>
      <c r="EG22" s="434"/>
      <c r="EH22" s="434"/>
      <c r="EI22" s="434"/>
      <c r="EJ22" s="434"/>
      <c r="EK22" s="434"/>
      <c r="EL22" s="434"/>
      <c r="EM22" s="434"/>
      <c r="EN22" s="434"/>
      <c r="EO22" s="434"/>
      <c r="EP22" s="434"/>
      <c r="EQ22" s="434"/>
      <c r="ER22" s="434"/>
      <c r="ES22" s="434"/>
      <c r="ET22" s="434"/>
      <c r="EU22" s="434"/>
      <c r="EV22" s="434"/>
      <c r="EW22" s="434"/>
      <c r="EX22" s="434"/>
    </row>
    <row r="23" spans="1:154" s="435" customFormat="1" ht="16.5" customHeight="1">
      <c r="A23" s="1926"/>
      <c r="B23" s="1922"/>
      <c r="C23" s="422" t="s">
        <v>1198</v>
      </c>
      <c r="D23" s="408">
        <v>671053.79300000006</v>
      </c>
      <c r="E23" s="436">
        <v>121543.2</v>
      </c>
      <c r="F23" s="436">
        <v>549510.59299999999</v>
      </c>
      <c r="G23" s="436">
        <v>752</v>
      </c>
      <c r="H23" s="436">
        <v>795768.44300000009</v>
      </c>
      <c r="I23" s="436">
        <v>16</v>
      </c>
      <c r="J23" s="436">
        <v>82793.80000000009</v>
      </c>
      <c r="K23" s="436">
        <v>736</v>
      </c>
      <c r="L23" s="436">
        <v>712974.64300000004</v>
      </c>
      <c r="M23" s="437">
        <v>712974.64300000004</v>
      </c>
      <c r="N23" s="436">
        <v>121543.2</v>
      </c>
      <c r="O23" s="436">
        <v>0</v>
      </c>
      <c r="P23" s="436">
        <v>591431.44299999997</v>
      </c>
      <c r="Q23" s="436">
        <v>591431.44299999997</v>
      </c>
      <c r="R23" s="436">
        <v>0</v>
      </c>
      <c r="S23" s="438">
        <f>D23-N23-Q23</f>
        <v>-41920.84999999986</v>
      </c>
      <c r="T23" s="411">
        <f>M23/(N23+F23)</f>
        <v>1.0624701781545554</v>
      </c>
      <c r="U23" s="411">
        <f t="shared" si="5"/>
        <v>1.0762876103463941</v>
      </c>
      <c r="V23" s="436">
        <v>29120.791000000001</v>
      </c>
      <c r="W23" s="436">
        <v>24</v>
      </c>
      <c r="X23" s="436">
        <v>29120.791000000001</v>
      </c>
      <c r="Y23" s="436">
        <v>0</v>
      </c>
      <c r="Z23" s="436">
        <v>0</v>
      </c>
      <c r="AA23" s="436">
        <v>24</v>
      </c>
      <c r="AB23" s="436">
        <v>29120.791000000001</v>
      </c>
      <c r="AC23" s="436">
        <v>29120.791000000001</v>
      </c>
      <c r="AD23" s="436">
        <v>0</v>
      </c>
      <c r="AE23" s="436">
        <v>0</v>
      </c>
      <c r="AF23" s="436">
        <v>29120.791000000001</v>
      </c>
      <c r="AG23" s="436">
        <v>29120.791000000001</v>
      </c>
      <c r="AH23" s="439"/>
      <c r="AI23" s="439"/>
      <c r="AJ23" s="440">
        <f t="shared" si="22"/>
        <v>1</v>
      </c>
      <c r="AK23" s="441">
        <f t="shared" si="23"/>
        <v>1</v>
      </c>
      <c r="AL23" s="434"/>
      <c r="AM23" s="434"/>
      <c r="AN23" s="434"/>
      <c r="AO23" s="434"/>
      <c r="AP23" s="434"/>
      <c r="AQ23" s="434"/>
      <c r="AR23" s="434"/>
      <c r="AS23" s="434"/>
      <c r="AT23" s="434"/>
      <c r="AU23" s="434"/>
      <c r="AV23" s="434"/>
      <c r="AW23" s="434"/>
      <c r="AX23" s="434"/>
      <c r="AY23" s="434"/>
      <c r="AZ23" s="434"/>
      <c r="BA23" s="434"/>
      <c r="BB23" s="434"/>
      <c r="BC23" s="434"/>
      <c r="BD23" s="434"/>
      <c r="BE23" s="434"/>
      <c r="BF23" s="434"/>
      <c r="BG23" s="434"/>
      <c r="BH23" s="434"/>
      <c r="BI23" s="434"/>
      <c r="BJ23" s="434"/>
      <c r="BK23" s="434"/>
      <c r="BL23" s="434"/>
      <c r="BM23" s="434"/>
      <c r="BN23" s="434"/>
      <c r="BO23" s="434"/>
      <c r="BP23" s="434"/>
      <c r="BQ23" s="434"/>
      <c r="BR23" s="434"/>
      <c r="BS23" s="434"/>
      <c r="BT23" s="434"/>
      <c r="BU23" s="434"/>
      <c r="BV23" s="434"/>
      <c r="BW23" s="434"/>
      <c r="BX23" s="434"/>
      <c r="BY23" s="434"/>
      <c r="BZ23" s="434"/>
      <c r="CA23" s="434"/>
      <c r="CB23" s="434"/>
      <c r="CC23" s="434"/>
      <c r="CD23" s="434"/>
      <c r="CE23" s="434"/>
      <c r="CF23" s="434"/>
      <c r="CG23" s="434"/>
      <c r="CH23" s="434"/>
      <c r="CI23" s="434"/>
      <c r="CJ23" s="434"/>
      <c r="CK23" s="434"/>
      <c r="CL23" s="434"/>
      <c r="CM23" s="434"/>
      <c r="CN23" s="434"/>
      <c r="CO23" s="434"/>
      <c r="CP23" s="434"/>
      <c r="CQ23" s="434"/>
      <c r="CR23" s="434"/>
      <c r="CS23" s="434"/>
      <c r="CT23" s="434"/>
      <c r="CU23" s="434"/>
      <c r="CV23" s="434"/>
      <c r="CW23" s="434"/>
      <c r="CX23" s="434"/>
      <c r="CY23" s="434"/>
      <c r="CZ23" s="434"/>
      <c r="DA23" s="434"/>
      <c r="DB23" s="434"/>
      <c r="DC23" s="434"/>
      <c r="DD23" s="434"/>
      <c r="DE23" s="434"/>
      <c r="DF23" s="434"/>
      <c r="DG23" s="434"/>
      <c r="DH23" s="434"/>
      <c r="DI23" s="434"/>
      <c r="DJ23" s="434"/>
      <c r="DK23" s="434"/>
      <c r="DL23" s="434"/>
      <c r="DM23" s="434"/>
      <c r="DN23" s="434"/>
      <c r="DO23" s="434"/>
      <c r="DP23" s="434"/>
      <c r="DQ23" s="434"/>
      <c r="DR23" s="434"/>
      <c r="DS23" s="434"/>
      <c r="DT23" s="434"/>
      <c r="DU23" s="434"/>
      <c r="DV23" s="434"/>
      <c r="DW23" s="434"/>
      <c r="DX23" s="434"/>
      <c r="DY23" s="434"/>
      <c r="DZ23" s="434"/>
      <c r="EA23" s="434"/>
      <c r="EB23" s="434"/>
      <c r="EC23" s="434"/>
      <c r="ED23" s="434"/>
      <c r="EE23" s="434"/>
      <c r="EF23" s="434"/>
      <c r="EG23" s="434"/>
      <c r="EH23" s="434"/>
      <c r="EI23" s="434"/>
      <c r="EJ23" s="434"/>
      <c r="EK23" s="434"/>
      <c r="EL23" s="434"/>
      <c r="EM23" s="434"/>
      <c r="EN23" s="434"/>
      <c r="EO23" s="434"/>
      <c r="EP23" s="434"/>
      <c r="EQ23" s="434"/>
      <c r="ER23" s="434"/>
      <c r="ES23" s="434"/>
      <c r="ET23" s="434"/>
      <c r="EU23" s="434"/>
      <c r="EV23" s="434"/>
      <c r="EW23" s="434"/>
      <c r="EX23" s="434"/>
    </row>
    <row r="24" spans="1:154" s="435" customFormat="1" ht="16.5" customHeight="1">
      <c r="A24" s="1926"/>
      <c r="B24" s="1922"/>
      <c r="C24" s="422" t="s">
        <v>1199</v>
      </c>
      <c r="D24" s="436">
        <v>992506.46400000004</v>
      </c>
      <c r="E24" s="436">
        <v>260757.6</v>
      </c>
      <c r="F24" s="436">
        <v>731748.86399999994</v>
      </c>
      <c r="G24" s="436">
        <v>39906</v>
      </c>
      <c r="H24" s="436">
        <v>1008281.6829999998</v>
      </c>
      <c r="I24" s="436">
        <v>27</v>
      </c>
      <c r="J24" s="436">
        <v>48651.008000000016</v>
      </c>
      <c r="K24" s="436">
        <v>39879</v>
      </c>
      <c r="L24" s="436">
        <v>959630.67500000016</v>
      </c>
      <c r="M24" s="437">
        <v>959630.67500000016</v>
      </c>
      <c r="N24" s="436">
        <v>260757.60200000001</v>
      </c>
      <c r="O24" s="436">
        <v>0</v>
      </c>
      <c r="P24" s="436">
        <v>698873.07299999997</v>
      </c>
      <c r="Q24" s="436">
        <v>698873.07299999997</v>
      </c>
      <c r="R24" s="436">
        <v>0</v>
      </c>
      <c r="S24" s="438">
        <f>D24-N24-Q24</f>
        <v>32875.78899999999</v>
      </c>
      <c r="T24" s="411">
        <f t="shared" si="4"/>
        <v>0.96687599312829076</v>
      </c>
      <c r="U24" s="411">
        <f t="shared" si="5"/>
        <v>0.95507230333055904</v>
      </c>
      <c r="V24" s="436">
        <v>37945.631000000008</v>
      </c>
      <c r="W24" s="436">
        <v>1384</v>
      </c>
      <c r="X24" s="436">
        <v>38092.646999999997</v>
      </c>
      <c r="Y24" s="436">
        <v>4</v>
      </c>
      <c r="Z24" s="436">
        <v>147.01599999999974</v>
      </c>
      <c r="AA24" s="436">
        <v>1380</v>
      </c>
      <c r="AB24" s="436">
        <v>37945.630999999994</v>
      </c>
      <c r="AC24" s="436">
        <v>37945.630999999994</v>
      </c>
      <c r="AD24" s="436">
        <v>0</v>
      </c>
      <c r="AE24" s="436">
        <v>0</v>
      </c>
      <c r="AF24" s="436">
        <v>37945.630999999994</v>
      </c>
      <c r="AG24" s="436">
        <v>37945.630999999994</v>
      </c>
      <c r="AH24" s="439"/>
      <c r="AI24" s="439"/>
      <c r="AJ24" s="440">
        <f t="shared" si="22"/>
        <v>0.99999999999999967</v>
      </c>
      <c r="AK24" s="441">
        <f t="shared" si="23"/>
        <v>0.99999999999999967</v>
      </c>
      <c r="AL24" s="434"/>
      <c r="AM24" s="434"/>
      <c r="AN24" s="434"/>
      <c r="AO24" s="434"/>
      <c r="AP24" s="434"/>
      <c r="AQ24" s="434"/>
      <c r="AR24" s="434"/>
      <c r="AS24" s="434"/>
      <c r="AT24" s="434"/>
      <c r="AU24" s="434"/>
      <c r="AV24" s="434"/>
      <c r="AW24" s="434"/>
      <c r="AX24" s="434"/>
      <c r="AY24" s="434"/>
      <c r="AZ24" s="434"/>
      <c r="BA24" s="434"/>
      <c r="BB24" s="434"/>
      <c r="BC24" s="434"/>
      <c r="BD24" s="434"/>
      <c r="BE24" s="434"/>
      <c r="BF24" s="434"/>
      <c r="BG24" s="434"/>
      <c r="BH24" s="434"/>
      <c r="BI24" s="434"/>
      <c r="BJ24" s="434"/>
      <c r="BK24" s="434"/>
      <c r="BL24" s="434"/>
      <c r="BM24" s="434"/>
      <c r="BN24" s="434"/>
      <c r="BO24" s="434"/>
      <c r="BP24" s="434"/>
      <c r="BQ24" s="434"/>
      <c r="BR24" s="434"/>
      <c r="BS24" s="434"/>
      <c r="BT24" s="434"/>
      <c r="BU24" s="434"/>
      <c r="BV24" s="434"/>
      <c r="BW24" s="434"/>
      <c r="BX24" s="434"/>
      <c r="BY24" s="434"/>
      <c r="BZ24" s="434"/>
      <c r="CA24" s="434"/>
      <c r="CB24" s="434"/>
      <c r="CC24" s="434"/>
      <c r="CD24" s="434"/>
      <c r="CE24" s="434"/>
      <c r="CF24" s="434"/>
      <c r="CG24" s="434"/>
      <c r="CH24" s="434"/>
      <c r="CI24" s="434"/>
      <c r="CJ24" s="434"/>
      <c r="CK24" s="434"/>
      <c r="CL24" s="434"/>
      <c r="CM24" s="434"/>
      <c r="CN24" s="434"/>
      <c r="CO24" s="434"/>
      <c r="CP24" s="434"/>
      <c r="CQ24" s="434"/>
      <c r="CR24" s="434"/>
      <c r="CS24" s="434"/>
      <c r="CT24" s="434"/>
      <c r="CU24" s="434"/>
      <c r="CV24" s="434"/>
      <c r="CW24" s="434"/>
      <c r="CX24" s="434"/>
      <c r="CY24" s="434"/>
      <c r="CZ24" s="434"/>
      <c r="DA24" s="434"/>
      <c r="DB24" s="434"/>
      <c r="DC24" s="434"/>
      <c r="DD24" s="434"/>
      <c r="DE24" s="434"/>
      <c r="DF24" s="434"/>
      <c r="DG24" s="434"/>
      <c r="DH24" s="434"/>
      <c r="DI24" s="434"/>
      <c r="DJ24" s="434"/>
      <c r="DK24" s="434"/>
      <c r="DL24" s="434"/>
      <c r="DM24" s="434"/>
      <c r="DN24" s="434"/>
      <c r="DO24" s="434"/>
      <c r="DP24" s="434"/>
      <c r="DQ24" s="434"/>
      <c r="DR24" s="434"/>
      <c r="DS24" s="434"/>
      <c r="DT24" s="434"/>
      <c r="DU24" s="434"/>
      <c r="DV24" s="434"/>
      <c r="DW24" s="434"/>
      <c r="DX24" s="434"/>
      <c r="DY24" s="434"/>
      <c r="DZ24" s="434"/>
      <c r="EA24" s="434"/>
      <c r="EB24" s="434"/>
      <c r="EC24" s="434"/>
      <c r="ED24" s="434"/>
      <c r="EE24" s="434"/>
      <c r="EF24" s="434"/>
      <c r="EG24" s="434"/>
      <c r="EH24" s="434"/>
      <c r="EI24" s="434"/>
      <c r="EJ24" s="434"/>
      <c r="EK24" s="434"/>
      <c r="EL24" s="434"/>
      <c r="EM24" s="434"/>
      <c r="EN24" s="434"/>
      <c r="EO24" s="434"/>
      <c r="EP24" s="434"/>
      <c r="EQ24" s="434"/>
      <c r="ER24" s="434"/>
      <c r="ES24" s="434"/>
      <c r="ET24" s="434"/>
      <c r="EU24" s="434"/>
      <c r="EV24" s="434"/>
      <c r="EW24" s="434"/>
      <c r="EX24" s="434"/>
    </row>
    <row r="25" spans="1:154" s="435" customFormat="1" ht="16.5" customHeight="1">
      <c r="A25" s="1926"/>
      <c r="B25" s="1922"/>
      <c r="C25" s="422" t="s">
        <v>1202</v>
      </c>
      <c r="D25" s="436">
        <v>13935.683000000001</v>
      </c>
      <c r="E25" s="436"/>
      <c r="F25" s="436">
        <v>13935.683000000001</v>
      </c>
      <c r="G25" s="436"/>
      <c r="H25" s="436"/>
      <c r="I25" s="436"/>
      <c r="J25" s="436"/>
      <c r="K25" s="436"/>
      <c r="L25" s="436">
        <v>12246.344000000001</v>
      </c>
      <c r="M25" s="437">
        <v>12246.344000000001</v>
      </c>
      <c r="N25" s="436"/>
      <c r="O25" s="436"/>
      <c r="P25" s="436">
        <f>Q25</f>
        <v>12922.136</v>
      </c>
      <c r="Q25" s="436">
        <v>12922.136</v>
      </c>
      <c r="R25" s="436"/>
      <c r="S25" s="438">
        <f>D25-N25-Q25</f>
        <v>1013.5470000000005</v>
      </c>
      <c r="T25" s="411">
        <f t="shared" si="4"/>
        <v>0.87877601693436913</v>
      </c>
      <c r="U25" s="411">
        <f t="shared" si="5"/>
        <v>0.92726965732501232</v>
      </c>
      <c r="V25" s="436">
        <f>'[7]Акт обл'!U13</f>
        <v>675.79300000000001</v>
      </c>
      <c r="W25" s="436">
        <f>'[7]Акт обл'!V13</f>
        <v>0</v>
      </c>
      <c r="X25" s="436">
        <f>'[7]Акт обл'!W13</f>
        <v>0</v>
      </c>
      <c r="Y25" s="436">
        <f>'[7]Акт обл'!X13</f>
        <v>0</v>
      </c>
      <c r="Z25" s="436">
        <f>'[7]Акт обл'!Y13</f>
        <v>0</v>
      </c>
      <c r="AA25" s="436">
        <f>'[7]Акт обл'!Z13</f>
        <v>0</v>
      </c>
      <c r="AB25" s="436">
        <f>'[7]Акт обл'!AA13</f>
        <v>675.79300000000001</v>
      </c>
      <c r="AC25" s="436">
        <f>'[7]Акт обл'!AB13</f>
        <v>675.79300000000001</v>
      </c>
      <c r="AD25" s="436">
        <f>'[7]Акт обл'!AC13</f>
        <v>0</v>
      </c>
      <c r="AE25" s="436">
        <f>'[7]Акт обл'!AD13</f>
        <v>0</v>
      </c>
      <c r="AF25" s="436">
        <f>'[7]Акт обл'!AE13</f>
        <v>675.79300000000001</v>
      </c>
      <c r="AG25" s="436">
        <f>'[7]Акт обл'!AF13</f>
        <v>675.79300000000001</v>
      </c>
      <c r="AH25" s="439"/>
      <c r="AI25" s="439"/>
      <c r="AJ25" s="440">
        <f t="shared" si="22"/>
        <v>1</v>
      </c>
      <c r="AK25" s="441">
        <f t="shared" si="23"/>
        <v>1</v>
      </c>
      <c r="AL25" s="434"/>
      <c r="AM25" s="434"/>
      <c r="AN25" s="434"/>
      <c r="AO25" s="434"/>
      <c r="AP25" s="434"/>
      <c r="AQ25" s="434"/>
      <c r="AR25" s="434"/>
      <c r="AS25" s="434"/>
      <c r="AT25" s="434"/>
      <c r="AU25" s="434"/>
      <c r="AV25" s="434"/>
      <c r="AW25" s="434"/>
      <c r="AX25" s="434"/>
      <c r="AY25" s="434"/>
      <c r="AZ25" s="434"/>
      <c r="BA25" s="434"/>
      <c r="BB25" s="434"/>
      <c r="BC25" s="434"/>
      <c r="BD25" s="434"/>
      <c r="BE25" s="434"/>
      <c r="BF25" s="434"/>
      <c r="BG25" s="434"/>
      <c r="BH25" s="434"/>
      <c r="BI25" s="434"/>
      <c r="BJ25" s="434"/>
      <c r="BK25" s="434"/>
      <c r="BL25" s="434"/>
      <c r="BM25" s="434"/>
      <c r="BN25" s="434"/>
      <c r="BO25" s="434"/>
      <c r="BP25" s="434"/>
      <c r="BQ25" s="434"/>
      <c r="BR25" s="434"/>
      <c r="BS25" s="434"/>
      <c r="BT25" s="434"/>
      <c r="BU25" s="434"/>
      <c r="BV25" s="434"/>
      <c r="BW25" s="434"/>
      <c r="BX25" s="434"/>
      <c r="BY25" s="434"/>
      <c r="BZ25" s="434"/>
      <c r="CA25" s="434"/>
      <c r="CB25" s="434"/>
      <c r="CC25" s="434"/>
      <c r="CD25" s="434"/>
      <c r="CE25" s="434"/>
      <c r="CF25" s="434"/>
      <c r="CG25" s="434"/>
      <c r="CH25" s="434"/>
      <c r="CI25" s="434"/>
      <c r="CJ25" s="434"/>
      <c r="CK25" s="434"/>
      <c r="CL25" s="434"/>
      <c r="CM25" s="434"/>
      <c r="CN25" s="434"/>
      <c r="CO25" s="434"/>
      <c r="CP25" s="434"/>
      <c r="CQ25" s="434"/>
      <c r="CR25" s="434"/>
      <c r="CS25" s="434"/>
      <c r="CT25" s="434"/>
      <c r="CU25" s="434"/>
      <c r="CV25" s="434"/>
      <c r="CW25" s="434"/>
      <c r="CX25" s="434"/>
      <c r="CY25" s="434"/>
      <c r="CZ25" s="434"/>
      <c r="DA25" s="434"/>
      <c r="DB25" s="434"/>
      <c r="DC25" s="434"/>
      <c r="DD25" s="434"/>
      <c r="DE25" s="434"/>
      <c r="DF25" s="434"/>
      <c r="DG25" s="434"/>
      <c r="DH25" s="434"/>
      <c r="DI25" s="434"/>
      <c r="DJ25" s="434"/>
      <c r="DK25" s="434"/>
      <c r="DL25" s="434"/>
      <c r="DM25" s="434"/>
      <c r="DN25" s="434"/>
      <c r="DO25" s="434"/>
      <c r="DP25" s="434"/>
      <c r="DQ25" s="434"/>
      <c r="DR25" s="434"/>
      <c r="DS25" s="434"/>
      <c r="DT25" s="434"/>
      <c r="DU25" s="434"/>
      <c r="DV25" s="434"/>
      <c r="DW25" s="434"/>
      <c r="DX25" s="434"/>
      <c r="DY25" s="434"/>
      <c r="DZ25" s="434"/>
      <c r="EA25" s="434"/>
      <c r="EB25" s="434"/>
      <c r="EC25" s="434"/>
      <c r="ED25" s="434"/>
      <c r="EE25" s="434"/>
      <c r="EF25" s="434"/>
      <c r="EG25" s="434"/>
      <c r="EH25" s="434"/>
      <c r="EI25" s="434"/>
      <c r="EJ25" s="434"/>
      <c r="EK25" s="434"/>
      <c r="EL25" s="434"/>
      <c r="EM25" s="434"/>
      <c r="EN25" s="434"/>
      <c r="EO25" s="434"/>
      <c r="EP25" s="434"/>
      <c r="EQ25" s="434"/>
      <c r="ER25" s="434"/>
      <c r="ES25" s="434"/>
      <c r="ET25" s="434"/>
      <c r="EU25" s="434"/>
      <c r="EV25" s="434"/>
      <c r="EW25" s="434"/>
      <c r="EX25" s="434"/>
    </row>
    <row r="26" spans="1:154" s="447" customFormat="1" ht="16.5" customHeight="1">
      <c r="A26" s="1927">
        <v>3</v>
      </c>
      <c r="B26" s="1928" t="s">
        <v>1153</v>
      </c>
      <c r="C26" s="407" t="s">
        <v>1196</v>
      </c>
      <c r="D26" s="408">
        <f t="shared" ref="D26:S26" si="24">D27+D28+D29+D30</f>
        <v>16558669.400999999</v>
      </c>
      <c r="E26" s="442">
        <f t="shared" si="24"/>
        <v>4423993.1999999993</v>
      </c>
      <c r="F26" s="408">
        <f t="shared" si="24"/>
        <v>12134676.201000003</v>
      </c>
      <c r="G26" s="442">
        <f t="shared" si="24"/>
        <v>326282</v>
      </c>
      <c r="H26" s="408">
        <f t="shared" si="24"/>
        <v>18739765.864999998</v>
      </c>
      <c r="I26" s="442">
        <f t="shared" si="24"/>
        <v>7654</v>
      </c>
      <c r="J26" s="408">
        <f t="shared" si="24"/>
        <v>546501.75</v>
      </c>
      <c r="K26" s="442">
        <f t="shared" si="24"/>
        <v>318628</v>
      </c>
      <c r="L26" s="408">
        <f t="shared" si="24"/>
        <v>16558669.400999997</v>
      </c>
      <c r="M26" s="443">
        <f t="shared" si="24"/>
        <v>16558669.400999997</v>
      </c>
      <c r="N26" s="408">
        <f t="shared" si="24"/>
        <v>4423993.1999999993</v>
      </c>
      <c r="O26" s="444">
        <f t="shared" si="24"/>
        <v>0</v>
      </c>
      <c r="P26" s="444">
        <f t="shared" si="24"/>
        <v>12134676.200999998</v>
      </c>
      <c r="Q26" s="444">
        <f t="shared" si="24"/>
        <v>12134676.200999998</v>
      </c>
      <c r="R26" s="444">
        <f t="shared" si="24"/>
        <v>0</v>
      </c>
      <c r="S26" s="445">
        <f t="shared" si="24"/>
        <v>1.1596057447604835E-10</v>
      </c>
      <c r="T26" s="411">
        <f t="shared" si="4"/>
        <v>0.99999999999999967</v>
      </c>
      <c r="U26" s="411">
        <f t="shared" si="5"/>
        <v>0.99999999999999956</v>
      </c>
      <c r="V26" s="444">
        <f t="shared" ref="V26:AI26" si="25">V27+V28+V29+V30</f>
        <v>1014856.1719999998</v>
      </c>
      <c r="W26" s="444">
        <f t="shared" si="25"/>
        <v>15217</v>
      </c>
      <c r="X26" s="444">
        <f t="shared" si="25"/>
        <v>1025384.7229999998</v>
      </c>
      <c r="Y26" s="444">
        <f t="shared" si="25"/>
        <v>46</v>
      </c>
      <c r="Z26" s="444">
        <f t="shared" si="25"/>
        <v>26798.101000000002</v>
      </c>
      <c r="AA26" s="444">
        <f t="shared" si="25"/>
        <v>15093</v>
      </c>
      <c r="AB26" s="444">
        <f t="shared" si="25"/>
        <v>971904.26699999953</v>
      </c>
      <c r="AC26" s="444">
        <f t="shared" si="25"/>
        <v>971904.26699999953</v>
      </c>
      <c r="AD26" s="444">
        <f t="shared" si="25"/>
        <v>0</v>
      </c>
      <c r="AE26" s="444">
        <f t="shared" si="25"/>
        <v>0</v>
      </c>
      <c r="AF26" s="444">
        <f t="shared" si="25"/>
        <v>971904.26699999953</v>
      </c>
      <c r="AG26" s="444">
        <f t="shared" si="25"/>
        <v>1014856.1719999999</v>
      </c>
      <c r="AH26" s="444">
        <f t="shared" si="25"/>
        <v>-42951.904999999999</v>
      </c>
      <c r="AI26" s="444">
        <f t="shared" si="25"/>
        <v>2.9558577807620168E-12</v>
      </c>
      <c r="AJ26" s="412">
        <f t="shared" si="22"/>
        <v>0.95767685492284682</v>
      </c>
      <c r="AK26" s="413">
        <f t="shared" si="23"/>
        <v>1.0000000000000002</v>
      </c>
      <c r="AL26" s="446"/>
      <c r="AM26" s="446"/>
      <c r="AN26" s="446"/>
      <c r="AO26" s="446"/>
      <c r="AP26" s="446"/>
      <c r="AQ26" s="446"/>
      <c r="AR26" s="446"/>
      <c r="AS26" s="446"/>
      <c r="AT26" s="446"/>
      <c r="AU26" s="446"/>
      <c r="AV26" s="446"/>
      <c r="AW26" s="446"/>
      <c r="AX26" s="446"/>
      <c r="AY26" s="446"/>
      <c r="AZ26" s="446"/>
      <c r="BA26" s="446"/>
      <c r="BB26" s="446"/>
      <c r="BC26" s="446"/>
      <c r="BD26" s="446"/>
      <c r="BE26" s="446"/>
      <c r="BF26" s="446"/>
      <c r="BG26" s="446"/>
      <c r="BH26" s="446"/>
      <c r="BI26" s="446"/>
      <c r="BJ26" s="446"/>
      <c r="BK26" s="446"/>
      <c r="BL26" s="446"/>
      <c r="BM26" s="446"/>
      <c r="BN26" s="446"/>
      <c r="BO26" s="446"/>
      <c r="BP26" s="446"/>
      <c r="BQ26" s="446"/>
      <c r="BR26" s="446"/>
      <c r="BS26" s="446"/>
      <c r="BT26" s="446"/>
      <c r="BU26" s="446"/>
      <c r="BV26" s="446"/>
      <c r="BW26" s="446"/>
      <c r="BX26" s="446"/>
      <c r="BY26" s="446"/>
      <c r="BZ26" s="446"/>
      <c r="CA26" s="446"/>
      <c r="CB26" s="446"/>
      <c r="CC26" s="446"/>
      <c r="CD26" s="446"/>
      <c r="CE26" s="446"/>
      <c r="CF26" s="446"/>
      <c r="CG26" s="446"/>
      <c r="CH26" s="446"/>
      <c r="CI26" s="446"/>
      <c r="CJ26" s="446"/>
      <c r="CK26" s="446"/>
      <c r="CL26" s="446"/>
      <c r="CM26" s="446"/>
      <c r="CN26" s="446"/>
      <c r="CO26" s="446"/>
      <c r="CP26" s="446"/>
      <c r="CQ26" s="446"/>
      <c r="CR26" s="446"/>
      <c r="CS26" s="446"/>
      <c r="CT26" s="446"/>
      <c r="CU26" s="446"/>
      <c r="CV26" s="446"/>
      <c r="CW26" s="446"/>
      <c r="CX26" s="446"/>
      <c r="CY26" s="446"/>
      <c r="CZ26" s="446"/>
      <c r="DA26" s="446"/>
      <c r="DB26" s="446"/>
      <c r="DC26" s="446"/>
      <c r="DD26" s="446"/>
      <c r="DE26" s="446"/>
      <c r="DF26" s="446"/>
      <c r="DG26" s="446"/>
      <c r="DH26" s="446"/>
      <c r="DI26" s="446"/>
      <c r="DJ26" s="446"/>
      <c r="DK26" s="446"/>
      <c r="DL26" s="446"/>
      <c r="DM26" s="446"/>
      <c r="DN26" s="446"/>
      <c r="DO26" s="446"/>
      <c r="DP26" s="446"/>
      <c r="DQ26" s="446"/>
      <c r="DR26" s="446"/>
      <c r="DS26" s="446"/>
      <c r="DT26" s="446"/>
      <c r="DU26" s="446"/>
      <c r="DV26" s="446"/>
      <c r="DW26" s="446"/>
      <c r="DX26" s="446"/>
      <c r="DY26" s="446"/>
      <c r="DZ26" s="446"/>
      <c r="EA26" s="446"/>
      <c r="EB26" s="446"/>
      <c r="EC26" s="446"/>
      <c r="ED26" s="446"/>
      <c r="EE26" s="446"/>
      <c r="EF26" s="446"/>
      <c r="EG26" s="446"/>
      <c r="EH26" s="446"/>
      <c r="EI26" s="446"/>
      <c r="EJ26" s="446"/>
      <c r="EK26" s="446"/>
      <c r="EL26" s="446"/>
      <c r="EM26" s="446"/>
      <c r="EN26" s="446"/>
      <c r="EO26" s="446"/>
      <c r="EP26" s="446"/>
      <c r="EQ26" s="446"/>
      <c r="ER26" s="446"/>
      <c r="ES26" s="446"/>
      <c r="ET26" s="446"/>
      <c r="EU26" s="446"/>
      <c r="EV26" s="446"/>
      <c r="EW26" s="446"/>
      <c r="EX26" s="446"/>
    </row>
    <row r="27" spans="1:154" s="427" customFormat="1" ht="16.5" customHeight="1">
      <c r="A27" s="1927"/>
      <c r="B27" s="1928"/>
      <c r="C27" s="422" t="s">
        <v>1197</v>
      </c>
      <c r="D27" s="408">
        <v>14015307.765999999</v>
      </c>
      <c r="E27" s="423">
        <v>3803873.0999999996</v>
      </c>
      <c r="F27" s="408">
        <v>10211434.946000002</v>
      </c>
      <c r="G27" s="423">
        <v>227539</v>
      </c>
      <c r="H27" s="408">
        <v>15467002.190999998</v>
      </c>
      <c r="I27" s="423">
        <v>6197</v>
      </c>
      <c r="J27" s="408">
        <v>467970.02600000001</v>
      </c>
      <c r="K27" s="423">
        <v>221342</v>
      </c>
      <c r="L27" s="408">
        <v>13715293.463999998</v>
      </c>
      <c r="M27" s="424">
        <v>13715293.463999998</v>
      </c>
      <c r="N27" s="408">
        <v>3803873.0999999996</v>
      </c>
      <c r="O27" s="444">
        <v>0</v>
      </c>
      <c r="P27" s="444">
        <v>9911420.3639999982</v>
      </c>
      <c r="Q27" s="444">
        <v>9911420.3639999982</v>
      </c>
      <c r="R27" s="444">
        <v>0</v>
      </c>
      <c r="S27" s="445">
        <v>300014.58200000011</v>
      </c>
      <c r="T27" s="411">
        <f t="shared" si="4"/>
        <v>0.97859379322842432</v>
      </c>
      <c r="U27" s="411">
        <f t="shared" si="5"/>
        <v>0.97061974310304688</v>
      </c>
      <c r="V27" s="444">
        <v>773076.05299999984</v>
      </c>
      <c r="W27" s="444">
        <v>10433</v>
      </c>
      <c r="X27" s="444">
        <v>774766.87399999972</v>
      </c>
      <c r="Y27" s="444">
        <v>45</v>
      </c>
      <c r="Z27" s="444">
        <v>22793.728999999999</v>
      </c>
      <c r="AA27" s="444">
        <v>10310</v>
      </c>
      <c r="AB27" s="444">
        <v>737326.64399999962</v>
      </c>
      <c r="AC27" s="444">
        <v>737326.64399999962</v>
      </c>
      <c r="AD27" s="444">
        <v>0</v>
      </c>
      <c r="AE27" s="444">
        <v>0</v>
      </c>
      <c r="AF27" s="444">
        <v>737326.64399999962</v>
      </c>
      <c r="AG27" s="444">
        <v>768687.11199999985</v>
      </c>
      <c r="AH27" s="444">
        <v>-31360.468000000001</v>
      </c>
      <c r="AI27" s="444">
        <v>4388.9410000000025</v>
      </c>
      <c r="AJ27" s="412">
        <f t="shared" si="22"/>
        <v>0.95375693133777584</v>
      </c>
      <c r="AK27" s="413">
        <f t="shared" si="23"/>
        <v>0.99432275649598989</v>
      </c>
      <c r="AL27" s="426"/>
      <c r="AM27" s="426"/>
      <c r="AN27" s="426"/>
      <c r="AO27" s="426"/>
      <c r="AP27" s="426"/>
      <c r="AQ27" s="426"/>
      <c r="AR27" s="426"/>
      <c r="AS27" s="426"/>
      <c r="AT27" s="426"/>
      <c r="AU27" s="426"/>
      <c r="AV27" s="426"/>
      <c r="AW27" s="426"/>
      <c r="AX27" s="426"/>
      <c r="AY27" s="426"/>
      <c r="AZ27" s="426"/>
      <c r="BA27" s="426"/>
      <c r="BB27" s="426"/>
      <c r="BC27" s="426"/>
      <c r="BD27" s="426"/>
      <c r="BE27" s="426"/>
      <c r="BF27" s="426"/>
      <c r="BG27" s="426"/>
      <c r="BH27" s="426"/>
      <c r="BI27" s="426"/>
      <c r="BJ27" s="426"/>
      <c r="BK27" s="426"/>
      <c r="BL27" s="426"/>
      <c r="BM27" s="426"/>
      <c r="BN27" s="426"/>
      <c r="BO27" s="426"/>
      <c r="BP27" s="426"/>
      <c r="BQ27" s="426"/>
      <c r="BR27" s="426"/>
      <c r="BS27" s="426"/>
      <c r="BT27" s="426"/>
      <c r="BU27" s="426"/>
      <c r="BV27" s="426"/>
      <c r="BW27" s="426"/>
      <c r="BX27" s="426"/>
      <c r="BY27" s="426"/>
      <c r="BZ27" s="426"/>
      <c r="CA27" s="426"/>
      <c r="CB27" s="426"/>
      <c r="CC27" s="426"/>
      <c r="CD27" s="426"/>
      <c r="CE27" s="426"/>
      <c r="CF27" s="426"/>
      <c r="CG27" s="426"/>
      <c r="CH27" s="426"/>
      <c r="CI27" s="426"/>
      <c r="CJ27" s="426"/>
      <c r="CK27" s="426"/>
      <c r="CL27" s="426"/>
      <c r="CM27" s="426"/>
      <c r="CN27" s="426"/>
      <c r="CO27" s="426"/>
      <c r="CP27" s="426"/>
      <c r="CQ27" s="426"/>
      <c r="CR27" s="426"/>
      <c r="CS27" s="426"/>
      <c r="CT27" s="426"/>
      <c r="CU27" s="426"/>
      <c r="CV27" s="426"/>
      <c r="CW27" s="426"/>
      <c r="CX27" s="426"/>
      <c r="CY27" s="426"/>
      <c r="CZ27" s="426"/>
      <c r="DA27" s="426"/>
      <c r="DB27" s="426"/>
      <c r="DC27" s="426"/>
      <c r="DD27" s="426"/>
      <c r="DE27" s="426"/>
      <c r="DF27" s="426"/>
      <c r="DG27" s="426"/>
      <c r="DH27" s="426"/>
      <c r="DI27" s="426"/>
      <c r="DJ27" s="426"/>
      <c r="DK27" s="426"/>
      <c r="DL27" s="426"/>
      <c r="DM27" s="426"/>
      <c r="DN27" s="426"/>
      <c r="DO27" s="426"/>
      <c r="DP27" s="426"/>
      <c r="DQ27" s="426"/>
      <c r="DR27" s="426"/>
      <c r="DS27" s="426"/>
      <c r="DT27" s="426"/>
      <c r="DU27" s="426"/>
      <c r="DV27" s="426"/>
      <c r="DW27" s="426"/>
      <c r="DX27" s="426"/>
      <c r="DY27" s="426"/>
      <c r="DZ27" s="426"/>
      <c r="EA27" s="426"/>
      <c r="EB27" s="426"/>
      <c r="EC27" s="426"/>
      <c r="ED27" s="426"/>
      <c r="EE27" s="426"/>
      <c r="EF27" s="426"/>
      <c r="EG27" s="426"/>
      <c r="EH27" s="426"/>
      <c r="EI27" s="426"/>
      <c r="EJ27" s="426"/>
      <c r="EK27" s="426"/>
      <c r="EL27" s="426"/>
      <c r="EM27" s="426"/>
      <c r="EN27" s="426"/>
      <c r="EO27" s="426"/>
      <c r="EP27" s="426"/>
      <c r="EQ27" s="426"/>
      <c r="ER27" s="426"/>
      <c r="ES27" s="426"/>
      <c r="ET27" s="426"/>
      <c r="EU27" s="426"/>
      <c r="EV27" s="426"/>
      <c r="EW27" s="426"/>
      <c r="EX27" s="426"/>
    </row>
    <row r="28" spans="1:154" s="427" customFormat="1" ht="16.5" customHeight="1">
      <c r="A28" s="1927"/>
      <c r="B28" s="1928"/>
      <c r="C28" s="422" t="s">
        <v>1198</v>
      </c>
      <c r="D28" s="408">
        <v>1151630</v>
      </c>
      <c r="E28" s="428">
        <v>241428</v>
      </c>
      <c r="F28" s="408">
        <v>910202</v>
      </c>
      <c r="G28" s="428">
        <v>965</v>
      </c>
      <c r="H28" s="408">
        <v>1384845.9110000001</v>
      </c>
      <c r="I28" s="428">
        <v>7</v>
      </c>
      <c r="J28" s="408">
        <v>10491.161</v>
      </c>
      <c r="K28" s="428">
        <v>958</v>
      </c>
      <c r="L28" s="408">
        <v>1368853.3959999999</v>
      </c>
      <c r="M28" s="429">
        <v>1368853.3959999999</v>
      </c>
      <c r="N28" s="408">
        <v>241428</v>
      </c>
      <c r="O28" s="444">
        <v>0</v>
      </c>
      <c r="P28" s="444">
        <v>1127425.3959999999</v>
      </c>
      <c r="Q28" s="444">
        <v>1127425.3959999999</v>
      </c>
      <c r="R28" s="444">
        <v>0</v>
      </c>
      <c r="S28" s="445">
        <v>-217223.39600000001</v>
      </c>
      <c r="T28" s="411">
        <f t="shared" si="4"/>
        <v>1.1886225575922822</v>
      </c>
      <c r="U28" s="411">
        <f t="shared" si="5"/>
        <v>1.2386540526168917</v>
      </c>
      <c r="V28" s="444">
        <v>177850.98300000001</v>
      </c>
      <c r="W28" s="444">
        <v>141</v>
      </c>
      <c r="X28" s="444">
        <v>183282.91899999999</v>
      </c>
      <c r="Y28" s="444">
        <v>1</v>
      </c>
      <c r="Z28" s="444">
        <v>3813.1849999999999</v>
      </c>
      <c r="AA28" s="444">
        <v>140</v>
      </c>
      <c r="AB28" s="444">
        <v>177850.984</v>
      </c>
      <c r="AC28" s="444">
        <v>177850.984</v>
      </c>
      <c r="AD28" s="444">
        <v>0</v>
      </c>
      <c r="AE28" s="444">
        <v>0</v>
      </c>
      <c r="AF28" s="444">
        <v>177850.984</v>
      </c>
      <c r="AG28" s="444">
        <v>177850.98300000001</v>
      </c>
      <c r="AH28" s="444">
        <v>1.0000000038417056E-3</v>
      </c>
      <c r="AI28" s="444">
        <v>0</v>
      </c>
      <c r="AJ28" s="412">
        <f t="shared" si="22"/>
        <v>1.0000000056226845</v>
      </c>
      <c r="AK28" s="413">
        <f t="shared" si="23"/>
        <v>1</v>
      </c>
      <c r="AL28" s="426"/>
      <c r="AM28" s="426"/>
      <c r="AN28" s="426"/>
      <c r="AO28" s="426"/>
      <c r="AP28" s="426"/>
      <c r="AQ28" s="426"/>
      <c r="AR28" s="426"/>
      <c r="AS28" s="426"/>
      <c r="AT28" s="426"/>
      <c r="AU28" s="426"/>
      <c r="AV28" s="426"/>
      <c r="AW28" s="426"/>
      <c r="AX28" s="426"/>
      <c r="AY28" s="426"/>
      <c r="AZ28" s="426"/>
      <c r="BA28" s="426"/>
      <c r="BB28" s="426"/>
      <c r="BC28" s="426"/>
      <c r="BD28" s="426"/>
      <c r="BE28" s="426"/>
      <c r="BF28" s="426"/>
      <c r="BG28" s="426"/>
      <c r="BH28" s="426"/>
      <c r="BI28" s="426"/>
      <c r="BJ28" s="426"/>
      <c r="BK28" s="426"/>
      <c r="BL28" s="426"/>
      <c r="BM28" s="426"/>
      <c r="BN28" s="426"/>
      <c r="BO28" s="426"/>
      <c r="BP28" s="426"/>
      <c r="BQ28" s="426"/>
      <c r="BR28" s="426"/>
      <c r="BS28" s="426"/>
      <c r="BT28" s="426"/>
      <c r="BU28" s="426"/>
      <c r="BV28" s="426"/>
      <c r="BW28" s="426"/>
      <c r="BX28" s="426"/>
      <c r="BY28" s="426"/>
      <c r="BZ28" s="426"/>
      <c r="CA28" s="426"/>
      <c r="CB28" s="426"/>
      <c r="CC28" s="426"/>
      <c r="CD28" s="426"/>
      <c r="CE28" s="426"/>
      <c r="CF28" s="426"/>
      <c r="CG28" s="426"/>
      <c r="CH28" s="426"/>
      <c r="CI28" s="426"/>
      <c r="CJ28" s="426"/>
      <c r="CK28" s="426"/>
      <c r="CL28" s="426"/>
      <c r="CM28" s="426"/>
      <c r="CN28" s="426"/>
      <c r="CO28" s="426"/>
      <c r="CP28" s="426"/>
      <c r="CQ28" s="426"/>
      <c r="CR28" s="426"/>
      <c r="CS28" s="426"/>
      <c r="CT28" s="426"/>
      <c r="CU28" s="426"/>
      <c r="CV28" s="426"/>
      <c r="CW28" s="426"/>
      <c r="CX28" s="426"/>
      <c r="CY28" s="426"/>
      <c r="CZ28" s="426"/>
      <c r="DA28" s="426"/>
      <c r="DB28" s="426"/>
      <c r="DC28" s="426"/>
      <c r="DD28" s="426"/>
      <c r="DE28" s="426"/>
      <c r="DF28" s="426"/>
      <c r="DG28" s="426"/>
      <c r="DH28" s="426"/>
      <c r="DI28" s="426"/>
      <c r="DJ28" s="426"/>
      <c r="DK28" s="426"/>
      <c r="DL28" s="426"/>
      <c r="DM28" s="426"/>
      <c r="DN28" s="426"/>
      <c r="DO28" s="426"/>
      <c r="DP28" s="426"/>
      <c r="DQ28" s="426"/>
      <c r="DR28" s="426"/>
      <c r="DS28" s="426"/>
      <c r="DT28" s="426"/>
      <c r="DU28" s="426"/>
      <c r="DV28" s="426"/>
      <c r="DW28" s="426"/>
      <c r="DX28" s="426"/>
      <c r="DY28" s="426"/>
      <c r="DZ28" s="426"/>
      <c r="EA28" s="426"/>
      <c r="EB28" s="426"/>
      <c r="EC28" s="426"/>
      <c r="ED28" s="426"/>
      <c r="EE28" s="426"/>
      <c r="EF28" s="426"/>
      <c r="EG28" s="426"/>
      <c r="EH28" s="426"/>
      <c r="EI28" s="426"/>
      <c r="EJ28" s="426"/>
      <c r="EK28" s="426"/>
      <c r="EL28" s="426"/>
      <c r="EM28" s="426"/>
      <c r="EN28" s="426"/>
      <c r="EO28" s="426"/>
      <c r="EP28" s="426"/>
      <c r="EQ28" s="426"/>
      <c r="ER28" s="426"/>
      <c r="ES28" s="426"/>
      <c r="ET28" s="426"/>
      <c r="EU28" s="426"/>
      <c r="EV28" s="426"/>
      <c r="EW28" s="426"/>
      <c r="EX28" s="426"/>
    </row>
    <row r="29" spans="1:154" s="427" customFormat="1" ht="16.5" customHeight="1">
      <c r="A29" s="1927"/>
      <c r="B29" s="1928"/>
      <c r="C29" s="422" t="s">
        <v>1199</v>
      </c>
      <c r="D29" s="408">
        <v>1384695.2420000001</v>
      </c>
      <c r="E29" s="428">
        <v>378692.09999999992</v>
      </c>
      <c r="F29" s="408">
        <v>1006002.8319999997</v>
      </c>
      <c r="G29" s="428">
        <v>97778</v>
      </c>
      <c r="H29" s="408">
        <v>1879708.5290000003</v>
      </c>
      <c r="I29" s="428">
        <v>1450</v>
      </c>
      <c r="J29" s="408">
        <v>68040.563000000009</v>
      </c>
      <c r="K29" s="428">
        <v>96328</v>
      </c>
      <c r="L29" s="408">
        <v>1468043.7999999998</v>
      </c>
      <c r="M29" s="429">
        <v>1468043.7999999998</v>
      </c>
      <c r="N29" s="408">
        <v>378692.09999999992</v>
      </c>
      <c r="O29" s="444">
        <v>0</v>
      </c>
      <c r="P29" s="444">
        <v>1089351.7000000002</v>
      </c>
      <c r="Q29" s="444">
        <v>1089351.7000000002</v>
      </c>
      <c r="R29" s="444">
        <v>0</v>
      </c>
      <c r="S29" s="445">
        <v>-83348.867999999988</v>
      </c>
      <c r="T29" s="411">
        <f t="shared" si="4"/>
        <v>1.0601929465283839</v>
      </c>
      <c r="U29" s="411">
        <f t="shared" si="5"/>
        <v>1.082851524219169</v>
      </c>
      <c r="V29" s="444">
        <v>63929.135999999999</v>
      </c>
      <c r="W29" s="444">
        <v>4643</v>
      </c>
      <c r="X29" s="444">
        <v>66085.799000000014</v>
      </c>
      <c r="Y29" s="444">
        <v>0</v>
      </c>
      <c r="Z29" s="444">
        <v>191.18699999999998</v>
      </c>
      <c r="AA29" s="444">
        <v>4643</v>
      </c>
      <c r="AB29" s="444">
        <v>56019.178</v>
      </c>
      <c r="AC29" s="444">
        <v>56019.178</v>
      </c>
      <c r="AD29" s="444">
        <v>0</v>
      </c>
      <c r="AE29" s="444">
        <v>0</v>
      </c>
      <c r="AF29" s="444">
        <v>56019.178</v>
      </c>
      <c r="AG29" s="444">
        <v>67610.616000000009</v>
      </c>
      <c r="AH29" s="444">
        <v>-11591.438000000002</v>
      </c>
      <c r="AI29" s="444">
        <v>-3681.4799999999996</v>
      </c>
      <c r="AJ29" s="412">
        <f t="shared" si="22"/>
        <v>0.87626990610353317</v>
      </c>
      <c r="AK29" s="413">
        <f t="shared" si="23"/>
        <v>1.0575868880818289</v>
      </c>
      <c r="AL29" s="426"/>
      <c r="AM29" s="426"/>
      <c r="AN29" s="426"/>
      <c r="AO29" s="426"/>
      <c r="AP29" s="426"/>
      <c r="AQ29" s="426"/>
      <c r="AR29" s="426"/>
      <c r="AS29" s="426"/>
      <c r="AT29" s="426"/>
      <c r="AU29" s="426"/>
      <c r="AV29" s="426"/>
      <c r="AW29" s="426"/>
      <c r="AX29" s="426"/>
      <c r="AY29" s="426"/>
      <c r="AZ29" s="426"/>
      <c r="BA29" s="426"/>
      <c r="BB29" s="426"/>
      <c r="BC29" s="426"/>
      <c r="BD29" s="426"/>
      <c r="BE29" s="426"/>
      <c r="BF29" s="426"/>
      <c r="BG29" s="426"/>
      <c r="BH29" s="426"/>
      <c r="BI29" s="426"/>
      <c r="BJ29" s="426"/>
      <c r="BK29" s="426"/>
      <c r="BL29" s="426"/>
      <c r="BM29" s="426"/>
      <c r="BN29" s="426"/>
      <c r="BO29" s="426"/>
      <c r="BP29" s="426"/>
      <c r="BQ29" s="426"/>
      <c r="BR29" s="426"/>
      <c r="BS29" s="426"/>
      <c r="BT29" s="426"/>
      <c r="BU29" s="426"/>
      <c r="BV29" s="426"/>
      <c r="BW29" s="426"/>
      <c r="BX29" s="426"/>
      <c r="BY29" s="426"/>
      <c r="BZ29" s="426"/>
      <c r="CA29" s="426"/>
      <c r="CB29" s="426"/>
      <c r="CC29" s="426"/>
      <c r="CD29" s="426"/>
      <c r="CE29" s="426"/>
      <c r="CF29" s="426"/>
      <c r="CG29" s="426"/>
      <c r="CH29" s="426"/>
      <c r="CI29" s="426"/>
      <c r="CJ29" s="426"/>
      <c r="CK29" s="426"/>
      <c r="CL29" s="426"/>
      <c r="CM29" s="426"/>
      <c r="CN29" s="426"/>
      <c r="CO29" s="426"/>
      <c r="CP29" s="426"/>
      <c r="CQ29" s="426"/>
      <c r="CR29" s="426"/>
      <c r="CS29" s="426"/>
      <c r="CT29" s="426"/>
      <c r="CU29" s="426"/>
      <c r="CV29" s="426"/>
      <c r="CW29" s="426"/>
      <c r="CX29" s="426"/>
      <c r="CY29" s="426"/>
      <c r="CZ29" s="426"/>
      <c r="DA29" s="426"/>
      <c r="DB29" s="426"/>
      <c r="DC29" s="426"/>
      <c r="DD29" s="426"/>
      <c r="DE29" s="426"/>
      <c r="DF29" s="426"/>
      <c r="DG29" s="426"/>
      <c r="DH29" s="426"/>
      <c r="DI29" s="426"/>
      <c r="DJ29" s="426"/>
      <c r="DK29" s="426"/>
      <c r="DL29" s="426"/>
      <c r="DM29" s="426"/>
      <c r="DN29" s="426"/>
      <c r="DO29" s="426"/>
      <c r="DP29" s="426"/>
      <c r="DQ29" s="426"/>
      <c r="DR29" s="426"/>
      <c r="DS29" s="426"/>
      <c r="DT29" s="426"/>
      <c r="DU29" s="426"/>
      <c r="DV29" s="426"/>
      <c r="DW29" s="426"/>
      <c r="DX29" s="426"/>
      <c r="DY29" s="426"/>
      <c r="DZ29" s="426"/>
      <c r="EA29" s="426"/>
      <c r="EB29" s="426"/>
      <c r="EC29" s="426"/>
      <c r="ED29" s="426"/>
      <c r="EE29" s="426"/>
      <c r="EF29" s="426"/>
      <c r="EG29" s="426"/>
      <c r="EH29" s="426"/>
      <c r="EI29" s="426"/>
      <c r="EJ29" s="426"/>
      <c r="EK29" s="426"/>
      <c r="EL29" s="426"/>
      <c r="EM29" s="426"/>
      <c r="EN29" s="426"/>
      <c r="EO29" s="426"/>
      <c r="EP29" s="426"/>
      <c r="EQ29" s="426"/>
      <c r="ER29" s="426"/>
      <c r="ES29" s="426"/>
      <c r="ET29" s="426"/>
      <c r="EU29" s="426"/>
      <c r="EV29" s="426"/>
      <c r="EW29" s="426"/>
      <c r="EX29" s="426"/>
    </row>
    <row r="30" spans="1:154" s="427" customFormat="1" ht="16.5" customHeight="1">
      <c r="A30" s="1927"/>
      <c r="B30" s="1928"/>
      <c r="C30" s="448" t="s">
        <v>1203</v>
      </c>
      <c r="D30" s="408">
        <v>7036.393</v>
      </c>
      <c r="E30" s="428">
        <v>0</v>
      </c>
      <c r="F30" s="408">
        <v>7036.4230000000007</v>
      </c>
      <c r="G30" s="428">
        <v>0</v>
      </c>
      <c r="H30" s="408">
        <v>8209.2340000000004</v>
      </c>
      <c r="I30" s="428">
        <v>0</v>
      </c>
      <c r="J30" s="408">
        <v>0</v>
      </c>
      <c r="K30" s="428">
        <v>0</v>
      </c>
      <c r="L30" s="408">
        <v>6478.741</v>
      </c>
      <c r="M30" s="429">
        <v>6478.741</v>
      </c>
      <c r="N30" s="408">
        <v>0</v>
      </c>
      <c r="O30" s="444">
        <v>0</v>
      </c>
      <c r="P30" s="444">
        <v>6478.741</v>
      </c>
      <c r="Q30" s="444">
        <v>6478.741</v>
      </c>
      <c r="R30" s="444">
        <v>0</v>
      </c>
      <c r="S30" s="445">
        <v>557.68200000000024</v>
      </c>
      <c r="T30" s="411">
        <f t="shared" si="4"/>
        <v>0.92074353687946264</v>
      </c>
      <c r="U30" s="411">
        <f t="shared" si="5"/>
        <v>0.92074353687946264</v>
      </c>
      <c r="V30" s="444">
        <v>0</v>
      </c>
      <c r="W30" s="444">
        <v>0</v>
      </c>
      <c r="X30" s="444">
        <v>1249.1309999999999</v>
      </c>
      <c r="Y30" s="444">
        <v>0</v>
      </c>
      <c r="Z30" s="444">
        <v>0</v>
      </c>
      <c r="AA30" s="444">
        <v>0</v>
      </c>
      <c r="AB30" s="444">
        <v>707.46100000000001</v>
      </c>
      <c r="AC30" s="444">
        <v>707.46100000000001</v>
      </c>
      <c r="AD30" s="444">
        <v>0</v>
      </c>
      <c r="AE30" s="444">
        <v>0</v>
      </c>
      <c r="AF30" s="444">
        <v>707.46100000000001</v>
      </c>
      <c r="AG30" s="444">
        <v>707.46100000000001</v>
      </c>
      <c r="AH30" s="444">
        <v>0</v>
      </c>
      <c r="AI30" s="444">
        <v>-707.46100000000001</v>
      </c>
      <c r="AJ30" s="412"/>
      <c r="AK30" s="413"/>
      <c r="AL30" s="426"/>
      <c r="AM30" s="426"/>
      <c r="AN30" s="426"/>
      <c r="AO30" s="426"/>
      <c r="AP30" s="426"/>
      <c r="AQ30" s="426"/>
      <c r="AR30" s="426"/>
      <c r="AS30" s="426"/>
      <c r="AT30" s="426"/>
      <c r="AU30" s="426"/>
      <c r="AV30" s="426"/>
      <c r="AW30" s="426"/>
      <c r="AX30" s="426"/>
      <c r="AY30" s="426"/>
      <c r="AZ30" s="426"/>
      <c r="BA30" s="426"/>
      <c r="BB30" s="426"/>
      <c r="BC30" s="426"/>
      <c r="BD30" s="426"/>
      <c r="BE30" s="426"/>
      <c r="BF30" s="426"/>
      <c r="BG30" s="426"/>
      <c r="BH30" s="426"/>
      <c r="BI30" s="426"/>
      <c r="BJ30" s="426"/>
      <c r="BK30" s="426"/>
      <c r="BL30" s="426"/>
      <c r="BM30" s="426"/>
      <c r="BN30" s="426"/>
      <c r="BO30" s="426"/>
      <c r="BP30" s="426"/>
      <c r="BQ30" s="426"/>
      <c r="BR30" s="426"/>
      <c r="BS30" s="426"/>
      <c r="BT30" s="426"/>
      <c r="BU30" s="426"/>
      <c r="BV30" s="426"/>
      <c r="BW30" s="426"/>
      <c r="BX30" s="426"/>
      <c r="BY30" s="426"/>
      <c r="BZ30" s="426"/>
      <c r="CA30" s="426"/>
      <c r="CB30" s="426"/>
      <c r="CC30" s="426"/>
      <c r="CD30" s="426"/>
      <c r="CE30" s="426"/>
      <c r="CF30" s="426"/>
      <c r="CG30" s="426"/>
      <c r="CH30" s="426"/>
      <c r="CI30" s="426"/>
      <c r="CJ30" s="426"/>
      <c r="CK30" s="426"/>
      <c r="CL30" s="426"/>
      <c r="CM30" s="426"/>
      <c r="CN30" s="426"/>
      <c r="CO30" s="426"/>
      <c r="CP30" s="426"/>
      <c r="CQ30" s="426"/>
      <c r="CR30" s="426"/>
      <c r="CS30" s="426"/>
      <c r="CT30" s="426"/>
      <c r="CU30" s="426"/>
      <c r="CV30" s="426"/>
      <c r="CW30" s="426"/>
      <c r="CX30" s="426"/>
      <c r="CY30" s="426"/>
      <c r="CZ30" s="426"/>
      <c r="DA30" s="426"/>
      <c r="DB30" s="426"/>
      <c r="DC30" s="426"/>
      <c r="DD30" s="426"/>
      <c r="DE30" s="426"/>
      <c r="DF30" s="426"/>
      <c r="DG30" s="426"/>
      <c r="DH30" s="426"/>
      <c r="DI30" s="426"/>
      <c r="DJ30" s="426"/>
      <c r="DK30" s="426"/>
      <c r="DL30" s="426"/>
      <c r="DM30" s="426"/>
      <c r="DN30" s="426"/>
      <c r="DO30" s="426"/>
      <c r="DP30" s="426"/>
      <c r="DQ30" s="426"/>
      <c r="DR30" s="426"/>
      <c r="DS30" s="426"/>
      <c r="DT30" s="426"/>
      <c r="DU30" s="426"/>
      <c r="DV30" s="426"/>
      <c r="DW30" s="426"/>
      <c r="DX30" s="426"/>
      <c r="DY30" s="426"/>
      <c r="DZ30" s="426"/>
      <c r="EA30" s="426"/>
      <c r="EB30" s="426"/>
      <c r="EC30" s="426"/>
      <c r="ED30" s="426"/>
      <c r="EE30" s="426"/>
      <c r="EF30" s="426"/>
      <c r="EG30" s="426"/>
      <c r="EH30" s="426"/>
      <c r="EI30" s="426"/>
      <c r="EJ30" s="426"/>
      <c r="EK30" s="426"/>
      <c r="EL30" s="426"/>
      <c r="EM30" s="426"/>
      <c r="EN30" s="426"/>
      <c r="EO30" s="426"/>
      <c r="EP30" s="426"/>
      <c r="EQ30" s="426"/>
      <c r="ER30" s="426"/>
      <c r="ES30" s="426"/>
      <c r="ET30" s="426"/>
      <c r="EU30" s="426"/>
      <c r="EV30" s="426"/>
      <c r="EW30" s="426"/>
      <c r="EX30" s="426"/>
    </row>
    <row r="31" spans="1:154" s="452" customFormat="1" ht="16.5" customHeight="1">
      <c r="A31" s="1925">
        <v>4</v>
      </c>
      <c r="B31" s="1922" t="s">
        <v>1154</v>
      </c>
      <c r="C31" s="449" t="s">
        <v>1204</v>
      </c>
      <c r="D31" s="408">
        <f t="shared" ref="D31:S31" si="26">D32+D33+D34+D35</f>
        <v>5208422.7</v>
      </c>
      <c r="E31" s="408">
        <f t="shared" si="26"/>
        <v>1409510.6999999997</v>
      </c>
      <c r="F31" s="408">
        <f t="shared" si="26"/>
        <v>3798911.9999999995</v>
      </c>
      <c r="G31" s="408">
        <f t="shared" si="26"/>
        <v>96000</v>
      </c>
      <c r="H31" s="408">
        <f t="shared" si="26"/>
        <v>5430693.0999999996</v>
      </c>
      <c r="I31" s="408">
        <f t="shared" si="26"/>
        <v>5480</v>
      </c>
      <c r="J31" s="408">
        <f t="shared" si="26"/>
        <v>222271.09999999998</v>
      </c>
      <c r="K31" s="408">
        <f t="shared" si="26"/>
        <v>95721</v>
      </c>
      <c r="L31" s="408">
        <f t="shared" si="26"/>
        <v>5208422</v>
      </c>
      <c r="M31" s="409">
        <f t="shared" si="26"/>
        <v>5208422</v>
      </c>
      <c r="N31" s="408">
        <f t="shared" si="26"/>
        <v>1154194.72</v>
      </c>
      <c r="O31" s="444">
        <f t="shared" si="26"/>
        <v>255316</v>
      </c>
      <c r="P31" s="444">
        <f t="shared" si="26"/>
        <v>3798911.2999999993</v>
      </c>
      <c r="Q31" s="444">
        <f t="shared" si="26"/>
        <v>3798911.2999999993</v>
      </c>
      <c r="R31" s="444">
        <f t="shared" si="26"/>
        <v>0</v>
      </c>
      <c r="S31" s="445">
        <f t="shared" si="26"/>
        <v>0.69999999997708073</v>
      </c>
      <c r="T31" s="411">
        <f t="shared" si="4"/>
        <v>1.0515464928242046</v>
      </c>
      <c r="U31" s="411">
        <f t="shared" si="5"/>
        <v>0.99999981573671615</v>
      </c>
      <c r="V31" s="444">
        <f t="shared" ref="V31:AI31" si="27">V32+V33+V34+V35</f>
        <v>190438.9</v>
      </c>
      <c r="W31" s="444">
        <f t="shared" si="27"/>
        <v>3345</v>
      </c>
      <c r="X31" s="444">
        <f t="shared" si="27"/>
        <v>201789.7</v>
      </c>
      <c r="Y31" s="444">
        <f t="shared" si="27"/>
        <v>434</v>
      </c>
      <c r="Z31" s="444">
        <f t="shared" si="27"/>
        <v>16034.2</v>
      </c>
      <c r="AA31" s="444">
        <f t="shared" si="27"/>
        <v>3335</v>
      </c>
      <c r="AB31" s="444">
        <f t="shared" si="27"/>
        <v>185755.50000000003</v>
      </c>
      <c r="AC31" s="444">
        <f t="shared" si="27"/>
        <v>185755.50000000003</v>
      </c>
      <c r="AD31" s="444">
        <f t="shared" si="27"/>
        <v>0</v>
      </c>
      <c r="AE31" s="444">
        <f t="shared" si="27"/>
        <v>0</v>
      </c>
      <c r="AF31" s="444">
        <f t="shared" si="27"/>
        <v>185755.50000000003</v>
      </c>
      <c r="AG31" s="444">
        <f t="shared" si="27"/>
        <v>190438.2</v>
      </c>
      <c r="AH31" s="444">
        <f t="shared" si="27"/>
        <v>-4682.7</v>
      </c>
      <c r="AI31" s="450">
        <f t="shared" si="27"/>
        <v>0.69999999999890861</v>
      </c>
      <c r="AJ31" s="412">
        <f>AC31/(AD31+V31)</f>
        <v>0.97540733537108248</v>
      </c>
      <c r="AK31" s="413">
        <f>AG31/V31</f>
        <v>0.9999963242803861</v>
      </c>
      <c r="AL31" s="451"/>
      <c r="AM31" s="451"/>
      <c r="AN31" s="451"/>
      <c r="AO31" s="451"/>
      <c r="AP31" s="451"/>
      <c r="AQ31" s="451"/>
      <c r="AR31" s="451"/>
      <c r="AS31" s="451"/>
      <c r="AT31" s="451"/>
      <c r="AU31" s="451"/>
      <c r="AV31" s="451"/>
      <c r="AW31" s="451"/>
      <c r="AX31" s="451"/>
      <c r="AY31" s="451"/>
      <c r="AZ31" s="451"/>
      <c r="BA31" s="451"/>
      <c r="BB31" s="451"/>
      <c r="BC31" s="451"/>
      <c r="BD31" s="451"/>
      <c r="BE31" s="451"/>
      <c r="BF31" s="451"/>
      <c r="BG31" s="451"/>
      <c r="BH31" s="451"/>
      <c r="BI31" s="451"/>
      <c r="BJ31" s="451"/>
      <c r="BK31" s="451"/>
      <c r="BL31" s="451"/>
      <c r="BM31" s="451"/>
      <c r="BN31" s="451"/>
      <c r="BO31" s="451"/>
      <c r="BP31" s="451"/>
      <c r="BQ31" s="451"/>
      <c r="BR31" s="451"/>
      <c r="BS31" s="451"/>
      <c r="BT31" s="451"/>
      <c r="BU31" s="451"/>
      <c r="BV31" s="451"/>
      <c r="BW31" s="451"/>
      <c r="BX31" s="451"/>
      <c r="BY31" s="451"/>
      <c r="BZ31" s="451"/>
      <c r="CA31" s="451"/>
      <c r="CB31" s="451"/>
      <c r="CC31" s="451"/>
      <c r="CD31" s="451"/>
      <c r="CE31" s="451"/>
      <c r="CF31" s="451"/>
      <c r="CG31" s="451"/>
      <c r="CH31" s="451"/>
      <c r="CI31" s="451"/>
      <c r="CJ31" s="451"/>
      <c r="CK31" s="451"/>
      <c r="CL31" s="451"/>
      <c r="CM31" s="451"/>
      <c r="CN31" s="451"/>
      <c r="CO31" s="451"/>
      <c r="CP31" s="451"/>
      <c r="CQ31" s="451"/>
      <c r="CR31" s="451"/>
      <c r="CS31" s="451"/>
      <c r="CT31" s="451"/>
      <c r="CU31" s="451"/>
      <c r="CV31" s="451"/>
      <c r="CW31" s="451"/>
      <c r="CX31" s="451"/>
      <c r="CY31" s="451"/>
      <c r="CZ31" s="451"/>
      <c r="DA31" s="451"/>
      <c r="DB31" s="451"/>
      <c r="DC31" s="451"/>
      <c r="DD31" s="451"/>
      <c r="DE31" s="451"/>
      <c r="DF31" s="451"/>
      <c r="DG31" s="451"/>
      <c r="DH31" s="451"/>
      <c r="DI31" s="451"/>
      <c r="DJ31" s="451"/>
      <c r="DK31" s="451"/>
      <c r="DL31" s="451"/>
      <c r="DM31" s="451"/>
      <c r="DN31" s="451"/>
      <c r="DO31" s="451"/>
      <c r="DP31" s="451"/>
      <c r="DQ31" s="451"/>
      <c r="DR31" s="451"/>
      <c r="DS31" s="451"/>
      <c r="DT31" s="451"/>
      <c r="DU31" s="451"/>
      <c r="DV31" s="451"/>
      <c r="DW31" s="451"/>
      <c r="DX31" s="451"/>
      <c r="DY31" s="451"/>
      <c r="DZ31" s="451"/>
      <c r="EA31" s="451"/>
      <c r="EB31" s="451"/>
      <c r="EC31" s="451"/>
      <c r="ED31" s="451"/>
      <c r="EE31" s="451"/>
      <c r="EF31" s="451"/>
      <c r="EG31" s="451"/>
      <c r="EH31" s="451"/>
      <c r="EI31" s="451"/>
      <c r="EJ31" s="451"/>
      <c r="EK31" s="451"/>
      <c r="EL31" s="451"/>
      <c r="EM31" s="451"/>
      <c r="EN31" s="451"/>
      <c r="EO31" s="451"/>
      <c r="EP31" s="451"/>
      <c r="EQ31" s="451"/>
      <c r="ER31" s="451"/>
      <c r="ES31" s="451"/>
      <c r="ET31" s="451"/>
      <c r="EU31" s="451"/>
      <c r="EV31" s="451"/>
      <c r="EW31" s="451"/>
      <c r="EX31" s="451"/>
    </row>
    <row r="32" spans="1:154" s="456" customFormat="1" ht="16.5" customHeight="1">
      <c r="A32" s="1925"/>
      <c r="B32" s="1922"/>
      <c r="C32" s="449" t="s">
        <v>1197</v>
      </c>
      <c r="D32" s="408">
        <v>4263777.4000000004</v>
      </c>
      <c r="E32" s="408">
        <v>1256901.8999999999</v>
      </c>
      <c r="F32" s="408">
        <v>3006875.5</v>
      </c>
      <c r="G32" s="408">
        <v>62766</v>
      </c>
      <c r="H32" s="408">
        <v>4429632.5</v>
      </c>
      <c r="I32" s="408">
        <v>4195</v>
      </c>
      <c r="J32" s="408">
        <v>165855.29999999999</v>
      </c>
      <c r="K32" s="408">
        <v>62530</v>
      </c>
      <c r="L32" s="408">
        <v>4263777.2</v>
      </c>
      <c r="M32" s="409">
        <v>4263777.2</v>
      </c>
      <c r="N32" s="408">
        <v>1014812.9</v>
      </c>
      <c r="O32" s="444">
        <v>242089</v>
      </c>
      <c r="P32" s="444">
        <v>3006875.3</v>
      </c>
      <c r="Q32" s="444">
        <v>3006875.3</v>
      </c>
      <c r="R32" s="444">
        <v>0</v>
      </c>
      <c r="S32" s="453">
        <v>0.19999999997708073</v>
      </c>
      <c r="T32" s="411">
        <f>M32/(N32+F32)</f>
        <v>1.060195812286203</v>
      </c>
      <c r="U32" s="411">
        <f>Q32/F32</f>
        <v>0.99999993348577276</v>
      </c>
      <c r="V32" s="444">
        <v>153747.29999999999</v>
      </c>
      <c r="W32" s="444">
        <v>2235</v>
      </c>
      <c r="X32" s="444">
        <v>160589.5</v>
      </c>
      <c r="Y32" s="444">
        <v>237</v>
      </c>
      <c r="Z32" s="444">
        <v>10965.1</v>
      </c>
      <c r="AA32" s="444">
        <v>2230</v>
      </c>
      <c r="AB32" s="444">
        <v>149624.70000000001</v>
      </c>
      <c r="AC32" s="444">
        <v>149624.70000000001</v>
      </c>
      <c r="AD32" s="444">
        <v>0</v>
      </c>
      <c r="AE32" s="444">
        <v>0</v>
      </c>
      <c r="AF32" s="444">
        <v>149624.70000000001</v>
      </c>
      <c r="AG32" s="444">
        <v>153747.1</v>
      </c>
      <c r="AH32" s="444">
        <v>-4122.3999999999996</v>
      </c>
      <c r="AI32" s="454">
        <v>0.19999999999890861</v>
      </c>
      <c r="AJ32" s="412">
        <f>AC32/(AD32+V32)</f>
        <v>0.97318587058114203</v>
      </c>
      <c r="AK32" s="413">
        <f>AG32/V32</f>
        <v>0.99999869916414807</v>
      </c>
      <c r="AL32" s="455"/>
      <c r="AM32" s="455"/>
      <c r="AN32" s="455"/>
      <c r="AO32" s="455"/>
      <c r="AP32" s="455"/>
      <c r="AQ32" s="455"/>
      <c r="AR32" s="455"/>
      <c r="AS32" s="455"/>
      <c r="AT32" s="455"/>
      <c r="AU32" s="455"/>
      <c r="AV32" s="455"/>
      <c r="AW32" s="455"/>
      <c r="AX32" s="455"/>
      <c r="AY32" s="455"/>
      <c r="AZ32" s="455"/>
      <c r="BA32" s="455"/>
      <c r="BB32" s="455"/>
      <c r="BC32" s="455"/>
      <c r="BD32" s="455"/>
      <c r="BE32" s="455"/>
      <c r="BF32" s="455"/>
      <c r="BG32" s="455"/>
      <c r="BH32" s="455"/>
      <c r="BI32" s="455"/>
      <c r="BJ32" s="455"/>
      <c r="BK32" s="455"/>
      <c r="BL32" s="455"/>
      <c r="BM32" s="455"/>
      <c r="BN32" s="455"/>
      <c r="BO32" s="455"/>
      <c r="BP32" s="455"/>
      <c r="BQ32" s="455"/>
      <c r="BR32" s="455"/>
      <c r="BS32" s="455"/>
      <c r="BT32" s="455"/>
      <c r="BU32" s="455"/>
      <c r="BV32" s="455"/>
      <c r="BW32" s="455"/>
      <c r="BX32" s="455"/>
      <c r="BY32" s="455"/>
      <c r="BZ32" s="455"/>
      <c r="CA32" s="455"/>
      <c r="CB32" s="455"/>
      <c r="CC32" s="455"/>
      <c r="CD32" s="455"/>
      <c r="CE32" s="455"/>
      <c r="CF32" s="455"/>
      <c r="CG32" s="455"/>
      <c r="CH32" s="455"/>
      <c r="CI32" s="455"/>
      <c r="CJ32" s="455"/>
      <c r="CK32" s="455"/>
      <c r="CL32" s="455"/>
      <c r="CM32" s="455"/>
      <c r="CN32" s="455"/>
      <c r="CO32" s="455"/>
      <c r="CP32" s="455"/>
      <c r="CQ32" s="455"/>
      <c r="CR32" s="455"/>
      <c r="CS32" s="455"/>
      <c r="CT32" s="455"/>
      <c r="CU32" s="455"/>
      <c r="CV32" s="455"/>
      <c r="CW32" s="455"/>
      <c r="CX32" s="455"/>
      <c r="CY32" s="455"/>
      <c r="CZ32" s="455"/>
      <c r="DA32" s="455"/>
      <c r="DB32" s="455"/>
      <c r="DC32" s="455"/>
      <c r="DD32" s="455"/>
      <c r="DE32" s="455"/>
      <c r="DF32" s="455"/>
      <c r="DG32" s="455"/>
      <c r="DH32" s="455"/>
      <c r="DI32" s="455"/>
      <c r="DJ32" s="455"/>
      <c r="DK32" s="455"/>
      <c r="DL32" s="455"/>
      <c r="DM32" s="455"/>
      <c r="DN32" s="455"/>
      <c r="DO32" s="455"/>
      <c r="DP32" s="455"/>
      <c r="DQ32" s="455"/>
      <c r="DR32" s="455"/>
      <c r="DS32" s="455"/>
      <c r="DT32" s="455"/>
      <c r="DU32" s="455"/>
      <c r="DV32" s="455"/>
      <c r="DW32" s="455"/>
      <c r="DX32" s="455"/>
      <c r="DY32" s="455"/>
      <c r="DZ32" s="455"/>
      <c r="EA32" s="455"/>
      <c r="EB32" s="455"/>
      <c r="EC32" s="455"/>
      <c r="ED32" s="455"/>
      <c r="EE32" s="455"/>
      <c r="EF32" s="455"/>
      <c r="EG32" s="455"/>
      <c r="EH32" s="455"/>
      <c r="EI32" s="455"/>
      <c r="EJ32" s="455"/>
      <c r="EK32" s="455"/>
      <c r="EL32" s="455"/>
      <c r="EM32" s="455"/>
      <c r="EN32" s="455"/>
      <c r="EO32" s="455"/>
      <c r="EP32" s="455"/>
      <c r="EQ32" s="455"/>
      <c r="ER32" s="455"/>
      <c r="ES32" s="455"/>
      <c r="ET32" s="455"/>
      <c r="EU32" s="455"/>
      <c r="EV32" s="455"/>
      <c r="EW32" s="455"/>
      <c r="EX32" s="455"/>
    </row>
    <row r="33" spans="1:154" s="456" customFormat="1" ht="16.5" customHeight="1">
      <c r="A33" s="1925"/>
      <c r="B33" s="1922"/>
      <c r="C33" s="449" t="s">
        <v>1198</v>
      </c>
      <c r="D33" s="408">
        <v>389994.3</v>
      </c>
      <c r="E33" s="436">
        <v>12624.9</v>
      </c>
      <c r="F33" s="408">
        <v>377369.4</v>
      </c>
      <c r="G33" s="436">
        <v>501</v>
      </c>
      <c r="H33" s="408">
        <v>428635.2</v>
      </c>
      <c r="I33" s="436">
        <v>65</v>
      </c>
      <c r="J33" s="408">
        <v>38640.9</v>
      </c>
      <c r="K33" s="436">
        <v>494</v>
      </c>
      <c r="L33" s="408">
        <v>389994.3</v>
      </c>
      <c r="M33" s="437">
        <v>389994.3</v>
      </c>
      <c r="N33" s="408">
        <v>10400.9</v>
      </c>
      <c r="O33" s="444">
        <v>2224</v>
      </c>
      <c r="P33" s="444">
        <v>377369.4</v>
      </c>
      <c r="Q33" s="444">
        <v>377369.4</v>
      </c>
      <c r="R33" s="444">
        <v>0</v>
      </c>
      <c r="S33" s="453">
        <v>0</v>
      </c>
      <c r="T33" s="411">
        <f>M33/(N33+F33)</f>
        <v>1.0057353541516716</v>
      </c>
      <c r="U33" s="411">
        <f>Q33/F33</f>
        <v>1</v>
      </c>
      <c r="V33" s="444">
        <v>21223.599999999999</v>
      </c>
      <c r="W33" s="444">
        <v>29</v>
      </c>
      <c r="X33" s="444">
        <v>24378.3</v>
      </c>
      <c r="Y33" s="444">
        <v>10</v>
      </c>
      <c r="Z33" s="444">
        <v>3154.4</v>
      </c>
      <c r="AA33" s="444">
        <v>28</v>
      </c>
      <c r="AB33" s="444">
        <v>21223.599999999999</v>
      </c>
      <c r="AC33" s="444">
        <v>21223.599999999999</v>
      </c>
      <c r="AD33" s="444">
        <v>0</v>
      </c>
      <c r="AE33" s="444">
        <v>0</v>
      </c>
      <c r="AF33" s="444">
        <v>21223.599999999999</v>
      </c>
      <c r="AG33" s="444">
        <v>21223.599999999999</v>
      </c>
      <c r="AH33" s="444">
        <v>0</v>
      </c>
      <c r="AI33" s="454">
        <v>0</v>
      </c>
      <c r="AJ33" s="412">
        <f>AC33/(AD33+V33)</f>
        <v>1</v>
      </c>
      <c r="AK33" s="413">
        <f>AG33/V33</f>
        <v>1</v>
      </c>
      <c r="AL33" s="455"/>
      <c r="AM33" s="455"/>
      <c r="AN33" s="455"/>
      <c r="AO33" s="455"/>
      <c r="AP33" s="455"/>
      <c r="AQ33" s="455"/>
      <c r="AR33" s="455"/>
      <c r="AS33" s="455"/>
      <c r="AT33" s="455"/>
      <c r="AU33" s="455"/>
      <c r="AV33" s="455"/>
      <c r="AW33" s="455"/>
      <c r="AX33" s="455"/>
      <c r="AY33" s="455"/>
      <c r="AZ33" s="455"/>
      <c r="BA33" s="455"/>
      <c r="BB33" s="455"/>
      <c r="BC33" s="455"/>
      <c r="BD33" s="455"/>
      <c r="BE33" s="455"/>
      <c r="BF33" s="455"/>
      <c r="BG33" s="455"/>
      <c r="BH33" s="455"/>
      <c r="BI33" s="455"/>
      <c r="BJ33" s="455"/>
      <c r="BK33" s="455"/>
      <c r="BL33" s="455"/>
      <c r="BM33" s="455"/>
      <c r="BN33" s="455"/>
      <c r="BO33" s="455"/>
      <c r="BP33" s="455"/>
      <c r="BQ33" s="455"/>
      <c r="BR33" s="455"/>
      <c r="BS33" s="455"/>
      <c r="BT33" s="455"/>
      <c r="BU33" s="455"/>
      <c r="BV33" s="455"/>
      <c r="BW33" s="455"/>
      <c r="BX33" s="455"/>
      <c r="BY33" s="455"/>
      <c r="BZ33" s="455"/>
      <c r="CA33" s="455"/>
      <c r="CB33" s="455"/>
      <c r="CC33" s="455"/>
      <c r="CD33" s="455"/>
      <c r="CE33" s="455"/>
      <c r="CF33" s="455"/>
      <c r="CG33" s="455"/>
      <c r="CH33" s="455"/>
      <c r="CI33" s="455"/>
      <c r="CJ33" s="455"/>
      <c r="CK33" s="455"/>
      <c r="CL33" s="455"/>
      <c r="CM33" s="455"/>
      <c r="CN33" s="455"/>
      <c r="CO33" s="455"/>
      <c r="CP33" s="455"/>
      <c r="CQ33" s="455"/>
      <c r="CR33" s="455"/>
      <c r="CS33" s="455"/>
      <c r="CT33" s="455"/>
      <c r="CU33" s="455"/>
      <c r="CV33" s="455"/>
      <c r="CW33" s="455"/>
      <c r="CX33" s="455"/>
      <c r="CY33" s="455"/>
      <c r="CZ33" s="455"/>
      <c r="DA33" s="455"/>
      <c r="DB33" s="455"/>
      <c r="DC33" s="455"/>
      <c r="DD33" s="455"/>
      <c r="DE33" s="455"/>
      <c r="DF33" s="455"/>
      <c r="DG33" s="455"/>
      <c r="DH33" s="455"/>
      <c r="DI33" s="455"/>
      <c r="DJ33" s="455"/>
      <c r="DK33" s="455"/>
      <c r="DL33" s="455"/>
      <c r="DM33" s="455"/>
      <c r="DN33" s="455"/>
      <c r="DO33" s="455"/>
      <c r="DP33" s="455"/>
      <c r="DQ33" s="455"/>
      <c r="DR33" s="455"/>
      <c r="DS33" s="455"/>
      <c r="DT33" s="455"/>
      <c r="DU33" s="455"/>
      <c r="DV33" s="455"/>
      <c r="DW33" s="455"/>
      <c r="DX33" s="455"/>
      <c r="DY33" s="455"/>
      <c r="DZ33" s="455"/>
      <c r="EA33" s="455"/>
      <c r="EB33" s="455"/>
      <c r="EC33" s="455"/>
      <c r="ED33" s="455"/>
      <c r="EE33" s="455"/>
      <c r="EF33" s="455"/>
      <c r="EG33" s="455"/>
      <c r="EH33" s="455"/>
      <c r="EI33" s="455"/>
      <c r="EJ33" s="455"/>
      <c r="EK33" s="455"/>
      <c r="EL33" s="455"/>
      <c r="EM33" s="455"/>
      <c r="EN33" s="455"/>
      <c r="EO33" s="455"/>
      <c r="EP33" s="455"/>
      <c r="EQ33" s="455"/>
      <c r="ER33" s="455"/>
      <c r="ES33" s="455"/>
      <c r="ET33" s="455"/>
      <c r="EU33" s="455"/>
      <c r="EV33" s="455"/>
      <c r="EW33" s="455"/>
      <c r="EX33" s="455"/>
    </row>
    <row r="34" spans="1:154" s="456" customFormat="1" ht="16.5" customHeight="1">
      <c r="A34" s="1925"/>
      <c r="B34" s="1922"/>
      <c r="C34" s="449" t="s">
        <v>1199</v>
      </c>
      <c r="D34" s="436">
        <v>553914.69999999995</v>
      </c>
      <c r="E34" s="436">
        <v>139983.9</v>
      </c>
      <c r="F34" s="436">
        <v>413930.8</v>
      </c>
      <c r="G34" s="436">
        <v>32689</v>
      </c>
      <c r="H34" s="436">
        <v>571689.1</v>
      </c>
      <c r="I34" s="436">
        <v>1220</v>
      </c>
      <c r="J34" s="436">
        <v>17774.900000000001</v>
      </c>
      <c r="K34" s="436">
        <v>32653</v>
      </c>
      <c r="L34" s="436">
        <v>553914.19999999995</v>
      </c>
      <c r="M34" s="437">
        <v>553914.19999999995</v>
      </c>
      <c r="N34" s="436">
        <v>128980.92</v>
      </c>
      <c r="O34" s="444">
        <v>11003</v>
      </c>
      <c r="P34" s="444">
        <v>413930.3</v>
      </c>
      <c r="Q34" s="444">
        <v>413930.3</v>
      </c>
      <c r="R34" s="444">
        <v>0</v>
      </c>
      <c r="S34" s="453">
        <v>0.5</v>
      </c>
      <c r="T34" s="411">
        <f>M34/(N34+F34)</f>
        <v>1.0202656888674275</v>
      </c>
      <c r="U34" s="411">
        <f>Q34/F34</f>
        <v>0.99999879206862596</v>
      </c>
      <c r="V34" s="444">
        <v>15345.3</v>
      </c>
      <c r="W34" s="444">
        <v>1076</v>
      </c>
      <c r="X34" s="444">
        <v>16699.2</v>
      </c>
      <c r="Y34" s="444">
        <v>187</v>
      </c>
      <c r="Z34" s="444">
        <v>1914.7</v>
      </c>
      <c r="AA34" s="444">
        <v>1072</v>
      </c>
      <c r="AB34" s="444">
        <v>14784.5</v>
      </c>
      <c r="AC34" s="444">
        <v>14784.5</v>
      </c>
      <c r="AD34" s="444">
        <v>0</v>
      </c>
      <c r="AE34" s="444">
        <v>0</v>
      </c>
      <c r="AF34" s="444">
        <v>14784.5</v>
      </c>
      <c r="AG34" s="444">
        <v>15344.8</v>
      </c>
      <c r="AH34" s="444">
        <v>-560.29999999999995</v>
      </c>
      <c r="AI34" s="454">
        <v>0.5</v>
      </c>
      <c r="AJ34" s="412">
        <f>AC34/(AD34+V34)</f>
        <v>0.96345460825138651</v>
      </c>
      <c r="AK34" s="413">
        <f>AG34/V34</f>
        <v>0.99996741673346234</v>
      </c>
      <c r="AL34" s="455"/>
      <c r="AM34" s="455"/>
      <c r="AN34" s="455"/>
      <c r="AO34" s="455"/>
      <c r="AP34" s="455"/>
      <c r="AQ34" s="455"/>
      <c r="AR34" s="455"/>
      <c r="AS34" s="455"/>
      <c r="AT34" s="455"/>
      <c r="AU34" s="455"/>
      <c r="AV34" s="455"/>
      <c r="AW34" s="455"/>
      <c r="AX34" s="455"/>
      <c r="AY34" s="455"/>
      <c r="AZ34" s="455"/>
      <c r="BA34" s="455"/>
      <c r="BB34" s="455"/>
      <c r="BC34" s="455"/>
      <c r="BD34" s="455"/>
      <c r="BE34" s="455"/>
      <c r="BF34" s="455"/>
      <c r="BG34" s="455"/>
      <c r="BH34" s="455"/>
      <c r="BI34" s="455"/>
      <c r="BJ34" s="455"/>
      <c r="BK34" s="455"/>
      <c r="BL34" s="455"/>
      <c r="BM34" s="455"/>
      <c r="BN34" s="455"/>
      <c r="BO34" s="455"/>
      <c r="BP34" s="455"/>
      <c r="BQ34" s="455"/>
      <c r="BR34" s="455"/>
      <c r="BS34" s="455"/>
      <c r="BT34" s="455"/>
      <c r="BU34" s="455"/>
      <c r="BV34" s="455"/>
      <c r="BW34" s="455"/>
      <c r="BX34" s="455"/>
      <c r="BY34" s="455"/>
      <c r="BZ34" s="455"/>
      <c r="CA34" s="455"/>
      <c r="CB34" s="455"/>
      <c r="CC34" s="455"/>
      <c r="CD34" s="455"/>
      <c r="CE34" s="455"/>
      <c r="CF34" s="455"/>
      <c r="CG34" s="455"/>
      <c r="CH34" s="455"/>
      <c r="CI34" s="455"/>
      <c r="CJ34" s="455"/>
      <c r="CK34" s="455"/>
      <c r="CL34" s="455"/>
      <c r="CM34" s="455"/>
      <c r="CN34" s="455"/>
      <c r="CO34" s="455"/>
      <c r="CP34" s="455"/>
      <c r="CQ34" s="455"/>
      <c r="CR34" s="455"/>
      <c r="CS34" s="455"/>
      <c r="CT34" s="455"/>
      <c r="CU34" s="455"/>
      <c r="CV34" s="455"/>
      <c r="CW34" s="455"/>
      <c r="CX34" s="455"/>
      <c r="CY34" s="455"/>
      <c r="CZ34" s="455"/>
      <c r="DA34" s="455"/>
      <c r="DB34" s="455"/>
      <c r="DC34" s="455"/>
      <c r="DD34" s="455"/>
      <c r="DE34" s="455"/>
      <c r="DF34" s="455"/>
      <c r="DG34" s="455"/>
      <c r="DH34" s="455"/>
      <c r="DI34" s="455"/>
      <c r="DJ34" s="455"/>
      <c r="DK34" s="455"/>
      <c r="DL34" s="455"/>
      <c r="DM34" s="455"/>
      <c r="DN34" s="455"/>
      <c r="DO34" s="455"/>
      <c r="DP34" s="455"/>
      <c r="DQ34" s="455"/>
      <c r="DR34" s="455"/>
      <c r="DS34" s="455"/>
      <c r="DT34" s="455"/>
      <c r="DU34" s="455"/>
      <c r="DV34" s="455"/>
      <c r="DW34" s="455"/>
      <c r="DX34" s="455"/>
      <c r="DY34" s="455"/>
      <c r="DZ34" s="455"/>
      <c r="EA34" s="455"/>
      <c r="EB34" s="455"/>
      <c r="EC34" s="455"/>
      <c r="ED34" s="455"/>
      <c r="EE34" s="455"/>
      <c r="EF34" s="455"/>
      <c r="EG34" s="455"/>
      <c r="EH34" s="455"/>
      <c r="EI34" s="455"/>
      <c r="EJ34" s="455"/>
      <c r="EK34" s="455"/>
      <c r="EL34" s="455"/>
      <c r="EM34" s="455"/>
      <c r="EN34" s="455"/>
      <c r="EO34" s="455"/>
      <c r="EP34" s="455"/>
      <c r="EQ34" s="455"/>
      <c r="ER34" s="455"/>
      <c r="ES34" s="455"/>
      <c r="ET34" s="455"/>
      <c r="EU34" s="455"/>
      <c r="EV34" s="455"/>
      <c r="EW34" s="455"/>
      <c r="EX34" s="455"/>
    </row>
    <row r="35" spans="1:154" s="456" customFormat="1" ht="16.5" customHeight="1">
      <c r="A35" s="1925"/>
      <c r="B35" s="1922"/>
      <c r="C35" s="449" t="s">
        <v>1203</v>
      </c>
      <c r="D35" s="436">
        <v>736.3</v>
      </c>
      <c r="E35" s="436">
        <v>0</v>
      </c>
      <c r="F35" s="436">
        <v>736.3</v>
      </c>
      <c r="G35" s="436">
        <v>44</v>
      </c>
      <c r="H35" s="436">
        <v>736.3</v>
      </c>
      <c r="I35" s="436">
        <v>0</v>
      </c>
      <c r="J35" s="436">
        <v>0</v>
      </c>
      <c r="K35" s="436">
        <v>44</v>
      </c>
      <c r="L35" s="436">
        <v>736.3</v>
      </c>
      <c r="M35" s="437">
        <v>736.3</v>
      </c>
      <c r="N35" s="436">
        <v>0</v>
      </c>
      <c r="O35" s="444">
        <v>0</v>
      </c>
      <c r="P35" s="444">
        <v>736.3</v>
      </c>
      <c r="Q35" s="444">
        <v>736.3</v>
      </c>
      <c r="R35" s="444">
        <v>0</v>
      </c>
      <c r="S35" s="453">
        <v>0</v>
      </c>
      <c r="T35" s="411">
        <f>M35/(N35+F35)</f>
        <v>1</v>
      </c>
      <c r="U35" s="411">
        <f>Q35/F35</f>
        <v>1</v>
      </c>
      <c r="V35" s="444">
        <v>122.7</v>
      </c>
      <c r="W35" s="444">
        <v>5</v>
      </c>
      <c r="X35" s="444">
        <v>122.7</v>
      </c>
      <c r="Y35" s="444">
        <v>0</v>
      </c>
      <c r="Z35" s="444">
        <v>0</v>
      </c>
      <c r="AA35" s="444">
        <v>5</v>
      </c>
      <c r="AB35" s="444">
        <v>122.7</v>
      </c>
      <c r="AC35" s="444">
        <v>122.7</v>
      </c>
      <c r="AD35" s="444">
        <v>0</v>
      </c>
      <c r="AE35" s="444">
        <v>0</v>
      </c>
      <c r="AF35" s="444">
        <v>122.7</v>
      </c>
      <c r="AG35" s="444">
        <v>122.7</v>
      </c>
      <c r="AH35" s="444">
        <v>0</v>
      </c>
      <c r="AI35" s="454">
        <v>0</v>
      </c>
      <c r="AJ35" s="412"/>
      <c r="AK35" s="413"/>
      <c r="AL35" s="455"/>
      <c r="AM35" s="455"/>
      <c r="AN35" s="455"/>
      <c r="AO35" s="455"/>
      <c r="AP35" s="455"/>
      <c r="AQ35" s="455"/>
      <c r="AR35" s="455"/>
      <c r="AS35" s="455"/>
      <c r="AT35" s="455"/>
      <c r="AU35" s="455"/>
      <c r="AV35" s="455"/>
      <c r="AW35" s="455"/>
      <c r="AX35" s="455"/>
      <c r="AY35" s="455"/>
      <c r="AZ35" s="455"/>
      <c r="BA35" s="455"/>
      <c r="BB35" s="455"/>
      <c r="BC35" s="455"/>
      <c r="BD35" s="455"/>
      <c r="BE35" s="455"/>
      <c r="BF35" s="455"/>
      <c r="BG35" s="455"/>
      <c r="BH35" s="455"/>
      <c r="BI35" s="455"/>
      <c r="BJ35" s="455"/>
      <c r="BK35" s="455"/>
      <c r="BL35" s="455"/>
      <c r="BM35" s="455"/>
      <c r="BN35" s="455"/>
      <c r="BO35" s="455"/>
      <c r="BP35" s="455"/>
      <c r="BQ35" s="455"/>
      <c r="BR35" s="455"/>
      <c r="BS35" s="455"/>
      <c r="BT35" s="455"/>
      <c r="BU35" s="455"/>
      <c r="BV35" s="455"/>
      <c r="BW35" s="455"/>
      <c r="BX35" s="455"/>
      <c r="BY35" s="455"/>
      <c r="BZ35" s="455"/>
      <c r="CA35" s="455"/>
      <c r="CB35" s="455"/>
      <c r="CC35" s="455"/>
      <c r="CD35" s="455"/>
      <c r="CE35" s="455"/>
      <c r="CF35" s="455"/>
      <c r="CG35" s="455"/>
      <c r="CH35" s="455"/>
      <c r="CI35" s="455"/>
      <c r="CJ35" s="455"/>
      <c r="CK35" s="455"/>
      <c r="CL35" s="455"/>
      <c r="CM35" s="455"/>
      <c r="CN35" s="455"/>
      <c r="CO35" s="455"/>
      <c r="CP35" s="455"/>
      <c r="CQ35" s="455"/>
      <c r="CR35" s="455"/>
      <c r="CS35" s="455"/>
      <c r="CT35" s="455"/>
      <c r="CU35" s="455"/>
      <c r="CV35" s="455"/>
      <c r="CW35" s="455"/>
      <c r="CX35" s="455"/>
      <c r="CY35" s="455"/>
      <c r="CZ35" s="455"/>
      <c r="DA35" s="455"/>
      <c r="DB35" s="455"/>
      <c r="DC35" s="455"/>
      <c r="DD35" s="455"/>
      <c r="DE35" s="455"/>
      <c r="DF35" s="455"/>
      <c r="DG35" s="455"/>
      <c r="DH35" s="455"/>
      <c r="DI35" s="455"/>
      <c r="DJ35" s="455"/>
      <c r="DK35" s="455"/>
      <c r="DL35" s="455"/>
      <c r="DM35" s="455"/>
      <c r="DN35" s="455"/>
      <c r="DO35" s="455"/>
      <c r="DP35" s="455"/>
      <c r="DQ35" s="455"/>
      <c r="DR35" s="455"/>
      <c r="DS35" s="455"/>
      <c r="DT35" s="455"/>
      <c r="DU35" s="455"/>
      <c r="DV35" s="455"/>
      <c r="DW35" s="455"/>
      <c r="DX35" s="455"/>
      <c r="DY35" s="455"/>
      <c r="DZ35" s="455"/>
      <c r="EA35" s="455"/>
      <c r="EB35" s="455"/>
      <c r="EC35" s="455"/>
      <c r="ED35" s="455"/>
      <c r="EE35" s="455"/>
      <c r="EF35" s="455"/>
      <c r="EG35" s="455"/>
      <c r="EH35" s="455"/>
      <c r="EI35" s="455"/>
      <c r="EJ35" s="455"/>
      <c r="EK35" s="455"/>
      <c r="EL35" s="455"/>
      <c r="EM35" s="455"/>
      <c r="EN35" s="455"/>
      <c r="EO35" s="455"/>
      <c r="EP35" s="455"/>
      <c r="EQ35" s="455"/>
      <c r="ER35" s="455"/>
      <c r="ES35" s="455"/>
      <c r="ET35" s="455"/>
      <c r="EU35" s="455"/>
      <c r="EV35" s="455"/>
      <c r="EW35" s="455"/>
      <c r="EX35" s="455"/>
    </row>
    <row r="36" spans="1:154" s="461" customFormat="1" ht="16.5" customHeight="1">
      <c r="A36" s="1923">
        <v>5</v>
      </c>
      <c r="B36" s="1924" t="s">
        <v>1205</v>
      </c>
      <c r="C36" s="457" t="s">
        <v>1206</v>
      </c>
      <c r="D36" s="408">
        <f t="shared" ref="D36:S36" si="28">D37+D38+D39+D40+D41</f>
        <v>16411685.200000003</v>
      </c>
      <c r="E36" s="442">
        <f t="shared" si="28"/>
        <v>4450956.5640000002</v>
      </c>
      <c r="F36" s="408">
        <f t="shared" si="28"/>
        <v>11960728.636000002</v>
      </c>
      <c r="G36" s="442">
        <f t="shared" si="28"/>
        <v>325524</v>
      </c>
      <c r="H36" s="408">
        <f t="shared" si="28"/>
        <v>17016200.684000004</v>
      </c>
      <c r="I36" s="442">
        <f t="shared" si="28"/>
        <v>2364</v>
      </c>
      <c r="J36" s="408">
        <f t="shared" si="28"/>
        <v>579603.33599999989</v>
      </c>
      <c r="K36" s="442">
        <f t="shared" si="28"/>
        <v>323160</v>
      </c>
      <c r="L36" s="408">
        <f t="shared" si="28"/>
        <v>16411685.200000003</v>
      </c>
      <c r="M36" s="443">
        <f t="shared" si="28"/>
        <v>16411685.200000003</v>
      </c>
      <c r="N36" s="408">
        <f t="shared" si="28"/>
        <v>4450956.5640000002</v>
      </c>
      <c r="O36" s="458">
        <f t="shared" si="28"/>
        <v>0</v>
      </c>
      <c r="P36" s="458">
        <f t="shared" si="28"/>
        <v>11960728.636000002</v>
      </c>
      <c r="Q36" s="458">
        <f t="shared" si="28"/>
        <v>11960728.636000002</v>
      </c>
      <c r="R36" s="458">
        <f t="shared" si="28"/>
        <v>0</v>
      </c>
      <c r="S36" s="459">
        <f t="shared" si="28"/>
        <v>0</v>
      </c>
      <c r="T36" s="411">
        <f t="shared" si="4"/>
        <v>1</v>
      </c>
      <c r="U36" s="411">
        <f t="shared" si="5"/>
        <v>1</v>
      </c>
      <c r="V36" s="458">
        <f t="shared" ref="V36:AI36" si="29">V37+V38+V39+V40+V41</f>
        <v>574444.31900000025</v>
      </c>
      <c r="W36" s="458">
        <f t="shared" si="29"/>
        <v>9896</v>
      </c>
      <c r="X36" s="458">
        <f t="shared" si="29"/>
        <v>588269.43000000005</v>
      </c>
      <c r="Y36" s="458">
        <f t="shared" si="29"/>
        <v>18</v>
      </c>
      <c r="Z36" s="458">
        <f t="shared" si="29"/>
        <v>2848.6149999999993</v>
      </c>
      <c r="AA36" s="458">
        <f t="shared" si="29"/>
        <v>9878</v>
      </c>
      <c r="AB36" s="458">
        <f t="shared" si="29"/>
        <v>573203.57100000023</v>
      </c>
      <c r="AC36" s="458">
        <f t="shared" si="29"/>
        <v>573203.57100000023</v>
      </c>
      <c r="AD36" s="458">
        <f t="shared" si="29"/>
        <v>0</v>
      </c>
      <c r="AE36" s="458">
        <f t="shared" si="29"/>
        <v>0</v>
      </c>
      <c r="AF36" s="458">
        <f t="shared" si="29"/>
        <v>573203.57100000023</v>
      </c>
      <c r="AG36" s="458">
        <f t="shared" si="29"/>
        <v>574444.31900000025</v>
      </c>
      <c r="AH36" s="458">
        <f t="shared" si="29"/>
        <v>0</v>
      </c>
      <c r="AI36" s="458">
        <f t="shared" si="29"/>
        <v>0</v>
      </c>
      <c r="AJ36" s="412">
        <f t="shared" ref="AJ36:AJ55" si="30">AC36/(AD36+V36)</f>
        <v>0.99784009005057284</v>
      </c>
      <c r="AK36" s="413">
        <f t="shared" ref="AK36:AK55" si="31">AG36/V36</f>
        <v>1</v>
      </c>
      <c r="AL36" s="460"/>
      <c r="AM36" s="460"/>
      <c r="AN36" s="460"/>
      <c r="AO36" s="460"/>
      <c r="AP36" s="460"/>
      <c r="AQ36" s="460"/>
      <c r="AR36" s="460"/>
      <c r="AS36" s="460"/>
      <c r="AT36" s="460"/>
      <c r="AU36" s="460"/>
      <c r="AV36" s="460"/>
      <c r="AW36" s="460"/>
      <c r="AX36" s="460"/>
      <c r="AY36" s="460"/>
      <c r="AZ36" s="460"/>
      <c r="BA36" s="460"/>
      <c r="BB36" s="460"/>
      <c r="BC36" s="460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0"/>
      <c r="BY36" s="460"/>
      <c r="BZ36" s="460"/>
      <c r="CA36" s="460"/>
      <c r="CB36" s="460"/>
      <c r="CC36" s="460"/>
      <c r="CD36" s="460"/>
      <c r="CE36" s="460"/>
      <c r="CF36" s="460"/>
      <c r="CG36" s="460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0"/>
      <c r="DH36" s="460"/>
      <c r="DI36" s="460"/>
      <c r="DJ36" s="460"/>
      <c r="DK36" s="460"/>
      <c r="DL36" s="460"/>
      <c r="DM36" s="460"/>
      <c r="DN36" s="460"/>
      <c r="DO36" s="460"/>
      <c r="DP36" s="460"/>
      <c r="DQ36" s="460"/>
      <c r="DR36" s="460"/>
      <c r="DS36" s="460"/>
      <c r="DT36" s="460"/>
      <c r="DU36" s="460"/>
      <c r="DV36" s="460"/>
      <c r="DW36" s="460"/>
      <c r="DX36" s="460"/>
      <c r="DY36" s="460"/>
      <c r="DZ36" s="460"/>
      <c r="EA36" s="460"/>
      <c r="EB36" s="460"/>
      <c r="EC36" s="460"/>
      <c r="ED36" s="460"/>
      <c r="EE36" s="460"/>
      <c r="EF36" s="460"/>
      <c r="EG36" s="460"/>
      <c r="EH36" s="460"/>
      <c r="EI36" s="460"/>
      <c r="EJ36" s="460"/>
      <c r="EK36" s="460"/>
      <c r="EL36" s="460"/>
      <c r="EM36" s="460"/>
      <c r="EN36" s="460"/>
      <c r="EO36" s="460"/>
      <c r="EP36" s="460"/>
      <c r="EQ36" s="460"/>
      <c r="ER36" s="460"/>
      <c r="ES36" s="460"/>
      <c r="ET36" s="460"/>
      <c r="EU36" s="460"/>
      <c r="EV36" s="460"/>
      <c r="EW36" s="460"/>
      <c r="EX36" s="460"/>
    </row>
    <row r="37" spans="1:154" s="466" customFormat="1" ht="16.5" customHeight="1">
      <c r="A37" s="1923"/>
      <c r="B37" s="1924"/>
      <c r="C37" s="462" t="s">
        <v>1197</v>
      </c>
      <c r="D37" s="408">
        <v>13693048.328000002</v>
      </c>
      <c r="E37" s="423">
        <v>3965129.0529999998</v>
      </c>
      <c r="F37" s="408">
        <v>9727919.2750000004</v>
      </c>
      <c r="G37" s="423">
        <v>191114</v>
      </c>
      <c r="H37" s="408">
        <v>14139246.634000005</v>
      </c>
      <c r="I37" s="423">
        <v>697</v>
      </c>
      <c r="J37" s="408">
        <v>443732.71999999991</v>
      </c>
      <c r="K37" s="423">
        <v>190417</v>
      </c>
      <c r="L37" s="408">
        <v>13693048.328000002</v>
      </c>
      <c r="M37" s="424">
        <v>13693048.328000002</v>
      </c>
      <c r="N37" s="408">
        <v>3965129.0529999998</v>
      </c>
      <c r="O37" s="463">
        <v>0</v>
      </c>
      <c r="P37" s="463">
        <v>9727919.2750000004</v>
      </c>
      <c r="Q37" s="463">
        <v>9727919.2750000004</v>
      </c>
      <c r="R37" s="463">
        <v>0</v>
      </c>
      <c r="S37" s="453">
        <v>0</v>
      </c>
      <c r="T37" s="411">
        <f t="shared" si="4"/>
        <v>1.0000000000000002</v>
      </c>
      <c r="U37" s="411">
        <f t="shared" si="5"/>
        <v>1</v>
      </c>
      <c r="V37" s="463">
        <v>462705.44300000032</v>
      </c>
      <c r="W37" s="463">
        <v>6060</v>
      </c>
      <c r="X37" s="463">
        <v>472745.65</v>
      </c>
      <c r="Y37" s="463">
        <v>-10</v>
      </c>
      <c r="Z37" s="463">
        <v>4312.0679999999993</v>
      </c>
      <c r="AA37" s="463">
        <v>6070</v>
      </c>
      <c r="AB37" s="463">
        <v>462705.44300000032</v>
      </c>
      <c r="AC37" s="463">
        <v>462705.44300000032</v>
      </c>
      <c r="AD37" s="463">
        <v>0</v>
      </c>
      <c r="AE37" s="463">
        <v>0</v>
      </c>
      <c r="AF37" s="463">
        <v>462705.44300000032</v>
      </c>
      <c r="AG37" s="463">
        <v>462705.44300000032</v>
      </c>
      <c r="AH37" s="464">
        <v>0</v>
      </c>
      <c r="AI37" s="458">
        <v>0</v>
      </c>
      <c r="AJ37" s="412">
        <f t="shared" si="30"/>
        <v>1</v>
      </c>
      <c r="AK37" s="413">
        <f t="shared" si="31"/>
        <v>1</v>
      </c>
      <c r="AL37" s="465"/>
      <c r="AM37" s="465"/>
      <c r="AN37" s="465"/>
      <c r="AO37" s="465"/>
      <c r="AP37" s="465"/>
      <c r="AQ37" s="465"/>
      <c r="AR37" s="465"/>
      <c r="AS37" s="465"/>
      <c r="AT37" s="465"/>
      <c r="AU37" s="465"/>
      <c r="AV37" s="465"/>
      <c r="AW37" s="465"/>
      <c r="AX37" s="465"/>
      <c r="AY37" s="465"/>
      <c r="AZ37" s="465"/>
      <c r="BA37" s="465"/>
      <c r="BB37" s="465"/>
      <c r="BC37" s="465"/>
      <c r="BD37" s="465"/>
      <c r="BE37" s="465"/>
      <c r="BF37" s="465"/>
      <c r="BG37" s="465"/>
      <c r="BH37" s="465"/>
      <c r="BI37" s="465"/>
      <c r="BJ37" s="465"/>
      <c r="BK37" s="465"/>
      <c r="BL37" s="465"/>
      <c r="BM37" s="465"/>
      <c r="BN37" s="465"/>
      <c r="BO37" s="465"/>
      <c r="BP37" s="465"/>
      <c r="BQ37" s="465"/>
      <c r="BR37" s="465"/>
      <c r="BS37" s="465"/>
      <c r="BT37" s="465"/>
      <c r="BU37" s="465"/>
      <c r="BV37" s="465"/>
      <c r="BW37" s="465"/>
      <c r="BX37" s="465"/>
      <c r="BY37" s="465"/>
      <c r="BZ37" s="465"/>
      <c r="CA37" s="465"/>
      <c r="CB37" s="465"/>
      <c r="CC37" s="465"/>
      <c r="CD37" s="465"/>
      <c r="CE37" s="465"/>
      <c r="CF37" s="465"/>
      <c r="CG37" s="465"/>
      <c r="CH37" s="465"/>
      <c r="CI37" s="465"/>
      <c r="CJ37" s="465"/>
      <c r="CK37" s="465"/>
      <c r="CL37" s="465"/>
      <c r="CM37" s="465"/>
      <c r="CN37" s="465"/>
      <c r="CO37" s="465"/>
      <c r="CP37" s="465"/>
      <c r="CQ37" s="465"/>
      <c r="CR37" s="465"/>
      <c r="CS37" s="465"/>
      <c r="CT37" s="465"/>
      <c r="CU37" s="465"/>
      <c r="CV37" s="465"/>
      <c r="CW37" s="465"/>
      <c r="CX37" s="465"/>
      <c r="CY37" s="465"/>
      <c r="CZ37" s="465"/>
      <c r="DA37" s="465"/>
      <c r="DB37" s="465"/>
      <c r="DC37" s="465"/>
      <c r="DD37" s="465"/>
      <c r="DE37" s="465"/>
      <c r="DF37" s="465"/>
      <c r="DG37" s="465"/>
      <c r="DH37" s="465"/>
      <c r="DI37" s="465"/>
      <c r="DJ37" s="465"/>
      <c r="DK37" s="465"/>
      <c r="DL37" s="465"/>
      <c r="DM37" s="465"/>
      <c r="DN37" s="465"/>
      <c r="DO37" s="465"/>
      <c r="DP37" s="465"/>
      <c r="DQ37" s="465"/>
      <c r="DR37" s="465"/>
      <c r="DS37" s="465"/>
      <c r="DT37" s="465"/>
      <c r="DU37" s="465"/>
      <c r="DV37" s="465"/>
      <c r="DW37" s="465"/>
      <c r="DX37" s="465"/>
      <c r="DY37" s="465"/>
      <c r="DZ37" s="465"/>
      <c r="EA37" s="465"/>
      <c r="EB37" s="465"/>
      <c r="EC37" s="465"/>
      <c r="ED37" s="465"/>
      <c r="EE37" s="465"/>
      <c r="EF37" s="465"/>
      <c r="EG37" s="465"/>
      <c r="EH37" s="465"/>
      <c r="EI37" s="465"/>
      <c r="EJ37" s="465"/>
      <c r="EK37" s="465"/>
      <c r="EL37" s="465"/>
      <c r="EM37" s="465"/>
      <c r="EN37" s="465"/>
      <c r="EO37" s="465"/>
      <c r="EP37" s="465"/>
      <c r="EQ37" s="465"/>
      <c r="ER37" s="465"/>
      <c r="ES37" s="465"/>
      <c r="ET37" s="465"/>
      <c r="EU37" s="465"/>
      <c r="EV37" s="465"/>
      <c r="EW37" s="465"/>
      <c r="EX37" s="465"/>
    </row>
    <row r="38" spans="1:154" s="466" customFormat="1" ht="16.5" customHeight="1">
      <c r="A38" s="1923"/>
      <c r="B38" s="1924"/>
      <c r="C38" s="462" t="s">
        <v>1198</v>
      </c>
      <c r="D38" s="408">
        <v>1196367.618</v>
      </c>
      <c r="E38" s="428">
        <v>112800</v>
      </c>
      <c r="F38" s="408">
        <v>1083567.618</v>
      </c>
      <c r="G38" s="428">
        <v>1972</v>
      </c>
      <c r="H38" s="408">
        <v>1296254.5290000001</v>
      </c>
      <c r="I38" s="428">
        <v>332</v>
      </c>
      <c r="J38" s="408">
        <v>97626.900000000009</v>
      </c>
      <c r="K38" s="428">
        <v>1640</v>
      </c>
      <c r="L38" s="408">
        <v>1196367.618</v>
      </c>
      <c r="M38" s="429">
        <v>1196367.618</v>
      </c>
      <c r="N38" s="408">
        <v>112800</v>
      </c>
      <c r="O38" s="463">
        <v>0</v>
      </c>
      <c r="P38" s="463">
        <v>1083567.618</v>
      </c>
      <c r="Q38" s="463">
        <v>1083567.618</v>
      </c>
      <c r="R38" s="463">
        <v>0</v>
      </c>
      <c r="S38" s="453">
        <v>0</v>
      </c>
      <c r="T38" s="411">
        <f t="shared" si="4"/>
        <v>1</v>
      </c>
      <c r="U38" s="411">
        <f t="shared" si="5"/>
        <v>1</v>
      </c>
      <c r="V38" s="463">
        <v>45769.55699999995</v>
      </c>
      <c r="W38" s="463">
        <v>62</v>
      </c>
      <c r="X38" s="463">
        <v>44703.759000000005</v>
      </c>
      <c r="Y38" s="463">
        <v>-3</v>
      </c>
      <c r="Z38" s="463">
        <v>-2458.08</v>
      </c>
      <c r="AA38" s="463">
        <v>65</v>
      </c>
      <c r="AB38" s="463">
        <v>45769.55699999995</v>
      </c>
      <c r="AC38" s="463">
        <v>45769.55699999995</v>
      </c>
      <c r="AD38" s="463">
        <v>0</v>
      </c>
      <c r="AE38" s="463">
        <v>0</v>
      </c>
      <c r="AF38" s="463">
        <v>45769.55699999995</v>
      </c>
      <c r="AG38" s="463">
        <v>45769.55699999995</v>
      </c>
      <c r="AH38" s="464">
        <v>0</v>
      </c>
      <c r="AI38" s="458">
        <v>0</v>
      </c>
      <c r="AJ38" s="412">
        <f t="shared" si="30"/>
        <v>1</v>
      </c>
      <c r="AK38" s="413">
        <f t="shared" si="31"/>
        <v>1</v>
      </c>
      <c r="AL38" s="465"/>
      <c r="AM38" s="465"/>
      <c r="AN38" s="465"/>
      <c r="AO38" s="465"/>
      <c r="AP38" s="465"/>
      <c r="AQ38" s="465"/>
      <c r="AR38" s="465"/>
      <c r="AS38" s="465"/>
      <c r="AT38" s="465"/>
      <c r="AU38" s="465"/>
      <c r="AV38" s="465"/>
      <c r="AW38" s="465"/>
      <c r="AX38" s="465"/>
      <c r="AY38" s="465"/>
      <c r="AZ38" s="465"/>
      <c r="BA38" s="465"/>
      <c r="BB38" s="465"/>
      <c r="BC38" s="465"/>
      <c r="BD38" s="465"/>
      <c r="BE38" s="465"/>
      <c r="BF38" s="465"/>
      <c r="BG38" s="465"/>
      <c r="BH38" s="465"/>
      <c r="BI38" s="465"/>
      <c r="BJ38" s="465"/>
      <c r="BK38" s="465"/>
      <c r="BL38" s="465"/>
      <c r="BM38" s="465"/>
      <c r="BN38" s="465"/>
      <c r="BO38" s="465"/>
      <c r="BP38" s="465"/>
      <c r="BQ38" s="465"/>
      <c r="BR38" s="465"/>
      <c r="BS38" s="465"/>
      <c r="BT38" s="465"/>
      <c r="BU38" s="465"/>
      <c r="BV38" s="465"/>
      <c r="BW38" s="465"/>
      <c r="BX38" s="465"/>
      <c r="BY38" s="465"/>
      <c r="BZ38" s="465"/>
      <c r="CA38" s="465"/>
      <c r="CB38" s="465"/>
      <c r="CC38" s="465"/>
      <c r="CD38" s="465"/>
      <c r="CE38" s="465"/>
      <c r="CF38" s="465"/>
      <c r="CG38" s="465"/>
      <c r="CH38" s="465"/>
      <c r="CI38" s="465"/>
      <c r="CJ38" s="465"/>
      <c r="CK38" s="465"/>
      <c r="CL38" s="465"/>
      <c r="CM38" s="465"/>
      <c r="CN38" s="465"/>
      <c r="CO38" s="465"/>
      <c r="CP38" s="465"/>
      <c r="CQ38" s="465"/>
      <c r="CR38" s="465"/>
      <c r="CS38" s="465"/>
      <c r="CT38" s="465"/>
      <c r="CU38" s="465"/>
      <c r="CV38" s="465"/>
      <c r="CW38" s="465"/>
      <c r="CX38" s="465"/>
      <c r="CY38" s="465"/>
      <c r="CZ38" s="465"/>
      <c r="DA38" s="465"/>
      <c r="DB38" s="465"/>
      <c r="DC38" s="465"/>
      <c r="DD38" s="465"/>
      <c r="DE38" s="465"/>
      <c r="DF38" s="465"/>
      <c r="DG38" s="465"/>
      <c r="DH38" s="465"/>
      <c r="DI38" s="465"/>
      <c r="DJ38" s="465"/>
      <c r="DK38" s="465"/>
      <c r="DL38" s="465"/>
      <c r="DM38" s="465"/>
      <c r="DN38" s="465"/>
      <c r="DO38" s="465"/>
      <c r="DP38" s="465"/>
      <c r="DQ38" s="465"/>
      <c r="DR38" s="465"/>
      <c r="DS38" s="465"/>
      <c r="DT38" s="465"/>
      <c r="DU38" s="465"/>
      <c r="DV38" s="465"/>
      <c r="DW38" s="465"/>
      <c r="DX38" s="465"/>
      <c r="DY38" s="465"/>
      <c r="DZ38" s="465"/>
      <c r="EA38" s="465"/>
      <c r="EB38" s="465"/>
      <c r="EC38" s="465"/>
      <c r="ED38" s="465"/>
      <c r="EE38" s="465"/>
      <c r="EF38" s="465"/>
      <c r="EG38" s="465"/>
      <c r="EH38" s="465"/>
      <c r="EI38" s="465"/>
      <c r="EJ38" s="465"/>
      <c r="EK38" s="465"/>
      <c r="EL38" s="465"/>
      <c r="EM38" s="465"/>
      <c r="EN38" s="465"/>
      <c r="EO38" s="465"/>
      <c r="EP38" s="465"/>
      <c r="EQ38" s="465"/>
      <c r="ER38" s="465"/>
      <c r="ES38" s="465"/>
      <c r="ET38" s="465"/>
      <c r="EU38" s="465"/>
      <c r="EV38" s="465"/>
      <c r="EW38" s="465"/>
      <c r="EX38" s="465"/>
    </row>
    <row r="39" spans="1:154" s="466" customFormat="1" ht="16.5" customHeight="1">
      <c r="A39" s="1923"/>
      <c r="B39" s="1924"/>
      <c r="C39" s="462" t="s">
        <v>1199</v>
      </c>
      <c r="D39" s="408">
        <v>1451144.2780000002</v>
      </c>
      <c r="E39" s="428">
        <v>356730.011</v>
      </c>
      <c r="F39" s="408">
        <v>1094414.2670000005</v>
      </c>
      <c r="G39" s="428">
        <v>75520</v>
      </c>
      <c r="H39" s="408">
        <v>1503544.8210000002</v>
      </c>
      <c r="I39" s="428">
        <v>1335</v>
      </c>
      <c r="J39" s="408">
        <v>38243.715999999986</v>
      </c>
      <c r="K39" s="428">
        <v>74185</v>
      </c>
      <c r="L39" s="408">
        <v>1451144.2780000002</v>
      </c>
      <c r="M39" s="429">
        <v>1451144.2780000002</v>
      </c>
      <c r="N39" s="408">
        <v>356730.011</v>
      </c>
      <c r="O39" s="463">
        <v>0</v>
      </c>
      <c r="P39" s="463">
        <v>1094414.2670000005</v>
      </c>
      <c r="Q39" s="463">
        <v>1094414.2670000005</v>
      </c>
      <c r="R39" s="463">
        <v>0</v>
      </c>
      <c r="S39" s="453">
        <v>0</v>
      </c>
      <c r="T39" s="411">
        <f t="shared" si="4"/>
        <v>0.99999999999999989</v>
      </c>
      <c r="U39" s="411">
        <f t="shared" si="5"/>
        <v>1</v>
      </c>
      <c r="V39" s="463">
        <v>64648.281000000017</v>
      </c>
      <c r="W39" s="463">
        <v>3162</v>
      </c>
      <c r="X39" s="463">
        <v>68327.47000000003</v>
      </c>
      <c r="Y39" s="463">
        <v>31</v>
      </c>
      <c r="Z39" s="463">
        <v>994.62699999999995</v>
      </c>
      <c r="AA39" s="463">
        <v>3131</v>
      </c>
      <c r="AB39" s="463">
        <v>64648.281000000017</v>
      </c>
      <c r="AC39" s="463">
        <v>64648.281000000017</v>
      </c>
      <c r="AD39" s="463">
        <v>0</v>
      </c>
      <c r="AE39" s="463">
        <v>0</v>
      </c>
      <c r="AF39" s="463">
        <v>64648.281000000017</v>
      </c>
      <c r="AG39" s="463">
        <v>64648.281000000017</v>
      </c>
      <c r="AH39" s="464">
        <v>0</v>
      </c>
      <c r="AI39" s="458">
        <v>0</v>
      </c>
      <c r="AJ39" s="412">
        <f t="shared" si="30"/>
        <v>1</v>
      </c>
      <c r="AK39" s="413">
        <f t="shared" si="31"/>
        <v>1</v>
      </c>
      <c r="AL39" s="465"/>
      <c r="AM39" s="465"/>
      <c r="AN39" s="465"/>
      <c r="AO39" s="465"/>
      <c r="AP39" s="465"/>
      <c r="AQ39" s="465"/>
      <c r="AR39" s="465"/>
      <c r="AS39" s="465"/>
      <c r="AT39" s="465"/>
      <c r="AU39" s="465"/>
      <c r="AV39" s="465"/>
      <c r="AW39" s="465"/>
      <c r="AX39" s="465"/>
      <c r="AY39" s="465"/>
      <c r="AZ39" s="465"/>
      <c r="BA39" s="465"/>
      <c r="BB39" s="465"/>
      <c r="BC39" s="465"/>
      <c r="BD39" s="465"/>
      <c r="BE39" s="465"/>
      <c r="BF39" s="465"/>
      <c r="BG39" s="465"/>
      <c r="BH39" s="465"/>
      <c r="BI39" s="465"/>
      <c r="BJ39" s="465"/>
      <c r="BK39" s="465"/>
      <c r="BL39" s="465"/>
      <c r="BM39" s="465"/>
      <c r="BN39" s="465"/>
      <c r="BO39" s="465"/>
      <c r="BP39" s="465"/>
      <c r="BQ39" s="465"/>
      <c r="BR39" s="465"/>
      <c r="BS39" s="465"/>
      <c r="BT39" s="465"/>
      <c r="BU39" s="465"/>
      <c r="BV39" s="465"/>
      <c r="BW39" s="465"/>
      <c r="BX39" s="465"/>
      <c r="BY39" s="465"/>
      <c r="BZ39" s="465"/>
      <c r="CA39" s="465"/>
      <c r="CB39" s="465"/>
      <c r="CC39" s="465"/>
      <c r="CD39" s="465"/>
      <c r="CE39" s="465"/>
      <c r="CF39" s="465"/>
      <c r="CG39" s="465"/>
      <c r="CH39" s="465"/>
      <c r="CI39" s="465"/>
      <c r="CJ39" s="465"/>
      <c r="CK39" s="465"/>
      <c r="CL39" s="465"/>
      <c r="CM39" s="465"/>
      <c r="CN39" s="465"/>
      <c r="CO39" s="465"/>
      <c r="CP39" s="465"/>
      <c r="CQ39" s="465"/>
      <c r="CR39" s="465"/>
      <c r="CS39" s="465"/>
      <c r="CT39" s="465"/>
      <c r="CU39" s="465"/>
      <c r="CV39" s="465"/>
      <c r="CW39" s="465"/>
      <c r="CX39" s="465"/>
      <c r="CY39" s="465"/>
      <c r="CZ39" s="465"/>
      <c r="DA39" s="465"/>
      <c r="DB39" s="465"/>
      <c r="DC39" s="465"/>
      <c r="DD39" s="465"/>
      <c r="DE39" s="465"/>
      <c r="DF39" s="465"/>
      <c r="DG39" s="465"/>
      <c r="DH39" s="465"/>
      <c r="DI39" s="465"/>
      <c r="DJ39" s="465"/>
      <c r="DK39" s="465"/>
      <c r="DL39" s="465"/>
      <c r="DM39" s="465"/>
      <c r="DN39" s="465"/>
      <c r="DO39" s="465"/>
      <c r="DP39" s="465"/>
      <c r="DQ39" s="465"/>
      <c r="DR39" s="465"/>
      <c r="DS39" s="465"/>
      <c r="DT39" s="465"/>
      <c r="DU39" s="465"/>
      <c r="DV39" s="465"/>
      <c r="DW39" s="465"/>
      <c r="DX39" s="465"/>
      <c r="DY39" s="465"/>
      <c r="DZ39" s="465"/>
      <c r="EA39" s="465"/>
      <c r="EB39" s="465"/>
      <c r="EC39" s="465"/>
      <c r="ED39" s="465"/>
      <c r="EE39" s="465"/>
      <c r="EF39" s="465"/>
      <c r="EG39" s="465"/>
      <c r="EH39" s="465"/>
      <c r="EI39" s="465"/>
      <c r="EJ39" s="465"/>
      <c r="EK39" s="465"/>
      <c r="EL39" s="465"/>
      <c r="EM39" s="465"/>
      <c r="EN39" s="465"/>
      <c r="EO39" s="465"/>
      <c r="EP39" s="465"/>
      <c r="EQ39" s="465"/>
      <c r="ER39" s="465"/>
      <c r="ES39" s="465"/>
      <c r="ET39" s="465"/>
      <c r="EU39" s="465"/>
      <c r="EV39" s="465"/>
      <c r="EW39" s="465"/>
      <c r="EX39" s="465"/>
    </row>
    <row r="40" spans="1:154" s="466" customFormat="1" ht="16.5" customHeight="1">
      <c r="A40" s="1923"/>
      <c r="B40" s="1924"/>
      <c r="C40" s="462" t="s">
        <v>1200</v>
      </c>
      <c r="D40" s="408">
        <v>54325</v>
      </c>
      <c r="E40" s="428">
        <v>16297.5</v>
      </c>
      <c r="F40" s="408">
        <v>38027.5</v>
      </c>
      <c r="G40" s="428">
        <v>56918</v>
      </c>
      <c r="H40" s="408">
        <v>54325.262999999999</v>
      </c>
      <c r="I40" s="428">
        <v>0</v>
      </c>
      <c r="J40" s="408">
        <v>0</v>
      </c>
      <c r="K40" s="428">
        <v>56918</v>
      </c>
      <c r="L40" s="408">
        <v>54325</v>
      </c>
      <c r="M40" s="429">
        <v>54325</v>
      </c>
      <c r="N40" s="408">
        <v>16297.5</v>
      </c>
      <c r="O40" s="463">
        <v>0</v>
      </c>
      <c r="P40" s="463">
        <v>38027.5</v>
      </c>
      <c r="Q40" s="463">
        <v>38027.5</v>
      </c>
      <c r="R40" s="463">
        <v>0</v>
      </c>
      <c r="S40" s="453">
        <v>0</v>
      </c>
      <c r="T40" s="411">
        <f t="shared" si="4"/>
        <v>1</v>
      </c>
      <c r="U40" s="411">
        <f t="shared" si="5"/>
        <v>1</v>
      </c>
      <c r="V40" s="463">
        <v>684.18299999999726</v>
      </c>
      <c r="W40" s="463">
        <v>612</v>
      </c>
      <c r="X40" s="463">
        <v>684.44600000000003</v>
      </c>
      <c r="Y40" s="463">
        <v>0</v>
      </c>
      <c r="Z40" s="463">
        <v>0</v>
      </c>
      <c r="AA40" s="463">
        <v>612</v>
      </c>
      <c r="AB40" s="463">
        <v>684.18299999999726</v>
      </c>
      <c r="AC40" s="463">
        <v>684.18299999999726</v>
      </c>
      <c r="AD40" s="463">
        <v>0</v>
      </c>
      <c r="AE40" s="463">
        <v>0</v>
      </c>
      <c r="AF40" s="463">
        <v>684.18299999999726</v>
      </c>
      <c r="AG40" s="463">
        <v>684.18299999999726</v>
      </c>
      <c r="AH40" s="464">
        <v>0</v>
      </c>
      <c r="AI40" s="458">
        <v>0</v>
      </c>
      <c r="AJ40" s="412">
        <f t="shared" si="30"/>
        <v>1</v>
      </c>
      <c r="AK40" s="413">
        <f t="shared" si="31"/>
        <v>1</v>
      </c>
      <c r="AL40" s="465"/>
      <c r="AM40" s="465"/>
      <c r="AN40" s="465"/>
      <c r="AO40" s="465"/>
      <c r="AP40" s="465"/>
      <c r="AQ40" s="465"/>
      <c r="AR40" s="465"/>
      <c r="AS40" s="465"/>
      <c r="AT40" s="465"/>
      <c r="AU40" s="465"/>
      <c r="AV40" s="465"/>
      <c r="AW40" s="465"/>
      <c r="AX40" s="465"/>
      <c r="AY40" s="465"/>
      <c r="AZ40" s="465"/>
      <c r="BA40" s="465"/>
      <c r="BB40" s="465"/>
      <c r="BC40" s="465"/>
      <c r="BD40" s="465"/>
      <c r="BE40" s="465"/>
      <c r="BF40" s="465"/>
      <c r="BG40" s="465"/>
      <c r="BH40" s="465"/>
      <c r="BI40" s="465"/>
      <c r="BJ40" s="465"/>
      <c r="BK40" s="465"/>
      <c r="BL40" s="465"/>
      <c r="BM40" s="465"/>
      <c r="BN40" s="465"/>
      <c r="BO40" s="465"/>
      <c r="BP40" s="465"/>
      <c r="BQ40" s="465"/>
      <c r="BR40" s="465"/>
      <c r="BS40" s="465"/>
      <c r="BT40" s="465"/>
      <c r="BU40" s="465"/>
      <c r="BV40" s="465"/>
      <c r="BW40" s="465"/>
      <c r="BX40" s="465"/>
      <c r="BY40" s="465"/>
      <c r="BZ40" s="465"/>
      <c r="CA40" s="465"/>
      <c r="CB40" s="465"/>
      <c r="CC40" s="465"/>
      <c r="CD40" s="465"/>
      <c r="CE40" s="465"/>
      <c r="CF40" s="465"/>
      <c r="CG40" s="465"/>
      <c r="CH40" s="465"/>
      <c r="CI40" s="465"/>
      <c r="CJ40" s="465"/>
      <c r="CK40" s="465"/>
      <c r="CL40" s="465"/>
      <c r="CM40" s="465"/>
      <c r="CN40" s="465"/>
      <c r="CO40" s="465"/>
      <c r="CP40" s="465"/>
      <c r="CQ40" s="465"/>
      <c r="CR40" s="465"/>
      <c r="CS40" s="465"/>
      <c r="CT40" s="465"/>
      <c r="CU40" s="465"/>
      <c r="CV40" s="465"/>
      <c r="CW40" s="465"/>
      <c r="CX40" s="465"/>
      <c r="CY40" s="465"/>
      <c r="CZ40" s="465"/>
      <c r="DA40" s="465"/>
      <c r="DB40" s="465"/>
      <c r="DC40" s="465"/>
      <c r="DD40" s="465"/>
      <c r="DE40" s="465"/>
      <c r="DF40" s="465"/>
      <c r="DG40" s="465"/>
      <c r="DH40" s="465"/>
      <c r="DI40" s="465"/>
      <c r="DJ40" s="465"/>
      <c r="DK40" s="465"/>
      <c r="DL40" s="465"/>
      <c r="DM40" s="465"/>
      <c r="DN40" s="465"/>
      <c r="DO40" s="465"/>
      <c r="DP40" s="465"/>
      <c r="DQ40" s="465"/>
      <c r="DR40" s="465"/>
      <c r="DS40" s="465"/>
      <c r="DT40" s="465"/>
      <c r="DU40" s="465"/>
      <c r="DV40" s="465"/>
      <c r="DW40" s="465"/>
      <c r="DX40" s="465"/>
      <c r="DY40" s="465"/>
      <c r="DZ40" s="465"/>
      <c r="EA40" s="465"/>
      <c r="EB40" s="465"/>
      <c r="EC40" s="465"/>
      <c r="ED40" s="465"/>
      <c r="EE40" s="465"/>
      <c r="EF40" s="465"/>
      <c r="EG40" s="465"/>
      <c r="EH40" s="465"/>
      <c r="EI40" s="465"/>
      <c r="EJ40" s="465"/>
      <c r="EK40" s="465"/>
      <c r="EL40" s="465"/>
      <c r="EM40" s="465"/>
      <c r="EN40" s="465"/>
      <c r="EO40" s="465"/>
      <c r="EP40" s="465"/>
      <c r="EQ40" s="465"/>
      <c r="ER40" s="465"/>
      <c r="ES40" s="465"/>
      <c r="ET40" s="465"/>
      <c r="EU40" s="465"/>
      <c r="EV40" s="465"/>
      <c r="EW40" s="465"/>
      <c r="EX40" s="465"/>
    </row>
    <row r="41" spans="1:154" s="466" customFormat="1" ht="16.5" customHeight="1">
      <c r="A41" s="1923"/>
      <c r="B41" s="1924"/>
      <c r="C41" s="462" t="s">
        <v>1202</v>
      </c>
      <c r="D41" s="408">
        <v>16799.975999999999</v>
      </c>
      <c r="E41" s="408">
        <v>0</v>
      </c>
      <c r="F41" s="408">
        <v>16799.975999999999</v>
      </c>
      <c r="G41" s="408">
        <v>0</v>
      </c>
      <c r="H41" s="408">
        <v>22829.437000000002</v>
      </c>
      <c r="I41" s="408">
        <v>0</v>
      </c>
      <c r="J41" s="408">
        <v>0</v>
      </c>
      <c r="K41" s="408">
        <v>0</v>
      </c>
      <c r="L41" s="408">
        <v>16799.975999999999</v>
      </c>
      <c r="M41" s="409">
        <v>16799.975999999999</v>
      </c>
      <c r="N41" s="408">
        <v>0</v>
      </c>
      <c r="O41" s="463">
        <v>0</v>
      </c>
      <c r="P41" s="463">
        <v>16799.975999999999</v>
      </c>
      <c r="Q41" s="463">
        <v>16799.975999999999</v>
      </c>
      <c r="R41" s="463">
        <v>0</v>
      </c>
      <c r="S41" s="453">
        <v>0</v>
      </c>
      <c r="T41" s="411">
        <f t="shared" si="4"/>
        <v>1</v>
      </c>
      <c r="U41" s="411">
        <f t="shared" si="5"/>
        <v>1</v>
      </c>
      <c r="V41" s="463">
        <v>636.85500000000036</v>
      </c>
      <c r="W41" s="463">
        <v>0</v>
      </c>
      <c r="X41" s="463">
        <v>1808.1050000000002</v>
      </c>
      <c r="Y41" s="463">
        <v>0</v>
      </c>
      <c r="Z41" s="463">
        <v>0</v>
      </c>
      <c r="AA41" s="463">
        <v>0</v>
      </c>
      <c r="AB41" s="463">
        <v>-603.89299999999957</v>
      </c>
      <c r="AC41" s="463">
        <v>-603.89299999999957</v>
      </c>
      <c r="AD41" s="463">
        <v>0</v>
      </c>
      <c r="AE41" s="463">
        <v>0</v>
      </c>
      <c r="AF41" s="463">
        <v>-603.89299999999957</v>
      </c>
      <c r="AG41" s="463">
        <v>636.85500000000036</v>
      </c>
      <c r="AH41" s="464">
        <v>0</v>
      </c>
      <c r="AI41" s="458">
        <v>0</v>
      </c>
      <c r="AJ41" s="412">
        <f t="shared" si="30"/>
        <v>-0.94824253558502203</v>
      </c>
      <c r="AK41" s="413">
        <f t="shared" si="31"/>
        <v>1</v>
      </c>
      <c r="AL41" s="465"/>
      <c r="AM41" s="465"/>
      <c r="AN41" s="465"/>
      <c r="AO41" s="465"/>
      <c r="AP41" s="465"/>
      <c r="AQ41" s="465"/>
      <c r="AR41" s="465"/>
      <c r="AS41" s="465"/>
      <c r="AT41" s="465"/>
      <c r="AU41" s="465"/>
      <c r="AV41" s="465"/>
      <c r="AW41" s="465"/>
      <c r="AX41" s="465"/>
      <c r="AY41" s="465"/>
      <c r="AZ41" s="465"/>
      <c r="BA41" s="465"/>
      <c r="BB41" s="465"/>
      <c r="BC41" s="465"/>
      <c r="BD41" s="465"/>
      <c r="BE41" s="465"/>
      <c r="BF41" s="465"/>
      <c r="BG41" s="465"/>
      <c r="BH41" s="465"/>
      <c r="BI41" s="465"/>
      <c r="BJ41" s="465"/>
      <c r="BK41" s="465"/>
      <c r="BL41" s="465"/>
      <c r="BM41" s="465"/>
      <c r="BN41" s="465"/>
      <c r="BO41" s="465"/>
      <c r="BP41" s="465"/>
      <c r="BQ41" s="465"/>
      <c r="BR41" s="465"/>
      <c r="BS41" s="465"/>
      <c r="BT41" s="465"/>
      <c r="BU41" s="465"/>
      <c r="BV41" s="465"/>
      <c r="BW41" s="465"/>
      <c r="BX41" s="465"/>
      <c r="BY41" s="465"/>
      <c r="BZ41" s="465"/>
      <c r="CA41" s="465"/>
      <c r="CB41" s="465"/>
      <c r="CC41" s="465"/>
      <c r="CD41" s="465"/>
      <c r="CE41" s="465"/>
      <c r="CF41" s="465"/>
      <c r="CG41" s="465"/>
      <c r="CH41" s="465"/>
      <c r="CI41" s="465"/>
      <c r="CJ41" s="465"/>
      <c r="CK41" s="465"/>
      <c r="CL41" s="465"/>
      <c r="CM41" s="465"/>
      <c r="CN41" s="465"/>
      <c r="CO41" s="465"/>
      <c r="CP41" s="465"/>
      <c r="CQ41" s="465"/>
      <c r="CR41" s="465"/>
      <c r="CS41" s="465"/>
      <c r="CT41" s="465"/>
      <c r="CU41" s="465"/>
      <c r="CV41" s="465"/>
      <c r="CW41" s="465"/>
      <c r="CX41" s="465"/>
      <c r="CY41" s="465"/>
      <c r="CZ41" s="465"/>
      <c r="DA41" s="465"/>
      <c r="DB41" s="465"/>
      <c r="DC41" s="465"/>
      <c r="DD41" s="465"/>
      <c r="DE41" s="465"/>
      <c r="DF41" s="465"/>
      <c r="DG41" s="465"/>
      <c r="DH41" s="465"/>
      <c r="DI41" s="465"/>
      <c r="DJ41" s="465"/>
      <c r="DK41" s="465"/>
      <c r="DL41" s="465"/>
      <c r="DM41" s="465"/>
      <c r="DN41" s="465"/>
      <c r="DO41" s="465"/>
      <c r="DP41" s="465"/>
      <c r="DQ41" s="465"/>
      <c r="DR41" s="465"/>
      <c r="DS41" s="465"/>
      <c r="DT41" s="465"/>
      <c r="DU41" s="465"/>
      <c r="DV41" s="465"/>
      <c r="DW41" s="465"/>
      <c r="DX41" s="465"/>
      <c r="DY41" s="465"/>
      <c r="DZ41" s="465"/>
      <c r="EA41" s="465"/>
      <c r="EB41" s="465"/>
      <c r="EC41" s="465"/>
      <c r="ED41" s="465"/>
      <c r="EE41" s="465"/>
      <c r="EF41" s="465"/>
      <c r="EG41" s="465"/>
      <c r="EH41" s="465"/>
      <c r="EI41" s="465"/>
      <c r="EJ41" s="465"/>
      <c r="EK41" s="465"/>
      <c r="EL41" s="465"/>
      <c r="EM41" s="465"/>
      <c r="EN41" s="465"/>
      <c r="EO41" s="465"/>
      <c r="EP41" s="465"/>
      <c r="EQ41" s="465"/>
      <c r="ER41" s="465"/>
      <c r="ES41" s="465"/>
      <c r="ET41" s="465"/>
      <c r="EU41" s="465"/>
      <c r="EV41" s="465"/>
      <c r="EW41" s="465"/>
      <c r="EX41" s="465"/>
    </row>
    <row r="42" spans="1:154" s="461" customFormat="1" ht="16.5" customHeight="1">
      <c r="A42" s="1923">
        <v>6</v>
      </c>
      <c r="B42" s="1924" t="s">
        <v>1207</v>
      </c>
      <c r="C42" s="457" t="s">
        <v>1206</v>
      </c>
      <c r="D42" s="408">
        <f t="shared" ref="D42:S42" si="32">D43+D44+D45+D46</f>
        <v>11642638.585999997</v>
      </c>
      <c r="E42" s="408">
        <f t="shared" si="32"/>
        <v>3249217.9999999991</v>
      </c>
      <c r="F42" s="408">
        <f t="shared" si="32"/>
        <v>8393420.5859999992</v>
      </c>
      <c r="G42" s="408">
        <f t="shared" si="32"/>
        <v>197203</v>
      </c>
      <c r="H42" s="408">
        <f t="shared" si="32"/>
        <v>11939511.289500006</v>
      </c>
      <c r="I42" s="408">
        <f t="shared" si="32"/>
        <v>12185</v>
      </c>
      <c r="J42" s="408">
        <f t="shared" si="32"/>
        <v>365523.44400000002</v>
      </c>
      <c r="K42" s="408">
        <f t="shared" si="32"/>
        <v>196451</v>
      </c>
      <c r="L42" s="408">
        <f t="shared" si="32"/>
        <v>11642638.573111108</v>
      </c>
      <c r="M42" s="409">
        <f t="shared" si="32"/>
        <v>11642638.578111107</v>
      </c>
      <c r="N42" s="408">
        <f t="shared" si="32"/>
        <v>3249217.9921111111</v>
      </c>
      <c r="O42" s="458">
        <f t="shared" si="32"/>
        <v>0</v>
      </c>
      <c r="P42" s="458">
        <f t="shared" si="32"/>
        <v>8393420.5859999992</v>
      </c>
      <c r="Q42" s="458">
        <f t="shared" si="32"/>
        <v>8393420.5809999984</v>
      </c>
      <c r="R42" s="458">
        <f t="shared" si="32"/>
        <v>5.0000000010186341E-3</v>
      </c>
      <c r="S42" s="459">
        <f t="shared" si="32"/>
        <v>5.0000000695717972E-3</v>
      </c>
      <c r="T42" s="411">
        <f t="shared" si="4"/>
        <v>0.99999999999999967</v>
      </c>
      <c r="U42" s="411">
        <f t="shared" si="5"/>
        <v>0.99999999940429518</v>
      </c>
      <c r="V42" s="458">
        <f t="shared" ref="V42:AI42" si="33">V43+V44+V45+V46</f>
        <v>388179.98800000007</v>
      </c>
      <c r="W42" s="458">
        <f t="shared" si="33"/>
        <v>6564</v>
      </c>
      <c r="X42" s="458">
        <f t="shared" si="33"/>
        <v>402506.38899999985</v>
      </c>
      <c r="Y42" s="458">
        <f t="shared" si="33"/>
        <v>460</v>
      </c>
      <c r="Z42" s="458">
        <f t="shared" si="33"/>
        <v>16134.31</v>
      </c>
      <c r="AA42" s="458">
        <f t="shared" si="33"/>
        <v>6508</v>
      </c>
      <c r="AB42" s="458">
        <f t="shared" si="33"/>
        <v>387183.6050000001</v>
      </c>
      <c r="AC42" s="458">
        <f t="shared" si="33"/>
        <v>387183.6050000001</v>
      </c>
      <c r="AD42" s="458">
        <f t="shared" si="33"/>
        <v>0</v>
      </c>
      <c r="AE42" s="458">
        <f t="shared" si="33"/>
        <v>0</v>
      </c>
      <c r="AF42" s="458">
        <f t="shared" si="33"/>
        <v>387183.6050000001</v>
      </c>
      <c r="AG42" s="458">
        <f t="shared" si="33"/>
        <v>388179.98800000013</v>
      </c>
      <c r="AH42" s="458">
        <f t="shared" si="33"/>
        <v>-996.38299999999936</v>
      </c>
      <c r="AI42" s="458">
        <f t="shared" si="33"/>
        <v>8.2422957348171622E-13</v>
      </c>
      <c r="AJ42" s="412">
        <f t="shared" si="30"/>
        <v>0.99743319328455449</v>
      </c>
      <c r="AK42" s="413">
        <f t="shared" si="31"/>
        <v>1.0000000000000002</v>
      </c>
      <c r="AL42" s="460"/>
      <c r="AM42" s="460"/>
      <c r="AN42" s="460"/>
      <c r="AO42" s="460"/>
      <c r="AP42" s="460"/>
      <c r="AQ42" s="460"/>
      <c r="AR42" s="460"/>
      <c r="AS42" s="460"/>
      <c r="AT42" s="460"/>
      <c r="AU42" s="460"/>
      <c r="AV42" s="460"/>
      <c r="AW42" s="460"/>
      <c r="AX42" s="460"/>
      <c r="AY42" s="460"/>
      <c r="AZ42" s="460"/>
      <c r="BA42" s="460"/>
      <c r="BB42" s="460"/>
      <c r="BC42" s="460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0"/>
      <c r="CC42" s="460"/>
      <c r="CD42" s="460"/>
      <c r="CE42" s="460"/>
      <c r="CF42" s="460"/>
      <c r="CG42" s="460"/>
      <c r="CH42" s="460"/>
      <c r="CI42" s="460"/>
      <c r="CJ42" s="460"/>
      <c r="CK42" s="460"/>
      <c r="CL42" s="460"/>
      <c r="CM42" s="460"/>
      <c r="CN42" s="460"/>
      <c r="CO42" s="460"/>
      <c r="CP42" s="460"/>
      <c r="CQ42" s="460"/>
      <c r="CR42" s="460"/>
      <c r="CS42" s="460"/>
      <c r="CT42" s="460"/>
      <c r="CU42" s="460"/>
      <c r="CV42" s="460"/>
      <c r="CW42" s="460"/>
      <c r="CX42" s="460"/>
      <c r="CY42" s="460"/>
      <c r="CZ42" s="460"/>
      <c r="DA42" s="460"/>
      <c r="DB42" s="460"/>
      <c r="DC42" s="460"/>
      <c r="DD42" s="460"/>
      <c r="DE42" s="460"/>
      <c r="DF42" s="460"/>
      <c r="DG42" s="460"/>
      <c r="DH42" s="460"/>
      <c r="DI42" s="460"/>
      <c r="DJ42" s="460"/>
      <c r="DK42" s="460"/>
      <c r="DL42" s="460"/>
      <c r="DM42" s="460"/>
      <c r="DN42" s="460"/>
      <c r="DO42" s="460"/>
      <c r="DP42" s="460"/>
      <c r="DQ42" s="460"/>
      <c r="DR42" s="460"/>
      <c r="DS42" s="460"/>
      <c r="DT42" s="460"/>
      <c r="DU42" s="460"/>
      <c r="DV42" s="460"/>
      <c r="DW42" s="460"/>
      <c r="DX42" s="460"/>
      <c r="DY42" s="460"/>
      <c r="DZ42" s="460"/>
      <c r="EA42" s="460"/>
      <c r="EB42" s="460"/>
      <c r="EC42" s="460"/>
      <c r="ED42" s="460"/>
      <c r="EE42" s="460"/>
      <c r="EF42" s="460"/>
      <c r="EG42" s="460"/>
      <c r="EH42" s="460"/>
      <c r="EI42" s="460"/>
      <c r="EJ42" s="460"/>
      <c r="EK42" s="460"/>
      <c r="EL42" s="460"/>
      <c r="EM42" s="460"/>
      <c r="EN42" s="460"/>
      <c r="EO42" s="460"/>
      <c r="EP42" s="460"/>
      <c r="EQ42" s="460"/>
      <c r="ER42" s="460"/>
      <c r="ES42" s="460"/>
      <c r="ET42" s="460"/>
      <c r="EU42" s="460"/>
      <c r="EV42" s="460"/>
      <c r="EW42" s="460"/>
      <c r="EX42" s="460"/>
    </row>
    <row r="43" spans="1:154" s="466" customFormat="1" ht="16.5" customHeight="1">
      <c r="A43" s="1923"/>
      <c r="B43" s="1924"/>
      <c r="C43" s="462" t="s">
        <v>1197</v>
      </c>
      <c r="D43" s="408">
        <v>9749865.3983333297</v>
      </c>
      <c r="E43" s="436">
        <v>2765087.0999999992</v>
      </c>
      <c r="F43" s="408">
        <v>6984778.2983333329</v>
      </c>
      <c r="G43" s="436">
        <v>140171</v>
      </c>
      <c r="H43" s="408">
        <v>10050308.586000005</v>
      </c>
      <c r="I43" s="436">
        <v>10836</v>
      </c>
      <c r="J43" s="408">
        <v>332807.94799999997</v>
      </c>
      <c r="K43" s="436">
        <v>139497</v>
      </c>
      <c r="L43" s="408">
        <v>9771533.3173333295</v>
      </c>
      <c r="M43" s="437">
        <v>9771533.3173333295</v>
      </c>
      <c r="N43" s="408">
        <v>2786770.719</v>
      </c>
      <c r="O43" s="463">
        <v>0</v>
      </c>
      <c r="P43" s="463">
        <v>6984762.5983333327</v>
      </c>
      <c r="Q43" s="463">
        <v>6984762.5983333327</v>
      </c>
      <c r="R43" s="463">
        <v>1.8189894035458565E-12</v>
      </c>
      <c r="S43" s="453">
        <v>15.700000000069849</v>
      </c>
      <c r="T43" s="411">
        <f t="shared" si="4"/>
        <v>0.99999839329465834</v>
      </c>
      <c r="U43" s="411">
        <f t="shared" si="5"/>
        <v>0.99999775225507104</v>
      </c>
      <c r="V43" s="463">
        <v>314166.68000000005</v>
      </c>
      <c r="W43" s="463">
        <v>4397</v>
      </c>
      <c r="X43" s="463">
        <v>327386.40699999983</v>
      </c>
      <c r="Y43" s="463">
        <v>398</v>
      </c>
      <c r="Z43" s="463">
        <v>15269.3</v>
      </c>
      <c r="AA43" s="463">
        <v>4346</v>
      </c>
      <c r="AB43" s="463">
        <v>313155.01000000013</v>
      </c>
      <c r="AC43" s="463">
        <v>313155.01000000013</v>
      </c>
      <c r="AD43" s="463">
        <v>0</v>
      </c>
      <c r="AE43" s="463">
        <v>0</v>
      </c>
      <c r="AF43" s="463">
        <v>313155.01000000013</v>
      </c>
      <c r="AG43" s="463">
        <v>314150.9800000001</v>
      </c>
      <c r="AH43" s="463">
        <v>-995.96999999999935</v>
      </c>
      <c r="AI43" s="458">
        <v>15.700000000000728</v>
      </c>
      <c r="AJ43" s="412">
        <f t="shared" si="30"/>
        <v>0.99677983037539208</v>
      </c>
      <c r="AK43" s="413">
        <f t="shared" si="31"/>
        <v>0.99995002652732001</v>
      </c>
      <c r="AL43" s="465"/>
      <c r="AM43" s="465"/>
      <c r="AN43" s="465"/>
      <c r="AO43" s="465"/>
      <c r="AP43" s="465"/>
      <c r="AQ43" s="465"/>
      <c r="AR43" s="465"/>
      <c r="AS43" s="465"/>
      <c r="AT43" s="465"/>
      <c r="AU43" s="465"/>
      <c r="AV43" s="465"/>
      <c r="AW43" s="465"/>
      <c r="AX43" s="465"/>
      <c r="AY43" s="465"/>
      <c r="AZ43" s="465"/>
      <c r="BA43" s="465"/>
      <c r="BB43" s="465"/>
      <c r="BC43" s="465"/>
      <c r="BD43" s="465"/>
      <c r="BE43" s="465"/>
      <c r="BF43" s="465"/>
      <c r="BG43" s="465"/>
      <c r="BH43" s="465"/>
      <c r="BI43" s="465"/>
      <c r="BJ43" s="465"/>
      <c r="BK43" s="465"/>
      <c r="BL43" s="465"/>
      <c r="BM43" s="465"/>
      <c r="BN43" s="465"/>
      <c r="BO43" s="465"/>
      <c r="BP43" s="465"/>
      <c r="BQ43" s="465"/>
      <c r="BR43" s="465"/>
      <c r="BS43" s="465"/>
      <c r="BT43" s="465"/>
      <c r="BU43" s="465"/>
      <c r="BV43" s="465"/>
      <c r="BW43" s="465"/>
      <c r="BX43" s="465"/>
      <c r="BY43" s="465"/>
      <c r="BZ43" s="465"/>
      <c r="CA43" s="465"/>
      <c r="CB43" s="465"/>
      <c r="CC43" s="465"/>
      <c r="CD43" s="465"/>
      <c r="CE43" s="465"/>
      <c r="CF43" s="465"/>
      <c r="CG43" s="465"/>
      <c r="CH43" s="465"/>
      <c r="CI43" s="465"/>
      <c r="CJ43" s="465"/>
      <c r="CK43" s="465"/>
      <c r="CL43" s="465"/>
      <c r="CM43" s="465"/>
      <c r="CN43" s="465"/>
      <c r="CO43" s="465"/>
      <c r="CP43" s="465"/>
      <c r="CQ43" s="465"/>
      <c r="CR43" s="465"/>
      <c r="CS43" s="465"/>
      <c r="CT43" s="465"/>
      <c r="CU43" s="465"/>
      <c r="CV43" s="465"/>
      <c r="CW43" s="465"/>
      <c r="CX43" s="465"/>
      <c r="CY43" s="465"/>
      <c r="CZ43" s="465"/>
      <c r="DA43" s="465"/>
      <c r="DB43" s="465"/>
      <c r="DC43" s="465"/>
      <c r="DD43" s="465"/>
      <c r="DE43" s="465"/>
      <c r="DF43" s="465"/>
      <c r="DG43" s="465"/>
      <c r="DH43" s="465"/>
      <c r="DI43" s="465"/>
      <c r="DJ43" s="465"/>
      <c r="DK43" s="465"/>
      <c r="DL43" s="465"/>
      <c r="DM43" s="465"/>
      <c r="DN43" s="465"/>
      <c r="DO43" s="465"/>
      <c r="DP43" s="465"/>
      <c r="DQ43" s="465"/>
      <c r="DR43" s="465"/>
      <c r="DS43" s="465"/>
      <c r="DT43" s="465"/>
      <c r="DU43" s="465"/>
      <c r="DV43" s="465"/>
      <c r="DW43" s="465"/>
      <c r="DX43" s="465"/>
      <c r="DY43" s="465"/>
      <c r="DZ43" s="465"/>
      <c r="EA43" s="465"/>
      <c r="EB43" s="465"/>
      <c r="EC43" s="465"/>
      <c r="ED43" s="465"/>
      <c r="EE43" s="465"/>
      <c r="EF43" s="465"/>
      <c r="EG43" s="465"/>
      <c r="EH43" s="465"/>
      <c r="EI43" s="465"/>
      <c r="EJ43" s="465"/>
      <c r="EK43" s="465"/>
      <c r="EL43" s="465"/>
      <c r="EM43" s="465"/>
      <c r="EN43" s="465"/>
      <c r="EO43" s="465"/>
      <c r="EP43" s="465"/>
      <c r="EQ43" s="465"/>
      <c r="ER43" s="465"/>
      <c r="ES43" s="465"/>
      <c r="ET43" s="465"/>
      <c r="EU43" s="465"/>
      <c r="EV43" s="465"/>
      <c r="EW43" s="465"/>
      <c r="EX43" s="465"/>
    </row>
    <row r="44" spans="1:154" s="466" customFormat="1" ht="16.5" customHeight="1">
      <c r="A44" s="1923"/>
      <c r="B44" s="1924"/>
      <c r="C44" s="462" t="s">
        <v>1198</v>
      </c>
      <c r="D44" s="463">
        <v>892120.36366666656</v>
      </c>
      <c r="E44" s="463">
        <v>231270</v>
      </c>
      <c r="F44" s="463">
        <v>660850.36366666667</v>
      </c>
      <c r="G44" s="463">
        <v>882</v>
      </c>
      <c r="H44" s="463">
        <v>880926.55</v>
      </c>
      <c r="I44" s="463">
        <v>37</v>
      </c>
      <c r="J44" s="463">
        <v>16512.123</v>
      </c>
      <c r="K44" s="463">
        <v>876</v>
      </c>
      <c r="L44" s="463">
        <v>873394.70811111119</v>
      </c>
      <c r="M44" s="467">
        <v>873394.70811111119</v>
      </c>
      <c r="N44" s="463">
        <v>212544.3444444444</v>
      </c>
      <c r="O44" s="463">
        <v>0</v>
      </c>
      <c r="P44" s="463">
        <v>660850.36366666667</v>
      </c>
      <c r="Q44" s="463">
        <v>660850.36366666667</v>
      </c>
      <c r="R44" s="463">
        <v>0</v>
      </c>
      <c r="S44" s="453">
        <v>0</v>
      </c>
      <c r="T44" s="411">
        <f t="shared" si="4"/>
        <v>1.0000000000000002</v>
      </c>
      <c r="U44" s="411">
        <f t="shared" si="5"/>
        <v>1</v>
      </c>
      <c r="V44" s="463">
        <v>35204.697999999997</v>
      </c>
      <c r="W44" s="463">
        <v>36</v>
      </c>
      <c r="X44" s="463">
        <v>35734.519999999997</v>
      </c>
      <c r="Y44" s="463">
        <v>1</v>
      </c>
      <c r="Z44" s="463">
        <v>329.83100000000002</v>
      </c>
      <c r="AA44" s="463">
        <v>36</v>
      </c>
      <c r="AB44" s="463">
        <v>35204.697999999997</v>
      </c>
      <c r="AC44" s="463">
        <v>35204.697999999997</v>
      </c>
      <c r="AD44" s="463">
        <v>0</v>
      </c>
      <c r="AE44" s="463">
        <v>0</v>
      </c>
      <c r="AF44" s="463">
        <v>35204.697999999997</v>
      </c>
      <c r="AG44" s="463">
        <v>35204.697999999997</v>
      </c>
      <c r="AH44" s="463">
        <v>0</v>
      </c>
      <c r="AI44" s="458">
        <v>0</v>
      </c>
      <c r="AJ44" s="412">
        <f t="shared" si="30"/>
        <v>1</v>
      </c>
      <c r="AK44" s="413">
        <f t="shared" si="31"/>
        <v>1</v>
      </c>
      <c r="AL44" s="465"/>
      <c r="AM44" s="465"/>
      <c r="AN44" s="465"/>
      <c r="AO44" s="465"/>
      <c r="AP44" s="465"/>
      <c r="AQ44" s="465"/>
      <c r="AR44" s="465"/>
      <c r="AS44" s="465"/>
      <c r="AT44" s="465"/>
      <c r="AU44" s="465"/>
      <c r="AV44" s="465"/>
      <c r="AW44" s="465"/>
      <c r="AX44" s="465"/>
      <c r="AY44" s="465"/>
      <c r="AZ44" s="465"/>
      <c r="BA44" s="465"/>
      <c r="BB44" s="465"/>
      <c r="BC44" s="465"/>
      <c r="BD44" s="465"/>
      <c r="BE44" s="465"/>
      <c r="BF44" s="465"/>
      <c r="BG44" s="465"/>
      <c r="BH44" s="465"/>
      <c r="BI44" s="465"/>
      <c r="BJ44" s="465"/>
      <c r="BK44" s="465"/>
      <c r="BL44" s="465"/>
      <c r="BM44" s="465"/>
      <c r="BN44" s="465"/>
      <c r="BO44" s="465"/>
      <c r="BP44" s="465"/>
      <c r="BQ44" s="465"/>
      <c r="BR44" s="465"/>
      <c r="BS44" s="465"/>
      <c r="BT44" s="465"/>
      <c r="BU44" s="465"/>
      <c r="BV44" s="465"/>
      <c r="BW44" s="465"/>
      <c r="BX44" s="465"/>
      <c r="BY44" s="465"/>
      <c r="BZ44" s="465"/>
      <c r="CA44" s="465"/>
      <c r="CB44" s="465"/>
      <c r="CC44" s="465"/>
      <c r="CD44" s="465"/>
      <c r="CE44" s="465"/>
      <c r="CF44" s="465"/>
      <c r="CG44" s="465"/>
      <c r="CH44" s="465"/>
      <c r="CI44" s="465"/>
      <c r="CJ44" s="465"/>
      <c r="CK44" s="465"/>
      <c r="CL44" s="465"/>
      <c r="CM44" s="465"/>
      <c r="CN44" s="465"/>
      <c r="CO44" s="465"/>
      <c r="CP44" s="465"/>
      <c r="CQ44" s="465"/>
      <c r="CR44" s="465"/>
      <c r="CS44" s="465"/>
      <c r="CT44" s="465"/>
      <c r="CU44" s="465"/>
      <c r="CV44" s="465"/>
      <c r="CW44" s="465"/>
      <c r="CX44" s="465"/>
      <c r="CY44" s="465"/>
      <c r="CZ44" s="465"/>
      <c r="DA44" s="465"/>
      <c r="DB44" s="465"/>
      <c r="DC44" s="465"/>
      <c r="DD44" s="465"/>
      <c r="DE44" s="465"/>
      <c r="DF44" s="465"/>
      <c r="DG44" s="465"/>
      <c r="DH44" s="465"/>
      <c r="DI44" s="465"/>
      <c r="DJ44" s="465"/>
      <c r="DK44" s="465"/>
      <c r="DL44" s="465"/>
      <c r="DM44" s="465"/>
      <c r="DN44" s="465"/>
      <c r="DO44" s="465"/>
      <c r="DP44" s="465"/>
      <c r="DQ44" s="465"/>
      <c r="DR44" s="465"/>
      <c r="DS44" s="465"/>
      <c r="DT44" s="465"/>
      <c r="DU44" s="465"/>
      <c r="DV44" s="465"/>
      <c r="DW44" s="465"/>
      <c r="DX44" s="465"/>
      <c r="DY44" s="465"/>
      <c r="DZ44" s="465"/>
      <c r="EA44" s="465"/>
      <c r="EB44" s="465"/>
      <c r="EC44" s="465"/>
      <c r="ED44" s="465"/>
      <c r="EE44" s="465"/>
      <c r="EF44" s="465"/>
      <c r="EG44" s="465"/>
      <c r="EH44" s="465"/>
      <c r="EI44" s="465"/>
      <c r="EJ44" s="465"/>
      <c r="EK44" s="465"/>
      <c r="EL44" s="465"/>
      <c r="EM44" s="465"/>
      <c r="EN44" s="465"/>
      <c r="EO44" s="465"/>
      <c r="EP44" s="465"/>
      <c r="EQ44" s="465"/>
      <c r="ER44" s="465"/>
      <c r="ES44" s="465"/>
      <c r="ET44" s="465"/>
      <c r="EU44" s="465"/>
      <c r="EV44" s="465"/>
      <c r="EW44" s="465"/>
      <c r="EX44" s="465"/>
    </row>
    <row r="45" spans="1:154" s="466" customFormat="1" ht="16.5" customHeight="1">
      <c r="A45" s="1923"/>
      <c r="B45" s="1924"/>
      <c r="C45" s="462" t="s">
        <v>1199</v>
      </c>
      <c r="D45" s="463">
        <v>1000001.9610000004</v>
      </c>
      <c r="E45" s="463">
        <v>252860.9</v>
      </c>
      <c r="F45" s="463">
        <v>747141.06100000034</v>
      </c>
      <c r="G45" s="463">
        <v>56150</v>
      </c>
      <c r="H45" s="463">
        <v>1007598.8705</v>
      </c>
      <c r="I45" s="463">
        <v>1312</v>
      </c>
      <c r="J45" s="463">
        <v>16203.373000000003</v>
      </c>
      <c r="K45" s="463">
        <v>56078</v>
      </c>
      <c r="L45" s="463">
        <v>997043.98466666706</v>
      </c>
      <c r="M45" s="467">
        <v>997043.98966666707</v>
      </c>
      <c r="N45" s="463">
        <v>249902.9286666667</v>
      </c>
      <c r="O45" s="463">
        <v>0</v>
      </c>
      <c r="P45" s="463">
        <v>747141.06100000034</v>
      </c>
      <c r="Q45" s="463">
        <v>747141.05600000045</v>
      </c>
      <c r="R45" s="463">
        <v>4.9999999991996447E-3</v>
      </c>
      <c r="S45" s="453">
        <v>4.999999999654392E-3</v>
      </c>
      <c r="T45" s="411">
        <f t="shared" si="4"/>
        <v>1</v>
      </c>
      <c r="U45" s="411">
        <f t="shared" si="5"/>
        <v>0.99999999330782341</v>
      </c>
      <c r="V45" s="463">
        <v>38769.638000000006</v>
      </c>
      <c r="W45" s="463">
        <v>2131</v>
      </c>
      <c r="X45" s="463">
        <v>39330.79</v>
      </c>
      <c r="Y45" s="463">
        <v>61</v>
      </c>
      <c r="Z45" s="463">
        <v>535.17900000000009</v>
      </c>
      <c r="AA45" s="463">
        <v>2126</v>
      </c>
      <c r="AB45" s="463">
        <v>38769.225000000006</v>
      </c>
      <c r="AC45" s="463">
        <v>38769.225000000006</v>
      </c>
      <c r="AD45" s="463">
        <v>0</v>
      </c>
      <c r="AE45" s="463">
        <v>0</v>
      </c>
      <c r="AF45" s="463">
        <v>38769.225000000006</v>
      </c>
      <c r="AG45" s="463">
        <v>38769.638000000006</v>
      </c>
      <c r="AH45" s="463">
        <v>-0.41300000000001091</v>
      </c>
      <c r="AI45" s="458">
        <v>0</v>
      </c>
      <c r="AJ45" s="412">
        <f t="shared" si="30"/>
        <v>0.99998934733411748</v>
      </c>
      <c r="AK45" s="413">
        <f t="shared" si="31"/>
        <v>1</v>
      </c>
      <c r="AL45" s="465"/>
      <c r="AM45" s="465"/>
      <c r="AN45" s="465"/>
      <c r="AO45" s="465"/>
      <c r="AP45" s="465"/>
      <c r="AQ45" s="465"/>
      <c r="AR45" s="465"/>
      <c r="AS45" s="465"/>
      <c r="AT45" s="465"/>
      <c r="AU45" s="465"/>
      <c r="AV45" s="465"/>
      <c r="AW45" s="465"/>
      <c r="AX45" s="465"/>
      <c r="AY45" s="465"/>
      <c r="AZ45" s="465"/>
      <c r="BA45" s="465"/>
      <c r="BB45" s="465"/>
      <c r="BC45" s="465"/>
      <c r="BD45" s="465"/>
      <c r="BE45" s="465"/>
      <c r="BF45" s="465"/>
      <c r="BG45" s="465"/>
      <c r="BH45" s="465"/>
      <c r="BI45" s="465"/>
      <c r="BJ45" s="465"/>
      <c r="BK45" s="465"/>
      <c r="BL45" s="465"/>
      <c r="BM45" s="465"/>
      <c r="BN45" s="465"/>
      <c r="BO45" s="465"/>
      <c r="BP45" s="465"/>
      <c r="BQ45" s="465"/>
      <c r="BR45" s="465"/>
      <c r="BS45" s="465"/>
      <c r="BT45" s="465"/>
      <c r="BU45" s="465"/>
      <c r="BV45" s="465"/>
      <c r="BW45" s="465"/>
      <c r="BX45" s="465"/>
      <c r="BY45" s="465"/>
      <c r="BZ45" s="465"/>
      <c r="CA45" s="465"/>
      <c r="CB45" s="465"/>
      <c r="CC45" s="465"/>
      <c r="CD45" s="465"/>
      <c r="CE45" s="465"/>
      <c r="CF45" s="465"/>
      <c r="CG45" s="465"/>
      <c r="CH45" s="465"/>
      <c r="CI45" s="465"/>
      <c r="CJ45" s="465"/>
      <c r="CK45" s="465"/>
      <c r="CL45" s="465"/>
      <c r="CM45" s="465"/>
      <c r="CN45" s="465"/>
      <c r="CO45" s="465"/>
      <c r="CP45" s="465"/>
      <c r="CQ45" s="465"/>
      <c r="CR45" s="465"/>
      <c r="CS45" s="465"/>
      <c r="CT45" s="465"/>
      <c r="CU45" s="465"/>
      <c r="CV45" s="465"/>
      <c r="CW45" s="465"/>
      <c r="CX45" s="465"/>
      <c r="CY45" s="465"/>
      <c r="CZ45" s="465"/>
      <c r="DA45" s="465"/>
      <c r="DB45" s="465"/>
      <c r="DC45" s="465"/>
      <c r="DD45" s="465"/>
      <c r="DE45" s="465"/>
      <c r="DF45" s="465"/>
      <c r="DG45" s="465"/>
      <c r="DH45" s="465"/>
      <c r="DI45" s="465"/>
      <c r="DJ45" s="465"/>
      <c r="DK45" s="465"/>
      <c r="DL45" s="465"/>
      <c r="DM45" s="465"/>
      <c r="DN45" s="465"/>
      <c r="DO45" s="465"/>
      <c r="DP45" s="465"/>
      <c r="DQ45" s="465"/>
      <c r="DR45" s="465"/>
      <c r="DS45" s="465"/>
      <c r="DT45" s="465"/>
      <c r="DU45" s="465"/>
      <c r="DV45" s="465"/>
      <c r="DW45" s="465"/>
      <c r="DX45" s="465"/>
      <c r="DY45" s="465"/>
      <c r="DZ45" s="465"/>
      <c r="EA45" s="465"/>
      <c r="EB45" s="465"/>
      <c r="EC45" s="465"/>
      <c r="ED45" s="465"/>
      <c r="EE45" s="465"/>
      <c r="EF45" s="465"/>
      <c r="EG45" s="465"/>
      <c r="EH45" s="465"/>
      <c r="EI45" s="465"/>
      <c r="EJ45" s="465"/>
      <c r="EK45" s="465"/>
      <c r="EL45" s="465"/>
      <c r="EM45" s="465"/>
      <c r="EN45" s="465"/>
      <c r="EO45" s="465"/>
      <c r="EP45" s="465"/>
      <c r="EQ45" s="465"/>
      <c r="ER45" s="465"/>
      <c r="ES45" s="465"/>
      <c r="ET45" s="465"/>
      <c r="EU45" s="465"/>
      <c r="EV45" s="465"/>
      <c r="EW45" s="465"/>
      <c r="EX45" s="465"/>
    </row>
    <row r="46" spans="1:154" s="466" customFormat="1" ht="16.5" customHeight="1">
      <c r="A46" s="1923"/>
      <c r="B46" s="1924"/>
      <c r="C46" s="462" t="s">
        <v>1202</v>
      </c>
      <c r="D46" s="463">
        <v>650.86300000000006</v>
      </c>
      <c r="E46" s="463">
        <v>0</v>
      </c>
      <c r="F46" s="463">
        <v>650.86300000000006</v>
      </c>
      <c r="G46" s="463">
        <v>0</v>
      </c>
      <c r="H46" s="463">
        <v>677.28300000000002</v>
      </c>
      <c r="I46" s="463">
        <v>0</v>
      </c>
      <c r="J46" s="463">
        <v>0</v>
      </c>
      <c r="K46" s="463">
        <v>0</v>
      </c>
      <c r="L46" s="463">
        <v>666.56299999999999</v>
      </c>
      <c r="M46" s="467">
        <v>666.56299999999999</v>
      </c>
      <c r="N46" s="463">
        <v>0</v>
      </c>
      <c r="O46" s="463">
        <v>0</v>
      </c>
      <c r="P46" s="463">
        <v>666.56299999999999</v>
      </c>
      <c r="Q46" s="463">
        <v>666.56299999999999</v>
      </c>
      <c r="R46" s="463">
        <v>0</v>
      </c>
      <c r="S46" s="453">
        <v>-15.699999999999932</v>
      </c>
      <c r="T46" s="411">
        <f t="shared" si="4"/>
        <v>1.024121819799251</v>
      </c>
      <c r="U46" s="411">
        <f t="shared" si="5"/>
        <v>1.024121819799251</v>
      </c>
      <c r="V46" s="463">
        <v>38.972000000000094</v>
      </c>
      <c r="W46" s="463">
        <v>0</v>
      </c>
      <c r="X46" s="463">
        <v>54.671999999999997</v>
      </c>
      <c r="Y46" s="463">
        <v>0</v>
      </c>
      <c r="Z46" s="463">
        <v>0</v>
      </c>
      <c r="AA46" s="463">
        <v>0</v>
      </c>
      <c r="AB46" s="463">
        <v>54.671999999999997</v>
      </c>
      <c r="AC46" s="463">
        <v>54.671999999999997</v>
      </c>
      <c r="AD46" s="463">
        <v>0</v>
      </c>
      <c r="AE46" s="463">
        <v>0</v>
      </c>
      <c r="AF46" s="463">
        <v>54.671999999999997</v>
      </c>
      <c r="AG46" s="463">
        <v>54.671999999999997</v>
      </c>
      <c r="AH46" s="463">
        <v>0</v>
      </c>
      <c r="AI46" s="458">
        <v>-15.699999999999903</v>
      </c>
      <c r="AJ46" s="412">
        <f t="shared" si="30"/>
        <v>1.4028533305963222</v>
      </c>
      <c r="AK46" s="413">
        <f t="shared" si="31"/>
        <v>1.4028533305963222</v>
      </c>
      <c r="AL46" s="465"/>
      <c r="AM46" s="465"/>
      <c r="AN46" s="465"/>
      <c r="AO46" s="465"/>
      <c r="AP46" s="465"/>
      <c r="AQ46" s="465"/>
      <c r="AR46" s="465"/>
      <c r="AS46" s="465"/>
      <c r="AT46" s="465"/>
      <c r="AU46" s="465"/>
      <c r="AV46" s="465"/>
      <c r="AW46" s="465"/>
      <c r="AX46" s="465"/>
      <c r="AY46" s="465"/>
      <c r="AZ46" s="465"/>
      <c r="BA46" s="465"/>
      <c r="BB46" s="465"/>
      <c r="BC46" s="465"/>
      <c r="BD46" s="465"/>
      <c r="BE46" s="465"/>
      <c r="BF46" s="465"/>
      <c r="BG46" s="465"/>
      <c r="BH46" s="465"/>
      <c r="BI46" s="465"/>
      <c r="BJ46" s="465"/>
      <c r="BK46" s="465"/>
      <c r="BL46" s="465"/>
      <c r="BM46" s="465"/>
      <c r="BN46" s="465"/>
      <c r="BO46" s="465"/>
      <c r="BP46" s="465"/>
      <c r="BQ46" s="465"/>
      <c r="BR46" s="465"/>
      <c r="BS46" s="465"/>
      <c r="BT46" s="465"/>
      <c r="BU46" s="465"/>
      <c r="BV46" s="465"/>
      <c r="BW46" s="465"/>
      <c r="BX46" s="465"/>
      <c r="BY46" s="465"/>
      <c r="BZ46" s="465"/>
      <c r="CA46" s="465"/>
      <c r="CB46" s="465"/>
      <c r="CC46" s="465"/>
      <c r="CD46" s="465"/>
      <c r="CE46" s="465"/>
      <c r="CF46" s="465"/>
      <c r="CG46" s="465"/>
      <c r="CH46" s="465"/>
      <c r="CI46" s="465"/>
      <c r="CJ46" s="465"/>
      <c r="CK46" s="465"/>
      <c r="CL46" s="465"/>
      <c r="CM46" s="465"/>
      <c r="CN46" s="465"/>
      <c r="CO46" s="465"/>
      <c r="CP46" s="465"/>
      <c r="CQ46" s="465"/>
      <c r="CR46" s="465"/>
      <c r="CS46" s="465"/>
      <c r="CT46" s="465"/>
      <c r="CU46" s="465"/>
      <c r="CV46" s="465"/>
      <c r="CW46" s="465"/>
      <c r="CX46" s="465"/>
      <c r="CY46" s="465"/>
      <c r="CZ46" s="465"/>
      <c r="DA46" s="465"/>
      <c r="DB46" s="465"/>
      <c r="DC46" s="465"/>
      <c r="DD46" s="465"/>
      <c r="DE46" s="465"/>
      <c r="DF46" s="465"/>
      <c r="DG46" s="465"/>
      <c r="DH46" s="465"/>
      <c r="DI46" s="465"/>
      <c r="DJ46" s="465"/>
      <c r="DK46" s="465"/>
      <c r="DL46" s="465"/>
      <c r="DM46" s="465"/>
      <c r="DN46" s="465"/>
      <c r="DO46" s="465"/>
      <c r="DP46" s="465"/>
      <c r="DQ46" s="465"/>
      <c r="DR46" s="465"/>
      <c r="DS46" s="465"/>
      <c r="DT46" s="465"/>
      <c r="DU46" s="465"/>
      <c r="DV46" s="465"/>
      <c r="DW46" s="465"/>
      <c r="DX46" s="465"/>
      <c r="DY46" s="465"/>
      <c r="DZ46" s="465"/>
      <c r="EA46" s="465"/>
      <c r="EB46" s="465"/>
      <c r="EC46" s="465"/>
      <c r="ED46" s="465"/>
      <c r="EE46" s="465"/>
      <c r="EF46" s="465"/>
      <c r="EG46" s="465"/>
      <c r="EH46" s="465"/>
      <c r="EI46" s="465"/>
      <c r="EJ46" s="465"/>
      <c r="EK46" s="465"/>
      <c r="EL46" s="465"/>
      <c r="EM46" s="465"/>
      <c r="EN46" s="465"/>
      <c r="EO46" s="465"/>
      <c r="EP46" s="465"/>
      <c r="EQ46" s="465"/>
      <c r="ER46" s="465"/>
      <c r="ES46" s="465"/>
      <c r="ET46" s="465"/>
      <c r="EU46" s="465"/>
      <c r="EV46" s="465"/>
      <c r="EW46" s="465"/>
      <c r="EX46" s="465"/>
    </row>
    <row r="47" spans="1:154" s="452" customFormat="1" ht="16.5" customHeight="1">
      <c r="A47" s="1925">
        <v>7</v>
      </c>
      <c r="B47" s="1922" t="s">
        <v>1157</v>
      </c>
      <c r="C47" s="419" t="s">
        <v>1196</v>
      </c>
      <c r="D47" s="444">
        <f t="shared" ref="D47:S47" si="34">D48+D49+D50</f>
        <v>7837327.0000000019</v>
      </c>
      <c r="E47" s="444">
        <f t="shared" si="34"/>
        <v>2133516</v>
      </c>
      <c r="F47" s="444">
        <f t="shared" si="34"/>
        <v>5703811.0000000009</v>
      </c>
      <c r="G47" s="444">
        <f t="shared" si="34"/>
        <v>141645</v>
      </c>
      <c r="H47" s="444">
        <f t="shared" si="34"/>
        <v>8063410.203665901</v>
      </c>
      <c r="I47" s="444">
        <f t="shared" si="34"/>
        <v>281</v>
      </c>
      <c r="J47" s="444">
        <f t="shared" si="34"/>
        <v>226096.8698859</v>
      </c>
      <c r="K47" s="444">
        <f t="shared" si="34"/>
        <v>141364</v>
      </c>
      <c r="L47" s="444">
        <f t="shared" si="34"/>
        <v>7837313.3337800028</v>
      </c>
      <c r="M47" s="468">
        <f t="shared" si="34"/>
        <v>7837313.3337800028</v>
      </c>
      <c r="N47" s="444">
        <f t="shared" si="34"/>
        <v>2133516</v>
      </c>
      <c r="O47" s="444">
        <f t="shared" si="34"/>
        <v>0</v>
      </c>
      <c r="P47" s="444">
        <f t="shared" si="34"/>
        <v>5703797.3337799991</v>
      </c>
      <c r="Q47" s="444">
        <f t="shared" si="34"/>
        <v>5703797.3337800009</v>
      </c>
      <c r="R47" s="444">
        <f t="shared" si="34"/>
        <v>7.2986949817277491E-11</v>
      </c>
      <c r="S47" s="445">
        <f t="shared" si="34"/>
        <v>13.666220000082376</v>
      </c>
      <c r="T47" s="411">
        <f t="shared" si="4"/>
        <v>0.99999825626517835</v>
      </c>
      <c r="U47" s="411">
        <f t="shared" si="5"/>
        <v>0.99999760401948801</v>
      </c>
      <c r="V47" s="444">
        <f t="shared" ref="V47:AI47" si="35">V48+V49+V50</f>
        <v>286331.11671000003</v>
      </c>
      <c r="W47" s="444">
        <f t="shared" si="35"/>
        <v>4587</v>
      </c>
      <c r="X47" s="444">
        <f t="shared" si="35"/>
        <v>287587.70689999999</v>
      </c>
      <c r="Y47" s="444">
        <f t="shared" si="35"/>
        <v>-12</v>
      </c>
      <c r="Z47" s="444">
        <f t="shared" si="35"/>
        <v>1270.2564100000127</v>
      </c>
      <c r="AA47" s="444">
        <f t="shared" si="35"/>
        <v>4599</v>
      </c>
      <c r="AB47" s="444">
        <f t="shared" si="35"/>
        <v>286317.45049000002</v>
      </c>
      <c r="AC47" s="444">
        <f t="shared" si="35"/>
        <v>286317.45049000002</v>
      </c>
      <c r="AD47" s="444">
        <f t="shared" si="35"/>
        <v>0</v>
      </c>
      <c r="AE47" s="444">
        <f t="shared" si="35"/>
        <v>0</v>
      </c>
      <c r="AF47" s="444">
        <f t="shared" si="35"/>
        <v>286317.45049000002</v>
      </c>
      <c r="AG47" s="444">
        <f t="shared" si="35"/>
        <v>286317.45049000002</v>
      </c>
      <c r="AH47" s="444">
        <f t="shared" si="35"/>
        <v>0</v>
      </c>
      <c r="AI47" s="444">
        <f t="shared" si="35"/>
        <v>13.666220000152251</v>
      </c>
      <c r="AJ47" s="412">
        <f t="shared" si="30"/>
        <v>0.99995227127195585</v>
      </c>
      <c r="AK47" s="413">
        <f t="shared" si="31"/>
        <v>0.99995227127195585</v>
      </c>
      <c r="AL47" s="451"/>
      <c r="AM47" s="451"/>
      <c r="AN47" s="451"/>
      <c r="AO47" s="451"/>
      <c r="AP47" s="451"/>
      <c r="AQ47" s="451"/>
      <c r="AR47" s="451"/>
      <c r="AS47" s="451"/>
      <c r="AT47" s="451"/>
      <c r="AU47" s="451"/>
      <c r="AV47" s="451"/>
      <c r="AW47" s="451"/>
      <c r="AX47" s="451"/>
      <c r="AY47" s="451"/>
      <c r="AZ47" s="451"/>
      <c r="BA47" s="451"/>
      <c r="BB47" s="451"/>
      <c r="BC47" s="451"/>
      <c r="BD47" s="451"/>
      <c r="BE47" s="451"/>
      <c r="BF47" s="451"/>
      <c r="BG47" s="451"/>
      <c r="BH47" s="451"/>
      <c r="BI47" s="451"/>
      <c r="BJ47" s="451"/>
      <c r="BK47" s="451"/>
      <c r="BL47" s="451"/>
      <c r="BM47" s="451"/>
      <c r="BN47" s="451"/>
      <c r="BO47" s="451"/>
      <c r="BP47" s="451"/>
      <c r="BQ47" s="451"/>
      <c r="BR47" s="451"/>
      <c r="BS47" s="451"/>
      <c r="BT47" s="451"/>
      <c r="BU47" s="451"/>
      <c r="BV47" s="451"/>
      <c r="BW47" s="451"/>
      <c r="BX47" s="451"/>
      <c r="BY47" s="451"/>
      <c r="BZ47" s="451"/>
      <c r="CA47" s="451"/>
      <c r="CB47" s="451"/>
      <c r="CC47" s="451"/>
      <c r="CD47" s="451"/>
      <c r="CE47" s="451"/>
      <c r="CF47" s="451"/>
      <c r="CG47" s="451"/>
      <c r="CH47" s="451"/>
      <c r="CI47" s="451"/>
      <c r="CJ47" s="451"/>
      <c r="CK47" s="451"/>
      <c r="CL47" s="451"/>
      <c r="CM47" s="451"/>
      <c r="CN47" s="451"/>
      <c r="CO47" s="451"/>
      <c r="CP47" s="451"/>
      <c r="CQ47" s="451"/>
      <c r="CR47" s="451"/>
      <c r="CS47" s="451"/>
      <c r="CT47" s="451"/>
      <c r="CU47" s="451"/>
      <c r="CV47" s="451"/>
      <c r="CW47" s="451"/>
      <c r="CX47" s="451"/>
      <c r="CY47" s="451"/>
      <c r="CZ47" s="451"/>
      <c r="DA47" s="451"/>
      <c r="DB47" s="451"/>
      <c r="DC47" s="451"/>
      <c r="DD47" s="451"/>
      <c r="DE47" s="451"/>
      <c r="DF47" s="451"/>
      <c r="DG47" s="451"/>
      <c r="DH47" s="451"/>
      <c r="DI47" s="451"/>
      <c r="DJ47" s="451"/>
      <c r="DK47" s="451"/>
      <c r="DL47" s="451"/>
      <c r="DM47" s="451"/>
      <c r="DN47" s="451"/>
      <c r="DO47" s="451"/>
      <c r="DP47" s="451"/>
      <c r="DQ47" s="451"/>
      <c r="DR47" s="451"/>
      <c r="DS47" s="451"/>
      <c r="DT47" s="451"/>
      <c r="DU47" s="451"/>
      <c r="DV47" s="451"/>
      <c r="DW47" s="451"/>
      <c r="DX47" s="451"/>
      <c r="DY47" s="451"/>
      <c r="DZ47" s="451"/>
      <c r="EA47" s="451"/>
      <c r="EB47" s="451"/>
      <c r="EC47" s="451"/>
      <c r="ED47" s="451"/>
      <c r="EE47" s="451"/>
      <c r="EF47" s="451"/>
      <c r="EG47" s="451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1"/>
      <c r="EU47" s="451"/>
      <c r="EV47" s="451"/>
      <c r="EW47" s="451"/>
      <c r="EX47" s="451"/>
    </row>
    <row r="48" spans="1:154" s="456" customFormat="1" ht="16.5" customHeight="1">
      <c r="A48" s="1925"/>
      <c r="B48" s="1922"/>
      <c r="C48" s="422" t="s">
        <v>1197</v>
      </c>
      <c r="D48" s="469">
        <v>5970201.2168100011</v>
      </c>
      <c r="E48" s="469">
        <v>1706534.76</v>
      </c>
      <c r="F48" s="469">
        <v>4263666.4568100004</v>
      </c>
      <c r="G48" s="469">
        <v>82284</v>
      </c>
      <c r="H48" s="469">
        <v>6139813.6407000013</v>
      </c>
      <c r="I48" s="469">
        <v>142</v>
      </c>
      <c r="J48" s="469">
        <v>169626.09010999996</v>
      </c>
      <c r="K48" s="469">
        <v>82142</v>
      </c>
      <c r="L48" s="469">
        <v>5970187.550590002</v>
      </c>
      <c r="M48" s="470">
        <v>5970187.550590002</v>
      </c>
      <c r="N48" s="469">
        <v>1706534.76</v>
      </c>
      <c r="O48" s="469">
        <v>0</v>
      </c>
      <c r="P48" s="469">
        <v>4263652.7905899994</v>
      </c>
      <c r="Q48" s="469">
        <v>4263652.7804200007</v>
      </c>
      <c r="R48" s="469">
        <v>1.0170000077778241E-2</v>
      </c>
      <c r="S48" s="471">
        <v>13.666220000086469</v>
      </c>
      <c r="T48" s="411">
        <f t="shared" si="4"/>
        <v>0.99999771092807399</v>
      </c>
      <c r="U48" s="411">
        <f t="shared" si="5"/>
        <v>0.9999967923405505</v>
      </c>
      <c r="V48" s="469">
        <v>208637.4947500001</v>
      </c>
      <c r="W48" s="469">
        <v>2696</v>
      </c>
      <c r="X48" s="469">
        <v>210859.02244999999</v>
      </c>
      <c r="Y48" s="469">
        <v>-13</v>
      </c>
      <c r="Z48" s="469">
        <v>2235.193920000012</v>
      </c>
      <c r="AA48" s="469">
        <v>2709</v>
      </c>
      <c r="AB48" s="469">
        <v>208623.82853</v>
      </c>
      <c r="AC48" s="469">
        <v>208623.82853</v>
      </c>
      <c r="AD48" s="469">
        <v>0</v>
      </c>
      <c r="AE48" s="469">
        <v>0</v>
      </c>
      <c r="AF48" s="469">
        <v>208623.82853</v>
      </c>
      <c r="AG48" s="469">
        <v>208623.82853</v>
      </c>
      <c r="AH48" s="469">
        <v>0</v>
      </c>
      <c r="AI48" s="469">
        <v>13.666220000227042</v>
      </c>
      <c r="AJ48" s="412">
        <f t="shared" si="30"/>
        <v>0.99993449777559651</v>
      </c>
      <c r="AK48" s="413">
        <f t="shared" si="31"/>
        <v>0.99993449777559651</v>
      </c>
      <c r="AL48" s="455"/>
      <c r="AM48" s="455"/>
      <c r="AN48" s="455"/>
      <c r="AO48" s="455"/>
      <c r="AP48" s="455"/>
      <c r="AQ48" s="455"/>
      <c r="AR48" s="455"/>
      <c r="AS48" s="455"/>
      <c r="AT48" s="455"/>
      <c r="AU48" s="455"/>
      <c r="AV48" s="455"/>
      <c r="AW48" s="455"/>
      <c r="AX48" s="455"/>
      <c r="AY48" s="455"/>
      <c r="AZ48" s="455"/>
      <c r="BA48" s="455"/>
      <c r="BB48" s="455"/>
      <c r="BC48" s="455"/>
      <c r="BD48" s="455"/>
      <c r="BE48" s="455"/>
      <c r="BF48" s="455"/>
      <c r="BG48" s="455"/>
      <c r="BH48" s="455"/>
      <c r="BI48" s="455"/>
      <c r="BJ48" s="455"/>
      <c r="BK48" s="455"/>
      <c r="BL48" s="455"/>
      <c r="BM48" s="455"/>
      <c r="BN48" s="455"/>
      <c r="BO48" s="455"/>
      <c r="BP48" s="455"/>
      <c r="BQ48" s="455"/>
      <c r="BR48" s="455"/>
      <c r="BS48" s="455"/>
      <c r="BT48" s="455"/>
      <c r="BU48" s="455"/>
      <c r="BV48" s="455"/>
      <c r="BW48" s="455"/>
      <c r="BX48" s="455"/>
      <c r="BY48" s="455"/>
      <c r="BZ48" s="455"/>
      <c r="CA48" s="455"/>
      <c r="CB48" s="455"/>
      <c r="CC48" s="455"/>
      <c r="CD48" s="455"/>
      <c r="CE48" s="455"/>
      <c r="CF48" s="455"/>
      <c r="CG48" s="455"/>
      <c r="CH48" s="455"/>
      <c r="CI48" s="455"/>
      <c r="CJ48" s="455"/>
      <c r="CK48" s="455"/>
      <c r="CL48" s="455"/>
      <c r="CM48" s="455"/>
      <c r="CN48" s="455"/>
      <c r="CO48" s="455"/>
      <c r="CP48" s="455"/>
      <c r="CQ48" s="455"/>
      <c r="CR48" s="455"/>
      <c r="CS48" s="455"/>
      <c r="CT48" s="455"/>
      <c r="CU48" s="455"/>
      <c r="CV48" s="455"/>
      <c r="CW48" s="455"/>
      <c r="CX48" s="455"/>
      <c r="CY48" s="455"/>
      <c r="CZ48" s="455"/>
      <c r="DA48" s="455"/>
      <c r="DB48" s="455"/>
      <c r="DC48" s="455"/>
      <c r="DD48" s="455"/>
      <c r="DE48" s="455"/>
      <c r="DF48" s="455"/>
      <c r="DG48" s="455"/>
      <c r="DH48" s="455"/>
      <c r="DI48" s="455"/>
      <c r="DJ48" s="455"/>
      <c r="DK48" s="455"/>
      <c r="DL48" s="455"/>
      <c r="DM48" s="455"/>
      <c r="DN48" s="455"/>
      <c r="DO48" s="455"/>
      <c r="DP48" s="455"/>
      <c r="DQ48" s="455"/>
      <c r="DR48" s="455"/>
      <c r="DS48" s="455"/>
      <c r="DT48" s="455"/>
      <c r="DU48" s="455"/>
      <c r="DV48" s="455"/>
      <c r="DW48" s="455"/>
      <c r="DX48" s="455"/>
      <c r="DY48" s="455"/>
      <c r="DZ48" s="455"/>
      <c r="EA48" s="455"/>
      <c r="EB48" s="455"/>
      <c r="EC48" s="455"/>
      <c r="ED48" s="455"/>
      <c r="EE48" s="455"/>
      <c r="EF48" s="455"/>
      <c r="EG48" s="455"/>
      <c r="EH48" s="455"/>
      <c r="EI48" s="455"/>
      <c r="EJ48" s="455"/>
      <c r="EK48" s="455"/>
      <c r="EL48" s="455"/>
      <c r="EM48" s="455"/>
      <c r="EN48" s="455"/>
      <c r="EO48" s="455"/>
      <c r="EP48" s="455"/>
      <c r="EQ48" s="455"/>
      <c r="ER48" s="455"/>
      <c r="ES48" s="455"/>
      <c r="ET48" s="455"/>
      <c r="EU48" s="455"/>
      <c r="EV48" s="455"/>
      <c r="EW48" s="455"/>
      <c r="EX48" s="455"/>
    </row>
    <row r="49" spans="1:154" s="456" customFormat="1" ht="16.5" customHeight="1">
      <c r="A49" s="1925"/>
      <c r="B49" s="1922"/>
      <c r="C49" s="422" t="s">
        <v>1198</v>
      </c>
      <c r="D49" s="469">
        <v>736612.28495</v>
      </c>
      <c r="E49" s="469">
        <v>95717.34</v>
      </c>
      <c r="F49" s="469">
        <v>640894.94495000003</v>
      </c>
      <c r="G49" s="469">
        <v>1017</v>
      </c>
      <c r="H49" s="469">
        <v>766881.85874000005</v>
      </c>
      <c r="I49" s="469">
        <v>3</v>
      </c>
      <c r="J49" s="469">
        <v>30269.573790000009</v>
      </c>
      <c r="K49" s="469">
        <v>1014</v>
      </c>
      <c r="L49" s="469">
        <v>736612.28495000012</v>
      </c>
      <c r="M49" s="470">
        <v>736612.28495000012</v>
      </c>
      <c r="N49" s="469">
        <v>95717.34</v>
      </c>
      <c r="O49" s="469">
        <v>0</v>
      </c>
      <c r="P49" s="469">
        <v>640894.94494999992</v>
      </c>
      <c r="Q49" s="469">
        <v>640894.98621</v>
      </c>
      <c r="R49" s="469">
        <v>-4.1260000011334341E-2</v>
      </c>
      <c r="S49" s="471">
        <v>0</v>
      </c>
      <c r="T49" s="411">
        <f t="shared" si="4"/>
        <v>1.0000000000000002</v>
      </c>
      <c r="U49" s="411">
        <f t="shared" si="5"/>
        <v>1.0000000643787259</v>
      </c>
      <c r="V49" s="469">
        <v>48100.624209999951</v>
      </c>
      <c r="W49" s="469">
        <v>49</v>
      </c>
      <c r="X49" s="469">
        <v>46938.3482</v>
      </c>
      <c r="Y49" s="469">
        <v>-1</v>
      </c>
      <c r="Z49" s="469">
        <v>-1162.2760099999987</v>
      </c>
      <c r="AA49" s="469">
        <v>50</v>
      </c>
      <c r="AB49" s="469">
        <v>48100.624210000002</v>
      </c>
      <c r="AC49" s="469">
        <v>48100.624210000002</v>
      </c>
      <c r="AD49" s="469">
        <v>0</v>
      </c>
      <c r="AE49" s="469">
        <v>0</v>
      </c>
      <c r="AF49" s="469">
        <v>48100.624210000002</v>
      </c>
      <c r="AG49" s="469">
        <v>48100.624210000002</v>
      </c>
      <c r="AH49" s="469">
        <v>0</v>
      </c>
      <c r="AI49" s="469">
        <v>-3.637978807091713E-11</v>
      </c>
      <c r="AJ49" s="412">
        <f t="shared" si="30"/>
        <v>1.0000000000000011</v>
      </c>
      <c r="AK49" s="413">
        <f t="shared" si="31"/>
        <v>1.0000000000000011</v>
      </c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  <c r="CY49" s="455"/>
      <c r="CZ49" s="455"/>
      <c r="DA49" s="455"/>
      <c r="DB49" s="455"/>
      <c r="DC49" s="455"/>
      <c r="DD49" s="455"/>
      <c r="DE49" s="455"/>
      <c r="DF49" s="455"/>
      <c r="DG49" s="455"/>
      <c r="DH49" s="455"/>
      <c r="DI49" s="455"/>
      <c r="DJ49" s="455"/>
      <c r="DK49" s="455"/>
      <c r="DL49" s="455"/>
      <c r="DM49" s="455"/>
      <c r="DN49" s="455"/>
      <c r="DO49" s="455"/>
      <c r="DP49" s="455"/>
      <c r="DQ49" s="455"/>
      <c r="DR49" s="455"/>
      <c r="DS49" s="455"/>
      <c r="DT49" s="455"/>
      <c r="DU49" s="455"/>
      <c r="DV49" s="455"/>
      <c r="DW49" s="455"/>
      <c r="DX49" s="455"/>
      <c r="DY49" s="455"/>
      <c r="DZ49" s="455"/>
      <c r="EA49" s="455"/>
      <c r="EB49" s="455"/>
      <c r="EC49" s="455"/>
      <c r="ED49" s="455"/>
      <c r="EE49" s="455"/>
      <c r="EF49" s="455"/>
      <c r="EG49" s="455"/>
      <c r="EH49" s="455"/>
      <c r="EI49" s="455"/>
      <c r="EJ49" s="455"/>
      <c r="EK49" s="455"/>
      <c r="EL49" s="455"/>
      <c r="EM49" s="455"/>
      <c r="EN49" s="455"/>
      <c r="EO49" s="455"/>
      <c r="EP49" s="455"/>
      <c r="EQ49" s="455"/>
      <c r="ER49" s="455"/>
      <c r="ES49" s="455"/>
      <c r="ET49" s="455"/>
      <c r="EU49" s="455"/>
      <c r="EV49" s="455"/>
      <c r="EW49" s="455"/>
      <c r="EX49" s="455"/>
    </row>
    <row r="50" spans="1:154" s="456" customFormat="1" ht="16.5" customHeight="1">
      <c r="A50" s="1925"/>
      <c r="B50" s="1922"/>
      <c r="C50" s="422" t="s">
        <v>1199</v>
      </c>
      <c r="D50" s="469">
        <v>1130513.4982400001</v>
      </c>
      <c r="E50" s="469">
        <v>331263.89999999997</v>
      </c>
      <c r="F50" s="469">
        <v>799249.59823999996</v>
      </c>
      <c r="G50" s="469">
        <v>58344</v>
      </c>
      <c r="H50" s="469">
        <v>1156714.7042258999</v>
      </c>
      <c r="I50" s="469">
        <v>136</v>
      </c>
      <c r="J50" s="469">
        <v>26201.2059859</v>
      </c>
      <c r="K50" s="469">
        <v>58208</v>
      </c>
      <c r="L50" s="469">
        <v>1130513.4982400003</v>
      </c>
      <c r="M50" s="470">
        <v>1130513.4982400003</v>
      </c>
      <c r="N50" s="469">
        <v>331263.89999999997</v>
      </c>
      <c r="O50" s="469">
        <v>0</v>
      </c>
      <c r="P50" s="469">
        <v>799249.59823999996</v>
      </c>
      <c r="Q50" s="469">
        <v>799249.56715000013</v>
      </c>
      <c r="R50" s="469">
        <v>3.109000000654305E-2</v>
      </c>
      <c r="S50" s="471">
        <v>-4.0927261579781771E-12</v>
      </c>
      <c r="T50" s="411">
        <f t="shared" si="4"/>
        <v>1.0000000000000004</v>
      </c>
      <c r="U50" s="411">
        <f t="shared" si="5"/>
        <v>0.99999996110101286</v>
      </c>
      <c r="V50" s="469">
        <v>29592.997749999962</v>
      </c>
      <c r="W50" s="469">
        <v>1842</v>
      </c>
      <c r="X50" s="469">
        <v>29790.336250000004</v>
      </c>
      <c r="Y50" s="469">
        <v>2</v>
      </c>
      <c r="Z50" s="469">
        <v>197.3384999999995</v>
      </c>
      <c r="AA50" s="469">
        <v>1840</v>
      </c>
      <c r="AB50" s="469">
        <v>29592.997750000006</v>
      </c>
      <c r="AC50" s="469">
        <v>29592.997750000006</v>
      </c>
      <c r="AD50" s="469">
        <v>0</v>
      </c>
      <c r="AE50" s="469">
        <v>0</v>
      </c>
      <c r="AF50" s="469">
        <v>29592.997750000006</v>
      </c>
      <c r="AG50" s="469">
        <v>29592.997750000006</v>
      </c>
      <c r="AH50" s="469">
        <v>0</v>
      </c>
      <c r="AI50" s="469">
        <v>-3.8411940295191016E-11</v>
      </c>
      <c r="AJ50" s="412">
        <f t="shared" si="30"/>
        <v>1.0000000000000016</v>
      </c>
      <c r="AK50" s="413">
        <f t="shared" si="31"/>
        <v>1.0000000000000016</v>
      </c>
      <c r="AL50" s="455"/>
      <c r="AM50" s="455"/>
      <c r="AN50" s="455"/>
      <c r="AO50" s="455"/>
      <c r="AP50" s="455"/>
      <c r="AQ50" s="455"/>
      <c r="AR50" s="455"/>
      <c r="AS50" s="455"/>
      <c r="AT50" s="455"/>
      <c r="AU50" s="455"/>
      <c r="AV50" s="455"/>
      <c r="AW50" s="455"/>
      <c r="AX50" s="455"/>
      <c r="AY50" s="455"/>
      <c r="AZ50" s="455"/>
      <c r="BA50" s="455"/>
      <c r="BB50" s="455"/>
      <c r="BC50" s="455"/>
      <c r="BD50" s="455"/>
      <c r="BE50" s="455"/>
      <c r="BF50" s="455"/>
      <c r="BG50" s="455"/>
      <c r="BH50" s="455"/>
      <c r="BI50" s="455"/>
      <c r="BJ50" s="455"/>
      <c r="BK50" s="455"/>
      <c r="BL50" s="455"/>
      <c r="BM50" s="455"/>
      <c r="BN50" s="455"/>
      <c r="BO50" s="455"/>
      <c r="BP50" s="455"/>
      <c r="BQ50" s="455"/>
      <c r="BR50" s="455"/>
      <c r="BS50" s="455"/>
      <c r="BT50" s="455"/>
      <c r="BU50" s="455"/>
      <c r="BV50" s="455"/>
      <c r="BW50" s="455"/>
      <c r="BX50" s="455"/>
      <c r="BY50" s="455"/>
      <c r="BZ50" s="455"/>
      <c r="CA50" s="455"/>
      <c r="CB50" s="455"/>
      <c r="CC50" s="455"/>
      <c r="CD50" s="455"/>
      <c r="CE50" s="455"/>
      <c r="CF50" s="455"/>
      <c r="CG50" s="455"/>
      <c r="CH50" s="455"/>
      <c r="CI50" s="455"/>
      <c r="CJ50" s="455"/>
      <c r="CK50" s="455"/>
      <c r="CL50" s="455"/>
      <c r="CM50" s="455"/>
      <c r="CN50" s="455"/>
      <c r="CO50" s="455"/>
      <c r="CP50" s="455"/>
      <c r="CQ50" s="455"/>
      <c r="CR50" s="455"/>
      <c r="CS50" s="455"/>
      <c r="CT50" s="455"/>
      <c r="CU50" s="455"/>
      <c r="CV50" s="455"/>
      <c r="CW50" s="455"/>
      <c r="CX50" s="455"/>
      <c r="CY50" s="455"/>
      <c r="CZ50" s="455"/>
      <c r="DA50" s="455"/>
      <c r="DB50" s="455"/>
      <c r="DC50" s="455"/>
      <c r="DD50" s="455"/>
      <c r="DE50" s="455"/>
      <c r="DF50" s="455"/>
      <c r="DG50" s="455"/>
      <c r="DH50" s="455"/>
      <c r="DI50" s="455"/>
      <c r="DJ50" s="455"/>
      <c r="DK50" s="455"/>
      <c r="DL50" s="455"/>
      <c r="DM50" s="455"/>
      <c r="DN50" s="455"/>
      <c r="DO50" s="455"/>
      <c r="DP50" s="455"/>
      <c r="DQ50" s="455"/>
      <c r="DR50" s="455"/>
      <c r="DS50" s="455"/>
      <c r="DT50" s="455"/>
      <c r="DU50" s="455"/>
      <c r="DV50" s="455"/>
      <c r="DW50" s="455"/>
      <c r="DX50" s="455"/>
      <c r="DY50" s="455"/>
      <c r="DZ50" s="455"/>
      <c r="EA50" s="455"/>
      <c r="EB50" s="455"/>
      <c r="EC50" s="455"/>
      <c r="ED50" s="455"/>
      <c r="EE50" s="455"/>
      <c r="EF50" s="455"/>
      <c r="EG50" s="455"/>
      <c r="EH50" s="455"/>
      <c r="EI50" s="455"/>
      <c r="EJ50" s="455"/>
      <c r="EK50" s="455"/>
      <c r="EL50" s="455"/>
      <c r="EM50" s="455"/>
      <c r="EN50" s="455"/>
      <c r="EO50" s="455"/>
      <c r="EP50" s="455"/>
      <c r="EQ50" s="455"/>
      <c r="ER50" s="455"/>
      <c r="ES50" s="455"/>
      <c r="ET50" s="455"/>
      <c r="EU50" s="455"/>
      <c r="EV50" s="455"/>
      <c r="EW50" s="455"/>
      <c r="EX50" s="455"/>
    </row>
    <row r="51" spans="1:154" s="477" customFormat="1" ht="16.5" customHeight="1">
      <c r="A51" s="1909">
        <v>8</v>
      </c>
      <c r="B51" s="1910" t="s">
        <v>1158</v>
      </c>
      <c r="C51" s="472" t="s">
        <v>1196</v>
      </c>
      <c r="D51" s="473">
        <f t="shared" ref="D51:S51" si="36">D52+D53+D54+D55+D56</f>
        <v>15971926.1</v>
      </c>
      <c r="E51" s="473">
        <f t="shared" si="36"/>
        <v>4176678.0329999998</v>
      </c>
      <c r="F51" s="473">
        <f t="shared" si="36"/>
        <v>11795248.067000002</v>
      </c>
      <c r="G51" s="473">
        <f t="shared" si="36"/>
        <v>271361</v>
      </c>
      <c r="H51" s="473">
        <f t="shared" si="36"/>
        <v>17014119.600740001</v>
      </c>
      <c r="I51" s="473">
        <f t="shared" si="36"/>
        <v>24685</v>
      </c>
      <c r="J51" s="473">
        <f t="shared" si="36"/>
        <v>1006674.6208900001</v>
      </c>
      <c r="K51" s="473">
        <f t="shared" si="36"/>
        <v>268707</v>
      </c>
      <c r="L51" s="473">
        <f t="shared" si="36"/>
        <v>16292839.789860003</v>
      </c>
      <c r="M51" s="474">
        <f t="shared" si="36"/>
        <v>15971926.102609999</v>
      </c>
      <c r="N51" s="473">
        <f t="shared" si="36"/>
        <v>4176678.0349999992</v>
      </c>
      <c r="O51" s="473">
        <f t="shared" si="36"/>
        <v>0</v>
      </c>
      <c r="P51" s="473">
        <f t="shared" si="36"/>
        <v>11795248.069610002</v>
      </c>
      <c r="Q51" s="473">
        <f t="shared" si="36"/>
        <v>11795248.069610002</v>
      </c>
      <c r="R51" s="473">
        <f t="shared" si="36"/>
        <v>0</v>
      </c>
      <c r="S51" s="475">
        <f t="shared" si="36"/>
        <v>0</v>
      </c>
      <c r="T51" s="411">
        <f t="shared" si="4"/>
        <v>1.0000000000381919</v>
      </c>
      <c r="U51" s="411">
        <f t="shared" si="5"/>
        <v>1.0000000002212754</v>
      </c>
      <c r="V51" s="473">
        <f t="shared" ref="V51:AI51" si="37">V52+V53+V54+V55+V56</f>
        <v>661061.84800000011</v>
      </c>
      <c r="W51" s="473">
        <f t="shared" si="37"/>
        <v>11100</v>
      </c>
      <c r="X51" s="473">
        <f t="shared" si="37"/>
        <v>719607.02499999991</v>
      </c>
      <c r="Y51" s="473">
        <f t="shared" si="37"/>
        <v>603</v>
      </c>
      <c r="Z51" s="473">
        <f t="shared" si="37"/>
        <v>45043.439999999988</v>
      </c>
      <c r="AA51" s="473">
        <f t="shared" si="37"/>
        <v>10541</v>
      </c>
      <c r="AB51" s="473">
        <f t="shared" si="37"/>
        <v>721017.96100000001</v>
      </c>
      <c r="AC51" s="473">
        <f t="shared" si="37"/>
        <v>661061.84800000011</v>
      </c>
      <c r="AD51" s="473">
        <f t="shared" si="37"/>
        <v>0</v>
      </c>
      <c r="AE51" s="473">
        <f t="shared" si="37"/>
        <v>0</v>
      </c>
      <c r="AF51" s="473">
        <f t="shared" si="37"/>
        <v>661061.84800000011</v>
      </c>
      <c r="AG51" s="473">
        <f t="shared" si="37"/>
        <v>661061.84800000011</v>
      </c>
      <c r="AH51" s="473">
        <f t="shared" si="37"/>
        <v>0</v>
      </c>
      <c r="AI51" s="473">
        <f t="shared" si="37"/>
        <v>0</v>
      </c>
      <c r="AJ51" s="412">
        <f t="shared" si="30"/>
        <v>1</v>
      </c>
      <c r="AK51" s="413">
        <f t="shared" si="31"/>
        <v>1</v>
      </c>
      <c r="AL51" s="476"/>
      <c r="AM51" s="476"/>
      <c r="AN51" s="476"/>
      <c r="AO51" s="476"/>
      <c r="AP51" s="476"/>
      <c r="AQ51" s="476"/>
      <c r="AR51" s="476"/>
      <c r="AS51" s="476"/>
      <c r="AT51" s="476"/>
      <c r="AU51" s="476"/>
      <c r="AV51" s="476"/>
      <c r="AW51" s="476"/>
      <c r="AX51" s="476"/>
      <c r="AY51" s="476"/>
      <c r="AZ51" s="476"/>
      <c r="BA51" s="476"/>
      <c r="BB51" s="476"/>
      <c r="BC51" s="476"/>
      <c r="BD51" s="476"/>
      <c r="BE51" s="476"/>
      <c r="BF51" s="476"/>
      <c r="BG51" s="476"/>
      <c r="BH51" s="476"/>
      <c r="BI51" s="476"/>
      <c r="BJ51" s="476"/>
      <c r="BK51" s="476"/>
      <c r="BL51" s="476"/>
      <c r="BM51" s="476"/>
      <c r="BN51" s="476"/>
      <c r="BO51" s="476"/>
      <c r="BP51" s="476"/>
      <c r="BQ51" s="476"/>
      <c r="BR51" s="476"/>
      <c r="BS51" s="476"/>
      <c r="BT51" s="476"/>
      <c r="BU51" s="476"/>
      <c r="BV51" s="476"/>
      <c r="BW51" s="476"/>
      <c r="BX51" s="476"/>
      <c r="BY51" s="476"/>
      <c r="BZ51" s="476"/>
      <c r="CA51" s="476"/>
      <c r="CB51" s="476"/>
      <c r="CC51" s="476"/>
      <c r="CD51" s="476"/>
      <c r="CE51" s="476"/>
      <c r="CF51" s="476"/>
      <c r="CG51" s="476"/>
      <c r="CH51" s="476"/>
      <c r="CI51" s="476"/>
      <c r="CJ51" s="476"/>
      <c r="CK51" s="476"/>
      <c r="CL51" s="476"/>
      <c r="CM51" s="476"/>
      <c r="CN51" s="476"/>
      <c r="CO51" s="476"/>
      <c r="CP51" s="476"/>
      <c r="CQ51" s="476"/>
      <c r="CR51" s="476"/>
      <c r="CS51" s="476"/>
      <c r="CT51" s="476"/>
      <c r="CU51" s="476"/>
      <c r="CV51" s="476"/>
      <c r="CW51" s="476"/>
      <c r="CX51" s="476"/>
      <c r="CY51" s="476"/>
      <c r="CZ51" s="476"/>
      <c r="DA51" s="476"/>
      <c r="DB51" s="476"/>
      <c r="DC51" s="476"/>
      <c r="DD51" s="476"/>
      <c r="DE51" s="476"/>
      <c r="DF51" s="476"/>
      <c r="DG51" s="476"/>
      <c r="DH51" s="476"/>
      <c r="DI51" s="476"/>
      <c r="DJ51" s="476"/>
      <c r="DK51" s="476"/>
      <c r="DL51" s="476"/>
      <c r="DM51" s="476"/>
      <c r="DN51" s="476"/>
      <c r="DO51" s="476"/>
      <c r="DP51" s="476"/>
      <c r="DQ51" s="476"/>
      <c r="DR51" s="476"/>
      <c r="DS51" s="476"/>
      <c r="DT51" s="476"/>
      <c r="DU51" s="476"/>
      <c r="DV51" s="476"/>
      <c r="DW51" s="476"/>
      <c r="DX51" s="476"/>
      <c r="DY51" s="476"/>
      <c r="DZ51" s="476"/>
      <c r="EA51" s="476"/>
      <c r="EB51" s="476"/>
      <c r="EC51" s="476"/>
      <c r="ED51" s="476"/>
      <c r="EE51" s="476"/>
      <c r="EF51" s="476"/>
      <c r="EG51" s="476"/>
      <c r="EH51" s="476"/>
      <c r="EI51" s="476"/>
      <c r="EJ51" s="476"/>
      <c r="EK51" s="476"/>
      <c r="EL51" s="476"/>
      <c r="EM51" s="476"/>
      <c r="EN51" s="476"/>
      <c r="EO51" s="476"/>
      <c r="EP51" s="476"/>
      <c r="EQ51" s="476"/>
      <c r="ER51" s="476"/>
      <c r="ES51" s="476"/>
      <c r="ET51" s="476"/>
      <c r="EU51" s="476"/>
      <c r="EV51" s="476"/>
      <c r="EW51" s="476"/>
      <c r="EX51" s="476"/>
    </row>
    <row r="52" spans="1:154" s="480" customFormat="1" ht="16.5" customHeight="1">
      <c r="A52" s="1909"/>
      <c r="B52" s="1910"/>
      <c r="C52" s="478" t="s">
        <v>1197</v>
      </c>
      <c r="D52" s="473">
        <v>11201589.368999999</v>
      </c>
      <c r="E52" s="473">
        <v>3436300.7749999999</v>
      </c>
      <c r="F52" s="473">
        <v>7765288.5940000014</v>
      </c>
      <c r="G52" s="473">
        <v>169400</v>
      </c>
      <c r="H52" s="473">
        <v>12098907.408760002</v>
      </c>
      <c r="I52" s="473">
        <v>19247</v>
      </c>
      <c r="J52" s="473">
        <v>775677.19843000011</v>
      </c>
      <c r="K52" s="473">
        <v>167617</v>
      </c>
      <c r="L52" s="473">
        <v>11504181.608220002</v>
      </c>
      <c r="M52" s="474">
        <v>11215599.069609998</v>
      </c>
      <c r="N52" s="473">
        <v>3437391.4849999994</v>
      </c>
      <c r="O52" s="473">
        <v>0</v>
      </c>
      <c r="P52" s="473">
        <v>7778207.5856100013</v>
      </c>
      <c r="Q52" s="473">
        <v>7778207.5856100013</v>
      </c>
      <c r="R52" s="473">
        <v>0</v>
      </c>
      <c r="S52" s="430">
        <v>0</v>
      </c>
      <c r="T52" s="411">
        <f t="shared" si="4"/>
        <v>1.0011532053507639</v>
      </c>
      <c r="U52" s="411">
        <f t="shared" si="5"/>
        <v>1.0016636846723226</v>
      </c>
      <c r="V52" s="473">
        <v>425670.03600000014</v>
      </c>
      <c r="W52" s="473">
        <v>6469</v>
      </c>
      <c r="X52" s="473">
        <v>474071.11599999986</v>
      </c>
      <c r="Y52" s="473">
        <v>440</v>
      </c>
      <c r="Z52" s="473">
        <v>32983.608999999989</v>
      </c>
      <c r="AA52" s="473">
        <v>6566</v>
      </c>
      <c r="AB52" s="473">
        <v>472455.72000000003</v>
      </c>
      <c r="AC52" s="473">
        <v>425670.03600000014</v>
      </c>
      <c r="AD52" s="473">
        <v>0</v>
      </c>
      <c r="AE52" s="473">
        <v>0</v>
      </c>
      <c r="AF52" s="473">
        <v>425670.03600000014</v>
      </c>
      <c r="AG52" s="473">
        <v>425670.03600000014</v>
      </c>
      <c r="AH52" s="473">
        <v>0</v>
      </c>
      <c r="AI52" s="473">
        <v>0</v>
      </c>
      <c r="AJ52" s="412">
        <f t="shared" si="30"/>
        <v>1</v>
      </c>
      <c r="AK52" s="413">
        <f t="shared" si="31"/>
        <v>1</v>
      </c>
      <c r="AL52" s="479"/>
      <c r="AM52" s="479"/>
      <c r="AN52" s="479"/>
      <c r="AO52" s="479"/>
      <c r="AP52" s="479"/>
      <c r="AQ52" s="479"/>
      <c r="AR52" s="479"/>
      <c r="AS52" s="479"/>
      <c r="AT52" s="479"/>
      <c r="AU52" s="479"/>
      <c r="AV52" s="479"/>
      <c r="AW52" s="479"/>
      <c r="AX52" s="479"/>
      <c r="AY52" s="479"/>
      <c r="AZ52" s="479"/>
      <c r="BA52" s="479"/>
      <c r="BB52" s="479"/>
      <c r="BC52" s="479"/>
      <c r="BD52" s="479"/>
      <c r="BE52" s="479"/>
      <c r="BF52" s="479"/>
      <c r="BG52" s="479"/>
      <c r="BH52" s="479"/>
      <c r="BI52" s="479"/>
      <c r="BJ52" s="479"/>
      <c r="BK52" s="479"/>
      <c r="BL52" s="479"/>
      <c r="BM52" s="479"/>
      <c r="BN52" s="479"/>
      <c r="BO52" s="479"/>
      <c r="BP52" s="479"/>
      <c r="BQ52" s="479"/>
      <c r="BR52" s="479"/>
      <c r="BS52" s="479"/>
      <c r="BT52" s="479"/>
      <c r="BU52" s="479"/>
      <c r="BV52" s="479"/>
      <c r="BW52" s="479"/>
      <c r="BX52" s="479"/>
      <c r="BY52" s="479"/>
      <c r="BZ52" s="479"/>
      <c r="CA52" s="479"/>
      <c r="CB52" s="479"/>
      <c r="CC52" s="479"/>
      <c r="CD52" s="479"/>
      <c r="CE52" s="479"/>
      <c r="CF52" s="479"/>
      <c r="CG52" s="479"/>
      <c r="CH52" s="479"/>
      <c r="CI52" s="479"/>
      <c r="CJ52" s="479"/>
      <c r="CK52" s="479"/>
      <c r="CL52" s="479"/>
      <c r="CM52" s="479"/>
      <c r="CN52" s="479"/>
      <c r="CO52" s="479"/>
      <c r="CP52" s="479"/>
      <c r="CQ52" s="479"/>
      <c r="CR52" s="479"/>
      <c r="CS52" s="479"/>
      <c r="CT52" s="479"/>
      <c r="CU52" s="479"/>
      <c r="CV52" s="479"/>
      <c r="CW52" s="479"/>
      <c r="CX52" s="479"/>
      <c r="CY52" s="479"/>
      <c r="CZ52" s="479"/>
      <c r="DA52" s="479"/>
      <c r="DB52" s="479"/>
      <c r="DC52" s="479"/>
      <c r="DD52" s="479"/>
      <c r="DE52" s="479"/>
      <c r="DF52" s="479"/>
      <c r="DG52" s="479"/>
      <c r="DH52" s="479"/>
      <c r="DI52" s="479"/>
      <c r="DJ52" s="479"/>
      <c r="DK52" s="479"/>
      <c r="DL52" s="479"/>
      <c r="DM52" s="479"/>
      <c r="DN52" s="479"/>
      <c r="DO52" s="479"/>
      <c r="DP52" s="479"/>
      <c r="DQ52" s="479"/>
      <c r="DR52" s="479"/>
      <c r="DS52" s="479"/>
      <c r="DT52" s="479"/>
      <c r="DU52" s="479"/>
      <c r="DV52" s="479"/>
      <c r="DW52" s="479"/>
      <c r="DX52" s="479"/>
      <c r="DY52" s="479"/>
      <c r="DZ52" s="479"/>
      <c r="EA52" s="479"/>
      <c r="EB52" s="479"/>
      <c r="EC52" s="479"/>
      <c r="ED52" s="479"/>
      <c r="EE52" s="479"/>
      <c r="EF52" s="479"/>
      <c r="EG52" s="479"/>
      <c r="EH52" s="479"/>
      <c r="EI52" s="479"/>
      <c r="EJ52" s="479"/>
      <c r="EK52" s="479"/>
      <c r="EL52" s="479"/>
      <c r="EM52" s="479"/>
      <c r="EN52" s="479"/>
      <c r="EO52" s="479"/>
      <c r="EP52" s="479"/>
      <c r="EQ52" s="479"/>
      <c r="ER52" s="479"/>
      <c r="ES52" s="479"/>
      <c r="ET52" s="479"/>
      <c r="EU52" s="479"/>
      <c r="EV52" s="479"/>
      <c r="EW52" s="479"/>
      <c r="EX52" s="479"/>
    </row>
    <row r="53" spans="1:154" s="480" customFormat="1" ht="16.5" customHeight="1">
      <c r="A53" s="1909"/>
      <c r="B53" s="1910"/>
      <c r="C53" s="478" t="s">
        <v>1198</v>
      </c>
      <c r="D53" s="473">
        <v>2867283</v>
      </c>
      <c r="E53" s="473">
        <v>334036.20000000007</v>
      </c>
      <c r="F53" s="473">
        <v>2533246.8000000003</v>
      </c>
      <c r="G53" s="473">
        <v>4048</v>
      </c>
      <c r="H53" s="473">
        <v>2934819.6009599995</v>
      </c>
      <c r="I53" s="473">
        <v>469</v>
      </c>
      <c r="J53" s="473">
        <v>187037.67454000001</v>
      </c>
      <c r="K53" s="473">
        <v>4038</v>
      </c>
      <c r="L53" s="473">
        <v>2858822.9243599996</v>
      </c>
      <c r="M53" s="474">
        <v>2856677.3620000002</v>
      </c>
      <c r="N53" s="473">
        <v>334036.2</v>
      </c>
      <c r="O53" s="473">
        <v>0</v>
      </c>
      <c r="P53" s="473">
        <v>2522641.1619999995</v>
      </c>
      <c r="Q53" s="473">
        <v>2522641.1619999995</v>
      </c>
      <c r="R53" s="473">
        <v>0</v>
      </c>
      <c r="S53" s="430">
        <v>0</v>
      </c>
      <c r="T53" s="411">
        <f t="shared" si="4"/>
        <v>0.99630115408908004</v>
      </c>
      <c r="U53" s="411">
        <f t="shared" si="5"/>
        <v>0.99581342094264136</v>
      </c>
      <c r="V53" s="473">
        <v>159998.20700000002</v>
      </c>
      <c r="W53" s="473">
        <v>177</v>
      </c>
      <c r="X53" s="473">
        <v>136326.041</v>
      </c>
      <c r="Y53" s="473">
        <v>12</v>
      </c>
      <c r="Z53" s="473">
        <v>10692.013000000001</v>
      </c>
      <c r="AA53" s="473">
        <v>197</v>
      </c>
      <c r="AB53" s="473">
        <v>159998.20700000002</v>
      </c>
      <c r="AC53" s="473">
        <v>159998.20700000002</v>
      </c>
      <c r="AD53" s="473">
        <v>0</v>
      </c>
      <c r="AE53" s="473">
        <v>0</v>
      </c>
      <c r="AF53" s="473">
        <v>159998.20700000002</v>
      </c>
      <c r="AG53" s="473">
        <v>159998.20700000002</v>
      </c>
      <c r="AH53" s="473">
        <v>0</v>
      </c>
      <c r="AI53" s="473">
        <v>0</v>
      </c>
      <c r="AJ53" s="412">
        <f t="shared" si="30"/>
        <v>1</v>
      </c>
      <c r="AK53" s="413">
        <f t="shared" si="31"/>
        <v>1</v>
      </c>
      <c r="AL53" s="479"/>
      <c r="AM53" s="479"/>
      <c r="AN53" s="479"/>
      <c r="AO53" s="479"/>
      <c r="AP53" s="479"/>
      <c r="AQ53" s="479"/>
      <c r="AR53" s="479"/>
      <c r="AS53" s="479"/>
      <c r="AT53" s="479"/>
      <c r="AU53" s="479"/>
      <c r="AV53" s="479"/>
      <c r="AW53" s="479"/>
      <c r="AX53" s="479"/>
      <c r="AY53" s="479"/>
      <c r="AZ53" s="479"/>
      <c r="BA53" s="479"/>
      <c r="BB53" s="479"/>
      <c r="BC53" s="479"/>
      <c r="BD53" s="479"/>
      <c r="BE53" s="479"/>
      <c r="BF53" s="479"/>
      <c r="BG53" s="479"/>
      <c r="BH53" s="479"/>
      <c r="BI53" s="479"/>
      <c r="BJ53" s="479"/>
      <c r="BK53" s="479"/>
      <c r="BL53" s="479"/>
      <c r="BM53" s="479"/>
      <c r="BN53" s="479"/>
      <c r="BO53" s="479"/>
      <c r="BP53" s="479"/>
      <c r="BQ53" s="479"/>
      <c r="BR53" s="479"/>
      <c r="BS53" s="479"/>
      <c r="BT53" s="479"/>
      <c r="BU53" s="479"/>
      <c r="BV53" s="479"/>
      <c r="BW53" s="479"/>
      <c r="BX53" s="479"/>
      <c r="BY53" s="479"/>
      <c r="BZ53" s="479"/>
      <c r="CA53" s="479"/>
      <c r="CB53" s="479"/>
      <c r="CC53" s="479"/>
      <c r="CD53" s="479"/>
      <c r="CE53" s="479"/>
      <c r="CF53" s="479"/>
      <c r="CG53" s="479"/>
      <c r="CH53" s="479"/>
      <c r="CI53" s="479"/>
      <c r="CJ53" s="479"/>
      <c r="CK53" s="479"/>
      <c r="CL53" s="479"/>
      <c r="CM53" s="479"/>
      <c r="CN53" s="479"/>
      <c r="CO53" s="479"/>
      <c r="CP53" s="479"/>
      <c r="CQ53" s="479"/>
      <c r="CR53" s="479"/>
      <c r="CS53" s="479"/>
      <c r="CT53" s="479"/>
      <c r="CU53" s="479"/>
      <c r="CV53" s="479"/>
      <c r="CW53" s="479"/>
      <c r="CX53" s="479"/>
      <c r="CY53" s="479"/>
      <c r="CZ53" s="479"/>
      <c r="DA53" s="479"/>
      <c r="DB53" s="479"/>
      <c r="DC53" s="479"/>
      <c r="DD53" s="479"/>
      <c r="DE53" s="479"/>
      <c r="DF53" s="479"/>
      <c r="DG53" s="479"/>
      <c r="DH53" s="479"/>
      <c r="DI53" s="479"/>
      <c r="DJ53" s="479"/>
      <c r="DK53" s="479"/>
      <c r="DL53" s="479"/>
      <c r="DM53" s="479"/>
      <c r="DN53" s="479"/>
      <c r="DO53" s="479"/>
      <c r="DP53" s="479"/>
      <c r="DQ53" s="479"/>
      <c r="DR53" s="479"/>
      <c r="DS53" s="479"/>
      <c r="DT53" s="479"/>
      <c r="DU53" s="479"/>
      <c r="DV53" s="479"/>
      <c r="DW53" s="479"/>
      <c r="DX53" s="479"/>
      <c r="DY53" s="479"/>
      <c r="DZ53" s="479"/>
      <c r="EA53" s="479"/>
      <c r="EB53" s="479"/>
      <c r="EC53" s="479"/>
      <c r="ED53" s="479"/>
      <c r="EE53" s="479"/>
      <c r="EF53" s="479"/>
      <c r="EG53" s="479"/>
      <c r="EH53" s="479"/>
      <c r="EI53" s="479"/>
      <c r="EJ53" s="479"/>
      <c r="EK53" s="479"/>
      <c r="EL53" s="479"/>
      <c r="EM53" s="479"/>
      <c r="EN53" s="479"/>
      <c r="EO53" s="479"/>
      <c r="EP53" s="479"/>
      <c r="EQ53" s="479"/>
      <c r="ER53" s="479"/>
      <c r="ES53" s="479"/>
      <c r="ET53" s="479"/>
      <c r="EU53" s="479"/>
      <c r="EV53" s="479"/>
      <c r="EW53" s="479"/>
      <c r="EX53" s="479"/>
    </row>
    <row r="54" spans="1:154" s="480" customFormat="1" ht="16.5" customHeight="1">
      <c r="A54" s="1909"/>
      <c r="B54" s="1910"/>
      <c r="C54" s="478" t="s">
        <v>1199</v>
      </c>
      <c r="D54" s="473">
        <v>1840243</v>
      </c>
      <c r="E54" s="473">
        <v>401668.25799999997</v>
      </c>
      <c r="F54" s="473">
        <v>1438574.7420000001</v>
      </c>
      <c r="G54" s="473">
        <v>86570</v>
      </c>
      <c r="H54" s="473">
        <v>1903575.4028300003</v>
      </c>
      <c r="I54" s="473">
        <v>4969</v>
      </c>
      <c r="J54" s="473">
        <v>43403.441919999997</v>
      </c>
      <c r="K54" s="473">
        <v>85960</v>
      </c>
      <c r="L54" s="473">
        <v>1866912.18328</v>
      </c>
      <c r="M54" s="474">
        <v>1842440.3570000001</v>
      </c>
      <c r="N54" s="473">
        <v>400577.55</v>
      </c>
      <c r="O54" s="473">
        <v>0</v>
      </c>
      <c r="P54" s="473">
        <v>1441862.8080000002</v>
      </c>
      <c r="Q54" s="473">
        <v>1441862.8080000002</v>
      </c>
      <c r="R54" s="473">
        <v>0</v>
      </c>
      <c r="S54" s="430">
        <v>0</v>
      </c>
      <c r="T54" s="411">
        <f t="shared" si="4"/>
        <v>1.001787815513866</v>
      </c>
      <c r="U54" s="411">
        <f t="shared" si="5"/>
        <v>1.0022856414088217</v>
      </c>
      <c r="V54" s="473">
        <v>74782.498000000036</v>
      </c>
      <c r="W54" s="473">
        <v>3781</v>
      </c>
      <c r="X54" s="473">
        <v>88990.887000000017</v>
      </c>
      <c r="Y54" s="473">
        <v>149</v>
      </c>
      <c r="Z54" s="473">
        <v>811.51200000000006</v>
      </c>
      <c r="AA54" s="473">
        <v>3356</v>
      </c>
      <c r="AB54" s="473">
        <v>82239.167000000016</v>
      </c>
      <c r="AC54" s="473">
        <v>74782.498000000036</v>
      </c>
      <c r="AD54" s="473">
        <v>0</v>
      </c>
      <c r="AE54" s="473">
        <v>0</v>
      </c>
      <c r="AF54" s="473">
        <v>74782.498000000036</v>
      </c>
      <c r="AG54" s="473">
        <v>74782.498000000036</v>
      </c>
      <c r="AH54" s="473">
        <v>0</v>
      </c>
      <c r="AI54" s="473">
        <v>0</v>
      </c>
      <c r="AJ54" s="412">
        <f t="shared" si="30"/>
        <v>1</v>
      </c>
      <c r="AK54" s="413">
        <f t="shared" si="31"/>
        <v>1</v>
      </c>
      <c r="AL54" s="479"/>
      <c r="AM54" s="479"/>
      <c r="AN54" s="479"/>
      <c r="AO54" s="479"/>
      <c r="AP54" s="479"/>
      <c r="AQ54" s="479"/>
      <c r="AR54" s="479"/>
      <c r="AS54" s="479"/>
      <c r="AT54" s="479"/>
      <c r="AU54" s="479"/>
      <c r="AV54" s="479"/>
      <c r="AW54" s="479"/>
      <c r="AX54" s="479"/>
      <c r="AY54" s="479"/>
      <c r="AZ54" s="479"/>
      <c r="BA54" s="479"/>
      <c r="BB54" s="479"/>
      <c r="BC54" s="479"/>
      <c r="BD54" s="479"/>
      <c r="BE54" s="479"/>
      <c r="BF54" s="479"/>
      <c r="BG54" s="479"/>
      <c r="BH54" s="479"/>
      <c r="BI54" s="479"/>
      <c r="BJ54" s="479"/>
      <c r="BK54" s="479"/>
      <c r="BL54" s="479"/>
      <c r="BM54" s="479"/>
      <c r="BN54" s="479"/>
      <c r="BO54" s="479"/>
      <c r="BP54" s="479"/>
      <c r="BQ54" s="479"/>
      <c r="BR54" s="479"/>
      <c r="BS54" s="479"/>
      <c r="BT54" s="479"/>
      <c r="BU54" s="479"/>
      <c r="BV54" s="479"/>
      <c r="BW54" s="479"/>
      <c r="BX54" s="479"/>
      <c r="BY54" s="479"/>
      <c r="BZ54" s="479"/>
      <c r="CA54" s="479"/>
      <c r="CB54" s="479"/>
      <c r="CC54" s="479"/>
      <c r="CD54" s="479"/>
      <c r="CE54" s="479"/>
      <c r="CF54" s="479"/>
      <c r="CG54" s="479"/>
      <c r="CH54" s="479"/>
      <c r="CI54" s="479"/>
      <c r="CJ54" s="479"/>
      <c r="CK54" s="479"/>
      <c r="CL54" s="479"/>
      <c r="CM54" s="479"/>
      <c r="CN54" s="479"/>
      <c r="CO54" s="479"/>
      <c r="CP54" s="479"/>
      <c r="CQ54" s="479"/>
      <c r="CR54" s="479"/>
      <c r="CS54" s="479"/>
      <c r="CT54" s="479"/>
      <c r="CU54" s="479"/>
      <c r="CV54" s="479"/>
      <c r="CW54" s="479"/>
      <c r="CX54" s="479"/>
      <c r="CY54" s="479"/>
      <c r="CZ54" s="479"/>
      <c r="DA54" s="479"/>
      <c r="DB54" s="479"/>
      <c r="DC54" s="479"/>
      <c r="DD54" s="479"/>
      <c r="DE54" s="479"/>
      <c r="DF54" s="479"/>
      <c r="DG54" s="479"/>
      <c r="DH54" s="479"/>
      <c r="DI54" s="479"/>
      <c r="DJ54" s="479"/>
      <c r="DK54" s="479"/>
      <c r="DL54" s="479"/>
      <c r="DM54" s="479"/>
      <c r="DN54" s="479"/>
      <c r="DO54" s="479"/>
      <c r="DP54" s="479"/>
      <c r="DQ54" s="479"/>
      <c r="DR54" s="479"/>
      <c r="DS54" s="479"/>
      <c r="DT54" s="479"/>
      <c r="DU54" s="479"/>
      <c r="DV54" s="479"/>
      <c r="DW54" s="479"/>
      <c r="DX54" s="479"/>
      <c r="DY54" s="479"/>
      <c r="DZ54" s="479"/>
      <c r="EA54" s="479"/>
      <c r="EB54" s="479"/>
      <c r="EC54" s="479"/>
      <c r="ED54" s="479"/>
      <c r="EE54" s="479"/>
      <c r="EF54" s="479"/>
      <c r="EG54" s="479"/>
      <c r="EH54" s="479"/>
      <c r="EI54" s="479"/>
      <c r="EJ54" s="479"/>
      <c r="EK54" s="479"/>
      <c r="EL54" s="479"/>
      <c r="EM54" s="479"/>
      <c r="EN54" s="479"/>
      <c r="EO54" s="479"/>
      <c r="EP54" s="479"/>
      <c r="EQ54" s="479"/>
      <c r="ER54" s="479"/>
      <c r="ES54" s="479"/>
      <c r="ET54" s="479"/>
      <c r="EU54" s="479"/>
      <c r="EV54" s="479"/>
      <c r="EW54" s="479"/>
      <c r="EX54" s="479"/>
    </row>
    <row r="55" spans="1:154" s="480" customFormat="1" ht="16.5" customHeight="1">
      <c r="A55" s="1909"/>
      <c r="B55" s="1910"/>
      <c r="C55" s="478" t="s">
        <v>1200</v>
      </c>
      <c r="D55" s="481">
        <v>15576</v>
      </c>
      <c r="E55" s="481">
        <v>4672.8000000000029</v>
      </c>
      <c r="F55" s="481">
        <v>10903.199999999997</v>
      </c>
      <c r="G55" s="481">
        <v>11343</v>
      </c>
      <c r="H55" s="481">
        <v>15914.359189999997</v>
      </c>
      <c r="I55" s="481">
        <v>0</v>
      </c>
      <c r="J55" s="481">
        <v>0</v>
      </c>
      <c r="K55" s="481">
        <v>11092</v>
      </c>
      <c r="L55" s="481">
        <v>15576.548999999999</v>
      </c>
      <c r="M55" s="482">
        <v>15576.548999999999</v>
      </c>
      <c r="N55" s="481">
        <v>4672.8</v>
      </c>
      <c r="O55" s="481">
        <v>0</v>
      </c>
      <c r="P55" s="481">
        <v>10903.749</v>
      </c>
      <c r="Q55" s="481">
        <v>10903.749</v>
      </c>
      <c r="R55" s="481">
        <v>0</v>
      </c>
      <c r="S55" s="430">
        <v>0</v>
      </c>
      <c r="T55" s="411">
        <f t="shared" si="4"/>
        <v>1.0000352465331281</v>
      </c>
      <c r="U55" s="411">
        <f t="shared" si="5"/>
        <v>1.0000503521901829</v>
      </c>
      <c r="V55" s="481">
        <v>611.10699999999997</v>
      </c>
      <c r="W55" s="481">
        <v>673</v>
      </c>
      <c r="X55" s="481">
        <v>948.91700000000003</v>
      </c>
      <c r="Y55" s="481">
        <v>0</v>
      </c>
      <c r="Z55" s="481">
        <v>0</v>
      </c>
      <c r="AA55" s="481">
        <v>422</v>
      </c>
      <c r="AB55" s="481">
        <v>611.10699999999997</v>
      </c>
      <c r="AC55" s="481">
        <v>611.10699999999997</v>
      </c>
      <c r="AD55" s="481">
        <v>0</v>
      </c>
      <c r="AE55" s="481">
        <v>0</v>
      </c>
      <c r="AF55" s="481">
        <v>611.10699999999997</v>
      </c>
      <c r="AG55" s="481">
        <v>611.10699999999997</v>
      </c>
      <c r="AH55" s="481">
        <v>0</v>
      </c>
      <c r="AI55" s="481">
        <v>0</v>
      </c>
      <c r="AJ55" s="412">
        <f t="shared" si="30"/>
        <v>1</v>
      </c>
      <c r="AK55" s="413">
        <f t="shared" si="31"/>
        <v>1</v>
      </c>
      <c r="AL55" s="479"/>
      <c r="AM55" s="479"/>
      <c r="AN55" s="479"/>
      <c r="AO55" s="479"/>
      <c r="AP55" s="479"/>
      <c r="AQ55" s="479"/>
      <c r="AR55" s="479"/>
      <c r="AS55" s="479"/>
      <c r="AT55" s="479"/>
      <c r="AU55" s="479"/>
      <c r="AV55" s="479"/>
      <c r="AW55" s="479"/>
      <c r="AX55" s="479"/>
      <c r="AY55" s="479"/>
      <c r="AZ55" s="479"/>
      <c r="BA55" s="479"/>
      <c r="BB55" s="479"/>
      <c r="BC55" s="479"/>
      <c r="BD55" s="479"/>
      <c r="BE55" s="479"/>
      <c r="BF55" s="479"/>
      <c r="BG55" s="479"/>
      <c r="BH55" s="479"/>
      <c r="BI55" s="479"/>
      <c r="BJ55" s="479"/>
      <c r="BK55" s="479"/>
      <c r="BL55" s="479"/>
      <c r="BM55" s="479"/>
      <c r="BN55" s="479"/>
      <c r="BO55" s="479"/>
      <c r="BP55" s="479"/>
      <c r="BQ55" s="479"/>
      <c r="BR55" s="479"/>
      <c r="BS55" s="479"/>
      <c r="BT55" s="479"/>
      <c r="BU55" s="479"/>
      <c r="BV55" s="479"/>
      <c r="BW55" s="479"/>
      <c r="BX55" s="479"/>
      <c r="BY55" s="479"/>
      <c r="BZ55" s="479"/>
      <c r="CA55" s="479"/>
      <c r="CB55" s="479"/>
      <c r="CC55" s="479"/>
      <c r="CD55" s="479"/>
      <c r="CE55" s="479"/>
      <c r="CF55" s="479"/>
      <c r="CG55" s="479"/>
      <c r="CH55" s="479"/>
      <c r="CI55" s="479"/>
      <c r="CJ55" s="479"/>
      <c r="CK55" s="479"/>
      <c r="CL55" s="479"/>
      <c r="CM55" s="479"/>
      <c r="CN55" s="479"/>
      <c r="CO55" s="479"/>
      <c r="CP55" s="479"/>
      <c r="CQ55" s="479"/>
      <c r="CR55" s="479"/>
      <c r="CS55" s="479"/>
      <c r="CT55" s="479"/>
      <c r="CU55" s="479"/>
      <c r="CV55" s="479"/>
      <c r="CW55" s="479"/>
      <c r="CX55" s="479"/>
      <c r="CY55" s="479"/>
      <c r="CZ55" s="479"/>
      <c r="DA55" s="479"/>
      <c r="DB55" s="479"/>
      <c r="DC55" s="479"/>
      <c r="DD55" s="479"/>
      <c r="DE55" s="479"/>
      <c r="DF55" s="479"/>
      <c r="DG55" s="479"/>
      <c r="DH55" s="479"/>
      <c r="DI55" s="479"/>
      <c r="DJ55" s="479"/>
      <c r="DK55" s="479"/>
      <c r="DL55" s="479"/>
      <c r="DM55" s="479"/>
      <c r="DN55" s="479"/>
      <c r="DO55" s="479"/>
      <c r="DP55" s="479"/>
      <c r="DQ55" s="479"/>
      <c r="DR55" s="479"/>
      <c r="DS55" s="479"/>
      <c r="DT55" s="479"/>
      <c r="DU55" s="479"/>
      <c r="DV55" s="479"/>
      <c r="DW55" s="479"/>
      <c r="DX55" s="479"/>
      <c r="DY55" s="479"/>
      <c r="DZ55" s="479"/>
      <c r="EA55" s="479"/>
      <c r="EB55" s="479"/>
      <c r="EC55" s="479"/>
      <c r="ED55" s="479"/>
      <c r="EE55" s="479"/>
      <c r="EF55" s="479"/>
      <c r="EG55" s="479"/>
      <c r="EH55" s="479"/>
      <c r="EI55" s="479"/>
      <c r="EJ55" s="479"/>
      <c r="EK55" s="479"/>
      <c r="EL55" s="479"/>
      <c r="EM55" s="479"/>
      <c r="EN55" s="479"/>
      <c r="EO55" s="479"/>
      <c r="EP55" s="479"/>
      <c r="EQ55" s="479"/>
      <c r="ER55" s="479"/>
      <c r="ES55" s="479"/>
      <c r="ET55" s="479"/>
      <c r="EU55" s="479"/>
      <c r="EV55" s="479"/>
      <c r="EW55" s="479"/>
      <c r="EX55" s="479"/>
    </row>
    <row r="56" spans="1:154" s="479" customFormat="1" ht="16.5" customHeight="1">
      <c r="A56" s="1909"/>
      <c r="B56" s="1910"/>
      <c r="C56" s="478" t="s">
        <v>1202</v>
      </c>
      <c r="D56" s="481">
        <v>47234.730999999992</v>
      </c>
      <c r="E56" s="481">
        <v>0</v>
      </c>
      <c r="F56" s="481">
        <v>47234.730999999992</v>
      </c>
      <c r="G56" s="481"/>
      <c r="H56" s="481">
        <v>60902.828999999998</v>
      </c>
      <c r="I56" s="481"/>
      <c r="J56" s="481">
        <v>556.30600000000004</v>
      </c>
      <c r="K56" s="481">
        <v>0</v>
      </c>
      <c r="L56" s="481">
        <v>47346.524999999987</v>
      </c>
      <c r="M56" s="482">
        <v>41632.764999999999</v>
      </c>
      <c r="N56" s="481">
        <v>0</v>
      </c>
      <c r="O56" s="481">
        <v>0</v>
      </c>
      <c r="P56" s="481">
        <v>41632.764999999999</v>
      </c>
      <c r="Q56" s="481">
        <v>41632.764999999999</v>
      </c>
      <c r="R56" s="481">
        <v>0</v>
      </c>
      <c r="S56" s="430">
        <v>0</v>
      </c>
      <c r="T56" s="411">
        <f t="shared" si="4"/>
        <v>0.88140154751807531</v>
      </c>
      <c r="U56" s="411">
        <f t="shared" si="5"/>
        <v>0.88140154751807531</v>
      </c>
      <c r="V56" s="481">
        <v>0</v>
      </c>
      <c r="W56" s="481"/>
      <c r="X56" s="481">
        <v>19270.063999999998</v>
      </c>
      <c r="Y56" s="481">
        <v>2</v>
      </c>
      <c r="Z56" s="481">
        <v>556.30600000000004</v>
      </c>
      <c r="AA56" s="481">
        <v>0</v>
      </c>
      <c r="AB56" s="481">
        <v>5713.7599999999993</v>
      </c>
      <c r="AC56" s="481">
        <v>0</v>
      </c>
      <c r="AD56" s="481">
        <v>0</v>
      </c>
      <c r="AE56" s="481">
        <v>0</v>
      </c>
      <c r="AF56" s="481">
        <v>0</v>
      </c>
      <c r="AG56" s="481">
        <v>0</v>
      </c>
      <c r="AH56" s="481">
        <v>0</v>
      </c>
      <c r="AI56" s="481">
        <v>0</v>
      </c>
      <c r="AJ56" s="412"/>
      <c r="AK56" s="413"/>
    </row>
    <row r="57" spans="1:154" s="447" customFormat="1" ht="16.5" customHeight="1">
      <c r="A57" s="1919">
        <v>9</v>
      </c>
      <c r="B57" s="1920" t="s">
        <v>1159</v>
      </c>
      <c r="C57" s="419" t="s">
        <v>1196</v>
      </c>
      <c r="D57" s="408">
        <f t="shared" ref="D57:S57" si="38">D58+D59+D60</f>
        <v>9543982</v>
      </c>
      <c r="E57" s="408">
        <f t="shared" si="38"/>
        <v>2288636.2149999999</v>
      </c>
      <c r="F57" s="408">
        <f t="shared" si="38"/>
        <v>7255345.7850000001</v>
      </c>
      <c r="G57" s="408">
        <f t="shared" si="38"/>
        <v>176261</v>
      </c>
      <c r="H57" s="408">
        <f t="shared" si="38"/>
        <v>9966902.0779999997</v>
      </c>
      <c r="I57" s="408">
        <f t="shared" si="38"/>
        <v>15988</v>
      </c>
      <c r="J57" s="408">
        <f t="shared" si="38"/>
        <v>417689.38148299989</v>
      </c>
      <c r="K57" s="408">
        <f t="shared" si="38"/>
        <v>175096</v>
      </c>
      <c r="L57" s="408">
        <f t="shared" si="38"/>
        <v>9543982</v>
      </c>
      <c r="M57" s="409">
        <f t="shared" si="38"/>
        <v>9543982</v>
      </c>
      <c r="N57" s="408">
        <f t="shared" si="38"/>
        <v>2288636.2149999999</v>
      </c>
      <c r="O57" s="408">
        <f t="shared" si="38"/>
        <v>0</v>
      </c>
      <c r="P57" s="408">
        <f t="shared" si="38"/>
        <v>7255345.7850000001</v>
      </c>
      <c r="Q57" s="408">
        <f t="shared" si="38"/>
        <v>7255345.7850000001</v>
      </c>
      <c r="R57" s="408">
        <f t="shared" si="38"/>
        <v>0</v>
      </c>
      <c r="S57" s="410">
        <f t="shared" si="38"/>
        <v>0</v>
      </c>
      <c r="T57" s="411">
        <f t="shared" si="4"/>
        <v>1</v>
      </c>
      <c r="U57" s="411">
        <f t="shared" si="5"/>
        <v>1</v>
      </c>
      <c r="V57" s="408">
        <f t="shared" ref="V57:AI57" si="39">V58+V59+V60</f>
        <v>361628.6370000001</v>
      </c>
      <c r="W57" s="408">
        <f t="shared" si="39"/>
        <v>6720</v>
      </c>
      <c r="X57" s="408">
        <f t="shared" si="39"/>
        <v>376393.53700000007</v>
      </c>
      <c r="Y57" s="408">
        <f t="shared" si="39"/>
        <v>605</v>
      </c>
      <c r="Z57" s="408">
        <f t="shared" si="39"/>
        <v>19587.317999999996</v>
      </c>
      <c r="AA57" s="408">
        <f t="shared" si="39"/>
        <v>6687</v>
      </c>
      <c r="AB57" s="408">
        <f t="shared" si="39"/>
        <v>361628.6370000001</v>
      </c>
      <c r="AC57" s="408">
        <f t="shared" si="39"/>
        <v>361628.6370000001</v>
      </c>
      <c r="AD57" s="408">
        <f t="shared" si="39"/>
        <v>0</v>
      </c>
      <c r="AE57" s="408">
        <f t="shared" si="39"/>
        <v>0</v>
      </c>
      <c r="AF57" s="408">
        <f t="shared" si="39"/>
        <v>361628.6370000001</v>
      </c>
      <c r="AG57" s="408">
        <f t="shared" si="39"/>
        <v>361628.6370000001</v>
      </c>
      <c r="AH57" s="408">
        <f t="shared" si="39"/>
        <v>0</v>
      </c>
      <c r="AI57" s="408">
        <f t="shared" si="39"/>
        <v>0</v>
      </c>
      <c r="AJ57" s="412">
        <f t="shared" ref="AJ57:AJ89" si="40">AC57/(AD57+V57)</f>
        <v>1</v>
      </c>
      <c r="AK57" s="413">
        <f t="shared" ref="AK57:AK89" si="41">AG57/V57</f>
        <v>1</v>
      </c>
      <c r="AL57" s="446"/>
      <c r="AM57" s="446"/>
      <c r="AN57" s="446"/>
      <c r="AO57" s="446"/>
      <c r="AP57" s="446"/>
      <c r="AQ57" s="446"/>
      <c r="AR57" s="446"/>
      <c r="AS57" s="446"/>
      <c r="AT57" s="446"/>
      <c r="AU57" s="446"/>
      <c r="AV57" s="446"/>
      <c r="AW57" s="446"/>
      <c r="AX57" s="446"/>
      <c r="AY57" s="446"/>
      <c r="AZ57" s="446"/>
      <c r="BA57" s="446"/>
      <c r="BB57" s="446"/>
      <c r="BC57" s="446"/>
      <c r="BD57" s="446"/>
      <c r="BE57" s="446"/>
      <c r="BF57" s="446"/>
      <c r="BG57" s="446"/>
      <c r="BH57" s="446"/>
      <c r="BI57" s="446"/>
      <c r="BJ57" s="446"/>
      <c r="BK57" s="446"/>
      <c r="BL57" s="446"/>
      <c r="BM57" s="446"/>
      <c r="BN57" s="446"/>
      <c r="BO57" s="446"/>
      <c r="BP57" s="446"/>
      <c r="BQ57" s="446"/>
      <c r="BR57" s="446"/>
      <c r="BS57" s="446"/>
      <c r="BT57" s="446"/>
      <c r="BU57" s="446"/>
      <c r="BV57" s="446"/>
      <c r="BW57" s="446"/>
      <c r="BX57" s="446"/>
      <c r="BY57" s="446"/>
      <c r="BZ57" s="446"/>
      <c r="CA57" s="446"/>
      <c r="CB57" s="446"/>
      <c r="CC57" s="446"/>
      <c r="CD57" s="446"/>
      <c r="CE57" s="446"/>
      <c r="CF57" s="446"/>
      <c r="CG57" s="446"/>
      <c r="CH57" s="446"/>
      <c r="CI57" s="446"/>
      <c r="CJ57" s="446"/>
      <c r="CK57" s="446"/>
      <c r="CL57" s="446"/>
      <c r="CM57" s="446"/>
      <c r="CN57" s="446"/>
      <c r="CO57" s="446"/>
      <c r="CP57" s="446"/>
      <c r="CQ57" s="446"/>
      <c r="CR57" s="446"/>
      <c r="CS57" s="446"/>
      <c r="CT57" s="446"/>
      <c r="CU57" s="446"/>
      <c r="CV57" s="446"/>
      <c r="CW57" s="446"/>
      <c r="CX57" s="446"/>
      <c r="CY57" s="446"/>
      <c r="CZ57" s="446"/>
      <c r="DA57" s="446"/>
      <c r="DB57" s="446"/>
      <c r="DC57" s="446"/>
      <c r="DD57" s="446"/>
      <c r="DE57" s="446"/>
      <c r="DF57" s="446"/>
      <c r="DG57" s="446"/>
      <c r="DH57" s="446"/>
      <c r="DI57" s="446"/>
      <c r="DJ57" s="446"/>
      <c r="DK57" s="446"/>
      <c r="DL57" s="446"/>
      <c r="DM57" s="446"/>
      <c r="DN57" s="446"/>
      <c r="DO57" s="446"/>
      <c r="DP57" s="446"/>
      <c r="DQ57" s="446"/>
      <c r="DR57" s="446"/>
      <c r="DS57" s="446"/>
      <c r="DT57" s="446"/>
      <c r="DU57" s="446"/>
      <c r="DV57" s="446"/>
      <c r="DW57" s="446"/>
      <c r="DX57" s="446"/>
      <c r="DY57" s="446"/>
      <c r="DZ57" s="446"/>
      <c r="EA57" s="446"/>
      <c r="EB57" s="446"/>
      <c r="EC57" s="446"/>
      <c r="ED57" s="446"/>
      <c r="EE57" s="446"/>
      <c r="EF57" s="446"/>
      <c r="EG57" s="446"/>
      <c r="EH57" s="446"/>
      <c r="EI57" s="446"/>
      <c r="EJ57" s="446"/>
      <c r="EK57" s="446"/>
      <c r="EL57" s="446"/>
      <c r="EM57" s="446"/>
      <c r="EN57" s="446"/>
      <c r="EO57" s="446"/>
      <c r="EP57" s="446"/>
      <c r="EQ57" s="446"/>
      <c r="ER57" s="446"/>
      <c r="ES57" s="446"/>
      <c r="ET57" s="446"/>
      <c r="EU57" s="446"/>
      <c r="EV57" s="446"/>
      <c r="EW57" s="446"/>
      <c r="EX57" s="446"/>
    </row>
    <row r="58" spans="1:154" s="427" customFormat="1" ht="16.5" customHeight="1">
      <c r="A58" s="1919"/>
      <c r="B58" s="1920"/>
      <c r="C58" s="483" t="s">
        <v>1197</v>
      </c>
      <c r="D58" s="428">
        <v>7812287.3190000001</v>
      </c>
      <c r="E58" s="428">
        <v>1936207.32</v>
      </c>
      <c r="F58" s="428">
        <v>5876079.9989999998</v>
      </c>
      <c r="G58" s="428">
        <v>113355</v>
      </c>
      <c r="H58" s="428">
        <v>8174690.6519999988</v>
      </c>
      <c r="I58" s="428">
        <v>11596</v>
      </c>
      <c r="J58" s="428">
        <v>362245.85984999989</v>
      </c>
      <c r="K58" s="428">
        <v>112814</v>
      </c>
      <c r="L58" s="428">
        <v>7812287.3190000001</v>
      </c>
      <c r="M58" s="429">
        <v>7812287.3190000001</v>
      </c>
      <c r="N58" s="428">
        <v>1936207.32</v>
      </c>
      <c r="O58" s="428">
        <v>0</v>
      </c>
      <c r="P58" s="428">
        <v>5876079.9989999998</v>
      </c>
      <c r="Q58" s="428">
        <v>5876079.9989999998</v>
      </c>
      <c r="R58" s="428">
        <v>0</v>
      </c>
      <c r="S58" s="430">
        <v>0</v>
      </c>
      <c r="T58" s="411">
        <f t="shared" si="4"/>
        <v>1</v>
      </c>
      <c r="U58" s="411">
        <f t="shared" si="5"/>
        <v>1</v>
      </c>
      <c r="V58" s="428">
        <v>286117.8930000001</v>
      </c>
      <c r="W58" s="428">
        <v>3944</v>
      </c>
      <c r="X58" s="428">
        <v>299695.96300000011</v>
      </c>
      <c r="Y58" s="428">
        <v>461</v>
      </c>
      <c r="Z58" s="428">
        <v>18441.530999999995</v>
      </c>
      <c r="AA58" s="428">
        <v>3927</v>
      </c>
      <c r="AB58" s="428">
        <v>286117.8930000001</v>
      </c>
      <c r="AC58" s="428">
        <v>286117.8930000001</v>
      </c>
      <c r="AD58" s="428">
        <v>0</v>
      </c>
      <c r="AE58" s="428">
        <v>0</v>
      </c>
      <c r="AF58" s="428">
        <v>286117.8930000001</v>
      </c>
      <c r="AG58" s="428">
        <v>286117.8930000001</v>
      </c>
      <c r="AH58" s="428">
        <v>0</v>
      </c>
      <c r="AI58" s="484">
        <v>0</v>
      </c>
      <c r="AJ58" s="412">
        <f t="shared" si="40"/>
        <v>1</v>
      </c>
      <c r="AK58" s="413">
        <f t="shared" si="41"/>
        <v>1</v>
      </c>
      <c r="AL58" s="426"/>
      <c r="AM58" s="426"/>
      <c r="AN58" s="426"/>
      <c r="AO58" s="426"/>
      <c r="AP58" s="426"/>
      <c r="AQ58" s="426"/>
      <c r="AR58" s="426"/>
      <c r="AS58" s="426"/>
      <c r="AT58" s="426"/>
      <c r="AU58" s="426"/>
      <c r="AV58" s="426"/>
      <c r="AW58" s="426"/>
      <c r="AX58" s="426"/>
      <c r="AY58" s="426"/>
      <c r="AZ58" s="426"/>
      <c r="BA58" s="426"/>
      <c r="BB58" s="426"/>
      <c r="BC58" s="426"/>
      <c r="BD58" s="426"/>
      <c r="BE58" s="426"/>
      <c r="BF58" s="426"/>
      <c r="BG58" s="426"/>
      <c r="BH58" s="426"/>
      <c r="BI58" s="426"/>
      <c r="BJ58" s="426"/>
      <c r="BK58" s="426"/>
      <c r="BL58" s="426"/>
      <c r="BM58" s="426"/>
      <c r="BN58" s="426"/>
      <c r="BO58" s="426"/>
      <c r="BP58" s="426"/>
      <c r="BQ58" s="426"/>
      <c r="BR58" s="426"/>
      <c r="BS58" s="426"/>
      <c r="BT58" s="426"/>
      <c r="BU58" s="426"/>
      <c r="BV58" s="426"/>
      <c r="BW58" s="426"/>
      <c r="BX58" s="426"/>
      <c r="BY58" s="426"/>
      <c r="BZ58" s="426"/>
      <c r="CA58" s="426"/>
      <c r="CB58" s="426"/>
      <c r="CC58" s="426"/>
      <c r="CD58" s="426"/>
      <c r="CE58" s="426"/>
      <c r="CF58" s="426"/>
      <c r="CG58" s="426"/>
      <c r="CH58" s="426"/>
      <c r="CI58" s="426"/>
      <c r="CJ58" s="426"/>
      <c r="CK58" s="426"/>
      <c r="CL58" s="426"/>
      <c r="CM58" s="426"/>
      <c r="CN58" s="426"/>
      <c r="CO58" s="426"/>
      <c r="CP58" s="426"/>
      <c r="CQ58" s="426"/>
      <c r="CR58" s="426"/>
      <c r="CS58" s="426"/>
      <c r="CT58" s="426"/>
      <c r="CU58" s="426"/>
      <c r="CV58" s="426"/>
      <c r="CW58" s="426"/>
      <c r="CX58" s="426"/>
      <c r="CY58" s="426"/>
      <c r="CZ58" s="426"/>
      <c r="DA58" s="426"/>
      <c r="DB58" s="426"/>
      <c r="DC58" s="426"/>
      <c r="DD58" s="426"/>
      <c r="DE58" s="426"/>
      <c r="DF58" s="426"/>
      <c r="DG58" s="426"/>
      <c r="DH58" s="426"/>
      <c r="DI58" s="426"/>
      <c r="DJ58" s="426"/>
      <c r="DK58" s="426"/>
      <c r="DL58" s="426"/>
      <c r="DM58" s="426"/>
      <c r="DN58" s="426"/>
      <c r="DO58" s="426"/>
      <c r="DP58" s="426"/>
      <c r="DQ58" s="426"/>
      <c r="DR58" s="426"/>
      <c r="DS58" s="426"/>
      <c r="DT58" s="426"/>
      <c r="DU58" s="426"/>
      <c r="DV58" s="426"/>
      <c r="DW58" s="426"/>
      <c r="DX58" s="426"/>
      <c r="DY58" s="426"/>
      <c r="DZ58" s="426"/>
      <c r="EA58" s="426"/>
      <c r="EB58" s="426"/>
      <c r="EC58" s="426"/>
      <c r="ED58" s="426"/>
      <c r="EE58" s="426"/>
      <c r="EF58" s="426"/>
      <c r="EG58" s="426"/>
      <c r="EH58" s="426"/>
      <c r="EI58" s="426"/>
      <c r="EJ58" s="426"/>
      <c r="EK58" s="426"/>
      <c r="EL58" s="426"/>
      <c r="EM58" s="426"/>
      <c r="EN58" s="426"/>
      <c r="EO58" s="426"/>
      <c r="EP58" s="426"/>
      <c r="EQ58" s="426"/>
      <c r="ER58" s="426"/>
      <c r="ES58" s="426"/>
      <c r="ET58" s="426"/>
      <c r="EU58" s="426"/>
      <c r="EV58" s="426"/>
      <c r="EW58" s="426"/>
      <c r="EX58" s="426"/>
    </row>
    <row r="59" spans="1:154" s="427" customFormat="1" ht="16.5" customHeight="1">
      <c r="A59" s="1919"/>
      <c r="B59" s="1920"/>
      <c r="C59" s="483" t="s">
        <v>1198</v>
      </c>
      <c r="D59" s="428">
        <v>671660.49900000007</v>
      </c>
      <c r="E59" s="428">
        <v>117238.8</v>
      </c>
      <c r="F59" s="428">
        <v>554421.69900000002</v>
      </c>
      <c r="G59" s="428">
        <v>892</v>
      </c>
      <c r="H59" s="428">
        <v>702912.39199999999</v>
      </c>
      <c r="I59" s="428">
        <v>120</v>
      </c>
      <c r="J59" s="428">
        <v>27503.21027</v>
      </c>
      <c r="K59" s="428">
        <v>888</v>
      </c>
      <c r="L59" s="428">
        <v>671660.49900000007</v>
      </c>
      <c r="M59" s="429">
        <v>671660.49900000007</v>
      </c>
      <c r="N59" s="428">
        <v>117238.8</v>
      </c>
      <c r="O59" s="428">
        <v>0</v>
      </c>
      <c r="P59" s="428">
        <v>554421.69900000002</v>
      </c>
      <c r="Q59" s="428">
        <v>554421.69900000002</v>
      </c>
      <c r="R59" s="428">
        <v>0</v>
      </c>
      <c r="S59" s="430">
        <v>0</v>
      </c>
      <c r="T59" s="411">
        <f t="shared" si="4"/>
        <v>1</v>
      </c>
      <c r="U59" s="411">
        <f t="shared" si="5"/>
        <v>1</v>
      </c>
      <c r="V59" s="428">
        <v>33588.739000000001</v>
      </c>
      <c r="W59" s="428">
        <v>33</v>
      </c>
      <c r="X59" s="428">
        <v>33961.250999999997</v>
      </c>
      <c r="Y59" s="428">
        <v>2</v>
      </c>
      <c r="Z59" s="428">
        <v>372.512</v>
      </c>
      <c r="AA59" s="428">
        <v>33</v>
      </c>
      <c r="AB59" s="428">
        <v>33588.739000000001</v>
      </c>
      <c r="AC59" s="428">
        <v>33588.739000000001</v>
      </c>
      <c r="AD59" s="428">
        <v>0</v>
      </c>
      <c r="AE59" s="428">
        <v>0</v>
      </c>
      <c r="AF59" s="428">
        <v>33588.739000000001</v>
      </c>
      <c r="AG59" s="428">
        <v>33588.739000000001</v>
      </c>
      <c r="AH59" s="428">
        <v>0</v>
      </c>
      <c r="AI59" s="484">
        <v>0</v>
      </c>
      <c r="AJ59" s="412">
        <f t="shared" si="40"/>
        <v>1</v>
      </c>
      <c r="AK59" s="413">
        <f t="shared" si="41"/>
        <v>1</v>
      </c>
      <c r="AL59" s="426"/>
      <c r="AM59" s="426"/>
      <c r="AN59" s="426"/>
      <c r="AO59" s="426"/>
      <c r="AP59" s="426"/>
      <c r="AQ59" s="426"/>
      <c r="AR59" s="426"/>
      <c r="AS59" s="426"/>
      <c r="AT59" s="426"/>
      <c r="AU59" s="426"/>
      <c r="AV59" s="426"/>
      <c r="AW59" s="426"/>
      <c r="AX59" s="426"/>
      <c r="AY59" s="426"/>
      <c r="AZ59" s="426"/>
      <c r="BA59" s="426"/>
      <c r="BB59" s="426"/>
      <c r="BC59" s="426"/>
      <c r="BD59" s="426"/>
      <c r="BE59" s="426"/>
      <c r="BF59" s="426"/>
      <c r="BG59" s="426"/>
      <c r="BH59" s="426"/>
      <c r="BI59" s="426"/>
      <c r="BJ59" s="426"/>
      <c r="BK59" s="426"/>
      <c r="BL59" s="426"/>
      <c r="BM59" s="426"/>
      <c r="BN59" s="426"/>
      <c r="BO59" s="426"/>
      <c r="BP59" s="426"/>
      <c r="BQ59" s="426"/>
      <c r="BR59" s="426"/>
      <c r="BS59" s="426"/>
      <c r="BT59" s="426"/>
      <c r="BU59" s="426"/>
      <c r="BV59" s="426"/>
      <c r="BW59" s="426"/>
      <c r="BX59" s="426"/>
      <c r="BY59" s="426"/>
      <c r="BZ59" s="426"/>
      <c r="CA59" s="426"/>
      <c r="CB59" s="426"/>
      <c r="CC59" s="426"/>
      <c r="CD59" s="426"/>
      <c r="CE59" s="426"/>
      <c r="CF59" s="426"/>
      <c r="CG59" s="426"/>
      <c r="CH59" s="426"/>
      <c r="CI59" s="426"/>
      <c r="CJ59" s="426"/>
      <c r="CK59" s="426"/>
      <c r="CL59" s="426"/>
      <c r="CM59" s="426"/>
      <c r="CN59" s="426"/>
      <c r="CO59" s="426"/>
      <c r="CP59" s="426"/>
      <c r="CQ59" s="426"/>
      <c r="CR59" s="426"/>
      <c r="CS59" s="426"/>
      <c r="CT59" s="426"/>
      <c r="CU59" s="426"/>
      <c r="CV59" s="426"/>
      <c r="CW59" s="426"/>
      <c r="CX59" s="426"/>
      <c r="CY59" s="426"/>
      <c r="CZ59" s="426"/>
      <c r="DA59" s="426"/>
      <c r="DB59" s="426"/>
      <c r="DC59" s="426"/>
      <c r="DD59" s="426"/>
      <c r="DE59" s="426"/>
      <c r="DF59" s="426"/>
      <c r="DG59" s="426"/>
      <c r="DH59" s="426"/>
      <c r="DI59" s="426"/>
      <c r="DJ59" s="426"/>
      <c r="DK59" s="426"/>
      <c r="DL59" s="426"/>
      <c r="DM59" s="426"/>
      <c r="DN59" s="426"/>
      <c r="DO59" s="426"/>
      <c r="DP59" s="426"/>
      <c r="DQ59" s="426"/>
      <c r="DR59" s="426"/>
      <c r="DS59" s="426"/>
      <c r="DT59" s="426"/>
      <c r="DU59" s="426"/>
      <c r="DV59" s="426"/>
      <c r="DW59" s="426"/>
      <c r="DX59" s="426"/>
      <c r="DY59" s="426"/>
      <c r="DZ59" s="426"/>
      <c r="EA59" s="426"/>
      <c r="EB59" s="426"/>
      <c r="EC59" s="426"/>
      <c r="ED59" s="426"/>
      <c r="EE59" s="426"/>
      <c r="EF59" s="426"/>
      <c r="EG59" s="426"/>
      <c r="EH59" s="426"/>
      <c r="EI59" s="426"/>
      <c r="EJ59" s="426"/>
      <c r="EK59" s="426"/>
      <c r="EL59" s="426"/>
      <c r="EM59" s="426"/>
      <c r="EN59" s="426"/>
      <c r="EO59" s="426"/>
      <c r="EP59" s="426"/>
      <c r="EQ59" s="426"/>
      <c r="ER59" s="426"/>
      <c r="ES59" s="426"/>
      <c r="ET59" s="426"/>
      <c r="EU59" s="426"/>
      <c r="EV59" s="426"/>
      <c r="EW59" s="426"/>
      <c r="EX59" s="426"/>
    </row>
    <row r="60" spans="1:154" s="427" customFormat="1" ht="16.5" customHeight="1">
      <c r="A60" s="1919"/>
      <c r="B60" s="1920"/>
      <c r="C60" s="483" t="s">
        <v>1199</v>
      </c>
      <c r="D60" s="428">
        <v>1060034.182</v>
      </c>
      <c r="E60" s="428">
        <v>235190.09499999997</v>
      </c>
      <c r="F60" s="428">
        <v>824844.08699999994</v>
      </c>
      <c r="G60" s="428">
        <v>62014</v>
      </c>
      <c r="H60" s="428">
        <v>1089299.0339999998</v>
      </c>
      <c r="I60" s="428">
        <v>4272</v>
      </c>
      <c r="J60" s="428">
        <v>27940.311362999993</v>
      </c>
      <c r="K60" s="428">
        <v>61394</v>
      </c>
      <c r="L60" s="428">
        <v>1060034.182</v>
      </c>
      <c r="M60" s="429">
        <v>1060034.182</v>
      </c>
      <c r="N60" s="428">
        <v>235190.09499999997</v>
      </c>
      <c r="O60" s="428">
        <v>0</v>
      </c>
      <c r="P60" s="428">
        <v>824844.08699999994</v>
      </c>
      <c r="Q60" s="428">
        <v>824844.08699999994</v>
      </c>
      <c r="R60" s="428">
        <v>0</v>
      </c>
      <c r="S60" s="430">
        <v>0</v>
      </c>
      <c r="T60" s="411">
        <f t="shared" si="4"/>
        <v>1</v>
      </c>
      <c r="U60" s="411">
        <f t="shared" si="5"/>
        <v>1</v>
      </c>
      <c r="V60" s="428">
        <v>41922.005000000005</v>
      </c>
      <c r="W60" s="428">
        <v>2743</v>
      </c>
      <c r="X60" s="428">
        <v>42736.322999999997</v>
      </c>
      <c r="Y60" s="428">
        <v>142</v>
      </c>
      <c r="Z60" s="428">
        <v>773.27500000000009</v>
      </c>
      <c r="AA60" s="428">
        <v>2727</v>
      </c>
      <c r="AB60" s="428">
        <v>41922.005000000005</v>
      </c>
      <c r="AC60" s="428">
        <v>41922.005000000005</v>
      </c>
      <c r="AD60" s="428">
        <v>0</v>
      </c>
      <c r="AE60" s="428">
        <v>0</v>
      </c>
      <c r="AF60" s="428">
        <v>41922.005000000005</v>
      </c>
      <c r="AG60" s="428">
        <v>41922.005000000005</v>
      </c>
      <c r="AH60" s="428">
        <v>0</v>
      </c>
      <c r="AI60" s="484">
        <v>0</v>
      </c>
      <c r="AJ60" s="412">
        <f t="shared" si="40"/>
        <v>1</v>
      </c>
      <c r="AK60" s="413">
        <f t="shared" si="41"/>
        <v>1</v>
      </c>
      <c r="AL60" s="426"/>
      <c r="AM60" s="426"/>
      <c r="AN60" s="426"/>
      <c r="AO60" s="426"/>
      <c r="AP60" s="426"/>
      <c r="AQ60" s="426"/>
      <c r="AR60" s="426"/>
      <c r="AS60" s="426"/>
      <c r="AT60" s="426"/>
      <c r="AU60" s="426"/>
      <c r="AV60" s="426"/>
      <c r="AW60" s="426"/>
      <c r="AX60" s="426"/>
      <c r="AY60" s="426"/>
      <c r="AZ60" s="426"/>
      <c r="BA60" s="426"/>
      <c r="BB60" s="426"/>
      <c r="BC60" s="426"/>
      <c r="BD60" s="426"/>
      <c r="BE60" s="426"/>
      <c r="BF60" s="426"/>
      <c r="BG60" s="426"/>
      <c r="BH60" s="426"/>
      <c r="BI60" s="426"/>
      <c r="BJ60" s="426"/>
      <c r="BK60" s="426"/>
      <c r="BL60" s="426"/>
      <c r="BM60" s="426"/>
      <c r="BN60" s="426"/>
      <c r="BO60" s="426"/>
      <c r="BP60" s="426"/>
      <c r="BQ60" s="426"/>
      <c r="BR60" s="426"/>
      <c r="BS60" s="426"/>
      <c r="BT60" s="426"/>
      <c r="BU60" s="426"/>
      <c r="BV60" s="426"/>
      <c r="BW60" s="426"/>
      <c r="BX60" s="426"/>
      <c r="BY60" s="426"/>
      <c r="BZ60" s="426"/>
      <c r="CA60" s="426"/>
      <c r="CB60" s="426"/>
      <c r="CC60" s="426"/>
      <c r="CD60" s="426"/>
      <c r="CE60" s="426"/>
      <c r="CF60" s="426"/>
      <c r="CG60" s="426"/>
      <c r="CH60" s="426"/>
      <c r="CI60" s="426"/>
      <c r="CJ60" s="426"/>
      <c r="CK60" s="426"/>
      <c r="CL60" s="426"/>
      <c r="CM60" s="426"/>
      <c r="CN60" s="426"/>
      <c r="CO60" s="426"/>
      <c r="CP60" s="426"/>
      <c r="CQ60" s="426"/>
      <c r="CR60" s="426"/>
      <c r="CS60" s="426"/>
      <c r="CT60" s="426"/>
      <c r="CU60" s="426"/>
      <c r="CV60" s="426"/>
      <c r="CW60" s="426"/>
      <c r="CX60" s="426"/>
      <c r="CY60" s="426"/>
      <c r="CZ60" s="426"/>
      <c r="DA60" s="426"/>
      <c r="DB60" s="426"/>
      <c r="DC60" s="426"/>
      <c r="DD60" s="426"/>
      <c r="DE60" s="426"/>
      <c r="DF60" s="426"/>
      <c r="DG60" s="426"/>
      <c r="DH60" s="426"/>
      <c r="DI60" s="426"/>
      <c r="DJ60" s="426"/>
      <c r="DK60" s="426"/>
      <c r="DL60" s="426"/>
      <c r="DM60" s="426"/>
      <c r="DN60" s="426"/>
      <c r="DO60" s="426"/>
      <c r="DP60" s="426"/>
      <c r="DQ60" s="426"/>
      <c r="DR60" s="426"/>
      <c r="DS60" s="426"/>
      <c r="DT60" s="426"/>
      <c r="DU60" s="426"/>
      <c r="DV60" s="426"/>
      <c r="DW60" s="426"/>
      <c r="DX60" s="426"/>
      <c r="DY60" s="426"/>
      <c r="DZ60" s="426"/>
      <c r="EA60" s="426"/>
      <c r="EB60" s="426"/>
      <c r="EC60" s="426"/>
      <c r="ED60" s="426"/>
      <c r="EE60" s="426"/>
      <c r="EF60" s="426"/>
      <c r="EG60" s="426"/>
      <c r="EH60" s="426"/>
      <c r="EI60" s="426"/>
      <c r="EJ60" s="426"/>
      <c r="EK60" s="426"/>
      <c r="EL60" s="426"/>
      <c r="EM60" s="426"/>
      <c r="EN60" s="426"/>
      <c r="EO60" s="426"/>
      <c r="EP60" s="426"/>
      <c r="EQ60" s="426"/>
      <c r="ER60" s="426"/>
      <c r="ES60" s="426"/>
      <c r="ET60" s="426"/>
      <c r="EU60" s="426"/>
      <c r="EV60" s="426"/>
      <c r="EW60" s="426"/>
      <c r="EX60" s="426"/>
    </row>
    <row r="61" spans="1:154" s="486" customFormat="1" ht="16.5" customHeight="1">
      <c r="A61" s="1921">
        <v>10</v>
      </c>
      <c r="B61" s="1922" t="s">
        <v>1160</v>
      </c>
      <c r="C61" s="419" t="s">
        <v>1196</v>
      </c>
      <c r="D61" s="408">
        <f t="shared" ref="D61:S61" si="42">D62+D63+D64</f>
        <v>9782357</v>
      </c>
      <c r="E61" s="408">
        <f t="shared" si="42"/>
        <v>2315307.9</v>
      </c>
      <c r="F61" s="408">
        <f t="shared" si="42"/>
        <v>7467049.1000000006</v>
      </c>
      <c r="G61" s="408">
        <f t="shared" si="42"/>
        <v>143087</v>
      </c>
      <c r="H61" s="408">
        <f t="shared" si="42"/>
        <v>10419037.998958021</v>
      </c>
      <c r="I61" s="408">
        <f t="shared" si="42"/>
        <v>843</v>
      </c>
      <c r="J61" s="408">
        <f t="shared" si="42"/>
        <v>448822.94059455063</v>
      </c>
      <c r="K61" s="408">
        <f t="shared" si="42"/>
        <v>142244</v>
      </c>
      <c r="L61" s="408">
        <f t="shared" si="42"/>
        <v>9970196.2406184748</v>
      </c>
      <c r="M61" s="409">
        <f t="shared" si="42"/>
        <v>9782311.3565749899</v>
      </c>
      <c r="N61" s="408">
        <f t="shared" si="42"/>
        <v>1922533.6180398897</v>
      </c>
      <c r="O61" s="408">
        <f t="shared" si="42"/>
        <v>392774.73096000002</v>
      </c>
      <c r="P61" s="408">
        <f t="shared" si="42"/>
        <v>7467003.4575916063</v>
      </c>
      <c r="Q61" s="408">
        <f t="shared" si="42"/>
        <v>7467003.4565700982</v>
      </c>
      <c r="R61" s="408">
        <f t="shared" si="42"/>
        <v>1.0215074732968787E-3</v>
      </c>
      <c r="S61" s="410">
        <f t="shared" si="42"/>
        <v>45.64342990037494</v>
      </c>
      <c r="T61" s="411">
        <f t="shared" si="4"/>
        <v>1.0418259948634951</v>
      </c>
      <c r="U61" s="411">
        <f t="shared" si="5"/>
        <v>0.99999388735372019</v>
      </c>
      <c r="V61" s="408">
        <f t="shared" ref="V61:AI61" si="43">V62+V63+V64</f>
        <v>415518.53821990016</v>
      </c>
      <c r="W61" s="408">
        <f t="shared" si="43"/>
        <v>5617</v>
      </c>
      <c r="X61" s="408">
        <f t="shared" si="43"/>
        <v>471486.49311999994</v>
      </c>
      <c r="Y61" s="408">
        <f t="shared" si="43"/>
        <v>178</v>
      </c>
      <c r="Z61" s="408">
        <f t="shared" si="43"/>
        <v>55970.034259999986</v>
      </c>
      <c r="AA61" s="408">
        <f t="shared" si="43"/>
        <v>5439</v>
      </c>
      <c r="AB61" s="408">
        <f t="shared" si="43"/>
        <v>415516.45886000001</v>
      </c>
      <c r="AC61" s="408">
        <f t="shared" si="43"/>
        <v>415472.89478999999</v>
      </c>
      <c r="AD61" s="408">
        <f t="shared" si="43"/>
        <v>0</v>
      </c>
      <c r="AE61" s="408">
        <f t="shared" si="43"/>
        <v>0</v>
      </c>
      <c r="AF61" s="408">
        <f t="shared" si="43"/>
        <v>415472.89478999999</v>
      </c>
      <c r="AG61" s="408">
        <f t="shared" si="43"/>
        <v>415472.89478999999</v>
      </c>
      <c r="AH61" s="408">
        <f t="shared" si="43"/>
        <v>0</v>
      </c>
      <c r="AI61" s="408">
        <f t="shared" si="43"/>
        <v>45.643429900183037</v>
      </c>
      <c r="AJ61" s="412">
        <f t="shared" si="40"/>
        <v>0.9998901530841543</v>
      </c>
      <c r="AK61" s="413">
        <f t="shared" si="41"/>
        <v>0.9998901530841543</v>
      </c>
      <c r="AL61" s="485"/>
      <c r="AM61" s="485"/>
      <c r="AN61" s="485"/>
      <c r="AO61" s="485"/>
      <c r="AP61" s="485"/>
      <c r="AQ61" s="485"/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  <c r="BX61" s="485"/>
      <c r="BY61" s="485"/>
      <c r="BZ61" s="485"/>
      <c r="CA61" s="485"/>
      <c r="CB61" s="485"/>
      <c r="CC61" s="485"/>
      <c r="CD61" s="485"/>
      <c r="CE61" s="485"/>
      <c r="CF61" s="485"/>
      <c r="CG61" s="485"/>
      <c r="CH61" s="485"/>
      <c r="CI61" s="485"/>
      <c r="CJ61" s="485"/>
      <c r="CK61" s="485"/>
      <c r="CL61" s="485"/>
      <c r="CM61" s="485"/>
      <c r="CN61" s="485"/>
      <c r="CO61" s="485"/>
      <c r="CP61" s="485"/>
      <c r="CQ61" s="485"/>
      <c r="CR61" s="485"/>
      <c r="CS61" s="485"/>
      <c r="CT61" s="485"/>
      <c r="CU61" s="485"/>
      <c r="CV61" s="485"/>
      <c r="CW61" s="485"/>
      <c r="CX61" s="485"/>
      <c r="CY61" s="485"/>
      <c r="CZ61" s="485"/>
      <c r="DA61" s="485"/>
      <c r="DB61" s="485"/>
      <c r="DC61" s="485"/>
      <c r="DD61" s="485"/>
      <c r="DE61" s="485"/>
      <c r="DF61" s="485"/>
      <c r="DG61" s="485"/>
      <c r="DH61" s="485"/>
      <c r="DI61" s="485"/>
      <c r="DJ61" s="485"/>
      <c r="DK61" s="485"/>
      <c r="DL61" s="485"/>
      <c r="DM61" s="485"/>
      <c r="DN61" s="485"/>
      <c r="DO61" s="485"/>
      <c r="DP61" s="485"/>
      <c r="DQ61" s="485"/>
      <c r="DR61" s="485"/>
      <c r="DS61" s="485"/>
      <c r="DT61" s="485"/>
      <c r="DU61" s="485"/>
      <c r="DV61" s="485"/>
      <c r="DW61" s="485"/>
      <c r="DX61" s="485"/>
      <c r="DY61" s="485"/>
      <c r="DZ61" s="485"/>
      <c r="EA61" s="485"/>
      <c r="EB61" s="485"/>
      <c r="EC61" s="485"/>
      <c r="ED61" s="485"/>
      <c r="EE61" s="485"/>
      <c r="EF61" s="485"/>
      <c r="EG61" s="485"/>
      <c r="EH61" s="485"/>
      <c r="EI61" s="485"/>
      <c r="EJ61" s="485"/>
      <c r="EK61" s="485"/>
      <c r="EL61" s="485"/>
      <c r="EM61" s="485"/>
      <c r="EN61" s="485"/>
      <c r="EO61" s="485"/>
      <c r="EP61" s="485"/>
      <c r="EQ61" s="485"/>
      <c r="ER61" s="485"/>
      <c r="ES61" s="485"/>
      <c r="ET61" s="485"/>
      <c r="EU61" s="485"/>
      <c r="EV61" s="485"/>
      <c r="EW61" s="485"/>
      <c r="EX61" s="485"/>
    </row>
    <row r="62" spans="1:154" s="488" customFormat="1" ht="16.5" customHeight="1">
      <c r="A62" s="1921"/>
      <c r="B62" s="1922"/>
      <c r="C62" s="422" t="s">
        <v>1197</v>
      </c>
      <c r="D62" s="436">
        <v>8286817</v>
      </c>
      <c r="E62" s="436">
        <v>1987986.5999999999</v>
      </c>
      <c r="F62" s="436">
        <v>6298830.4000000004</v>
      </c>
      <c r="G62" s="436">
        <v>105011</v>
      </c>
      <c r="H62" s="436">
        <v>8865704.9085812643</v>
      </c>
      <c r="I62" s="436">
        <v>673</v>
      </c>
      <c r="J62" s="436">
        <v>415588.59302609198</v>
      </c>
      <c r="K62" s="436">
        <v>104338</v>
      </c>
      <c r="L62" s="436">
        <v>8450116.1996101737</v>
      </c>
      <c r="M62" s="437">
        <v>8286305.0374340452</v>
      </c>
      <c r="N62" s="436">
        <v>1632872.9509999999</v>
      </c>
      <c r="O62" s="436">
        <v>368943.93</v>
      </c>
      <c r="P62" s="436">
        <v>6284488.6054349691</v>
      </c>
      <c r="Q62" s="436">
        <v>6284488.6041099988</v>
      </c>
      <c r="R62" s="436">
        <v>1.3249697512947023E-3</v>
      </c>
      <c r="S62" s="438">
        <v>14341.795890000314</v>
      </c>
      <c r="T62" s="411">
        <f t="shared" si="4"/>
        <v>1.0447068770403949</v>
      </c>
      <c r="U62" s="411">
        <f t="shared" si="5"/>
        <v>0.99772310175393808</v>
      </c>
      <c r="V62" s="436">
        <v>334834.50792000012</v>
      </c>
      <c r="W62" s="436">
        <v>4203</v>
      </c>
      <c r="X62" s="436">
        <v>373558.98719999997</v>
      </c>
      <c r="Y62" s="408">
        <v>157</v>
      </c>
      <c r="Z62" s="408">
        <v>53034.081869999987</v>
      </c>
      <c r="AA62" s="436">
        <v>4046</v>
      </c>
      <c r="AB62" s="436">
        <v>320524.90533000004</v>
      </c>
      <c r="AC62" s="436">
        <v>320492.71203</v>
      </c>
      <c r="AD62" s="436">
        <v>0</v>
      </c>
      <c r="AE62" s="436">
        <v>0</v>
      </c>
      <c r="AF62" s="436">
        <v>320492.71203</v>
      </c>
      <c r="AG62" s="436">
        <v>320492.71203</v>
      </c>
      <c r="AH62" s="436">
        <v>0</v>
      </c>
      <c r="AI62" s="436">
        <v>14341.795890000167</v>
      </c>
      <c r="AJ62" s="412">
        <f t="shared" si="40"/>
        <v>0.9571675094688068</v>
      </c>
      <c r="AK62" s="413">
        <f t="shared" si="41"/>
        <v>0.9571675094688068</v>
      </c>
      <c r="AL62" s="487"/>
      <c r="AM62" s="487"/>
      <c r="AN62" s="487"/>
      <c r="AO62" s="487"/>
      <c r="AP62" s="487"/>
      <c r="AQ62" s="487"/>
      <c r="AR62" s="487"/>
      <c r="AS62" s="487"/>
      <c r="AT62" s="487"/>
      <c r="AU62" s="487"/>
      <c r="AV62" s="487"/>
      <c r="AW62" s="487"/>
      <c r="AX62" s="487"/>
      <c r="AY62" s="487"/>
      <c r="AZ62" s="487"/>
      <c r="BA62" s="487"/>
      <c r="BB62" s="487"/>
      <c r="BC62" s="487"/>
      <c r="BD62" s="487"/>
      <c r="BE62" s="487"/>
      <c r="BF62" s="487"/>
      <c r="BG62" s="487"/>
      <c r="BH62" s="487"/>
      <c r="BI62" s="487"/>
      <c r="BJ62" s="487"/>
      <c r="BK62" s="487"/>
      <c r="BL62" s="487"/>
      <c r="BM62" s="487"/>
      <c r="BN62" s="487"/>
      <c r="BO62" s="487"/>
      <c r="BP62" s="487"/>
      <c r="BQ62" s="487"/>
      <c r="BR62" s="487"/>
      <c r="BS62" s="487"/>
      <c r="BT62" s="487"/>
      <c r="BU62" s="487"/>
      <c r="BV62" s="487"/>
      <c r="BW62" s="487"/>
      <c r="BX62" s="487"/>
      <c r="BY62" s="487"/>
      <c r="BZ62" s="487"/>
      <c r="CA62" s="487"/>
      <c r="CB62" s="487"/>
      <c r="CC62" s="487"/>
      <c r="CD62" s="487"/>
      <c r="CE62" s="487"/>
      <c r="CF62" s="487"/>
      <c r="CG62" s="487"/>
      <c r="CH62" s="487"/>
      <c r="CI62" s="487"/>
      <c r="CJ62" s="487"/>
      <c r="CK62" s="487"/>
      <c r="CL62" s="487"/>
      <c r="CM62" s="487"/>
      <c r="CN62" s="487"/>
      <c r="CO62" s="487"/>
      <c r="CP62" s="487"/>
      <c r="CQ62" s="487"/>
      <c r="CR62" s="487"/>
      <c r="CS62" s="487"/>
      <c r="CT62" s="487"/>
      <c r="CU62" s="487"/>
      <c r="CV62" s="487"/>
      <c r="CW62" s="487"/>
      <c r="CX62" s="487"/>
      <c r="CY62" s="487"/>
      <c r="CZ62" s="487"/>
      <c r="DA62" s="487"/>
      <c r="DB62" s="487"/>
      <c r="DC62" s="487"/>
      <c r="DD62" s="487"/>
      <c r="DE62" s="487"/>
      <c r="DF62" s="487"/>
      <c r="DG62" s="487"/>
      <c r="DH62" s="487"/>
      <c r="DI62" s="487"/>
      <c r="DJ62" s="487"/>
      <c r="DK62" s="487"/>
      <c r="DL62" s="487"/>
      <c r="DM62" s="487"/>
      <c r="DN62" s="487"/>
      <c r="DO62" s="487"/>
      <c r="DP62" s="487"/>
      <c r="DQ62" s="487"/>
      <c r="DR62" s="487"/>
      <c r="DS62" s="487"/>
      <c r="DT62" s="487"/>
      <c r="DU62" s="487"/>
      <c r="DV62" s="487"/>
      <c r="DW62" s="487"/>
      <c r="DX62" s="487"/>
      <c r="DY62" s="487"/>
      <c r="DZ62" s="487"/>
      <c r="EA62" s="487"/>
      <c r="EB62" s="487"/>
      <c r="EC62" s="487"/>
      <c r="ED62" s="487"/>
      <c r="EE62" s="487"/>
      <c r="EF62" s="487"/>
      <c r="EG62" s="487"/>
      <c r="EH62" s="487"/>
      <c r="EI62" s="487"/>
      <c r="EJ62" s="487"/>
      <c r="EK62" s="487"/>
      <c r="EL62" s="487"/>
      <c r="EM62" s="487"/>
      <c r="EN62" s="487"/>
      <c r="EO62" s="487"/>
      <c r="EP62" s="487"/>
      <c r="EQ62" s="487"/>
      <c r="ER62" s="487"/>
      <c r="ES62" s="487"/>
      <c r="ET62" s="487"/>
      <c r="EU62" s="487"/>
      <c r="EV62" s="487"/>
      <c r="EW62" s="487"/>
      <c r="EX62" s="487"/>
    </row>
    <row r="63" spans="1:154" s="488" customFormat="1" ht="16.5" customHeight="1">
      <c r="A63" s="1921"/>
      <c r="B63" s="1922"/>
      <c r="C63" s="422" t="s">
        <v>1198</v>
      </c>
      <c r="D63" s="436">
        <v>630392</v>
      </c>
      <c r="E63" s="436">
        <v>99618.599999999991</v>
      </c>
      <c r="F63" s="436">
        <v>530773.4</v>
      </c>
      <c r="G63" s="436">
        <v>632</v>
      </c>
      <c r="H63" s="436">
        <v>664138.98338838702</v>
      </c>
      <c r="I63" s="436">
        <v>0</v>
      </c>
      <c r="J63" s="436">
        <v>21427.977538387102</v>
      </c>
      <c r="K63" s="436">
        <v>632</v>
      </c>
      <c r="L63" s="436">
        <v>642711.00584999984</v>
      </c>
      <c r="M63" s="437">
        <v>625634.31486000004</v>
      </c>
      <c r="N63" s="436">
        <v>77483.047999999995</v>
      </c>
      <c r="O63" s="436">
        <v>8305.7170000000006</v>
      </c>
      <c r="P63" s="436">
        <v>539845.54985999991</v>
      </c>
      <c r="Q63" s="436">
        <v>539845.54985999991</v>
      </c>
      <c r="R63" s="436">
        <v>0</v>
      </c>
      <c r="S63" s="438">
        <v>-9072.1498599999377</v>
      </c>
      <c r="T63" s="411">
        <f t="shared" si="4"/>
        <v>1.0285699673503503</v>
      </c>
      <c r="U63" s="411">
        <f t="shared" si="5"/>
        <v>1.0170923219965429</v>
      </c>
      <c r="V63" s="436">
        <v>50488.395199999999</v>
      </c>
      <c r="W63" s="436">
        <v>45</v>
      </c>
      <c r="X63" s="436">
        <v>61580.426579999999</v>
      </c>
      <c r="Y63" s="408">
        <v>-1</v>
      </c>
      <c r="Z63" s="408">
        <v>2019.8815200000026</v>
      </c>
      <c r="AA63" s="436">
        <v>46</v>
      </c>
      <c r="AB63" s="436">
        <v>59560.545059999997</v>
      </c>
      <c r="AC63" s="436">
        <v>59560.545059999997</v>
      </c>
      <c r="AD63" s="436">
        <v>0</v>
      </c>
      <c r="AE63" s="436">
        <v>0</v>
      </c>
      <c r="AF63" s="436">
        <v>59560.545059999997</v>
      </c>
      <c r="AG63" s="436">
        <v>59560.545059999997</v>
      </c>
      <c r="AH63" s="436">
        <v>0</v>
      </c>
      <c r="AI63" s="436">
        <v>-9072.1498599999959</v>
      </c>
      <c r="AJ63" s="412">
        <f t="shared" si="40"/>
        <v>1.179687823787277</v>
      </c>
      <c r="AK63" s="413">
        <f t="shared" si="41"/>
        <v>1.179687823787277</v>
      </c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  <c r="BL63" s="487"/>
      <c r="BM63" s="487"/>
      <c r="BN63" s="487"/>
      <c r="BO63" s="487"/>
      <c r="BP63" s="487"/>
      <c r="BQ63" s="487"/>
      <c r="BR63" s="487"/>
      <c r="BS63" s="487"/>
      <c r="BT63" s="487"/>
      <c r="BU63" s="487"/>
      <c r="BV63" s="487"/>
      <c r="BW63" s="487"/>
      <c r="BX63" s="487"/>
      <c r="BY63" s="487"/>
      <c r="BZ63" s="487"/>
      <c r="CA63" s="487"/>
      <c r="CB63" s="487"/>
      <c r="CC63" s="487"/>
      <c r="CD63" s="487"/>
      <c r="CE63" s="487"/>
      <c r="CF63" s="487"/>
      <c r="CG63" s="487"/>
      <c r="CH63" s="487"/>
      <c r="CI63" s="487"/>
      <c r="CJ63" s="487"/>
      <c r="CK63" s="487"/>
      <c r="CL63" s="487"/>
      <c r="CM63" s="487"/>
      <c r="CN63" s="487"/>
      <c r="CO63" s="487"/>
      <c r="CP63" s="487"/>
      <c r="CQ63" s="487"/>
      <c r="CR63" s="487"/>
      <c r="CS63" s="487"/>
      <c r="CT63" s="487"/>
      <c r="CU63" s="487"/>
      <c r="CV63" s="487"/>
      <c r="CW63" s="487"/>
      <c r="CX63" s="487"/>
      <c r="CY63" s="487"/>
      <c r="CZ63" s="487"/>
      <c r="DA63" s="487"/>
      <c r="DB63" s="487"/>
      <c r="DC63" s="487"/>
      <c r="DD63" s="487"/>
      <c r="DE63" s="487"/>
      <c r="DF63" s="487"/>
      <c r="DG63" s="487"/>
      <c r="DH63" s="487"/>
      <c r="DI63" s="487"/>
      <c r="DJ63" s="487"/>
      <c r="DK63" s="487"/>
      <c r="DL63" s="487"/>
      <c r="DM63" s="487"/>
      <c r="DN63" s="487"/>
      <c r="DO63" s="487"/>
      <c r="DP63" s="487"/>
      <c r="DQ63" s="487"/>
      <c r="DR63" s="487"/>
      <c r="DS63" s="487"/>
      <c r="DT63" s="487"/>
      <c r="DU63" s="487"/>
      <c r="DV63" s="487"/>
      <c r="DW63" s="487"/>
      <c r="DX63" s="487"/>
      <c r="DY63" s="487"/>
      <c r="DZ63" s="487"/>
      <c r="EA63" s="487"/>
      <c r="EB63" s="487"/>
      <c r="EC63" s="487"/>
      <c r="ED63" s="487"/>
      <c r="EE63" s="487"/>
      <c r="EF63" s="487"/>
      <c r="EG63" s="487"/>
      <c r="EH63" s="487"/>
      <c r="EI63" s="487"/>
      <c r="EJ63" s="487"/>
      <c r="EK63" s="487"/>
      <c r="EL63" s="487"/>
      <c r="EM63" s="487"/>
      <c r="EN63" s="487"/>
      <c r="EO63" s="487"/>
      <c r="EP63" s="487"/>
      <c r="EQ63" s="487"/>
      <c r="ER63" s="487"/>
      <c r="ES63" s="487"/>
      <c r="ET63" s="487"/>
      <c r="EU63" s="487"/>
      <c r="EV63" s="487"/>
      <c r="EW63" s="487"/>
      <c r="EX63" s="487"/>
    </row>
    <row r="64" spans="1:154" s="488" customFormat="1" ht="16.5" customHeight="1">
      <c r="A64" s="1921"/>
      <c r="B64" s="1922"/>
      <c r="C64" s="422" t="s">
        <v>1199</v>
      </c>
      <c r="D64" s="436">
        <v>865148</v>
      </c>
      <c r="E64" s="436">
        <v>227702.7</v>
      </c>
      <c r="F64" s="436">
        <v>637445.30000000005</v>
      </c>
      <c r="G64" s="436">
        <v>37444</v>
      </c>
      <c r="H64" s="436">
        <v>889194.10698837112</v>
      </c>
      <c r="I64" s="436">
        <v>170</v>
      </c>
      <c r="J64" s="436">
        <v>11806.370030071514</v>
      </c>
      <c r="K64" s="436">
        <v>37274</v>
      </c>
      <c r="L64" s="436">
        <v>877369.03515829984</v>
      </c>
      <c r="M64" s="437">
        <v>870372.00428094529</v>
      </c>
      <c r="N64" s="436">
        <v>212177.61903989001</v>
      </c>
      <c r="O64" s="436">
        <v>15525.08396</v>
      </c>
      <c r="P64" s="436">
        <v>642669.30229663767</v>
      </c>
      <c r="Q64" s="436">
        <v>642669.30260009994</v>
      </c>
      <c r="R64" s="436">
        <v>-3.0346227799782355E-4</v>
      </c>
      <c r="S64" s="438">
        <v>-5224.0026001000015</v>
      </c>
      <c r="T64" s="411">
        <f t="shared" si="4"/>
        <v>1.0244215225084825</v>
      </c>
      <c r="U64" s="411">
        <f t="shared" si="5"/>
        <v>1.0081952170642718</v>
      </c>
      <c r="V64" s="436">
        <v>30195.635099900017</v>
      </c>
      <c r="W64" s="436">
        <v>1369</v>
      </c>
      <c r="X64" s="436">
        <v>36347.079339999997</v>
      </c>
      <c r="Y64" s="436">
        <v>22</v>
      </c>
      <c r="Z64" s="436">
        <v>916.07086999999831</v>
      </c>
      <c r="AA64" s="436">
        <v>1347</v>
      </c>
      <c r="AB64" s="436">
        <v>35431.008470000001</v>
      </c>
      <c r="AC64" s="436">
        <v>35419.637699999999</v>
      </c>
      <c r="AD64" s="436">
        <v>0</v>
      </c>
      <c r="AE64" s="436">
        <v>0</v>
      </c>
      <c r="AF64" s="436">
        <v>35419.637699999999</v>
      </c>
      <c r="AG64" s="436">
        <v>35419.637699999999</v>
      </c>
      <c r="AH64" s="436">
        <v>0</v>
      </c>
      <c r="AI64" s="436">
        <v>-5224.0026000999878</v>
      </c>
      <c r="AJ64" s="412">
        <f t="shared" si="40"/>
        <v>1.1730052235303796</v>
      </c>
      <c r="AK64" s="413">
        <f t="shared" si="41"/>
        <v>1.1730052235303796</v>
      </c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  <c r="AW64" s="487"/>
      <c r="AX64" s="487"/>
      <c r="AY64" s="487"/>
      <c r="AZ64" s="487"/>
      <c r="BA64" s="487"/>
      <c r="BB64" s="487"/>
      <c r="BC64" s="487"/>
      <c r="BD64" s="487"/>
      <c r="BE64" s="487"/>
      <c r="BF64" s="487"/>
      <c r="BG64" s="487"/>
      <c r="BH64" s="487"/>
      <c r="BI64" s="487"/>
      <c r="BJ64" s="487"/>
      <c r="BK64" s="487"/>
      <c r="BL64" s="487"/>
      <c r="BM64" s="487"/>
      <c r="BN64" s="487"/>
      <c r="BO64" s="487"/>
      <c r="BP64" s="487"/>
      <c r="BQ64" s="487"/>
      <c r="BR64" s="487"/>
      <c r="BS64" s="487"/>
      <c r="BT64" s="487"/>
      <c r="BU64" s="487"/>
      <c r="BV64" s="487"/>
      <c r="BW64" s="487"/>
      <c r="BX64" s="487"/>
      <c r="BY64" s="487"/>
      <c r="BZ64" s="487"/>
      <c r="CA64" s="487"/>
      <c r="CB64" s="487"/>
      <c r="CC64" s="487"/>
      <c r="CD64" s="487"/>
      <c r="CE64" s="487"/>
      <c r="CF64" s="487"/>
      <c r="CG64" s="487"/>
      <c r="CH64" s="487"/>
      <c r="CI64" s="487"/>
      <c r="CJ64" s="487"/>
      <c r="CK64" s="487"/>
      <c r="CL64" s="487"/>
      <c r="CM64" s="487"/>
      <c r="CN64" s="487"/>
      <c r="CO64" s="487"/>
      <c r="CP64" s="487"/>
      <c r="CQ64" s="487"/>
      <c r="CR64" s="487"/>
      <c r="CS64" s="487"/>
      <c r="CT64" s="487"/>
      <c r="CU64" s="487"/>
      <c r="CV64" s="487"/>
      <c r="CW64" s="487"/>
      <c r="CX64" s="487"/>
      <c r="CY64" s="487"/>
      <c r="CZ64" s="487"/>
      <c r="DA64" s="487"/>
      <c r="DB64" s="487"/>
      <c r="DC64" s="487"/>
      <c r="DD64" s="487"/>
      <c r="DE64" s="487"/>
      <c r="DF64" s="487"/>
      <c r="DG64" s="487"/>
      <c r="DH64" s="487"/>
      <c r="DI64" s="487"/>
      <c r="DJ64" s="487"/>
      <c r="DK64" s="487"/>
      <c r="DL64" s="487"/>
      <c r="DM64" s="487"/>
      <c r="DN64" s="487"/>
      <c r="DO64" s="487"/>
      <c r="DP64" s="487"/>
      <c r="DQ64" s="487"/>
      <c r="DR64" s="487"/>
      <c r="DS64" s="487"/>
      <c r="DT64" s="487"/>
      <c r="DU64" s="487"/>
      <c r="DV64" s="487"/>
      <c r="DW64" s="487"/>
      <c r="DX64" s="487"/>
      <c r="DY64" s="487"/>
      <c r="DZ64" s="487"/>
      <c r="EA64" s="487"/>
      <c r="EB64" s="487"/>
      <c r="EC64" s="487"/>
      <c r="ED64" s="487"/>
      <c r="EE64" s="487"/>
      <c r="EF64" s="487"/>
      <c r="EG64" s="487"/>
      <c r="EH64" s="487"/>
      <c r="EI64" s="487"/>
      <c r="EJ64" s="487"/>
      <c r="EK64" s="487"/>
      <c r="EL64" s="487"/>
      <c r="EM64" s="487"/>
      <c r="EN64" s="487"/>
      <c r="EO64" s="487"/>
      <c r="EP64" s="487"/>
      <c r="EQ64" s="487"/>
      <c r="ER64" s="487"/>
      <c r="ES64" s="487"/>
      <c r="ET64" s="487"/>
      <c r="EU64" s="487"/>
      <c r="EV64" s="487"/>
      <c r="EW64" s="487"/>
      <c r="EX64" s="487"/>
    </row>
    <row r="65" spans="1:154" s="447" customFormat="1" ht="16.5" customHeight="1">
      <c r="A65" s="1911">
        <v>11</v>
      </c>
      <c r="B65" s="1912" t="s">
        <v>1208</v>
      </c>
      <c r="C65" s="419" t="s">
        <v>1196</v>
      </c>
      <c r="D65" s="489">
        <f t="shared" ref="D65:S65" si="44">D66+D67+D68+D69</f>
        <v>5187688.5999999996</v>
      </c>
      <c r="E65" s="489">
        <f t="shared" si="44"/>
        <v>1438110.86</v>
      </c>
      <c r="F65" s="489">
        <f t="shared" si="44"/>
        <v>3749577.7399999998</v>
      </c>
      <c r="G65" s="489">
        <f t="shared" si="44"/>
        <v>96353</v>
      </c>
      <c r="H65" s="489">
        <f t="shared" si="44"/>
        <v>5341154.5599999996</v>
      </c>
      <c r="I65" s="489">
        <f t="shared" si="44"/>
        <v>4807</v>
      </c>
      <c r="J65" s="489">
        <f t="shared" si="44"/>
        <v>195226.07</v>
      </c>
      <c r="K65" s="489">
        <f t="shared" si="44"/>
        <v>95700</v>
      </c>
      <c r="L65" s="489">
        <f t="shared" si="44"/>
        <v>5187688.5999999996</v>
      </c>
      <c r="M65" s="490">
        <f t="shared" si="44"/>
        <v>5187688.5999999996</v>
      </c>
      <c r="N65" s="489">
        <f t="shared" si="44"/>
        <v>1438110.86</v>
      </c>
      <c r="O65" s="489">
        <f t="shared" si="44"/>
        <v>0</v>
      </c>
      <c r="P65" s="489">
        <f t="shared" si="44"/>
        <v>3749577.7399999998</v>
      </c>
      <c r="Q65" s="489">
        <f t="shared" si="44"/>
        <v>3749577.74</v>
      </c>
      <c r="R65" s="489">
        <f t="shared" si="44"/>
        <v>-1.3369572116062045E-10</v>
      </c>
      <c r="S65" s="491">
        <f t="shared" si="44"/>
        <v>-2.6193447411060333E-10</v>
      </c>
      <c r="T65" s="411">
        <f t="shared" si="4"/>
        <v>1</v>
      </c>
      <c r="U65" s="411">
        <f t="shared" si="5"/>
        <v>1.0000000000000002</v>
      </c>
      <c r="V65" s="489">
        <f t="shared" ref="V65:AI65" si="45">V66+V67+V68+V69</f>
        <v>157738.5</v>
      </c>
      <c r="W65" s="489">
        <f t="shared" si="45"/>
        <v>2517</v>
      </c>
      <c r="X65" s="489">
        <f t="shared" si="45"/>
        <v>166616.6</v>
      </c>
      <c r="Y65" s="489">
        <f t="shared" si="45"/>
        <v>225</v>
      </c>
      <c r="Z65" s="489">
        <f t="shared" si="45"/>
        <v>10888.8</v>
      </c>
      <c r="AA65" s="489">
        <f t="shared" si="45"/>
        <v>2458</v>
      </c>
      <c r="AB65" s="489">
        <f t="shared" si="45"/>
        <v>155771.91</v>
      </c>
      <c r="AC65" s="489">
        <f t="shared" si="45"/>
        <v>155771.91</v>
      </c>
      <c r="AD65" s="489">
        <f t="shared" si="45"/>
        <v>0</v>
      </c>
      <c r="AE65" s="489">
        <f t="shared" si="45"/>
        <v>0</v>
      </c>
      <c r="AF65" s="489">
        <f t="shared" si="45"/>
        <v>155771.91</v>
      </c>
      <c r="AG65" s="489">
        <f t="shared" si="45"/>
        <v>157738.54</v>
      </c>
      <c r="AH65" s="489">
        <f t="shared" si="45"/>
        <v>-1966.6299999999992</v>
      </c>
      <c r="AI65" s="489">
        <f t="shared" si="45"/>
        <v>-3.999999999996362E-2</v>
      </c>
      <c r="AJ65" s="412">
        <f t="shared" si="40"/>
        <v>0.98753259350126954</v>
      </c>
      <c r="AK65" s="413">
        <f t="shared" si="41"/>
        <v>1.0000002535842549</v>
      </c>
      <c r="AL65" s="446"/>
      <c r="AM65" s="446"/>
      <c r="AN65" s="446"/>
      <c r="AO65" s="446"/>
      <c r="AP65" s="446"/>
      <c r="AQ65" s="446"/>
      <c r="AR65" s="446"/>
      <c r="AS65" s="446"/>
      <c r="AT65" s="446"/>
      <c r="AU65" s="446"/>
      <c r="AV65" s="446"/>
      <c r="AW65" s="446"/>
      <c r="AX65" s="446"/>
      <c r="AY65" s="446"/>
      <c r="AZ65" s="446"/>
      <c r="BA65" s="446"/>
      <c r="BB65" s="446"/>
      <c r="BC65" s="446"/>
      <c r="BD65" s="446"/>
      <c r="BE65" s="446"/>
      <c r="BF65" s="446"/>
      <c r="BG65" s="446"/>
      <c r="BH65" s="446"/>
      <c r="BI65" s="446"/>
      <c r="BJ65" s="446"/>
      <c r="BK65" s="446"/>
      <c r="BL65" s="446"/>
      <c r="BM65" s="446"/>
      <c r="BN65" s="446"/>
      <c r="BO65" s="446"/>
      <c r="BP65" s="446"/>
      <c r="BQ65" s="446"/>
      <c r="BR65" s="446"/>
      <c r="BS65" s="446"/>
      <c r="BT65" s="446"/>
      <c r="BU65" s="446"/>
      <c r="BV65" s="446"/>
      <c r="BW65" s="446"/>
      <c r="BX65" s="446"/>
      <c r="BY65" s="446"/>
      <c r="BZ65" s="446"/>
      <c r="CA65" s="446"/>
      <c r="CB65" s="446"/>
      <c r="CC65" s="446"/>
      <c r="CD65" s="446"/>
      <c r="CE65" s="446"/>
      <c r="CF65" s="446"/>
      <c r="CG65" s="446"/>
      <c r="CH65" s="446"/>
      <c r="CI65" s="446"/>
      <c r="CJ65" s="446"/>
      <c r="CK65" s="446"/>
      <c r="CL65" s="446"/>
      <c r="CM65" s="446"/>
      <c r="CN65" s="446"/>
      <c r="CO65" s="446"/>
      <c r="CP65" s="446"/>
      <c r="CQ65" s="446"/>
      <c r="CR65" s="446"/>
      <c r="CS65" s="446"/>
      <c r="CT65" s="446"/>
      <c r="CU65" s="446"/>
      <c r="CV65" s="446"/>
      <c r="CW65" s="446"/>
      <c r="CX65" s="446"/>
      <c r="CY65" s="446"/>
      <c r="CZ65" s="446"/>
      <c r="DA65" s="446"/>
      <c r="DB65" s="446"/>
      <c r="DC65" s="446"/>
      <c r="DD65" s="446"/>
      <c r="DE65" s="446"/>
      <c r="DF65" s="446"/>
      <c r="DG65" s="446"/>
      <c r="DH65" s="446"/>
      <c r="DI65" s="446"/>
      <c r="DJ65" s="446"/>
      <c r="DK65" s="446"/>
      <c r="DL65" s="446"/>
      <c r="DM65" s="446"/>
      <c r="DN65" s="446"/>
      <c r="DO65" s="446"/>
      <c r="DP65" s="446"/>
      <c r="DQ65" s="446"/>
      <c r="DR65" s="446"/>
      <c r="DS65" s="446"/>
      <c r="DT65" s="446"/>
      <c r="DU65" s="446"/>
      <c r="DV65" s="446"/>
      <c r="DW65" s="446"/>
      <c r="DX65" s="446"/>
      <c r="DY65" s="446"/>
      <c r="DZ65" s="446"/>
      <c r="EA65" s="446"/>
      <c r="EB65" s="446"/>
      <c r="EC65" s="446"/>
      <c r="ED65" s="446"/>
      <c r="EE65" s="446"/>
      <c r="EF65" s="446"/>
      <c r="EG65" s="446"/>
      <c r="EH65" s="446"/>
      <c r="EI65" s="446"/>
      <c r="EJ65" s="446"/>
      <c r="EK65" s="446"/>
      <c r="EL65" s="446"/>
      <c r="EM65" s="446"/>
      <c r="EN65" s="446"/>
      <c r="EO65" s="446"/>
      <c r="EP65" s="446"/>
      <c r="EQ65" s="446"/>
      <c r="ER65" s="446"/>
      <c r="ES65" s="446"/>
      <c r="ET65" s="446"/>
      <c r="EU65" s="446"/>
      <c r="EV65" s="446"/>
      <c r="EW65" s="446"/>
      <c r="EX65" s="446"/>
    </row>
    <row r="66" spans="1:154" s="427" customFormat="1" ht="16.5" customHeight="1">
      <c r="A66" s="1911"/>
      <c r="B66" s="1912"/>
      <c r="C66" s="422" t="s">
        <v>1197</v>
      </c>
      <c r="D66" s="484">
        <v>4315228.3</v>
      </c>
      <c r="E66" s="484">
        <v>1220616.8</v>
      </c>
      <c r="F66" s="484">
        <v>3094611.5</v>
      </c>
      <c r="G66" s="484">
        <v>64356</v>
      </c>
      <c r="H66" s="484">
        <v>4439062.6500000004</v>
      </c>
      <c r="I66" s="484">
        <v>4354</v>
      </c>
      <c r="J66" s="484">
        <v>178360.95</v>
      </c>
      <c r="K66" s="484">
        <v>63857</v>
      </c>
      <c r="L66" s="484">
        <v>4300373.13</v>
      </c>
      <c r="M66" s="492">
        <v>4300373.13</v>
      </c>
      <c r="N66" s="484">
        <v>1220348.1000000001</v>
      </c>
      <c r="O66" s="484">
        <v>0</v>
      </c>
      <c r="P66" s="484">
        <v>3080025.03</v>
      </c>
      <c r="Q66" s="484">
        <v>3096003.24</v>
      </c>
      <c r="R66" s="484">
        <v>-15978.210000000134</v>
      </c>
      <c r="S66" s="438">
        <v>-1391.7400000002235</v>
      </c>
      <c r="T66" s="411">
        <f t="shared" si="4"/>
        <v>0.99661955815298953</v>
      </c>
      <c r="U66" s="411">
        <f t="shared" si="5"/>
        <v>1.0004497301195967</v>
      </c>
      <c r="V66" s="484">
        <v>131089.9</v>
      </c>
      <c r="W66" s="484">
        <v>1846</v>
      </c>
      <c r="X66" s="484">
        <v>130216.7</v>
      </c>
      <c r="Y66" s="484">
        <v>151</v>
      </c>
      <c r="Z66" s="484">
        <v>6599.9</v>
      </c>
      <c r="AA66" s="484">
        <v>1819</v>
      </c>
      <c r="AB66" s="484">
        <v>124368.77</v>
      </c>
      <c r="AC66" s="484">
        <v>124368.77</v>
      </c>
      <c r="AD66" s="484">
        <v>0</v>
      </c>
      <c r="AE66" s="484">
        <v>0</v>
      </c>
      <c r="AF66" s="484">
        <v>124368.77</v>
      </c>
      <c r="AG66" s="484">
        <v>132481.64000000001</v>
      </c>
      <c r="AH66" s="484">
        <v>-8112.87</v>
      </c>
      <c r="AI66" s="493">
        <v>-1391.74</v>
      </c>
      <c r="AJ66" s="412">
        <f t="shared" si="40"/>
        <v>0.94872884943843894</v>
      </c>
      <c r="AK66" s="413">
        <f t="shared" si="41"/>
        <v>1.0106166836651795</v>
      </c>
      <c r="AL66" s="426"/>
      <c r="AM66" s="426"/>
      <c r="AN66" s="426"/>
      <c r="AO66" s="426"/>
      <c r="AP66" s="426"/>
      <c r="AQ66" s="426"/>
      <c r="AR66" s="426"/>
      <c r="AS66" s="426"/>
      <c r="AT66" s="426"/>
      <c r="AU66" s="426"/>
      <c r="AV66" s="426"/>
      <c r="AW66" s="426"/>
      <c r="AX66" s="426"/>
      <c r="AY66" s="426"/>
      <c r="AZ66" s="426"/>
      <c r="BA66" s="426"/>
      <c r="BB66" s="426"/>
      <c r="BC66" s="426"/>
      <c r="BD66" s="426"/>
      <c r="BE66" s="426"/>
      <c r="BF66" s="426"/>
      <c r="BG66" s="426"/>
      <c r="BH66" s="426"/>
      <c r="BI66" s="426"/>
      <c r="BJ66" s="426"/>
      <c r="BK66" s="426"/>
      <c r="BL66" s="426"/>
      <c r="BM66" s="426"/>
      <c r="BN66" s="426"/>
      <c r="BO66" s="426"/>
      <c r="BP66" s="426"/>
      <c r="BQ66" s="426"/>
      <c r="BR66" s="426"/>
      <c r="BS66" s="426"/>
      <c r="BT66" s="426"/>
      <c r="BU66" s="426"/>
      <c r="BV66" s="426"/>
      <c r="BW66" s="426"/>
      <c r="BX66" s="426"/>
      <c r="BY66" s="426"/>
      <c r="BZ66" s="426"/>
      <c r="CA66" s="426"/>
      <c r="CB66" s="426"/>
      <c r="CC66" s="426"/>
      <c r="CD66" s="426"/>
      <c r="CE66" s="426"/>
      <c r="CF66" s="426"/>
      <c r="CG66" s="426"/>
      <c r="CH66" s="426"/>
      <c r="CI66" s="426"/>
      <c r="CJ66" s="426"/>
      <c r="CK66" s="426"/>
      <c r="CL66" s="426"/>
      <c r="CM66" s="426"/>
      <c r="CN66" s="426"/>
      <c r="CO66" s="426"/>
      <c r="CP66" s="426"/>
      <c r="CQ66" s="426"/>
      <c r="CR66" s="426"/>
      <c r="CS66" s="426"/>
      <c r="CT66" s="426"/>
      <c r="CU66" s="426"/>
      <c r="CV66" s="426"/>
      <c r="CW66" s="426"/>
      <c r="CX66" s="426"/>
      <c r="CY66" s="426"/>
      <c r="CZ66" s="426"/>
      <c r="DA66" s="426"/>
      <c r="DB66" s="426"/>
      <c r="DC66" s="426"/>
      <c r="DD66" s="426"/>
      <c r="DE66" s="426"/>
      <c r="DF66" s="426"/>
      <c r="DG66" s="426"/>
      <c r="DH66" s="426"/>
      <c r="DI66" s="426"/>
      <c r="DJ66" s="426"/>
      <c r="DK66" s="426"/>
      <c r="DL66" s="426"/>
      <c r="DM66" s="426"/>
      <c r="DN66" s="426"/>
      <c r="DO66" s="426"/>
      <c r="DP66" s="426"/>
      <c r="DQ66" s="426"/>
      <c r="DR66" s="426"/>
      <c r="DS66" s="426"/>
      <c r="DT66" s="426"/>
      <c r="DU66" s="426"/>
      <c r="DV66" s="426"/>
      <c r="DW66" s="426"/>
      <c r="DX66" s="426"/>
      <c r="DY66" s="426"/>
      <c r="DZ66" s="426"/>
      <c r="EA66" s="426"/>
      <c r="EB66" s="426"/>
      <c r="EC66" s="426"/>
      <c r="ED66" s="426"/>
      <c r="EE66" s="426"/>
      <c r="EF66" s="426"/>
      <c r="EG66" s="426"/>
      <c r="EH66" s="426"/>
      <c r="EI66" s="426"/>
      <c r="EJ66" s="426"/>
      <c r="EK66" s="426"/>
      <c r="EL66" s="426"/>
      <c r="EM66" s="426"/>
      <c r="EN66" s="426"/>
      <c r="EO66" s="426"/>
      <c r="EP66" s="426"/>
      <c r="EQ66" s="426"/>
      <c r="ER66" s="426"/>
      <c r="ES66" s="426"/>
      <c r="ET66" s="426"/>
      <c r="EU66" s="426"/>
      <c r="EV66" s="426"/>
      <c r="EW66" s="426"/>
      <c r="EX66" s="426"/>
    </row>
    <row r="67" spans="1:154" s="427" customFormat="1" ht="16.5" customHeight="1">
      <c r="A67" s="1911"/>
      <c r="B67" s="1912"/>
      <c r="C67" s="422" t="s">
        <v>1198</v>
      </c>
      <c r="D67" s="484">
        <v>330417.2</v>
      </c>
      <c r="E67" s="484">
        <v>72223.86</v>
      </c>
      <c r="F67" s="484">
        <v>258193.34</v>
      </c>
      <c r="G67" s="484">
        <v>464</v>
      </c>
      <c r="H67" s="484">
        <v>346630.06</v>
      </c>
      <c r="I67" s="484">
        <v>17</v>
      </c>
      <c r="J67" s="484">
        <v>9242.11</v>
      </c>
      <c r="K67" s="484">
        <v>459</v>
      </c>
      <c r="L67" s="484">
        <v>340573.5</v>
      </c>
      <c r="M67" s="492">
        <v>340573.5</v>
      </c>
      <c r="N67" s="484">
        <v>72223.86</v>
      </c>
      <c r="O67" s="484">
        <v>0</v>
      </c>
      <c r="P67" s="484">
        <v>268349.64</v>
      </c>
      <c r="Q67" s="484">
        <v>258193.3</v>
      </c>
      <c r="R67" s="484">
        <v>10156.34</v>
      </c>
      <c r="S67" s="438">
        <v>4.0000000008149073E-2</v>
      </c>
      <c r="T67" s="411">
        <f t="shared" si="4"/>
        <v>1.0307378066274999</v>
      </c>
      <c r="U67" s="411">
        <f t="shared" si="5"/>
        <v>0.99999984507733619</v>
      </c>
      <c r="V67" s="484">
        <v>13235.3</v>
      </c>
      <c r="W67" s="484">
        <v>22</v>
      </c>
      <c r="X67" s="484">
        <v>20661.5</v>
      </c>
      <c r="Y67" s="484">
        <v>2</v>
      </c>
      <c r="Z67" s="484">
        <v>1822.7</v>
      </c>
      <c r="AA67" s="484">
        <v>21</v>
      </c>
      <c r="AB67" s="484">
        <v>18838.8</v>
      </c>
      <c r="AC67" s="484">
        <v>18838.8</v>
      </c>
      <c r="AD67" s="484">
        <v>0</v>
      </c>
      <c r="AE67" s="484">
        <v>0</v>
      </c>
      <c r="AF67" s="484">
        <v>18838.8</v>
      </c>
      <c r="AG67" s="484">
        <v>13235.3</v>
      </c>
      <c r="AH67" s="484">
        <v>5603.5</v>
      </c>
      <c r="AI67" s="493">
        <v>0</v>
      </c>
      <c r="AJ67" s="412">
        <f t="shared" si="40"/>
        <v>1.4233753673887257</v>
      </c>
      <c r="AK67" s="413">
        <f t="shared" si="41"/>
        <v>1</v>
      </c>
      <c r="AL67" s="426"/>
      <c r="AM67" s="426"/>
      <c r="AN67" s="426"/>
      <c r="AO67" s="426"/>
      <c r="AP67" s="426"/>
      <c r="AQ67" s="426"/>
      <c r="AR67" s="426"/>
      <c r="AS67" s="426"/>
      <c r="AT67" s="426"/>
      <c r="AU67" s="426"/>
      <c r="AV67" s="426"/>
      <c r="AW67" s="426"/>
      <c r="AX67" s="426"/>
      <c r="AY67" s="426"/>
      <c r="AZ67" s="426"/>
      <c r="BA67" s="426"/>
      <c r="BB67" s="426"/>
      <c r="BC67" s="426"/>
      <c r="BD67" s="426"/>
      <c r="BE67" s="426"/>
      <c r="BF67" s="426"/>
      <c r="BG67" s="426"/>
      <c r="BH67" s="426"/>
      <c r="BI67" s="426"/>
      <c r="BJ67" s="426"/>
      <c r="BK67" s="426"/>
      <c r="BL67" s="426"/>
      <c r="BM67" s="426"/>
      <c r="BN67" s="426"/>
      <c r="BO67" s="426"/>
      <c r="BP67" s="426"/>
      <c r="BQ67" s="426"/>
      <c r="BR67" s="426"/>
      <c r="BS67" s="426"/>
      <c r="BT67" s="426"/>
      <c r="BU67" s="426"/>
      <c r="BV67" s="426"/>
      <c r="BW67" s="426"/>
      <c r="BX67" s="426"/>
      <c r="BY67" s="426"/>
      <c r="BZ67" s="426"/>
      <c r="CA67" s="426"/>
      <c r="CB67" s="426"/>
      <c r="CC67" s="426"/>
      <c r="CD67" s="426"/>
      <c r="CE67" s="426"/>
      <c r="CF67" s="426"/>
      <c r="CG67" s="426"/>
      <c r="CH67" s="426"/>
      <c r="CI67" s="426"/>
      <c r="CJ67" s="426"/>
      <c r="CK67" s="426"/>
      <c r="CL67" s="426"/>
      <c r="CM67" s="426"/>
      <c r="CN67" s="426"/>
      <c r="CO67" s="426"/>
      <c r="CP67" s="426"/>
      <c r="CQ67" s="426"/>
      <c r="CR67" s="426"/>
      <c r="CS67" s="426"/>
      <c r="CT67" s="426"/>
      <c r="CU67" s="426"/>
      <c r="CV67" s="426"/>
      <c r="CW67" s="426"/>
      <c r="CX67" s="426"/>
      <c r="CY67" s="426"/>
      <c r="CZ67" s="426"/>
      <c r="DA67" s="426"/>
      <c r="DB67" s="426"/>
      <c r="DC67" s="426"/>
      <c r="DD67" s="426"/>
      <c r="DE67" s="426"/>
      <c r="DF67" s="426"/>
      <c r="DG67" s="426"/>
      <c r="DH67" s="426"/>
      <c r="DI67" s="426"/>
      <c r="DJ67" s="426"/>
      <c r="DK67" s="426"/>
      <c r="DL67" s="426"/>
      <c r="DM67" s="426"/>
      <c r="DN67" s="426"/>
      <c r="DO67" s="426"/>
      <c r="DP67" s="426"/>
      <c r="DQ67" s="426"/>
      <c r="DR67" s="426"/>
      <c r="DS67" s="426"/>
      <c r="DT67" s="426"/>
      <c r="DU67" s="426"/>
      <c r="DV67" s="426"/>
      <c r="DW67" s="426"/>
      <c r="DX67" s="426"/>
      <c r="DY67" s="426"/>
      <c r="DZ67" s="426"/>
      <c r="EA67" s="426"/>
      <c r="EB67" s="426"/>
      <c r="EC67" s="426"/>
      <c r="ED67" s="426"/>
      <c r="EE67" s="426"/>
      <c r="EF67" s="426"/>
      <c r="EG67" s="426"/>
      <c r="EH67" s="426"/>
      <c r="EI67" s="426"/>
      <c r="EJ67" s="426"/>
      <c r="EK67" s="426"/>
      <c r="EL67" s="426"/>
      <c r="EM67" s="426"/>
      <c r="EN67" s="426"/>
      <c r="EO67" s="426"/>
      <c r="EP67" s="426"/>
      <c r="EQ67" s="426"/>
      <c r="ER67" s="426"/>
      <c r="ES67" s="426"/>
      <c r="ET67" s="426"/>
      <c r="EU67" s="426"/>
      <c r="EV67" s="426"/>
      <c r="EW67" s="426"/>
      <c r="EX67" s="426"/>
    </row>
    <row r="68" spans="1:154" s="427" customFormat="1" ht="16.5" customHeight="1">
      <c r="A68" s="1911"/>
      <c r="B68" s="1912"/>
      <c r="C68" s="422" t="s">
        <v>1199</v>
      </c>
      <c r="D68" s="484">
        <v>535864</v>
      </c>
      <c r="E68" s="484">
        <v>145270.20000000001</v>
      </c>
      <c r="F68" s="484">
        <v>390593.8</v>
      </c>
      <c r="G68" s="484">
        <v>31533</v>
      </c>
      <c r="H68" s="484">
        <v>548034.75</v>
      </c>
      <c r="I68" s="484">
        <v>436</v>
      </c>
      <c r="J68" s="484">
        <v>6375.01</v>
      </c>
      <c r="K68" s="484">
        <v>31384</v>
      </c>
      <c r="L68" s="484">
        <v>540562.87</v>
      </c>
      <c r="M68" s="492">
        <v>540562.87</v>
      </c>
      <c r="N68" s="484">
        <v>145538.9</v>
      </c>
      <c r="O68" s="484">
        <v>0</v>
      </c>
      <c r="P68" s="484">
        <v>395023.97</v>
      </c>
      <c r="Q68" s="484">
        <v>389202.1</v>
      </c>
      <c r="R68" s="484">
        <v>5821.87</v>
      </c>
      <c r="S68" s="438">
        <v>1391.6999999999534</v>
      </c>
      <c r="T68" s="411">
        <f t="shared" si="4"/>
        <v>1.0082631967794542</v>
      </c>
      <c r="U68" s="411">
        <f t="shared" si="5"/>
        <v>0.9964369634131417</v>
      </c>
      <c r="V68" s="484">
        <v>13232.2</v>
      </c>
      <c r="W68" s="484">
        <v>649</v>
      </c>
      <c r="X68" s="484">
        <v>15557.3</v>
      </c>
      <c r="Y68" s="484">
        <v>72</v>
      </c>
      <c r="Z68" s="484">
        <v>2466.1999999999998</v>
      </c>
      <c r="AA68" s="484">
        <v>618</v>
      </c>
      <c r="AB68" s="484">
        <v>12383.24</v>
      </c>
      <c r="AC68" s="484">
        <v>12383.24</v>
      </c>
      <c r="AD68" s="484">
        <v>0</v>
      </c>
      <c r="AE68" s="484">
        <v>0</v>
      </c>
      <c r="AF68" s="484">
        <v>12383.24</v>
      </c>
      <c r="AG68" s="484">
        <v>11840.5</v>
      </c>
      <c r="AH68" s="484">
        <v>542.74000000000058</v>
      </c>
      <c r="AI68" s="493">
        <v>1391.7</v>
      </c>
      <c r="AJ68" s="412">
        <f t="shared" si="40"/>
        <v>0.93584135669049739</v>
      </c>
      <c r="AK68" s="413">
        <f t="shared" si="41"/>
        <v>0.89482474569610493</v>
      </c>
      <c r="AL68" s="426"/>
      <c r="AM68" s="426"/>
      <c r="AN68" s="426"/>
      <c r="AO68" s="426"/>
      <c r="AP68" s="426"/>
      <c r="AQ68" s="426"/>
      <c r="AR68" s="426"/>
      <c r="AS68" s="426"/>
      <c r="AT68" s="426"/>
      <c r="AU68" s="426"/>
      <c r="AV68" s="426"/>
      <c r="AW68" s="426"/>
      <c r="AX68" s="426"/>
      <c r="AY68" s="426"/>
      <c r="AZ68" s="426"/>
      <c r="BA68" s="426"/>
      <c r="BB68" s="426"/>
      <c r="BC68" s="426"/>
      <c r="BD68" s="426"/>
      <c r="BE68" s="426"/>
      <c r="BF68" s="426"/>
      <c r="BG68" s="426"/>
      <c r="BH68" s="426"/>
      <c r="BI68" s="426"/>
      <c r="BJ68" s="426"/>
      <c r="BK68" s="426"/>
      <c r="BL68" s="426"/>
      <c r="BM68" s="426"/>
      <c r="BN68" s="426"/>
      <c r="BO68" s="426"/>
      <c r="BP68" s="426"/>
      <c r="BQ68" s="426"/>
      <c r="BR68" s="426"/>
      <c r="BS68" s="426"/>
      <c r="BT68" s="426"/>
      <c r="BU68" s="426"/>
      <c r="BV68" s="426"/>
      <c r="BW68" s="426"/>
      <c r="BX68" s="426"/>
      <c r="BY68" s="426"/>
      <c r="BZ68" s="426"/>
      <c r="CA68" s="426"/>
      <c r="CB68" s="426"/>
      <c r="CC68" s="426"/>
      <c r="CD68" s="426"/>
      <c r="CE68" s="426"/>
      <c r="CF68" s="426"/>
      <c r="CG68" s="426"/>
      <c r="CH68" s="426"/>
      <c r="CI68" s="426"/>
      <c r="CJ68" s="426"/>
      <c r="CK68" s="426"/>
      <c r="CL68" s="426"/>
      <c r="CM68" s="426"/>
      <c r="CN68" s="426"/>
      <c r="CO68" s="426"/>
      <c r="CP68" s="426"/>
      <c r="CQ68" s="426"/>
      <c r="CR68" s="426"/>
      <c r="CS68" s="426"/>
      <c r="CT68" s="426"/>
      <c r="CU68" s="426"/>
      <c r="CV68" s="426"/>
      <c r="CW68" s="426"/>
      <c r="CX68" s="426"/>
      <c r="CY68" s="426"/>
      <c r="CZ68" s="426"/>
      <c r="DA68" s="426"/>
      <c r="DB68" s="426"/>
      <c r="DC68" s="426"/>
      <c r="DD68" s="426"/>
      <c r="DE68" s="426"/>
      <c r="DF68" s="426"/>
      <c r="DG68" s="426"/>
      <c r="DH68" s="426"/>
      <c r="DI68" s="426"/>
      <c r="DJ68" s="426"/>
      <c r="DK68" s="426"/>
      <c r="DL68" s="426"/>
      <c r="DM68" s="426"/>
      <c r="DN68" s="426"/>
      <c r="DO68" s="426"/>
      <c r="DP68" s="426"/>
      <c r="DQ68" s="426"/>
      <c r="DR68" s="426"/>
      <c r="DS68" s="426"/>
      <c r="DT68" s="426"/>
      <c r="DU68" s="426"/>
      <c r="DV68" s="426"/>
      <c r="DW68" s="426"/>
      <c r="DX68" s="426"/>
      <c r="DY68" s="426"/>
      <c r="DZ68" s="426"/>
      <c r="EA68" s="426"/>
      <c r="EB68" s="426"/>
      <c r="EC68" s="426"/>
      <c r="ED68" s="426"/>
      <c r="EE68" s="426"/>
      <c r="EF68" s="426"/>
      <c r="EG68" s="426"/>
      <c r="EH68" s="426"/>
      <c r="EI68" s="426"/>
      <c r="EJ68" s="426"/>
      <c r="EK68" s="426"/>
      <c r="EL68" s="426"/>
      <c r="EM68" s="426"/>
      <c r="EN68" s="426"/>
      <c r="EO68" s="426"/>
      <c r="EP68" s="426"/>
      <c r="EQ68" s="426"/>
      <c r="ER68" s="426"/>
      <c r="ES68" s="426"/>
      <c r="ET68" s="426"/>
      <c r="EU68" s="426"/>
      <c r="EV68" s="426"/>
      <c r="EW68" s="426"/>
      <c r="EX68" s="426"/>
    </row>
    <row r="69" spans="1:154" s="427" customFormat="1" ht="16.5" customHeight="1">
      <c r="A69" s="1911"/>
      <c r="B69" s="1912"/>
      <c r="C69" s="494" t="s">
        <v>1202</v>
      </c>
      <c r="D69" s="484">
        <v>6179.1</v>
      </c>
      <c r="E69" s="484">
        <v>0</v>
      </c>
      <c r="F69" s="484">
        <v>6179.1</v>
      </c>
      <c r="G69" s="484">
        <v>0</v>
      </c>
      <c r="H69" s="484">
        <v>7427.1</v>
      </c>
      <c r="I69" s="484">
        <v>0</v>
      </c>
      <c r="J69" s="484">
        <v>1248</v>
      </c>
      <c r="K69" s="484">
        <v>0</v>
      </c>
      <c r="L69" s="484">
        <v>6179.1</v>
      </c>
      <c r="M69" s="492">
        <v>6179.1</v>
      </c>
      <c r="N69" s="484">
        <v>0</v>
      </c>
      <c r="O69" s="484">
        <v>0</v>
      </c>
      <c r="P69" s="484">
        <v>6179.1</v>
      </c>
      <c r="Q69" s="484">
        <v>6179.1</v>
      </c>
      <c r="R69" s="484">
        <v>0</v>
      </c>
      <c r="S69" s="438">
        <v>0</v>
      </c>
      <c r="T69" s="411">
        <f t="shared" si="4"/>
        <v>1</v>
      </c>
      <c r="U69" s="411">
        <f t="shared" si="5"/>
        <v>1</v>
      </c>
      <c r="V69" s="484">
        <v>181.1</v>
      </c>
      <c r="W69" s="484">
        <v>0</v>
      </c>
      <c r="X69" s="484">
        <v>181.1</v>
      </c>
      <c r="Y69" s="484">
        <v>0</v>
      </c>
      <c r="Z69" s="484">
        <v>0</v>
      </c>
      <c r="AA69" s="484">
        <v>0</v>
      </c>
      <c r="AB69" s="484">
        <v>181.1</v>
      </c>
      <c r="AC69" s="484">
        <v>181.1</v>
      </c>
      <c r="AD69" s="484">
        <v>0</v>
      </c>
      <c r="AE69" s="484">
        <v>0</v>
      </c>
      <c r="AF69" s="484">
        <v>181.1</v>
      </c>
      <c r="AG69" s="484">
        <v>181.1</v>
      </c>
      <c r="AH69" s="484">
        <v>0</v>
      </c>
      <c r="AI69" s="493">
        <v>0</v>
      </c>
      <c r="AJ69" s="412">
        <f t="shared" si="40"/>
        <v>1</v>
      </c>
      <c r="AK69" s="413">
        <f t="shared" si="41"/>
        <v>1</v>
      </c>
      <c r="AL69" s="426"/>
      <c r="AM69" s="426"/>
      <c r="AN69" s="426"/>
      <c r="AO69" s="426"/>
      <c r="AP69" s="426"/>
      <c r="AQ69" s="426"/>
      <c r="AR69" s="426"/>
      <c r="AS69" s="426"/>
      <c r="AT69" s="426"/>
      <c r="AU69" s="426"/>
      <c r="AV69" s="426"/>
      <c r="AW69" s="426"/>
      <c r="AX69" s="426"/>
      <c r="AY69" s="426"/>
      <c r="AZ69" s="426"/>
      <c r="BA69" s="426"/>
      <c r="BB69" s="426"/>
      <c r="BC69" s="426"/>
      <c r="BD69" s="426"/>
      <c r="BE69" s="426"/>
      <c r="BF69" s="426"/>
      <c r="BG69" s="426"/>
      <c r="BH69" s="426"/>
      <c r="BI69" s="426"/>
      <c r="BJ69" s="426"/>
      <c r="BK69" s="426"/>
      <c r="BL69" s="426"/>
      <c r="BM69" s="426"/>
      <c r="BN69" s="426"/>
      <c r="BO69" s="426"/>
      <c r="BP69" s="426"/>
      <c r="BQ69" s="426"/>
      <c r="BR69" s="426"/>
      <c r="BS69" s="426"/>
      <c r="BT69" s="426"/>
      <c r="BU69" s="426"/>
      <c r="BV69" s="426"/>
      <c r="BW69" s="426"/>
      <c r="BX69" s="426"/>
      <c r="BY69" s="426"/>
      <c r="BZ69" s="426"/>
      <c r="CA69" s="426"/>
      <c r="CB69" s="426"/>
      <c r="CC69" s="426"/>
      <c r="CD69" s="426"/>
      <c r="CE69" s="426"/>
      <c r="CF69" s="426"/>
      <c r="CG69" s="426"/>
      <c r="CH69" s="426"/>
      <c r="CI69" s="426"/>
      <c r="CJ69" s="426"/>
      <c r="CK69" s="426"/>
      <c r="CL69" s="426"/>
      <c r="CM69" s="426"/>
      <c r="CN69" s="426"/>
      <c r="CO69" s="426"/>
      <c r="CP69" s="426"/>
      <c r="CQ69" s="426"/>
      <c r="CR69" s="426"/>
      <c r="CS69" s="426"/>
      <c r="CT69" s="426"/>
      <c r="CU69" s="426"/>
      <c r="CV69" s="426"/>
      <c r="CW69" s="426"/>
      <c r="CX69" s="426"/>
      <c r="CY69" s="426"/>
      <c r="CZ69" s="426"/>
      <c r="DA69" s="426"/>
      <c r="DB69" s="426"/>
      <c r="DC69" s="426"/>
      <c r="DD69" s="426"/>
      <c r="DE69" s="426"/>
      <c r="DF69" s="426"/>
      <c r="DG69" s="426"/>
      <c r="DH69" s="426"/>
      <c r="DI69" s="426"/>
      <c r="DJ69" s="426"/>
      <c r="DK69" s="426"/>
      <c r="DL69" s="426"/>
      <c r="DM69" s="426"/>
      <c r="DN69" s="426"/>
      <c r="DO69" s="426"/>
      <c r="DP69" s="426"/>
      <c r="DQ69" s="426"/>
      <c r="DR69" s="426"/>
      <c r="DS69" s="426"/>
      <c r="DT69" s="426"/>
      <c r="DU69" s="426"/>
      <c r="DV69" s="426"/>
      <c r="DW69" s="426"/>
      <c r="DX69" s="426"/>
      <c r="DY69" s="426"/>
      <c r="DZ69" s="426"/>
      <c r="EA69" s="426"/>
      <c r="EB69" s="426"/>
      <c r="EC69" s="426"/>
      <c r="ED69" s="426"/>
      <c r="EE69" s="426"/>
      <c r="EF69" s="426"/>
      <c r="EG69" s="426"/>
      <c r="EH69" s="426"/>
      <c r="EI69" s="426"/>
      <c r="EJ69" s="426"/>
      <c r="EK69" s="426"/>
      <c r="EL69" s="426"/>
      <c r="EM69" s="426"/>
      <c r="EN69" s="426"/>
      <c r="EO69" s="426"/>
      <c r="EP69" s="426"/>
      <c r="EQ69" s="426"/>
      <c r="ER69" s="426"/>
      <c r="ES69" s="426"/>
      <c r="ET69" s="426"/>
      <c r="EU69" s="426"/>
      <c r="EV69" s="426"/>
      <c r="EW69" s="426"/>
      <c r="EX69" s="426"/>
    </row>
    <row r="70" spans="1:154" s="446" customFormat="1" ht="16.5" customHeight="1">
      <c r="A70" s="1913">
        <v>12</v>
      </c>
      <c r="B70" s="1914" t="s">
        <v>1209</v>
      </c>
      <c r="C70" s="448" t="s">
        <v>1206</v>
      </c>
      <c r="D70" s="495">
        <f t="shared" ref="D70:S70" si="46">D71+D72+D73+D74</f>
        <v>10678328</v>
      </c>
      <c r="E70" s="495">
        <f t="shared" si="46"/>
        <v>2543572.4350000001</v>
      </c>
      <c r="F70" s="495">
        <f t="shared" si="46"/>
        <v>8134755.5660500024</v>
      </c>
      <c r="G70" s="495">
        <f t="shared" si="46"/>
        <v>160413</v>
      </c>
      <c r="H70" s="495">
        <f t="shared" si="46"/>
        <v>11007770.73298886</v>
      </c>
      <c r="I70" s="495">
        <f t="shared" si="46"/>
        <v>8802</v>
      </c>
      <c r="J70" s="495">
        <f t="shared" si="46"/>
        <v>296357.42357874749</v>
      </c>
      <c r="K70" s="495">
        <f t="shared" si="46"/>
        <v>159955</v>
      </c>
      <c r="L70" s="495">
        <f t="shared" si="46"/>
        <v>10678326.426029257</v>
      </c>
      <c r="M70" s="496">
        <f t="shared" si="46"/>
        <v>10678326.426029257</v>
      </c>
      <c r="N70" s="495">
        <f t="shared" si="46"/>
        <v>2543572.4350000001</v>
      </c>
      <c r="O70" s="495">
        <f t="shared" si="46"/>
        <v>0</v>
      </c>
      <c r="P70" s="495">
        <f t="shared" si="46"/>
        <v>8134753.9910292607</v>
      </c>
      <c r="Q70" s="495">
        <f t="shared" si="46"/>
        <v>8134755.4444200024</v>
      </c>
      <c r="R70" s="495">
        <f t="shared" si="46"/>
        <v>-1.4529707416954807</v>
      </c>
      <c r="S70" s="497">
        <f t="shared" si="46"/>
        <v>0.12163000001964974</v>
      </c>
      <c r="T70" s="411">
        <f t="shared" si="4"/>
        <v>0.99999985250305612</v>
      </c>
      <c r="U70" s="411">
        <f t="shared" si="5"/>
        <v>0.99999998504810639</v>
      </c>
      <c r="V70" s="495">
        <f t="shared" ref="V70:AI70" si="47">V71+V72+V73+V74</f>
        <v>353350.34457700828</v>
      </c>
      <c r="W70" s="495">
        <f t="shared" si="47"/>
        <v>5030</v>
      </c>
      <c r="X70" s="495">
        <f t="shared" si="47"/>
        <v>370838.61760661326</v>
      </c>
      <c r="Y70" s="495">
        <f t="shared" si="47"/>
        <v>222</v>
      </c>
      <c r="Z70" s="495">
        <f t="shared" si="47"/>
        <v>5918.7057399999985</v>
      </c>
      <c r="AA70" s="495">
        <f t="shared" si="47"/>
        <v>5022</v>
      </c>
      <c r="AB70" s="495">
        <f t="shared" si="47"/>
        <v>353348.69388093753</v>
      </c>
      <c r="AC70" s="495">
        <f t="shared" si="47"/>
        <v>353348.69388093753</v>
      </c>
      <c r="AD70" s="495">
        <f t="shared" si="47"/>
        <v>0</v>
      </c>
      <c r="AE70" s="495">
        <f t="shared" si="47"/>
        <v>0</v>
      </c>
      <c r="AF70" s="495">
        <f t="shared" si="47"/>
        <v>353348.69388093753</v>
      </c>
      <c r="AG70" s="495">
        <f t="shared" si="47"/>
        <v>353350.22294700821</v>
      </c>
      <c r="AH70" s="498">
        <f t="shared" si="47"/>
        <v>-1.5290660705687813</v>
      </c>
      <c r="AI70" s="498">
        <f t="shared" si="47"/>
        <v>0.12163000000134616</v>
      </c>
      <c r="AJ70" s="412">
        <f t="shared" si="40"/>
        <v>0.99999532844357997</v>
      </c>
      <c r="AK70" s="413">
        <f t="shared" si="41"/>
        <v>0.99999965578072325</v>
      </c>
    </row>
    <row r="71" spans="1:154" s="427" customFormat="1" ht="16.5" customHeight="1">
      <c r="A71" s="1913"/>
      <c r="B71" s="1914"/>
      <c r="C71" s="448" t="s">
        <v>1197</v>
      </c>
      <c r="D71" s="495">
        <v>8521069.5102799982</v>
      </c>
      <c r="E71" s="495">
        <v>2158598.1</v>
      </c>
      <c r="F71" s="495">
        <v>6362471.4113300024</v>
      </c>
      <c r="G71" s="495">
        <v>111905</v>
      </c>
      <c r="H71" s="495">
        <v>8737165.9728200752</v>
      </c>
      <c r="I71" s="495">
        <v>6896</v>
      </c>
      <c r="J71" s="495">
        <v>244171.23030729775</v>
      </c>
      <c r="K71" s="495">
        <v>111567</v>
      </c>
      <c r="L71" s="495">
        <v>8521069.4089970551</v>
      </c>
      <c r="M71" s="496">
        <v>8521069.4089970551</v>
      </c>
      <c r="N71" s="495">
        <v>2158598.1</v>
      </c>
      <c r="O71" s="495">
        <v>0</v>
      </c>
      <c r="P71" s="495">
        <v>6362471.3089970574</v>
      </c>
      <c r="Q71" s="495">
        <v>6362471.3044600021</v>
      </c>
      <c r="R71" s="495">
        <v>4.5370560487754119E-3</v>
      </c>
      <c r="S71" s="497">
        <v>0.10687000001780689</v>
      </c>
      <c r="T71" s="411">
        <f t="shared" si="4"/>
        <v>0.99999998799059819</v>
      </c>
      <c r="U71" s="411">
        <f t="shared" si="5"/>
        <v>0.99999998320306793</v>
      </c>
      <c r="V71" s="495">
        <v>272585.57279843645</v>
      </c>
      <c r="W71" s="495">
        <v>3545</v>
      </c>
      <c r="X71" s="495">
        <v>289653.68868588994</v>
      </c>
      <c r="Y71" s="495">
        <v>179</v>
      </c>
      <c r="Z71" s="495">
        <v>5478.8469599999989</v>
      </c>
      <c r="AA71" s="495">
        <v>3539</v>
      </c>
      <c r="AB71" s="495">
        <v>272585.39923570573</v>
      </c>
      <c r="AC71" s="495">
        <v>272585.39923570573</v>
      </c>
      <c r="AD71" s="495">
        <v>0</v>
      </c>
      <c r="AE71" s="495">
        <v>0</v>
      </c>
      <c r="AF71" s="495">
        <v>272585.39923570573</v>
      </c>
      <c r="AG71" s="495">
        <v>272585.46592843643</v>
      </c>
      <c r="AH71" s="498">
        <v>-6.6692730562408542E-2</v>
      </c>
      <c r="AI71" s="450">
        <v>0.10687000000143598</v>
      </c>
      <c r="AJ71" s="412">
        <f t="shared" si="40"/>
        <v>0.9999993632724985</v>
      </c>
      <c r="AK71" s="413">
        <f t="shared" si="41"/>
        <v>0.99999960793963183</v>
      </c>
      <c r="AL71" s="426"/>
      <c r="AM71" s="426"/>
      <c r="AN71" s="426"/>
      <c r="AO71" s="426"/>
      <c r="AP71" s="426"/>
      <c r="AQ71" s="426"/>
      <c r="AR71" s="426"/>
      <c r="AS71" s="426"/>
      <c r="AT71" s="426"/>
      <c r="AU71" s="426"/>
      <c r="AV71" s="426"/>
      <c r="AW71" s="426"/>
      <c r="AX71" s="426"/>
      <c r="AY71" s="426"/>
      <c r="AZ71" s="426"/>
      <c r="BA71" s="426"/>
      <c r="BB71" s="426"/>
      <c r="BC71" s="426"/>
      <c r="BD71" s="426"/>
      <c r="BE71" s="426"/>
      <c r="BF71" s="426"/>
      <c r="BG71" s="426"/>
      <c r="BH71" s="426"/>
      <c r="BI71" s="426"/>
      <c r="BJ71" s="426"/>
      <c r="BK71" s="426"/>
      <c r="BL71" s="426"/>
      <c r="BM71" s="426"/>
      <c r="BN71" s="426"/>
      <c r="BO71" s="426"/>
      <c r="BP71" s="426"/>
      <c r="BQ71" s="426"/>
      <c r="BR71" s="426"/>
      <c r="BS71" s="426"/>
      <c r="BT71" s="426"/>
      <c r="BU71" s="426"/>
      <c r="BV71" s="426"/>
      <c r="BW71" s="426"/>
      <c r="BX71" s="426"/>
      <c r="BY71" s="426"/>
      <c r="BZ71" s="426"/>
      <c r="CA71" s="426"/>
      <c r="CB71" s="426"/>
      <c r="CC71" s="426"/>
      <c r="CD71" s="426"/>
      <c r="CE71" s="426"/>
      <c r="CF71" s="426"/>
      <c r="CG71" s="426"/>
      <c r="CH71" s="426"/>
      <c r="CI71" s="426"/>
      <c r="CJ71" s="426"/>
      <c r="CK71" s="426"/>
      <c r="CL71" s="426"/>
      <c r="CM71" s="426"/>
      <c r="CN71" s="426"/>
      <c r="CO71" s="426"/>
      <c r="CP71" s="426"/>
      <c r="CQ71" s="426"/>
      <c r="CR71" s="426"/>
      <c r="CS71" s="426"/>
      <c r="CT71" s="426"/>
      <c r="CU71" s="426"/>
      <c r="CV71" s="426"/>
      <c r="CW71" s="426"/>
      <c r="CX71" s="426"/>
      <c r="CY71" s="426"/>
      <c r="CZ71" s="426"/>
      <c r="DA71" s="426"/>
      <c r="DB71" s="426"/>
      <c r="DC71" s="426"/>
      <c r="DD71" s="426"/>
      <c r="DE71" s="426"/>
      <c r="DF71" s="426"/>
      <c r="DG71" s="426"/>
      <c r="DH71" s="426"/>
      <c r="DI71" s="426"/>
      <c r="DJ71" s="426"/>
      <c r="DK71" s="426"/>
      <c r="DL71" s="426"/>
      <c r="DM71" s="426"/>
      <c r="DN71" s="426"/>
      <c r="DO71" s="426"/>
      <c r="DP71" s="426"/>
      <c r="DQ71" s="426"/>
      <c r="DR71" s="426"/>
      <c r="DS71" s="426"/>
      <c r="DT71" s="426"/>
      <c r="DU71" s="426"/>
      <c r="DV71" s="426"/>
      <c r="DW71" s="426"/>
      <c r="DX71" s="426"/>
      <c r="DY71" s="426"/>
      <c r="DZ71" s="426"/>
      <c r="EA71" s="426"/>
      <c r="EB71" s="426"/>
      <c r="EC71" s="426"/>
      <c r="ED71" s="426"/>
      <c r="EE71" s="426"/>
      <c r="EF71" s="426"/>
      <c r="EG71" s="426"/>
      <c r="EH71" s="426"/>
      <c r="EI71" s="426"/>
      <c r="EJ71" s="426"/>
      <c r="EK71" s="426"/>
      <c r="EL71" s="426"/>
      <c r="EM71" s="426"/>
      <c r="EN71" s="426"/>
      <c r="EO71" s="426"/>
      <c r="EP71" s="426"/>
      <c r="EQ71" s="426"/>
      <c r="ER71" s="426"/>
      <c r="ES71" s="426"/>
      <c r="ET71" s="426"/>
      <c r="EU71" s="426"/>
      <c r="EV71" s="426"/>
      <c r="EW71" s="426"/>
      <c r="EX71" s="426"/>
    </row>
    <row r="72" spans="1:154" s="427" customFormat="1" ht="16.5" customHeight="1">
      <c r="A72" s="1913"/>
      <c r="B72" s="1914"/>
      <c r="C72" s="448" t="s">
        <v>1198</v>
      </c>
      <c r="D72" s="495">
        <v>1134176.1170300001</v>
      </c>
      <c r="E72" s="495">
        <v>141129.5</v>
      </c>
      <c r="F72" s="495">
        <v>993046.61702999996</v>
      </c>
      <c r="G72" s="495">
        <v>1614</v>
      </c>
      <c r="H72" s="495">
        <v>1168406.9520092721</v>
      </c>
      <c r="I72" s="495">
        <v>105</v>
      </c>
      <c r="J72" s="495">
        <v>32909.083550177194</v>
      </c>
      <c r="K72" s="495">
        <v>1608</v>
      </c>
      <c r="L72" s="495">
        <v>1134174.6596273703</v>
      </c>
      <c r="M72" s="496">
        <v>1134174.6596273703</v>
      </c>
      <c r="N72" s="495">
        <v>141129.5</v>
      </c>
      <c r="O72" s="495">
        <v>0</v>
      </c>
      <c r="P72" s="495">
        <v>993045.15962737019</v>
      </c>
      <c r="Q72" s="495">
        <v>993046.61702999996</v>
      </c>
      <c r="R72" s="495">
        <v>-1.4574026296422744</v>
      </c>
      <c r="S72" s="497">
        <v>0</v>
      </c>
      <c r="T72" s="411">
        <f t="shared" si="4"/>
        <v>0.99999871501206239</v>
      </c>
      <c r="U72" s="411">
        <f t="shared" si="5"/>
        <v>1</v>
      </c>
      <c r="V72" s="495">
        <v>53403.977497490989</v>
      </c>
      <c r="W72" s="495">
        <v>67</v>
      </c>
      <c r="X72" s="495">
        <v>51531.513707385959</v>
      </c>
      <c r="Y72" s="495">
        <v>2</v>
      </c>
      <c r="Z72" s="495">
        <v>202.30799999999999</v>
      </c>
      <c r="AA72" s="495">
        <v>67</v>
      </c>
      <c r="AB72" s="495">
        <v>53402.525699999998</v>
      </c>
      <c r="AC72" s="495">
        <v>53402.525699999998</v>
      </c>
      <c r="AD72" s="495">
        <v>0</v>
      </c>
      <c r="AE72" s="495">
        <v>0</v>
      </c>
      <c r="AF72" s="495">
        <v>53402.525699999998</v>
      </c>
      <c r="AG72" s="495">
        <v>53403.977497490989</v>
      </c>
      <c r="AH72" s="498">
        <v>-1.4517974909940676</v>
      </c>
      <c r="AI72" s="450">
        <v>0</v>
      </c>
      <c r="AJ72" s="412">
        <f t="shared" si="40"/>
        <v>0.99997281480595601</v>
      </c>
      <c r="AK72" s="413">
        <f t="shared" si="41"/>
        <v>1</v>
      </c>
      <c r="AL72" s="426"/>
      <c r="AM72" s="426"/>
      <c r="AN72" s="426"/>
      <c r="AO72" s="426"/>
      <c r="AP72" s="426"/>
      <c r="AQ72" s="426"/>
      <c r="AR72" s="426"/>
      <c r="AS72" s="426"/>
      <c r="AT72" s="426"/>
      <c r="AU72" s="426"/>
      <c r="AV72" s="426"/>
      <c r="AW72" s="426"/>
      <c r="AX72" s="426"/>
      <c r="AY72" s="426"/>
      <c r="AZ72" s="426"/>
      <c r="BA72" s="426"/>
      <c r="BB72" s="426"/>
      <c r="BC72" s="426"/>
      <c r="BD72" s="426"/>
      <c r="BE72" s="426"/>
      <c r="BF72" s="426"/>
      <c r="BG72" s="426"/>
      <c r="BH72" s="426"/>
      <c r="BI72" s="426"/>
      <c r="BJ72" s="426"/>
      <c r="BK72" s="426"/>
      <c r="BL72" s="426"/>
      <c r="BM72" s="426"/>
      <c r="BN72" s="426"/>
      <c r="BO72" s="426"/>
      <c r="BP72" s="426"/>
      <c r="BQ72" s="426"/>
      <c r="BR72" s="426"/>
      <c r="BS72" s="426"/>
      <c r="BT72" s="426"/>
      <c r="BU72" s="426"/>
      <c r="BV72" s="426"/>
      <c r="BW72" s="426"/>
      <c r="BX72" s="426"/>
      <c r="BY72" s="426"/>
      <c r="BZ72" s="426"/>
      <c r="CA72" s="426"/>
      <c r="CB72" s="426"/>
      <c r="CC72" s="426"/>
      <c r="CD72" s="426"/>
      <c r="CE72" s="426"/>
      <c r="CF72" s="426"/>
      <c r="CG72" s="426"/>
      <c r="CH72" s="426"/>
      <c r="CI72" s="426"/>
      <c r="CJ72" s="426"/>
      <c r="CK72" s="426"/>
      <c r="CL72" s="426"/>
      <c r="CM72" s="426"/>
      <c r="CN72" s="426"/>
      <c r="CO72" s="426"/>
      <c r="CP72" s="426"/>
      <c r="CQ72" s="426"/>
      <c r="CR72" s="426"/>
      <c r="CS72" s="426"/>
      <c r="CT72" s="426"/>
      <c r="CU72" s="426"/>
      <c r="CV72" s="426"/>
      <c r="CW72" s="426"/>
      <c r="CX72" s="426"/>
      <c r="CY72" s="426"/>
      <c r="CZ72" s="426"/>
      <c r="DA72" s="426"/>
      <c r="DB72" s="426"/>
      <c r="DC72" s="426"/>
      <c r="DD72" s="426"/>
      <c r="DE72" s="426"/>
      <c r="DF72" s="426"/>
      <c r="DG72" s="426"/>
      <c r="DH72" s="426"/>
      <c r="DI72" s="426"/>
      <c r="DJ72" s="426"/>
      <c r="DK72" s="426"/>
      <c r="DL72" s="426"/>
      <c r="DM72" s="426"/>
      <c r="DN72" s="426"/>
      <c r="DO72" s="426"/>
      <c r="DP72" s="426"/>
      <c r="DQ72" s="426"/>
      <c r="DR72" s="426"/>
      <c r="DS72" s="426"/>
      <c r="DT72" s="426"/>
      <c r="DU72" s="426"/>
      <c r="DV72" s="426"/>
      <c r="DW72" s="426"/>
      <c r="DX72" s="426"/>
      <c r="DY72" s="426"/>
      <c r="DZ72" s="426"/>
      <c r="EA72" s="426"/>
      <c r="EB72" s="426"/>
      <c r="EC72" s="426"/>
      <c r="ED72" s="426"/>
      <c r="EE72" s="426"/>
      <c r="EF72" s="426"/>
      <c r="EG72" s="426"/>
      <c r="EH72" s="426"/>
      <c r="EI72" s="426"/>
      <c r="EJ72" s="426"/>
      <c r="EK72" s="426"/>
      <c r="EL72" s="426"/>
      <c r="EM72" s="426"/>
      <c r="EN72" s="426"/>
      <c r="EO72" s="426"/>
      <c r="EP72" s="426"/>
      <c r="EQ72" s="426"/>
      <c r="ER72" s="426"/>
      <c r="ES72" s="426"/>
      <c r="ET72" s="426"/>
      <c r="EU72" s="426"/>
      <c r="EV72" s="426"/>
      <c r="EW72" s="426"/>
      <c r="EX72" s="426"/>
    </row>
    <row r="73" spans="1:154" s="427" customFormat="1" ht="16.5" customHeight="1">
      <c r="A73" s="1913"/>
      <c r="B73" s="1914"/>
      <c r="C73" s="448" t="s">
        <v>1199</v>
      </c>
      <c r="D73" s="495">
        <v>956297.77470000007</v>
      </c>
      <c r="E73" s="495">
        <v>243844.83500000005</v>
      </c>
      <c r="F73" s="495">
        <v>712452.93970000022</v>
      </c>
      <c r="G73" s="495">
        <v>46894</v>
      </c>
      <c r="H73" s="495">
        <v>998064.74871951307</v>
      </c>
      <c r="I73" s="495">
        <v>1801</v>
      </c>
      <c r="J73" s="495">
        <v>19277.109721272518</v>
      </c>
      <c r="K73" s="495">
        <v>46780</v>
      </c>
      <c r="L73" s="495">
        <v>956297.75983483181</v>
      </c>
      <c r="M73" s="496">
        <v>956297.75983483181</v>
      </c>
      <c r="N73" s="495">
        <v>243844.83500000005</v>
      </c>
      <c r="O73" s="495">
        <v>0</v>
      </c>
      <c r="P73" s="495">
        <v>712452.92483483208</v>
      </c>
      <c r="Q73" s="495">
        <v>712452.92494000017</v>
      </c>
      <c r="R73" s="495">
        <v>-1.0516810198168969E-4</v>
      </c>
      <c r="S73" s="497">
        <v>1.4760000001842855E-2</v>
      </c>
      <c r="T73" s="411">
        <f t="shared" ref="T73:T99" si="48">M73/(N73+F73)</f>
        <v>0.99999998445550242</v>
      </c>
      <c r="U73" s="411">
        <f t="shared" ref="U73:U99" si="49">Q73/F73</f>
        <v>0.99999997928284212</v>
      </c>
      <c r="V73" s="495">
        <v>25744.513701080785</v>
      </c>
      <c r="W73" s="495">
        <v>1418</v>
      </c>
      <c r="X73" s="495">
        <v>23167.145063337346</v>
      </c>
      <c r="Y73" s="495">
        <v>41</v>
      </c>
      <c r="Z73" s="495">
        <v>237.55077999999995</v>
      </c>
      <c r="AA73" s="495">
        <v>1416</v>
      </c>
      <c r="AB73" s="495">
        <v>25744.488365231769</v>
      </c>
      <c r="AC73" s="495">
        <v>25744.488365231769</v>
      </c>
      <c r="AD73" s="495">
        <v>0</v>
      </c>
      <c r="AE73" s="495">
        <v>0</v>
      </c>
      <c r="AF73" s="495">
        <v>25744.488365231769</v>
      </c>
      <c r="AG73" s="495">
        <v>25744.498941080787</v>
      </c>
      <c r="AH73" s="498">
        <v>-1.0575849012305127E-2</v>
      </c>
      <c r="AI73" s="450">
        <v>1.4759999999910178E-2</v>
      </c>
      <c r="AJ73" s="412">
        <f t="shared" si="40"/>
        <v>0.99999901587385531</v>
      </c>
      <c r="AK73" s="413">
        <f t="shared" si="41"/>
        <v>0.99999942667396369</v>
      </c>
      <c r="AL73" s="426"/>
      <c r="AM73" s="426"/>
      <c r="AN73" s="426"/>
      <c r="AO73" s="426"/>
      <c r="AP73" s="426"/>
      <c r="AQ73" s="426"/>
      <c r="AR73" s="426"/>
      <c r="AS73" s="426"/>
      <c r="AT73" s="426"/>
      <c r="AU73" s="426"/>
      <c r="AV73" s="426"/>
      <c r="AW73" s="426"/>
      <c r="AX73" s="426"/>
      <c r="AY73" s="426"/>
      <c r="AZ73" s="426"/>
      <c r="BA73" s="426"/>
      <c r="BB73" s="426"/>
      <c r="BC73" s="426"/>
      <c r="BD73" s="426"/>
      <c r="BE73" s="426"/>
      <c r="BF73" s="426"/>
      <c r="BG73" s="426"/>
      <c r="BH73" s="426"/>
      <c r="BI73" s="426"/>
      <c r="BJ73" s="426"/>
      <c r="BK73" s="426"/>
      <c r="BL73" s="426"/>
      <c r="BM73" s="426"/>
      <c r="BN73" s="426"/>
      <c r="BO73" s="426"/>
      <c r="BP73" s="426"/>
      <c r="BQ73" s="426"/>
      <c r="BR73" s="426"/>
      <c r="BS73" s="426"/>
      <c r="BT73" s="426"/>
      <c r="BU73" s="426"/>
      <c r="BV73" s="426"/>
      <c r="BW73" s="426"/>
      <c r="BX73" s="426"/>
      <c r="BY73" s="426"/>
      <c r="BZ73" s="426"/>
      <c r="CA73" s="426"/>
      <c r="CB73" s="426"/>
      <c r="CC73" s="426"/>
      <c r="CD73" s="426"/>
      <c r="CE73" s="426"/>
      <c r="CF73" s="426"/>
      <c r="CG73" s="426"/>
      <c r="CH73" s="426"/>
      <c r="CI73" s="426"/>
      <c r="CJ73" s="426"/>
      <c r="CK73" s="426"/>
      <c r="CL73" s="426"/>
      <c r="CM73" s="426"/>
      <c r="CN73" s="426"/>
      <c r="CO73" s="426"/>
      <c r="CP73" s="426"/>
      <c r="CQ73" s="426"/>
      <c r="CR73" s="426"/>
      <c r="CS73" s="426"/>
      <c r="CT73" s="426"/>
      <c r="CU73" s="426"/>
      <c r="CV73" s="426"/>
      <c r="CW73" s="426"/>
      <c r="CX73" s="426"/>
      <c r="CY73" s="426"/>
      <c r="CZ73" s="426"/>
      <c r="DA73" s="426"/>
      <c r="DB73" s="426"/>
      <c r="DC73" s="426"/>
      <c r="DD73" s="426"/>
      <c r="DE73" s="426"/>
      <c r="DF73" s="426"/>
      <c r="DG73" s="426"/>
      <c r="DH73" s="426"/>
      <c r="DI73" s="426"/>
      <c r="DJ73" s="426"/>
      <c r="DK73" s="426"/>
      <c r="DL73" s="426"/>
      <c r="DM73" s="426"/>
      <c r="DN73" s="426"/>
      <c r="DO73" s="426"/>
      <c r="DP73" s="426"/>
      <c r="DQ73" s="426"/>
      <c r="DR73" s="426"/>
      <c r="DS73" s="426"/>
      <c r="DT73" s="426"/>
      <c r="DU73" s="426"/>
      <c r="DV73" s="426"/>
      <c r="DW73" s="426"/>
      <c r="DX73" s="426"/>
      <c r="DY73" s="426"/>
      <c r="DZ73" s="426"/>
      <c r="EA73" s="426"/>
      <c r="EB73" s="426"/>
      <c r="EC73" s="426"/>
      <c r="ED73" s="426"/>
      <c r="EE73" s="426"/>
      <c r="EF73" s="426"/>
      <c r="EG73" s="426"/>
      <c r="EH73" s="426"/>
      <c r="EI73" s="426"/>
      <c r="EJ73" s="426"/>
      <c r="EK73" s="426"/>
      <c r="EL73" s="426"/>
      <c r="EM73" s="426"/>
      <c r="EN73" s="426"/>
      <c r="EO73" s="426"/>
      <c r="EP73" s="426"/>
      <c r="EQ73" s="426"/>
      <c r="ER73" s="426"/>
      <c r="ES73" s="426"/>
      <c r="ET73" s="426"/>
      <c r="EU73" s="426"/>
      <c r="EV73" s="426"/>
      <c r="EW73" s="426"/>
      <c r="EX73" s="426"/>
    </row>
    <row r="74" spans="1:154" s="427" customFormat="1" ht="16.5" customHeight="1">
      <c r="A74" s="1913"/>
      <c r="B74" s="1914"/>
      <c r="C74" s="448" t="s">
        <v>1202</v>
      </c>
      <c r="D74" s="495">
        <v>66784.597989999995</v>
      </c>
      <c r="E74" s="495">
        <v>0</v>
      </c>
      <c r="F74" s="495">
        <v>66784.597989999995</v>
      </c>
      <c r="G74" s="495">
        <v>0</v>
      </c>
      <c r="H74" s="495">
        <v>104133.05943999998</v>
      </c>
      <c r="I74" s="495">
        <v>0</v>
      </c>
      <c r="J74" s="495">
        <v>0</v>
      </c>
      <c r="K74" s="495">
        <v>0</v>
      </c>
      <c r="L74" s="495">
        <v>66784.597569999998</v>
      </c>
      <c r="M74" s="496">
        <v>66784.597569999998</v>
      </c>
      <c r="N74" s="495">
        <v>0</v>
      </c>
      <c r="O74" s="495">
        <v>0</v>
      </c>
      <c r="P74" s="495">
        <v>66784.597569999998</v>
      </c>
      <c r="Q74" s="495">
        <v>66784.597989999995</v>
      </c>
      <c r="R74" s="495">
        <v>0</v>
      </c>
      <c r="S74" s="497">
        <v>0</v>
      </c>
      <c r="T74" s="411">
        <f t="shared" si="48"/>
        <v>0.99999999371112491</v>
      </c>
      <c r="U74" s="411">
        <f t="shared" si="49"/>
        <v>1</v>
      </c>
      <c r="V74" s="495">
        <v>1616.2805799999999</v>
      </c>
      <c r="W74" s="495">
        <v>0</v>
      </c>
      <c r="X74" s="495">
        <v>6486.2701500000003</v>
      </c>
      <c r="Y74" s="495">
        <v>0</v>
      </c>
      <c r="Z74" s="495">
        <v>0</v>
      </c>
      <c r="AA74" s="495">
        <v>0</v>
      </c>
      <c r="AB74" s="495">
        <v>1616.2805799999999</v>
      </c>
      <c r="AC74" s="495">
        <v>1616.2805799999999</v>
      </c>
      <c r="AD74" s="495">
        <v>0</v>
      </c>
      <c r="AE74" s="495">
        <v>0</v>
      </c>
      <c r="AF74" s="495">
        <v>1616.2805799999999</v>
      </c>
      <c r="AG74" s="495">
        <v>1616.2805799999999</v>
      </c>
      <c r="AH74" s="498">
        <v>0</v>
      </c>
      <c r="AI74" s="450">
        <v>0</v>
      </c>
      <c r="AJ74" s="412">
        <f t="shared" si="40"/>
        <v>1</v>
      </c>
      <c r="AK74" s="413">
        <f t="shared" si="41"/>
        <v>1</v>
      </c>
      <c r="AL74" s="426"/>
      <c r="AM74" s="426"/>
      <c r="AN74" s="426"/>
      <c r="AO74" s="426"/>
      <c r="AP74" s="426"/>
      <c r="AQ74" s="426"/>
      <c r="AR74" s="426"/>
      <c r="AS74" s="426"/>
      <c r="AT74" s="426"/>
      <c r="AU74" s="426"/>
      <c r="AV74" s="426"/>
      <c r="AW74" s="426"/>
      <c r="AX74" s="426"/>
      <c r="AY74" s="426"/>
      <c r="AZ74" s="426"/>
      <c r="BA74" s="426"/>
      <c r="BB74" s="426"/>
      <c r="BC74" s="426"/>
      <c r="BD74" s="426"/>
      <c r="BE74" s="426"/>
      <c r="BF74" s="426"/>
      <c r="BG74" s="426"/>
      <c r="BH74" s="426"/>
      <c r="BI74" s="426"/>
      <c r="BJ74" s="426"/>
      <c r="BK74" s="426"/>
      <c r="BL74" s="426"/>
      <c r="BM74" s="426"/>
      <c r="BN74" s="426"/>
      <c r="BO74" s="426"/>
      <c r="BP74" s="426"/>
      <c r="BQ74" s="426"/>
      <c r="BR74" s="426"/>
      <c r="BS74" s="426"/>
      <c r="BT74" s="426"/>
      <c r="BU74" s="426"/>
      <c r="BV74" s="426"/>
      <c r="BW74" s="426"/>
      <c r="BX74" s="426"/>
      <c r="BY74" s="426"/>
      <c r="BZ74" s="426"/>
      <c r="CA74" s="426"/>
      <c r="CB74" s="426"/>
      <c r="CC74" s="426"/>
      <c r="CD74" s="426"/>
      <c r="CE74" s="426"/>
      <c r="CF74" s="426"/>
      <c r="CG74" s="426"/>
      <c r="CH74" s="426"/>
      <c r="CI74" s="426"/>
      <c r="CJ74" s="426"/>
      <c r="CK74" s="426"/>
      <c r="CL74" s="426"/>
      <c r="CM74" s="426"/>
      <c r="CN74" s="426"/>
      <c r="CO74" s="426"/>
      <c r="CP74" s="426"/>
      <c r="CQ74" s="426"/>
      <c r="CR74" s="426"/>
      <c r="CS74" s="426"/>
      <c r="CT74" s="426"/>
      <c r="CU74" s="426"/>
      <c r="CV74" s="426"/>
      <c r="CW74" s="426"/>
      <c r="CX74" s="426"/>
      <c r="CY74" s="426"/>
      <c r="CZ74" s="426"/>
      <c r="DA74" s="426"/>
      <c r="DB74" s="426"/>
      <c r="DC74" s="426"/>
      <c r="DD74" s="426"/>
      <c r="DE74" s="426"/>
      <c r="DF74" s="426"/>
      <c r="DG74" s="426"/>
      <c r="DH74" s="426"/>
      <c r="DI74" s="426"/>
      <c r="DJ74" s="426"/>
      <c r="DK74" s="426"/>
      <c r="DL74" s="426"/>
      <c r="DM74" s="426"/>
      <c r="DN74" s="426"/>
      <c r="DO74" s="426"/>
      <c r="DP74" s="426"/>
      <c r="DQ74" s="426"/>
      <c r="DR74" s="426"/>
      <c r="DS74" s="426"/>
      <c r="DT74" s="426"/>
      <c r="DU74" s="426"/>
      <c r="DV74" s="426"/>
      <c r="DW74" s="426"/>
      <c r="DX74" s="426"/>
      <c r="DY74" s="426"/>
      <c r="DZ74" s="426"/>
      <c r="EA74" s="426"/>
      <c r="EB74" s="426"/>
      <c r="EC74" s="426"/>
      <c r="ED74" s="426"/>
      <c r="EE74" s="426"/>
      <c r="EF74" s="426"/>
      <c r="EG74" s="426"/>
      <c r="EH74" s="426"/>
      <c r="EI74" s="426"/>
      <c r="EJ74" s="426"/>
      <c r="EK74" s="426"/>
      <c r="EL74" s="426"/>
      <c r="EM74" s="426"/>
      <c r="EN74" s="426"/>
      <c r="EO74" s="426"/>
      <c r="EP74" s="426"/>
      <c r="EQ74" s="426"/>
      <c r="ER74" s="426"/>
      <c r="ES74" s="426"/>
      <c r="ET74" s="426"/>
      <c r="EU74" s="426"/>
      <c r="EV74" s="426"/>
      <c r="EW74" s="426"/>
      <c r="EX74" s="426"/>
    </row>
    <row r="75" spans="1:154" s="504" customFormat="1" ht="16.5" customHeight="1">
      <c r="A75" s="1915">
        <v>13</v>
      </c>
      <c r="B75" s="1916" t="s">
        <v>1163</v>
      </c>
      <c r="C75" s="499" t="s">
        <v>1196</v>
      </c>
      <c r="D75" s="500">
        <f t="shared" ref="D75:S75" si="50">D76+D77+D78+D79</f>
        <v>8441218.2999999989</v>
      </c>
      <c r="E75" s="500">
        <f t="shared" si="50"/>
        <v>2168698</v>
      </c>
      <c r="F75" s="500">
        <f t="shared" si="50"/>
        <v>6272520.2999999998</v>
      </c>
      <c r="G75" s="500">
        <f t="shared" si="50"/>
        <v>136167</v>
      </c>
      <c r="H75" s="500">
        <f t="shared" si="50"/>
        <v>8837190.5689999983</v>
      </c>
      <c r="I75" s="500">
        <f t="shared" si="50"/>
        <v>474</v>
      </c>
      <c r="J75" s="500">
        <f t="shared" si="50"/>
        <v>395972.31799999974</v>
      </c>
      <c r="K75" s="500">
        <f t="shared" si="50"/>
        <v>135693</v>
      </c>
      <c r="L75" s="500">
        <f t="shared" si="50"/>
        <v>8441218.2510000002</v>
      </c>
      <c r="M75" s="501">
        <f t="shared" si="50"/>
        <v>8441218.2510000002</v>
      </c>
      <c r="N75" s="500">
        <f t="shared" si="50"/>
        <v>2168698</v>
      </c>
      <c r="O75" s="500">
        <f t="shared" si="50"/>
        <v>0</v>
      </c>
      <c r="P75" s="500">
        <f t="shared" si="50"/>
        <v>6272520.2510000002</v>
      </c>
      <c r="Q75" s="500">
        <f t="shared" si="50"/>
        <v>6272520.2510000002</v>
      </c>
      <c r="R75" s="500">
        <f t="shared" si="50"/>
        <v>0</v>
      </c>
      <c r="S75" s="502">
        <f t="shared" si="50"/>
        <v>4.9000000000000002E-2</v>
      </c>
      <c r="T75" s="411">
        <f t="shared" si="48"/>
        <v>0.99999999419515062</v>
      </c>
      <c r="U75" s="411">
        <f t="shared" si="49"/>
        <v>0.99999999218814806</v>
      </c>
      <c r="V75" s="500">
        <f t="shared" ref="V75:AI75" si="51">V76+V77+V78+V79</f>
        <v>276525.45900000003</v>
      </c>
      <c r="W75" s="500">
        <f t="shared" si="51"/>
        <v>5359</v>
      </c>
      <c r="X75" s="500">
        <f t="shared" si="51"/>
        <v>297846.36200000002</v>
      </c>
      <c r="Y75" s="500">
        <f t="shared" si="51"/>
        <v>21</v>
      </c>
      <c r="Z75" s="500">
        <f t="shared" si="51"/>
        <v>21325.936999999991</v>
      </c>
      <c r="AA75" s="500">
        <f t="shared" si="51"/>
        <v>5338</v>
      </c>
      <c r="AB75" s="500">
        <f t="shared" si="51"/>
        <v>276520.42499999999</v>
      </c>
      <c r="AC75" s="500">
        <f t="shared" si="51"/>
        <v>276520.42499999999</v>
      </c>
      <c r="AD75" s="500">
        <f t="shared" si="51"/>
        <v>0</v>
      </c>
      <c r="AE75" s="500">
        <f t="shared" si="51"/>
        <v>0</v>
      </c>
      <c r="AF75" s="500">
        <f t="shared" si="51"/>
        <v>276520.42499999999</v>
      </c>
      <c r="AG75" s="500">
        <f t="shared" si="51"/>
        <v>276525.45900000003</v>
      </c>
      <c r="AH75" s="500">
        <f t="shared" si="51"/>
        <v>-5.0339999999964427</v>
      </c>
      <c r="AI75" s="500">
        <f t="shared" si="51"/>
        <v>0</v>
      </c>
      <c r="AJ75" s="412">
        <f t="shared" si="40"/>
        <v>0.99998179552791178</v>
      </c>
      <c r="AK75" s="413">
        <f t="shared" si="41"/>
        <v>1</v>
      </c>
      <c r="AL75" s="503"/>
      <c r="AM75" s="503"/>
      <c r="AN75" s="503"/>
      <c r="AO75" s="503"/>
      <c r="AP75" s="503"/>
      <c r="AQ75" s="503"/>
      <c r="AR75" s="503"/>
      <c r="AS75" s="503"/>
      <c r="AT75" s="503"/>
      <c r="AU75" s="503"/>
      <c r="AV75" s="503"/>
      <c r="AW75" s="503"/>
      <c r="AX75" s="503"/>
      <c r="AY75" s="503"/>
      <c r="AZ75" s="503"/>
      <c r="BA75" s="503"/>
      <c r="BB75" s="503"/>
      <c r="BC75" s="503"/>
      <c r="BD75" s="503"/>
      <c r="BE75" s="503"/>
      <c r="BF75" s="503"/>
      <c r="BG75" s="503"/>
      <c r="BH75" s="503"/>
      <c r="BI75" s="503"/>
      <c r="BJ75" s="503"/>
      <c r="BK75" s="503"/>
      <c r="BL75" s="503"/>
      <c r="BM75" s="503"/>
      <c r="BN75" s="503"/>
      <c r="BO75" s="503"/>
      <c r="BP75" s="503"/>
      <c r="BQ75" s="503"/>
      <c r="BR75" s="503"/>
      <c r="BS75" s="503"/>
      <c r="BT75" s="503"/>
      <c r="BU75" s="503"/>
      <c r="BV75" s="503"/>
      <c r="BW75" s="503"/>
      <c r="BX75" s="503"/>
      <c r="BY75" s="503"/>
      <c r="BZ75" s="503"/>
      <c r="CA75" s="503"/>
      <c r="CB75" s="503"/>
      <c r="CC75" s="503"/>
      <c r="CD75" s="503"/>
      <c r="CE75" s="503"/>
      <c r="CF75" s="503"/>
      <c r="CG75" s="503"/>
      <c r="CH75" s="503"/>
      <c r="CI75" s="503"/>
      <c r="CJ75" s="503"/>
      <c r="CK75" s="503"/>
      <c r="CL75" s="503"/>
      <c r="CM75" s="503"/>
      <c r="CN75" s="503"/>
      <c r="CO75" s="503"/>
      <c r="CP75" s="503"/>
      <c r="CQ75" s="503"/>
      <c r="CR75" s="503"/>
      <c r="CS75" s="503"/>
      <c r="CT75" s="503"/>
      <c r="CU75" s="503"/>
      <c r="CV75" s="503"/>
      <c r="CW75" s="503"/>
      <c r="CX75" s="503"/>
      <c r="CY75" s="503"/>
      <c r="CZ75" s="503"/>
      <c r="DA75" s="503"/>
      <c r="DB75" s="503"/>
      <c r="DC75" s="503"/>
      <c r="DD75" s="503"/>
      <c r="DE75" s="503"/>
      <c r="DF75" s="503"/>
      <c r="DG75" s="503"/>
      <c r="DH75" s="503"/>
      <c r="DI75" s="503"/>
      <c r="DJ75" s="503"/>
      <c r="DK75" s="503"/>
      <c r="DL75" s="503"/>
      <c r="DM75" s="503"/>
      <c r="DN75" s="503"/>
      <c r="DO75" s="503"/>
      <c r="DP75" s="503"/>
      <c r="DQ75" s="503"/>
      <c r="DR75" s="503"/>
      <c r="DS75" s="503"/>
      <c r="DT75" s="503"/>
      <c r="DU75" s="503"/>
      <c r="DV75" s="503"/>
      <c r="DW75" s="503"/>
      <c r="DX75" s="503"/>
      <c r="DY75" s="503"/>
      <c r="DZ75" s="503"/>
      <c r="EA75" s="503"/>
      <c r="EB75" s="503"/>
      <c r="EC75" s="503"/>
      <c r="ED75" s="503"/>
      <c r="EE75" s="503"/>
      <c r="EF75" s="503"/>
      <c r="EG75" s="503"/>
      <c r="EH75" s="503"/>
      <c r="EI75" s="503"/>
      <c r="EJ75" s="503"/>
      <c r="EK75" s="503"/>
      <c r="EL75" s="503"/>
      <c r="EM75" s="503"/>
      <c r="EN75" s="503"/>
      <c r="EO75" s="503"/>
      <c r="EP75" s="503"/>
      <c r="EQ75" s="503"/>
      <c r="ER75" s="503"/>
      <c r="ES75" s="503"/>
      <c r="ET75" s="503"/>
      <c r="EU75" s="503"/>
      <c r="EV75" s="503"/>
      <c r="EW75" s="503"/>
      <c r="EX75" s="503"/>
    </row>
    <row r="76" spans="1:154" s="510" customFormat="1" ht="16.5" customHeight="1">
      <c r="A76" s="1915"/>
      <c r="B76" s="1917"/>
      <c r="C76" s="505" t="s">
        <v>1197</v>
      </c>
      <c r="D76" s="506">
        <v>6835326.1560000004</v>
      </c>
      <c r="E76" s="506">
        <v>1801989</v>
      </c>
      <c r="F76" s="506">
        <v>5033337.1559999995</v>
      </c>
      <c r="G76" s="506">
        <v>90242</v>
      </c>
      <c r="H76" s="506">
        <v>7176181.0149999987</v>
      </c>
      <c r="I76" s="506">
        <v>292</v>
      </c>
      <c r="J76" s="506">
        <v>340854.94699999987</v>
      </c>
      <c r="K76" s="506">
        <v>89950</v>
      </c>
      <c r="L76" s="506">
        <v>6835326.068</v>
      </c>
      <c r="M76" s="507">
        <v>6835326.068</v>
      </c>
      <c r="N76" s="506">
        <v>1801988.9639999999</v>
      </c>
      <c r="O76" s="506">
        <v>0</v>
      </c>
      <c r="P76" s="506">
        <v>5033337.1069999998</v>
      </c>
      <c r="Q76" s="506">
        <v>5033337.1069999998</v>
      </c>
      <c r="R76" s="506">
        <v>0</v>
      </c>
      <c r="S76" s="508">
        <v>4.9000000000000002E-2</v>
      </c>
      <c r="T76" s="411">
        <f t="shared" si="48"/>
        <v>0.99999999239246262</v>
      </c>
      <c r="U76" s="411">
        <f t="shared" si="49"/>
        <v>0.99999999026490816</v>
      </c>
      <c r="V76" s="506">
        <v>221857.64</v>
      </c>
      <c r="W76" s="506">
        <v>3127</v>
      </c>
      <c r="X76" s="506">
        <v>235208.64299999998</v>
      </c>
      <c r="Y76" s="506">
        <v>-32</v>
      </c>
      <c r="Z76" s="506">
        <v>13353.396999999994</v>
      </c>
      <c r="AA76" s="506">
        <v>3159</v>
      </c>
      <c r="AB76" s="506">
        <v>221855.24600000001</v>
      </c>
      <c r="AC76" s="506">
        <v>221855.24600000001</v>
      </c>
      <c r="AD76" s="506">
        <v>0</v>
      </c>
      <c r="AE76" s="506">
        <v>0</v>
      </c>
      <c r="AF76" s="506">
        <v>221855.24600000001</v>
      </c>
      <c r="AG76" s="506">
        <v>221857.64</v>
      </c>
      <c r="AH76" s="506">
        <v>-2.3939999999975043</v>
      </c>
      <c r="AI76" s="506">
        <v>0</v>
      </c>
      <c r="AJ76" s="412">
        <f t="shared" si="40"/>
        <v>0.9999892092965561</v>
      </c>
      <c r="AK76" s="413">
        <f t="shared" si="41"/>
        <v>1</v>
      </c>
      <c r="AL76" s="509"/>
      <c r="AM76" s="509"/>
      <c r="AN76" s="509"/>
      <c r="AO76" s="509"/>
      <c r="AP76" s="509"/>
      <c r="AQ76" s="509"/>
      <c r="AR76" s="509"/>
      <c r="AS76" s="509"/>
      <c r="AT76" s="509"/>
      <c r="AU76" s="509"/>
      <c r="AV76" s="509"/>
      <c r="AW76" s="509"/>
      <c r="AX76" s="509"/>
      <c r="AY76" s="509"/>
      <c r="AZ76" s="509"/>
      <c r="BA76" s="509"/>
      <c r="BB76" s="509"/>
      <c r="BC76" s="509"/>
      <c r="BD76" s="509"/>
      <c r="BE76" s="509"/>
      <c r="BF76" s="509"/>
      <c r="BG76" s="509"/>
      <c r="BH76" s="509"/>
      <c r="BI76" s="509"/>
      <c r="BJ76" s="509"/>
      <c r="BK76" s="509"/>
      <c r="BL76" s="509"/>
      <c r="BM76" s="509"/>
      <c r="BN76" s="509"/>
      <c r="BO76" s="509"/>
      <c r="BP76" s="509"/>
      <c r="BQ76" s="509"/>
      <c r="BR76" s="509"/>
      <c r="BS76" s="509"/>
      <c r="BT76" s="509"/>
      <c r="BU76" s="509"/>
      <c r="BV76" s="509"/>
      <c r="BW76" s="509"/>
      <c r="BX76" s="509"/>
      <c r="BY76" s="509"/>
      <c r="BZ76" s="509"/>
      <c r="CA76" s="509"/>
      <c r="CB76" s="509"/>
      <c r="CC76" s="509"/>
      <c r="CD76" s="509"/>
      <c r="CE76" s="509"/>
      <c r="CF76" s="509"/>
      <c r="CG76" s="509"/>
      <c r="CH76" s="509"/>
      <c r="CI76" s="509"/>
      <c r="CJ76" s="509"/>
      <c r="CK76" s="509"/>
      <c r="CL76" s="509"/>
      <c r="CM76" s="509"/>
      <c r="CN76" s="509"/>
      <c r="CO76" s="509"/>
      <c r="CP76" s="509"/>
      <c r="CQ76" s="509"/>
      <c r="CR76" s="509"/>
      <c r="CS76" s="509"/>
      <c r="CT76" s="509"/>
      <c r="CU76" s="509"/>
      <c r="CV76" s="509"/>
      <c r="CW76" s="509"/>
      <c r="CX76" s="509"/>
      <c r="CY76" s="509"/>
      <c r="CZ76" s="509"/>
      <c r="DA76" s="509"/>
      <c r="DB76" s="509"/>
      <c r="DC76" s="509"/>
      <c r="DD76" s="509"/>
      <c r="DE76" s="509"/>
      <c r="DF76" s="509"/>
      <c r="DG76" s="509"/>
      <c r="DH76" s="509"/>
      <c r="DI76" s="509"/>
      <c r="DJ76" s="509"/>
      <c r="DK76" s="509"/>
      <c r="DL76" s="509"/>
      <c r="DM76" s="509"/>
      <c r="DN76" s="509"/>
      <c r="DO76" s="509"/>
      <c r="DP76" s="509"/>
      <c r="DQ76" s="509"/>
      <c r="DR76" s="509"/>
      <c r="DS76" s="509"/>
      <c r="DT76" s="509"/>
      <c r="DU76" s="509"/>
      <c r="DV76" s="509"/>
      <c r="DW76" s="509"/>
      <c r="DX76" s="509"/>
      <c r="DY76" s="509"/>
      <c r="DZ76" s="509"/>
      <c r="EA76" s="509"/>
      <c r="EB76" s="509"/>
      <c r="EC76" s="509"/>
      <c r="ED76" s="509"/>
      <c r="EE76" s="509"/>
      <c r="EF76" s="509"/>
      <c r="EG76" s="509"/>
      <c r="EH76" s="509"/>
      <c r="EI76" s="509"/>
      <c r="EJ76" s="509"/>
      <c r="EK76" s="509"/>
      <c r="EL76" s="509"/>
      <c r="EM76" s="509"/>
      <c r="EN76" s="509"/>
      <c r="EO76" s="509"/>
      <c r="EP76" s="509"/>
      <c r="EQ76" s="509"/>
      <c r="ER76" s="509"/>
      <c r="ES76" s="509"/>
      <c r="ET76" s="509"/>
      <c r="EU76" s="509"/>
      <c r="EV76" s="509"/>
      <c r="EW76" s="509"/>
      <c r="EX76" s="509"/>
    </row>
    <row r="77" spans="1:154" s="510" customFormat="1" ht="16.5" customHeight="1">
      <c r="A77" s="1915"/>
      <c r="B77" s="1917"/>
      <c r="C77" s="505" t="s">
        <v>1198</v>
      </c>
      <c r="D77" s="506">
        <v>822888.27100000007</v>
      </c>
      <c r="E77" s="506">
        <v>199736.69999999998</v>
      </c>
      <c r="F77" s="506">
        <v>623151.571</v>
      </c>
      <c r="G77" s="506">
        <v>1049</v>
      </c>
      <c r="H77" s="506">
        <v>853030.58499999996</v>
      </c>
      <c r="I77" s="506">
        <v>-1</v>
      </c>
      <c r="J77" s="506">
        <v>30142.310999999841</v>
      </c>
      <c r="K77" s="506">
        <v>1050</v>
      </c>
      <c r="L77" s="506">
        <v>822888.27400000009</v>
      </c>
      <c r="M77" s="507">
        <v>822888.27400000009</v>
      </c>
      <c r="N77" s="506">
        <v>199736.69999999998</v>
      </c>
      <c r="O77" s="506">
        <v>0</v>
      </c>
      <c r="P77" s="506">
        <v>623151.57100000011</v>
      </c>
      <c r="Q77" s="506">
        <v>623151.57100000011</v>
      </c>
      <c r="R77" s="506">
        <v>0</v>
      </c>
      <c r="S77" s="508">
        <v>0</v>
      </c>
      <c r="T77" s="411">
        <f t="shared" si="48"/>
        <v>1.0000000036456955</v>
      </c>
      <c r="U77" s="411">
        <f t="shared" si="49"/>
        <v>1.0000000000000002</v>
      </c>
      <c r="V77" s="506">
        <v>22295.084999999999</v>
      </c>
      <c r="W77" s="506">
        <v>25</v>
      </c>
      <c r="X77" s="506">
        <v>21913.268999999997</v>
      </c>
      <c r="Y77" s="506">
        <v>-2</v>
      </c>
      <c r="Z77" s="506">
        <v>-381.76700000000147</v>
      </c>
      <c r="AA77" s="506">
        <v>27</v>
      </c>
      <c r="AB77" s="506">
        <v>22295.036</v>
      </c>
      <c r="AC77" s="506">
        <v>22295.036</v>
      </c>
      <c r="AD77" s="506">
        <v>0</v>
      </c>
      <c r="AE77" s="506">
        <v>0</v>
      </c>
      <c r="AF77" s="506">
        <v>22295.036</v>
      </c>
      <c r="AG77" s="506">
        <v>22295.084999999999</v>
      </c>
      <c r="AH77" s="506">
        <v>-4.8999999998557087E-2</v>
      </c>
      <c r="AI77" s="506">
        <v>0</v>
      </c>
      <c r="AJ77" s="412">
        <f t="shared" si="40"/>
        <v>0.9999978022061814</v>
      </c>
      <c r="AK77" s="413">
        <f t="shared" si="41"/>
        <v>1</v>
      </c>
      <c r="AL77" s="509"/>
      <c r="AM77" s="509"/>
      <c r="AN77" s="509"/>
      <c r="AO77" s="509"/>
      <c r="AP77" s="509"/>
      <c r="AQ77" s="509"/>
      <c r="AR77" s="509"/>
      <c r="AS77" s="509"/>
      <c r="AT77" s="509"/>
      <c r="AU77" s="509"/>
      <c r="AV77" s="509"/>
      <c r="AW77" s="509"/>
      <c r="AX77" s="509"/>
      <c r="AY77" s="509"/>
      <c r="AZ77" s="509"/>
      <c r="BA77" s="509"/>
      <c r="BB77" s="509"/>
      <c r="BC77" s="509"/>
      <c r="BD77" s="509"/>
      <c r="BE77" s="509"/>
      <c r="BF77" s="509"/>
      <c r="BG77" s="509"/>
      <c r="BH77" s="509"/>
      <c r="BI77" s="509"/>
      <c r="BJ77" s="509"/>
      <c r="BK77" s="509"/>
      <c r="BL77" s="509"/>
      <c r="BM77" s="509"/>
      <c r="BN77" s="509"/>
      <c r="BO77" s="509"/>
      <c r="BP77" s="509"/>
      <c r="BQ77" s="509"/>
      <c r="BR77" s="509"/>
      <c r="BS77" s="509"/>
      <c r="BT77" s="509"/>
      <c r="BU77" s="509"/>
      <c r="BV77" s="509"/>
      <c r="BW77" s="509"/>
      <c r="BX77" s="509"/>
      <c r="BY77" s="509"/>
      <c r="BZ77" s="509"/>
      <c r="CA77" s="509"/>
      <c r="CB77" s="509"/>
      <c r="CC77" s="509"/>
      <c r="CD77" s="509"/>
      <c r="CE77" s="509"/>
      <c r="CF77" s="509"/>
      <c r="CG77" s="509"/>
      <c r="CH77" s="509"/>
      <c r="CI77" s="509"/>
      <c r="CJ77" s="509"/>
      <c r="CK77" s="509"/>
      <c r="CL77" s="509"/>
      <c r="CM77" s="509"/>
      <c r="CN77" s="509"/>
      <c r="CO77" s="509"/>
      <c r="CP77" s="509"/>
      <c r="CQ77" s="509"/>
      <c r="CR77" s="509"/>
      <c r="CS77" s="509"/>
      <c r="CT77" s="509"/>
      <c r="CU77" s="509"/>
      <c r="CV77" s="509"/>
      <c r="CW77" s="509"/>
      <c r="CX77" s="509"/>
      <c r="CY77" s="509"/>
      <c r="CZ77" s="509"/>
      <c r="DA77" s="509"/>
      <c r="DB77" s="509"/>
      <c r="DC77" s="509"/>
      <c r="DD77" s="509"/>
      <c r="DE77" s="509"/>
      <c r="DF77" s="509"/>
      <c r="DG77" s="509"/>
      <c r="DH77" s="509"/>
      <c r="DI77" s="509"/>
      <c r="DJ77" s="509"/>
      <c r="DK77" s="509"/>
      <c r="DL77" s="509"/>
      <c r="DM77" s="509"/>
      <c r="DN77" s="509"/>
      <c r="DO77" s="509"/>
      <c r="DP77" s="509"/>
      <c r="DQ77" s="509"/>
      <c r="DR77" s="509"/>
      <c r="DS77" s="509"/>
      <c r="DT77" s="509"/>
      <c r="DU77" s="509"/>
      <c r="DV77" s="509"/>
      <c r="DW77" s="509"/>
      <c r="DX77" s="509"/>
      <c r="DY77" s="509"/>
      <c r="DZ77" s="509"/>
      <c r="EA77" s="509"/>
      <c r="EB77" s="509"/>
      <c r="EC77" s="509"/>
      <c r="ED77" s="509"/>
      <c r="EE77" s="509"/>
      <c r="EF77" s="509"/>
      <c r="EG77" s="509"/>
      <c r="EH77" s="509"/>
      <c r="EI77" s="509"/>
      <c r="EJ77" s="509"/>
      <c r="EK77" s="509"/>
      <c r="EL77" s="509"/>
      <c r="EM77" s="509"/>
      <c r="EN77" s="509"/>
      <c r="EO77" s="509"/>
      <c r="EP77" s="509"/>
      <c r="EQ77" s="509"/>
      <c r="ER77" s="509"/>
      <c r="ES77" s="509"/>
      <c r="ET77" s="509"/>
      <c r="EU77" s="509"/>
      <c r="EV77" s="509"/>
      <c r="EW77" s="509"/>
      <c r="EX77" s="509"/>
    </row>
    <row r="78" spans="1:154" s="510" customFormat="1" ht="16.5" customHeight="1">
      <c r="A78" s="1915"/>
      <c r="B78" s="1917"/>
      <c r="C78" s="505" t="s">
        <v>1199</v>
      </c>
      <c r="D78" s="506">
        <v>771475.92200000002</v>
      </c>
      <c r="E78" s="506">
        <v>166972.29999999999</v>
      </c>
      <c r="F78" s="506">
        <v>604503.62199999997</v>
      </c>
      <c r="G78" s="506">
        <v>44876</v>
      </c>
      <c r="H78" s="506">
        <v>788402.9920000002</v>
      </c>
      <c r="I78" s="506">
        <v>183</v>
      </c>
      <c r="J78" s="506">
        <v>16927.03400000004</v>
      </c>
      <c r="K78" s="506">
        <v>44693</v>
      </c>
      <c r="L78" s="506">
        <v>771475.9580000001</v>
      </c>
      <c r="M78" s="507">
        <v>771475.9580000001</v>
      </c>
      <c r="N78" s="506">
        <v>166972.33599999998</v>
      </c>
      <c r="O78" s="506">
        <v>0</v>
      </c>
      <c r="P78" s="506">
        <v>604503.62199999986</v>
      </c>
      <c r="Q78" s="506">
        <v>604503.62199999986</v>
      </c>
      <c r="R78" s="506">
        <v>0</v>
      </c>
      <c r="S78" s="508">
        <v>0</v>
      </c>
      <c r="T78" s="411">
        <f t="shared" si="48"/>
        <v>1.0000000000000002</v>
      </c>
      <c r="U78" s="411">
        <f t="shared" si="49"/>
        <v>0.99999999999999978</v>
      </c>
      <c r="V78" s="506">
        <v>32372.734</v>
      </c>
      <c r="W78" s="506">
        <v>2207</v>
      </c>
      <c r="X78" s="506">
        <v>36159.811000000002</v>
      </c>
      <c r="Y78" s="506">
        <v>55</v>
      </c>
      <c r="Z78" s="506">
        <v>3789.668000000001</v>
      </c>
      <c r="AA78" s="506">
        <v>2152</v>
      </c>
      <c r="AB78" s="506">
        <v>32370.143</v>
      </c>
      <c r="AC78" s="506">
        <v>32370.143</v>
      </c>
      <c r="AD78" s="506">
        <v>0</v>
      </c>
      <c r="AE78" s="506">
        <v>0</v>
      </c>
      <c r="AF78" s="506">
        <v>32370.143</v>
      </c>
      <c r="AG78" s="506">
        <v>32372.734</v>
      </c>
      <c r="AH78" s="506">
        <v>-2.5910000000003812</v>
      </c>
      <c r="AI78" s="506">
        <v>0</v>
      </c>
      <c r="AJ78" s="412">
        <f t="shared" si="40"/>
        <v>0.99991996351003287</v>
      </c>
      <c r="AK78" s="413">
        <f t="shared" si="41"/>
        <v>1</v>
      </c>
      <c r="AL78" s="509"/>
      <c r="AM78" s="509"/>
      <c r="AN78" s="509"/>
      <c r="AO78" s="509"/>
      <c r="AP78" s="509"/>
      <c r="AQ78" s="509"/>
      <c r="AR78" s="509"/>
      <c r="AS78" s="509"/>
      <c r="AT78" s="509"/>
      <c r="AU78" s="509"/>
      <c r="AV78" s="509"/>
      <c r="AW78" s="509"/>
      <c r="AX78" s="509"/>
      <c r="AY78" s="509"/>
      <c r="AZ78" s="509"/>
      <c r="BA78" s="509"/>
      <c r="BB78" s="509"/>
      <c r="BC78" s="509"/>
      <c r="BD78" s="509"/>
      <c r="BE78" s="509"/>
      <c r="BF78" s="509"/>
      <c r="BG78" s="509"/>
      <c r="BH78" s="509"/>
      <c r="BI78" s="509"/>
      <c r="BJ78" s="509"/>
      <c r="BK78" s="509"/>
      <c r="BL78" s="509"/>
      <c r="BM78" s="509"/>
      <c r="BN78" s="509"/>
      <c r="BO78" s="509"/>
      <c r="BP78" s="509"/>
      <c r="BQ78" s="509"/>
      <c r="BR78" s="509"/>
      <c r="BS78" s="509"/>
      <c r="BT78" s="509"/>
      <c r="BU78" s="509"/>
      <c r="BV78" s="509"/>
      <c r="BW78" s="509"/>
      <c r="BX78" s="509"/>
      <c r="BY78" s="509"/>
      <c r="BZ78" s="509"/>
      <c r="CA78" s="509"/>
      <c r="CB78" s="509"/>
      <c r="CC78" s="509"/>
      <c r="CD78" s="509"/>
      <c r="CE78" s="509"/>
      <c r="CF78" s="509"/>
      <c r="CG78" s="509"/>
      <c r="CH78" s="509"/>
      <c r="CI78" s="509"/>
      <c r="CJ78" s="509"/>
      <c r="CK78" s="509"/>
      <c r="CL78" s="509"/>
      <c r="CM78" s="509"/>
      <c r="CN78" s="509"/>
      <c r="CO78" s="509"/>
      <c r="CP78" s="509"/>
      <c r="CQ78" s="509"/>
      <c r="CR78" s="509"/>
      <c r="CS78" s="509"/>
      <c r="CT78" s="509"/>
      <c r="CU78" s="509"/>
      <c r="CV78" s="509"/>
      <c r="CW78" s="509"/>
      <c r="CX78" s="509"/>
      <c r="CY78" s="509"/>
      <c r="CZ78" s="509"/>
      <c r="DA78" s="509"/>
      <c r="DB78" s="509"/>
      <c r="DC78" s="509"/>
      <c r="DD78" s="509"/>
      <c r="DE78" s="509"/>
      <c r="DF78" s="509"/>
      <c r="DG78" s="509"/>
      <c r="DH78" s="509"/>
      <c r="DI78" s="509"/>
      <c r="DJ78" s="509"/>
      <c r="DK78" s="509"/>
      <c r="DL78" s="509"/>
      <c r="DM78" s="509"/>
      <c r="DN78" s="509"/>
      <c r="DO78" s="509"/>
      <c r="DP78" s="509"/>
      <c r="DQ78" s="509"/>
      <c r="DR78" s="509"/>
      <c r="DS78" s="509"/>
      <c r="DT78" s="509"/>
      <c r="DU78" s="509"/>
      <c r="DV78" s="509"/>
      <c r="DW78" s="509"/>
      <c r="DX78" s="509"/>
      <c r="DY78" s="509"/>
      <c r="DZ78" s="509"/>
      <c r="EA78" s="509"/>
      <c r="EB78" s="509"/>
      <c r="EC78" s="509"/>
      <c r="ED78" s="509"/>
      <c r="EE78" s="509"/>
      <c r="EF78" s="509"/>
      <c r="EG78" s="509"/>
      <c r="EH78" s="509"/>
      <c r="EI78" s="509"/>
      <c r="EJ78" s="509"/>
      <c r="EK78" s="509"/>
      <c r="EL78" s="509"/>
      <c r="EM78" s="509"/>
      <c r="EN78" s="509"/>
      <c r="EO78" s="509"/>
      <c r="EP78" s="509"/>
      <c r="EQ78" s="509"/>
      <c r="ER78" s="509"/>
      <c r="ES78" s="509"/>
      <c r="ET78" s="509"/>
      <c r="EU78" s="509"/>
      <c r="EV78" s="509"/>
      <c r="EW78" s="509"/>
      <c r="EX78" s="509"/>
    </row>
    <row r="79" spans="1:154" s="510" customFormat="1" ht="16.5" customHeight="1">
      <c r="A79" s="1915"/>
      <c r="B79" s="1918"/>
      <c r="C79" s="505" t="s">
        <v>1202</v>
      </c>
      <c r="D79" s="506">
        <v>11527.950999999999</v>
      </c>
      <c r="E79" s="506"/>
      <c r="F79" s="506">
        <v>11527.950999999999</v>
      </c>
      <c r="G79" s="506"/>
      <c r="H79" s="506">
        <v>19575.976999999999</v>
      </c>
      <c r="I79" s="506"/>
      <c r="J79" s="506">
        <v>8048.0259999999998</v>
      </c>
      <c r="K79" s="506"/>
      <c r="L79" s="506">
        <v>11527.950999999999</v>
      </c>
      <c r="M79" s="507">
        <v>11527.950999999999</v>
      </c>
      <c r="N79" s="506"/>
      <c r="O79" s="506"/>
      <c r="P79" s="506">
        <v>11527.950999999999</v>
      </c>
      <c r="Q79" s="506">
        <v>11527.950999999999</v>
      </c>
      <c r="R79" s="506">
        <v>0</v>
      </c>
      <c r="S79" s="508">
        <v>0</v>
      </c>
      <c r="T79" s="411">
        <f t="shared" si="48"/>
        <v>1</v>
      </c>
      <c r="U79" s="411">
        <f t="shared" si="49"/>
        <v>1</v>
      </c>
      <c r="V79" s="506">
        <v>0</v>
      </c>
      <c r="W79" s="506"/>
      <c r="X79" s="506">
        <v>4564.6390000000001</v>
      </c>
      <c r="Y79" s="506"/>
      <c r="Z79" s="506">
        <v>4564.6390000000001</v>
      </c>
      <c r="AA79" s="506"/>
      <c r="AB79" s="506">
        <v>0</v>
      </c>
      <c r="AC79" s="506">
        <v>0</v>
      </c>
      <c r="AD79" s="506"/>
      <c r="AE79" s="506"/>
      <c r="AF79" s="506">
        <v>0</v>
      </c>
      <c r="AG79" s="506">
        <v>0</v>
      </c>
      <c r="AH79" s="506">
        <v>0</v>
      </c>
      <c r="AI79" s="506">
        <v>0</v>
      </c>
      <c r="AJ79" s="412"/>
      <c r="AK79" s="413"/>
      <c r="AL79" s="509"/>
      <c r="AM79" s="509"/>
      <c r="AN79" s="509"/>
      <c r="AO79" s="509"/>
      <c r="AP79" s="509"/>
      <c r="AQ79" s="509"/>
      <c r="AR79" s="509"/>
      <c r="AS79" s="509"/>
      <c r="AT79" s="509"/>
      <c r="AU79" s="509"/>
      <c r="AV79" s="509"/>
      <c r="AW79" s="509"/>
      <c r="AX79" s="509"/>
      <c r="AY79" s="509"/>
      <c r="AZ79" s="509"/>
      <c r="BA79" s="509"/>
      <c r="BB79" s="509"/>
      <c r="BC79" s="509"/>
      <c r="BD79" s="509"/>
      <c r="BE79" s="509"/>
      <c r="BF79" s="509"/>
      <c r="BG79" s="509"/>
      <c r="BH79" s="509"/>
      <c r="BI79" s="509"/>
      <c r="BJ79" s="509"/>
      <c r="BK79" s="509"/>
      <c r="BL79" s="509"/>
      <c r="BM79" s="509"/>
      <c r="BN79" s="509"/>
      <c r="BO79" s="509"/>
      <c r="BP79" s="509"/>
      <c r="BQ79" s="509"/>
      <c r="BR79" s="509"/>
      <c r="BS79" s="509"/>
      <c r="BT79" s="509"/>
      <c r="BU79" s="509"/>
      <c r="BV79" s="509"/>
      <c r="BW79" s="509"/>
      <c r="BX79" s="509"/>
      <c r="BY79" s="509"/>
      <c r="BZ79" s="509"/>
      <c r="CA79" s="509"/>
      <c r="CB79" s="509"/>
      <c r="CC79" s="509"/>
      <c r="CD79" s="509"/>
      <c r="CE79" s="509"/>
      <c r="CF79" s="509"/>
      <c r="CG79" s="509"/>
      <c r="CH79" s="509"/>
      <c r="CI79" s="509"/>
      <c r="CJ79" s="509"/>
      <c r="CK79" s="509"/>
      <c r="CL79" s="509"/>
      <c r="CM79" s="509"/>
      <c r="CN79" s="509"/>
      <c r="CO79" s="509"/>
      <c r="CP79" s="509"/>
      <c r="CQ79" s="509"/>
      <c r="CR79" s="509"/>
      <c r="CS79" s="509"/>
      <c r="CT79" s="509"/>
      <c r="CU79" s="509"/>
      <c r="CV79" s="509"/>
      <c r="CW79" s="509"/>
      <c r="CX79" s="509"/>
      <c r="CY79" s="509"/>
      <c r="CZ79" s="509"/>
      <c r="DA79" s="509"/>
      <c r="DB79" s="509"/>
      <c r="DC79" s="509"/>
      <c r="DD79" s="509"/>
      <c r="DE79" s="509"/>
      <c r="DF79" s="509"/>
      <c r="DG79" s="509"/>
      <c r="DH79" s="509"/>
      <c r="DI79" s="509"/>
      <c r="DJ79" s="509"/>
      <c r="DK79" s="509"/>
      <c r="DL79" s="509"/>
      <c r="DM79" s="509"/>
      <c r="DN79" s="509"/>
      <c r="DO79" s="509"/>
      <c r="DP79" s="509"/>
      <c r="DQ79" s="509"/>
      <c r="DR79" s="509"/>
      <c r="DS79" s="509"/>
      <c r="DT79" s="509"/>
      <c r="DU79" s="509"/>
      <c r="DV79" s="509"/>
      <c r="DW79" s="509"/>
      <c r="DX79" s="509"/>
      <c r="DY79" s="509"/>
      <c r="DZ79" s="509"/>
      <c r="EA79" s="509"/>
      <c r="EB79" s="509"/>
      <c r="EC79" s="509"/>
      <c r="ED79" s="509"/>
      <c r="EE79" s="509"/>
      <c r="EF79" s="509"/>
      <c r="EG79" s="509"/>
      <c r="EH79" s="509"/>
      <c r="EI79" s="509"/>
      <c r="EJ79" s="509"/>
      <c r="EK79" s="509"/>
      <c r="EL79" s="509"/>
      <c r="EM79" s="509"/>
      <c r="EN79" s="509"/>
      <c r="EO79" s="509"/>
      <c r="EP79" s="509"/>
      <c r="EQ79" s="509"/>
      <c r="ER79" s="509"/>
      <c r="ES79" s="509"/>
      <c r="ET79" s="509"/>
      <c r="EU79" s="509"/>
      <c r="EV79" s="509"/>
      <c r="EW79" s="509"/>
      <c r="EX79" s="509"/>
    </row>
    <row r="80" spans="1:154" s="516" customFormat="1" ht="16.5" customHeight="1">
      <c r="A80" s="1905">
        <v>14</v>
      </c>
      <c r="B80" s="1906" t="s">
        <v>1210</v>
      </c>
      <c r="C80" s="511" t="s">
        <v>1211</v>
      </c>
      <c r="D80" s="512">
        <f t="shared" ref="D80:S80" si="52">D81+D82+D83+D84</f>
        <v>25307007.594525699</v>
      </c>
      <c r="E80" s="512">
        <f t="shared" si="52"/>
        <v>6450097.1000000006</v>
      </c>
      <c r="F80" s="512">
        <f t="shared" si="52"/>
        <v>18856910.519187465</v>
      </c>
      <c r="G80" s="512">
        <f t="shared" si="52"/>
        <v>448754</v>
      </c>
      <c r="H80" s="512">
        <f t="shared" si="52"/>
        <v>27500128.952678628</v>
      </c>
      <c r="I80" s="512">
        <f t="shared" si="52"/>
        <v>49755</v>
      </c>
      <c r="J80" s="512">
        <f t="shared" si="52"/>
        <v>2387623.5908015869</v>
      </c>
      <c r="K80" s="512">
        <f t="shared" si="52"/>
        <v>443242</v>
      </c>
      <c r="L80" s="512">
        <f t="shared" si="52"/>
        <v>25307007.594525699</v>
      </c>
      <c r="M80" s="513">
        <f t="shared" si="52"/>
        <v>25307007.594525699</v>
      </c>
      <c r="N80" s="512">
        <f t="shared" si="52"/>
        <v>6450097.1000000006</v>
      </c>
      <c r="O80" s="512">
        <f t="shared" si="52"/>
        <v>0</v>
      </c>
      <c r="P80" s="512">
        <f t="shared" si="52"/>
        <v>18856910.494525693</v>
      </c>
      <c r="Q80" s="512">
        <f t="shared" si="52"/>
        <v>18856910.518908866</v>
      </c>
      <c r="R80" s="512">
        <f t="shared" si="52"/>
        <v>-2.4383171807215831E-2</v>
      </c>
      <c r="S80" s="514">
        <f t="shared" si="52"/>
        <v>2.7859988040290773E-4</v>
      </c>
      <c r="T80" s="411">
        <f t="shared" si="48"/>
        <v>0.99999999902549652</v>
      </c>
      <c r="U80" s="411">
        <f t="shared" si="49"/>
        <v>0.9999999999852256</v>
      </c>
      <c r="V80" s="512">
        <f t="shared" ref="V80:AI80" si="53">V81+V82+V83+V84</f>
        <v>1119074.4791892502</v>
      </c>
      <c r="W80" s="512">
        <f t="shared" si="53"/>
        <v>19791</v>
      </c>
      <c r="X80" s="512">
        <f t="shared" si="53"/>
        <v>1197506.5683786231</v>
      </c>
      <c r="Y80" s="512">
        <f t="shared" si="53"/>
        <v>5324</v>
      </c>
      <c r="Z80" s="512">
        <f t="shared" si="53"/>
        <v>255911.77982420396</v>
      </c>
      <c r="AA80" s="512">
        <f t="shared" si="53"/>
        <v>16906</v>
      </c>
      <c r="AB80" s="512">
        <f t="shared" si="53"/>
        <v>952332.32170235936</v>
      </c>
      <c r="AC80" s="512">
        <f t="shared" si="53"/>
        <v>952332.32170235936</v>
      </c>
      <c r="AD80" s="512">
        <f t="shared" si="53"/>
        <v>-1.8799997030782833E-3</v>
      </c>
      <c r="AE80" s="512">
        <f t="shared" si="53"/>
        <v>0</v>
      </c>
      <c r="AF80" s="512">
        <f t="shared" si="53"/>
        <v>952332.32358235912</v>
      </c>
      <c r="AG80" s="512">
        <f t="shared" si="53"/>
        <v>1119074.4791892502</v>
      </c>
      <c r="AH80" s="512">
        <f t="shared" si="53"/>
        <v>-166742.15560689114</v>
      </c>
      <c r="AI80" s="512">
        <f t="shared" si="53"/>
        <v>0</v>
      </c>
      <c r="AJ80" s="412">
        <f t="shared" si="40"/>
        <v>0.85099994773554932</v>
      </c>
      <c r="AK80" s="413">
        <f t="shared" si="41"/>
        <v>1</v>
      </c>
      <c r="AL80" s="515"/>
      <c r="AM80" s="515"/>
      <c r="AN80" s="515"/>
      <c r="AO80" s="515"/>
      <c r="AP80" s="515"/>
      <c r="AQ80" s="515"/>
      <c r="AR80" s="515"/>
      <c r="AS80" s="515"/>
      <c r="AT80" s="515"/>
      <c r="AU80" s="515"/>
      <c r="AV80" s="515"/>
      <c r="AW80" s="515"/>
      <c r="AX80" s="515"/>
      <c r="AY80" s="515"/>
      <c r="AZ80" s="515"/>
      <c r="BA80" s="515"/>
      <c r="BB80" s="515"/>
      <c r="BC80" s="515"/>
      <c r="BD80" s="515"/>
      <c r="BE80" s="515"/>
      <c r="BF80" s="515"/>
      <c r="BG80" s="515"/>
      <c r="BH80" s="515"/>
      <c r="BI80" s="515"/>
      <c r="BJ80" s="515"/>
      <c r="BK80" s="515"/>
      <c r="BL80" s="515"/>
      <c r="BM80" s="515"/>
      <c r="BN80" s="515"/>
      <c r="BO80" s="515"/>
      <c r="BP80" s="515"/>
      <c r="BQ80" s="515"/>
      <c r="BR80" s="515"/>
      <c r="BS80" s="515"/>
      <c r="BT80" s="515"/>
      <c r="BU80" s="515"/>
      <c r="BV80" s="515"/>
      <c r="BW80" s="515"/>
      <c r="BX80" s="515"/>
      <c r="BY80" s="515"/>
      <c r="BZ80" s="515"/>
      <c r="CA80" s="515"/>
      <c r="CB80" s="515"/>
      <c r="CC80" s="515"/>
      <c r="CD80" s="515"/>
      <c r="CE80" s="515"/>
      <c r="CF80" s="515"/>
      <c r="CG80" s="515"/>
      <c r="CH80" s="515"/>
      <c r="CI80" s="515"/>
      <c r="CJ80" s="515"/>
      <c r="CK80" s="515"/>
      <c r="CL80" s="515"/>
      <c r="CM80" s="515"/>
      <c r="CN80" s="515"/>
      <c r="CO80" s="515"/>
      <c r="CP80" s="515"/>
      <c r="CQ80" s="515"/>
      <c r="CR80" s="515"/>
      <c r="CS80" s="515"/>
      <c r="CT80" s="515"/>
      <c r="CU80" s="515"/>
      <c r="CV80" s="515"/>
      <c r="CW80" s="515"/>
      <c r="CX80" s="515"/>
      <c r="CY80" s="515"/>
      <c r="CZ80" s="515"/>
      <c r="DA80" s="515"/>
      <c r="DB80" s="515"/>
      <c r="DC80" s="515"/>
      <c r="DD80" s="515"/>
      <c r="DE80" s="515"/>
      <c r="DF80" s="515"/>
      <c r="DG80" s="515"/>
      <c r="DH80" s="515"/>
      <c r="DI80" s="515"/>
      <c r="DJ80" s="515"/>
      <c r="DK80" s="515"/>
      <c r="DL80" s="515"/>
      <c r="DM80" s="515"/>
      <c r="DN80" s="515"/>
      <c r="DO80" s="515"/>
      <c r="DP80" s="515"/>
      <c r="DQ80" s="515"/>
      <c r="DR80" s="515"/>
      <c r="DS80" s="515"/>
      <c r="DT80" s="515"/>
      <c r="DU80" s="515"/>
      <c r="DV80" s="515"/>
      <c r="DW80" s="515"/>
      <c r="DX80" s="515"/>
      <c r="DY80" s="515"/>
      <c r="DZ80" s="515"/>
      <c r="EA80" s="515"/>
      <c r="EB80" s="515"/>
      <c r="EC80" s="515"/>
      <c r="ED80" s="515"/>
      <c r="EE80" s="515"/>
      <c r="EF80" s="515"/>
      <c r="EG80" s="515"/>
      <c r="EH80" s="515"/>
      <c r="EI80" s="515"/>
      <c r="EJ80" s="515"/>
      <c r="EK80" s="515"/>
      <c r="EL80" s="515"/>
      <c r="EM80" s="515"/>
      <c r="EN80" s="515"/>
      <c r="EO80" s="515"/>
      <c r="EP80" s="515"/>
      <c r="EQ80" s="515"/>
      <c r="ER80" s="515"/>
      <c r="ES80" s="515"/>
      <c r="ET80" s="515"/>
      <c r="EU80" s="515"/>
      <c r="EV80" s="515"/>
      <c r="EW80" s="515"/>
      <c r="EX80" s="515"/>
    </row>
    <row r="81" spans="1:154" s="516" customFormat="1" ht="16.5" customHeight="1">
      <c r="A81" s="1905"/>
      <c r="B81" s="1906"/>
      <c r="C81" s="511" t="s">
        <v>1197</v>
      </c>
      <c r="D81" s="512">
        <v>21319356.855117138</v>
      </c>
      <c r="E81" s="512">
        <v>5638660.5000000009</v>
      </c>
      <c r="F81" s="512">
        <v>15680696.381957849</v>
      </c>
      <c r="G81" s="512">
        <v>323417</v>
      </c>
      <c r="H81" s="512">
        <v>22887045.282958161</v>
      </c>
      <c r="I81" s="512">
        <v>41959</v>
      </c>
      <c r="J81" s="512">
        <v>1759288.73652456</v>
      </c>
      <c r="K81" s="512">
        <v>320105</v>
      </c>
      <c r="L81" s="512">
        <v>21319356.855117138</v>
      </c>
      <c r="M81" s="513">
        <v>21319356.855117138</v>
      </c>
      <c r="N81" s="512">
        <v>5638660.5000000009</v>
      </c>
      <c r="O81" s="512">
        <v>0</v>
      </c>
      <c r="P81" s="512">
        <v>15680696.355117127</v>
      </c>
      <c r="Q81" s="512">
        <v>15680696.38167925</v>
      </c>
      <c r="R81" s="512">
        <v>-2.6562121875940647E-2</v>
      </c>
      <c r="S81" s="514">
        <v>2.7859988040290773E-4</v>
      </c>
      <c r="T81" s="411">
        <f t="shared" si="48"/>
        <v>0.99999999874101675</v>
      </c>
      <c r="U81" s="411">
        <f t="shared" si="49"/>
        <v>0.99999999998223299</v>
      </c>
      <c r="V81" s="512">
        <v>932806.11523611238</v>
      </c>
      <c r="W81" s="512">
        <v>12875</v>
      </c>
      <c r="X81" s="512">
        <v>979589.39645815804</v>
      </c>
      <c r="Y81" s="512">
        <v>3217</v>
      </c>
      <c r="Z81" s="512">
        <v>208902.74406420396</v>
      </c>
      <c r="AA81" s="512">
        <v>11826</v>
      </c>
      <c r="AB81" s="512">
        <v>781462.2982771286</v>
      </c>
      <c r="AC81" s="512">
        <v>781462.2982771286</v>
      </c>
      <c r="AD81" s="512">
        <v>-3.7999972118996084E-4</v>
      </c>
      <c r="AE81" s="512">
        <v>0</v>
      </c>
      <c r="AF81" s="512">
        <v>781462.29865712835</v>
      </c>
      <c r="AG81" s="512">
        <v>932806.11523611238</v>
      </c>
      <c r="AH81" s="512">
        <v>-151343.81657898432</v>
      </c>
      <c r="AI81" s="489">
        <v>0</v>
      </c>
      <c r="AJ81" s="412">
        <f t="shared" si="40"/>
        <v>0.83775426193220315</v>
      </c>
      <c r="AK81" s="413">
        <f t="shared" si="41"/>
        <v>1</v>
      </c>
      <c r="AL81" s="515"/>
      <c r="AM81" s="515"/>
      <c r="AN81" s="515"/>
      <c r="AO81" s="515"/>
      <c r="AP81" s="515"/>
      <c r="AQ81" s="515"/>
      <c r="AR81" s="515"/>
      <c r="AS81" s="515"/>
      <c r="AT81" s="515"/>
      <c r="AU81" s="515"/>
      <c r="AV81" s="515"/>
      <c r="AW81" s="515"/>
      <c r="AX81" s="515"/>
      <c r="AY81" s="515"/>
      <c r="AZ81" s="515"/>
      <c r="BA81" s="515"/>
      <c r="BB81" s="515"/>
      <c r="BC81" s="515"/>
      <c r="BD81" s="515"/>
      <c r="BE81" s="515"/>
      <c r="BF81" s="515"/>
      <c r="BG81" s="515"/>
      <c r="BH81" s="515"/>
      <c r="BI81" s="515"/>
      <c r="BJ81" s="515"/>
      <c r="BK81" s="515"/>
      <c r="BL81" s="515"/>
      <c r="BM81" s="515"/>
      <c r="BN81" s="515"/>
      <c r="BO81" s="515"/>
      <c r="BP81" s="515"/>
      <c r="BQ81" s="515"/>
      <c r="BR81" s="515"/>
      <c r="BS81" s="515"/>
      <c r="BT81" s="515"/>
      <c r="BU81" s="515"/>
      <c r="BV81" s="515"/>
      <c r="BW81" s="515"/>
      <c r="BX81" s="515"/>
      <c r="BY81" s="515"/>
      <c r="BZ81" s="515"/>
      <c r="CA81" s="515"/>
      <c r="CB81" s="515"/>
      <c r="CC81" s="515"/>
      <c r="CD81" s="515"/>
      <c r="CE81" s="515"/>
      <c r="CF81" s="515"/>
      <c r="CG81" s="515"/>
      <c r="CH81" s="515"/>
      <c r="CI81" s="515"/>
      <c r="CJ81" s="515"/>
      <c r="CK81" s="515"/>
      <c r="CL81" s="515"/>
      <c r="CM81" s="515"/>
      <c r="CN81" s="515"/>
      <c r="CO81" s="515"/>
      <c r="CP81" s="515"/>
      <c r="CQ81" s="515"/>
      <c r="CR81" s="515"/>
      <c r="CS81" s="515"/>
      <c r="CT81" s="515"/>
      <c r="CU81" s="515"/>
      <c r="CV81" s="515"/>
      <c r="CW81" s="515"/>
      <c r="CX81" s="515"/>
      <c r="CY81" s="515"/>
      <c r="CZ81" s="515"/>
      <c r="DA81" s="515"/>
      <c r="DB81" s="515"/>
      <c r="DC81" s="515"/>
      <c r="DD81" s="515"/>
      <c r="DE81" s="515"/>
      <c r="DF81" s="515"/>
      <c r="DG81" s="515"/>
      <c r="DH81" s="515"/>
      <c r="DI81" s="515"/>
      <c r="DJ81" s="515"/>
      <c r="DK81" s="515"/>
      <c r="DL81" s="515"/>
      <c r="DM81" s="515"/>
      <c r="DN81" s="515"/>
      <c r="DO81" s="515"/>
      <c r="DP81" s="515"/>
      <c r="DQ81" s="515"/>
      <c r="DR81" s="515"/>
      <c r="DS81" s="515"/>
      <c r="DT81" s="515"/>
      <c r="DU81" s="515"/>
      <c r="DV81" s="515"/>
      <c r="DW81" s="515"/>
      <c r="DX81" s="515"/>
      <c r="DY81" s="515"/>
      <c r="DZ81" s="515"/>
      <c r="EA81" s="515"/>
      <c r="EB81" s="515"/>
      <c r="EC81" s="515"/>
      <c r="ED81" s="515"/>
      <c r="EE81" s="515"/>
      <c r="EF81" s="515"/>
      <c r="EG81" s="515"/>
      <c r="EH81" s="515"/>
      <c r="EI81" s="515"/>
      <c r="EJ81" s="515"/>
      <c r="EK81" s="515"/>
      <c r="EL81" s="515"/>
      <c r="EM81" s="515"/>
      <c r="EN81" s="515"/>
      <c r="EO81" s="515"/>
      <c r="EP81" s="515"/>
      <c r="EQ81" s="515"/>
      <c r="ER81" s="515"/>
      <c r="ES81" s="515"/>
      <c r="ET81" s="515"/>
      <c r="EU81" s="515"/>
      <c r="EV81" s="515"/>
      <c r="EW81" s="515"/>
      <c r="EX81" s="515"/>
    </row>
    <row r="82" spans="1:154" s="516" customFormat="1" ht="16.5" customHeight="1">
      <c r="A82" s="1905"/>
      <c r="B82" s="1906"/>
      <c r="C82" s="511" t="s">
        <v>1198</v>
      </c>
      <c r="D82" s="512">
        <v>1461048.6302819636</v>
      </c>
      <c r="E82" s="512">
        <v>261199.8</v>
      </c>
      <c r="F82" s="512">
        <v>1199848.8316919683</v>
      </c>
      <c r="G82" s="512">
        <v>2498</v>
      </c>
      <c r="H82" s="512">
        <v>1970364.4295119639</v>
      </c>
      <c r="I82" s="512">
        <v>247</v>
      </c>
      <c r="J82" s="512">
        <v>513864.67192551511</v>
      </c>
      <c r="K82" s="512">
        <v>2472</v>
      </c>
      <c r="L82" s="512">
        <v>1461048.6302819636</v>
      </c>
      <c r="M82" s="513">
        <v>1461048.6302819636</v>
      </c>
      <c r="N82" s="512">
        <v>261199.8</v>
      </c>
      <c r="O82" s="512">
        <v>0</v>
      </c>
      <c r="P82" s="512">
        <v>1199848.8302819643</v>
      </c>
      <c r="Q82" s="512">
        <v>1199848.8316919683</v>
      </c>
      <c r="R82" s="512">
        <v>-1.410003998898901E-3</v>
      </c>
      <c r="S82" s="514">
        <v>0</v>
      </c>
      <c r="T82" s="411">
        <f t="shared" si="48"/>
        <v>0.99999999903493653</v>
      </c>
      <c r="U82" s="411">
        <f t="shared" si="49"/>
        <v>1</v>
      </c>
      <c r="V82" s="512">
        <v>73081.461358799046</v>
      </c>
      <c r="W82" s="512">
        <v>98</v>
      </c>
      <c r="X82" s="512">
        <v>73803.829251963631</v>
      </c>
      <c r="Y82" s="512">
        <v>31</v>
      </c>
      <c r="Z82" s="512">
        <v>4397.415</v>
      </c>
      <c r="AA82" s="512">
        <v>96</v>
      </c>
      <c r="AB82" s="512">
        <v>69406.414251963637</v>
      </c>
      <c r="AC82" s="512">
        <v>69406.414251963637</v>
      </c>
      <c r="AD82" s="512">
        <v>-9.0949470177292824E-13</v>
      </c>
      <c r="AE82" s="512">
        <v>0</v>
      </c>
      <c r="AF82" s="512">
        <v>69406.414251963637</v>
      </c>
      <c r="AG82" s="512">
        <v>73081.461358799046</v>
      </c>
      <c r="AH82" s="512">
        <v>-3675.0471068354072</v>
      </c>
      <c r="AI82" s="489">
        <v>0</v>
      </c>
      <c r="AJ82" s="412">
        <f t="shared" si="40"/>
        <v>0.94971300465938302</v>
      </c>
      <c r="AK82" s="413">
        <f t="shared" si="41"/>
        <v>1</v>
      </c>
      <c r="AL82" s="515"/>
      <c r="AM82" s="515"/>
      <c r="AN82" s="515"/>
      <c r="AO82" s="515"/>
      <c r="AP82" s="515"/>
      <c r="AQ82" s="515"/>
      <c r="AR82" s="515"/>
      <c r="AS82" s="515"/>
      <c r="AT82" s="515"/>
      <c r="AU82" s="515"/>
      <c r="AV82" s="515"/>
      <c r="AW82" s="515"/>
      <c r="AX82" s="515"/>
      <c r="AY82" s="515"/>
      <c r="AZ82" s="515"/>
      <c r="BA82" s="515"/>
      <c r="BB82" s="515"/>
      <c r="BC82" s="515"/>
      <c r="BD82" s="515"/>
      <c r="BE82" s="515"/>
      <c r="BF82" s="515"/>
      <c r="BG82" s="515"/>
      <c r="BH82" s="515"/>
      <c r="BI82" s="515"/>
      <c r="BJ82" s="515"/>
      <c r="BK82" s="515"/>
      <c r="BL82" s="515"/>
      <c r="BM82" s="515"/>
      <c r="BN82" s="515"/>
      <c r="BO82" s="515"/>
      <c r="BP82" s="515"/>
      <c r="BQ82" s="515"/>
      <c r="BR82" s="515"/>
      <c r="BS82" s="515"/>
      <c r="BT82" s="515"/>
      <c r="BU82" s="515"/>
      <c r="BV82" s="515"/>
      <c r="BW82" s="515"/>
      <c r="BX82" s="515"/>
      <c r="BY82" s="515"/>
      <c r="BZ82" s="515"/>
      <c r="CA82" s="515"/>
      <c r="CB82" s="515"/>
      <c r="CC82" s="515"/>
      <c r="CD82" s="515"/>
      <c r="CE82" s="515"/>
      <c r="CF82" s="515"/>
      <c r="CG82" s="515"/>
      <c r="CH82" s="515"/>
      <c r="CI82" s="515"/>
      <c r="CJ82" s="515"/>
      <c r="CK82" s="515"/>
      <c r="CL82" s="515"/>
      <c r="CM82" s="515"/>
      <c r="CN82" s="515"/>
      <c r="CO82" s="515"/>
      <c r="CP82" s="515"/>
      <c r="CQ82" s="515"/>
      <c r="CR82" s="515"/>
      <c r="CS82" s="515"/>
      <c r="CT82" s="515"/>
      <c r="CU82" s="515"/>
      <c r="CV82" s="515"/>
      <c r="CW82" s="515"/>
      <c r="CX82" s="515"/>
      <c r="CY82" s="515"/>
      <c r="CZ82" s="515"/>
      <c r="DA82" s="515"/>
      <c r="DB82" s="515"/>
      <c r="DC82" s="515"/>
      <c r="DD82" s="515"/>
      <c r="DE82" s="515"/>
      <c r="DF82" s="515"/>
      <c r="DG82" s="515"/>
      <c r="DH82" s="515"/>
      <c r="DI82" s="515"/>
      <c r="DJ82" s="515"/>
      <c r="DK82" s="515"/>
      <c r="DL82" s="515"/>
      <c r="DM82" s="515"/>
      <c r="DN82" s="515"/>
      <c r="DO82" s="515"/>
      <c r="DP82" s="515"/>
      <c r="DQ82" s="515"/>
      <c r="DR82" s="515"/>
      <c r="DS82" s="515"/>
      <c r="DT82" s="515"/>
      <c r="DU82" s="515"/>
      <c r="DV82" s="515"/>
      <c r="DW82" s="515"/>
      <c r="DX82" s="515"/>
      <c r="DY82" s="515"/>
      <c r="DZ82" s="515"/>
      <c r="EA82" s="515"/>
      <c r="EB82" s="515"/>
      <c r="EC82" s="515"/>
      <c r="ED82" s="515"/>
      <c r="EE82" s="515"/>
      <c r="EF82" s="515"/>
      <c r="EG82" s="515"/>
      <c r="EH82" s="515"/>
      <c r="EI82" s="515"/>
      <c r="EJ82" s="515"/>
      <c r="EK82" s="515"/>
      <c r="EL82" s="515"/>
      <c r="EM82" s="515"/>
      <c r="EN82" s="515"/>
      <c r="EO82" s="515"/>
      <c r="EP82" s="515"/>
      <c r="EQ82" s="515"/>
      <c r="ER82" s="515"/>
      <c r="ES82" s="515"/>
      <c r="ET82" s="515"/>
      <c r="EU82" s="515"/>
      <c r="EV82" s="515"/>
      <c r="EW82" s="515"/>
      <c r="EX82" s="515"/>
    </row>
    <row r="83" spans="1:154" s="516" customFormat="1" ht="16.5" customHeight="1">
      <c r="A83" s="1905"/>
      <c r="B83" s="1906"/>
      <c r="C83" s="511" t="s">
        <v>1199</v>
      </c>
      <c r="D83" s="512">
        <v>2526402.5086266003</v>
      </c>
      <c r="E83" s="512">
        <v>550236.79999999993</v>
      </c>
      <c r="F83" s="512">
        <v>1976165.705537647</v>
      </c>
      <c r="G83" s="512">
        <v>122727</v>
      </c>
      <c r="H83" s="512">
        <v>2642475.643958502</v>
      </c>
      <c r="I83" s="512">
        <v>7549</v>
      </c>
      <c r="J83" s="512">
        <v>114470.18235151202</v>
      </c>
      <c r="K83" s="512">
        <v>120553</v>
      </c>
      <c r="L83" s="512">
        <v>2526402.5086266003</v>
      </c>
      <c r="M83" s="513">
        <v>2526402.5086266003</v>
      </c>
      <c r="N83" s="512">
        <v>550236.79999999993</v>
      </c>
      <c r="O83" s="512">
        <v>0</v>
      </c>
      <c r="P83" s="512">
        <v>1976165.7086266004</v>
      </c>
      <c r="Q83" s="512">
        <v>1976165.705537647</v>
      </c>
      <c r="R83" s="512">
        <v>3.0889540676071192E-3</v>
      </c>
      <c r="S83" s="514">
        <v>0</v>
      </c>
      <c r="T83" s="411">
        <f t="shared" si="48"/>
        <v>1.0000000012226689</v>
      </c>
      <c r="U83" s="411">
        <f t="shared" si="49"/>
        <v>1</v>
      </c>
      <c r="V83" s="512">
        <v>112987.30259433859</v>
      </c>
      <c r="W83" s="512">
        <v>6818</v>
      </c>
      <c r="X83" s="512">
        <v>144026.63891850127</v>
      </c>
      <c r="Y83" s="512">
        <v>2076</v>
      </c>
      <c r="Z83" s="512">
        <v>42611.620759999998</v>
      </c>
      <c r="AA83" s="512">
        <v>4984</v>
      </c>
      <c r="AB83" s="512">
        <v>101420.90117326715</v>
      </c>
      <c r="AC83" s="512">
        <v>101420.90117326715</v>
      </c>
      <c r="AD83" s="512">
        <v>-1.4999999809788278E-3</v>
      </c>
      <c r="AE83" s="512">
        <v>0</v>
      </c>
      <c r="AF83" s="512">
        <v>101420.90267326715</v>
      </c>
      <c r="AG83" s="512">
        <v>112987.30259433859</v>
      </c>
      <c r="AH83" s="512">
        <v>-11566.399921071412</v>
      </c>
      <c r="AI83" s="489">
        <v>0</v>
      </c>
      <c r="AJ83" s="412">
        <f t="shared" si="40"/>
        <v>0.89763097437459716</v>
      </c>
      <c r="AK83" s="413">
        <f t="shared" si="41"/>
        <v>1</v>
      </c>
      <c r="AL83" s="515"/>
      <c r="AM83" s="515"/>
      <c r="AN83" s="515"/>
      <c r="AO83" s="515"/>
      <c r="AP83" s="515"/>
      <c r="AQ83" s="515"/>
      <c r="AR83" s="515"/>
      <c r="AS83" s="515"/>
      <c r="AT83" s="515"/>
      <c r="AU83" s="515"/>
      <c r="AV83" s="515"/>
      <c r="AW83" s="515"/>
      <c r="AX83" s="515"/>
      <c r="AY83" s="515"/>
      <c r="AZ83" s="515"/>
      <c r="BA83" s="515"/>
      <c r="BB83" s="515"/>
      <c r="BC83" s="515"/>
      <c r="BD83" s="515"/>
      <c r="BE83" s="515"/>
      <c r="BF83" s="515"/>
      <c r="BG83" s="515"/>
      <c r="BH83" s="515"/>
      <c r="BI83" s="515"/>
      <c r="BJ83" s="515"/>
      <c r="BK83" s="515"/>
      <c r="BL83" s="515"/>
      <c r="BM83" s="515"/>
      <c r="BN83" s="515"/>
      <c r="BO83" s="515"/>
      <c r="BP83" s="515"/>
      <c r="BQ83" s="515"/>
      <c r="BR83" s="515"/>
      <c r="BS83" s="515"/>
      <c r="BT83" s="515"/>
      <c r="BU83" s="515"/>
      <c r="BV83" s="515"/>
      <c r="BW83" s="515"/>
      <c r="BX83" s="515"/>
      <c r="BY83" s="515"/>
      <c r="BZ83" s="515"/>
      <c r="CA83" s="515"/>
      <c r="CB83" s="515"/>
      <c r="CC83" s="515"/>
      <c r="CD83" s="515"/>
      <c r="CE83" s="515"/>
      <c r="CF83" s="515"/>
      <c r="CG83" s="515"/>
      <c r="CH83" s="515"/>
      <c r="CI83" s="515"/>
      <c r="CJ83" s="515"/>
      <c r="CK83" s="515"/>
      <c r="CL83" s="515"/>
      <c r="CM83" s="515"/>
      <c r="CN83" s="515"/>
      <c r="CO83" s="515"/>
      <c r="CP83" s="515"/>
      <c r="CQ83" s="515"/>
      <c r="CR83" s="515"/>
      <c r="CS83" s="515"/>
      <c r="CT83" s="515"/>
      <c r="CU83" s="515"/>
      <c r="CV83" s="515"/>
      <c r="CW83" s="515"/>
      <c r="CX83" s="515"/>
      <c r="CY83" s="515"/>
      <c r="CZ83" s="515"/>
      <c r="DA83" s="515"/>
      <c r="DB83" s="515"/>
      <c r="DC83" s="515"/>
      <c r="DD83" s="515"/>
      <c r="DE83" s="515"/>
      <c r="DF83" s="515"/>
      <c r="DG83" s="515"/>
      <c r="DH83" s="515"/>
      <c r="DI83" s="515"/>
      <c r="DJ83" s="515"/>
      <c r="DK83" s="515"/>
      <c r="DL83" s="515"/>
      <c r="DM83" s="515"/>
      <c r="DN83" s="515"/>
      <c r="DO83" s="515"/>
      <c r="DP83" s="515"/>
      <c r="DQ83" s="515"/>
      <c r="DR83" s="515"/>
      <c r="DS83" s="515"/>
      <c r="DT83" s="515"/>
      <c r="DU83" s="515"/>
      <c r="DV83" s="515"/>
      <c r="DW83" s="515"/>
      <c r="DX83" s="515"/>
      <c r="DY83" s="515"/>
      <c r="DZ83" s="515"/>
      <c r="EA83" s="515"/>
      <c r="EB83" s="515"/>
      <c r="EC83" s="515"/>
      <c r="ED83" s="515"/>
      <c r="EE83" s="515"/>
      <c r="EF83" s="515"/>
      <c r="EG83" s="515"/>
      <c r="EH83" s="515"/>
      <c r="EI83" s="515"/>
      <c r="EJ83" s="515"/>
      <c r="EK83" s="515"/>
      <c r="EL83" s="515"/>
      <c r="EM83" s="515"/>
      <c r="EN83" s="515"/>
      <c r="EO83" s="515"/>
      <c r="EP83" s="515"/>
      <c r="EQ83" s="515"/>
      <c r="ER83" s="515"/>
      <c r="ES83" s="515"/>
      <c r="ET83" s="515"/>
      <c r="EU83" s="515"/>
      <c r="EV83" s="515"/>
      <c r="EW83" s="515"/>
      <c r="EX83" s="515"/>
    </row>
    <row r="84" spans="1:154" s="516" customFormat="1" ht="16.5" customHeight="1">
      <c r="A84" s="1905"/>
      <c r="B84" s="1906"/>
      <c r="C84" s="511" t="s">
        <v>1202</v>
      </c>
      <c r="D84" s="512">
        <v>199.60050000000001</v>
      </c>
      <c r="E84" s="512">
        <v>0</v>
      </c>
      <c r="F84" s="512">
        <v>199.6</v>
      </c>
      <c r="G84" s="512">
        <v>112</v>
      </c>
      <c r="H84" s="512">
        <v>243.59625</v>
      </c>
      <c r="I84" s="512">
        <v>0</v>
      </c>
      <c r="J84" s="512">
        <v>0</v>
      </c>
      <c r="K84" s="512">
        <v>112</v>
      </c>
      <c r="L84" s="512">
        <v>199.60050000000001</v>
      </c>
      <c r="M84" s="513">
        <v>199.60050000000001</v>
      </c>
      <c r="N84" s="512">
        <v>0</v>
      </c>
      <c r="O84" s="512">
        <v>0</v>
      </c>
      <c r="P84" s="512">
        <v>199.60050000000001</v>
      </c>
      <c r="Q84" s="512">
        <v>199.6</v>
      </c>
      <c r="R84" s="512">
        <v>5.0000000001659828E-4</v>
      </c>
      <c r="S84" s="514">
        <v>0</v>
      </c>
      <c r="T84" s="411">
        <f t="shared" si="48"/>
        <v>1.0000025050100201</v>
      </c>
      <c r="U84" s="411">
        <f t="shared" si="49"/>
        <v>1</v>
      </c>
      <c r="V84" s="512">
        <v>199.6</v>
      </c>
      <c r="W84" s="512">
        <v>0</v>
      </c>
      <c r="X84" s="512">
        <v>86.703749999999999</v>
      </c>
      <c r="Y84" s="512">
        <v>0</v>
      </c>
      <c r="Z84" s="512">
        <v>0</v>
      </c>
      <c r="AA84" s="512">
        <v>0</v>
      </c>
      <c r="AB84" s="512">
        <v>42.707999999999998</v>
      </c>
      <c r="AC84" s="512">
        <v>42.707999999999998</v>
      </c>
      <c r="AD84" s="512">
        <v>0</v>
      </c>
      <c r="AE84" s="512">
        <v>0</v>
      </c>
      <c r="AF84" s="512">
        <v>42.707999999999998</v>
      </c>
      <c r="AG84" s="512">
        <v>199.6</v>
      </c>
      <c r="AH84" s="512">
        <v>-156.892</v>
      </c>
      <c r="AI84" s="489">
        <v>0</v>
      </c>
      <c r="AJ84" s="412">
        <f t="shared" si="40"/>
        <v>0.21396793587174348</v>
      </c>
      <c r="AK84" s="413">
        <f t="shared" si="41"/>
        <v>1</v>
      </c>
      <c r="AL84" s="515"/>
      <c r="AM84" s="515"/>
      <c r="AN84" s="515"/>
      <c r="AO84" s="515"/>
      <c r="AP84" s="515"/>
      <c r="AQ84" s="515"/>
      <c r="AR84" s="515"/>
      <c r="AS84" s="515"/>
      <c r="AT84" s="515"/>
      <c r="AU84" s="515"/>
      <c r="AV84" s="515"/>
      <c r="AW84" s="515"/>
      <c r="AX84" s="515"/>
      <c r="AY84" s="515"/>
      <c r="AZ84" s="515"/>
      <c r="BA84" s="515"/>
      <c r="BB84" s="515"/>
      <c r="BC84" s="515"/>
      <c r="BD84" s="515"/>
      <c r="BE84" s="515"/>
      <c r="BF84" s="515"/>
      <c r="BG84" s="515"/>
      <c r="BH84" s="515"/>
      <c r="BI84" s="515"/>
      <c r="BJ84" s="515"/>
      <c r="BK84" s="515"/>
      <c r="BL84" s="515"/>
      <c r="BM84" s="515"/>
      <c r="BN84" s="515"/>
      <c r="BO84" s="515"/>
      <c r="BP84" s="515"/>
      <c r="BQ84" s="515"/>
      <c r="BR84" s="515"/>
      <c r="BS84" s="515"/>
      <c r="BT84" s="515"/>
      <c r="BU84" s="515"/>
      <c r="BV84" s="515"/>
      <c r="BW84" s="515"/>
      <c r="BX84" s="515"/>
      <c r="BY84" s="515"/>
      <c r="BZ84" s="515"/>
      <c r="CA84" s="515"/>
      <c r="CB84" s="515"/>
      <c r="CC84" s="515"/>
      <c r="CD84" s="515"/>
      <c r="CE84" s="515"/>
      <c r="CF84" s="515"/>
      <c r="CG84" s="515"/>
      <c r="CH84" s="515"/>
      <c r="CI84" s="515"/>
      <c r="CJ84" s="515"/>
      <c r="CK84" s="515"/>
      <c r="CL84" s="515"/>
      <c r="CM84" s="515"/>
      <c r="CN84" s="515"/>
      <c r="CO84" s="515"/>
      <c r="CP84" s="515"/>
      <c r="CQ84" s="515"/>
      <c r="CR84" s="515"/>
      <c r="CS84" s="515"/>
      <c r="CT84" s="515"/>
      <c r="CU84" s="515"/>
      <c r="CV84" s="515"/>
      <c r="CW84" s="515"/>
      <c r="CX84" s="515"/>
      <c r="CY84" s="515"/>
      <c r="CZ84" s="515"/>
      <c r="DA84" s="515"/>
      <c r="DB84" s="515"/>
      <c r="DC84" s="515"/>
      <c r="DD84" s="515"/>
      <c r="DE84" s="515"/>
      <c r="DF84" s="515"/>
      <c r="DG84" s="515"/>
      <c r="DH84" s="515"/>
      <c r="DI84" s="515"/>
      <c r="DJ84" s="515"/>
      <c r="DK84" s="515"/>
      <c r="DL84" s="515"/>
      <c r="DM84" s="515"/>
      <c r="DN84" s="515"/>
      <c r="DO84" s="515"/>
      <c r="DP84" s="515"/>
      <c r="DQ84" s="515"/>
      <c r="DR84" s="515"/>
      <c r="DS84" s="515"/>
      <c r="DT84" s="515"/>
      <c r="DU84" s="515"/>
      <c r="DV84" s="515"/>
      <c r="DW84" s="515"/>
      <c r="DX84" s="515"/>
      <c r="DY84" s="515"/>
      <c r="DZ84" s="515"/>
      <c r="EA84" s="515"/>
      <c r="EB84" s="515"/>
      <c r="EC84" s="515"/>
      <c r="ED84" s="515"/>
      <c r="EE84" s="515"/>
      <c r="EF84" s="515"/>
      <c r="EG84" s="515"/>
      <c r="EH84" s="515"/>
      <c r="EI84" s="515"/>
      <c r="EJ84" s="515"/>
      <c r="EK84" s="515"/>
      <c r="EL84" s="515"/>
      <c r="EM84" s="515"/>
      <c r="EN84" s="515"/>
      <c r="EO84" s="515"/>
      <c r="EP84" s="515"/>
      <c r="EQ84" s="515"/>
      <c r="ER84" s="515"/>
      <c r="ES84" s="515"/>
      <c r="ET84" s="515"/>
      <c r="EU84" s="515"/>
      <c r="EV84" s="515"/>
      <c r="EW84" s="515"/>
      <c r="EX84" s="515"/>
    </row>
    <row r="85" spans="1:154" s="521" customFormat="1" ht="16.5" customHeight="1">
      <c r="A85" s="1907">
        <v>15</v>
      </c>
      <c r="B85" s="1908" t="s">
        <v>1212</v>
      </c>
      <c r="C85" s="419" t="s">
        <v>1196</v>
      </c>
      <c r="D85" s="517">
        <f t="shared" ref="D85:R85" si="54">D86+D87+D88+D89+D90+D91</f>
        <v>31232600.899545997</v>
      </c>
      <c r="E85" s="517">
        <f t="shared" si="54"/>
        <v>7776366</v>
      </c>
      <c r="F85" s="517">
        <f t="shared" si="54"/>
        <v>23456234.899545997</v>
      </c>
      <c r="G85" s="517">
        <f t="shared" si="54"/>
        <v>433311</v>
      </c>
      <c r="H85" s="517">
        <f t="shared" si="54"/>
        <v>33171088.825093109</v>
      </c>
      <c r="I85" s="517">
        <f t="shared" si="54"/>
        <v>43660</v>
      </c>
      <c r="J85" s="517">
        <f t="shared" si="54"/>
        <v>1884617.2822336263</v>
      </c>
      <c r="K85" s="517">
        <f t="shared" si="54"/>
        <v>430160</v>
      </c>
      <c r="L85" s="517">
        <f t="shared" si="54"/>
        <v>31232599.280931998</v>
      </c>
      <c r="M85" s="518">
        <f t="shared" si="54"/>
        <v>31232599.280931998</v>
      </c>
      <c r="N85" s="517">
        <f t="shared" si="54"/>
        <v>7776366</v>
      </c>
      <c r="O85" s="517">
        <f t="shared" si="54"/>
        <v>0</v>
      </c>
      <c r="P85" s="517">
        <f t="shared" si="54"/>
        <v>23456233.280931998</v>
      </c>
      <c r="Q85" s="517">
        <f t="shared" si="54"/>
        <v>23456233.280931998</v>
      </c>
      <c r="R85" s="517">
        <f t="shared" si="54"/>
        <v>0</v>
      </c>
      <c r="S85" s="519">
        <f>S86+S87+S88+S89+S90+S91</f>
        <v>1.6186140012259784</v>
      </c>
      <c r="T85" s="411">
        <f t="shared" si="48"/>
        <v>0.99999994817549764</v>
      </c>
      <c r="U85" s="411">
        <f t="shared" si="49"/>
        <v>0.99999993099429618</v>
      </c>
      <c r="V85" s="517">
        <f t="shared" ref="V85:AI85" si="55">V86+V87+V88+V89+V90+V91</f>
        <v>1735669.8442453307</v>
      </c>
      <c r="W85" s="517">
        <f t="shared" si="55"/>
        <v>18741</v>
      </c>
      <c r="X85" s="517">
        <f t="shared" si="55"/>
        <v>1608540.3481019998</v>
      </c>
      <c r="Y85" s="517">
        <f t="shared" si="55"/>
        <v>1222</v>
      </c>
      <c r="Z85" s="517">
        <f t="shared" si="55"/>
        <v>69616.876820000005</v>
      </c>
      <c r="AA85" s="517">
        <f t="shared" si="55"/>
        <v>18761</v>
      </c>
      <c r="AB85" s="517">
        <f t="shared" si="55"/>
        <v>1735668.2256619998</v>
      </c>
      <c r="AC85" s="517">
        <f t="shared" si="55"/>
        <v>1735668.2256619998</v>
      </c>
      <c r="AD85" s="517">
        <f t="shared" si="55"/>
        <v>0</v>
      </c>
      <c r="AE85" s="517">
        <f t="shared" si="55"/>
        <v>0</v>
      </c>
      <c r="AF85" s="517">
        <f t="shared" si="55"/>
        <v>1735668.2256619998</v>
      </c>
      <c r="AG85" s="517">
        <f t="shared" si="55"/>
        <v>1735668.2256619998</v>
      </c>
      <c r="AH85" s="517">
        <f t="shared" si="55"/>
        <v>0</v>
      </c>
      <c r="AI85" s="517">
        <f t="shared" si="55"/>
        <v>1.6185833306051336</v>
      </c>
      <c r="AJ85" s="412">
        <f t="shared" si="40"/>
        <v>0.99999906745897771</v>
      </c>
      <c r="AK85" s="413">
        <f t="shared" si="41"/>
        <v>0.99999906745897771</v>
      </c>
      <c r="AL85" s="520"/>
      <c r="AM85" s="520"/>
      <c r="AN85" s="520"/>
      <c r="AO85" s="520"/>
      <c r="AP85" s="520"/>
      <c r="AQ85" s="520"/>
      <c r="AR85" s="520"/>
      <c r="AS85" s="520"/>
      <c r="AT85" s="520"/>
      <c r="AU85" s="520"/>
      <c r="AV85" s="520"/>
      <c r="AW85" s="520"/>
      <c r="AX85" s="520"/>
      <c r="AY85" s="520"/>
      <c r="AZ85" s="520"/>
      <c r="BA85" s="520"/>
      <c r="BB85" s="520"/>
      <c r="BC85" s="520"/>
      <c r="BD85" s="520"/>
      <c r="BE85" s="520"/>
      <c r="BF85" s="520"/>
      <c r="BG85" s="520"/>
      <c r="BH85" s="520"/>
      <c r="BI85" s="520"/>
      <c r="BJ85" s="520"/>
      <c r="BK85" s="520"/>
      <c r="BL85" s="520"/>
      <c r="BM85" s="520"/>
      <c r="BN85" s="520"/>
      <c r="BO85" s="520"/>
      <c r="BP85" s="520"/>
      <c r="BQ85" s="520"/>
      <c r="BR85" s="520"/>
      <c r="BS85" s="520"/>
      <c r="BT85" s="520"/>
      <c r="BU85" s="520"/>
      <c r="BV85" s="520"/>
      <c r="BW85" s="520"/>
      <c r="BX85" s="520"/>
      <c r="BY85" s="520"/>
      <c r="BZ85" s="520"/>
      <c r="CA85" s="520"/>
      <c r="CB85" s="520"/>
      <c r="CC85" s="520"/>
      <c r="CD85" s="520"/>
      <c r="CE85" s="520"/>
      <c r="CF85" s="520"/>
      <c r="CG85" s="520"/>
      <c r="CH85" s="520"/>
      <c r="CI85" s="520"/>
      <c r="CJ85" s="520"/>
      <c r="CK85" s="520"/>
      <c r="CL85" s="520"/>
      <c r="CM85" s="520"/>
      <c r="CN85" s="520"/>
      <c r="CO85" s="520"/>
      <c r="CP85" s="520"/>
      <c r="CQ85" s="520"/>
      <c r="CR85" s="520"/>
      <c r="CS85" s="520"/>
      <c r="CT85" s="520"/>
      <c r="CU85" s="520"/>
      <c r="CV85" s="520"/>
      <c r="CW85" s="520"/>
      <c r="CX85" s="520"/>
      <c r="CY85" s="520"/>
      <c r="CZ85" s="520"/>
      <c r="DA85" s="520"/>
      <c r="DB85" s="520"/>
      <c r="DC85" s="520"/>
      <c r="DD85" s="520"/>
      <c r="DE85" s="520"/>
      <c r="DF85" s="520"/>
      <c r="DG85" s="520"/>
      <c r="DH85" s="520"/>
      <c r="DI85" s="520"/>
      <c r="DJ85" s="520"/>
      <c r="DK85" s="520"/>
      <c r="DL85" s="520"/>
      <c r="DM85" s="520"/>
      <c r="DN85" s="520"/>
      <c r="DO85" s="520"/>
      <c r="DP85" s="520"/>
      <c r="DQ85" s="520"/>
      <c r="DR85" s="520"/>
      <c r="DS85" s="520"/>
      <c r="DT85" s="520"/>
      <c r="DU85" s="520"/>
      <c r="DV85" s="520"/>
      <c r="DW85" s="520"/>
      <c r="DX85" s="520"/>
      <c r="DY85" s="520"/>
      <c r="DZ85" s="520"/>
      <c r="EA85" s="520"/>
      <c r="EB85" s="520"/>
      <c r="EC85" s="520"/>
      <c r="ED85" s="520"/>
      <c r="EE85" s="520"/>
      <c r="EF85" s="520"/>
      <c r="EG85" s="520"/>
      <c r="EH85" s="520"/>
      <c r="EI85" s="520"/>
      <c r="EJ85" s="520"/>
      <c r="EK85" s="520"/>
      <c r="EL85" s="520"/>
      <c r="EM85" s="520"/>
      <c r="EN85" s="520"/>
      <c r="EO85" s="520"/>
      <c r="EP85" s="520"/>
      <c r="EQ85" s="520"/>
      <c r="ER85" s="520"/>
      <c r="ES85" s="520"/>
      <c r="ET85" s="520"/>
      <c r="EU85" s="520"/>
      <c r="EV85" s="520"/>
      <c r="EW85" s="520"/>
      <c r="EX85" s="520"/>
    </row>
    <row r="86" spans="1:154" s="526" customFormat="1" ht="16.5" customHeight="1">
      <c r="A86" s="1907"/>
      <c r="B86" s="1908"/>
      <c r="C86" s="422" t="s">
        <v>1197</v>
      </c>
      <c r="D86" s="522">
        <v>20052718.534791999</v>
      </c>
      <c r="E86" s="522">
        <v>5712847.7999999998</v>
      </c>
      <c r="F86" s="522">
        <v>14339870.734791998</v>
      </c>
      <c r="G86" s="522">
        <v>220482</v>
      </c>
      <c r="H86" s="522">
        <v>21572256.367520571</v>
      </c>
      <c r="I86" s="522">
        <v>34480</v>
      </c>
      <c r="J86" s="522">
        <v>1311635.0823923056</v>
      </c>
      <c r="K86" s="522">
        <v>218026</v>
      </c>
      <c r="L86" s="522">
        <v>20053268.780502997</v>
      </c>
      <c r="M86" s="523">
        <v>20053268.780502997</v>
      </c>
      <c r="N86" s="522">
        <v>5712847.7999999998</v>
      </c>
      <c r="O86" s="522"/>
      <c r="P86" s="522">
        <v>14340420.980502997</v>
      </c>
      <c r="Q86" s="522">
        <v>14340420.980502997</v>
      </c>
      <c r="R86" s="522">
        <v>0</v>
      </c>
      <c r="S86" s="524">
        <v>-550.24571099877357</v>
      </c>
      <c r="T86" s="411">
        <f t="shared" si="48"/>
        <v>1.0000274399558367</v>
      </c>
      <c r="U86" s="411">
        <f t="shared" si="49"/>
        <v>1.0000383717343884</v>
      </c>
      <c r="V86" s="522">
        <v>996728.60650511226</v>
      </c>
      <c r="W86" s="522">
        <v>8073</v>
      </c>
      <c r="X86" s="522">
        <v>1041120.6326799999</v>
      </c>
      <c r="Y86" s="522">
        <v>732</v>
      </c>
      <c r="Z86" s="522">
        <v>34585.501110000005</v>
      </c>
      <c r="AA86" s="522">
        <v>8098</v>
      </c>
      <c r="AB86" s="522">
        <v>1016127.7776399999</v>
      </c>
      <c r="AC86" s="522">
        <v>1016127.7776399999</v>
      </c>
      <c r="AD86" s="522">
        <v>0</v>
      </c>
      <c r="AE86" s="522">
        <v>0</v>
      </c>
      <c r="AF86" s="522">
        <v>1016127.7776399999</v>
      </c>
      <c r="AG86" s="522">
        <v>1016127.7776399999</v>
      </c>
      <c r="AH86" s="522">
        <v>0</v>
      </c>
      <c r="AI86" s="484">
        <v>-19399.171134887729</v>
      </c>
      <c r="AJ86" s="412">
        <f t="shared" si="40"/>
        <v>1.0194628417487765</v>
      </c>
      <c r="AK86" s="413">
        <f t="shared" si="41"/>
        <v>1.0194628417487765</v>
      </c>
      <c r="AL86" s="525"/>
      <c r="AM86" s="525"/>
      <c r="AN86" s="525"/>
      <c r="AO86" s="525"/>
      <c r="AP86" s="525"/>
      <c r="AQ86" s="525"/>
      <c r="AR86" s="525"/>
      <c r="AS86" s="525"/>
      <c r="AT86" s="525"/>
      <c r="AU86" s="525"/>
      <c r="AV86" s="525"/>
      <c r="AW86" s="525"/>
      <c r="AX86" s="525"/>
      <c r="AY86" s="525"/>
      <c r="AZ86" s="525"/>
      <c r="BA86" s="525"/>
      <c r="BB86" s="525"/>
      <c r="BC86" s="525"/>
      <c r="BD86" s="525"/>
      <c r="BE86" s="525"/>
      <c r="BF86" s="525"/>
      <c r="BG86" s="525"/>
      <c r="BH86" s="525"/>
      <c r="BI86" s="525"/>
      <c r="BJ86" s="525"/>
      <c r="BK86" s="525"/>
      <c r="BL86" s="525"/>
      <c r="BM86" s="525"/>
      <c r="BN86" s="525"/>
      <c r="BO86" s="525"/>
      <c r="BP86" s="525"/>
      <c r="BQ86" s="525"/>
      <c r="BR86" s="525"/>
      <c r="BS86" s="525"/>
      <c r="BT86" s="525"/>
      <c r="BU86" s="525"/>
      <c r="BV86" s="525"/>
      <c r="BW86" s="525"/>
      <c r="BX86" s="525"/>
      <c r="BY86" s="525"/>
      <c r="BZ86" s="525"/>
      <c r="CA86" s="525"/>
      <c r="CB86" s="525"/>
      <c r="CC86" s="525"/>
      <c r="CD86" s="525"/>
      <c r="CE86" s="525"/>
      <c r="CF86" s="525"/>
      <c r="CG86" s="525"/>
      <c r="CH86" s="525"/>
      <c r="CI86" s="525"/>
      <c r="CJ86" s="525"/>
      <c r="CK86" s="525"/>
      <c r="CL86" s="525"/>
      <c r="CM86" s="525"/>
      <c r="CN86" s="525"/>
      <c r="CO86" s="525"/>
      <c r="CP86" s="525"/>
      <c r="CQ86" s="525"/>
      <c r="CR86" s="525"/>
      <c r="CS86" s="525"/>
      <c r="CT86" s="525"/>
      <c r="CU86" s="525"/>
      <c r="CV86" s="525"/>
      <c r="CW86" s="525"/>
      <c r="CX86" s="525"/>
      <c r="CY86" s="525"/>
      <c r="CZ86" s="525"/>
      <c r="DA86" s="525"/>
      <c r="DB86" s="525"/>
      <c r="DC86" s="525"/>
      <c r="DD86" s="525"/>
      <c r="DE86" s="525"/>
      <c r="DF86" s="525"/>
      <c r="DG86" s="525"/>
      <c r="DH86" s="525"/>
      <c r="DI86" s="525"/>
      <c r="DJ86" s="525"/>
      <c r="DK86" s="525"/>
      <c r="DL86" s="525"/>
      <c r="DM86" s="525"/>
      <c r="DN86" s="525"/>
      <c r="DO86" s="525"/>
      <c r="DP86" s="525"/>
      <c r="DQ86" s="525"/>
      <c r="DR86" s="525"/>
      <c r="DS86" s="525"/>
      <c r="DT86" s="525"/>
      <c r="DU86" s="525"/>
      <c r="DV86" s="525"/>
      <c r="DW86" s="525"/>
      <c r="DX86" s="525"/>
      <c r="DY86" s="525"/>
      <c r="DZ86" s="525"/>
      <c r="EA86" s="525"/>
      <c r="EB86" s="525"/>
      <c r="EC86" s="525"/>
      <c r="ED86" s="525"/>
      <c r="EE86" s="525"/>
      <c r="EF86" s="525"/>
      <c r="EG86" s="525"/>
      <c r="EH86" s="525"/>
      <c r="EI86" s="525"/>
      <c r="EJ86" s="525"/>
      <c r="EK86" s="525"/>
      <c r="EL86" s="525"/>
      <c r="EM86" s="525"/>
      <c r="EN86" s="525"/>
      <c r="EO86" s="525"/>
      <c r="EP86" s="525"/>
      <c r="EQ86" s="525"/>
      <c r="ER86" s="525"/>
      <c r="ES86" s="525"/>
      <c r="ET86" s="525"/>
      <c r="EU86" s="525"/>
      <c r="EV86" s="525"/>
      <c r="EW86" s="525"/>
      <c r="EX86" s="525"/>
    </row>
    <row r="87" spans="1:154" s="526" customFormat="1" ht="16.5" customHeight="1">
      <c r="A87" s="1907"/>
      <c r="B87" s="1908"/>
      <c r="C87" s="422" t="s">
        <v>1198</v>
      </c>
      <c r="D87" s="522">
        <v>8619170.2913070004</v>
      </c>
      <c r="E87" s="522">
        <v>1441590</v>
      </c>
      <c r="F87" s="522">
        <v>7177580.2913069995</v>
      </c>
      <c r="G87" s="522">
        <v>11457</v>
      </c>
      <c r="H87" s="522">
        <v>8929360.6558970045</v>
      </c>
      <c r="I87" s="522">
        <v>1375</v>
      </c>
      <c r="J87" s="522">
        <v>489436.93945290882</v>
      </c>
      <c r="K87" s="522">
        <v>11329</v>
      </c>
      <c r="L87" s="522">
        <v>8619170.2913070004</v>
      </c>
      <c r="M87" s="523">
        <v>8619170.2913070004</v>
      </c>
      <c r="N87" s="522">
        <v>1441590</v>
      </c>
      <c r="O87" s="522"/>
      <c r="P87" s="522">
        <v>7177580.2913069995</v>
      </c>
      <c r="Q87" s="522">
        <v>7177580.2913069995</v>
      </c>
      <c r="R87" s="522">
        <v>0</v>
      </c>
      <c r="S87" s="524">
        <v>0</v>
      </c>
      <c r="T87" s="411">
        <f t="shared" si="48"/>
        <v>1.0000000000000002</v>
      </c>
      <c r="U87" s="411">
        <f t="shared" si="49"/>
        <v>1</v>
      </c>
      <c r="V87" s="522">
        <v>619653.48230133997</v>
      </c>
      <c r="W87" s="522">
        <v>572</v>
      </c>
      <c r="X87" s="522">
        <v>455475.66796999995</v>
      </c>
      <c r="Y87" s="522">
        <v>62</v>
      </c>
      <c r="Z87" s="522">
        <v>28436.727759999998</v>
      </c>
      <c r="AA87" s="522">
        <v>571</v>
      </c>
      <c r="AB87" s="522">
        <v>611160.12253000005</v>
      </c>
      <c r="AC87" s="522">
        <v>611160.12253000005</v>
      </c>
      <c r="AD87" s="522">
        <v>0</v>
      </c>
      <c r="AE87" s="522">
        <v>0</v>
      </c>
      <c r="AF87" s="522">
        <v>611160.12253000005</v>
      </c>
      <c r="AG87" s="522">
        <v>611160.12253000005</v>
      </c>
      <c r="AH87" s="522">
        <v>0</v>
      </c>
      <c r="AI87" s="484">
        <v>8493.3597713398776</v>
      </c>
      <c r="AJ87" s="412">
        <f t="shared" si="40"/>
        <v>0.98629337199914324</v>
      </c>
      <c r="AK87" s="413">
        <f t="shared" si="41"/>
        <v>0.98629337199914324</v>
      </c>
      <c r="AL87" s="525"/>
      <c r="AM87" s="525"/>
      <c r="AN87" s="525"/>
      <c r="AO87" s="525"/>
      <c r="AP87" s="525"/>
      <c r="AQ87" s="525"/>
      <c r="AR87" s="525"/>
      <c r="AS87" s="525"/>
      <c r="AT87" s="525"/>
      <c r="AU87" s="525"/>
      <c r="AV87" s="525"/>
      <c r="AW87" s="525"/>
      <c r="AX87" s="525"/>
      <c r="AY87" s="525"/>
      <c r="AZ87" s="525"/>
      <c r="BA87" s="525"/>
      <c r="BB87" s="525"/>
      <c r="BC87" s="525"/>
      <c r="BD87" s="525"/>
      <c r="BE87" s="525"/>
      <c r="BF87" s="525"/>
      <c r="BG87" s="525"/>
      <c r="BH87" s="525"/>
      <c r="BI87" s="525"/>
      <c r="BJ87" s="525"/>
      <c r="BK87" s="525"/>
      <c r="BL87" s="525"/>
      <c r="BM87" s="525"/>
      <c r="BN87" s="525"/>
      <c r="BO87" s="525"/>
      <c r="BP87" s="525"/>
      <c r="BQ87" s="525"/>
      <c r="BR87" s="525"/>
      <c r="BS87" s="525"/>
      <c r="BT87" s="525"/>
      <c r="BU87" s="525"/>
      <c r="BV87" s="525"/>
      <c r="BW87" s="525"/>
      <c r="BX87" s="525"/>
      <c r="BY87" s="525"/>
      <c r="BZ87" s="525"/>
      <c r="CA87" s="525"/>
      <c r="CB87" s="525"/>
      <c r="CC87" s="525"/>
      <c r="CD87" s="525"/>
      <c r="CE87" s="525"/>
      <c r="CF87" s="525"/>
      <c r="CG87" s="525"/>
      <c r="CH87" s="525"/>
      <c r="CI87" s="525"/>
      <c r="CJ87" s="525"/>
      <c r="CK87" s="525"/>
      <c r="CL87" s="525"/>
      <c r="CM87" s="525"/>
      <c r="CN87" s="525"/>
      <c r="CO87" s="525"/>
      <c r="CP87" s="525"/>
      <c r="CQ87" s="525"/>
      <c r="CR87" s="525"/>
      <c r="CS87" s="525"/>
      <c r="CT87" s="525"/>
      <c r="CU87" s="525"/>
      <c r="CV87" s="525"/>
      <c r="CW87" s="525"/>
      <c r="CX87" s="525"/>
      <c r="CY87" s="525"/>
      <c r="CZ87" s="525"/>
      <c r="DA87" s="525"/>
      <c r="DB87" s="525"/>
      <c r="DC87" s="525"/>
      <c r="DD87" s="525"/>
      <c r="DE87" s="525"/>
      <c r="DF87" s="525"/>
      <c r="DG87" s="525"/>
      <c r="DH87" s="525"/>
      <c r="DI87" s="525"/>
      <c r="DJ87" s="525"/>
      <c r="DK87" s="525"/>
      <c r="DL87" s="525"/>
      <c r="DM87" s="525"/>
      <c r="DN87" s="525"/>
      <c r="DO87" s="525"/>
      <c r="DP87" s="525"/>
      <c r="DQ87" s="525"/>
      <c r="DR87" s="525"/>
      <c r="DS87" s="525"/>
      <c r="DT87" s="525"/>
      <c r="DU87" s="525"/>
      <c r="DV87" s="525"/>
      <c r="DW87" s="525"/>
      <c r="DX87" s="525"/>
      <c r="DY87" s="525"/>
      <c r="DZ87" s="525"/>
      <c r="EA87" s="525"/>
      <c r="EB87" s="525"/>
      <c r="EC87" s="525"/>
      <c r="ED87" s="525"/>
      <c r="EE87" s="525"/>
      <c r="EF87" s="525"/>
      <c r="EG87" s="525"/>
      <c r="EH87" s="525"/>
      <c r="EI87" s="525"/>
      <c r="EJ87" s="525"/>
      <c r="EK87" s="525"/>
      <c r="EL87" s="525"/>
      <c r="EM87" s="525"/>
      <c r="EN87" s="525"/>
      <c r="EO87" s="525"/>
      <c r="EP87" s="525"/>
      <c r="EQ87" s="525"/>
      <c r="ER87" s="525"/>
      <c r="ES87" s="525"/>
      <c r="ET87" s="525"/>
      <c r="EU87" s="525"/>
      <c r="EV87" s="525"/>
      <c r="EW87" s="525"/>
      <c r="EX87" s="525"/>
    </row>
    <row r="88" spans="1:154" s="526" customFormat="1" ht="16.5" customHeight="1">
      <c r="A88" s="1907"/>
      <c r="B88" s="1908"/>
      <c r="C88" s="422" t="s">
        <v>1199</v>
      </c>
      <c r="D88" s="522">
        <v>2495685.2686249996</v>
      </c>
      <c r="E88" s="522">
        <v>604439.10000000021</v>
      </c>
      <c r="F88" s="522">
        <v>1891246.1686249995</v>
      </c>
      <c r="G88" s="522">
        <v>71061</v>
      </c>
      <c r="H88" s="522">
        <v>2602608.2124055345</v>
      </c>
      <c r="I88" s="522">
        <v>7805</v>
      </c>
      <c r="J88" s="522">
        <v>83545.260388411712</v>
      </c>
      <c r="K88" s="522">
        <v>70494</v>
      </c>
      <c r="L88" s="522">
        <v>2495685.2686249996</v>
      </c>
      <c r="M88" s="523">
        <v>2495685.2686249996</v>
      </c>
      <c r="N88" s="522">
        <v>604439.10000000021</v>
      </c>
      <c r="O88" s="522"/>
      <c r="P88" s="522">
        <v>1891246.1686249995</v>
      </c>
      <c r="Q88" s="522">
        <v>1891246.1686249995</v>
      </c>
      <c r="R88" s="522">
        <v>0</v>
      </c>
      <c r="S88" s="524">
        <v>0</v>
      </c>
      <c r="T88" s="411">
        <f t="shared" si="48"/>
        <v>1</v>
      </c>
      <c r="U88" s="411">
        <f t="shared" si="49"/>
        <v>1</v>
      </c>
      <c r="V88" s="522">
        <v>114331.72095187845</v>
      </c>
      <c r="W88" s="522">
        <v>3296</v>
      </c>
      <c r="X88" s="522">
        <v>107722.19547999997</v>
      </c>
      <c r="Y88" s="522">
        <v>428</v>
      </c>
      <c r="Z88" s="522">
        <v>6594.6479499999996</v>
      </c>
      <c r="AA88" s="522">
        <v>3292</v>
      </c>
      <c r="AB88" s="522">
        <v>104158.47352000001</v>
      </c>
      <c r="AC88" s="522">
        <v>104158.47352000001</v>
      </c>
      <c r="AD88" s="522">
        <v>0</v>
      </c>
      <c r="AE88" s="522">
        <v>0</v>
      </c>
      <c r="AF88" s="522">
        <v>104158.47352000001</v>
      </c>
      <c r="AG88" s="522">
        <v>104158.47352000001</v>
      </c>
      <c r="AH88" s="522">
        <v>0</v>
      </c>
      <c r="AI88" s="484">
        <v>10173.247431878455</v>
      </c>
      <c r="AJ88" s="412">
        <f t="shared" si="40"/>
        <v>0.91101990464955651</v>
      </c>
      <c r="AK88" s="413">
        <f t="shared" si="41"/>
        <v>0.91101990464955651</v>
      </c>
      <c r="AL88" s="525"/>
      <c r="AM88" s="525"/>
      <c r="AN88" s="525"/>
      <c r="AO88" s="525"/>
      <c r="AP88" s="525"/>
      <c r="AQ88" s="525"/>
      <c r="AR88" s="525"/>
      <c r="AS88" s="525"/>
      <c r="AT88" s="525"/>
      <c r="AU88" s="525"/>
      <c r="AV88" s="525"/>
      <c r="AW88" s="525"/>
      <c r="AX88" s="525"/>
      <c r="AY88" s="525"/>
      <c r="AZ88" s="525"/>
      <c r="BA88" s="525"/>
      <c r="BB88" s="525"/>
      <c r="BC88" s="525"/>
      <c r="BD88" s="525"/>
      <c r="BE88" s="525"/>
      <c r="BF88" s="525"/>
      <c r="BG88" s="525"/>
      <c r="BH88" s="525"/>
      <c r="BI88" s="525"/>
      <c r="BJ88" s="525"/>
      <c r="BK88" s="525"/>
      <c r="BL88" s="525"/>
      <c r="BM88" s="525"/>
      <c r="BN88" s="525"/>
      <c r="BO88" s="525"/>
      <c r="BP88" s="525"/>
      <c r="BQ88" s="525"/>
      <c r="BR88" s="525"/>
      <c r="BS88" s="525"/>
      <c r="BT88" s="525"/>
      <c r="BU88" s="525"/>
      <c r="BV88" s="525"/>
      <c r="BW88" s="525"/>
      <c r="BX88" s="525"/>
      <c r="BY88" s="525"/>
      <c r="BZ88" s="525"/>
      <c r="CA88" s="525"/>
      <c r="CB88" s="525"/>
      <c r="CC88" s="525"/>
      <c r="CD88" s="525"/>
      <c r="CE88" s="525"/>
      <c r="CF88" s="525"/>
      <c r="CG88" s="525"/>
      <c r="CH88" s="525"/>
      <c r="CI88" s="525"/>
      <c r="CJ88" s="525"/>
      <c r="CK88" s="525"/>
      <c r="CL88" s="525"/>
      <c r="CM88" s="525"/>
      <c r="CN88" s="525"/>
      <c r="CO88" s="525"/>
      <c r="CP88" s="525"/>
      <c r="CQ88" s="525"/>
      <c r="CR88" s="525"/>
      <c r="CS88" s="525"/>
      <c r="CT88" s="525"/>
      <c r="CU88" s="525"/>
      <c r="CV88" s="525"/>
      <c r="CW88" s="525"/>
      <c r="CX88" s="525"/>
      <c r="CY88" s="525"/>
      <c r="CZ88" s="525"/>
      <c r="DA88" s="525"/>
      <c r="DB88" s="525"/>
      <c r="DC88" s="525"/>
      <c r="DD88" s="525"/>
      <c r="DE88" s="525"/>
      <c r="DF88" s="525"/>
      <c r="DG88" s="525"/>
      <c r="DH88" s="525"/>
      <c r="DI88" s="525"/>
      <c r="DJ88" s="525"/>
      <c r="DK88" s="525"/>
      <c r="DL88" s="525"/>
      <c r="DM88" s="525"/>
      <c r="DN88" s="525"/>
      <c r="DO88" s="525"/>
      <c r="DP88" s="525"/>
      <c r="DQ88" s="525"/>
      <c r="DR88" s="525"/>
      <c r="DS88" s="525"/>
      <c r="DT88" s="525"/>
      <c r="DU88" s="525"/>
      <c r="DV88" s="525"/>
      <c r="DW88" s="525"/>
      <c r="DX88" s="525"/>
      <c r="DY88" s="525"/>
      <c r="DZ88" s="525"/>
      <c r="EA88" s="525"/>
      <c r="EB88" s="525"/>
      <c r="EC88" s="525"/>
      <c r="ED88" s="525"/>
      <c r="EE88" s="525"/>
      <c r="EF88" s="525"/>
      <c r="EG88" s="525"/>
      <c r="EH88" s="525"/>
      <c r="EI88" s="525"/>
      <c r="EJ88" s="525"/>
      <c r="EK88" s="525"/>
      <c r="EL88" s="525"/>
      <c r="EM88" s="525"/>
      <c r="EN88" s="525"/>
      <c r="EO88" s="525"/>
      <c r="EP88" s="525"/>
      <c r="EQ88" s="525"/>
      <c r="ER88" s="525"/>
      <c r="ES88" s="525"/>
      <c r="ET88" s="525"/>
      <c r="EU88" s="525"/>
      <c r="EV88" s="525"/>
      <c r="EW88" s="525"/>
      <c r="EX88" s="525"/>
    </row>
    <row r="89" spans="1:154" s="526" customFormat="1" ht="16.5" customHeight="1">
      <c r="A89" s="1907"/>
      <c r="B89" s="1908"/>
      <c r="C89" s="527" t="s">
        <v>1200</v>
      </c>
      <c r="D89" s="522">
        <v>58296.990401999996</v>
      </c>
      <c r="E89" s="522">
        <v>17489.099999999999</v>
      </c>
      <c r="F89" s="522">
        <v>40807.890401999997</v>
      </c>
      <c r="G89" s="522">
        <v>130311</v>
      </c>
      <c r="H89" s="522">
        <v>60135.42525</v>
      </c>
      <c r="I89" s="522">
        <v>0</v>
      </c>
      <c r="J89" s="522">
        <v>0</v>
      </c>
      <c r="K89" s="522">
        <v>130311</v>
      </c>
      <c r="L89" s="522">
        <v>58296.990401999996</v>
      </c>
      <c r="M89" s="523">
        <v>58296.990401999996</v>
      </c>
      <c r="N89" s="522">
        <v>17489.099999999999</v>
      </c>
      <c r="O89" s="522"/>
      <c r="P89" s="522">
        <v>40807.890401999997</v>
      </c>
      <c r="Q89" s="522">
        <v>40807.890401999997</v>
      </c>
      <c r="R89" s="522">
        <v>0</v>
      </c>
      <c r="S89" s="524">
        <v>0</v>
      </c>
      <c r="T89" s="411">
        <f t="shared" si="48"/>
        <v>1</v>
      </c>
      <c r="U89" s="411">
        <f t="shared" si="49"/>
        <v>1</v>
      </c>
      <c r="V89" s="522">
        <v>3379.6350620000012</v>
      </c>
      <c r="W89" s="522">
        <v>6800</v>
      </c>
      <c r="X89" s="522">
        <v>3379.6254020000001</v>
      </c>
      <c r="Y89" s="522">
        <v>0</v>
      </c>
      <c r="Z89" s="522">
        <v>0</v>
      </c>
      <c r="AA89" s="522">
        <v>6800</v>
      </c>
      <c r="AB89" s="522">
        <v>3379.6254020000001</v>
      </c>
      <c r="AC89" s="522">
        <v>3379.6254020000001</v>
      </c>
      <c r="AD89" s="522">
        <v>0</v>
      </c>
      <c r="AE89" s="522">
        <v>0</v>
      </c>
      <c r="AF89" s="522">
        <v>3379.6254020000001</v>
      </c>
      <c r="AG89" s="522">
        <v>3379.6254020000001</v>
      </c>
      <c r="AH89" s="522">
        <v>0</v>
      </c>
      <c r="AI89" s="484">
        <v>9.6600000010766962E-3</v>
      </c>
      <c r="AJ89" s="412">
        <f t="shared" si="40"/>
        <v>0.99999714170322418</v>
      </c>
      <c r="AK89" s="413">
        <f t="shared" si="41"/>
        <v>0.99999714170322418</v>
      </c>
      <c r="AL89" s="525"/>
      <c r="AM89" s="525"/>
      <c r="AN89" s="525"/>
      <c r="AO89" s="525"/>
      <c r="AP89" s="525"/>
      <c r="AQ89" s="525"/>
      <c r="AR89" s="525"/>
      <c r="AS89" s="525"/>
      <c r="AT89" s="525"/>
      <c r="AU89" s="525"/>
      <c r="AV89" s="525"/>
      <c r="AW89" s="525"/>
      <c r="AX89" s="525"/>
      <c r="AY89" s="525"/>
      <c r="AZ89" s="525"/>
      <c r="BA89" s="525"/>
      <c r="BB89" s="525"/>
      <c r="BC89" s="525"/>
      <c r="BD89" s="525"/>
      <c r="BE89" s="525"/>
      <c r="BF89" s="525"/>
      <c r="BG89" s="525"/>
      <c r="BH89" s="525"/>
      <c r="BI89" s="525"/>
      <c r="BJ89" s="525"/>
      <c r="BK89" s="525"/>
      <c r="BL89" s="525"/>
      <c r="BM89" s="525"/>
      <c r="BN89" s="525"/>
      <c r="BO89" s="525"/>
      <c r="BP89" s="525"/>
      <c r="BQ89" s="525"/>
      <c r="BR89" s="525"/>
      <c r="BS89" s="525"/>
      <c r="BT89" s="525"/>
      <c r="BU89" s="525"/>
      <c r="BV89" s="525"/>
      <c r="BW89" s="525"/>
      <c r="BX89" s="525"/>
      <c r="BY89" s="525"/>
      <c r="BZ89" s="525"/>
      <c r="CA89" s="525"/>
      <c r="CB89" s="525"/>
      <c r="CC89" s="525"/>
      <c r="CD89" s="525"/>
      <c r="CE89" s="525"/>
      <c r="CF89" s="525"/>
      <c r="CG89" s="525"/>
      <c r="CH89" s="525"/>
      <c r="CI89" s="525"/>
      <c r="CJ89" s="525"/>
      <c r="CK89" s="525"/>
      <c r="CL89" s="525"/>
      <c r="CM89" s="525"/>
      <c r="CN89" s="525"/>
      <c r="CO89" s="525"/>
      <c r="CP89" s="525"/>
      <c r="CQ89" s="525"/>
      <c r="CR89" s="525"/>
      <c r="CS89" s="525"/>
      <c r="CT89" s="525"/>
      <c r="CU89" s="525"/>
      <c r="CV89" s="525"/>
      <c r="CW89" s="525"/>
      <c r="CX89" s="525"/>
      <c r="CY89" s="525"/>
      <c r="CZ89" s="525"/>
      <c r="DA89" s="525"/>
      <c r="DB89" s="525"/>
      <c r="DC89" s="525"/>
      <c r="DD89" s="525"/>
      <c r="DE89" s="525"/>
      <c r="DF89" s="525"/>
      <c r="DG89" s="525"/>
      <c r="DH89" s="525"/>
      <c r="DI89" s="525"/>
      <c r="DJ89" s="525"/>
      <c r="DK89" s="525"/>
      <c r="DL89" s="525"/>
      <c r="DM89" s="525"/>
      <c r="DN89" s="525"/>
      <c r="DO89" s="525"/>
      <c r="DP89" s="525"/>
      <c r="DQ89" s="525"/>
      <c r="DR89" s="525"/>
      <c r="DS89" s="525"/>
      <c r="DT89" s="525"/>
      <c r="DU89" s="525"/>
      <c r="DV89" s="525"/>
      <c r="DW89" s="525"/>
      <c r="DX89" s="525"/>
      <c r="DY89" s="525"/>
      <c r="DZ89" s="525"/>
      <c r="EA89" s="525"/>
      <c r="EB89" s="525"/>
      <c r="EC89" s="525"/>
      <c r="ED89" s="525"/>
      <c r="EE89" s="525"/>
      <c r="EF89" s="525"/>
      <c r="EG89" s="525"/>
      <c r="EH89" s="525"/>
      <c r="EI89" s="525"/>
      <c r="EJ89" s="525"/>
      <c r="EK89" s="525"/>
      <c r="EL89" s="525"/>
      <c r="EM89" s="525"/>
      <c r="EN89" s="525"/>
      <c r="EO89" s="525"/>
      <c r="EP89" s="525"/>
      <c r="EQ89" s="525"/>
      <c r="ER89" s="525"/>
      <c r="ES89" s="525"/>
      <c r="ET89" s="525"/>
      <c r="EU89" s="525"/>
      <c r="EV89" s="525"/>
      <c r="EW89" s="525"/>
      <c r="EX89" s="525"/>
    </row>
    <row r="90" spans="1:154" s="521" customFormat="1" ht="9.75" customHeight="1">
      <c r="A90" s="1907"/>
      <c r="B90" s="1908"/>
      <c r="C90" s="527" t="s">
        <v>814</v>
      </c>
      <c r="D90" s="528"/>
      <c r="E90" s="489"/>
      <c r="F90" s="489"/>
      <c r="G90" s="489"/>
      <c r="H90" s="489"/>
      <c r="I90" s="489"/>
      <c r="J90" s="489"/>
      <c r="K90" s="489"/>
      <c r="L90" s="489"/>
      <c r="M90" s="490"/>
      <c r="N90" s="489"/>
      <c r="O90" s="522"/>
      <c r="P90" s="489"/>
      <c r="Q90" s="489"/>
      <c r="R90" s="489">
        <v>0</v>
      </c>
      <c r="S90" s="524">
        <v>0</v>
      </c>
      <c r="T90" s="411" t="e">
        <f t="shared" si="48"/>
        <v>#DIV/0!</v>
      </c>
      <c r="U90" s="411" t="e">
        <f t="shared" si="49"/>
        <v>#DIV/0!</v>
      </c>
      <c r="V90" s="489"/>
      <c r="W90" s="489"/>
      <c r="X90" s="489"/>
      <c r="Y90" s="489"/>
      <c r="Z90" s="489"/>
      <c r="AA90" s="489"/>
      <c r="AB90" s="489"/>
      <c r="AC90" s="489"/>
      <c r="AD90" s="489"/>
      <c r="AE90" s="489"/>
      <c r="AF90" s="489"/>
      <c r="AG90" s="489"/>
      <c r="AH90" s="489"/>
      <c r="AI90" s="484"/>
      <c r="AJ90" s="412"/>
      <c r="AK90" s="413"/>
      <c r="AL90" s="520"/>
      <c r="AM90" s="520"/>
      <c r="AN90" s="520"/>
      <c r="AO90" s="520"/>
      <c r="AP90" s="520"/>
      <c r="AQ90" s="520"/>
      <c r="AR90" s="520"/>
      <c r="AS90" s="520"/>
      <c r="AT90" s="520"/>
      <c r="AU90" s="520"/>
      <c r="AV90" s="520"/>
      <c r="AW90" s="520"/>
      <c r="AX90" s="520"/>
      <c r="AY90" s="520"/>
      <c r="AZ90" s="520"/>
      <c r="BA90" s="520"/>
      <c r="BB90" s="520"/>
      <c r="BC90" s="520"/>
      <c r="BD90" s="520"/>
      <c r="BE90" s="520"/>
      <c r="BF90" s="520"/>
      <c r="BG90" s="520"/>
      <c r="BH90" s="520"/>
      <c r="BI90" s="520"/>
      <c r="BJ90" s="520"/>
      <c r="BK90" s="520"/>
      <c r="BL90" s="520"/>
      <c r="BM90" s="520"/>
      <c r="BN90" s="520"/>
      <c r="BO90" s="520"/>
      <c r="BP90" s="520"/>
      <c r="BQ90" s="520"/>
      <c r="BR90" s="520"/>
      <c r="BS90" s="520"/>
      <c r="BT90" s="520"/>
      <c r="BU90" s="520"/>
      <c r="BV90" s="520"/>
      <c r="BW90" s="520"/>
      <c r="BX90" s="520"/>
      <c r="BY90" s="520"/>
      <c r="BZ90" s="520"/>
      <c r="CA90" s="520"/>
      <c r="CB90" s="520"/>
      <c r="CC90" s="520"/>
      <c r="CD90" s="520"/>
      <c r="CE90" s="520"/>
      <c r="CF90" s="520"/>
      <c r="CG90" s="520"/>
      <c r="CH90" s="520"/>
      <c r="CI90" s="520"/>
      <c r="CJ90" s="520"/>
      <c r="CK90" s="520"/>
      <c r="CL90" s="520"/>
      <c r="CM90" s="520"/>
      <c r="CN90" s="520"/>
      <c r="CO90" s="520"/>
      <c r="CP90" s="520"/>
      <c r="CQ90" s="520"/>
      <c r="CR90" s="520"/>
      <c r="CS90" s="520"/>
      <c r="CT90" s="520"/>
      <c r="CU90" s="520"/>
      <c r="CV90" s="520"/>
      <c r="CW90" s="520"/>
      <c r="CX90" s="520"/>
      <c r="CY90" s="520"/>
      <c r="CZ90" s="520"/>
      <c r="DA90" s="520"/>
      <c r="DB90" s="520"/>
      <c r="DC90" s="520"/>
      <c r="DD90" s="520"/>
      <c r="DE90" s="520"/>
      <c r="DF90" s="520"/>
      <c r="DG90" s="520"/>
      <c r="DH90" s="520"/>
      <c r="DI90" s="520"/>
      <c r="DJ90" s="520"/>
      <c r="DK90" s="520"/>
      <c r="DL90" s="520"/>
      <c r="DM90" s="520"/>
      <c r="DN90" s="520"/>
      <c r="DO90" s="520"/>
      <c r="DP90" s="520"/>
      <c r="DQ90" s="520"/>
      <c r="DR90" s="520"/>
      <c r="DS90" s="520"/>
      <c r="DT90" s="520"/>
      <c r="DU90" s="520"/>
      <c r="DV90" s="520"/>
      <c r="DW90" s="520"/>
      <c r="DX90" s="520"/>
      <c r="DY90" s="520"/>
      <c r="DZ90" s="520"/>
      <c r="EA90" s="520"/>
      <c r="EB90" s="520"/>
      <c r="EC90" s="520"/>
      <c r="ED90" s="520"/>
      <c r="EE90" s="520"/>
      <c r="EF90" s="520"/>
      <c r="EG90" s="520"/>
      <c r="EH90" s="520"/>
      <c r="EI90" s="520"/>
      <c r="EJ90" s="520"/>
      <c r="EK90" s="520"/>
      <c r="EL90" s="520"/>
      <c r="EM90" s="520"/>
      <c r="EN90" s="520"/>
      <c r="EO90" s="520"/>
      <c r="EP90" s="520"/>
      <c r="EQ90" s="520"/>
      <c r="ER90" s="520"/>
      <c r="ES90" s="520"/>
      <c r="ET90" s="520"/>
      <c r="EU90" s="520"/>
      <c r="EV90" s="520"/>
      <c r="EW90" s="520"/>
      <c r="EX90" s="520"/>
    </row>
    <row r="91" spans="1:154" s="521" customFormat="1" ht="16.5" customHeight="1">
      <c r="A91" s="1907"/>
      <c r="B91" s="1908"/>
      <c r="C91" s="527" t="s">
        <v>1202</v>
      </c>
      <c r="D91" s="528">
        <v>6729.8144199999997</v>
      </c>
      <c r="E91" s="528"/>
      <c r="F91" s="528">
        <v>6729.8144199999997</v>
      </c>
      <c r="G91" s="528">
        <v>0</v>
      </c>
      <c r="H91" s="528">
        <v>6728.1640200000011</v>
      </c>
      <c r="I91" s="528">
        <v>0</v>
      </c>
      <c r="J91" s="528">
        <v>0</v>
      </c>
      <c r="K91" s="528">
        <v>0</v>
      </c>
      <c r="L91" s="528">
        <v>6177.9500950000001</v>
      </c>
      <c r="M91" s="529">
        <v>6177.9500950000001</v>
      </c>
      <c r="N91" s="528">
        <v>0</v>
      </c>
      <c r="O91" s="528">
        <v>0</v>
      </c>
      <c r="P91" s="528">
        <v>6177.9500950000001</v>
      </c>
      <c r="Q91" s="528">
        <v>6177.9500950000001</v>
      </c>
      <c r="R91" s="528">
        <v>0</v>
      </c>
      <c r="S91" s="530">
        <v>551.86432499999955</v>
      </c>
      <c r="T91" s="411">
        <f t="shared" si="48"/>
        <v>0.91799709612200575</v>
      </c>
      <c r="U91" s="411">
        <f t="shared" si="49"/>
        <v>0.91799709612200575</v>
      </c>
      <c r="V91" s="528">
        <v>1576.3994250000001</v>
      </c>
      <c r="W91" s="528">
        <v>0</v>
      </c>
      <c r="X91" s="528">
        <v>842.22656999999992</v>
      </c>
      <c r="Y91" s="528">
        <v>0</v>
      </c>
      <c r="Z91" s="528">
        <v>0</v>
      </c>
      <c r="AA91" s="528">
        <v>0</v>
      </c>
      <c r="AB91" s="528">
        <v>842.22656999999992</v>
      </c>
      <c r="AC91" s="528">
        <v>842.22656999999992</v>
      </c>
      <c r="AD91" s="528">
        <v>0</v>
      </c>
      <c r="AE91" s="528">
        <v>0</v>
      </c>
      <c r="AF91" s="528">
        <v>842.22656999999992</v>
      </c>
      <c r="AG91" s="528">
        <v>842.22656999999992</v>
      </c>
      <c r="AH91" s="528">
        <v>0</v>
      </c>
      <c r="AI91" s="484">
        <v>734.17285500000003</v>
      </c>
      <c r="AJ91" s="412">
        <f>AC91/(AD91+V91)</f>
        <v>0.5342723148988715</v>
      </c>
      <c r="AK91" s="413">
        <f>AG91/V91</f>
        <v>0.5342723148988715</v>
      </c>
      <c r="AL91" s="520"/>
      <c r="AM91" s="520"/>
      <c r="AN91" s="520"/>
      <c r="AO91" s="520"/>
      <c r="AP91" s="520"/>
      <c r="AQ91" s="520"/>
      <c r="AR91" s="520"/>
      <c r="AS91" s="520"/>
      <c r="AT91" s="520"/>
      <c r="AU91" s="520"/>
      <c r="AV91" s="520"/>
      <c r="AW91" s="520"/>
      <c r="AX91" s="520"/>
      <c r="AY91" s="520"/>
      <c r="AZ91" s="520"/>
      <c r="BA91" s="520"/>
      <c r="BB91" s="520"/>
      <c r="BC91" s="520"/>
      <c r="BD91" s="520"/>
      <c r="BE91" s="520"/>
      <c r="BF91" s="520"/>
      <c r="BG91" s="520"/>
      <c r="BH91" s="520"/>
      <c r="BI91" s="520"/>
      <c r="BJ91" s="520"/>
      <c r="BK91" s="520"/>
      <c r="BL91" s="520"/>
      <c r="BM91" s="520"/>
      <c r="BN91" s="520"/>
      <c r="BO91" s="520"/>
      <c r="BP91" s="520"/>
      <c r="BQ91" s="520"/>
      <c r="BR91" s="520"/>
      <c r="BS91" s="520"/>
      <c r="BT91" s="520"/>
      <c r="BU91" s="520"/>
      <c r="BV91" s="520"/>
      <c r="BW91" s="520"/>
      <c r="BX91" s="520"/>
      <c r="BY91" s="520"/>
      <c r="BZ91" s="520"/>
      <c r="CA91" s="520"/>
      <c r="CB91" s="520"/>
      <c r="CC91" s="520"/>
      <c r="CD91" s="520"/>
      <c r="CE91" s="520"/>
      <c r="CF91" s="520"/>
      <c r="CG91" s="520"/>
      <c r="CH91" s="520"/>
      <c r="CI91" s="520"/>
      <c r="CJ91" s="520"/>
      <c r="CK91" s="520"/>
      <c r="CL91" s="520"/>
      <c r="CM91" s="520"/>
      <c r="CN91" s="520"/>
      <c r="CO91" s="520"/>
      <c r="CP91" s="520"/>
      <c r="CQ91" s="520"/>
      <c r="CR91" s="520"/>
      <c r="CS91" s="520"/>
      <c r="CT91" s="520"/>
      <c r="CU91" s="520"/>
      <c r="CV91" s="520"/>
      <c r="CW91" s="520"/>
      <c r="CX91" s="520"/>
      <c r="CY91" s="520"/>
      <c r="CZ91" s="520"/>
      <c r="DA91" s="520"/>
      <c r="DB91" s="520"/>
      <c r="DC91" s="520"/>
      <c r="DD91" s="520"/>
      <c r="DE91" s="520"/>
      <c r="DF91" s="520"/>
      <c r="DG91" s="520"/>
      <c r="DH91" s="520"/>
      <c r="DI91" s="520"/>
      <c r="DJ91" s="520"/>
      <c r="DK91" s="520"/>
      <c r="DL91" s="520"/>
      <c r="DM91" s="520"/>
      <c r="DN91" s="520"/>
      <c r="DO91" s="520"/>
      <c r="DP91" s="520"/>
      <c r="DQ91" s="520"/>
      <c r="DR91" s="520"/>
      <c r="DS91" s="520"/>
      <c r="DT91" s="520"/>
      <c r="DU91" s="520"/>
      <c r="DV91" s="520"/>
      <c r="DW91" s="520"/>
      <c r="DX91" s="520"/>
      <c r="DY91" s="520"/>
      <c r="DZ91" s="520"/>
      <c r="EA91" s="520"/>
      <c r="EB91" s="520"/>
      <c r="EC91" s="520"/>
      <c r="ED91" s="520"/>
      <c r="EE91" s="520"/>
      <c r="EF91" s="520"/>
      <c r="EG91" s="520"/>
      <c r="EH91" s="520"/>
      <c r="EI91" s="520"/>
      <c r="EJ91" s="520"/>
      <c r="EK91" s="520"/>
      <c r="EL91" s="520"/>
      <c r="EM91" s="520"/>
      <c r="EN91" s="520"/>
      <c r="EO91" s="520"/>
      <c r="EP91" s="520"/>
      <c r="EQ91" s="520"/>
      <c r="ER91" s="520"/>
      <c r="ES91" s="520"/>
      <c r="ET91" s="520"/>
      <c r="EU91" s="520"/>
      <c r="EV91" s="520"/>
      <c r="EW91" s="520"/>
      <c r="EX91" s="520"/>
    </row>
    <row r="92" spans="1:154" s="447" customFormat="1" ht="16.5" customHeight="1">
      <c r="A92" s="1909">
        <v>16</v>
      </c>
      <c r="B92" s="1910" t="s">
        <v>1213</v>
      </c>
      <c r="C92" s="472" t="s">
        <v>1196</v>
      </c>
      <c r="D92" s="489">
        <f t="shared" ref="D92:S92" si="56">D93+D94+D95+D96+D97+D98+D99</f>
        <v>37677398.294999994</v>
      </c>
      <c r="E92" s="489">
        <f t="shared" si="56"/>
        <v>9724141.1528000012</v>
      </c>
      <c r="F92" s="489">
        <f t="shared" si="56"/>
        <v>27953257.142200001</v>
      </c>
      <c r="G92" s="489">
        <f t="shared" si="56"/>
        <v>940698</v>
      </c>
      <c r="H92" s="489">
        <f t="shared" si="56"/>
        <v>38543873.058922999</v>
      </c>
      <c r="I92" s="489">
        <f t="shared" si="56"/>
        <v>58623</v>
      </c>
      <c r="J92" s="489">
        <f t="shared" si="56"/>
        <v>866489.21899800154</v>
      </c>
      <c r="K92" s="489">
        <f t="shared" si="56"/>
        <v>882075</v>
      </c>
      <c r="L92" s="489">
        <f t="shared" si="56"/>
        <v>37677383.839924991</v>
      </c>
      <c r="M92" s="490">
        <f t="shared" si="56"/>
        <v>37677383.839924991</v>
      </c>
      <c r="N92" s="489">
        <f t="shared" si="56"/>
        <v>9724141.1555466671</v>
      </c>
      <c r="O92" s="489">
        <f t="shared" si="56"/>
        <v>0</v>
      </c>
      <c r="P92" s="489">
        <f t="shared" si="56"/>
        <v>27953242.684378337</v>
      </c>
      <c r="Q92" s="489">
        <f t="shared" si="56"/>
        <v>27953242.684378337</v>
      </c>
      <c r="R92" s="489">
        <f t="shared" si="56"/>
        <v>0</v>
      </c>
      <c r="S92" s="491">
        <f t="shared" si="56"/>
        <v>14.457821667614553</v>
      </c>
      <c r="T92" s="411">
        <f t="shared" si="48"/>
        <v>0.9999996162733541</v>
      </c>
      <c r="U92" s="411">
        <f t="shared" si="49"/>
        <v>0.9999994827857952</v>
      </c>
      <c r="V92" s="489">
        <f t="shared" ref="V92:AC92" si="57">V93+V94+V95+V96+V97+V98+V99</f>
        <v>2637975.9258800005</v>
      </c>
      <c r="W92" s="489">
        <f t="shared" si="57"/>
        <v>19495</v>
      </c>
      <c r="X92" s="489">
        <f t="shared" si="57"/>
        <v>2746788.9874199997</v>
      </c>
      <c r="Y92" s="489">
        <f t="shared" si="57"/>
        <v>-25</v>
      </c>
      <c r="Z92" s="489">
        <f t="shared" si="57"/>
        <v>108146.33664000002</v>
      </c>
      <c r="AA92" s="489">
        <f t="shared" si="57"/>
        <v>19520</v>
      </c>
      <c r="AB92" s="489">
        <f t="shared" si="57"/>
        <v>2638642.6507799993</v>
      </c>
      <c r="AC92" s="489">
        <f t="shared" si="57"/>
        <v>2638642.6507799993</v>
      </c>
      <c r="AD92" s="489"/>
      <c r="AE92" s="489">
        <f>AE93+AE94+AE95+AE96+AE97+AE98+AE99</f>
        <v>0</v>
      </c>
      <c r="AF92" s="489">
        <f>AF93+AF94+AF95+AF96+AF97+AF98+AF99</f>
        <v>2638642.6507799993</v>
      </c>
      <c r="AG92" s="489">
        <f>AG93+AG94+AG95+AG96+AG97+AG98+AG99</f>
        <v>2638642.6507799993</v>
      </c>
      <c r="AH92" s="489">
        <f>AH93+AH94+AH95+AH96+AH97+AH98+AH99</f>
        <v>0</v>
      </c>
      <c r="AI92" s="489">
        <f>AI93+AI94+AI95+AI96+AI97+AI98+AI99</f>
        <v>-666.72489999967365</v>
      </c>
      <c r="AJ92" s="412">
        <f>AC92/(AD92+V92)</f>
        <v>1.0002527410858673</v>
      </c>
      <c r="AK92" s="413">
        <f>AG92/V92</f>
        <v>1.0002527410858673</v>
      </c>
      <c r="AL92" s="446"/>
      <c r="AM92" s="446"/>
      <c r="AN92" s="446"/>
      <c r="AO92" s="446"/>
      <c r="AP92" s="446"/>
      <c r="AQ92" s="446"/>
      <c r="AR92" s="446"/>
      <c r="AS92" s="446"/>
      <c r="AT92" s="446"/>
      <c r="AU92" s="446"/>
      <c r="AV92" s="446"/>
      <c r="AW92" s="446"/>
      <c r="AX92" s="446"/>
      <c r="AY92" s="446"/>
      <c r="AZ92" s="446"/>
      <c r="BA92" s="446"/>
      <c r="BB92" s="446"/>
      <c r="BC92" s="446"/>
      <c r="BD92" s="446"/>
      <c r="BE92" s="446"/>
      <c r="BF92" s="446"/>
      <c r="BG92" s="446"/>
      <c r="BH92" s="446"/>
      <c r="BI92" s="446"/>
      <c r="BJ92" s="446"/>
      <c r="BK92" s="446"/>
      <c r="BL92" s="446"/>
      <c r="BM92" s="446"/>
      <c r="BN92" s="446"/>
      <c r="BO92" s="446"/>
      <c r="BP92" s="446"/>
      <c r="BQ92" s="446"/>
      <c r="BR92" s="446"/>
      <c r="BS92" s="446"/>
      <c r="BT92" s="446"/>
      <c r="BU92" s="446"/>
      <c r="BV92" s="446"/>
      <c r="BW92" s="446"/>
      <c r="BX92" s="446"/>
      <c r="BY92" s="446"/>
      <c r="BZ92" s="446"/>
      <c r="CA92" s="446"/>
      <c r="CB92" s="446"/>
      <c r="CC92" s="446"/>
      <c r="CD92" s="446"/>
      <c r="CE92" s="446"/>
      <c r="CF92" s="446"/>
      <c r="CG92" s="446"/>
      <c r="CH92" s="446"/>
      <c r="CI92" s="446"/>
      <c r="CJ92" s="446"/>
      <c r="CK92" s="446"/>
      <c r="CL92" s="446"/>
      <c r="CM92" s="446"/>
      <c r="CN92" s="446"/>
      <c r="CO92" s="446"/>
      <c r="CP92" s="446"/>
      <c r="CQ92" s="446"/>
      <c r="CR92" s="446"/>
      <c r="CS92" s="446"/>
      <c r="CT92" s="446"/>
      <c r="CU92" s="446"/>
      <c r="CV92" s="446"/>
      <c r="CW92" s="446"/>
      <c r="CX92" s="446"/>
      <c r="CY92" s="446"/>
      <c r="CZ92" s="446"/>
      <c r="DA92" s="446"/>
      <c r="DB92" s="446"/>
      <c r="DC92" s="446"/>
      <c r="DD92" s="446"/>
      <c r="DE92" s="446"/>
      <c r="DF92" s="446"/>
      <c r="DG92" s="446"/>
      <c r="DH92" s="446"/>
      <c r="DI92" s="446"/>
      <c r="DJ92" s="446"/>
      <c r="DK92" s="446"/>
      <c r="DL92" s="446"/>
      <c r="DM92" s="446"/>
      <c r="DN92" s="446"/>
      <c r="DO92" s="446"/>
      <c r="DP92" s="446"/>
      <c r="DQ92" s="446"/>
      <c r="DR92" s="446"/>
      <c r="DS92" s="446"/>
      <c r="DT92" s="446"/>
      <c r="DU92" s="446"/>
      <c r="DV92" s="446"/>
      <c r="DW92" s="446"/>
      <c r="DX92" s="446"/>
      <c r="DY92" s="446"/>
      <c r="DZ92" s="446"/>
      <c r="EA92" s="446"/>
      <c r="EB92" s="446"/>
      <c r="EC92" s="446"/>
      <c r="ED92" s="446"/>
      <c r="EE92" s="446"/>
      <c r="EF92" s="446"/>
      <c r="EG92" s="446"/>
      <c r="EH92" s="446"/>
      <c r="EI92" s="446"/>
      <c r="EJ92" s="446"/>
      <c r="EK92" s="446"/>
      <c r="EL92" s="446"/>
      <c r="EM92" s="446"/>
      <c r="EN92" s="446"/>
      <c r="EO92" s="446"/>
      <c r="EP92" s="446"/>
      <c r="EQ92" s="446"/>
      <c r="ER92" s="446"/>
      <c r="ES92" s="446"/>
      <c r="ET92" s="446"/>
      <c r="EU92" s="446"/>
      <c r="EV92" s="446"/>
      <c r="EW92" s="446"/>
      <c r="EX92" s="446"/>
    </row>
    <row r="93" spans="1:154" s="427" customFormat="1" ht="16.5" customHeight="1">
      <c r="A93" s="1909"/>
      <c r="B93" s="1910"/>
      <c r="C93" s="478" t="s">
        <v>1197</v>
      </c>
      <c r="D93" s="423">
        <v>18083974.799999997</v>
      </c>
      <c r="E93" s="423">
        <f>[7]Астана!E8+[7]Астана!F8</f>
        <v>5408658.4088000003</v>
      </c>
      <c r="F93" s="423">
        <v>12675316.391200002</v>
      </c>
      <c r="G93" s="423">
        <v>136816</v>
      </c>
      <c r="H93" s="423">
        <v>17650614.554049999</v>
      </c>
      <c r="I93" s="423">
        <v>561</v>
      </c>
      <c r="J93" s="423">
        <v>292090.59612666816</v>
      </c>
      <c r="K93" s="423">
        <v>136255</v>
      </c>
      <c r="L93" s="423">
        <v>17358523.95792333</v>
      </c>
      <c r="M93" s="424">
        <v>17358523.95792333</v>
      </c>
      <c r="N93" s="423">
        <v>5408658.4033555565</v>
      </c>
      <c r="O93" s="423">
        <v>0</v>
      </c>
      <c r="P93" s="423">
        <v>11949865.554567778</v>
      </c>
      <c r="Q93" s="423">
        <v>11949865.554567778</v>
      </c>
      <c r="R93" s="423">
        <v>0</v>
      </c>
      <c r="S93" s="531">
        <v>725450.8366322238</v>
      </c>
      <c r="T93" s="411">
        <f t="shared" si="48"/>
        <v>0.95988432604702389</v>
      </c>
      <c r="U93" s="411">
        <f t="shared" si="49"/>
        <v>0.94276664863877657</v>
      </c>
      <c r="V93" s="484">
        <v>-841808.54700000002</v>
      </c>
      <c r="W93" s="423">
        <v>6804</v>
      </c>
      <c r="X93" s="423">
        <v>984605.29298999999</v>
      </c>
      <c r="Y93" s="423">
        <v>-26</v>
      </c>
      <c r="Z93" s="423">
        <v>-3880.2802499998361</v>
      </c>
      <c r="AA93" s="423">
        <v>6830</v>
      </c>
      <c r="AB93" s="423">
        <v>988485.57323999982</v>
      </c>
      <c r="AC93" s="423">
        <v>988485.57323999982</v>
      </c>
      <c r="AD93" s="423">
        <v>0</v>
      </c>
      <c r="AE93" s="423">
        <v>0</v>
      </c>
      <c r="AF93" s="423">
        <v>988485.57323999982</v>
      </c>
      <c r="AG93" s="423">
        <v>988485.57323999982</v>
      </c>
      <c r="AH93" s="423">
        <v>0</v>
      </c>
      <c r="AI93" s="484">
        <v>-1830294.1202399998</v>
      </c>
      <c r="AJ93" s="412">
        <f t="shared" ref="AJ93:AJ98" si="58">AC93/(AD93+V93)</f>
        <v>-1.1742403623278961</v>
      </c>
      <c r="AK93" s="413">
        <f t="shared" ref="AK93:AK99" si="59">AG93/V93</f>
        <v>-1.1742403623278961</v>
      </c>
      <c r="AL93" s="426"/>
      <c r="AM93" s="426"/>
      <c r="AN93" s="426"/>
      <c r="AO93" s="426"/>
      <c r="AP93" s="426"/>
      <c r="AQ93" s="426"/>
      <c r="AR93" s="426"/>
      <c r="AS93" s="426"/>
      <c r="AT93" s="426"/>
      <c r="AU93" s="426"/>
      <c r="AV93" s="426"/>
      <c r="AW93" s="426"/>
      <c r="AX93" s="426"/>
      <c r="AY93" s="426"/>
      <c r="AZ93" s="426"/>
      <c r="BA93" s="426"/>
      <c r="BB93" s="426"/>
      <c r="BC93" s="426"/>
      <c r="BD93" s="426"/>
      <c r="BE93" s="426"/>
      <c r="BF93" s="426"/>
      <c r="BG93" s="426"/>
      <c r="BH93" s="426"/>
      <c r="BI93" s="426"/>
      <c r="BJ93" s="426"/>
      <c r="BK93" s="426"/>
      <c r="BL93" s="426"/>
      <c r="BM93" s="426"/>
      <c r="BN93" s="426"/>
      <c r="BO93" s="426"/>
      <c r="BP93" s="426"/>
      <c r="BQ93" s="426"/>
      <c r="BR93" s="426"/>
      <c r="BS93" s="426"/>
      <c r="BT93" s="426"/>
      <c r="BU93" s="426"/>
      <c r="BV93" s="426"/>
      <c r="BW93" s="426"/>
      <c r="BX93" s="426"/>
      <c r="BY93" s="426"/>
      <c r="BZ93" s="426"/>
      <c r="CA93" s="426"/>
      <c r="CB93" s="426"/>
      <c r="CC93" s="426"/>
      <c r="CD93" s="426"/>
      <c r="CE93" s="426"/>
      <c r="CF93" s="426"/>
      <c r="CG93" s="426"/>
      <c r="CH93" s="426"/>
      <c r="CI93" s="426"/>
      <c r="CJ93" s="426"/>
      <c r="CK93" s="426"/>
      <c r="CL93" s="426"/>
      <c r="CM93" s="426"/>
      <c r="CN93" s="426"/>
      <c r="CO93" s="426"/>
      <c r="CP93" s="426"/>
      <c r="CQ93" s="426"/>
      <c r="CR93" s="426"/>
      <c r="CS93" s="426"/>
      <c r="CT93" s="426"/>
      <c r="CU93" s="426"/>
      <c r="CV93" s="426"/>
      <c r="CW93" s="426"/>
      <c r="CX93" s="426"/>
      <c r="CY93" s="426"/>
      <c r="CZ93" s="426"/>
      <c r="DA93" s="426"/>
      <c r="DB93" s="426"/>
      <c r="DC93" s="426"/>
      <c r="DD93" s="426"/>
      <c r="DE93" s="426"/>
      <c r="DF93" s="426"/>
      <c r="DG93" s="426"/>
      <c r="DH93" s="426"/>
      <c r="DI93" s="426"/>
      <c r="DJ93" s="426"/>
      <c r="DK93" s="426"/>
      <c r="DL93" s="426"/>
      <c r="DM93" s="426"/>
      <c r="DN93" s="426"/>
      <c r="DO93" s="426"/>
      <c r="DP93" s="426"/>
      <c r="DQ93" s="426"/>
      <c r="DR93" s="426"/>
      <c r="DS93" s="426"/>
      <c r="DT93" s="426"/>
      <c r="DU93" s="426"/>
      <c r="DV93" s="426"/>
      <c r="DW93" s="426"/>
      <c r="DX93" s="426"/>
      <c r="DY93" s="426"/>
      <c r="DZ93" s="426"/>
      <c r="EA93" s="426"/>
      <c r="EB93" s="426"/>
      <c r="EC93" s="426"/>
      <c r="ED93" s="426"/>
      <c r="EE93" s="426"/>
      <c r="EF93" s="426"/>
      <c r="EG93" s="426"/>
      <c r="EH93" s="426"/>
      <c r="EI93" s="426"/>
      <c r="EJ93" s="426"/>
      <c r="EK93" s="426"/>
      <c r="EL93" s="426"/>
      <c r="EM93" s="426"/>
      <c r="EN93" s="426"/>
      <c r="EO93" s="426"/>
      <c r="EP93" s="426"/>
      <c r="EQ93" s="426"/>
      <c r="ER93" s="426"/>
      <c r="ES93" s="426"/>
      <c r="ET93" s="426"/>
      <c r="EU93" s="426"/>
      <c r="EV93" s="426"/>
      <c r="EW93" s="426"/>
      <c r="EX93" s="426"/>
    </row>
    <row r="94" spans="1:154" s="427" customFormat="1" ht="16.5" customHeight="1">
      <c r="A94" s="1909"/>
      <c r="B94" s="1910"/>
      <c r="C94" s="478" t="s">
        <v>1198</v>
      </c>
      <c r="D94" s="423">
        <v>15535420.795</v>
      </c>
      <c r="E94" s="423">
        <f>[7]Астана!E9+[7]Астана!F9</f>
        <v>3320199.7439999999</v>
      </c>
      <c r="F94" s="423">
        <v>12215221.050999997</v>
      </c>
      <c r="G94" s="423">
        <v>14226</v>
      </c>
      <c r="H94" s="423">
        <v>16436956.715700001</v>
      </c>
      <c r="I94" s="423">
        <v>309</v>
      </c>
      <c r="J94" s="423">
        <v>180907.32082000031</v>
      </c>
      <c r="K94" s="423">
        <v>13917</v>
      </c>
      <c r="L94" s="423">
        <v>16256049.394879999</v>
      </c>
      <c r="M94" s="424">
        <v>16256049.394879999</v>
      </c>
      <c r="N94" s="423">
        <v>3320199.7439999999</v>
      </c>
      <c r="O94" s="423">
        <v>0</v>
      </c>
      <c r="P94" s="423">
        <v>12935849.650879998</v>
      </c>
      <c r="Q94" s="423">
        <v>12935849.650879998</v>
      </c>
      <c r="R94" s="423">
        <v>0</v>
      </c>
      <c r="S94" s="531">
        <v>-720628.59988000058</v>
      </c>
      <c r="T94" s="411">
        <f t="shared" si="48"/>
        <v>1.0463861654852589</v>
      </c>
      <c r="U94" s="411">
        <f t="shared" si="49"/>
        <v>1.0589943151148302</v>
      </c>
      <c r="V94" s="484">
        <v>2995894.5691800001</v>
      </c>
      <c r="W94" s="423">
        <v>784</v>
      </c>
      <c r="X94" s="423">
        <v>1124045.7055799998</v>
      </c>
      <c r="Y94" s="423">
        <v>-23</v>
      </c>
      <c r="Z94" s="423">
        <v>-54997.206560000079</v>
      </c>
      <c r="AA94" s="423">
        <v>807</v>
      </c>
      <c r="AB94" s="423">
        <v>1179042.9121399999</v>
      </c>
      <c r="AC94" s="423">
        <v>1179042.9121399999</v>
      </c>
      <c r="AD94" s="423">
        <v>0</v>
      </c>
      <c r="AE94" s="423">
        <v>0</v>
      </c>
      <c r="AF94" s="423">
        <v>1179042.9121399999</v>
      </c>
      <c r="AG94" s="423">
        <v>1179042.9121399999</v>
      </c>
      <c r="AH94" s="423">
        <v>0</v>
      </c>
      <c r="AI94" s="484">
        <v>1816851.6570400002</v>
      </c>
      <c r="AJ94" s="412">
        <f t="shared" si="58"/>
        <v>0.39355287207677447</v>
      </c>
      <c r="AK94" s="413">
        <f t="shared" si="59"/>
        <v>0.39355287207677447</v>
      </c>
      <c r="AL94" s="426"/>
      <c r="AM94" s="426"/>
      <c r="AN94" s="426"/>
      <c r="AO94" s="426"/>
      <c r="AP94" s="426"/>
      <c r="AQ94" s="426"/>
      <c r="AR94" s="426"/>
      <c r="AS94" s="426"/>
      <c r="AT94" s="426"/>
      <c r="AU94" s="426"/>
      <c r="AV94" s="426"/>
      <c r="AW94" s="426"/>
      <c r="AX94" s="426"/>
      <c r="AY94" s="426"/>
      <c r="AZ94" s="426"/>
      <c r="BA94" s="426"/>
      <c r="BB94" s="426"/>
      <c r="BC94" s="426"/>
      <c r="BD94" s="426"/>
      <c r="BE94" s="426"/>
      <c r="BF94" s="426"/>
      <c r="BG94" s="426"/>
      <c r="BH94" s="426"/>
      <c r="BI94" s="426"/>
      <c r="BJ94" s="426"/>
      <c r="BK94" s="426"/>
      <c r="BL94" s="426"/>
      <c r="BM94" s="426"/>
      <c r="BN94" s="426"/>
      <c r="BO94" s="426"/>
      <c r="BP94" s="426"/>
      <c r="BQ94" s="426"/>
      <c r="BR94" s="426"/>
      <c r="BS94" s="426"/>
      <c r="BT94" s="426"/>
      <c r="BU94" s="426"/>
      <c r="BV94" s="426"/>
      <c r="BW94" s="426"/>
      <c r="BX94" s="426"/>
      <c r="BY94" s="426"/>
      <c r="BZ94" s="426"/>
      <c r="CA94" s="426"/>
      <c r="CB94" s="426"/>
      <c r="CC94" s="426"/>
      <c r="CD94" s="426"/>
      <c r="CE94" s="426"/>
      <c r="CF94" s="426"/>
      <c r="CG94" s="426"/>
      <c r="CH94" s="426"/>
      <c r="CI94" s="426"/>
      <c r="CJ94" s="426"/>
      <c r="CK94" s="426"/>
      <c r="CL94" s="426"/>
      <c r="CM94" s="426"/>
      <c r="CN94" s="426"/>
      <c r="CO94" s="426"/>
      <c r="CP94" s="426"/>
      <c r="CQ94" s="426"/>
      <c r="CR94" s="426"/>
      <c r="CS94" s="426"/>
      <c r="CT94" s="426"/>
      <c r="CU94" s="426"/>
      <c r="CV94" s="426"/>
      <c r="CW94" s="426"/>
      <c r="CX94" s="426"/>
      <c r="CY94" s="426"/>
      <c r="CZ94" s="426"/>
      <c r="DA94" s="426"/>
      <c r="DB94" s="426"/>
      <c r="DC94" s="426"/>
      <c r="DD94" s="426"/>
      <c r="DE94" s="426"/>
      <c r="DF94" s="426"/>
      <c r="DG94" s="426"/>
      <c r="DH94" s="426"/>
      <c r="DI94" s="426"/>
      <c r="DJ94" s="426"/>
      <c r="DK94" s="426"/>
      <c r="DL94" s="426"/>
      <c r="DM94" s="426"/>
      <c r="DN94" s="426"/>
      <c r="DO94" s="426"/>
      <c r="DP94" s="426"/>
      <c r="DQ94" s="426"/>
      <c r="DR94" s="426"/>
      <c r="DS94" s="426"/>
      <c r="DT94" s="426"/>
      <c r="DU94" s="426"/>
      <c r="DV94" s="426"/>
      <c r="DW94" s="426"/>
      <c r="DX94" s="426"/>
      <c r="DY94" s="426"/>
      <c r="DZ94" s="426"/>
      <c r="EA94" s="426"/>
      <c r="EB94" s="426"/>
      <c r="EC94" s="426"/>
      <c r="ED94" s="426"/>
      <c r="EE94" s="426"/>
      <c r="EF94" s="426"/>
      <c r="EG94" s="426"/>
      <c r="EH94" s="426"/>
      <c r="EI94" s="426"/>
      <c r="EJ94" s="426"/>
      <c r="EK94" s="426"/>
      <c r="EL94" s="426"/>
      <c r="EM94" s="426"/>
      <c r="EN94" s="426"/>
      <c r="EO94" s="426"/>
      <c r="EP94" s="426"/>
      <c r="EQ94" s="426"/>
      <c r="ER94" s="426"/>
      <c r="ES94" s="426"/>
      <c r="ET94" s="426"/>
      <c r="EU94" s="426"/>
      <c r="EV94" s="426"/>
      <c r="EW94" s="426"/>
      <c r="EX94" s="426"/>
    </row>
    <row r="95" spans="1:154" s="427" customFormat="1" ht="16.5" customHeight="1">
      <c r="A95" s="1909"/>
      <c r="B95" s="1910"/>
      <c r="C95" s="478" t="s">
        <v>1199</v>
      </c>
      <c r="D95" s="423">
        <v>999032.4</v>
      </c>
      <c r="E95" s="423">
        <f>[7]Астана!E10+[7]Астана!F10</f>
        <v>253790.4</v>
      </c>
      <c r="F95" s="423">
        <v>745242.00000000012</v>
      </c>
      <c r="G95" s="423">
        <v>31918</v>
      </c>
      <c r="H95" s="423">
        <v>1039371.7301479999</v>
      </c>
      <c r="I95" s="423">
        <v>136</v>
      </c>
      <c r="J95" s="423">
        <v>38361.408124666719</v>
      </c>
      <c r="K95" s="423">
        <v>31782</v>
      </c>
      <c r="L95" s="423">
        <v>1001010.3220233335</v>
      </c>
      <c r="M95" s="424">
        <v>1001010.3220233335</v>
      </c>
      <c r="N95" s="423">
        <v>253790.40519111115</v>
      </c>
      <c r="O95" s="423">
        <v>0</v>
      </c>
      <c r="P95" s="423">
        <v>747219.91683222214</v>
      </c>
      <c r="Q95" s="423">
        <v>747219.91683222214</v>
      </c>
      <c r="R95" s="423">
        <v>0</v>
      </c>
      <c r="S95" s="531">
        <v>-1977.9168322220212</v>
      </c>
      <c r="T95" s="411">
        <f t="shared" si="48"/>
        <v>1.0019798325078793</v>
      </c>
      <c r="U95" s="411">
        <f t="shared" si="49"/>
        <v>1.0026540597983233</v>
      </c>
      <c r="V95" s="484">
        <v>91639.396700000012</v>
      </c>
      <c r="W95" s="423">
        <v>1829</v>
      </c>
      <c r="X95" s="423">
        <v>59351.307850000005</v>
      </c>
      <c r="Y95" s="423">
        <v>41</v>
      </c>
      <c r="Z95" s="423">
        <v>861.08845000000292</v>
      </c>
      <c r="AA95" s="423">
        <v>1788</v>
      </c>
      <c r="AB95" s="423">
        <v>58490.219400000002</v>
      </c>
      <c r="AC95" s="423">
        <v>58490.219400000002</v>
      </c>
      <c r="AD95" s="423">
        <v>0</v>
      </c>
      <c r="AE95" s="423">
        <v>0</v>
      </c>
      <c r="AF95" s="423">
        <v>58490.219400000002</v>
      </c>
      <c r="AG95" s="423">
        <v>58490.219400000002</v>
      </c>
      <c r="AH95" s="423">
        <v>0</v>
      </c>
      <c r="AI95" s="484">
        <v>33149.17730000001</v>
      </c>
      <c r="AJ95" s="412">
        <f t="shared" si="58"/>
        <v>0.63826499852982987</v>
      </c>
      <c r="AK95" s="413">
        <f t="shared" si="59"/>
        <v>0.63826499852982987</v>
      </c>
      <c r="AL95" s="426"/>
      <c r="AM95" s="426"/>
      <c r="AN95" s="426"/>
      <c r="AO95" s="426"/>
      <c r="AP95" s="426"/>
      <c r="AQ95" s="426"/>
      <c r="AR95" s="426"/>
      <c r="AS95" s="426"/>
      <c r="AT95" s="426"/>
      <c r="AU95" s="426"/>
      <c r="AV95" s="426"/>
      <c r="AW95" s="426"/>
      <c r="AX95" s="426"/>
      <c r="AY95" s="426"/>
      <c r="AZ95" s="426"/>
      <c r="BA95" s="426"/>
      <c r="BB95" s="426"/>
      <c r="BC95" s="426"/>
      <c r="BD95" s="426"/>
      <c r="BE95" s="426"/>
      <c r="BF95" s="426"/>
      <c r="BG95" s="426"/>
      <c r="BH95" s="426"/>
      <c r="BI95" s="426"/>
      <c r="BJ95" s="426"/>
      <c r="BK95" s="426"/>
      <c r="BL95" s="426"/>
      <c r="BM95" s="426"/>
      <c r="BN95" s="426"/>
      <c r="BO95" s="426"/>
      <c r="BP95" s="426"/>
      <c r="BQ95" s="426"/>
      <c r="BR95" s="426"/>
      <c r="BS95" s="426"/>
      <c r="BT95" s="426"/>
      <c r="BU95" s="426"/>
      <c r="BV95" s="426"/>
      <c r="BW95" s="426"/>
      <c r="BX95" s="426"/>
      <c r="BY95" s="426"/>
      <c r="BZ95" s="426"/>
      <c r="CA95" s="426"/>
      <c r="CB95" s="426"/>
      <c r="CC95" s="426"/>
      <c r="CD95" s="426"/>
      <c r="CE95" s="426"/>
      <c r="CF95" s="426"/>
      <c r="CG95" s="426"/>
      <c r="CH95" s="426"/>
      <c r="CI95" s="426"/>
      <c r="CJ95" s="426"/>
      <c r="CK95" s="426"/>
      <c r="CL95" s="426"/>
      <c r="CM95" s="426"/>
      <c r="CN95" s="426"/>
      <c r="CO95" s="426"/>
      <c r="CP95" s="426"/>
      <c r="CQ95" s="426"/>
      <c r="CR95" s="426"/>
      <c r="CS95" s="426"/>
      <c r="CT95" s="426"/>
      <c r="CU95" s="426"/>
      <c r="CV95" s="426"/>
      <c r="CW95" s="426"/>
      <c r="CX95" s="426"/>
      <c r="CY95" s="426"/>
      <c r="CZ95" s="426"/>
      <c r="DA95" s="426"/>
      <c r="DB95" s="426"/>
      <c r="DC95" s="426"/>
      <c r="DD95" s="426"/>
      <c r="DE95" s="426"/>
      <c r="DF95" s="426"/>
      <c r="DG95" s="426"/>
      <c r="DH95" s="426"/>
      <c r="DI95" s="426"/>
      <c r="DJ95" s="426"/>
      <c r="DK95" s="426"/>
      <c r="DL95" s="426"/>
      <c r="DM95" s="426"/>
      <c r="DN95" s="426"/>
      <c r="DO95" s="426"/>
      <c r="DP95" s="426"/>
      <c r="DQ95" s="426"/>
      <c r="DR95" s="426"/>
      <c r="DS95" s="426"/>
      <c r="DT95" s="426"/>
      <c r="DU95" s="426"/>
      <c r="DV95" s="426"/>
      <c r="DW95" s="426"/>
      <c r="DX95" s="426"/>
      <c r="DY95" s="426"/>
      <c r="DZ95" s="426"/>
      <c r="EA95" s="426"/>
      <c r="EB95" s="426"/>
      <c r="EC95" s="426"/>
      <c r="ED95" s="426"/>
      <c r="EE95" s="426"/>
      <c r="EF95" s="426"/>
      <c r="EG95" s="426"/>
      <c r="EH95" s="426"/>
      <c r="EI95" s="426"/>
      <c r="EJ95" s="426"/>
      <c r="EK95" s="426"/>
      <c r="EL95" s="426"/>
      <c r="EM95" s="426"/>
      <c r="EN95" s="426"/>
      <c r="EO95" s="426"/>
      <c r="EP95" s="426"/>
      <c r="EQ95" s="426"/>
      <c r="ER95" s="426"/>
      <c r="ES95" s="426"/>
      <c r="ET95" s="426"/>
      <c r="EU95" s="426"/>
      <c r="EV95" s="426"/>
      <c r="EW95" s="426"/>
      <c r="EX95" s="426"/>
    </row>
    <row r="96" spans="1:154" s="427" customFormat="1" ht="16.5" customHeight="1">
      <c r="A96" s="1909"/>
      <c r="B96" s="1910"/>
      <c r="C96" s="478" t="s">
        <v>1200</v>
      </c>
      <c r="D96" s="423">
        <v>1340960</v>
      </c>
      <c r="E96" s="423">
        <f>[7]Астана!E11+[7]Астана!F11</f>
        <v>379081.19999999995</v>
      </c>
      <c r="F96" s="423">
        <v>961878.8</v>
      </c>
      <c r="G96" s="423">
        <v>705872</v>
      </c>
      <c r="H96" s="423">
        <v>1377042.3290249999</v>
      </c>
      <c r="I96" s="423">
        <v>20679</v>
      </c>
      <c r="J96" s="423">
        <v>32638.087626666504</v>
      </c>
      <c r="K96" s="423">
        <v>685193</v>
      </c>
      <c r="L96" s="423">
        <v>1344404.2413983336</v>
      </c>
      <c r="M96" s="424">
        <v>1344404.2413983336</v>
      </c>
      <c r="N96" s="423">
        <v>379081.19999999995</v>
      </c>
      <c r="O96" s="423">
        <v>0</v>
      </c>
      <c r="P96" s="423">
        <v>965323.04139833362</v>
      </c>
      <c r="Q96" s="423">
        <v>965323.04139833362</v>
      </c>
      <c r="R96" s="423">
        <v>0</v>
      </c>
      <c r="S96" s="531">
        <v>-3444.2413983335719</v>
      </c>
      <c r="T96" s="411">
        <f t="shared" si="48"/>
        <v>1.0025684892900113</v>
      </c>
      <c r="U96" s="411">
        <f t="shared" si="49"/>
        <v>1.003580743642893</v>
      </c>
      <c r="V96" s="484">
        <v>69566.161000000007</v>
      </c>
      <c r="W96" s="423">
        <v>9652</v>
      </c>
      <c r="X96" s="423">
        <v>50558.869000000006</v>
      </c>
      <c r="Y96" s="423">
        <v>10</v>
      </c>
      <c r="Z96" s="423">
        <v>6.6750000000029104</v>
      </c>
      <c r="AA96" s="423">
        <v>9642</v>
      </c>
      <c r="AB96" s="423">
        <v>50552.194000000003</v>
      </c>
      <c r="AC96" s="423">
        <v>50552.194000000003</v>
      </c>
      <c r="AD96" s="423">
        <v>0</v>
      </c>
      <c r="AE96" s="423">
        <v>0</v>
      </c>
      <c r="AF96" s="423">
        <v>50552.194000000003</v>
      </c>
      <c r="AG96" s="423">
        <v>50552.194000000003</v>
      </c>
      <c r="AH96" s="423">
        <v>0</v>
      </c>
      <c r="AI96" s="484">
        <v>19013.967000000004</v>
      </c>
      <c r="AJ96" s="412">
        <f t="shared" si="58"/>
        <v>0.72667793181802853</v>
      </c>
      <c r="AK96" s="413">
        <f t="shared" si="59"/>
        <v>0.72667793181802853</v>
      </c>
      <c r="AL96" s="426"/>
      <c r="AM96" s="426"/>
      <c r="AN96" s="426"/>
      <c r="AO96" s="426"/>
      <c r="AP96" s="426"/>
      <c r="AQ96" s="426"/>
      <c r="AR96" s="426"/>
      <c r="AS96" s="426"/>
      <c r="AT96" s="426"/>
      <c r="AU96" s="426"/>
      <c r="AV96" s="426"/>
      <c r="AW96" s="426"/>
      <c r="AX96" s="426"/>
      <c r="AY96" s="426"/>
      <c r="AZ96" s="426"/>
      <c r="BA96" s="426"/>
      <c r="BB96" s="426"/>
      <c r="BC96" s="426"/>
      <c r="BD96" s="426"/>
      <c r="BE96" s="426"/>
      <c r="BF96" s="426"/>
      <c r="BG96" s="426"/>
      <c r="BH96" s="426"/>
      <c r="BI96" s="426"/>
      <c r="BJ96" s="426"/>
      <c r="BK96" s="426"/>
      <c r="BL96" s="426"/>
      <c r="BM96" s="426"/>
      <c r="BN96" s="426"/>
      <c r="BO96" s="426"/>
      <c r="BP96" s="426"/>
      <c r="BQ96" s="426"/>
      <c r="BR96" s="426"/>
      <c r="BS96" s="426"/>
      <c r="BT96" s="426"/>
      <c r="BU96" s="426"/>
      <c r="BV96" s="426"/>
      <c r="BW96" s="426"/>
      <c r="BX96" s="426"/>
      <c r="BY96" s="426"/>
      <c r="BZ96" s="426"/>
      <c r="CA96" s="426"/>
      <c r="CB96" s="426"/>
      <c r="CC96" s="426"/>
      <c r="CD96" s="426"/>
      <c r="CE96" s="426"/>
      <c r="CF96" s="426"/>
      <c r="CG96" s="426"/>
      <c r="CH96" s="426"/>
      <c r="CI96" s="426"/>
      <c r="CJ96" s="426"/>
      <c r="CK96" s="426"/>
      <c r="CL96" s="426"/>
      <c r="CM96" s="426"/>
      <c r="CN96" s="426"/>
      <c r="CO96" s="426"/>
      <c r="CP96" s="426"/>
      <c r="CQ96" s="426"/>
      <c r="CR96" s="426"/>
      <c r="CS96" s="426"/>
      <c r="CT96" s="426"/>
      <c r="CU96" s="426"/>
      <c r="CV96" s="426"/>
      <c r="CW96" s="426"/>
      <c r="CX96" s="426"/>
      <c r="CY96" s="426"/>
      <c r="CZ96" s="426"/>
      <c r="DA96" s="426"/>
      <c r="DB96" s="426"/>
      <c r="DC96" s="426"/>
      <c r="DD96" s="426"/>
      <c r="DE96" s="426"/>
      <c r="DF96" s="426"/>
      <c r="DG96" s="426"/>
      <c r="DH96" s="426"/>
      <c r="DI96" s="426"/>
      <c r="DJ96" s="426"/>
      <c r="DK96" s="426"/>
      <c r="DL96" s="426"/>
      <c r="DM96" s="426"/>
      <c r="DN96" s="426"/>
      <c r="DO96" s="426"/>
      <c r="DP96" s="426"/>
      <c r="DQ96" s="426"/>
      <c r="DR96" s="426"/>
      <c r="DS96" s="426"/>
      <c r="DT96" s="426"/>
      <c r="DU96" s="426"/>
      <c r="DV96" s="426"/>
      <c r="DW96" s="426"/>
      <c r="DX96" s="426"/>
      <c r="DY96" s="426"/>
      <c r="DZ96" s="426"/>
      <c r="EA96" s="426"/>
      <c r="EB96" s="426"/>
      <c r="EC96" s="426"/>
      <c r="ED96" s="426"/>
      <c r="EE96" s="426"/>
      <c r="EF96" s="426"/>
      <c r="EG96" s="426"/>
      <c r="EH96" s="426"/>
      <c r="EI96" s="426"/>
      <c r="EJ96" s="426"/>
      <c r="EK96" s="426"/>
      <c r="EL96" s="426"/>
      <c r="EM96" s="426"/>
      <c r="EN96" s="426"/>
      <c r="EO96" s="426"/>
      <c r="EP96" s="426"/>
      <c r="EQ96" s="426"/>
      <c r="ER96" s="426"/>
      <c r="ES96" s="426"/>
      <c r="ET96" s="426"/>
      <c r="EU96" s="426"/>
      <c r="EV96" s="426"/>
      <c r="EW96" s="426"/>
      <c r="EX96" s="426"/>
    </row>
    <row r="97" spans="1:154" s="427" customFormat="1" ht="16.5" customHeight="1">
      <c r="A97" s="1909"/>
      <c r="B97" s="1910"/>
      <c r="C97" s="478" t="s">
        <v>814</v>
      </c>
      <c r="D97" s="423">
        <v>1708038</v>
      </c>
      <c r="E97" s="423">
        <f>[7]Астана!E12+[7]Астана!F12</f>
        <v>362411.39999999997</v>
      </c>
      <c r="F97" s="423">
        <v>1345626.6</v>
      </c>
      <c r="G97" s="423">
        <v>949</v>
      </c>
      <c r="H97" s="423">
        <v>2008505.4479999999</v>
      </c>
      <c r="I97" s="423">
        <v>12</v>
      </c>
      <c r="J97" s="423">
        <v>300467.45199999982</v>
      </c>
      <c r="K97" s="423">
        <v>937</v>
      </c>
      <c r="L97" s="423">
        <v>1708037.996</v>
      </c>
      <c r="M97" s="424">
        <v>1708037.996</v>
      </c>
      <c r="N97" s="423">
        <v>362411.40299999999</v>
      </c>
      <c r="O97" s="423">
        <v>0</v>
      </c>
      <c r="P97" s="423">
        <v>1345626.5930000001</v>
      </c>
      <c r="Q97" s="423">
        <v>1345626.5930000001</v>
      </c>
      <c r="R97" s="423">
        <v>0</v>
      </c>
      <c r="S97" s="425">
        <v>6.9999999832361937E-3</v>
      </c>
      <c r="T97" s="411">
        <f t="shared" si="48"/>
        <v>0.9999999959017305</v>
      </c>
      <c r="U97" s="411">
        <f t="shared" si="49"/>
        <v>0.99999999479796253</v>
      </c>
      <c r="V97" s="484">
        <v>259825</v>
      </c>
      <c r="W97" s="423">
        <v>266</v>
      </c>
      <c r="X97" s="423">
        <v>528133.25199999998</v>
      </c>
      <c r="Y97" s="423">
        <v>-27</v>
      </c>
      <c r="Z97" s="423">
        <v>166156.05999999994</v>
      </c>
      <c r="AA97" s="423">
        <v>293</v>
      </c>
      <c r="AB97" s="423">
        <v>361977.19200000004</v>
      </c>
      <c r="AC97" s="423">
        <v>361977.19200000004</v>
      </c>
      <c r="AD97" s="423">
        <v>0</v>
      </c>
      <c r="AE97" s="423">
        <v>0</v>
      </c>
      <c r="AF97" s="423">
        <v>361977.19200000004</v>
      </c>
      <c r="AG97" s="423">
        <v>361977.19200000004</v>
      </c>
      <c r="AH97" s="423">
        <v>0</v>
      </c>
      <c r="AI97" s="484">
        <v>-102152.19200000004</v>
      </c>
      <c r="AJ97" s="412">
        <f t="shared" si="58"/>
        <v>1.3931576715096701</v>
      </c>
      <c r="AK97" s="413">
        <f t="shared" si="59"/>
        <v>1.3931576715096701</v>
      </c>
      <c r="AL97" s="426"/>
      <c r="AM97" s="426"/>
      <c r="AN97" s="426"/>
      <c r="AO97" s="426"/>
      <c r="AP97" s="426"/>
      <c r="AQ97" s="426"/>
      <c r="AR97" s="426"/>
      <c r="AS97" s="426"/>
      <c r="AT97" s="426"/>
      <c r="AU97" s="426"/>
      <c r="AV97" s="426"/>
      <c r="AW97" s="426"/>
      <c r="AX97" s="426"/>
      <c r="AY97" s="426"/>
      <c r="AZ97" s="426"/>
      <c r="BA97" s="426"/>
      <c r="BB97" s="426"/>
      <c r="BC97" s="426"/>
      <c r="BD97" s="426"/>
      <c r="BE97" s="426"/>
      <c r="BF97" s="426"/>
      <c r="BG97" s="426"/>
      <c r="BH97" s="426"/>
      <c r="BI97" s="426"/>
      <c r="BJ97" s="426"/>
      <c r="BK97" s="426"/>
      <c r="BL97" s="426"/>
      <c r="BM97" s="426"/>
      <c r="BN97" s="426"/>
      <c r="BO97" s="426"/>
      <c r="BP97" s="426"/>
      <c r="BQ97" s="426"/>
      <c r="BR97" s="426"/>
      <c r="BS97" s="426"/>
      <c r="BT97" s="426"/>
      <c r="BU97" s="426"/>
      <c r="BV97" s="426"/>
      <c r="BW97" s="426"/>
      <c r="BX97" s="426"/>
      <c r="BY97" s="426"/>
      <c r="BZ97" s="426"/>
      <c r="CA97" s="426"/>
      <c r="CB97" s="426"/>
      <c r="CC97" s="426"/>
      <c r="CD97" s="426"/>
      <c r="CE97" s="426"/>
      <c r="CF97" s="426"/>
      <c r="CG97" s="426"/>
      <c r="CH97" s="426"/>
      <c r="CI97" s="426"/>
      <c r="CJ97" s="426"/>
      <c r="CK97" s="426"/>
      <c r="CL97" s="426"/>
      <c r="CM97" s="426"/>
      <c r="CN97" s="426"/>
      <c r="CO97" s="426"/>
      <c r="CP97" s="426"/>
      <c r="CQ97" s="426"/>
      <c r="CR97" s="426"/>
      <c r="CS97" s="426"/>
      <c r="CT97" s="426"/>
      <c r="CU97" s="426"/>
      <c r="CV97" s="426"/>
      <c r="CW97" s="426"/>
      <c r="CX97" s="426"/>
      <c r="CY97" s="426"/>
      <c r="CZ97" s="426"/>
      <c r="DA97" s="426"/>
      <c r="DB97" s="426"/>
      <c r="DC97" s="426"/>
      <c r="DD97" s="426"/>
      <c r="DE97" s="426"/>
      <c r="DF97" s="426"/>
      <c r="DG97" s="426"/>
      <c r="DH97" s="426"/>
      <c r="DI97" s="426"/>
      <c r="DJ97" s="426"/>
      <c r="DK97" s="426"/>
      <c r="DL97" s="426"/>
      <c r="DM97" s="426"/>
      <c r="DN97" s="426"/>
      <c r="DO97" s="426"/>
      <c r="DP97" s="426"/>
      <c r="DQ97" s="426"/>
      <c r="DR97" s="426"/>
      <c r="DS97" s="426"/>
      <c r="DT97" s="426"/>
      <c r="DU97" s="426"/>
      <c r="DV97" s="426"/>
      <c r="DW97" s="426"/>
      <c r="DX97" s="426"/>
      <c r="DY97" s="426"/>
      <c r="DZ97" s="426"/>
      <c r="EA97" s="426"/>
      <c r="EB97" s="426"/>
      <c r="EC97" s="426"/>
      <c r="ED97" s="426"/>
      <c r="EE97" s="426"/>
      <c r="EF97" s="426"/>
      <c r="EG97" s="426"/>
      <c r="EH97" s="426"/>
      <c r="EI97" s="426"/>
      <c r="EJ97" s="426"/>
      <c r="EK97" s="426"/>
      <c r="EL97" s="426"/>
      <c r="EM97" s="426"/>
      <c r="EN97" s="426"/>
      <c r="EO97" s="426"/>
      <c r="EP97" s="426"/>
      <c r="EQ97" s="426"/>
      <c r="ER97" s="426"/>
      <c r="ES97" s="426"/>
      <c r="ET97" s="426"/>
      <c r="EU97" s="426"/>
      <c r="EV97" s="426"/>
      <c r="EW97" s="426"/>
      <c r="EX97" s="426"/>
    </row>
    <row r="98" spans="1:154" s="427" customFormat="1" ht="16.5" customHeight="1">
      <c r="A98" s="1909"/>
      <c r="B98" s="1910"/>
      <c r="C98" s="478" t="s">
        <v>1202</v>
      </c>
      <c r="D98" s="423">
        <v>9972.2999999999993</v>
      </c>
      <c r="E98" s="423">
        <v>0</v>
      </c>
      <c r="F98" s="423">
        <v>9972.2999999999993</v>
      </c>
      <c r="G98" s="423">
        <v>50917</v>
      </c>
      <c r="H98" s="423">
        <v>31382.281999999999</v>
      </c>
      <c r="I98" s="423">
        <v>36926</v>
      </c>
      <c r="J98" s="423">
        <v>22024.354299999999</v>
      </c>
      <c r="K98" s="423">
        <v>13991</v>
      </c>
      <c r="L98" s="423">
        <v>9357.9276999999984</v>
      </c>
      <c r="M98" s="424">
        <v>9357.9276999999984</v>
      </c>
      <c r="N98" s="423">
        <v>0</v>
      </c>
      <c r="O98" s="423">
        <v>0</v>
      </c>
      <c r="P98" s="423">
        <v>9357.9276999999984</v>
      </c>
      <c r="Q98" s="423">
        <v>9357.9276999999984</v>
      </c>
      <c r="R98" s="423">
        <v>0</v>
      </c>
      <c r="S98" s="425">
        <v>614.37230000000091</v>
      </c>
      <c r="T98" s="411">
        <f t="shared" si="48"/>
        <v>0.93839211616176799</v>
      </c>
      <c r="U98" s="411">
        <f t="shared" si="49"/>
        <v>0.93839211616176799</v>
      </c>
      <c r="V98" s="484">
        <v>-398.92500000000001</v>
      </c>
      <c r="W98" s="423">
        <v>160</v>
      </c>
      <c r="X98" s="423">
        <v>94.56</v>
      </c>
      <c r="Y98" s="423">
        <v>0</v>
      </c>
      <c r="Z98" s="423">
        <v>0</v>
      </c>
      <c r="AA98" s="423">
        <v>160</v>
      </c>
      <c r="AB98" s="423">
        <v>94.56</v>
      </c>
      <c r="AC98" s="423">
        <v>94.56</v>
      </c>
      <c r="AD98" s="423">
        <v>0</v>
      </c>
      <c r="AE98" s="423">
        <v>0</v>
      </c>
      <c r="AF98" s="423">
        <v>94.56</v>
      </c>
      <c r="AG98" s="423">
        <v>94.56</v>
      </c>
      <c r="AH98" s="423">
        <v>0</v>
      </c>
      <c r="AI98" s="484">
        <v>-493.48500000000001</v>
      </c>
      <c r="AJ98" s="412">
        <f t="shared" si="58"/>
        <v>-0.23703703703703705</v>
      </c>
      <c r="AK98" s="413">
        <f t="shared" si="59"/>
        <v>-0.23703703703703705</v>
      </c>
      <c r="AL98" s="426"/>
      <c r="AM98" s="426"/>
      <c r="AN98" s="426"/>
      <c r="AO98" s="426"/>
      <c r="AP98" s="426"/>
      <c r="AQ98" s="426"/>
      <c r="AR98" s="426"/>
      <c r="AS98" s="426"/>
      <c r="AT98" s="426"/>
      <c r="AU98" s="426"/>
      <c r="AV98" s="426"/>
      <c r="AW98" s="426"/>
      <c r="AX98" s="426"/>
      <c r="AY98" s="426"/>
      <c r="AZ98" s="426"/>
      <c r="BA98" s="426"/>
      <c r="BB98" s="426"/>
      <c r="BC98" s="426"/>
      <c r="BD98" s="426"/>
      <c r="BE98" s="426"/>
      <c r="BF98" s="426"/>
      <c r="BG98" s="426"/>
      <c r="BH98" s="426"/>
      <c r="BI98" s="426"/>
      <c r="BJ98" s="426"/>
      <c r="BK98" s="426"/>
      <c r="BL98" s="426"/>
      <c r="BM98" s="426"/>
      <c r="BN98" s="426"/>
      <c r="BO98" s="426"/>
      <c r="BP98" s="426"/>
      <c r="BQ98" s="426"/>
      <c r="BR98" s="426"/>
      <c r="BS98" s="426"/>
      <c r="BT98" s="426"/>
      <c r="BU98" s="426"/>
      <c r="BV98" s="426"/>
      <c r="BW98" s="426"/>
      <c r="BX98" s="426"/>
      <c r="BY98" s="426"/>
      <c r="BZ98" s="426"/>
      <c r="CA98" s="426"/>
      <c r="CB98" s="426"/>
      <c r="CC98" s="426"/>
      <c r="CD98" s="426"/>
      <c r="CE98" s="426"/>
      <c r="CF98" s="426"/>
      <c r="CG98" s="426"/>
      <c r="CH98" s="426"/>
      <c r="CI98" s="426"/>
      <c r="CJ98" s="426"/>
      <c r="CK98" s="426"/>
      <c r="CL98" s="426"/>
      <c r="CM98" s="426"/>
      <c r="CN98" s="426"/>
      <c r="CO98" s="426"/>
      <c r="CP98" s="426"/>
      <c r="CQ98" s="426"/>
      <c r="CR98" s="426"/>
      <c r="CS98" s="426"/>
      <c r="CT98" s="426"/>
      <c r="CU98" s="426"/>
      <c r="CV98" s="426"/>
      <c r="CW98" s="426"/>
      <c r="CX98" s="426"/>
      <c r="CY98" s="426"/>
      <c r="CZ98" s="426"/>
      <c r="DA98" s="426"/>
      <c r="DB98" s="426"/>
      <c r="DC98" s="426"/>
      <c r="DD98" s="426"/>
      <c r="DE98" s="426"/>
      <c r="DF98" s="426"/>
      <c r="DG98" s="426"/>
      <c r="DH98" s="426"/>
      <c r="DI98" s="426"/>
      <c r="DJ98" s="426"/>
      <c r="DK98" s="426"/>
      <c r="DL98" s="426"/>
      <c r="DM98" s="426"/>
      <c r="DN98" s="426"/>
      <c r="DO98" s="426"/>
      <c r="DP98" s="426"/>
      <c r="DQ98" s="426"/>
      <c r="DR98" s="426"/>
      <c r="DS98" s="426"/>
      <c r="DT98" s="426"/>
      <c r="DU98" s="426"/>
      <c r="DV98" s="426"/>
      <c r="DW98" s="426"/>
      <c r="DX98" s="426"/>
      <c r="DY98" s="426"/>
      <c r="DZ98" s="426"/>
      <c r="EA98" s="426"/>
      <c r="EB98" s="426"/>
      <c r="EC98" s="426"/>
      <c r="ED98" s="426"/>
      <c r="EE98" s="426"/>
      <c r="EF98" s="426"/>
      <c r="EG98" s="426"/>
      <c r="EH98" s="426"/>
      <c r="EI98" s="426"/>
      <c r="EJ98" s="426"/>
      <c r="EK98" s="426"/>
      <c r="EL98" s="426"/>
      <c r="EM98" s="426"/>
      <c r="EN98" s="426"/>
      <c r="EO98" s="426"/>
      <c r="EP98" s="426"/>
      <c r="EQ98" s="426"/>
      <c r="ER98" s="426"/>
      <c r="ES98" s="426"/>
      <c r="ET98" s="426"/>
      <c r="EU98" s="426"/>
      <c r="EV98" s="426"/>
      <c r="EW98" s="426"/>
      <c r="EX98" s="426"/>
    </row>
    <row r="99" spans="1:154" s="427" customFormat="1" ht="16.5" customHeight="1">
      <c r="A99" s="1909"/>
      <c r="B99" s="1910"/>
      <c r="C99" s="532" t="s">
        <v>1214</v>
      </c>
      <c r="D99" s="423">
        <v>0</v>
      </c>
      <c r="E99" s="423"/>
      <c r="F99" s="423">
        <v>0</v>
      </c>
      <c r="G99" s="484">
        <v>0</v>
      </c>
      <c r="H99" s="484">
        <v>0</v>
      </c>
      <c r="I99" s="484">
        <v>0</v>
      </c>
      <c r="J99" s="484">
        <v>0</v>
      </c>
      <c r="K99" s="484">
        <v>0</v>
      </c>
      <c r="L99" s="484">
        <v>0</v>
      </c>
      <c r="M99" s="424">
        <v>0</v>
      </c>
      <c r="N99" s="423">
        <v>0</v>
      </c>
      <c r="O99" s="423">
        <v>0</v>
      </c>
      <c r="P99" s="484"/>
      <c r="Q99" s="423"/>
      <c r="R99" s="423"/>
      <c r="S99" s="425">
        <v>0</v>
      </c>
      <c r="T99" s="411" t="e">
        <f t="shared" si="48"/>
        <v>#DIV/0!</v>
      </c>
      <c r="U99" s="411" t="e">
        <f t="shared" si="49"/>
        <v>#DIV/0!</v>
      </c>
      <c r="V99" s="484">
        <v>63258.271000000001</v>
      </c>
      <c r="W99" s="423"/>
      <c r="X99" s="423"/>
      <c r="Y99" s="423">
        <v>0</v>
      </c>
      <c r="Z99" s="423">
        <v>0</v>
      </c>
      <c r="AA99" s="423"/>
      <c r="AB99" s="423"/>
      <c r="AC99" s="423"/>
      <c r="AD99" s="423" t="s">
        <v>846</v>
      </c>
      <c r="AE99" s="423"/>
      <c r="AF99" s="423"/>
      <c r="AG99" s="423"/>
      <c r="AH99" s="484"/>
      <c r="AI99" s="484">
        <v>63258.271000000001</v>
      </c>
      <c r="AJ99" s="412"/>
      <c r="AK99" s="413">
        <f t="shared" si="59"/>
        <v>0</v>
      </c>
      <c r="AL99" s="426"/>
      <c r="AM99" s="426"/>
      <c r="AN99" s="426"/>
      <c r="AO99" s="426"/>
      <c r="AP99" s="426"/>
      <c r="AQ99" s="426"/>
      <c r="AR99" s="426"/>
      <c r="AS99" s="426"/>
      <c r="AT99" s="426"/>
      <c r="AU99" s="426"/>
      <c r="AV99" s="426"/>
      <c r="AW99" s="426"/>
      <c r="AX99" s="426"/>
      <c r="AY99" s="426"/>
      <c r="AZ99" s="426"/>
      <c r="BA99" s="426"/>
      <c r="BB99" s="426"/>
      <c r="BC99" s="426"/>
      <c r="BD99" s="426"/>
      <c r="BE99" s="426"/>
      <c r="BF99" s="426"/>
      <c r="BG99" s="426"/>
      <c r="BH99" s="426"/>
      <c r="BI99" s="426"/>
      <c r="BJ99" s="426"/>
      <c r="BK99" s="426"/>
      <c r="BL99" s="426"/>
      <c r="BM99" s="426"/>
      <c r="BN99" s="426"/>
      <c r="BO99" s="426"/>
      <c r="BP99" s="426"/>
      <c r="BQ99" s="426"/>
      <c r="BR99" s="426"/>
      <c r="BS99" s="426"/>
      <c r="BT99" s="426"/>
      <c r="BU99" s="426"/>
      <c r="BV99" s="426"/>
      <c r="BW99" s="426"/>
      <c r="BX99" s="426"/>
      <c r="BY99" s="426"/>
      <c r="BZ99" s="426"/>
      <c r="CA99" s="426"/>
      <c r="CB99" s="426"/>
      <c r="CC99" s="426"/>
      <c r="CD99" s="426"/>
      <c r="CE99" s="426"/>
      <c r="CF99" s="426"/>
      <c r="CG99" s="426"/>
      <c r="CH99" s="426"/>
      <c r="CI99" s="426"/>
      <c r="CJ99" s="426"/>
      <c r="CK99" s="426"/>
      <c r="CL99" s="426"/>
      <c r="CM99" s="426"/>
      <c r="CN99" s="426"/>
      <c r="CO99" s="426"/>
      <c r="CP99" s="426"/>
      <c r="CQ99" s="426"/>
      <c r="CR99" s="426"/>
      <c r="CS99" s="426"/>
      <c r="CT99" s="426"/>
      <c r="CU99" s="426"/>
      <c r="CV99" s="426"/>
      <c r="CW99" s="426"/>
      <c r="CX99" s="426"/>
      <c r="CY99" s="426"/>
      <c r="CZ99" s="426"/>
      <c r="DA99" s="426"/>
      <c r="DB99" s="426"/>
      <c r="DC99" s="426"/>
      <c r="DD99" s="426"/>
      <c r="DE99" s="426"/>
      <c r="DF99" s="426"/>
      <c r="DG99" s="426"/>
      <c r="DH99" s="426"/>
      <c r="DI99" s="426"/>
      <c r="DJ99" s="426"/>
      <c r="DK99" s="426"/>
      <c r="DL99" s="426"/>
      <c r="DM99" s="426"/>
      <c r="DN99" s="426"/>
      <c r="DO99" s="426"/>
      <c r="DP99" s="426"/>
      <c r="DQ99" s="426"/>
      <c r="DR99" s="426"/>
      <c r="DS99" s="426"/>
      <c r="DT99" s="426"/>
      <c r="DU99" s="426"/>
      <c r="DV99" s="426"/>
      <c r="DW99" s="426"/>
      <c r="DX99" s="426"/>
      <c r="DY99" s="426"/>
      <c r="DZ99" s="426"/>
      <c r="EA99" s="426"/>
      <c r="EB99" s="426"/>
      <c r="EC99" s="426"/>
      <c r="ED99" s="426"/>
      <c r="EE99" s="426"/>
      <c r="EF99" s="426"/>
      <c r="EG99" s="426"/>
      <c r="EH99" s="426"/>
      <c r="EI99" s="426"/>
      <c r="EJ99" s="426"/>
      <c r="EK99" s="426"/>
      <c r="EL99" s="426"/>
      <c r="EM99" s="426"/>
      <c r="EN99" s="426"/>
      <c r="EO99" s="426"/>
      <c r="EP99" s="426"/>
      <c r="EQ99" s="426"/>
      <c r="ER99" s="426"/>
      <c r="ES99" s="426"/>
      <c r="ET99" s="426"/>
      <c r="EU99" s="426"/>
      <c r="EV99" s="426"/>
      <c r="EW99" s="426"/>
      <c r="EX99" s="426"/>
    </row>
    <row r="100" spans="1:154" s="543" customFormat="1">
      <c r="A100" s="533"/>
      <c r="B100" s="534"/>
      <c r="C100" s="535"/>
      <c r="D100" s="536"/>
      <c r="E100" s="536"/>
      <c r="F100" s="536"/>
      <c r="G100" s="536"/>
      <c r="H100" s="536"/>
      <c r="I100" s="536"/>
      <c r="J100" s="536"/>
      <c r="K100" s="536"/>
      <c r="L100" s="536"/>
      <c r="M100" s="537"/>
      <c r="N100" s="536"/>
      <c r="O100" s="536"/>
      <c r="P100" s="536"/>
      <c r="Q100" s="536"/>
      <c r="R100" s="536"/>
      <c r="S100" s="536"/>
      <c r="T100" s="538"/>
      <c r="U100" s="538"/>
      <c r="V100" s="536"/>
      <c r="W100" s="536"/>
      <c r="X100" s="536"/>
      <c r="Y100" s="536"/>
      <c r="Z100" s="536"/>
      <c r="AA100" s="536"/>
      <c r="AB100" s="536"/>
      <c r="AC100" s="536"/>
      <c r="AD100" s="536"/>
      <c r="AE100" s="536"/>
      <c r="AF100" s="536"/>
      <c r="AG100" s="539"/>
      <c r="AH100" s="536"/>
      <c r="AI100" s="540"/>
      <c r="AJ100" s="541"/>
      <c r="AK100" s="541"/>
      <c r="AL100" s="542"/>
      <c r="AM100" s="542"/>
      <c r="AN100" s="542"/>
      <c r="AO100" s="542"/>
      <c r="AP100" s="542"/>
      <c r="AQ100" s="542"/>
      <c r="AR100" s="542"/>
      <c r="AS100" s="542"/>
      <c r="AT100" s="542"/>
      <c r="AU100" s="542"/>
      <c r="AV100" s="542"/>
      <c r="AW100" s="542"/>
      <c r="AX100" s="542"/>
      <c r="AY100" s="542"/>
      <c r="AZ100" s="542"/>
      <c r="BA100" s="542"/>
      <c r="BB100" s="542"/>
      <c r="BC100" s="542"/>
      <c r="BD100" s="542"/>
      <c r="BE100" s="542"/>
      <c r="BF100" s="542"/>
      <c r="BG100" s="542"/>
      <c r="BH100" s="542"/>
      <c r="BI100" s="542"/>
      <c r="BJ100" s="542"/>
      <c r="BK100" s="542"/>
      <c r="BL100" s="542"/>
      <c r="BM100" s="542"/>
      <c r="BN100" s="542"/>
      <c r="BO100" s="542"/>
      <c r="BP100" s="542"/>
      <c r="BQ100" s="542"/>
      <c r="BR100" s="542"/>
      <c r="BS100" s="542"/>
      <c r="BT100" s="542"/>
      <c r="BU100" s="542"/>
      <c r="BV100" s="542"/>
      <c r="BW100" s="542"/>
      <c r="BX100" s="542"/>
      <c r="BY100" s="542"/>
      <c r="BZ100" s="542"/>
      <c r="CA100" s="542"/>
      <c r="CB100" s="542"/>
      <c r="CC100" s="542"/>
      <c r="CD100" s="542"/>
      <c r="CE100" s="542"/>
      <c r="CF100" s="542"/>
      <c r="CG100" s="542"/>
      <c r="CH100" s="542"/>
      <c r="CI100" s="542"/>
      <c r="CJ100" s="542"/>
      <c r="CK100" s="542"/>
      <c r="CL100" s="542"/>
      <c r="CM100" s="542"/>
      <c r="CN100" s="542"/>
      <c r="CO100" s="542"/>
      <c r="CP100" s="542"/>
      <c r="CQ100" s="542"/>
      <c r="CR100" s="542"/>
      <c r="CS100" s="542"/>
      <c r="CT100" s="542"/>
      <c r="CU100" s="542"/>
      <c r="CV100" s="542"/>
      <c r="CW100" s="542"/>
      <c r="CX100" s="542"/>
      <c r="CY100" s="542"/>
      <c r="CZ100" s="542"/>
      <c r="DA100" s="542"/>
      <c r="DB100" s="542"/>
      <c r="DC100" s="542"/>
      <c r="DD100" s="542"/>
      <c r="DE100" s="542"/>
      <c r="DF100" s="542"/>
      <c r="DG100" s="542"/>
      <c r="DH100" s="542"/>
      <c r="DI100" s="542"/>
      <c r="DJ100" s="542"/>
      <c r="DK100" s="542"/>
      <c r="DL100" s="542"/>
      <c r="DM100" s="542"/>
      <c r="DN100" s="542"/>
      <c r="DO100" s="542"/>
      <c r="DP100" s="542"/>
      <c r="DQ100" s="542"/>
      <c r="DR100" s="542"/>
      <c r="DS100" s="542"/>
      <c r="DT100" s="542"/>
      <c r="DU100" s="542"/>
      <c r="DV100" s="542"/>
      <c r="DW100" s="542"/>
      <c r="DX100" s="542"/>
      <c r="DY100" s="542"/>
      <c r="DZ100" s="542"/>
      <c r="EA100" s="542"/>
      <c r="EB100" s="542"/>
      <c r="EC100" s="542"/>
      <c r="ED100" s="542"/>
      <c r="EE100" s="542"/>
      <c r="EF100" s="542"/>
      <c r="EG100" s="542"/>
      <c r="EH100" s="542"/>
      <c r="EI100" s="542"/>
      <c r="EJ100" s="542"/>
      <c r="EK100" s="542"/>
      <c r="EL100" s="542"/>
      <c r="EM100" s="542"/>
      <c r="EN100" s="542"/>
      <c r="EO100" s="542"/>
      <c r="EP100" s="542"/>
      <c r="EQ100" s="542"/>
      <c r="ER100" s="542"/>
      <c r="ES100" s="542"/>
      <c r="ET100" s="542"/>
      <c r="EU100" s="542"/>
      <c r="EV100" s="542"/>
      <c r="EW100" s="542"/>
      <c r="EX100" s="542"/>
    </row>
    <row r="101" spans="1:154">
      <c r="A101" s="544"/>
      <c r="B101" s="545"/>
      <c r="C101" s="545"/>
      <c r="D101" s="545"/>
      <c r="E101" s="545"/>
      <c r="F101" s="545"/>
      <c r="G101" s="545"/>
      <c r="H101" s="545"/>
      <c r="I101" s="545"/>
      <c r="J101" s="545"/>
      <c r="K101" s="545"/>
      <c r="L101" s="545"/>
      <c r="M101" s="546"/>
      <c r="N101" s="545"/>
      <c r="O101" s="545"/>
      <c r="P101" s="545"/>
      <c r="Q101" s="545"/>
      <c r="R101" s="545"/>
      <c r="S101" s="545"/>
      <c r="T101" s="545"/>
      <c r="U101" s="390"/>
      <c r="V101" s="390">
        <f>V92+V85+V80+V75+V70+V65+V61+V57+V51+V47+V42+V36+V31+V26+V21+V16</f>
        <v>10807735.186821491</v>
      </c>
      <c r="AG101" s="547"/>
    </row>
    <row r="102" spans="1:154">
      <c r="R102" s="389"/>
    </row>
    <row r="103" spans="1:154">
      <c r="R103" s="389"/>
    </row>
    <row r="104" spans="1:154">
      <c r="R104" s="389"/>
    </row>
    <row r="105" spans="1:154">
      <c r="R105" s="389"/>
    </row>
  </sheetData>
  <mergeCells count="67">
    <mergeCell ref="B1:R1"/>
    <mergeCell ref="A4:A6"/>
    <mergeCell ref="B4:B6"/>
    <mergeCell ref="C4:C6"/>
    <mergeCell ref="D4:D6"/>
    <mergeCell ref="E4:E6"/>
    <mergeCell ref="F4:T4"/>
    <mergeCell ref="S5:S6"/>
    <mergeCell ref="T5:T6"/>
    <mergeCell ref="V4:AK4"/>
    <mergeCell ref="F5:F6"/>
    <mergeCell ref="G5:H5"/>
    <mergeCell ref="I5:J5"/>
    <mergeCell ref="K5:L5"/>
    <mergeCell ref="M5:M6"/>
    <mergeCell ref="N5:O5"/>
    <mergeCell ref="P5:P6"/>
    <mergeCell ref="Q5:Q6"/>
    <mergeCell ref="R5:R6"/>
    <mergeCell ref="AK5:AK6"/>
    <mergeCell ref="AD5:AE5"/>
    <mergeCell ref="AF5:AF6"/>
    <mergeCell ref="AG5:AG6"/>
    <mergeCell ref="AH5:AH6"/>
    <mergeCell ref="AI5:AI6"/>
    <mergeCell ref="A8:A14"/>
    <mergeCell ref="B8:B14"/>
    <mergeCell ref="B15:C15"/>
    <mergeCell ref="A16:A20"/>
    <mergeCell ref="B16:B20"/>
    <mergeCell ref="AJ5:AJ6"/>
    <mergeCell ref="U5:U6"/>
    <mergeCell ref="V5:V6"/>
    <mergeCell ref="W5:X5"/>
    <mergeCell ref="Y5:Z5"/>
    <mergeCell ref="AA5:AB5"/>
    <mergeCell ref="AC5:AC6"/>
    <mergeCell ref="A21:A25"/>
    <mergeCell ref="B21:B25"/>
    <mergeCell ref="A26:A30"/>
    <mergeCell ref="B26:B30"/>
    <mergeCell ref="A31:A35"/>
    <mergeCell ref="B31:B35"/>
    <mergeCell ref="A36:A41"/>
    <mergeCell ref="B36:B41"/>
    <mergeCell ref="A42:A46"/>
    <mergeCell ref="B42:B46"/>
    <mergeCell ref="A47:A50"/>
    <mergeCell ref="B47:B50"/>
    <mergeCell ref="A51:A56"/>
    <mergeCell ref="B51:B56"/>
    <mergeCell ref="A57:A60"/>
    <mergeCell ref="B57:B60"/>
    <mergeCell ref="A61:A64"/>
    <mergeCell ref="B61:B64"/>
    <mergeCell ref="A65:A69"/>
    <mergeCell ref="B65:B69"/>
    <mergeCell ref="A70:A74"/>
    <mergeCell ref="B70:B74"/>
    <mergeCell ref="A75:A79"/>
    <mergeCell ref="B75:B79"/>
    <mergeCell ref="A80:A84"/>
    <mergeCell ref="B80:B84"/>
    <mergeCell ref="A85:A91"/>
    <mergeCell ref="B85:B91"/>
    <mergeCell ref="A92:A99"/>
    <mergeCell ref="B92:B99"/>
  </mergeCells>
  <printOptions horizontalCentered="1"/>
  <pageMargins left="0.15748031496062992" right="0.15748031496062992" top="0.19685039370078741" bottom="0.35433070866141736" header="0.19685039370078741" footer="0.31496062992125984"/>
  <pageSetup paperSize="9" scale="54" orientation="landscape" r:id="rId1"/>
  <headerFooter alignWithMargins="0"/>
  <rowBreaks count="2" manualBreakCount="2">
    <brk id="50" max="153" man="1"/>
    <brk id="99" max="16383" man="1"/>
  </rowBreaks>
  <colBreaks count="2" manualBreakCount="2">
    <brk id="18" max="98" man="1"/>
    <brk id="37" max="98" man="1"/>
  </colBreaks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C24"/>
  <sheetViews>
    <sheetView topLeftCell="B1" zoomScale="70" zoomScaleNormal="70" workbookViewId="0">
      <selection activeCell="L10" sqref="L10"/>
    </sheetView>
  </sheetViews>
  <sheetFormatPr defaultColWidth="12.140625" defaultRowHeight="55.5" customHeight="1"/>
  <cols>
    <col min="1" max="1" width="33" customWidth="1"/>
    <col min="14" max="28" width="0" hidden="1" customWidth="1"/>
  </cols>
  <sheetData>
    <row r="1" spans="1:29" ht="55.5" customHeight="1">
      <c r="A1" s="1212"/>
      <c r="B1" s="1935" t="s">
        <v>2780</v>
      </c>
      <c r="C1" s="1935"/>
      <c r="D1" s="1935"/>
      <c r="E1" s="1935"/>
      <c r="F1" s="1936"/>
      <c r="G1" s="1212"/>
      <c r="H1" s="1212"/>
      <c r="I1" s="1212"/>
      <c r="J1" s="1212"/>
      <c r="K1" s="1212"/>
      <c r="L1" s="1212"/>
      <c r="M1" s="1212"/>
      <c r="N1" s="1212"/>
      <c r="O1" s="1212"/>
      <c r="P1" s="1212"/>
      <c r="Q1" s="1212"/>
      <c r="R1" s="1212"/>
      <c r="S1" s="1212"/>
      <c r="T1" s="1212"/>
      <c r="U1" s="1212"/>
      <c r="V1" s="1212"/>
      <c r="W1" s="1212"/>
      <c r="X1" s="1212"/>
      <c r="Y1" s="1212"/>
      <c r="Z1" s="1212"/>
      <c r="AA1" s="1212"/>
      <c r="AB1" s="1212"/>
      <c r="AC1" s="1212"/>
    </row>
    <row r="2" spans="1:29" ht="55.5" customHeight="1">
      <c r="A2" s="1212"/>
      <c r="B2" s="1838" t="s">
        <v>2781</v>
      </c>
      <c r="C2" s="1840"/>
      <c r="D2" s="1938"/>
      <c r="E2" s="1938"/>
      <c r="F2" s="1235"/>
      <c r="G2" s="1233"/>
      <c r="H2" s="1939" t="s">
        <v>2782</v>
      </c>
      <c r="I2" s="1939"/>
      <c r="J2" s="1939"/>
      <c r="K2" s="1939"/>
      <c r="L2" s="1939"/>
      <c r="M2" s="1212"/>
      <c r="N2" s="1934" t="s">
        <v>341</v>
      </c>
      <c r="O2" s="1934"/>
      <c r="P2" s="1934"/>
      <c r="Q2" s="1934" t="s">
        <v>2783</v>
      </c>
      <c r="R2" s="1934"/>
      <c r="S2" s="1934"/>
      <c r="T2" s="1934" t="s">
        <v>2784</v>
      </c>
      <c r="U2" s="1934"/>
      <c r="V2" s="1934"/>
      <c r="W2" s="1934" t="s">
        <v>2785</v>
      </c>
      <c r="X2" s="1934"/>
      <c r="Y2" s="1934"/>
      <c r="Z2" s="1934" t="s">
        <v>14</v>
      </c>
      <c r="AA2" s="1934"/>
      <c r="AB2" s="1934"/>
      <c r="AC2" s="1212"/>
    </row>
    <row r="3" spans="1:29" ht="55.5" customHeight="1">
      <c r="A3" s="1212"/>
      <c r="B3" s="1937"/>
      <c r="C3" s="1228" t="s">
        <v>2786</v>
      </c>
      <c r="D3" s="1228" t="s">
        <v>2787</v>
      </c>
      <c r="E3" s="1229" t="s">
        <v>2788</v>
      </c>
      <c r="F3" s="1235"/>
      <c r="G3" s="1233"/>
      <c r="H3" s="1231" t="s">
        <v>2789</v>
      </c>
      <c r="I3" s="1227" t="s">
        <v>2783</v>
      </c>
      <c r="J3" s="1227" t="s">
        <v>2784</v>
      </c>
      <c r="K3" s="1227" t="s">
        <v>2785</v>
      </c>
      <c r="L3" s="1226" t="s">
        <v>14</v>
      </c>
      <c r="M3" s="1222"/>
      <c r="N3" s="1226" t="s">
        <v>2790</v>
      </c>
      <c r="O3" s="1226" t="s">
        <v>2791</v>
      </c>
      <c r="P3" s="1226" t="s">
        <v>2792</v>
      </c>
      <c r="Q3" s="1226" t="s">
        <v>2790</v>
      </c>
      <c r="R3" s="1226" t="s">
        <v>2791</v>
      </c>
      <c r="S3" s="1226" t="s">
        <v>2792</v>
      </c>
      <c r="T3" s="1226" t="s">
        <v>2790</v>
      </c>
      <c r="U3" s="1226" t="s">
        <v>2791</v>
      </c>
      <c r="V3" s="1226" t="s">
        <v>2792</v>
      </c>
      <c r="W3" s="1226" t="s">
        <v>2790</v>
      </c>
      <c r="X3" s="1226" t="s">
        <v>2791</v>
      </c>
      <c r="Y3" s="1226" t="s">
        <v>2792</v>
      </c>
      <c r="Z3" s="1226" t="s">
        <v>2790</v>
      </c>
      <c r="AA3" s="1226" t="s">
        <v>2791</v>
      </c>
      <c r="AB3" s="1226" t="s">
        <v>2792</v>
      </c>
      <c r="AC3" s="1212"/>
    </row>
    <row r="4" spans="1:29" s="1379" customFormat="1" ht="55.5" customHeight="1">
      <c r="A4" s="1372" t="s">
        <v>2793</v>
      </c>
      <c r="B4" s="1373"/>
      <c r="C4" s="1450">
        <v>570699987</v>
      </c>
      <c r="D4" s="1450">
        <v>77184297</v>
      </c>
      <c r="E4" s="1450">
        <v>35859145</v>
      </c>
      <c r="F4" s="1374"/>
      <c r="G4" s="1375"/>
      <c r="H4" s="1452">
        <v>29320033</v>
      </c>
      <c r="I4" s="1452">
        <v>13992714</v>
      </c>
      <c r="J4" s="1452">
        <v>4764469</v>
      </c>
      <c r="K4" s="1452">
        <v>8454240</v>
      </c>
      <c r="L4" s="1452">
        <v>16619434</v>
      </c>
      <c r="M4" s="1377"/>
      <c r="N4" s="1376">
        <v>105475245</v>
      </c>
      <c r="O4" s="1376">
        <v>7087591</v>
      </c>
      <c r="P4" s="1376">
        <v>2765348</v>
      </c>
      <c r="Q4" s="1376">
        <v>15227871</v>
      </c>
      <c r="R4" s="1376">
        <v>3997155</v>
      </c>
      <c r="S4" s="1376">
        <v>2991275</v>
      </c>
      <c r="T4" s="1376">
        <v>5374015</v>
      </c>
      <c r="U4" s="1376">
        <v>1277198</v>
      </c>
      <c r="V4" s="1376">
        <v>966717</v>
      </c>
      <c r="W4" s="1376">
        <v>819901</v>
      </c>
      <c r="X4" s="1376">
        <v>2290534</v>
      </c>
      <c r="Y4" s="1376">
        <v>374670</v>
      </c>
      <c r="Z4" s="1376">
        <v>14967074</v>
      </c>
      <c r="AA4" s="1376">
        <v>4460499</v>
      </c>
      <c r="AB4" s="1376">
        <v>2078195</v>
      </c>
      <c r="AC4" s="1378"/>
    </row>
    <row r="5" spans="1:29" s="1379" customFormat="1" ht="55.5" customHeight="1">
      <c r="A5" s="1372" t="s">
        <v>2794</v>
      </c>
      <c r="B5" s="1380"/>
      <c r="C5" s="1451">
        <v>530056226</v>
      </c>
      <c r="D5" s="1451">
        <v>76818666</v>
      </c>
      <c r="E5" s="1451">
        <v>35511010</v>
      </c>
      <c r="F5" s="1381"/>
      <c r="G5" s="1375"/>
      <c r="H5" s="1451">
        <v>29314631</v>
      </c>
      <c r="I5" s="1451">
        <v>13992626</v>
      </c>
      <c r="J5" s="1451">
        <v>4764469</v>
      </c>
      <c r="K5" s="1451">
        <v>8454240</v>
      </c>
      <c r="L5" s="1451">
        <v>16617808</v>
      </c>
      <c r="M5" s="1382"/>
      <c r="N5" s="1380">
        <v>105376138</v>
      </c>
      <c r="O5" s="1380">
        <v>7086327</v>
      </c>
      <c r="P5" s="1380">
        <v>2765348</v>
      </c>
      <c r="Q5" s="1380">
        <v>15227381</v>
      </c>
      <c r="R5" s="1380">
        <v>3997067</v>
      </c>
      <c r="S5" s="1380">
        <v>2991275</v>
      </c>
      <c r="T5" s="1380">
        <v>5374015</v>
      </c>
      <c r="U5" s="1380">
        <v>1277198</v>
      </c>
      <c r="V5" s="1380">
        <v>966717</v>
      </c>
      <c r="W5" s="1380">
        <v>819901</v>
      </c>
      <c r="X5" s="1380">
        <v>2290534</v>
      </c>
      <c r="Y5" s="1380">
        <v>374670</v>
      </c>
      <c r="Z5" s="1380">
        <v>14967074</v>
      </c>
      <c r="AA5" s="1380">
        <v>4460192</v>
      </c>
      <c r="AB5" s="1380">
        <v>2078195</v>
      </c>
      <c r="AC5" s="1378" t="s">
        <v>2794</v>
      </c>
    </row>
    <row r="6" spans="1:29" ht="55.5" customHeight="1">
      <c r="A6" s="1230" t="s">
        <v>2795</v>
      </c>
      <c r="B6" s="1225"/>
      <c r="C6" s="1225">
        <v>350449536</v>
      </c>
      <c r="D6" s="1225">
        <v>27364961</v>
      </c>
      <c r="E6" s="1225">
        <v>9840111</v>
      </c>
      <c r="F6" s="1234"/>
      <c r="G6" s="1233"/>
      <c r="H6" s="1225">
        <v>26219538</v>
      </c>
      <c r="I6" s="1225">
        <v>76323</v>
      </c>
      <c r="J6" s="1225">
        <v>228224</v>
      </c>
      <c r="K6" s="1225">
        <v>12793</v>
      </c>
      <c r="L6" s="1225">
        <v>35188</v>
      </c>
      <c r="M6" s="1223"/>
      <c r="N6" s="1225">
        <v>95203950</v>
      </c>
      <c r="O6" s="1225">
        <v>6337503</v>
      </c>
      <c r="P6" s="1225">
        <v>2436088</v>
      </c>
      <c r="Q6" s="1225">
        <v>209736</v>
      </c>
      <c r="R6" s="1225">
        <v>22364</v>
      </c>
      <c r="S6" s="1225">
        <v>60068</v>
      </c>
      <c r="T6" s="1225">
        <v>9320</v>
      </c>
      <c r="U6" s="1225">
        <v>50585</v>
      </c>
      <c r="V6" s="1225">
        <v>20990</v>
      </c>
      <c r="W6" s="1225">
        <v>9421</v>
      </c>
      <c r="X6" s="1225">
        <v>2023</v>
      </c>
      <c r="Y6" s="1225" t="s">
        <v>8</v>
      </c>
      <c r="Z6" s="1225">
        <v>64303</v>
      </c>
      <c r="AA6" s="1225">
        <v>972</v>
      </c>
      <c r="AB6" s="1225" t="s">
        <v>8</v>
      </c>
      <c r="AC6" s="1221" t="s">
        <v>2795</v>
      </c>
    </row>
    <row r="7" spans="1:29" ht="55.5" customHeight="1">
      <c r="A7" s="1230" t="s">
        <v>2796</v>
      </c>
      <c r="B7" s="1225"/>
      <c r="C7" s="1225">
        <v>81680002</v>
      </c>
      <c r="D7" s="1225">
        <v>15851619</v>
      </c>
      <c r="E7" s="1225">
        <v>11863481</v>
      </c>
      <c r="F7" s="1234"/>
      <c r="G7" s="1233"/>
      <c r="H7" s="1225">
        <v>1215168</v>
      </c>
      <c r="I7" s="1225">
        <v>12987709</v>
      </c>
      <c r="J7" s="1225">
        <v>236476</v>
      </c>
      <c r="K7" s="1225">
        <v>3297</v>
      </c>
      <c r="L7" s="1225">
        <v>43341</v>
      </c>
      <c r="M7" s="1223"/>
      <c r="N7" s="1225">
        <v>5791606</v>
      </c>
      <c r="O7" s="1225">
        <v>302069</v>
      </c>
      <c r="P7" s="1225">
        <v>68769</v>
      </c>
      <c r="Q7" s="1225">
        <v>13825068</v>
      </c>
      <c r="R7" s="1225">
        <v>3739568</v>
      </c>
      <c r="S7" s="1225">
        <v>2704035</v>
      </c>
      <c r="T7" s="1225">
        <v>997719</v>
      </c>
      <c r="U7" s="1225">
        <v>53247</v>
      </c>
      <c r="V7" s="1225">
        <v>99668</v>
      </c>
      <c r="W7" s="1225">
        <v>1559</v>
      </c>
      <c r="X7" s="1225">
        <v>752</v>
      </c>
      <c r="Y7" s="1225" t="s">
        <v>8</v>
      </c>
      <c r="Z7" s="1225">
        <v>461215</v>
      </c>
      <c r="AA7" s="1225">
        <v>4230</v>
      </c>
      <c r="AB7" s="1225">
        <v>27691</v>
      </c>
      <c r="AC7" s="1221" t="s">
        <v>2796</v>
      </c>
    </row>
    <row r="8" spans="1:29" ht="55.5" customHeight="1">
      <c r="A8" s="1230" t="s">
        <v>2797</v>
      </c>
      <c r="B8" s="1225"/>
      <c r="C8" s="1225">
        <v>29525616</v>
      </c>
      <c r="D8" s="1225">
        <v>4810270</v>
      </c>
      <c r="E8" s="1225">
        <v>3545408</v>
      </c>
      <c r="F8" s="1234"/>
      <c r="G8" s="1233"/>
      <c r="H8" s="1225">
        <v>429695</v>
      </c>
      <c r="I8" s="1225">
        <v>534046</v>
      </c>
      <c r="J8" s="1225">
        <v>3366727</v>
      </c>
      <c r="K8" s="1225">
        <v>182344</v>
      </c>
      <c r="L8" s="1225">
        <v>29841</v>
      </c>
      <c r="M8" s="1223"/>
      <c r="N8" s="1225">
        <v>2394924</v>
      </c>
      <c r="O8" s="1225">
        <v>96930</v>
      </c>
      <c r="P8" s="1225">
        <v>94925</v>
      </c>
      <c r="Q8" s="1225">
        <v>670659</v>
      </c>
      <c r="R8" s="1225">
        <v>144262</v>
      </c>
      <c r="S8" s="1225">
        <v>157220</v>
      </c>
      <c r="T8" s="1225">
        <v>4224826</v>
      </c>
      <c r="U8" s="1225">
        <v>924326</v>
      </c>
      <c r="V8" s="1225">
        <v>668463</v>
      </c>
      <c r="W8" s="1225">
        <v>969</v>
      </c>
      <c r="X8" s="1225">
        <v>45966</v>
      </c>
      <c r="Y8" s="1225">
        <v>37082</v>
      </c>
      <c r="Z8" s="1225">
        <v>240604</v>
      </c>
      <c r="AA8" s="1225">
        <v>5803</v>
      </c>
      <c r="AB8" s="1225">
        <v>1842</v>
      </c>
      <c r="AC8" s="1221" t="s">
        <v>2797</v>
      </c>
    </row>
    <row r="9" spans="1:29" ht="55.5" customHeight="1">
      <c r="A9" s="1230" t="s">
        <v>2798</v>
      </c>
      <c r="B9" s="1225"/>
      <c r="C9" s="1225">
        <v>4963338</v>
      </c>
      <c r="D9" s="1225">
        <v>9259328</v>
      </c>
      <c r="E9" s="1225">
        <v>1670710</v>
      </c>
      <c r="F9" s="1234"/>
      <c r="G9" s="1233"/>
      <c r="H9" s="1225">
        <v>287683</v>
      </c>
      <c r="I9" s="1225">
        <v>136153</v>
      </c>
      <c r="J9" s="1225">
        <v>40960</v>
      </c>
      <c r="K9" s="1225">
        <v>8246808</v>
      </c>
      <c r="L9" s="1225">
        <f>238130+3795577</f>
        <v>4033707</v>
      </c>
      <c r="M9" s="1223"/>
      <c r="N9" s="1225">
        <v>217475</v>
      </c>
      <c r="O9" s="1225">
        <v>68803</v>
      </c>
      <c r="P9" s="1225">
        <v>42007</v>
      </c>
      <c r="Q9" s="1225">
        <v>17012</v>
      </c>
      <c r="R9" s="1225">
        <v>35320</v>
      </c>
      <c r="S9" s="1225">
        <v>10179</v>
      </c>
      <c r="T9" s="1225">
        <v>20327</v>
      </c>
      <c r="U9" s="1225">
        <v>10359</v>
      </c>
      <c r="V9" s="1225">
        <v>53519</v>
      </c>
      <c r="W9" s="1225">
        <v>807952</v>
      </c>
      <c r="X9" s="1225">
        <v>2240054</v>
      </c>
      <c r="Y9" s="1225">
        <v>331728</v>
      </c>
      <c r="Z9" s="1225">
        <v>94828</v>
      </c>
      <c r="AA9" s="1225">
        <v>15859</v>
      </c>
      <c r="AB9" s="1225">
        <v>286</v>
      </c>
      <c r="AC9" s="1221" t="s">
        <v>2798</v>
      </c>
    </row>
    <row r="10" spans="1:29" ht="55.5" customHeight="1">
      <c r="A10" s="1230" t="s">
        <v>2799</v>
      </c>
      <c r="B10" s="1225"/>
      <c r="C10" s="1225">
        <v>63437734</v>
      </c>
      <c r="D10" s="1225">
        <v>19532488</v>
      </c>
      <c r="E10" s="1225">
        <v>8591300</v>
      </c>
      <c r="F10" s="1234"/>
      <c r="G10" s="1233"/>
      <c r="H10" s="1225">
        <v>1162547</v>
      </c>
      <c r="I10" s="1225">
        <v>258395</v>
      </c>
      <c r="J10" s="1225">
        <v>892082</v>
      </c>
      <c r="K10" s="1225">
        <v>8998</v>
      </c>
      <c r="L10" s="1225">
        <v>16271308</v>
      </c>
      <c r="M10" s="1223"/>
      <c r="N10" s="1225">
        <v>1768183</v>
      </c>
      <c r="O10" s="1225">
        <v>281022</v>
      </c>
      <c r="P10" s="1225">
        <v>123559</v>
      </c>
      <c r="Q10" s="1225">
        <v>504906</v>
      </c>
      <c r="R10" s="1225">
        <v>55553</v>
      </c>
      <c r="S10" s="1225">
        <v>59773</v>
      </c>
      <c r="T10" s="1225">
        <v>121823</v>
      </c>
      <c r="U10" s="1225">
        <v>238681</v>
      </c>
      <c r="V10" s="1225">
        <v>124077</v>
      </c>
      <c r="W10" s="1225" t="s">
        <v>8</v>
      </c>
      <c r="X10" s="1225">
        <v>1739</v>
      </c>
      <c r="Y10" s="1225">
        <v>5860</v>
      </c>
      <c r="Z10" s="1225">
        <v>14106124</v>
      </c>
      <c r="AA10" s="1225">
        <v>4433328</v>
      </c>
      <c r="AB10" s="1225">
        <v>2048376</v>
      </c>
      <c r="AC10" s="1221" t="s">
        <v>2799</v>
      </c>
    </row>
    <row r="11" spans="1:29" s="1379" customFormat="1" ht="55.5" customHeight="1">
      <c r="A11" s="1372" t="s">
        <v>2800</v>
      </c>
      <c r="B11" s="1380"/>
      <c r="C11" s="1451">
        <v>36976007</v>
      </c>
      <c r="D11" s="1451">
        <v>296020</v>
      </c>
      <c r="E11" s="1451">
        <v>157937</v>
      </c>
      <c r="F11" s="1381"/>
      <c r="G11" s="1375"/>
      <c r="H11" s="1453">
        <v>5246</v>
      </c>
      <c r="I11" s="1453">
        <v>0</v>
      </c>
      <c r="J11" s="1453">
        <v>0</v>
      </c>
      <c r="K11" s="1453">
        <v>0</v>
      </c>
      <c r="L11" s="1453">
        <v>350</v>
      </c>
      <c r="M11" s="1382"/>
      <c r="N11" s="1380">
        <v>47338</v>
      </c>
      <c r="O11" s="1380">
        <v>1264</v>
      </c>
      <c r="P11" s="1383"/>
      <c r="Q11" s="1383"/>
      <c r="R11" s="1383"/>
      <c r="S11" s="1383"/>
      <c r="T11" s="1383"/>
      <c r="U11" s="1383"/>
      <c r="V11" s="1383"/>
      <c r="W11" s="1383"/>
      <c r="X11" s="1383"/>
      <c r="Y11" s="1383"/>
      <c r="Z11" s="1383"/>
      <c r="AA11" s="1383"/>
      <c r="AB11" s="1383"/>
      <c r="AC11" s="1384" t="s">
        <v>2800</v>
      </c>
    </row>
    <row r="12" spans="1:29" ht="55.5" customHeight="1">
      <c r="A12" s="1230" t="s">
        <v>2801</v>
      </c>
      <c r="B12" s="1225"/>
      <c r="C12" s="1225">
        <v>548346</v>
      </c>
      <c r="D12" s="1225">
        <v>469</v>
      </c>
      <c r="E12" s="1225">
        <v>113</v>
      </c>
      <c r="F12" s="1234"/>
      <c r="G12" s="1233"/>
      <c r="H12" s="1224">
        <v>0</v>
      </c>
      <c r="I12" s="1224">
        <v>0</v>
      </c>
      <c r="J12" s="1224">
        <v>0</v>
      </c>
      <c r="K12" s="1224">
        <v>0</v>
      </c>
      <c r="L12" s="1224">
        <v>0</v>
      </c>
      <c r="M12" s="1222"/>
      <c r="N12" s="1224"/>
      <c r="O12" s="1224"/>
      <c r="P12" s="1224"/>
      <c r="Q12" s="1224"/>
      <c r="R12" s="1224"/>
      <c r="S12" s="1224"/>
      <c r="T12" s="1224"/>
      <c r="U12" s="1224"/>
      <c r="V12" s="1224"/>
      <c r="W12" s="1224"/>
      <c r="X12" s="1224"/>
      <c r="Y12" s="1224"/>
      <c r="Z12" s="1224"/>
      <c r="AA12" s="1224"/>
      <c r="AB12" s="1224"/>
      <c r="AC12" s="1215" t="s">
        <v>2801</v>
      </c>
    </row>
    <row r="13" spans="1:29" ht="55.5" customHeight="1">
      <c r="A13" s="1230" t="s">
        <v>2802</v>
      </c>
      <c r="B13" s="1225"/>
      <c r="C13" s="1225">
        <v>13450225</v>
      </c>
      <c r="D13" s="1225">
        <v>10581</v>
      </c>
      <c r="E13" s="1225">
        <v>1370</v>
      </c>
      <c r="F13" s="1234"/>
      <c r="G13" s="1233"/>
      <c r="H13" s="1224">
        <v>0</v>
      </c>
      <c r="I13" s="1224">
        <v>0</v>
      </c>
      <c r="J13" s="1224">
        <v>0</v>
      </c>
      <c r="K13" s="1224">
        <v>0</v>
      </c>
      <c r="L13" s="1224">
        <v>0</v>
      </c>
      <c r="M13" s="1222"/>
      <c r="N13" s="1224">
        <v>47338</v>
      </c>
      <c r="O13" s="1224"/>
      <c r="P13" s="1224"/>
      <c r="Q13" s="1224"/>
      <c r="R13" s="1224"/>
      <c r="S13" s="1224"/>
      <c r="T13" s="1224"/>
      <c r="U13" s="1224"/>
      <c r="V13" s="1224"/>
      <c r="W13" s="1224"/>
      <c r="X13" s="1224"/>
      <c r="Y13" s="1224"/>
      <c r="Z13" s="1224"/>
      <c r="AA13" s="1224"/>
      <c r="AB13" s="1224"/>
      <c r="AC13" s="1215" t="s">
        <v>2802</v>
      </c>
    </row>
    <row r="14" spans="1:29" ht="55.5" customHeight="1">
      <c r="A14" s="1230" t="s">
        <v>2803</v>
      </c>
      <c r="B14" s="1225"/>
      <c r="C14" s="1225">
        <v>7941742</v>
      </c>
      <c r="D14" s="1225">
        <v>97051</v>
      </c>
      <c r="E14" s="1225">
        <v>3145</v>
      </c>
      <c r="F14" s="1234"/>
      <c r="G14" s="1233"/>
      <c r="H14" s="1232">
        <v>0</v>
      </c>
      <c r="I14" s="1232">
        <v>0</v>
      </c>
      <c r="J14" s="1232">
        <v>0</v>
      </c>
      <c r="K14" s="1232">
        <v>0</v>
      </c>
      <c r="L14" s="1232">
        <v>0</v>
      </c>
      <c r="M14" s="1222"/>
      <c r="N14" s="1224"/>
      <c r="O14" s="1224"/>
      <c r="P14" s="1224"/>
      <c r="Q14" s="1224"/>
      <c r="R14" s="1224"/>
      <c r="S14" s="1224"/>
      <c r="T14" s="1224"/>
      <c r="U14" s="1224"/>
      <c r="V14" s="1224"/>
      <c r="W14" s="1224"/>
      <c r="X14" s="1224"/>
      <c r="Y14" s="1224"/>
      <c r="Z14" s="1224"/>
      <c r="AA14" s="1224"/>
      <c r="AB14" s="1224"/>
      <c r="AC14" s="1215" t="s">
        <v>2803</v>
      </c>
    </row>
    <row r="15" spans="1:29" ht="55.5" customHeight="1">
      <c r="A15" s="1230" t="s">
        <v>2804</v>
      </c>
      <c r="B15" s="1225"/>
      <c r="C15" s="1225">
        <v>15035694</v>
      </c>
      <c r="D15" s="1225">
        <v>187919</v>
      </c>
      <c r="E15" s="1225">
        <v>153309</v>
      </c>
      <c r="F15" s="1234"/>
      <c r="G15" s="1233"/>
      <c r="H15" s="1224">
        <v>5246</v>
      </c>
      <c r="I15" s="1224">
        <v>0</v>
      </c>
      <c r="J15" s="1224">
        <v>0</v>
      </c>
      <c r="K15" s="1224">
        <v>0</v>
      </c>
      <c r="L15" s="1224">
        <v>350</v>
      </c>
      <c r="M15" s="1222"/>
      <c r="N15" s="1224"/>
      <c r="O15" s="1224">
        <v>1264</v>
      </c>
      <c r="P15" s="1224"/>
      <c r="Q15" s="1224"/>
      <c r="R15" s="1224"/>
      <c r="S15" s="1224"/>
      <c r="T15" s="1224"/>
      <c r="U15" s="1224"/>
      <c r="V15" s="1224"/>
      <c r="W15" s="1224"/>
      <c r="X15" s="1224"/>
      <c r="Y15" s="1224"/>
      <c r="Z15" s="1224"/>
      <c r="AA15" s="1224"/>
      <c r="AB15" s="1224"/>
      <c r="AC15" s="1215" t="s">
        <v>2804</v>
      </c>
    </row>
    <row r="16" spans="1:29" s="1379" customFormat="1" ht="55.5" customHeight="1">
      <c r="A16" s="1372" t="s">
        <v>2805</v>
      </c>
      <c r="B16" s="1380"/>
      <c r="C16" s="1451">
        <v>3667754</v>
      </c>
      <c r="D16" s="1451">
        <v>69611</v>
      </c>
      <c r="E16" s="1451">
        <v>190198</v>
      </c>
      <c r="F16" s="1381"/>
      <c r="G16" s="1375"/>
      <c r="H16" s="1453">
        <v>156</v>
      </c>
      <c r="I16" s="1453">
        <v>88</v>
      </c>
      <c r="J16" s="1453">
        <v>0</v>
      </c>
      <c r="K16" s="1453">
        <v>0</v>
      </c>
      <c r="L16" s="1453">
        <v>1276</v>
      </c>
      <c r="M16" s="1382"/>
      <c r="N16" s="1383">
        <v>51769</v>
      </c>
      <c r="O16" s="1383"/>
      <c r="P16" s="1383"/>
      <c r="Q16" s="1385">
        <v>490</v>
      </c>
      <c r="R16" s="1383">
        <v>88</v>
      </c>
      <c r="S16" s="1383"/>
      <c r="T16" s="1383"/>
      <c r="U16" s="1383"/>
      <c r="V16" s="1383"/>
      <c r="W16" s="1383"/>
      <c r="X16" s="1383"/>
      <c r="Y16" s="1383"/>
      <c r="Z16" s="1383"/>
      <c r="AA16" s="1383">
        <v>307</v>
      </c>
      <c r="AB16" s="1383"/>
      <c r="AC16" s="1378" t="s">
        <v>2805</v>
      </c>
    </row>
    <row r="17" spans="1:29" ht="55.5" customHeight="1">
      <c r="A17" s="1230" t="s">
        <v>2806</v>
      </c>
      <c r="B17" s="1225"/>
      <c r="C17" s="1225">
        <v>992527</v>
      </c>
      <c r="D17" s="1225">
        <v>18074</v>
      </c>
      <c r="E17" s="1225">
        <v>145619</v>
      </c>
      <c r="F17" s="1234"/>
      <c r="G17" s="1233"/>
      <c r="H17" s="1224">
        <v>0</v>
      </c>
      <c r="I17" s="1224">
        <v>88</v>
      </c>
      <c r="J17" s="1224">
        <v>0</v>
      </c>
      <c r="K17" s="1224">
        <v>0</v>
      </c>
      <c r="L17" s="1224">
        <v>0</v>
      </c>
      <c r="M17" s="1222"/>
      <c r="N17" s="1224">
        <v>47860</v>
      </c>
      <c r="O17" s="1224"/>
      <c r="P17" s="1224"/>
      <c r="Q17" s="1224"/>
      <c r="R17" s="1224">
        <v>88</v>
      </c>
      <c r="S17" s="1224"/>
      <c r="T17" s="1224"/>
      <c r="U17" s="1224"/>
      <c r="V17" s="1224"/>
      <c r="W17" s="1224"/>
      <c r="X17" s="1224"/>
      <c r="Y17" s="1224"/>
      <c r="Z17" s="1224"/>
      <c r="AA17" s="1224"/>
      <c r="AB17" s="1224"/>
      <c r="AC17" s="1213" t="s">
        <v>2806</v>
      </c>
    </row>
    <row r="18" spans="1:29" ht="55.5" customHeight="1">
      <c r="A18" s="1230" t="s">
        <v>2807</v>
      </c>
      <c r="B18" s="1225"/>
      <c r="C18" s="1225">
        <v>505115</v>
      </c>
      <c r="D18" s="1225">
        <v>23461</v>
      </c>
      <c r="E18" s="1225">
        <v>800</v>
      </c>
      <c r="F18" s="1234"/>
      <c r="G18" s="1233"/>
      <c r="H18" s="1224">
        <v>0</v>
      </c>
      <c r="I18" s="1224">
        <v>0</v>
      </c>
      <c r="J18" s="1224">
        <v>0</v>
      </c>
      <c r="K18" s="1224">
        <v>0</v>
      </c>
      <c r="L18" s="1224">
        <v>0</v>
      </c>
      <c r="M18" s="1222"/>
      <c r="N18" s="1224"/>
      <c r="O18" s="1224"/>
      <c r="P18" s="1224"/>
      <c r="Q18" s="1224"/>
      <c r="R18" s="1224"/>
      <c r="S18" s="1224"/>
      <c r="T18" s="1224"/>
      <c r="U18" s="1224"/>
      <c r="V18" s="1224"/>
      <c r="W18" s="1224"/>
      <c r="X18" s="1224"/>
      <c r="Y18" s="1224"/>
      <c r="Z18" s="1224"/>
      <c r="AA18" s="1224"/>
      <c r="AB18" s="1224"/>
      <c r="AC18" s="1213" t="s">
        <v>2807</v>
      </c>
    </row>
    <row r="19" spans="1:29" ht="55.5" customHeight="1">
      <c r="A19" s="1230" t="s">
        <v>2808</v>
      </c>
      <c r="B19" s="1225"/>
      <c r="C19" s="1225">
        <v>2170112</v>
      </c>
      <c r="D19" s="1225">
        <v>28076</v>
      </c>
      <c r="E19" s="1225">
        <v>43779</v>
      </c>
      <c r="F19" s="1234"/>
      <c r="G19" s="1233"/>
      <c r="H19" s="1224">
        <v>156</v>
      </c>
      <c r="I19" s="1224">
        <v>0</v>
      </c>
      <c r="J19" s="1224">
        <v>0</v>
      </c>
      <c r="K19" s="1224">
        <v>0</v>
      </c>
      <c r="L19" s="1224">
        <v>1276</v>
      </c>
      <c r="M19" s="1222"/>
      <c r="N19" s="1224">
        <v>3909</v>
      </c>
      <c r="O19" s="1224"/>
      <c r="P19" s="1224"/>
      <c r="Q19" s="1224">
        <v>490</v>
      </c>
      <c r="R19" s="1224"/>
      <c r="S19" s="1224"/>
      <c r="T19" s="1224"/>
      <c r="U19" s="1224"/>
      <c r="V19" s="1224"/>
      <c r="W19" s="1224"/>
      <c r="X19" s="1224"/>
      <c r="Y19" s="1224"/>
      <c r="Z19" s="1224"/>
      <c r="AA19" s="1224">
        <v>307</v>
      </c>
      <c r="AB19" s="1224"/>
      <c r="AC19" s="1214" t="s">
        <v>2808</v>
      </c>
    </row>
    <row r="20" spans="1:29" ht="55.5" customHeight="1">
      <c r="A20" s="1212"/>
      <c r="B20" s="1212"/>
      <c r="C20" s="1212"/>
      <c r="D20" s="1212"/>
      <c r="E20" s="1212"/>
      <c r="F20" s="1212"/>
      <c r="G20" s="1212"/>
      <c r="H20" s="1219"/>
      <c r="I20" s="1219"/>
      <c r="J20" s="1219"/>
      <c r="K20" s="1219"/>
      <c r="L20" s="1219"/>
      <c r="M20" s="1212"/>
      <c r="N20" s="1217"/>
      <c r="O20" s="1217"/>
      <c r="P20" s="1217"/>
      <c r="Q20" s="1217"/>
      <c r="R20" s="1217"/>
      <c r="S20" s="1217"/>
      <c r="T20" s="1217"/>
      <c r="U20" s="1217"/>
      <c r="V20" s="1217"/>
      <c r="W20" s="1217"/>
      <c r="X20" s="1217"/>
      <c r="Y20" s="1217"/>
      <c r="Z20" s="1217"/>
      <c r="AA20" s="1217"/>
      <c r="AB20" s="1217"/>
      <c r="AC20" s="1212"/>
    </row>
    <row r="21" spans="1:29" ht="55.5" customHeight="1">
      <c r="A21" s="1212"/>
      <c r="B21" s="1212"/>
      <c r="C21" s="1212"/>
      <c r="D21" s="1212"/>
      <c r="E21" s="1212"/>
      <c r="F21" s="1212"/>
      <c r="G21" s="1212"/>
      <c r="H21" s="1218"/>
      <c r="I21" s="1218"/>
      <c r="J21" s="1218"/>
      <c r="K21" s="1218"/>
      <c r="L21" s="1218"/>
      <c r="M21" s="1212"/>
      <c r="N21" s="1216"/>
      <c r="O21" s="1216"/>
      <c r="P21" s="1216"/>
      <c r="Q21" s="1216"/>
      <c r="R21" s="1216"/>
      <c r="S21" s="1216"/>
      <c r="T21" s="1216"/>
      <c r="U21" s="1216"/>
      <c r="V21" s="1216"/>
      <c r="W21" s="1216"/>
      <c r="X21" s="1216"/>
      <c r="Y21" s="1216"/>
      <c r="Z21" s="1216"/>
      <c r="AA21" s="1216"/>
      <c r="AB21" s="1216"/>
      <c r="AC21" s="1212"/>
    </row>
    <row r="22" spans="1:29" ht="55.5" customHeight="1">
      <c r="A22" s="1212"/>
      <c r="B22" s="1212"/>
      <c r="C22" s="1212"/>
      <c r="D22" s="1212"/>
      <c r="E22" s="1212"/>
      <c r="F22" s="1212"/>
      <c r="G22" s="1212"/>
      <c r="H22" s="1218"/>
      <c r="I22" s="1218"/>
      <c r="J22" s="1218"/>
      <c r="K22" s="1218"/>
      <c r="L22" s="1218"/>
      <c r="M22" s="1212"/>
      <c r="N22" s="1217"/>
      <c r="O22" s="1217"/>
      <c r="P22" s="1217"/>
      <c r="Q22" s="1217"/>
      <c r="R22" s="1217"/>
      <c r="S22" s="1217"/>
      <c r="T22" s="1217"/>
      <c r="U22" s="1217"/>
      <c r="V22" s="1217"/>
      <c r="W22" s="1217"/>
      <c r="X22" s="1217"/>
      <c r="Y22" s="1217"/>
      <c r="Z22" s="1217"/>
      <c r="AA22" s="1217"/>
      <c r="AB22" s="1217"/>
      <c r="AC22" s="1212"/>
    </row>
    <row r="23" spans="1:29" ht="55.5" customHeight="1">
      <c r="A23" s="1212"/>
      <c r="B23" s="1212"/>
      <c r="C23" s="1212"/>
      <c r="D23" s="1212"/>
      <c r="E23" s="1212"/>
      <c r="F23" s="1212"/>
      <c r="G23" s="1212"/>
      <c r="H23" s="1218"/>
      <c r="I23" s="1218"/>
      <c r="J23" s="1218"/>
      <c r="K23" s="1218"/>
      <c r="L23" s="1218"/>
      <c r="M23" s="1212"/>
      <c r="N23" s="1217"/>
      <c r="O23" s="1217"/>
      <c r="P23" s="1217"/>
      <c r="Q23" s="1217"/>
      <c r="R23" s="1217"/>
      <c r="S23" s="1217"/>
      <c r="T23" s="1217"/>
      <c r="U23" s="1217"/>
      <c r="V23" s="1217"/>
      <c r="W23" s="1217"/>
      <c r="X23" s="1217"/>
      <c r="Y23" s="1217"/>
      <c r="Z23" s="1217"/>
      <c r="AA23" s="1217"/>
      <c r="AB23" s="1217"/>
      <c r="AC23" s="1212"/>
    </row>
    <row r="24" spans="1:29" ht="55.5" customHeight="1">
      <c r="A24" s="1212"/>
      <c r="B24" s="1212"/>
      <c r="C24" s="1212"/>
      <c r="D24" s="1212"/>
      <c r="E24" s="1212"/>
      <c r="F24" s="1212"/>
      <c r="G24" s="1212"/>
      <c r="H24" s="1220"/>
      <c r="I24" s="1220"/>
      <c r="J24" s="1220"/>
      <c r="K24" s="1220"/>
      <c r="L24" s="1220"/>
      <c r="M24" s="1212"/>
      <c r="N24" s="1217"/>
      <c r="O24" s="1217"/>
      <c r="P24" s="1217"/>
      <c r="Q24" s="1217"/>
      <c r="R24" s="1217"/>
      <c r="S24" s="1217"/>
      <c r="T24" s="1217"/>
      <c r="U24" s="1217"/>
      <c r="V24" s="1217"/>
      <c r="W24" s="1217"/>
      <c r="X24" s="1217"/>
      <c r="Y24" s="1217"/>
      <c r="Z24" s="1217"/>
      <c r="AA24" s="1217"/>
      <c r="AB24" s="1217"/>
      <c r="AC24" s="1212"/>
    </row>
  </sheetData>
  <mergeCells count="9">
    <mergeCell ref="Q2:S2"/>
    <mergeCell ref="T2:V2"/>
    <mergeCell ref="W2:Y2"/>
    <mergeCell ref="Z2:AB2"/>
    <mergeCell ref="B1:F1"/>
    <mergeCell ref="B2:B3"/>
    <mergeCell ref="C2:E2"/>
    <mergeCell ref="H2:L2"/>
    <mergeCell ref="N2:P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M251"/>
  <sheetViews>
    <sheetView zoomScale="80" zoomScaleNormal="80" workbookViewId="0">
      <selection activeCell="G4" sqref="G4"/>
    </sheetView>
  </sheetViews>
  <sheetFormatPr defaultRowHeight="15"/>
  <cols>
    <col min="1" max="1" width="23.28515625" style="729" customWidth="1"/>
    <col min="2" max="2" width="13" style="778" bestFit="1" customWidth="1"/>
    <col min="3" max="3" width="29.5703125" style="728" customWidth="1"/>
    <col min="4" max="4" width="18.5703125" style="728" customWidth="1"/>
    <col min="5" max="5" width="36.140625" style="779" customWidth="1"/>
    <col min="6" max="6" width="13.28515625" style="780" customWidth="1"/>
    <col min="7" max="7" width="20.7109375" style="729" customWidth="1"/>
    <col min="8" max="8" width="18.5703125" style="729" customWidth="1"/>
    <col min="9" max="9" width="21.42578125" style="729" customWidth="1"/>
    <col min="10" max="10" width="40.5703125" style="729" hidden="1" customWidth="1"/>
    <col min="11" max="11" width="39.85546875" style="729" hidden="1" customWidth="1"/>
    <col min="12" max="12" width="34.5703125" style="729" customWidth="1"/>
    <col min="13" max="13" width="23.5703125" style="729" customWidth="1"/>
    <col min="14" max="16384" width="9.140625" style="729"/>
  </cols>
  <sheetData>
    <row r="1" spans="1:13" ht="19.5" customHeight="1">
      <c r="A1" s="725" t="s">
        <v>2334</v>
      </c>
      <c r="B1" s="726"/>
      <c r="C1" s="727"/>
      <c r="E1" s="1940" t="s">
        <v>2303</v>
      </c>
      <c r="F1" s="1941"/>
      <c r="G1" s="1942"/>
      <c r="J1" s="790" t="s">
        <v>2372</v>
      </c>
    </row>
    <row r="2" spans="1:13">
      <c r="A2" s="730">
        <v>2012</v>
      </c>
      <c r="B2" s="731"/>
      <c r="C2" s="732"/>
      <c r="E2" s="733" t="s">
        <v>2262</v>
      </c>
      <c r="F2" s="734" t="s">
        <v>2305</v>
      </c>
      <c r="G2" s="735" t="s">
        <v>2335</v>
      </c>
      <c r="L2" s="790" t="s">
        <v>2609</v>
      </c>
      <c r="M2" s="790" t="s">
        <v>2610</v>
      </c>
    </row>
    <row r="3" spans="1:13">
      <c r="A3" s="736" t="s">
        <v>2336</v>
      </c>
      <c r="B3" s="731" t="s">
        <v>2337</v>
      </c>
      <c r="C3" s="732"/>
      <c r="E3" s="737" t="s">
        <v>2314</v>
      </c>
      <c r="F3" s="781">
        <v>9899</v>
      </c>
      <c r="G3" s="794">
        <f>B11*1000</f>
        <v>351503598.1402691</v>
      </c>
      <c r="H3" s="791">
        <v>1</v>
      </c>
      <c r="L3" s="919">
        <v>10216773</v>
      </c>
      <c r="M3" s="920">
        <f>L3</f>
        <v>10216773</v>
      </c>
    </row>
    <row r="4" spans="1:13" ht="30.75">
      <c r="A4" s="738" t="s">
        <v>2338</v>
      </c>
      <c r="B4" s="739">
        <f>ДХ_расходы!B13</f>
        <v>382636</v>
      </c>
      <c r="C4" s="732"/>
      <c r="E4" s="740" t="s">
        <v>2316</v>
      </c>
      <c r="F4" s="782">
        <v>396</v>
      </c>
      <c r="G4" s="795">
        <v>14061564.285639601</v>
      </c>
      <c r="H4" s="792">
        <f>F4/F3</f>
        <v>4.0004040812203254E-2</v>
      </c>
      <c r="I4" s="641">
        <f>H4*G3</f>
        <v>14061564.285639618</v>
      </c>
      <c r="L4" s="914">
        <f t="shared" ref="L4:L12" si="0">H4*$L$3</f>
        <v>408712.20406101627</v>
      </c>
    </row>
    <row r="5" spans="1:13" ht="31.5" thickBot="1">
      <c r="A5" s="741" t="s">
        <v>2339</v>
      </c>
      <c r="B5" s="742">
        <f>ДХ_здрав_структ!B10</f>
        <v>9899</v>
      </c>
      <c r="C5" s="743"/>
      <c r="E5" s="740" t="s">
        <v>2318</v>
      </c>
      <c r="F5" s="782">
        <v>118</v>
      </c>
      <c r="G5" s="795">
        <v>4190062.0851148353</v>
      </c>
      <c r="H5" s="792">
        <f>F5/F3</f>
        <v>1.1920395999595918E-2</v>
      </c>
      <c r="I5" s="641">
        <f>H5*G3</f>
        <v>4190062.0851148353</v>
      </c>
      <c r="L5" s="914">
        <f t="shared" si="0"/>
        <v>121787.97999797959</v>
      </c>
    </row>
    <row r="6" spans="1:13" ht="30.75">
      <c r="A6" s="728"/>
      <c r="B6" s="745"/>
      <c r="E6" s="740" t="s">
        <v>2320</v>
      </c>
      <c r="F6" s="782">
        <v>4946</v>
      </c>
      <c r="G6" s="795">
        <v>175627517.56761</v>
      </c>
      <c r="H6" s="792">
        <f>F6/F3</f>
        <v>0.49964642893221539</v>
      </c>
      <c r="I6" s="641">
        <f>H6*G3</f>
        <v>175627517.56760997</v>
      </c>
      <c r="L6" s="914">
        <f t="shared" si="0"/>
        <v>5104774.1446610773</v>
      </c>
      <c r="M6" s="914">
        <f>L6+L4+L5</f>
        <v>5635274.3287200732</v>
      </c>
    </row>
    <row r="7" spans="1:13" ht="30" customHeight="1">
      <c r="A7" s="1943" t="s">
        <v>2340</v>
      </c>
      <c r="B7" s="1943"/>
      <c r="C7" s="1943"/>
      <c r="E7" s="740" t="s">
        <v>2322</v>
      </c>
      <c r="F7" s="782">
        <v>346</v>
      </c>
      <c r="G7" s="794">
        <v>12286114.249574009</v>
      </c>
      <c r="H7" s="792">
        <f>F7/F3</f>
        <v>3.4953025558137188E-2</v>
      </c>
      <c r="I7" s="641">
        <f>H7*G3</f>
        <v>12286114.249574009</v>
      </c>
      <c r="J7" s="790" t="s">
        <v>2373</v>
      </c>
      <c r="L7" s="915">
        <f t="shared" si="0"/>
        <v>357107.12779068598</v>
      </c>
      <c r="M7" s="915">
        <f>L7</f>
        <v>357107.12779068598</v>
      </c>
    </row>
    <row r="8" spans="1:13" ht="15.75">
      <c r="A8" s="747"/>
      <c r="B8" s="748" t="s">
        <v>2341</v>
      </c>
      <c r="C8" s="749"/>
      <c r="E8" s="740" t="s">
        <v>2324</v>
      </c>
      <c r="F8" s="782">
        <v>2216</v>
      </c>
      <c r="G8" s="795">
        <v>78687945.598427758</v>
      </c>
      <c r="H8" s="792">
        <f>F8/F3</f>
        <v>0.2238609960602081</v>
      </c>
      <c r="I8" s="641">
        <f>H8*G3</f>
        <v>78687945.598427758</v>
      </c>
      <c r="L8" s="916">
        <f t="shared" si="0"/>
        <v>2287136.9803010402</v>
      </c>
      <c r="M8" s="916">
        <f>L8</f>
        <v>2287136.9803010402</v>
      </c>
    </row>
    <row r="9" spans="1:13" ht="15.75">
      <c r="A9" s="750" t="s">
        <v>2342</v>
      </c>
      <c r="B9" s="751">
        <v>14739372</v>
      </c>
      <c r="C9" s="749"/>
      <c r="D9" s="729"/>
      <c r="E9" s="740" t="s">
        <v>2326</v>
      </c>
      <c r="F9" s="782">
        <v>553</v>
      </c>
      <c r="G9" s="794">
        <v>19636477.398885626</v>
      </c>
      <c r="H9" s="792">
        <f>F9/F3</f>
        <v>5.5864228709970702E-2</v>
      </c>
      <c r="I9" s="641">
        <f>H9*G3</f>
        <v>19636477.398885626</v>
      </c>
      <c r="J9" s="790" t="s">
        <v>2374</v>
      </c>
      <c r="L9" s="917">
        <f t="shared" si="0"/>
        <v>570752.14354985347</v>
      </c>
    </row>
    <row r="10" spans="1:13" s="756" customFormat="1" ht="30" customHeight="1">
      <c r="A10" s="752" t="s">
        <v>2343</v>
      </c>
      <c r="B10" s="753">
        <v>13587022</v>
      </c>
      <c r="C10" s="754" t="s">
        <v>2344</v>
      </c>
      <c r="D10" s="755"/>
      <c r="E10" s="740" t="s">
        <v>2328</v>
      </c>
      <c r="F10" s="782">
        <v>1070</v>
      </c>
      <c r="G10" s="794">
        <v>37994630.771804012</v>
      </c>
      <c r="H10" s="792">
        <f>F10/F3</f>
        <v>0.10809172643701384</v>
      </c>
      <c r="I10" s="641">
        <f>H10*G3</f>
        <v>37994630.771804012</v>
      </c>
      <c r="J10" s="867" t="s">
        <v>2375</v>
      </c>
      <c r="K10" s="867" t="s">
        <v>2376</v>
      </c>
      <c r="L10" s="917">
        <f t="shared" si="0"/>
        <v>1104348.6321850691</v>
      </c>
      <c r="M10" s="918">
        <f>L10+L11+L12+L9</f>
        <v>1937254.5631882008</v>
      </c>
    </row>
    <row r="11" spans="1:13" ht="45.75">
      <c r="A11" s="757" t="s">
        <v>2345</v>
      </c>
      <c r="B11" s="758">
        <f>B10*B13</f>
        <v>351503.59814026911</v>
      </c>
      <c r="C11" s="749"/>
      <c r="D11" s="759"/>
      <c r="E11" s="760" t="s">
        <v>2332</v>
      </c>
      <c r="F11" s="782">
        <v>154</v>
      </c>
      <c r="G11" s="794">
        <v>5468386.1110820733</v>
      </c>
      <c r="H11" s="792">
        <f>F11/F3</f>
        <v>1.5557126982523487E-2</v>
      </c>
      <c r="I11" s="641">
        <f>H11*G3</f>
        <v>5468386.1110820733</v>
      </c>
      <c r="L11" s="917">
        <f t="shared" si="0"/>
        <v>158943.63491261745</v>
      </c>
    </row>
    <row r="12" spans="1:13" ht="15.75">
      <c r="B12" s="745"/>
      <c r="D12" s="759"/>
      <c r="E12" s="740" t="s">
        <v>322</v>
      </c>
      <c r="F12" s="783">
        <v>100</v>
      </c>
      <c r="G12" s="794">
        <v>3550900.0721312165</v>
      </c>
      <c r="H12" s="792">
        <f>F12/F3</f>
        <v>1.0102030508132135E-2</v>
      </c>
      <c r="I12" s="641">
        <f>H12*G3</f>
        <v>3550900.0721312165</v>
      </c>
      <c r="L12" s="917">
        <f t="shared" si="0"/>
        <v>103210.15254066068</v>
      </c>
    </row>
    <row r="13" spans="1:13">
      <c r="A13" s="761" t="s">
        <v>2346</v>
      </c>
      <c r="B13" s="762">
        <f>B5/B4</f>
        <v>2.5870540147816725E-2</v>
      </c>
      <c r="E13" s="729"/>
      <c r="F13" s="729"/>
    </row>
    <row r="14" spans="1:13" ht="30" customHeight="1">
      <c r="A14" s="763" t="s">
        <v>2347</v>
      </c>
      <c r="B14" s="764">
        <f>B13*100</f>
        <v>2.5870540147816725</v>
      </c>
      <c r="C14" s="759"/>
      <c r="E14" s="765" t="s">
        <v>2348</v>
      </c>
      <c r="F14" s="766">
        <f>G3/F15*100</f>
        <v>45.967304414404836</v>
      </c>
      <c r="I14" s="790"/>
    </row>
    <row r="15" spans="1:13">
      <c r="B15" s="745"/>
      <c r="C15" s="759"/>
      <c r="E15" s="790" t="s">
        <v>2353</v>
      </c>
      <c r="F15" s="779">
        <f>SUM('FS-HF2'!C4:F42)</f>
        <v>764681772.44284511</v>
      </c>
      <c r="G15" s="779"/>
      <c r="H15" s="767"/>
      <c r="I15" s="767"/>
    </row>
    <row r="16" spans="1:13">
      <c r="B16" s="745"/>
      <c r="C16" s="759"/>
      <c r="D16" s="717"/>
      <c r="E16" s="729"/>
      <c r="F16" s="729"/>
      <c r="H16" s="768"/>
      <c r="J16" s="767"/>
    </row>
    <row r="17" spans="3:10">
      <c r="D17" s="769"/>
      <c r="E17" s="729"/>
      <c r="F17" s="729"/>
      <c r="H17" s="768"/>
    </row>
    <row r="18" spans="3:10">
      <c r="C18" s="759"/>
      <c r="D18" s="770"/>
      <c r="E18" s="729"/>
      <c r="F18" s="729"/>
      <c r="H18" s="768"/>
    </row>
    <row r="19" spans="3:10">
      <c r="C19" s="759"/>
      <c r="D19" s="770"/>
      <c r="E19" s="729"/>
      <c r="F19" s="729"/>
      <c r="H19" s="768"/>
    </row>
    <row r="20" spans="3:10">
      <c r="C20" s="759"/>
      <c r="D20" s="770"/>
      <c r="E20" s="729"/>
      <c r="F20" s="729"/>
      <c r="H20" s="768"/>
    </row>
    <row r="21" spans="3:10">
      <c r="C21" s="759"/>
      <c r="D21" s="770"/>
      <c r="E21" s="729"/>
      <c r="F21" s="729"/>
      <c r="H21" s="768"/>
    </row>
    <row r="22" spans="3:10">
      <c r="C22" s="759"/>
      <c r="D22" s="770"/>
      <c r="E22" s="729"/>
      <c r="F22" s="729"/>
      <c r="H22" s="768"/>
    </row>
    <row r="23" spans="3:10">
      <c r="C23" s="759"/>
      <c r="D23" s="770"/>
      <c r="E23" s="729"/>
      <c r="F23" s="729"/>
      <c r="H23" s="768"/>
    </row>
    <row r="24" spans="3:10" ht="29.25" customHeight="1">
      <c r="C24" s="759"/>
      <c r="D24" s="770"/>
      <c r="E24" s="729"/>
      <c r="F24" s="729"/>
      <c r="H24" s="768"/>
    </row>
    <row r="25" spans="3:10" ht="37.5" customHeight="1">
      <c r="C25" s="759"/>
      <c r="D25" s="721"/>
      <c r="E25" s="729"/>
      <c r="F25" s="729"/>
      <c r="H25" s="768"/>
    </row>
    <row r="26" spans="3:10">
      <c r="C26" s="759"/>
      <c r="D26" s="710"/>
      <c r="E26" s="711"/>
      <c r="F26" s="711"/>
      <c r="G26" s="711"/>
      <c r="H26" s="710"/>
      <c r="I26" s="710"/>
    </row>
    <row r="27" spans="3:10">
      <c r="C27" s="759"/>
      <c r="D27" s="710"/>
      <c r="E27" s="711"/>
      <c r="F27" s="711"/>
      <c r="G27" s="711"/>
      <c r="H27" s="710"/>
      <c r="I27" s="771"/>
      <c r="J27" s="710"/>
    </row>
    <row r="28" spans="3:10">
      <c r="C28" s="759"/>
      <c r="D28" s="710"/>
      <c r="E28" s="711"/>
      <c r="F28" s="772"/>
      <c r="G28" s="711"/>
      <c r="H28" s="710"/>
      <c r="I28" s="771"/>
      <c r="J28" s="771"/>
    </row>
    <row r="29" spans="3:10">
      <c r="C29" s="759"/>
      <c r="D29" s="710"/>
      <c r="E29" s="711"/>
      <c r="F29" s="711"/>
      <c r="G29" s="711"/>
      <c r="H29" s="710"/>
      <c r="I29" s="771"/>
      <c r="J29" s="771"/>
    </row>
    <row r="30" spans="3:10">
      <c r="C30" s="759"/>
      <c r="D30" s="710"/>
      <c r="E30" s="711"/>
      <c r="F30" s="711"/>
      <c r="G30" s="711"/>
      <c r="H30" s="710"/>
      <c r="I30" s="771"/>
      <c r="J30" s="771"/>
    </row>
    <row r="31" spans="3:10">
      <c r="C31" s="759"/>
      <c r="D31" s="710"/>
      <c r="E31" s="711"/>
      <c r="F31" s="711"/>
      <c r="G31" s="711"/>
      <c r="H31" s="710"/>
      <c r="I31" s="771"/>
      <c r="J31" s="771"/>
    </row>
    <row r="32" spans="3:10">
      <c r="C32" s="759"/>
      <c r="D32" s="710"/>
      <c r="E32" s="711"/>
      <c r="F32" s="711"/>
      <c r="G32" s="711"/>
      <c r="H32" s="710"/>
      <c r="I32" s="771"/>
      <c r="J32" s="771"/>
    </row>
    <row r="33" spans="3:13">
      <c r="C33" s="759"/>
      <c r="D33" s="710"/>
      <c r="E33" s="711"/>
      <c r="F33" s="711"/>
      <c r="G33" s="711"/>
      <c r="H33" s="710"/>
      <c r="I33" s="771"/>
      <c r="J33" s="771"/>
    </row>
    <row r="34" spans="3:13">
      <c r="C34" s="759"/>
      <c r="D34" s="710"/>
      <c r="E34" s="773"/>
      <c r="F34" s="773"/>
      <c r="G34" s="773"/>
      <c r="H34" s="774"/>
      <c r="I34" s="746"/>
      <c r="J34" s="771"/>
    </row>
    <row r="35" spans="3:13">
      <c r="C35" s="759"/>
      <c r="D35" s="710"/>
      <c r="E35" s="773"/>
      <c r="F35" s="773"/>
      <c r="G35" s="773"/>
      <c r="H35" s="774"/>
      <c r="I35" s="746"/>
      <c r="J35" s="746"/>
      <c r="K35" s="744"/>
      <c r="L35" s="744"/>
      <c r="M35" s="744"/>
    </row>
    <row r="36" spans="3:13">
      <c r="C36" s="759"/>
      <c r="D36" s="759"/>
      <c r="E36" s="775"/>
      <c r="F36" s="775"/>
      <c r="G36" s="746"/>
      <c r="H36" s="746"/>
      <c r="I36" s="746"/>
      <c r="J36" s="746"/>
      <c r="K36" s="744"/>
      <c r="L36" s="744"/>
      <c r="M36" s="744"/>
    </row>
    <row r="37" spans="3:13">
      <c r="C37" s="759"/>
      <c r="D37" s="759"/>
      <c r="E37" s="775"/>
      <c r="F37" s="775"/>
      <c r="G37" s="746"/>
      <c r="H37" s="746"/>
      <c r="I37" s="746"/>
      <c r="J37" s="746"/>
      <c r="K37" s="744"/>
      <c r="L37" s="744"/>
      <c r="M37" s="744"/>
    </row>
    <row r="38" spans="3:13">
      <c r="C38" s="759"/>
      <c r="D38" s="759"/>
      <c r="E38" s="775"/>
      <c r="F38" s="775"/>
      <c r="G38" s="746"/>
      <c r="H38" s="746"/>
      <c r="I38" s="746"/>
      <c r="J38" s="746"/>
      <c r="K38" s="744"/>
      <c r="L38" s="744"/>
      <c r="M38" s="744"/>
    </row>
    <row r="39" spans="3:13">
      <c r="C39" s="759"/>
      <c r="D39" s="759"/>
      <c r="E39" s="775"/>
      <c r="F39" s="775"/>
      <c r="G39" s="746"/>
      <c r="H39" s="746"/>
      <c r="I39" s="746"/>
      <c r="J39" s="746"/>
      <c r="K39" s="744"/>
      <c r="L39" s="744"/>
      <c r="M39" s="744"/>
    </row>
    <row r="40" spans="3:13">
      <c r="C40" s="759"/>
      <c r="D40" s="759"/>
      <c r="E40" s="775"/>
      <c r="F40" s="775"/>
      <c r="G40" s="746"/>
      <c r="H40" s="746"/>
      <c r="I40" s="746"/>
      <c r="J40" s="746"/>
      <c r="K40" s="744"/>
      <c r="L40" s="744"/>
      <c r="M40" s="744"/>
    </row>
    <row r="41" spans="3:13">
      <c r="C41" s="759"/>
      <c r="D41" s="759"/>
      <c r="E41" s="775"/>
      <c r="F41" s="775"/>
      <c r="G41" s="746"/>
      <c r="H41" s="746"/>
      <c r="I41" s="746"/>
      <c r="J41" s="746"/>
      <c r="K41" s="744"/>
      <c r="L41" s="744"/>
      <c r="M41" s="744"/>
    </row>
    <row r="42" spans="3:13">
      <c r="C42" s="759"/>
      <c r="D42" s="759"/>
      <c r="E42" s="775"/>
      <c r="F42" s="775"/>
      <c r="G42" s="746"/>
      <c r="H42" s="746"/>
      <c r="I42" s="746"/>
      <c r="J42" s="746"/>
      <c r="K42" s="744"/>
      <c r="L42" s="744"/>
      <c r="M42" s="744"/>
    </row>
    <row r="43" spans="3:13">
      <c r="C43" s="759"/>
      <c r="D43" s="759"/>
      <c r="E43" s="775"/>
      <c r="F43" s="775"/>
      <c r="G43" s="746"/>
      <c r="H43" s="746"/>
      <c r="I43" s="746"/>
      <c r="J43" s="746"/>
      <c r="K43" s="744"/>
      <c r="L43" s="744"/>
      <c r="M43" s="744"/>
    </row>
    <row r="44" spans="3:13">
      <c r="C44" s="759"/>
      <c r="D44" s="759"/>
      <c r="E44" s="775"/>
      <c r="F44" s="775"/>
      <c r="G44" s="746"/>
      <c r="H44" s="746"/>
      <c r="I44" s="746"/>
      <c r="J44" s="746"/>
      <c r="K44" s="744"/>
      <c r="L44" s="744"/>
      <c r="M44" s="744"/>
    </row>
    <row r="45" spans="3:13">
      <c r="C45" s="759"/>
      <c r="D45" s="759"/>
      <c r="E45" s="775"/>
      <c r="F45" s="775"/>
      <c r="G45" s="746"/>
      <c r="H45" s="746"/>
      <c r="I45" s="746"/>
      <c r="J45" s="746"/>
      <c r="K45" s="744"/>
      <c r="L45" s="744"/>
      <c r="M45" s="744"/>
    </row>
    <row r="46" spans="3:13">
      <c r="C46" s="759"/>
      <c r="D46" s="759"/>
      <c r="E46" s="775"/>
      <c r="F46" s="775"/>
      <c r="G46" s="746"/>
      <c r="H46" s="746"/>
      <c r="I46" s="746"/>
      <c r="J46" s="746"/>
      <c r="K46" s="744"/>
      <c r="L46" s="744"/>
      <c r="M46" s="744"/>
    </row>
    <row r="47" spans="3:13">
      <c r="C47" s="759"/>
      <c r="D47" s="759"/>
      <c r="E47" s="775"/>
      <c r="F47" s="775"/>
      <c r="G47" s="746"/>
      <c r="H47" s="746"/>
      <c r="I47" s="746"/>
      <c r="J47" s="746"/>
      <c r="K47" s="744"/>
      <c r="L47" s="744"/>
      <c r="M47" s="744"/>
    </row>
    <row r="48" spans="3:13">
      <c r="C48" s="759"/>
      <c r="D48" s="759"/>
      <c r="E48" s="775"/>
      <c r="F48" s="775"/>
      <c r="G48" s="746"/>
      <c r="H48" s="746"/>
      <c r="I48" s="746"/>
      <c r="J48" s="746"/>
      <c r="K48" s="744"/>
      <c r="L48" s="744"/>
      <c r="M48" s="744"/>
    </row>
    <row r="49" spans="3:13">
      <c r="C49" s="759"/>
      <c r="D49" s="759"/>
      <c r="E49" s="775"/>
      <c r="F49" s="775"/>
      <c r="G49" s="746"/>
      <c r="H49" s="746"/>
      <c r="I49" s="746"/>
      <c r="J49" s="746"/>
      <c r="K49" s="744"/>
      <c r="L49" s="744"/>
      <c r="M49" s="744"/>
    </row>
    <row r="50" spans="3:13">
      <c r="C50" s="759"/>
      <c r="D50" s="759"/>
      <c r="E50" s="775"/>
      <c r="F50" s="775"/>
      <c r="G50" s="746"/>
      <c r="H50" s="746"/>
      <c r="I50" s="746"/>
      <c r="J50" s="746"/>
      <c r="K50" s="744"/>
      <c r="L50" s="744"/>
      <c r="M50" s="744"/>
    </row>
    <row r="51" spans="3:13">
      <c r="C51" s="759"/>
      <c r="D51" s="759"/>
      <c r="E51" s="775"/>
      <c r="F51" s="775"/>
      <c r="G51" s="746"/>
      <c r="H51" s="746"/>
      <c r="I51" s="746"/>
      <c r="J51" s="746"/>
      <c r="K51" s="744"/>
      <c r="L51" s="744"/>
      <c r="M51" s="744"/>
    </row>
    <row r="52" spans="3:13">
      <c r="C52" s="759"/>
      <c r="D52" s="759"/>
      <c r="E52" s="775"/>
      <c r="F52" s="775"/>
      <c r="G52" s="746"/>
      <c r="H52" s="746"/>
      <c r="I52" s="746"/>
      <c r="J52" s="746"/>
      <c r="K52" s="744"/>
      <c r="L52" s="744"/>
      <c r="M52" s="744"/>
    </row>
    <row r="53" spans="3:13">
      <c r="C53" s="759"/>
      <c r="D53" s="759"/>
      <c r="E53" s="775"/>
      <c r="F53" s="775"/>
      <c r="G53" s="746"/>
      <c r="H53" s="746"/>
      <c r="I53" s="746"/>
      <c r="J53" s="746"/>
      <c r="K53" s="744"/>
      <c r="L53" s="744"/>
      <c r="M53" s="744"/>
    </row>
    <row r="54" spans="3:13">
      <c r="C54" s="759"/>
      <c r="D54" s="759"/>
      <c r="E54" s="775"/>
      <c r="F54" s="775"/>
      <c r="G54" s="746"/>
      <c r="H54" s="746"/>
      <c r="I54" s="746"/>
      <c r="J54" s="746"/>
      <c r="K54" s="744"/>
      <c r="L54" s="744"/>
      <c r="M54" s="744"/>
    </row>
    <row r="55" spans="3:13">
      <c r="C55" s="759"/>
      <c r="D55" s="759"/>
      <c r="E55" s="775"/>
      <c r="F55" s="775"/>
      <c r="G55" s="746"/>
      <c r="H55" s="746"/>
      <c r="I55" s="746"/>
      <c r="J55" s="746"/>
      <c r="K55" s="744"/>
      <c r="L55" s="744"/>
      <c r="M55" s="744"/>
    </row>
    <row r="56" spans="3:13">
      <c r="C56" s="759"/>
      <c r="D56" s="759"/>
      <c r="E56" s="775"/>
      <c r="F56" s="775"/>
      <c r="G56" s="746"/>
      <c r="H56" s="746"/>
      <c r="I56" s="746"/>
      <c r="J56" s="746"/>
      <c r="K56" s="744"/>
      <c r="L56" s="744"/>
      <c r="M56" s="744"/>
    </row>
    <row r="57" spans="3:13">
      <c r="C57" s="759"/>
      <c r="D57" s="759"/>
      <c r="E57" s="775"/>
      <c r="F57" s="775"/>
      <c r="G57" s="746"/>
      <c r="H57" s="746"/>
      <c r="I57" s="746"/>
      <c r="J57" s="746"/>
      <c r="K57" s="744"/>
      <c r="L57" s="744"/>
      <c r="M57" s="744"/>
    </row>
    <row r="58" spans="3:13">
      <c r="C58" s="759"/>
      <c r="D58" s="759"/>
      <c r="E58" s="775"/>
      <c r="F58" s="775"/>
      <c r="G58" s="746"/>
      <c r="H58" s="746"/>
      <c r="I58" s="746"/>
      <c r="J58" s="746"/>
      <c r="K58" s="744"/>
      <c r="L58" s="744"/>
      <c r="M58" s="744"/>
    </row>
    <row r="59" spans="3:13">
      <c r="C59" s="759"/>
      <c r="D59" s="759"/>
      <c r="E59" s="775"/>
      <c r="F59" s="775"/>
      <c r="G59" s="746"/>
      <c r="H59" s="746"/>
      <c r="I59" s="746"/>
      <c r="J59" s="746"/>
      <c r="K59" s="744"/>
      <c r="L59" s="744"/>
      <c r="M59" s="744"/>
    </row>
    <row r="60" spans="3:13">
      <c r="C60" s="759"/>
      <c r="D60" s="759"/>
      <c r="E60" s="775"/>
      <c r="F60" s="775"/>
      <c r="G60" s="746"/>
      <c r="H60" s="746"/>
      <c r="I60" s="746"/>
      <c r="J60" s="746"/>
      <c r="K60" s="744"/>
      <c r="L60" s="744"/>
      <c r="M60" s="744"/>
    </row>
    <row r="61" spans="3:13">
      <c r="C61" s="759"/>
      <c r="D61" s="759"/>
      <c r="E61" s="775"/>
      <c r="F61" s="775"/>
      <c r="G61" s="746"/>
      <c r="H61" s="746"/>
      <c r="I61" s="746"/>
      <c r="J61" s="746"/>
      <c r="K61" s="744"/>
      <c r="L61" s="744"/>
      <c r="M61" s="744"/>
    </row>
    <row r="62" spans="3:13">
      <c r="C62" s="759"/>
      <c r="D62" s="759"/>
      <c r="E62" s="775"/>
      <c r="F62" s="775"/>
      <c r="G62" s="746"/>
      <c r="H62" s="746"/>
      <c r="I62" s="746"/>
      <c r="J62" s="746"/>
      <c r="K62" s="744"/>
      <c r="L62" s="744"/>
      <c r="M62" s="744"/>
    </row>
    <row r="63" spans="3:13">
      <c r="C63" s="759"/>
      <c r="D63" s="759"/>
      <c r="E63" s="775"/>
      <c r="F63" s="775"/>
      <c r="G63" s="746"/>
      <c r="H63" s="746"/>
      <c r="I63" s="746"/>
      <c r="J63" s="746"/>
      <c r="K63" s="744"/>
      <c r="L63" s="744"/>
      <c r="M63" s="744"/>
    </row>
    <row r="64" spans="3:13">
      <c r="C64" s="759"/>
      <c r="D64" s="759"/>
      <c r="E64" s="775"/>
      <c r="F64" s="775"/>
      <c r="G64" s="746"/>
      <c r="H64" s="746"/>
      <c r="I64" s="746"/>
      <c r="J64" s="746"/>
      <c r="K64" s="744"/>
      <c r="L64" s="744"/>
      <c r="M64" s="744"/>
    </row>
    <row r="65" spans="3:13">
      <c r="C65" s="759"/>
      <c r="D65" s="759"/>
      <c r="E65" s="775"/>
      <c r="F65" s="775"/>
      <c r="G65" s="746"/>
      <c r="H65" s="746"/>
      <c r="I65" s="746"/>
      <c r="J65" s="746"/>
      <c r="K65" s="744"/>
      <c r="L65" s="744"/>
      <c r="M65" s="744"/>
    </row>
    <row r="66" spans="3:13">
      <c r="C66" s="759"/>
      <c r="D66" s="759"/>
      <c r="E66" s="775"/>
      <c r="F66" s="775"/>
      <c r="G66" s="746"/>
      <c r="H66" s="746"/>
      <c r="I66" s="746"/>
      <c r="J66" s="746"/>
      <c r="K66" s="744"/>
      <c r="L66" s="744"/>
      <c r="M66" s="744"/>
    </row>
    <row r="67" spans="3:13">
      <c r="C67" s="759"/>
      <c r="D67" s="759"/>
      <c r="E67" s="775"/>
      <c r="F67" s="775"/>
      <c r="G67" s="746"/>
      <c r="H67" s="746"/>
      <c r="I67" s="746"/>
      <c r="J67" s="746"/>
      <c r="K67" s="744"/>
      <c r="L67" s="744"/>
      <c r="M67" s="744"/>
    </row>
    <row r="68" spans="3:13">
      <c r="C68" s="759"/>
      <c r="D68" s="759"/>
      <c r="E68" s="775"/>
      <c r="F68" s="775"/>
      <c r="G68" s="746"/>
      <c r="H68" s="746"/>
      <c r="I68" s="746"/>
      <c r="J68" s="746"/>
      <c r="K68" s="744"/>
      <c r="L68" s="744"/>
      <c r="M68" s="744"/>
    </row>
    <row r="69" spans="3:13">
      <c r="C69" s="759"/>
      <c r="D69" s="759"/>
      <c r="E69" s="775"/>
      <c r="F69" s="775"/>
      <c r="G69" s="746"/>
      <c r="H69" s="746"/>
      <c r="I69" s="746"/>
      <c r="J69" s="746"/>
      <c r="K69" s="744"/>
      <c r="L69" s="744"/>
      <c r="M69" s="744"/>
    </row>
    <row r="70" spans="3:13">
      <c r="C70" s="759"/>
      <c r="D70" s="759"/>
      <c r="E70" s="775"/>
      <c r="F70" s="775"/>
      <c r="G70" s="746"/>
      <c r="H70" s="746"/>
      <c r="I70" s="746"/>
      <c r="J70" s="746"/>
      <c r="K70" s="744"/>
      <c r="L70" s="744"/>
      <c r="M70" s="744"/>
    </row>
    <row r="71" spans="3:13">
      <c r="C71" s="759"/>
      <c r="D71" s="759"/>
      <c r="E71" s="775"/>
      <c r="F71" s="775"/>
      <c r="G71" s="746"/>
      <c r="H71" s="746"/>
      <c r="I71" s="746"/>
      <c r="J71" s="746"/>
      <c r="K71" s="744"/>
      <c r="L71" s="744"/>
      <c r="M71" s="744"/>
    </row>
    <row r="72" spans="3:13">
      <c r="C72" s="759"/>
      <c r="D72" s="759"/>
      <c r="E72" s="775"/>
      <c r="F72" s="775"/>
      <c r="G72" s="746"/>
      <c r="H72" s="746"/>
      <c r="I72" s="746"/>
      <c r="J72" s="746"/>
      <c r="K72" s="744"/>
      <c r="L72" s="744"/>
      <c r="M72" s="744"/>
    </row>
    <row r="73" spans="3:13">
      <c r="C73" s="759"/>
      <c r="D73" s="759"/>
      <c r="E73" s="775"/>
      <c r="F73" s="775"/>
      <c r="G73" s="746"/>
      <c r="H73" s="746"/>
      <c r="I73" s="746"/>
      <c r="J73" s="746"/>
      <c r="K73" s="744"/>
      <c r="L73" s="744"/>
      <c r="M73" s="744"/>
    </row>
    <row r="74" spans="3:13">
      <c r="C74" s="759"/>
      <c r="D74" s="759"/>
      <c r="E74" s="775"/>
      <c r="F74" s="775"/>
      <c r="G74" s="746"/>
      <c r="H74" s="746"/>
      <c r="I74" s="746"/>
      <c r="J74" s="746"/>
      <c r="K74" s="744"/>
      <c r="L74" s="744"/>
      <c r="M74" s="744"/>
    </row>
    <row r="75" spans="3:13">
      <c r="C75" s="759"/>
      <c r="D75" s="759"/>
      <c r="E75" s="775"/>
      <c r="F75" s="775"/>
      <c r="G75" s="746"/>
      <c r="H75" s="746"/>
      <c r="I75" s="746"/>
      <c r="J75" s="746"/>
      <c r="K75" s="744"/>
      <c r="L75" s="744"/>
      <c r="M75" s="744"/>
    </row>
    <row r="76" spans="3:13">
      <c r="C76" s="759"/>
      <c r="D76" s="759"/>
      <c r="E76" s="775"/>
      <c r="F76" s="775"/>
      <c r="G76" s="746"/>
      <c r="H76" s="746"/>
      <c r="I76" s="746"/>
      <c r="J76" s="746"/>
      <c r="K76" s="744"/>
      <c r="L76" s="744"/>
      <c r="M76" s="744"/>
    </row>
    <row r="77" spans="3:13">
      <c r="C77" s="759"/>
      <c r="D77" s="759"/>
      <c r="E77" s="775"/>
      <c r="F77" s="775"/>
      <c r="G77" s="746"/>
      <c r="H77" s="746"/>
      <c r="I77" s="746"/>
      <c r="J77" s="746"/>
      <c r="K77" s="744"/>
      <c r="L77" s="744"/>
      <c r="M77" s="744"/>
    </row>
    <row r="78" spans="3:13">
      <c r="C78" s="759"/>
      <c r="D78" s="759"/>
      <c r="E78" s="775"/>
      <c r="F78" s="775"/>
      <c r="G78" s="746"/>
      <c r="H78" s="746"/>
      <c r="I78" s="746"/>
      <c r="J78" s="746"/>
      <c r="K78" s="744"/>
      <c r="L78" s="744"/>
      <c r="M78" s="744"/>
    </row>
    <row r="79" spans="3:13">
      <c r="C79" s="759"/>
      <c r="D79" s="759"/>
      <c r="E79" s="775"/>
      <c r="F79" s="775"/>
      <c r="G79" s="746"/>
      <c r="H79" s="746"/>
      <c r="I79" s="746"/>
      <c r="J79" s="746"/>
      <c r="K79" s="744"/>
      <c r="L79" s="744"/>
      <c r="M79" s="744"/>
    </row>
    <row r="80" spans="3:13">
      <c r="C80" s="759"/>
      <c r="D80" s="759"/>
      <c r="E80" s="775"/>
      <c r="F80" s="775"/>
      <c r="G80" s="746"/>
      <c r="H80" s="746"/>
      <c r="I80" s="746"/>
      <c r="J80" s="746"/>
      <c r="K80" s="744"/>
      <c r="L80" s="744"/>
      <c r="M80" s="744"/>
    </row>
    <row r="81" spans="3:13">
      <c r="C81" s="759"/>
      <c r="D81" s="759"/>
      <c r="E81" s="775"/>
      <c r="F81" s="775"/>
      <c r="G81" s="746"/>
      <c r="H81" s="746"/>
      <c r="I81" s="746"/>
      <c r="J81" s="746"/>
      <c r="K81" s="744"/>
      <c r="L81" s="744"/>
      <c r="M81" s="744"/>
    </row>
    <row r="82" spans="3:13">
      <c r="C82" s="759"/>
      <c r="D82" s="759"/>
      <c r="E82" s="775"/>
      <c r="F82" s="775"/>
      <c r="G82" s="746"/>
      <c r="H82" s="746"/>
      <c r="I82" s="746"/>
      <c r="J82" s="746"/>
      <c r="K82" s="744"/>
      <c r="L82" s="744"/>
      <c r="M82" s="744"/>
    </row>
    <row r="83" spans="3:13">
      <c r="C83" s="759"/>
      <c r="D83" s="759"/>
      <c r="E83" s="775"/>
      <c r="F83" s="775"/>
      <c r="G83" s="746"/>
      <c r="H83" s="746"/>
      <c r="I83" s="746"/>
      <c r="J83" s="746"/>
      <c r="K83" s="744"/>
      <c r="L83" s="744"/>
      <c r="M83" s="744"/>
    </row>
    <row r="84" spans="3:13">
      <c r="C84" s="759"/>
      <c r="D84" s="759"/>
      <c r="E84" s="775"/>
      <c r="F84" s="775"/>
      <c r="G84" s="746"/>
      <c r="H84" s="746"/>
      <c r="I84" s="746"/>
      <c r="J84" s="746"/>
      <c r="K84" s="744"/>
      <c r="L84" s="744"/>
      <c r="M84" s="744"/>
    </row>
    <row r="85" spans="3:13">
      <c r="C85" s="759"/>
      <c r="D85" s="759"/>
      <c r="E85" s="775"/>
      <c r="F85" s="775"/>
      <c r="G85" s="746"/>
      <c r="H85" s="746"/>
      <c r="I85" s="746"/>
      <c r="J85" s="746"/>
      <c r="K85" s="744"/>
      <c r="L85" s="744"/>
      <c r="M85" s="744"/>
    </row>
    <row r="86" spans="3:13">
      <c r="C86" s="759"/>
      <c r="D86" s="759"/>
      <c r="E86" s="775"/>
      <c r="F86" s="775"/>
      <c r="G86" s="746"/>
      <c r="H86" s="746"/>
      <c r="I86" s="746"/>
      <c r="J86" s="746"/>
      <c r="K86" s="744"/>
      <c r="L86" s="744"/>
      <c r="M86" s="744"/>
    </row>
    <row r="87" spans="3:13">
      <c r="C87" s="759"/>
      <c r="D87" s="759"/>
      <c r="E87" s="775"/>
      <c r="F87" s="775"/>
      <c r="G87" s="746"/>
      <c r="H87" s="746"/>
      <c r="I87" s="746"/>
      <c r="J87" s="746"/>
      <c r="K87" s="744"/>
      <c r="L87" s="744"/>
      <c r="M87" s="744"/>
    </row>
    <row r="88" spans="3:13">
      <c r="C88" s="759"/>
      <c r="D88" s="759"/>
      <c r="E88" s="775"/>
      <c r="F88" s="775"/>
      <c r="G88" s="746"/>
      <c r="H88" s="746"/>
      <c r="I88" s="746"/>
      <c r="J88" s="746"/>
      <c r="K88" s="744"/>
      <c r="L88" s="744"/>
      <c r="M88" s="744"/>
    </row>
    <row r="89" spans="3:13">
      <c r="C89" s="759"/>
      <c r="D89" s="759"/>
      <c r="E89" s="775"/>
      <c r="F89" s="775"/>
      <c r="G89" s="746"/>
      <c r="H89" s="746"/>
      <c r="I89" s="746"/>
      <c r="J89" s="746"/>
      <c r="K89" s="744"/>
      <c r="L89" s="744"/>
      <c r="M89" s="744"/>
    </row>
    <row r="90" spans="3:13">
      <c r="C90" s="759"/>
      <c r="D90" s="759"/>
      <c r="E90" s="775"/>
      <c r="F90" s="775"/>
      <c r="G90" s="746"/>
      <c r="H90" s="746"/>
      <c r="I90" s="746"/>
      <c r="J90" s="746"/>
      <c r="K90" s="744"/>
      <c r="L90" s="744"/>
      <c r="M90" s="744"/>
    </row>
    <row r="91" spans="3:13">
      <c r="C91" s="759"/>
      <c r="D91" s="759"/>
      <c r="E91" s="775"/>
      <c r="F91" s="775"/>
      <c r="G91" s="746"/>
      <c r="H91" s="746"/>
      <c r="I91" s="746"/>
      <c r="J91" s="746"/>
      <c r="K91" s="744"/>
      <c r="L91" s="744"/>
      <c r="M91" s="744"/>
    </row>
    <row r="92" spans="3:13">
      <c r="C92" s="759"/>
      <c r="D92" s="759"/>
      <c r="E92" s="775"/>
      <c r="F92" s="775"/>
      <c r="G92" s="746"/>
      <c r="H92" s="746"/>
      <c r="I92" s="746"/>
      <c r="J92" s="746"/>
      <c r="K92" s="744"/>
      <c r="L92" s="744"/>
      <c r="M92" s="744"/>
    </row>
    <row r="93" spans="3:13">
      <c r="C93" s="759"/>
      <c r="D93" s="759"/>
      <c r="E93" s="775"/>
      <c r="F93" s="775"/>
      <c r="G93" s="746"/>
      <c r="H93" s="746"/>
      <c r="I93" s="746"/>
      <c r="J93" s="746"/>
      <c r="K93" s="744"/>
      <c r="L93" s="744"/>
      <c r="M93" s="744"/>
    </row>
    <row r="94" spans="3:13">
      <c r="C94" s="759"/>
      <c r="D94" s="759"/>
      <c r="E94" s="775"/>
      <c r="F94" s="775"/>
      <c r="G94" s="746"/>
      <c r="H94" s="746"/>
      <c r="I94" s="746"/>
      <c r="J94" s="746"/>
      <c r="K94" s="744"/>
      <c r="L94" s="744"/>
      <c r="M94" s="744"/>
    </row>
    <row r="95" spans="3:13">
      <c r="C95" s="759"/>
      <c r="D95" s="759"/>
      <c r="E95" s="775"/>
      <c r="F95" s="775"/>
      <c r="G95" s="746"/>
      <c r="H95" s="746"/>
      <c r="I95" s="746"/>
      <c r="J95" s="746"/>
      <c r="K95" s="744"/>
      <c r="L95" s="744"/>
      <c r="M95" s="744"/>
    </row>
    <row r="96" spans="3:13">
      <c r="C96" s="759"/>
      <c r="D96" s="759"/>
      <c r="E96" s="775"/>
      <c r="F96" s="775"/>
      <c r="G96" s="746"/>
      <c r="H96" s="746"/>
      <c r="I96" s="746"/>
      <c r="J96" s="746"/>
      <c r="K96" s="744"/>
      <c r="L96" s="744"/>
      <c r="M96" s="744"/>
    </row>
    <row r="97" spans="3:13">
      <c r="C97" s="759"/>
      <c r="D97" s="759"/>
      <c r="E97" s="775"/>
      <c r="F97" s="775"/>
      <c r="G97" s="746"/>
      <c r="H97" s="746"/>
      <c r="I97" s="746"/>
      <c r="J97" s="746"/>
      <c r="K97" s="744"/>
      <c r="L97" s="744"/>
      <c r="M97" s="744"/>
    </row>
    <row r="98" spans="3:13">
      <c r="C98" s="759"/>
      <c r="D98" s="759"/>
      <c r="E98" s="775"/>
      <c r="F98" s="775"/>
      <c r="G98" s="746"/>
      <c r="H98" s="746"/>
      <c r="I98" s="746"/>
      <c r="J98" s="746"/>
      <c r="K98" s="744"/>
      <c r="L98" s="744"/>
      <c r="M98" s="744"/>
    </row>
    <row r="99" spans="3:13">
      <c r="C99" s="759"/>
      <c r="D99" s="759"/>
      <c r="E99" s="775"/>
      <c r="F99" s="775"/>
      <c r="G99" s="746"/>
      <c r="H99" s="746"/>
      <c r="I99" s="746"/>
      <c r="J99" s="746"/>
      <c r="K99" s="744"/>
      <c r="L99" s="744"/>
      <c r="M99" s="744"/>
    </row>
    <row r="100" spans="3:13">
      <c r="C100" s="759"/>
      <c r="D100" s="759"/>
      <c r="E100" s="775"/>
      <c r="F100" s="775"/>
      <c r="G100" s="746"/>
      <c r="H100" s="746"/>
      <c r="I100" s="746"/>
      <c r="J100" s="746"/>
      <c r="K100" s="744"/>
      <c r="L100" s="744"/>
      <c r="M100" s="744"/>
    </row>
    <row r="101" spans="3:13">
      <c r="C101" s="759"/>
      <c r="D101" s="759"/>
      <c r="E101" s="775"/>
      <c r="F101" s="775"/>
      <c r="G101" s="746"/>
      <c r="H101" s="746"/>
      <c r="I101" s="746"/>
      <c r="J101" s="746"/>
      <c r="K101" s="744"/>
      <c r="L101" s="744"/>
      <c r="M101" s="744"/>
    </row>
    <row r="102" spans="3:13">
      <c r="C102" s="759"/>
      <c r="D102" s="759"/>
      <c r="E102" s="775"/>
      <c r="F102" s="775"/>
      <c r="G102" s="746"/>
      <c r="H102" s="746"/>
      <c r="I102" s="746"/>
      <c r="J102" s="746"/>
      <c r="K102" s="744"/>
      <c r="L102" s="744"/>
      <c r="M102" s="744"/>
    </row>
    <row r="103" spans="3:13">
      <c r="C103" s="759"/>
      <c r="D103" s="759"/>
      <c r="E103" s="775"/>
      <c r="F103" s="775"/>
      <c r="G103" s="746"/>
      <c r="H103" s="746"/>
      <c r="I103" s="746"/>
      <c r="J103" s="746"/>
      <c r="K103" s="744"/>
      <c r="L103" s="744"/>
      <c r="M103" s="744"/>
    </row>
    <row r="104" spans="3:13">
      <c r="C104" s="759"/>
      <c r="D104" s="759"/>
      <c r="E104" s="775"/>
      <c r="F104" s="775"/>
      <c r="G104" s="746"/>
      <c r="H104" s="746"/>
      <c r="I104" s="746"/>
      <c r="J104" s="746"/>
      <c r="K104" s="744"/>
      <c r="L104" s="744"/>
      <c r="M104" s="744"/>
    </row>
    <row r="105" spans="3:13">
      <c r="C105" s="759"/>
      <c r="D105" s="759"/>
      <c r="E105" s="775"/>
      <c r="F105" s="775"/>
      <c r="G105" s="746"/>
      <c r="H105" s="746"/>
      <c r="I105" s="746"/>
      <c r="J105" s="746"/>
      <c r="K105" s="744"/>
      <c r="L105" s="744"/>
      <c r="M105" s="744"/>
    </row>
    <row r="106" spans="3:13">
      <c r="C106" s="759"/>
      <c r="D106" s="759"/>
      <c r="E106" s="775"/>
      <c r="F106" s="775"/>
      <c r="G106" s="746"/>
      <c r="H106" s="746"/>
      <c r="I106" s="746"/>
      <c r="J106" s="746"/>
      <c r="K106" s="744"/>
      <c r="L106" s="744"/>
      <c r="M106" s="744"/>
    </row>
    <row r="107" spans="3:13">
      <c r="C107" s="759"/>
      <c r="D107" s="759"/>
      <c r="E107" s="775"/>
      <c r="F107" s="775"/>
      <c r="G107" s="746"/>
      <c r="H107" s="746"/>
      <c r="I107" s="746"/>
      <c r="J107" s="746"/>
      <c r="K107" s="744"/>
      <c r="L107" s="744"/>
      <c r="M107" s="744"/>
    </row>
    <row r="108" spans="3:13">
      <c r="C108" s="759"/>
      <c r="D108" s="759"/>
      <c r="E108" s="775"/>
      <c r="F108" s="775"/>
      <c r="G108" s="746"/>
      <c r="H108" s="746"/>
      <c r="I108" s="746"/>
      <c r="J108" s="746"/>
      <c r="K108" s="744"/>
      <c r="L108" s="744"/>
      <c r="M108" s="744"/>
    </row>
    <row r="109" spans="3:13">
      <c r="C109" s="759"/>
      <c r="D109" s="759"/>
      <c r="E109" s="775"/>
      <c r="F109" s="775"/>
      <c r="G109" s="746"/>
      <c r="H109" s="746"/>
      <c r="I109" s="746"/>
      <c r="J109" s="746"/>
      <c r="K109" s="744"/>
      <c r="L109" s="744"/>
      <c r="M109" s="744"/>
    </row>
    <row r="110" spans="3:13">
      <c r="C110" s="759"/>
      <c r="D110" s="759"/>
      <c r="E110" s="775"/>
      <c r="F110" s="775"/>
      <c r="G110" s="746"/>
      <c r="H110" s="746"/>
      <c r="I110" s="746"/>
      <c r="J110" s="746"/>
      <c r="K110" s="744"/>
      <c r="L110" s="744"/>
      <c r="M110" s="744"/>
    </row>
    <row r="111" spans="3:13">
      <c r="C111" s="759"/>
      <c r="D111" s="759"/>
      <c r="E111" s="775"/>
      <c r="F111" s="775"/>
      <c r="G111" s="746"/>
      <c r="H111" s="746"/>
      <c r="I111" s="746"/>
      <c r="J111" s="746"/>
      <c r="K111" s="744"/>
      <c r="L111" s="744"/>
      <c r="M111" s="744"/>
    </row>
    <row r="112" spans="3:13">
      <c r="C112" s="759"/>
      <c r="D112" s="759"/>
      <c r="E112" s="775"/>
      <c r="F112" s="775"/>
      <c r="G112" s="746"/>
      <c r="H112" s="746"/>
      <c r="I112" s="746"/>
      <c r="J112" s="746"/>
      <c r="K112" s="744"/>
      <c r="L112" s="744"/>
      <c r="M112" s="744"/>
    </row>
    <row r="113" spans="3:13">
      <c r="C113" s="759"/>
      <c r="D113" s="759"/>
      <c r="E113" s="775"/>
      <c r="F113" s="775"/>
      <c r="G113" s="746"/>
      <c r="H113" s="746"/>
      <c r="I113" s="746"/>
      <c r="J113" s="746"/>
      <c r="K113" s="744"/>
      <c r="L113" s="744"/>
      <c r="M113" s="744"/>
    </row>
    <row r="114" spans="3:13">
      <c r="C114" s="759"/>
      <c r="D114" s="759"/>
      <c r="E114" s="775"/>
      <c r="F114" s="775"/>
      <c r="G114" s="746"/>
      <c r="H114" s="746"/>
      <c r="I114" s="746"/>
      <c r="J114" s="746"/>
      <c r="K114" s="744"/>
      <c r="L114" s="744"/>
      <c r="M114" s="744"/>
    </row>
    <row r="115" spans="3:13">
      <c r="C115" s="759"/>
      <c r="D115" s="759"/>
      <c r="E115" s="775"/>
      <c r="F115" s="775"/>
      <c r="G115" s="746"/>
      <c r="H115" s="746"/>
      <c r="I115" s="746"/>
      <c r="J115" s="746"/>
      <c r="K115" s="744"/>
      <c r="L115" s="744"/>
      <c r="M115" s="744"/>
    </row>
    <row r="116" spans="3:13">
      <c r="C116" s="759"/>
      <c r="D116" s="759"/>
      <c r="E116" s="775"/>
      <c r="F116" s="775"/>
      <c r="G116" s="746"/>
      <c r="H116" s="746"/>
      <c r="I116" s="746"/>
      <c r="J116" s="746"/>
      <c r="K116" s="744"/>
      <c r="L116" s="744"/>
      <c r="M116" s="744"/>
    </row>
    <row r="117" spans="3:13">
      <c r="C117" s="759"/>
      <c r="D117" s="759"/>
      <c r="E117" s="775"/>
      <c r="F117" s="775"/>
      <c r="G117" s="746"/>
      <c r="H117" s="746"/>
      <c r="I117" s="746"/>
      <c r="J117" s="746"/>
      <c r="K117" s="744"/>
      <c r="L117" s="744"/>
      <c r="M117" s="744"/>
    </row>
    <row r="118" spans="3:13">
      <c r="C118" s="759"/>
      <c r="D118" s="759"/>
      <c r="E118" s="775"/>
      <c r="F118" s="775"/>
      <c r="G118" s="746"/>
      <c r="H118" s="746"/>
      <c r="I118" s="746"/>
      <c r="J118" s="746"/>
      <c r="K118" s="744"/>
      <c r="L118" s="744"/>
      <c r="M118" s="744"/>
    </row>
    <row r="119" spans="3:13">
      <c r="C119" s="759"/>
      <c r="D119" s="759"/>
      <c r="E119" s="775"/>
      <c r="F119" s="775"/>
      <c r="G119" s="746"/>
      <c r="H119" s="746"/>
      <c r="I119" s="746"/>
      <c r="J119" s="746"/>
      <c r="K119" s="744"/>
      <c r="L119" s="744"/>
      <c r="M119" s="744"/>
    </row>
    <row r="120" spans="3:13">
      <c r="C120" s="759"/>
      <c r="D120" s="759"/>
      <c r="E120" s="775"/>
      <c r="F120" s="775"/>
      <c r="G120" s="746"/>
      <c r="H120" s="746"/>
      <c r="I120" s="746"/>
      <c r="J120" s="746"/>
      <c r="K120" s="744"/>
      <c r="L120" s="744"/>
      <c r="M120" s="744"/>
    </row>
    <row r="121" spans="3:13">
      <c r="C121" s="759"/>
      <c r="D121" s="759"/>
      <c r="E121" s="775"/>
      <c r="F121" s="775"/>
      <c r="G121" s="746"/>
      <c r="H121" s="746"/>
      <c r="I121" s="746"/>
      <c r="J121" s="746"/>
      <c r="K121" s="744"/>
      <c r="L121" s="744"/>
      <c r="M121" s="744"/>
    </row>
    <row r="122" spans="3:13">
      <c r="C122" s="759"/>
      <c r="D122" s="759"/>
      <c r="E122" s="775"/>
      <c r="F122" s="775"/>
      <c r="G122" s="746"/>
      <c r="H122" s="746"/>
      <c r="I122" s="746"/>
      <c r="J122" s="746"/>
      <c r="K122" s="744"/>
      <c r="L122" s="744"/>
      <c r="M122" s="744"/>
    </row>
    <row r="123" spans="3:13">
      <c r="C123" s="759"/>
      <c r="D123" s="759"/>
      <c r="E123" s="775"/>
      <c r="F123" s="775"/>
      <c r="G123" s="746"/>
      <c r="H123" s="746"/>
      <c r="I123" s="746"/>
      <c r="J123" s="746"/>
      <c r="K123" s="744"/>
      <c r="L123" s="744"/>
      <c r="M123" s="744"/>
    </row>
    <row r="124" spans="3:13">
      <c r="C124" s="759"/>
      <c r="D124" s="759"/>
      <c r="E124" s="775"/>
      <c r="F124" s="775"/>
      <c r="G124" s="746"/>
      <c r="H124" s="746"/>
      <c r="I124" s="746"/>
      <c r="J124" s="746"/>
      <c r="K124" s="744"/>
      <c r="L124" s="744"/>
      <c r="M124" s="744"/>
    </row>
    <row r="125" spans="3:13">
      <c r="C125" s="759"/>
      <c r="D125" s="759"/>
      <c r="E125" s="775"/>
      <c r="F125" s="775"/>
      <c r="G125" s="746"/>
      <c r="H125" s="746"/>
      <c r="I125" s="746"/>
      <c r="J125" s="746"/>
      <c r="K125" s="744"/>
      <c r="L125" s="744"/>
      <c r="M125" s="744"/>
    </row>
    <row r="126" spans="3:13">
      <c r="C126" s="759"/>
      <c r="D126" s="759"/>
      <c r="E126" s="775"/>
      <c r="F126" s="775"/>
      <c r="G126" s="746"/>
      <c r="H126" s="746"/>
      <c r="I126" s="746"/>
      <c r="J126" s="746"/>
      <c r="K126" s="744"/>
      <c r="L126" s="744"/>
      <c r="M126" s="744"/>
    </row>
    <row r="127" spans="3:13">
      <c r="C127" s="759"/>
      <c r="D127" s="759"/>
      <c r="E127" s="775"/>
      <c r="F127" s="775"/>
      <c r="G127" s="746"/>
      <c r="H127" s="746"/>
      <c r="I127" s="746"/>
      <c r="J127" s="746"/>
      <c r="K127" s="744"/>
      <c r="L127" s="744"/>
      <c r="M127" s="744"/>
    </row>
    <row r="128" spans="3:13">
      <c r="C128" s="759"/>
      <c r="D128" s="759"/>
      <c r="E128" s="775"/>
      <c r="F128" s="775"/>
      <c r="G128" s="746"/>
      <c r="H128" s="746"/>
      <c r="I128" s="746"/>
      <c r="J128" s="746"/>
      <c r="K128" s="744"/>
      <c r="L128" s="744"/>
      <c r="M128" s="744"/>
    </row>
    <row r="129" spans="3:13">
      <c r="C129" s="759"/>
      <c r="D129" s="759"/>
      <c r="E129" s="775"/>
      <c r="F129" s="775"/>
      <c r="G129" s="746"/>
      <c r="H129" s="746"/>
      <c r="I129" s="746"/>
      <c r="J129" s="746"/>
      <c r="K129" s="744"/>
      <c r="L129" s="744"/>
      <c r="M129" s="744"/>
    </row>
    <row r="130" spans="3:13">
      <c r="C130" s="759"/>
      <c r="D130" s="759"/>
      <c r="E130" s="775"/>
      <c r="F130" s="775"/>
      <c r="G130" s="746"/>
      <c r="H130" s="746"/>
      <c r="I130" s="746"/>
      <c r="J130" s="746"/>
      <c r="K130" s="744"/>
      <c r="L130" s="744"/>
      <c r="M130" s="744"/>
    </row>
    <row r="131" spans="3:13">
      <c r="C131" s="759"/>
      <c r="D131" s="759"/>
      <c r="E131" s="775"/>
      <c r="F131" s="775"/>
      <c r="G131" s="746"/>
      <c r="H131" s="746"/>
      <c r="I131" s="746"/>
      <c r="J131" s="746"/>
      <c r="K131" s="744"/>
      <c r="L131" s="744"/>
      <c r="M131" s="744"/>
    </row>
    <row r="132" spans="3:13">
      <c r="C132" s="759"/>
      <c r="D132" s="759"/>
      <c r="E132" s="775"/>
      <c r="F132" s="775"/>
      <c r="G132" s="746"/>
      <c r="H132" s="746"/>
      <c r="I132" s="746"/>
      <c r="J132" s="746"/>
      <c r="K132" s="744"/>
      <c r="L132" s="744"/>
      <c r="M132" s="744"/>
    </row>
    <row r="133" spans="3:13">
      <c r="C133" s="759"/>
      <c r="D133" s="759"/>
      <c r="E133" s="775"/>
      <c r="F133" s="775"/>
      <c r="G133" s="746"/>
      <c r="H133" s="746"/>
      <c r="I133" s="746"/>
      <c r="J133" s="746"/>
      <c r="K133" s="744"/>
      <c r="L133" s="744"/>
      <c r="M133" s="744"/>
    </row>
    <row r="134" spans="3:13">
      <c r="C134" s="759"/>
      <c r="D134" s="759"/>
      <c r="E134" s="775"/>
      <c r="F134" s="775"/>
      <c r="G134" s="746"/>
      <c r="H134" s="746"/>
      <c r="I134" s="746"/>
      <c r="J134" s="746"/>
      <c r="K134" s="744"/>
      <c r="L134" s="744"/>
      <c r="M134" s="744"/>
    </row>
    <row r="135" spans="3:13">
      <c r="C135" s="759"/>
      <c r="D135" s="759"/>
      <c r="E135" s="775"/>
      <c r="F135" s="775"/>
      <c r="G135" s="746"/>
      <c r="H135" s="746"/>
      <c r="I135" s="746"/>
      <c r="J135" s="746"/>
      <c r="K135" s="744"/>
      <c r="L135" s="744"/>
      <c r="M135" s="744"/>
    </row>
    <row r="136" spans="3:13">
      <c r="C136" s="759"/>
      <c r="D136" s="759"/>
      <c r="E136" s="775"/>
      <c r="F136" s="775"/>
      <c r="G136" s="746"/>
      <c r="H136" s="746"/>
      <c r="I136" s="746"/>
      <c r="J136" s="746"/>
      <c r="K136" s="744"/>
      <c r="L136" s="744"/>
      <c r="M136" s="744"/>
    </row>
    <row r="137" spans="3:13">
      <c r="C137" s="759"/>
      <c r="D137" s="759"/>
      <c r="E137" s="775"/>
      <c r="F137" s="775"/>
      <c r="G137" s="746"/>
      <c r="H137" s="746"/>
      <c r="I137" s="746"/>
      <c r="J137" s="746"/>
      <c r="K137" s="744"/>
      <c r="L137" s="744"/>
      <c r="M137" s="744"/>
    </row>
    <row r="138" spans="3:13">
      <c r="C138" s="759"/>
      <c r="D138" s="759"/>
      <c r="E138" s="775"/>
      <c r="F138" s="775"/>
      <c r="G138" s="746"/>
      <c r="H138" s="746"/>
      <c r="I138" s="746"/>
      <c r="J138" s="746"/>
      <c r="K138" s="744"/>
      <c r="L138" s="744"/>
      <c r="M138" s="744"/>
    </row>
    <row r="139" spans="3:13">
      <c r="C139" s="759"/>
      <c r="D139" s="759"/>
      <c r="E139" s="775"/>
      <c r="F139" s="775"/>
      <c r="G139" s="746"/>
      <c r="H139" s="746"/>
      <c r="I139" s="746"/>
      <c r="J139" s="746"/>
      <c r="K139" s="744"/>
      <c r="L139" s="744"/>
      <c r="M139" s="744"/>
    </row>
    <row r="140" spans="3:13">
      <c r="C140" s="759"/>
      <c r="D140" s="759"/>
      <c r="E140" s="775"/>
      <c r="F140" s="775"/>
      <c r="G140" s="746"/>
      <c r="H140" s="746"/>
      <c r="I140" s="746"/>
      <c r="J140" s="746"/>
      <c r="K140" s="744"/>
      <c r="L140" s="744"/>
      <c r="M140" s="744"/>
    </row>
    <row r="141" spans="3:13">
      <c r="C141" s="759"/>
      <c r="D141" s="759"/>
      <c r="E141" s="775"/>
      <c r="F141" s="775"/>
      <c r="G141" s="746"/>
      <c r="H141" s="746"/>
      <c r="I141" s="746"/>
      <c r="J141" s="746"/>
      <c r="K141" s="744"/>
      <c r="L141" s="744"/>
      <c r="M141" s="744"/>
    </row>
    <row r="142" spans="3:13">
      <c r="C142" s="759"/>
      <c r="D142" s="759"/>
      <c r="E142" s="775"/>
      <c r="F142" s="775"/>
      <c r="G142" s="746"/>
      <c r="H142" s="746"/>
      <c r="I142" s="746"/>
      <c r="J142" s="746"/>
      <c r="K142" s="744"/>
      <c r="L142" s="744"/>
      <c r="M142" s="744"/>
    </row>
    <row r="143" spans="3:13">
      <c r="C143" s="759"/>
      <c r="D143" s="759"/>
      <c r="E143" s="775"/>
      <c r="F143" s="775"/>
      <c r="G143" s="746"/>
      <c r="H143" s="746"/>
      <c r="I143" s="746"/>
      <c r="J143" s="746"/>
      <c r="K143" s="744"/>
      <c r="L143" s="744"/>
      <c r="M143" s="744"/>
    </row>
    <row r="144" spans="3:13">
      <c r="C144" s="759"/>
      <c r="D144" s="759"/>
      <c r="E144" s="775"/>
      <c r="F144" s="775"/>
      <c r="G144" s="746"/>
      <c r="H144" s="746"/>
      <c r="I144" s="746"/>
      <c r="J144" s="746"/>
      <c r="K144" s="744"/>
      <c r="L144" s="744"/>
      <c r="M144" s="744"/>
    </row>
    <row r="145" spans="3:13">
      <c r="C145" s="759"/>
      <c r="D145" s="759"/>
      <c r="E145" s="775"/>
      <c r="F145" s="775"/>
      <c r="G145" s="746"/>
      <c r="H145" s="746"/>
      <c r="I145" s="746"/>
      <c r="J145" s="746"/>
      <c r="K145" s="744"/>
      <c r="L145" s="744"/>
      <c r="M145" s="744"/>
    </row>
    <row r="146" spans="3:13">
      <c r="C146" s="759"/>
      <c r="D146" s="759"/>
      <c r="E146" s="775"/>
      <c r="F146" s="775"/>
      <c r="G146" s="746"/>
      <c r="H146" s="746"/>
      <c r="I146" s="746"/>
      <c r="J146" s="746"/>
      <c r="K146" s="744"/>
      <c r="L146" s="744"/>
      <c r="M146" s="744"/>
    </row>
    <row r="147" spans="3:13">
      <c r="C147" s="759"/>
      <c r="D147" s="759"/>
      <c r="E147" s="775"/>
      <c r="F147" s="775"/>
      <c r="G147" s="746"/>
      <c r="H147" s="746"/>
      <c r="I147" s="746"/>
      <c r="J147" s="746"/>
      <c r="K147" s="744"/>
      <c r="L147" s="744"/>
      <c r="M147" s="744"/>
    </row>
    <row r="148" spans="3:13">
      <c r="C148" s="759"/>
      <c r="D148" s="759"/>
      <c r="E148" s="775"/>
      <c r="F148" s="775"/>
      <c r="G148" s="746"/>
      <c r="H148" s="746"/>
      <c r="I148" s="746"/>
      <c r="J148" s="746"/>
      <c r="K148" s="744"/>
      <c r="L148" s="744"/>
      <c r="M148" s="744"/>
    </row>
    <row r="149" spans="3:13">
      <c r="C149" s="759"/>
      <c r="D149" s="759"/>
      <c r="E149" s="775"/>
      <c r="F149" s="775"/>
      <c r="G149" s="746"/>
      <c r="H149" s="746"/>
      <c r="I149" s="746"/>
      <c r="J149" s="746"/>
      <c r="K149" s="744"/>
      <c r="L149" s="744"/>
      <c r="M149" s="744"/>
    </row>
    <row r="150" spans="3:13">
      <c r="C150" s="759"/>
      <c r="D150" s="759"/>
      <c r="E150" s="775"/>
      <c r="F150" s="775"/>
      <c r="G150" s="746"/>
      <c r="H150" s="746"/>
      <c r="I150" s="746"/>
      <c r="J150" s="746"/>
      <c r="K150" s="744"/>
      <c r="L150" s="744"/>
      <c r="M150" s="744"/>
    </row>
    <row r="151" spans="3:13">
      <c r="C151" s="759"/>
      <c r="D151" s="759"/>
      <c r="E151" s="775"/>
      <c r="F151" s="775"/>
      <c r="G151" s="746"/>
      <c r="H151" s="746"/>
      <c r="I151" s="746"/>
      <c r="J151" s="746"/>
      <c r="K151" s="744"/>
      <c r="L151" s="744"/>
      <c r="M151" s="744"/>
    </row>
    <row r="152" spans="3:13">
      <c r="C152" s="759"/>
      <c r="D152" s="759"/>
      <c r="E152" s="775"/>
      <c r="F152" s="775"/>
      <c r="G152" s="746"/>
      <c r="H152" s="746"/>
      <c r="I152" s="746"/>
      <c r="J152" s="746"/>
      <c r="K152" s="744"/>
      <c r="L152" s="744"/>
      <c r="M152" s="744"/>
    </row>
    <row r="153" spans="3:13">
      <c r="C153" s="759"/>
      <c r="D153" s="759"/>
      <c r="E153" s="775"/>
      <c r="F153" s="775"/>
      <c r="G153" s="746"/>
      <c r="H153" s="746"/>
      <c r="I153" s="746"/>
      <c r="J153" s="746"/>
      <c r="K153" s="744"/>
      <c r="L153" s="744"/>
      <c r="M153" s="744"/>
    </row>
    <row r="154" spans="3:13">
      <c r="C154" s="759"/>
      <c r="D154" s="759"/>
      <c r="E154" s="775"/>
      <c r="F154" s="775"/>
      <c r="G154" s="746"/>
      <c r="H154" s="746"/>
      <c r="I154" s="746"/>
      <c r="J154" s="746"/>
      <c r="K154" s="744"/>
      <c r="L154" s="744"/>
      <c r="M154" s="744"/>
    </row>
    <row r="155" spans="3:13">
      <c r="C155" s="759"/>
      <c r="D155" s="759"/>
      <c r="E155" s="775"/>
      <c r="F155" s="775"/>
      <c r="G155" s="746"/>
      <c r="H155" s="746"/>
      <c r="I155" s="746"/>
      <c r="J155" s="746"/>
      <c r="K155" s="744"/>
      <c r="L155" s="744"/>
      <c r="M155" s="744"/>
    </row>
    <row r="156" spans="3:13">
      <c r="C156" s="759"/>
      <c r="D156" s="759"/>
      <c r="E156" s="775"/>
      <c r="F156" s="775"/>
      <c r="G156" s="746"/>
      <c r="H156" s="746"/>
      <c r="I156" s="746"/>
      <c r="J156" s="746"/>
      <c r="K156" s="744"/>
      <c r="L156" s="744"/>
      <c r="M156" s="744"/>
    </row>
    <row r="157" spans="3:13">
      <c r="C157" s="759"/>
      <c r="D157" s="759"/>
      <c r="E157" s="775"/>
      <c r="F157" s="775"/>
      <c r="G157" s="746"/>
      <c r="H157" s="746"/>
      <c r="I157" s="746"/>
      <c r="J157" s="746"/>
      <c r="K157" s="744"/>
      <c r="L157" s="744"/>
      <c r="M157" s="744"/>
    </row>
    <row r="158" spans="3:13">
      <c r="C158" s="759"/>
      <c r="D158" s="759"/>
      <c r="E158" s="775"/>
      <c r="F158" s="775"/>
      <c r="G158" s="746"/>
      <c r="H158" s="746"/>
      <c r="I158" s="746"/>
      <c r="J158" s="746"/>
      <c r="K158" s="744"/>
      <c r="L158" s="744"/>
      <c r="M158" s="744"/>
    </row>
    <row r="159" spans="3:13">
      <c r="C159" s="759"/>
      <c r="D159" s="759"/>
      <c r="E159" s="775"/>
      <c r="F159" s="775"/>
      <c r="G159" s="746"/>
      <c r="H159" s="746"/>
      <c r="I159" s="746"/>
      <c r="J159" s="746"/>
      <c r="K159" s="744"/>
      <c r="L159" s="744"/>
      <c r="M159" s="744"/>
    </row>
    <row r="160" spans="3:13">
      <c r="C160" s="759"/>
      <c r="D160" s="759"/>
      <c r="E160" s="775"/>
      <c r="F160" s="775"/>
      <c r="G160" s="746"/>
      <c r="H160" s="746"/>
      <c r="I160" s="746"/>
      <c r="J160" s="746"/>
      <c r="K160" s="744"/>
      <c r="L160" s="744"/>
      <c r="M160" s="744"/>
    </row>
    <row r="161" spans="3:13">
      <c r="C161" s="759"/>
      <c r="D161" s="759"/>
      <c r="E161" s="775"/>
      <c r="F161" s="775"/>
      <c r="G161" s="746"/>
      <c r="H161" s="746"/>
      <c r="I161" s="746"/>
      <c r="J161" s="746"/>
      <c r="K161" s="744"/>
      <c r="L161" s="744"/>
      <c r="M161" s="744"/>
    </row>
    <row r="162" spans="3:13">
      <c r="C162" s="759"/>
      <c r="D162" s="759"/>
      <c r="E162" s="775"/>
      <c r="F162" s="775"/>
      <c r="G162" s="746"/>
      <c r="H162" s="746"/>
      <c r="I162" s="746"/>
      <c r="J162" s="746"/>
      <c r="K162" s="744"/>
      <c r="L162" s="744"/>
      <c r="M162" s="744"/>
    </row>
    <row r="163" spans="3:13">
      <c r="C163" s="759"/>
      <c r="D163" s="759"/>
      <c r="E163" s="775"/>
      <c r="F163" s="775"/>
      <c r="G163" s="746"/>
      <c r="H163" s="746"/>
      <c r="I163" s="746"/>
      <c r="J163" s="746"/>
      <c r="K163" s="744"/>
      <c r="L163" s="744"/>
      <c r="M163" s="744"/>
    </row>
    <row r="164" spans="3:13">
      <c r="C164" s="759"/>
      <c r="D164" s="759"/>
      <c r="E164" s="775"/>
      <c r="F164" s="775"/>
      <c r="G164" s="746"/>
      <c r="H164" s="746"/>
      <c r="I164" s="746"/>
      <c r="J164" s="746"/>
      <c r="K164" s="744"/>
      <c r="L164" s="744"/>
      <c r="M164" s="744"/>
    </row>
    <row r="165" spans="3:13">
      <c r="C165" s="759"/>
      <c r="D165" s="759"/>
      <c r="E165" s="775"/>
      <c r="F165" s="775"/>
      <c r="G165" s="746"/>
      <c r="H165" s="746"/>
      <c r="I165" s="746"/>
      <c r="J165" s="746"/>
      <c r="K165" s="744"/>
      <c r="L165" s="744"/>
      <c r="M165" s="744"/>
    </row>
    <row r="166" spans="3:13">
      <c r="C166" s="759"/>
      <c r="D166" s="759"/>
      <c r="E166" s="775"/>
      <c r="F166" s="775"/>
      <c r="G166" s="746"/>
      <c r="H166" s="746"/>
      <c r="I166" s="746"/>
      <c r="J166" s="746"/>
      <c r="K166" s="744"/>
      <c r="L166" s="744"/>
      <c r="M166" s="744"/>
    </row>
    <row r="167" spans="3:13">
      <c r="C167" s="759"/>
      <c r="D167" s="759"/>
      <c r="E167" s="775"/>
      <c r="F167" s="775"/>
      <c r="G167" s="746"/>
      <c r="H167" s="746"/>
      <c r="I167" s="746"/>
      <c r="J167" s="746"/>
      <c r="K167" s="744"/>
      <c r="L167" s="744"/>
      <c r="M167" s="744"/>
    </row>
    <row r="168" spans="3:13">
      <c r="C168" s="759"/>
      <c r="D168" s="759"/>
      <c r="E168" s="775"/>
      <c r="F168" s="775"/>
      <c r="G168" s="746"/>
      <c r="H168" s="746"/>
      <c r="I168" s="746"/>
      <c r="J168" s="746"/>
      <c r="K168" s="744"/>
      <c r="L168" s="744"/>
      <c r="M168" s="744"/>
    </row>
    <row r="169" spans="3:13">
      <c r="C169" s="759"/>
      <c r="D169" s="759"/>
      <c r="E169" s="775"/>
      <c r="F169" s="775"/>
      <c r="G169" s="746"/>
      <c r="H169" s="746"/>
      <c r="I169" s="746"/>
      <c r="J169" s="746"/>
      <c r="K169" s="744"/>
      <c r="L169" s="744"/>
      <c r="M169" s="744"/>
    </row>
    <row r="170" spans="3:13">
      <c r="C170" s="759"/>
      <c r="D170" s="759"/>
      <c r="E170" s="775"/>
      <c r="F170" s="775"/>
      <c r="G170" s="746"/>
      <c r="H170" s="746"/>
      <c r="I170" s="746"/>
      <c r="J170" s="746"/>
      <c r="K170" s="744"/>
      <c r="L170" s="744"/>
      <c r="M170" s="744"/>
    </row>
    <row r="171" spans="3:13">
      <c r="C171" s="759"/>
      <c r="D171" s="759"/>
      <c r="E171" s="775"/>
      <c r="F171" s="775"/>
      <c r="G171" s="746"/>
      <c r="H171" s="746"/>
      <c r="I171" s="746"/>
      <c r="J171" s="746"/>
      <c r="K171" s="744"/>
      <c r="L171" s="744"/>
      <c r="M171" s="744"/>
    </row>
    <row r="172" spans="3:13">
      <c r="C172" s="759"/>
      <c r="D172" s="759"/>
      <c r="E172" s="775"/>
      <c r="F172" s="775"/>
      <c r="G172" s="746"/>
      <c r="H172" s="746"/>
      <c r="I172" s="746"/>
      <c r="J172" s="746"/>
      <c r="K172" s="744"/>
      <c r="L172" s="744"/>
      <c r="M172" s="744"/>
    </row>
    <row r="173" spans="3:13">
      <c r="C173" s="759"/>
      <c r="D173" s="759"/>
      <c r="E173" s="775"/>
      <c r="F173" s="775"/>
      <c r="G173" s="746"/>
      <c r="H173" s="746"/>
      <c r="I173" s="746"/>
      <c r="J173" s="746"/>
      <c r="K173" s="744"/>
      <c r="L173" s="744"/>
      <c r="M173" s="744"/>
    </row>
    <row r="174" spans="3:13">
      <c r="C174" s="759"/>
      <c r="D174" s="759"/>
      <c r="E174" s="775"/>
      <c r="F174" s="775"/>
      <c r="G174" s="746"/>
      <c r="H174" s="746"/>
      <c r="I174" s="746"/>
      <c r="J174" s="746"/>
      <c r="K174" s="744"/>
      <c r="L174" s="744"/>
      <c r="M174" s="744"/>
    </row>
    <row r="175" spans="3:13">
      <c r="C175" s="759"/>
      <c r="D175" s="759"/>
      <c r="E175" s="775"/>
      <c r="F175" s="775"/>
      <c r="G175" s="746"/>
      <c r="H175" s="746"/>
      <c r="I175" s="746"/>
      <c r="J175" s="746"/>
      <c r="K175" s="744"/>
      <c r="L175" s="744"/>
      <c r="M175" s="744"/>
    </row>
    <row r="176" spans="3:13">
      <c r="C176" s="759"/>
      <c r="D176" s="759"/>
      <c r="E176" s="775"/>
      <c r="F176" s="775"/>
      <c r="G176" s="746"/>
      <c r="H176" s="746"/>
      <c r="I176" s="746"/>
      <c r="J176" s="746"/>
      <c r="K176" s="744"/>
      <c r="L176" s="744"/>
      <c r="M176" s="744"/>
    </row>
    <row r="177" spans="3:13">
      <c r="C177" s="759"/>
      <c r="D177" s="759"/>
      <c r="E177" s="775"/>
      <c r="F177" s="775"/>
      <c r="G177" s="746"/>
      <c r="H177" s="746"/>
      <c r="I177" s="746"/>
      <c r="J177" s="746"/>
      <c r="K177" s="744"/>
      <c r="L177" s="744"/>
      <c r="M177" s="744"/>
    </row>
    <row r="178" spans="3:13">
      <c r="C178" s="759"/>
      <c r="D178" s="759"/>
      <c r="E178" s="775"/>
      <c r="F178" s="775"/>
      <c r="G178" s="746"/>
      <c r="H178" s="746"/>
      <c r="I178" s="746"/>
      <c r="J178" s="746"/>
      <c r="K178" s="744"/>
      <c r="L178" s="744"/>
      <c r="M178" s="744"/>
    </row>
    <row r="179" spans="3:13">
      <c r="C179" s="759"/>
      <c r="D179" s="759"/>
      <c r="E179" s="775"/>
      <c r="F179" s="775"/>
      <c r="G179" s="746"/>
      <c r="H179" s="746"/>
      <c r="I179" s="746"/>
      <c r="J179" s="746"/>
      <c r="K179" s="744"/>
      <c r="L179" s="744"/>
      <c r="M179" s="744"/>
    </row>
    <row r="180" spans="3:13">
      <c r="C180" s="759"/>
      <c r="D180" s="759"/>
      <c r="E180" s="775"/>
      <c r="F180" s="775"/>
      <c r="G180" s="746"/>
      <c r="H180" s="746"/>
      <c r="I180" s="746"/>
      <c r="J180" s="746"/>
      <c r="K180" s="744"/>
      <c r="L180" s="744"/>
      <c r="M180" s="744"/>
    </row>
    <row r="181" spans="3:13">
      <c r="C181" s="759"/>
      <c r="D181" s="759"/>
      <c r="E181" s="775"/>
      <c r="F181" s="775"/>
      <c r="G181" s="746"/>
      <c r="H181" s="746"/>
      <c r="I181" s="746"/>
      <c r="J181" s="746"/>
      <c r="K181" s="744"/>
      <c r="L181" s="744"/>
      <c r="M181" s="744"/>
    </row>
    <row r="182" spans="3:13">
      <c r="C182" s="759"/>
      <c r="D182" s="759"/>
      <c r="E182" s="775"/>
      <c r="F182" s="775"/>
      <c r="G182" s="746"/>
      <c r="H182" s="746"/>
      <c r="I182" s="746"/>
      <c r="J182" s="746"/>
      <c r="K182" s="744"/>
      <c r="L182" s="744"/>
      <c r="M182" s="744"/>
    </row>
    <row r="183" spans="3:13">
      <c r="C183" s="759"/>
      <c r="D183" s="759"/>
      <c r="E183" s="775"/>
      <c r="F183" s="775"/>
      <c r="G183" s="746"/>
      <c r="H183" s="746"/>
      <c r="I183" s="746"/>
      <c r="J183" s="746"/>
      <c r="K183" s="744"/>
      <c r="L183" s="744"/>
      <c r="M183" s="744"/>
    </row>
    <row r="184" spans="3:13">
      <c r="C184" s="759"/>
      <c r="D184" s="759"/>
      <c r="E184" s="775"/>
      <c r="F184" s="775"/>
      <c r="G184" s="746"/>
      <c r="H184" s="746"/>
      <c r="I184" s="746"/>
      <c r="J184" s="746"/>
      <c r="K184" s="744"/>
      <c r="L184" s="744"/>
      <c r="M184" s="744"/>
    </row>
    <row r="185" spans="3:13">
      <c r="C185" s="759"/>
      <c r="D185" s="759"/>
      <c r="E185" s="775"/>
      <c r="F185" s="775"/>
      <c r="G185" s="746"/>
      <c r="H185" s="746"/>
      <c r="I185" s="746"/>
      <c r="J185" s="746"/>
      <c r="K185" s="744"/>
      <c r="L185" s="744"/>
      <c r="M185" s="744"/>
    </row>
    <row r="186" spans="3:13">
      <c r="C186" s="759"/>
      <c r="D186" s="759"/>
      <c r="E186" s="775"/>
      <c r="F186" s="775"/>
      <c r="G186" s="746"/>
      <c r="H186" s="746"/>
      <c r="I186" s="746"/>
      <c r="J186" s="746"/>
      <c r="K186" s="744"/>
      <c r="L186" s="744"/>
      <c r="M186" s="744"/>
    </row>
    <row r="187" spans="3:13">
      <c r="C187" s="759"/>
      <c r="D187" s="759"/>
      <c r="E187" s="775"/>
      <c r="F187" s="775"/>
      <c r="G187" s="746"/>
      <c r="H187" s="746"/>
      <c r="I187" s="746"/>
      <c r="J187" s="746"/>
      <c r="K187" s="744"/>
      <c r="L187" s="744"/>
      <c r="M187" s="744"/>
    </row>
    <row r="188" spans="3:13">
      <c r="C188" s="759"/>
      <c r="D188" s="759"/>
      <c r="E188" s="775"/>
      <c r="F188" s="775"/>
      <c r="G188" s="746"/>
      <c r="H188" s="746"/>
      <c r="I188" s="746"/>
      <c r="J188" s="746"/>
      <c r="K188" s="744"/>
      <c r="L188" s="744"/>
      <c r="M188" s="744"/>
    </row>
    <row r="189" spans="3:13">
      <c r="C189" s="759"/>
      <c r="D189" s="759"/>
      <c r="E189" s="775"/>
      <c r="F189" s="775"/>
      <c r="G189" s="746"/>
      <c r="H189" s="746"/>
      <c r="I189" s="746"/>
      <c r="J189" s="746"/>
      <c r="K189" s="744"/>
      <c r="L189" s="744"/>
      <c r="M189" s="744"/>
    </row>
    <row r="190" spans="3:13">
      <c r="C190" s="759"/>
      <c r="D190" s="759"/>
      <c r="E190" s="775"/>
      <c r="F190" s="775"/>
      <c r="G190" s="746"/>
      <c r="H190" s="746"/>
      <c r="I190" s="746"/>
      <c r="J190" s="746"/>
      <c r="K190" s="744"/>
      <c r="L190" s="744"/>
      <c r="M190" s="744"/>
    </row>
    <row r="191" spans="3:13">
      <c r="C191" s="759"/>
      <c r="D191" s="759"/>
      <c r="E191" s="775"/>
      <c r="F191" s="775"/>
      <c r="G191" s="746"/>
      <c r="H191" s="746"/>
      <c r="I191" s="746"/>
      <c r="J191" s="746"/>
      <c r="K191" s="744"/>
      <c r="L191" s="744"/>
      <c r="M191" s="744"/>
    </row>
    <row r="192" spans="3:13">
      <c r="C192" s="759"/>
      <c r="D192" s="759"/>
      <c r="E192" s="775"/>
      <c r="F192" s="775"/>
      <c r="G192" s="746"/>
      <c r="H192" s="746"/>
      <c r="I192" s="746"/>
      <c r="J192" s="746"/>
      <c r="K192" s="744"/>
      <c r="L192" s="744"/>
      <c r="M192" s="744"/>
    </row>
    <row r="193" spans="3:13">
      <c r="C193" s="759"/>
      <c r="D193" s="759"/>
      <c r="E193" s="775"/>
      <c r="F193" s="775"/>
      <c r="G193" s="746"/>
      <c r="H193" s="746"/>
      <c r="I193" s="746"/>
      <c r="J193" s="746"/>
      <c r="K193" s="744"/>
      <c r="L193" s="744"/>
      <c r="M193" s="744"/>
    </row>
    <row r="194" spans="3:13">
      <c r="C194" s="759"/>
      <c r="D194" s="759"/>
      <c r="E194" s="775"/>
      <c r="F194" s="775"/>
      <c r="G194" s="746"/>
      <c r="H194" s="746"/>
      <c r="I194" s="746"/>
      <c r="J194" s="746"/>
      <c r="K194" s="744"/>
      <c r="L194" s="744"/>
      <c r="M194" s="744"/>
    </row>
    <row r="195" spans="3:13">
      <c r="C195" s="759"/>
      <c r="D195" s="759"/>
      <c r="E195" s="775"/>
      <c r="F195" s="775"/>
      <c r="G195" s="746"/>
      <c r="H195" s="746"/>
      <c r="I195" s="746"/>
      <c r="J195" s="746"/>
      <c r="K195" s="744"/>
      <c r="L195" s="744"/>
      <c r="M195" s="744"/>
    </row>
    <row r="196" spans="3:13">
      <c r="C196" s="759"/>
      <c r="D196" s="759"/>
      <c r="E196" s="775"/>
      <c r="F196" s="775"/>
      <c r="G196" s="746"/>
      <c r="H196" s="746"/>
      <c r="I196" s="746"/>
      <c r="J196" s="746"/>
      <c r="K196" s="744"/>
      <c r="L196" s="744"/>
      <c r="M196" s="744"/>
    </row>
    <row r="197" spans="3:13">
      <c r="C197" s="759"/>
      <c r="D197" s="759"/>
      <c r="E197" s="775"/>
      <c r="F197" s="775"/>
      <c r="G197" s="746"/>
      <c r="H197" s="746"/>
      <c r="I197" s="746"/>
      <c r="J197" s="746"/>
      <c r="K197" s="744"/>
      <c r="L197" s="744"/>
      <c r="M197" s="744"/>
    </row>
    <row r="198" spans="3:13">
      <c r="C198" s="759"/>
      <c r="D198" s="759"/>
      <c r="E198" s="775"/>
      <c r="F198" s="775"/>
      <c r="G198" s="746"/>
      <c r="H198" s="746"/>
      <c r="I198" s="746"/>
      <c r="J198" s="746"/>
      <c r="K198" s="744"/>
      <c r="L198" s="744"/>
      <c r="M198" s="744"/>
    </row>
    <row r="199" spans="3:13">
      <c r="C199" s="759"/>
      <c r="D199" s="759"/>
      <c r="E199" s="775"/>
      <c r="F199" s="775"/>
      <c r="G199" s="746"/>
      <c r="H199" s="746"/>
      <c r="I199" s="746"/>
      <c r="J199" s="746"/>
      <c r="K199" s="744"/>
      <c r="L199" s="744"/>
      <c r="M199" s="744"/>
    </row>
    <row r="200" spans="3:13">
      <c r="C200" s="759"/>
      <c r="D200" s="759"/>
      <c r="E200" s="775"/>
      <c r="F200" s="775"/>
      <c r="G200" s="746"/>
      <c r="H200" s="746"/>
      <c r="I200" s="746"/>
      <c r="J200" s="746"/>
      <c r="K200" s="744"/>
      <c r="L200" s="744"/>
      <c r="M200" s="744"/>
    </row>
    <row r="201" spans="3:13">
      <c r="C201" s="759"/>
      <c r="D201" s="759"/>
      <c r="E201" s="775"/>
      <c r="F201" s="775"/>
      <c r="G201" s="746"/>
      <c r="H201" s="746"/>
      <c r="I201" s="746"/>
      <c r="J201" s="746"/>
      <c r="K201" s="744"/>
      <c r="L201" s="744"/>
      <c r="M201" s="744"/>
    </row>
    <row r="202" spans="3:13">
      <c r="C202" s="759"/>
      <c r="D202" s="759"/>
      <c r="E202" s="775"/>
      <c r="F202" s="775"/>
      <c r="G202" s="746"/>
      <c r="H202" s="746"/>
      <c r="I202" s="746"/>
      <c r="J202" s="746"/>
      <c r="K202" s="744"/>
      <c r="L202" s="744"/>
      <c r="M202" s="744"/>
    </row>
    <row r="203" spans="3:13">
      <c r="C203" s="759"/>
      <c r="D203" s="759"/>
      <c r="E203" s="775"/>
      <c r="F203" s="775"/>
      <c r="G203" s="746"/>
      <c r="H203" s="746"/>
      <c r="I203" s="746"/>
      <c r="J203" s="746"/>
      <c r="K203" s="744"/>
      <c r="L203" s="744"/>
      <c r="M203" s="744"/>
    </row>
    <row r="204" spans="3:13">
      <c r="C204" s="759"/>
      <c r="D204" s="759"/>
      <c r="E204" s="775"/>
      <c r="F204" s="775"/>
      <c r="G204" s="746"/>
      <c r="H204" s="746"/>
      <c r="I204" s="746"/>
      <c r="J204" s="746"/>
      <c r="K204" s="744"/>
      <c r="L204" s="744"/>
      <c r="M204" s="744"/>
    </row>
    <row r="205" spans="3:13">
      <c r="C205" s="759"/>
      <c r="D205" s="759"/>
      <c r="E205" s="775"/>
      <c r="F205" s="775"/>
      <c r="G205" s="746"/>
      <c r="H205" s="746"/>
      <c r="I205" s="746"/>
      <c r="J205" s="746"/>
      <c r="K205" s="744"/>
      <c r="L205" s="744"/>
      <c r="M205" s="744"/>
    </row>
    <row r="206" spans="3:13">
      <c r="C206" s="759"/>
      <c r="D206" s="759"/>
      <c r="E206" s="775"/>
      <c r="F206" s="775"/>
      <c r="G206" s="746"/>
      <c r="H206" s="746"/>
      <c r="I206" s="746"/>
      <c r="J206" s="746"/>
      <c r="K206" s="744"/>
      <c r="L206" s="744"/>
      <c r="M206" s="744"/>
    </row>
    <row r="207" spans="3:13">
      <c r="C207" s="759"/>
      <c r="D207" s="759"/>
      <c r="E207" s="775"/>
      <c r="F207" s="775"/>
      <c r="G207" s="746"/>
      <c r="H207" s="746"/>
      <c r="I207" s="746"/>
      <c r="J207" s="746"/>
      <c r="K207" s="744"/>
      <c r="L207" s="744"/>
      <c r="M207" s="744"/>
    </row>
    <row r="208" spans="3:13">
      <c r="C208" s="759"/>
      <c r="D208" s="759"/>
      <c r="E208" s="775"/>
      <c r="F208" s="775"/>
      <c r="G208" s="746"/>
      <c r="H208" s="746"/>
      <c r="I208" s="746"/>
      <c r="J208" s="746"/>
      <c r="K208" s="744"/>
      <c r="L208" s="744"/>
      <c r="M208" s="744"/>
    </row>
    <row r="209" spans="3:13">
      <c r="C209" s="759"/>
      <c r="D209" s="759"/>
      <c r="E209" s="775"/>
      <c r="F209" s="775"/>
      <c r="G209" s="746"/>
      <c r="H209" s="746"/>
      <c r="I209" s="746"/>
      <c r="J209" s="746"/>
      <c r="K209" s="744"/>
      <c r="L209" s="744"/>
      <c r="M209" s="744"/>
    </row>
    <row r="210" spans="3:13">
      <c r="C210" s="759"/>
      <c r="D210" s="759"/>
      <c r="E210" s="775"/>
      <c r="F210" s="775"/>
      <c r="G210" s="746"/>
      <c r="H210" s="746"/>
      <c r="I210" s="746"/>
      <c r="J210" s="746"/>
      <c r="K210" s="744"/>
      <c r="L210" s="744"/>
      <c r="M210" s="744"/>
    </row>
    <row r="211" spans="3:13">
      <c r="C211" s="759"/>
      <c r="D211" s="759"/>
      <c r="E211" s="775"/>
      <c r="F211" s="775"/>
      <c r="G211" s="746"/>
      <c r="H211" s="746"/>
      <c r="I211" s="746"/>
      <c r="J211" s="746"/>
      <c r="K211" s="744"/>
      <c r="L211" s="744"/>
      <c r="M211" s="744"/>
    </row>
    <row r="212" spans="3:13">
      <c r="C212" s="759"/>
      <c r="D212" s="759"/>
      <c r="E212" s="775"/>
      <c r="F212" s="775"/>
      <c r="G212" s="746"/>
      <c r="H212" s="746"/>
      <c r="I212" s="746"/>
      <c r="J212" s="746"/>
      <c r="K212" s="744"/>
      <c r="L212" s="744"/>
      <c r="M212" s="744"/>
    </row>
    <row r="213" spans="3:13">
      <c r="C213" s="759"/>
      <c r="D213" s="759"/>
      <c r="E213" s="775"/>
      <c r="F213" s="775"/>
      <c r="G213" s="746"/>
      <c r="H213" s="746"/>
      <c r="I213" s="746"/>
      <c r="J213" s="746"/>
      <c r="K213" s="744"/>
      <c r="L213" s="744"/>
      <c r="M213" s="744"/>
    </row>
    <row r="214" spans="3:13">
      <c r="C214" s="759"/>
      <c r="D214" s="759"/>
      <c r="E214" s="775"/>
      <c r="F214" s="775"/>
      <c r="G214" s="746"/>
      <c r="H214" s="746"/>
      <c r="I214" s="746"/>
      <c r="J214" s="746"/>
      <c r="K214" s="744"/>
      <c r="L214" s="744"/>
      <c r="M214" s="744"/>
    </row>
    <row r="215" spans="3:13">
      <c r="C215" s="759"/>
      <c r="D215" s="759"/>
      <c r="E215" s="775"/>
      <c r="F215" s="775"/>
      <c r="G215" s="746"/>
      <c r="H215" s="746"/>
      <c r="I215" s="746"/>
      <c r="J215" s="746"/>
      <c r="K215" s="744"/>
      <c r="L215" s="744"/>
      <c r="M215" s="744"/>
    </row>
    <row r="216" spans="3:13">
      <c r="C216" s="759"/>
      <c r="D216" s="759"/>
      <c r="E216" s="775"/>
      <c r="F216" s="775"/>
      <c r="G216" s="746"/>
      <c r="H216" s="746"/>
      <c r="I216" s="746"/>
      <c r="J216" s="746"/>
      <c r="K216" s="744"/>
      <c r="L216" s="744"/>
      <c r="M216" s="744"/>
    </row>
    <row r="217" spans="3:13">
      <c r="C217" s="759"/>
      <c r="D217" s="759"/>
      <c r="E217" s="775"/>
      <c r="F217" s="775"/>
      <c r="G217" s="746"/>
      <c r="H217" s="746"/>
      <c r="I217" s="746"/>
      <c r="J217" s="746"/>
      <c r="K217" s="744"/>
      <c r="L217" s="744"/>
      <c r="M217" s="744"/>
    </row>
    <row r="218" spans="3:13">
      <c r="C218" s="759"/>
      <c r="D218" s="759"/>
      <c r="E218" s="775"/>
      <c r="F218" s="775"/>
      <c r="G218" s="746"/>
      <c r="H218" s="746"/>
      <c r="I218" s="746"/>
      <c r="J218" s="746"/>
      <c r="K218" s="744"/>
      <c r="L218" s="744"/>
      <c r="M218" s="744"/>
    </row>
    <row r="219" spans="3:13">
      <c r="C219" s="759"/>
      <c r="D219" s="759"/>
      <c r="E219" s="775"/>
      <c r="F219" s="775"/>
      <c r="G219" s="746"/>
      <c r="H219" s="746"/>
      <c r="I219" s="746"/>
      <c r="J219" s="746"/>
      <c r="K219" s="744"/>
      <c r="L219" s="744"/>
      <c r="M219" s="744"/>
    </row>
    <row r="220" spans="3:13">
      <c r="C220" s="759"/>
      <c r="D220" s="759"/>
      <c r="E220" s="775"/>
      <c r="F220" s="775"/>
      <c r="G220" s="746"/>
      <c r="H220" s="746"/>
      <c r="I220" s="746"/>
      <c r="J220" s="746"/>
      <c r="K220" s="744"/>
      <c r="L220" s="744"/>
      <c r="M220" s="744"/>
    </row>
    <row r="221" spans="3:13">
      <c r="C221" s="759"/>
      <c r="D221" s="759"/>
      <c r="E221" s="775"/>
      <c r="F221" s="775"/>
      <c r="G221" s="746"/>
      <c r="H221" s="746"/>
      <c r="I221" s="746"/>
      <c r="J221" s="746"/>
      <c r="K221" s="744"/>
      <c r="L221" s="744"/>
      <c r="M221" s="744"/>
    </row>
    <row r="222" spans="3:13">
      <c r="C222" s="759"/>
      <c r="D222" s="759"/>
      <c r="E222" s="775"/>
      <c r="F222" s="775"/>
      <c r="G222" s="746"/>
      <c r="H222" s="746"/>
      <c r="I222" s="746"/>
      <c r="J222" s="746"/>
      <c r="K222" s="744"/>
      <c r="L222" s="744"/>
      <c r="M222" s="744"/>
    </row>
    <row r="223" spans="3:13">
      <c r="C223" s="759"/>
      <c r="D223" s="759"/>
      <c r="E223" s="775"/>
      <c r="F223" s="775"/>
      <c r="G223" s="746"/>
      <c r="H223" s="746"/>
      <c r="I223" s="746"/>
      <c r="J223" s="746"/>
      <c r="K223" s="744"/>
      <c r="L223" s="744"/>
      <c r="M223" s="744"/>
    </row>
    <row r="224" spans="3:13">
      <c r="C224" s="759"/>
      <c r="D224" s="759"/>
      <c r="E224" s="775"/>
      <c r="F224" s="775"/>
      <c r="G224" s="746"/>
      <c r="H224" s="746"/>
      <c r="I224" s="746"/>
      <c r="J224" s="746"/>
      <c r="K224" s="744"/>
      <c r="L224" s="744"/>
      <c r="M224" s="744"/>
    </row>
    <row r="225" spans="3:13">
      <c r="C225" s="759"/>
      <c r="D225" s="759"/>
      <c r="E225" s="775"/>
      <c r="F225" s="775"/>
      <c r="G225" s="746"/>
      <c r="H225" s="746"/>
      <c r="I225" s="746"/>
      <c r="J225" s="746"/>
      <c r="K225" s="744"/>
      <c r="L225" s="744"/>
      <c r="M225" s="744"/>
    </row>
    <row r="226" spans="3:13">
      <c r="C226" s="759"/>
      <c r="D226" s="759"/>
      <c r="E226" s="775"/>
      <c r="F226" s="775"/>
      <c r="G226" s="746"/>
      <c r="H226" s="746"/>
      <c r="I226" s="746"/>
      <c r="J226" s="746"/>
      <c r="K226" s="744"/>
      <c r="L226" s="744"/>
      <c r="M226" s="744"/>
    </row>
    <row r="227" spans="3:13">
      <c r="C227" s="759"/>
      <c r="D227" s="759"/>
      <c r="E227" s="775"/>
      <c r="F227" s="775"/>
      <c r="G227" s="746"/>
      <c r="H227" s="746"/>
      <c r="I227" s="746"/>
      <c r="J227" s="746"/>
      <c r="K227" s="744"/>
      <c r="L227" s="744"/>
      <c r="M227" s="744"/>
    </row>
    <row r="228" spans="3:13">
      <c r="C228" s="759"/>
      <c r="D228" s="759"/>
      <c r="E228" s="775"/>
      <c r="F228" s="775"/>
      <c r="G228" s="746"/>
      <c r="H228" s="746"/>
      <c r="I228" s="746"/>
      <c r="J228" s="746"/>
      <c r="K228" s="744"/>
      <c r="L228" s="744"/>
      <c r="M228" s="744"/>
    </row>
    <row r="229" spans="3:13">
      <c r="C229" s="759"/>
      <c r="D229" s="759"/>
      <c r="E229" s="775"/>
      <c r="F229" s="775"/>
      <c r="G229" s="746"/>
      <c r="H229" s="746"/>
      <c r="I229" s="746"/>
      <c r="J229" s="746"/>
      <c r="K229" s="744"/>
      <c r="L229" s="744"/>
      <c r="M229" s="744"/>
    </row>
    <row r="230" spans="3:13">
      <c r="C230" s="759"/>
      <c r="D230" s="759"/>
      <c r="E230" s="775"/>
      <c r="F230" s="775"/>
      <c r="G230" s="746"/>
      <c r="H230" s="746"/>
      <c r="I230" s="746"/>
      <c r="J230" s="746"/>
      <c r="K230" s="744"/>
      <c r="L230" s="744"/>
      <c r="M230" s="744"/>
    </row>
    <row r="231" spans="3:13">
      <c r="C231" s="759"/>
      <c r="D231" s="759"/>
      <c r="E231" s="775"/>
      <c r="F231" s="775"/>
      <c r="G231" s="746"/>
      <c r="H231" s="746"/>
      <c r="I231" s="746"/>
      <c r="J231" s="746"/>
      <c r="K231" s="744"/>
      <c r="L231" s="744"/>
      <c r="M231" s="744"/>
    </row>
    <row r="232" spans="3:13">
      <c r="C232" s="759"/>
      <c r="D232" s="759"/>
      <c r="E232" s="775"/>
      <c r="F232" s="775"/>
      <c r="G232" s="746"/>
      <c r="H232" s="746"/>
      <c r="I232" s="746"/>
      <c r="J232" s="746"/>
      <c r="K232" s="744"/>
      <c r="L232" s="744"/>
      <c r="M232" s="744"/>
    </row>
    <row r="233" spans="3:13">
      <c r="C233" s="759"/>
      <c r="D233" s="759"/>
      <c r="E233" s="775"/>
      <c r="F233" s="775"/>
      <c r="G233" s="746"/>
      <c r="H233" s="746"/>
      <c r="I233" s="746"/>
      <c r="J233" s="746"/>
      <c r="K233" s="744"/>
      <c r="L233" s="744"/>
      <c r="M233" s="744"/>
    </row>
    <row r="234" spans="3:13">
      <c r="C234" s="759"/>
      <c r="D234" s="759"/>
      <c r="E234" s="775"/>
      <c r="F234" s="775"/>
      <c r="G234" s="746"/>
      <c r="H234" s="746"/>
      <c r="I234" s="746"/>
      <c r="J234" s="746"/>
      <c r="K234" s="744"/>
      <c r="L234" s="744"/>
      <c r="M234" s="744"/>
    </row>
    <row r="235" spans="3:13">
      <c r="C235" s="759"/>
      <c r="D235" s="759"/>
      <c r="E235" s="775"/>
      <c r="F235" s="775"/>
      <c r="G235" s="746"/>
      <c r="H235" s="746"/>
      <c r="I235" s="746"/>
      <c r="J235" s="746"/>
      <c r="K235" s="744"/>
      <c r="L235" s="744"/>
      <c r="M235" s="744"/>
    </row>
    <row r="236" spans="3:13">
      <c r="C236" s="759"/>
      <c r="D236" s="759"/>
      <c r="E236" s="775"/>
      <c r="F236" s="775"/>
      <c r="G236" s="746"/>
      <c r="H236" s="746"/>
      <c r="I236" s="746"/>
      <c r="J236" s="746"/>
      <c r="K236" s="744"/>
      <c r="L236" s="744"/>
      <c r="M236" s="744"/>
    </row>
    <row r="237" spans="3:13">
      <c r="C237" s="759"/>
      <c r="D237" s="759"/>
      <c r="E237" s="775"/>
      <c r="F237" s="775"/>
      <c r="G237" s="746"/>
      <c r="H237" s="746"/>
      <c r="I237" s="746"/>
      <c r="J237" s="746"/>
      <c r="K237" s="744"/>
      <c r="L237" s="744"/>
      <c r="M237" s="744"/>
    </row>
    <row r="238" spans="3:13">
      <c r="C238" s="759"/>
      <c r="D238" s="759"/>
      <c r="E238" s="775"/>
      <c r="F238" s="775"/>
      <c r="G238" s="746"/>
      <c r="H238" s="746"/>
      <c r="I238" s="746"/>
      <c r="J238" s="746"/>
      <c r="K238" s="744"/>
      <c r="L238" s="744"/>
      <c r="M238" s="744"/>
    </row>
    <row r="239" spans="3:13">
      <c r="C239" s="759"/>
      <c r="D239" s="759"/>
      <c r="E239" s="775"/>
      <c r="F239" s="775"/>
      <c r="G239" s="746"/>
      <c r="H239" s="746"/>
      <c r="I239" s="746"/>
      <c r="J239" s="746"/>
      <c r="K239" s="744"/>
      <c r="L239" s="744"/>
      <c r="M239" s="744"/>
    </row>
    <row r="240" spans="3:13">
      <c r="C240" s="759"/>
      <c r="D240" s="759"/>
      <c r="E240" s="775"/>
      <c r="F240" s="775"/>
      <c r="G240" s="746"/>
      <c r="H240" s="746"/>
      <c r="I240" s="746"/>
      <c r="J240" s="746"/>
      <c r="K240" s="744"/>
      <c r="L240" s="744"/>
      <c r="M240" s="744"/>
    </row>
    <row r="241" spans="3:13">
      <c r="C241" s="759"/>
      <c r="D241" s="759"/>
      <c r="E241" s="776"/>
      <c r="F241" s="777"/>
      <c r="G241" s="771"/>
      <c r="H241" s="771"/>
      <c r="I241" s="771"/>
      <c r="J241" s="746"/>
      <c r="K241" s="744"/>
      <c r="L241" s="744"/>
      <c r="M241" s="744"/>
    </row>
    <row r="242" spans="3:13">
      <c r="C242" s="759"/>
      <c r="D242" s="759"/>
      <c r="E242" s="776"/>
      <c r="F242" s="777"/>
      <c r="G242" s="771"/>
      <c r="H242" s="771"/>
      <c r="I242" s="771"/>
      <c r="J242" s="771"/>
    </row>
    <row r="243" spans="3:13">
      <c r="C243" s="759"/>
      <c r="D243" s="759"/>
      <c r="E243" s="776"/>
      <c r="F243" s="777"/>
      <c r="G243" s="771"/>
      <c r="H243" s="771"/>
      <c r="I243" s="771"/>
      <c r="J243" s="771"/>
    </row>
    <row r="244" spans="3:13">
      <c r="C244" s="759"/>
      <c r="D244" s="759"/>
      <c r="E244" s="776"/>
      <c r="F244" s="777"/>
      <c r="G244" s="771"/>
      <c r="H244" s="771"/>
      <c r="I244" s="771"/>
      <c r="J244" s="771"/>
    </row>
    <row r="245" spans="3:13">
      <c r="C245" s="759"/>
      <c r="D245" s="759"/>
      <c r="E245" s="776"/>
      <c r="F245" s="777"/>
      <c r="G245" s="771"/>
      <c r="H245" s="771"/>
      <c r="I245" s="771"/>
      <c r="J245" s="771"/>
    </row>
    <row r="246" spans="3:13">
      <c r="C246" s="759"/>
      <c r="D246" s="759"/>
      <c r="E246" s="776"/>
      <c r="F246" s="777"/>
      <c r="G246" s="771"/>
      <c r="H246" s="771"/>
      <c r="I246" s="771"/>
      <c r="J246" s="771"/>
    </row>
    <row r="247" spans="3:13">
      <c r="C247" s="759"/>
      <c r="D247" s="759"/>
      <c r="E247" s="776"/>
      <c r="F247" s="777"/>
      <c r="G247" s="771"/>
      <c r="H247" s="771"/>
      <c r="I247" s="771"/>
      <c r="J247" s="771"/>
    </row>
    <row r="248" spans="3:13">
      <c r="C248" s="759"/>
      <c r="D248" s="759"/>
      <c r="E248" s="776"/>
      <c r="F248" s="777"/>
      <c r="G248" s="771"/>
      <c r="H248" s="771"/>
      <c r="I248" s="771"/>
      <c r="J248" s="771"/>
    </row>
    <row r="249" spans="3:13">
      <c r="C249" s="759"/>
      <c r="D249" s="759"/>
      <c r="E249" s="776"/>
      <c r="F249" s="777"/>
      <c r="G249" s="771"/>
      <c r="H249" s="771"/>
      <c r="I249" s="771"/>
      <c r="J249" s="771"/>
    </row>
    <row r="250" spans="3:13">
      <c r="C250" s="759"/>
      <c r="D250" s="759"/>
      <c r="E250" s="776"/>
      <c r="F250" s="777"/>
      <c r="G250" s="771"/>
      <c r="H250" s="771"/>
      <c r="I250" s="771"/>
      <c r="J250" s="771"/>
    </row>
    <row r="251" spans="3:13">
      <c r="C251" s="759"/>
      <c r="J251" s="771"/>
    </row>
  </sheetData>
  <mergeCells count="2">
    <mergeCell ref="E1:G1"/>
    <mergeCell ref="A7:C7"/>
  </mergeCells>
  <hyperlinks>
    <hyperlink ref="A4" r:id="rId1"/>
    <hyperlink ref="C10" r:id="rId2"/>
  </hyperlinks>
  <pageMargins left="0.7" right="0.7" top="0.75" bottom="0.75" header="0.3" footer="0.3"/>
  <pageSetup paperSize="9" orientation="portrait"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8"/>
  <sheetViews>
    <sheetView zoomScale="50" zoomScaleNormal="50" workbookViewId="0">
      <selection sqref="A1:XFD1048576"/>
    </sheetView>
  </sheetViews>
  <sheetFormatPr defaultColWidth="9.140625" defaultRowHeight="12.75"/>
  <cols>
    <col min="1" max="1" width="55.85546875" style="1253" customWidth="1"/>
    <col min="2" max="2" width="12.7109375" style="1304" customWidth="1"/>
    <col min="3" max="9" width="12.7109375" style="1253" customWidth="1"/>
    <col min="10" max="10" width="12.7109375" style="1312" customWidth="1"/>
    <col min="11" max="11" width="12.7109375" style="1253" customWidth="1"/>
    <col min="12" max="12" width="13.5703125" style="1271" customWidth="1"/>
    <col min="13" max="13" width="14.28515625" style="1275" customWidth="1"/>
    <col min="14" max="14" width="13.28515625" style="1253" customWidth="1"/>
    <col min="15" max="15" width="15.28515625" style="1253" customWidth="1"/>
    <col min="16" max="256" width="9.140625" style="1253"/>
    <col min="257" max="257" width="55.85546875" style="1253" customWidth="1"/>
    <col min="258" max="267" width="12.7109375" style="1253" customWidth="1"/>
    <col min="268" max="268" width="13.5703125" style="1253" customWidth="1"/>
    <col min="269" max="269" width="14.28515625" style="1253" customWidth="1"/>
    <col min="270" max="270" width="13.28515625" style="1253" customWidth="1"/>
    <col min="271" max="271" width="15.28515625" style="1253" customWidth="1"/>
    <col min="272" max="512" width="9.140625" style="1253"/>
    <col min="513" max="513" width="55.85546875" style="1253" customWidth="1"/>
    <col min="514" max="523" width="12.7109375" style="1253" customWidth="1"/>
    <col min="524" max="524" width="13.5703125" style="1253" customWidth="1"/>
    <col min="525" max="525" width="14.28515625" style="1253" customWidth="1"/>
    <col min="526" max="526" width="13.28515625" style="1253" customWidth="1"/>
    <col min="527" max="527" width="15.28515625" style="1253" customWidth="1"/>
    <col min="528" max="768" width="9.140625" style="1253"/>
    <col min="769" max="769" width="55.85546875" style="1253" customWidth="1"/>
    <col min="770" max="779" width="12.7109375" style="1253" customWidth="1"/>
    <col min="780" max="780" width="13.5703125" style="1253" customWidth="1"/>
    <col min="781" max="781" width="14.28515625" style="1253" customWidth="1"/>
    <col min="782" max="782" width="13.28515625" style="1253" customWidth="1"/>
    <col min="783" max="783" width="15.28515625" style="1253" customWidth="1"/>
    <col min="784" max="1024" width="9.140625" style="1253"/>
    <col min="1025" max="1025" width="55.85546875" style="1253" customWidth="1"/>
    <col min="1026" max="1035" width="12.7109375" style="1253" customWidth="1"/>
    <col min="1036" max="1036" width="13.5703125" style="1253" customWidth="1"/>
    <col min="1037" max="1037" width="14.28515625" style="1253" customWidth="1"/>
    <col min="1038" max="1038" width="13.28515625" style="1253" customWidth="1"/>
    <col min="1039" max="1039" width="15.28515625" style="1253" customWidth="1"/>
    <col min="1040" max="1280" width="9.140625" style="1253"/>
    <col min="1281" max="1281" width="55.85546875" style="1253" customWidth="1"/>
    <col min="1282" max="1291" width="12.7109375" style="1253" customWidth="1"/>
    <col min="1292" max="1292" width="13.5703125" style="1253" customWidth="1"/>
    <col min="1293" max="1293" width="14.28515625" style="1253" customWidth="1"/>
    <col min="1294" max="1294" width="13.28515625" style="1253" customWidth="1"/>
    <col min="1295" max="1295" width="15.28515625" style="1253" customWidth="1"/>
    <col min="1296" max="1536" width="9.140625" style="1253"/>
    <col min="1537" max="1537" width="55.85546875" style="1253" customWidth="1"/>
    <col min="1538" max="1547" width="12.7109375" style="1253" customWidth="1"/>
    <col min="1548" max="1548" width="13.5703125" style="1253" customWidth="1"/>
    <col min="1549" max="1549" width="14.28515625" style="1253" customWidth="1"/>
    <col min="1550" max="1550" width="13.28515625" style="1253" customWidth="1"/>
    <col min="1551" max="1551" width="15.28515625" style="1253" customWidth="1"/>
    <col min="1552" max="1792" width="9.140625" style="1253"/>
    <col min="1793" max="1793" width="55.85546875" style="1253" customWidth="1"/>
    <col min="1794" max="1803" width="12.7109375" style="1253" customWidth="1"/>
    <col min="1804" max="1804" width="13.5703125" style="1253" customWidth="1"/>
    <col min="1805" max="1805" width="14.28515625" style="1253" customWidth="1"/>
    <col min="1806" max="1806" width="13.28515625" style="1253" customWidth="1"/>
    <col min="1807" max="1807" width="15.28515625" style="1253" customWidth="1"/>
    <col min="1808" max="2048" width="9.140625" style="1253"/>
    <col min="2049" max="2049" width="55.85546875" style="1253" customWidth="1"/>
    <col min="2050" max="2059" width="12.7109375" style="1253" customWidth="1"/>
    <col min="2060" max="2060" width="13.5703125" style="1253" customWidth="1"/>
    <col min="2061" max="2061" width="14.28515625" style="1253" customWidth="1"/>
    <col min="2062" max="2062" width="13.28515625" style="1253" customWidth="1"/>
    <col min="2063" max="2063" width="15.28515625" style="1253" customWidth="1"/>
    <col min="2064" max="2304" width="9.140625" style="1253"/>
    <col min="2305" max="2305" width="55.85546875" style="1253" customWidth="1"/>
    <col min="2306" max="2315" width="12.7109375" style="1253" customWidth="1"/>
    <col min="2316" max="2316" width="13.5703125" style="1253" customWidth="1"/>
    <col min="2317" max="2317" width="14.28515625" style="1253" customWidth="1"/>
    <col min="2318" max="2318" width="13.28515625" style="1253" customWidth="1"/>
    <col min="2319" max="2319" width="15.28515625" style="1253" customWidth="1"/>
    <col min="2320" max="2560" width="9.140625" style="1253"/>
    <col min="2561" max="2561" width="55.85546875" style="1253" customWidth="1"/>
    <col min="2562" max="2571" width="12.7109375" style="1253" customWidth="1"/>
    <col min="2572" max="2572" width="13.5703125" style="1253" customWidth="1"/>
    <col min="2573" max="2573" width="14.28515625" style="1253" customWidth="1"/>
    <col min="2574" max="2574" width="13.28515625" style="1253" customWidth="1"/>
    <col min="2575" max="2575" width="15.28515625" style="1253" customWidth="1"/>
    <col min="2576" max="2816" width="9.140625" style="1253"/>
    <col min="2817" max="2817" width="55.85546875" style="1253" customWidth="1"/>
    <col min="2818" max="2827" width="12.7109375" style="1253" customWidth="1"/>
    <col min="2828" max="2828" width="13.5703125" style="1253" customWidth="1"/>
    <col min="2829" max="2829" width="14.28515625" style="1253" customWidth="1"/>
    <col min="2830" max="2830" width="13.28515625" style="1253" customWidth="1"/>
    <col min="2831" max="2831" width="15.28515625" style="1253" customWidth="1"/>
    <col min="2832" max="3072" width="9.140625" style="1253"/>
    <col min="3073" max="3073" width="55.85546875" style="1253" customWidth="1"/>
    <col min="3074" max="3083" width="12.7109375" style="1253" customWidth="1"/>
    <col min="3084" max="3084" width="13.5703125" style="1253" customWidth="1"/>
    <col min="3085" max="3085" width="14.28515625" style="1253" customWidth="1"/>
    <col min="3086" max="3086" width="13.28515625" style="1253" customWidth="1"/>
    <col min="3087" max="3087" width="15.28515625" style="1253" customWidth="1"/>
    <col min="3088" max="3328" width="9.140625" style="1253"/>
    <col min="3329" max="3329" width="55.85546875" style="1253" customWidth="1"/>
    <col min="3330" max="3339" width="12.7109375" style="1253" customWidth="1"/>
    <col min="3340" max="3340" width="13.5703125" style="1253" customWidth="1"/>
    <col min="3341" max="3341" width="14.28515625" style="1253" customWidth="1"/>
    <col min="3342" max="3342" width="13.28515625" style="1253" customWidth="1"/>
    <col min="3343" max="3343" width="15.28515625" style="1253" customWidth="1"/>
    <col min="3344" max="3584" width="9.140625" style="1253"/>
    <col min="3585" max="3585" width="55.85546875" style="1253" customWidth="1"/>
    <col min="3586" max="3595" width="12.7109375" style="1253" customWidth="1"/>
    <col min="3596" max="3596" width="13.5703125" style="1253" customWidth="1"/>
    <col min="3597" max="3597" width="14.28515625" style="1253" customWidth="1"/>
    <col min="3598" max="3598" width="13.28515625" style="1253" customWidth="1"/>
    <col min="3599" max="3599" width="15.28515625" style="1253" customWidth="1"/>
    <col min="3600" max="3840" width="9.140625" style="1253"/>
    <col min="3841" max="3841" width="55.85546875" style="1253" customWidth="1"/>
    <col min="3842" max="3851" width="12.7109375" style="1253" customWidth="1"/>
    <col min="3852" max="3852" width="13.5703125" style="1253" customWidth="1"/>
    <col min="3853" max="3853" width="14.28515625" style="1253" customWidth="1"/>
    <col min="3854" max="3854" width="13.28515625" style="1253" customWidth="1"/>
    <col min="3855" max="3855" width="15.28515625" style="1253" customWidth="1"/>
    <col min="3856" max="4096" width="9.140625" style="1253"/>
    <col min="4097" max="4097" width="55.85546875" style="1253" customWidth="1"/>
    <col min="4098" max="4107" width="12.7109375" style="1253" customWidth="1"/>
    <col min="4108" max="4108" width="13.5703125" style="1253" customWidth="1"/>
    <col min="4109" max="4109" width="14.28515625" style="1253" customWidth="1"/>
    <col min="4110" max="4110" width="13.28515625" style="1253" customWidth="1"/>
    <col min="4111" max="4111" width="15.28515625" style="1253" customWidth="1"/>
    <col min="4112" max="4352" width="9.140625" style="1253"/>
    <col min="4353" max="4353" width="55.85546875" style="1253" customWidth="1"/>
    <col min="4354" max="4363" width="12.7109375" style="1253" customWidth="1"/>
    <col min="4364" max="4364" width="13.5703125" style="1253" customWidth="1"/>
    <col min="4365" max="4365" width="14.28515625" style="1253" customWidth="1"/>
    <col min="4366" max="4366" width="13.28515625" style="1253" customWidth="1"/>
    <col min="4367" max="4367" width="15.28515625" style="1253" customWidth="1"/>
    <col min="4368" max="4608" width="9.140625" style="1253"/>
    <col min="4609" max="4609" width="55.85546875" style="1253" customWidth="1"/>
    <col min="4610" max="4619" width="12.7109375" style="1253" customWidth="1"/>
    <col min="4620" max="4620" width="13.5703125" style="1253" customWidth="1"/>
    <col min="4621" max="4621" width="14.28515625" style="1253" customWidth="1"/>
    <col min="4622" max="4622" width="13.28515625" style="1253" customWidth="1"/>
    <col min="4623" max="4623" width="15.28515625" style="1253" customWidth="1"/>
    <col min="4624" max="4864" width="9.140625" style="1253"/>
    <col min="4865" max="4865" width="55.85546875" style="1253" customWidth="1"/>
    <col min="4866" max="4875" width="12.7109375" style="1253" customWidth="1"/>
    <col min="4876" max="4876" width="13.5703125" style="1253" customWidth="1"/>
    <col min="4877" max="4877" width="14.28515625" style="1253" customWidth="1"/>
    <col min="4878" max="4878" width="13.28515625" style="1253" customWidth="1"/>
    <col min="4879" max="4879" width="15.28515625" style="1253" customWidth="1"/>
    <col min="4880" max="5120" width="9.140625" style="1253"/>
    <col min="5121" max="5121" width="55.85546875" style="1253" customWidth="1"/>
    <col min="5122" max="5131" width="12.7109375" style="1253" customWidth="1"/>
    <col min="5132" max="5132" width="13.5703125" style="1253" customWidth="1"/>
    <col min="5133" max="5133" width="14.28515625" style="1253" customWidth="1"/>
    <col min="5134" max="5134" width="13.28515625" style="1253" customWidth="1"/>
    <col min="5135" max="5135" width="15.28515625" style="1253" customWidth="1"/>
    <col min="5136" max="5376" width="9.140625" style="1253"/>
    <col min="5377" max="5377" width="55.85546875" style="1253" customWidth="1"/>
    <col min="5378" max="5387" width="12.7109375" style="1253" customWidth="1"/>
    <col min="5388" max="5388" width="13.5703125" style="1253" customWidth="1"/>
    <col min="5389" max="5389" width="14.28515625" style="1253" customWidth="1"/>
    <col min="5390" max="5390" width="13.28515625" style="1253" customWidth="1"/>
    <col min="5391" max="5391" width="15.28515625" style="1253" customWidth="1"/>
    <col min="5392" max="5632" width="9.140625" style="1253"/>
    <col min="5633" max="5633" width="55.85546875" style="1253" customWidth="1"/>
    <col min="5634" max="5643" width="12.7109375" style="1253" customWidth="1"/>
    <col min="5644" max="5644" width="13.5703125" style="1253" customWidth="1"/>
    <col min="5645" max="5645" width="14.28515625" style="1253" customWidth="1"/>
    <col min="5646" max="5646" width="13.28515625" style="1253" customWidth="1"/>
    <col min="5647" max="5647" width="15.28515625" style="1253" customWidth="1"/>
    <col min="5648" max="5888" width="9.140625" style="1253"/>
    <col min="5889" max="5889" width="55.85546875" style="1253" customWidth="1"/>
    <col min="5890" max="5899" width="12.7109375" style="1253" customWidth="1"/>
    <col min="5900" max="5900" width="13.5703125" style="1253" customWidth="1"/>
    <col min="5901" max="5901" width="14.28515625" style="1253" customWidth="1"/>
    <col min="5902" max="5902" width="13.28515625" style="1253" customWidth="1"/>
    <col min="5903" max="5903" width="15.28515625" style="1253" customWidth="1"/>
    <col min="5904" max="6144" width="9.140625" style="1253"/>
    <col min="6145" max="6145" width="55.85546875" style="1253" customWidth="1"/>
    <col min="6146" max="6155" width="12.7109375" style="1253" customWidth="1"/>
    <col min="6156" max="6156" width="13.5703125" style="1253" customWidth="1"/>
    <col min="6157" max="6157" width="14.28515625" style="1253" customWidth="1"/>
    <col min="6158" max="6158" width="13.28515625" style="1253" customWidth="1"/>
    <col min="6159" max="6159" width="15.28515625" style="1253" customWidth="1"/>
    <col min="6160" max="6400" width="9.140625" style="1253"/>
    <col min="6401" max="6401" width="55.85546875" style="1253" customWidth="1"/>
    <col min="6402" max="6411" width="12.7109375" style="1253" customWidth="1"/>
    <col min="6412" max="6412" width="13.5703125" style="1253" customWidth="1"/>
    <col min="6413" max="6413" width="14.28515625" style="1253" customWidth="1"/>
    <col min="6414" max="6414" width="13.28515625" style="1253" customWidth="1"/>
    <col min="6415" max="6415" width="15.28515625" style="1253" customWidth="1"/>
    <col min="6416" max="6656" width="9.140625" style="1253"/>
    <col min="6657" max="6657" width="55.85546875" style="1253" customWidth="1"/>
    <col min="6658" max="6667" width="12.7109375" style="1253" customWidth="1"/>
    <col min="6668" max="6668" width="13.5703125" style="1253" customWidth="1"/>
    <col min="6669" max="6669" width="14.28515625" style="1253" customWidth="1"/>
    <col min="6670" max="6670" width="13.28515625" style="1253" customWidth="1"/>
    <col min="6671" max="6671" width="15.28515625" style="1253" customWidth="1"/>
    <col min="6672" max="6912" width="9.140625" style="1253"/>
    <col min="6913" max="6913" width="55.85546875" style="1253" customWidth="1"/>
    <col min="6914" max="6923" width="12.7109375" style="1253" customWidth="1"/>
    <col min="6924" max="6924" width="13.5703125" style="1253" customWidth="1"/>
    <col min="6925" max="6925" width="14.28515625" style="1253" customWidth="1"/>
    <col min="6926" max="6926" width="13.28515625" style="1253" customWidth="1"/>
    <col min="6927" max="6927" width="15.28515625" style="1253" customWidth="1"/>
    <col min="6928" max="7168" width="9.140625" style="1253"/>
    <col min="7169" max="7169" width="55.85546875" style="1253" customWidth="1"/>
    <col min="7170" max="7179" width="12.7109375" style="1253" customWidth="1"/>
    <col min="7180" max="7180" width="13.5703125" style="1253" customWidth="1"/>
    <col min="7181" max="7181" width="14.28515625" style="1253" customWidth="1"/>
    <col min="7182" max="7182" width="13.28515625" style="1253" customWidth="1"/>
    <col min="7183" max="7183" width="15.28515625" style="1253" customWidth="1"/>
    <col min="7184" max="7424" width="9.140625" style="1253"/>
    <col min="7425" max="7425" width="55.85546875" style="1253" customWidth="1"/>
    <col min="7426" max="7435" width="12.7109375" style="1253" customWidth="1"/>
    <col min="7436" max="7436" width="13.5703125" style="1253" customWidth="1"/>
    <col min="7437" max="7437" width="14.28515625" style="1253" customWidth="1"/>
    <col min="7438" max="7438" width="13.28515625" style="1253" customWidth="1"/>
    <col min="7439" max="7439" width="15.28515625" style="1253" customWidth="1"/>
    <col min="7440" max="7680" width="9.140625" style="1253"/>
    <col min="7681" max="7681" width="55.85546875" style="1253" customWidth="1"/>
    <col min="7682" max="7691" width="12.7109375" style="1253" customWidth="1"/>
    <col min="7692" max="7692" width="13.5703125" style="1253" customWidth="1"/>
    <col min="7693" max="7693" width="14.28515625" style="1253" customWidth="1"/>
    <col min="7694" max="7694" width="13.28515625" style="1253" customWidth="1"/>
    <col min="7695" max="7695" width="15.28515625" style="1253" customWidth="1"/>
    <col min="7696" max="7936" width="9.140625" style="1253"/>
    <col min="7937" max="7937" width="55.85546875" style="1253" customWidth="1"/>
    <col min="7938" max="7947" width="12.7109375" style="1253" customWidth="1"/>
    <col min="7948" max="7948" width="13.5703125" style="1253" customWidth="1"/>
    <col min="7949" max="7949" width="14.28515625" style="1253" customWidth="1"/>
    <col min="7950" max="7950" width="13.28515625" style="1253" customWidth="1"/>
    <col min="7951" max="7951" width="15.28515625" style="1253" customWidth="1"/>
    <col min="7952" max="8192" width="9.140625" style="1253"/>
    <col min="8193" max="8193" width="55.85546875" style="1253" customWidth="1"/>
    <col min="8194" max="8203" width="12.7109375" style="1253" customWidth="1"/>
    <col min="8204" max="8204" width="13.5703125" style="1253" customWidth="1"/>
    <col min="8205" max="8205" width="14.28515625" style="1253" customWidth="1"/>
    <col min="8206" max="8206" width="13.28515625" style="1253" customWidth="1"/>
    <col min="8207" max="8207" width="15.28515625" style="1253" customWidth="1"/>
    <col min="8208" max="8448" width="9.140625" style="1253"/>
    <col min="8449" max="8449" width="55.85546875" style="1253" customWidth="1"/>
    <col min="8450" max="8459" width="12.7109375" style="1253" customWidth="1"/>
    <col min="8460" max="8460" width="13.5703125" style="1253" customWidth="1"/>
    <col min="8461" max="8461" width="14.28515625" style="1253" customWidth="1"/>
    <col min="8462" max="8462" width="13.28515625" style="1253" customWidth="1"/>
    <col min="8463" max="8463" width="15.28515625" style="1253" customWidth="1"/>
    <col min="8464" max="8704" width="9.140625" style="1253"/>
    <col min="8705" max="8705" width="55.85546875" style="1253" customWidth="1"/>
    <col min="8706" max="8715" width="12.7109375" style="1253" customWidth="1"/>
    <col min="8716" max="8716" width="13.5703125" style="1253" customWidth="1"/>
    <col min="8717" max="8717" width="14.28515625" style="1253" customWidth="1"/>
    <col min="8718" max="8718" width="13.28515625" style="1253" customWidth="1"/>
    <col min="8719" max="8719" width="15.28515625" style="1253" customWidth="1"/>
    <col min="8720" max="8960" width="9.140625" style="1253"/>
    <col min="8961" max="8961" width="55.85546875" style="1253" customWidth="1"/>
    <col min="8962" max="8971" width="12.7109375" style="1253" customWidth="1"/>
    <col min="8972" max="8972" width="13.5703125" style="1253" customWidth="1"/>
    <col min="8973" max="8973" width="14.28515625" style="1253" customWidth="1"/>
    <col min="8974" max="8974" width="13.28515625" style="1253" customWidth="1"/>
    <col min="8975" max="8975" width="15.28515625" style="1253" customWidth="1"/>
    <col min="8976" max="9216" width="9.140625" style="1253"/>
    <col min="9217" max="9217" width="55.85546875" style="1253" customWidth="1"/>
    <col min="9218" max="9227" width="12.7109375" style="1253" customWidth="1"/>
    <col min="9228" max="9228" width="13.5703125" style="1253" customWidth="1"/>
    <col min="9229" max="9229" width="14.28515625" style="1253" customWidth="1"/>
    <col min="9230" max="9230" width="13.28515625" style="1253" customWidth="1"/>
    <col min="9231" max="9231" width="15.28515625" style="1253" customWidth="1"/>
    <col min="9232" max="9472" width="9.140625" style="1253"/>
    <col min="9473" max="9473" width="55.85546875" style="1253" customWidth="1"/>
    <col min="9474" max="9483" width="12.7109375" style="1253" customWidth="1"/>
    <col min="9484" max="9484" width="13.5703125" style="1253" customWidth="1"/>
    <col min="9485" max="9485" width="14.28515625" style="1253" customWidth="1"/>
    <col min="9486" max="9486" width="13.28515625" style="1253" customWidth="1"/>
    <col min="9487" max="9487" width="15.28515625" style="1253" customWidth="1"/>
    <col min="9488" max="9728" width="9.140625" style="1253"/>
    <col min="9729" max="9729" width="55.85546875" style="1253" customWidth="1"/>
    <col min="9730" max="9739" width="12.7109375" style="1253" customWidth="1"/>
    <col min="9740" max="9740" width="13.5703125" style="1253" customWidth="1"/>
    <col min="9741" max="9741" width="14.28515625" style="1253" customWidth="1"/>
    <col min="9742" max="9742" width="13.28515625" style="1253" customWidth="1"/>
    <col min="9743" max="9743" width="15.28515625" style="1253" customWidth="1"/>
    <col min="9744" max="9984" width="9.140625" style="1253"/>
    <col min="9985" max="9985" width="55.85546875" style="1253" customWidth="1"/>
    <col min="9986" max="9995" width="12.7109375" style="1253" customWidth="1"/>
    <col min="9996" max="9996" width="13.5703125" style="1253" customWidth="1"/>
    <col min="9997" max="9997" width="14.28515625" style="1253" customWidth="1"/>
    <col min="9998" max="9998" width="13.28515625" style="1253" customWidth="1"/>
    <col min="9999" max="9999" width="15.28515625" style="1253" customWidth="1"/>
    <col min="10000" max="10240" width="9.140625" style="1253"/>
    <col min="10241" max="10241" width="55.85546875" style="1253" customWidth="1"/>
    <col min="10242" max="10251" width="12.7109375" style="1253" customWidth="1"/>
    <col min="10252" max="10252" width="13.5703125" style="1253" customWidth="1"/>
    <col min="10253" max="10253" width="14.28515625" style="1253" customWidth="1"/>
    <col min="10254" max="10254" width="13.28515625" style="1253" customWidth="1"/>
    <col min="10255" max="10255" width="15.28515625" style="1253" customWidth="1"/>
    <col min="10256" max="10496" width="9.140625" style="1253"/>
    <col min="10497" max="10497" width="55.85546875" style="1253" customWidth="1"/>
    <col min="10498" max="10507" width="12.7109375" style="1253" customWidth="1"/>
    <col min="10508" max="10508" width="13.5703125" style="1253" customWidth="1"/>
    <col min="10509" max="10509" width="14.28515625" style="1253" customWidth="1"/>
    <col min="10510" max="10510" width="13.28515625" style="1253" customWidth="1"/>
    <col min="10511" max="10511" width="15.28515625" style="1253" customWidth="1"/>
    <col min="10512" max="10752" width="9.140625" style="1253"/>
    <col min="10753" max="10753" width="55.85546875" style="1253" customWidth="1"/>
    <col min="10754" max="10763" width="12.7109375" style="1253" customWidth="1"/>
    <col min="10764" max="10764" width="13.5703125" style="1253" customWidth="1"/>
    <col min="10765" max="10765" width="14.28515625" style="1253" customWidth="1"/>
    <col min="10766" max="10766" width="13.28515625" style="1253" customWidth="1"/>
    <col min="10767" max="10767" width="15.28515625" style="1253" customWidth="1"/>
    <col min="10768" max="11008" width="9.140625" style="1253"/>
    <col min="11009" max="11009" width="55.85546875" style="1253" customWidth="1"/>
    <col min="11010" max="11019" width="12.7109375" style="1253" customWidth="1"/>
    <col min="11020" max="11020" width="13.5703125" style="1253" customWidth="1"/>
    <col min="11021" max="11021" width="14.28515625" style="1253" customWidth="1"/>
    <col min="11022" max="11022" width="13.28515625" style="1253" customWidth="1"/>
    <col min="11023" max="11023" width="15.28515625" style="1253" customWidth="1"/>
    <col min="11024" max="11264" width="9.140625" style="1253"/>
    <col min="11265" max="11265" width="55.85546875" style="1253" customWidth="1"/>
    <col min="11266" max="11275" width="12.7109375" style="1253" customWidth="1"/>
    <col min="11276" max="11276" width="13.5703125" style="1253" customWidth="1"/>
    <col min="11277" max="11277" width="14.28515625" style="1253" customWidth="1"/>
    <col min="11278" max="11278" width="13.28515625" style="1253" customWidth="1"/>
    <col min="11279" max="11279" width="15.28515625" style="1253" customWidth="1"/>
    <col min="11280" max="11520" width="9.140625" style="1253"/>
    <col min="11521" max="11521" width="55.85546875" style="1253" customWidth="1"/>
    <col min="11522" max="11531" width="12.7109375" style="1253" customWidth="1"/>
    <col min="11532" max="11532" width="13.5703125" style="1253" customWidth="1"/>
    <col min="11533" max="11533" width="14.28515625" style="1253" customWidth="1"/>
    <col min="11534" max="11534" width="13.28515625" style="1253" customWidth="1"/>
    <col min="11535" max="11535" width="15.28515625" style="1253" customWidth="1"/>
    <col min="11536" max="11776" width="9.140625" style="1253"/>
    <col min="11777" max="11777" width="55.85546875" style="1253" customWidth="1"/>
    <col min="11778" max="11787" width="12.7109375" style="1253" customWidth="1"/>
    <col min="11788" max="11788" width="13.5703125" style="1253" customWidth="1"/>
    <col min="11789" max="11789" width="14.28515625" style="1253" customWidth="1"/>
    <col min="11790" max="11790" width="13.28515625" style="1253" customWidth="1"/>
    <col min="11791" max="11791" width="15.28515625" style="1253" customWidth="1"/>
    <col min="11792" max="12032" width="9.140625" style="1253"/>
    <col min="12033" max="12033" width="55.85546875" style="1253" customWidth="1"/>
    <col min="12034" max="12043" width="12.7109375" style="1253" customWidth="1"/>
    <col min="12044" max="12044" width="13.5703125" style="1253" customWidth="1"/>
    <col min="12045" max="12045" width="14.28515625" style="1253" customWidth="1"/>
    <col min="12046" max="12046" width="13.28515625" style="1253" customWidth="1"/>
    <col min="12047" max="12047" width="15.28515625" style="1253" customWidth="1"/>
    <col min="12048" max="12288" width="9.140625" style="1253"/>
    <col min="12289" max="12289" width="55.85546875" style="1253" customWidth="1"/>
    <col min="12290" max="12299" width="12.7109375" style="1253" customWidth="1"/>
    <col min="12300" max="12300" width="13.5703125" style="1253" customWidth="1"/>
    <col min="12301" max="12301" width="14.28515625" style="1253" customWidth="1"/>
    <col min="12302" max="12302" width="13.28515625" style="1253" customWidth="1"/>
    <col min="12303" max="12303" width="15.28515625" style="1253" customWidth="1"/>
    <col min="12304" max="12544" width="9.140625" style="1253"/>
    <col min="12545" max="12545" width="55.85546875" style="1253" customWidth="1"/>
    <col min="12546" max="12555" width="12.7109375" style="1253" customWidth="1"/>
    <col min="12556" max="12556" width="13.5703125" style="1253" customWidth="1"/>
    <col min="12557" max="12557" width="14.28515625" style="1253" customWidth="1"/>
    <col min="12558" max="12558" width="13.28515625" style="1253" customWidth="1"/>
    <col min="12559" max="12559" width="15.28515625" style="1253" customWidth="1"/>
    <col min="12560" max="12800" width="9.140625" style="1253"/>
    <col min="12801" max="12801" width="55.85546875" style="1253" customWidth="1"/>
    <col min="12802" max="12811" width="12.7109375" style="1253" customWidth="1"/>
    <col min="12812" max="12812" width="13.5703125" style="1253" customWidth="1"/>
    <col min="12813" max="12813" width="14.28515625" style="1253" customWidth="1"/>
    <col min="12814" max="12814" width="13.28515625" style="1253" customWidth="1"/>
    <col min="12815" max="12815" width="15.28515625" style="1253" customWidth="1"/>
    <col min="12816" max="13056" width="9.140625" style="1253"/>
    <col min="13057" max="13057" width="55.85546875" style="1253" customWidth="1"/>
    <col min="13058" max="13067" width="12.7109375" style="1253" customWidth="1"/>
    <col min="13068" max="13068" width="13.5703125" style="1253" customWidth="1"/>
    <col min="13069" max="13069" width="14.28515625" style="1253" customWidth="1"/>
    <col min="13070" max="13070" width="13.28515625" style="1253" customWidth="1"/>
    <col min="13071" max="13071" width="15.28515625" style="1253" customWidth="1"/>
    <col min="13072" max="13312" width="9.140625" style="1253"/>
    <col min="13313" max="13313" width="55.85546875" style="1253" customWidth="1"/>
    <col min="13314" max="13323" width="12.7109375" style="1253" customWidth="1"/>
    <col min="13324" max="13324" width="13.5703125" style="1253" customWidth="1"/>
    <col min="13325" max="13325" width="14.28515625" style="1253" customWidth="1"/>
    <col min="13326" max="13326" width="13.28515625" style="1253" customWidth="1"/>
    <col min="13327" max="13327" width="15.28515625" style="1253" customWidth="1"/>
    <col min="13328" max="13568" width="9.140625" style="1253"/>
    <col min="13569" max="13569" width="55.85546875" style="1253" customWidth="1"/>
    <col min="13570" max="13579" width="12.7109375" style="1253" customWidth="1"/>
    <col min="13580" max="13580" width="13.5703125" style="1253" customWidth="1"/>
    <col min="13581" max="13581" width="14.28515625" style="1253" customWidth="1"/>
    <col min="13582" max="13582" width="13.28515625" style="1253" customWidth="1"/>
    <col min="13583" max="13583" width="15.28515625" style="1253" customWidth="1"/>
    <col min="13584" max="13824" width="9.140625" style="1253"/>
    <col min="13825" max="13825" width="55.85546875" style="1253" customWidth="1"/>
    <col min="13826" max="13835" width="12.7109375" style="1253" customWidth="1"/>
    <col min="13836" max="13836" width="13.5703125" style="1253" customWidth="1"/>
    <col min="13837" max="13837" width="14.28515625" style="1253" customWidth="1"/>
    <col min="13838" max="13838" width="13.28515625" style="1253" customWidth="1"/>
    <col min="13839" max="13839" width="15.28515625" style="1253" customWidth="1"/>
    <col min="13840" max="14080" width="9.140625" style="1253"/>
    <col min="14081" max="14081" width="55.85546875" style="1253" customWidth="1"/>
    <col min="14082" max="14091" width="12.7109375" style="1253" customWidth="1"/>
    <col min="14092" max="14092" width="13.5703125" style="1253" customWidth="1"/>
    <col min="14093" max="14093" width="14.28515625" style="1253" customWidth="1"/>
    <col min="14094" max="14094" width="13.28515625" style="1253" customWidth="1"/>
    <col min="14095" max="14095" width="15.28515625" style="1253" customWidth="1"/>
    <col min="14096" max="14336" width="9.140625" style="1253"/>
    <col min="14337" max="14337" width="55.85546875" style="1253" customWidth="1"/>
    <col min="14338" max="14347" width="12.7109375" style="1253" customWidth="1"/>
    <col min="14348" max="14348" width="13.5703125" style="1253" customWidth="1"/>
    <col min="14349" max="14349" width="14.28515625" style="1253" customWidth="1"/>
    <col min="14350" max="14350" width="13.28515625" style="1253" customWidth="1"/>
    <col min="14351" max="14351" width="15.28515625" style="1253" customWidth="1"/>
    <col min="14352" max="14592" width="9.140625" style="1253"/>
    <col min="14593" max="14593" width="55.85546875" style="1253" customWidth="1"/>
    <col min="14594" max="14603" width="12.7109375" style="1253" customWidth="1"/>
    <col min="14604" max="14604" width="13.5703125" style="1253" customWidth="1"/>
    <col min="14605" max="14605" width="14.28515625" style="1253" customWidth="1"/>
    <col min="14606" max="14606" width="13.28515625" style="1253" customWidth="1"/>
    <col min="14607" max="14607" width="15.28515625" style="1253" customWidth="1"/>
    <col min="14608" max="14848" width="9.140625" style="1253"/>
    <col min="14849" max="14849" width="55.85546875" style="1253" customWidth="1"/>
    <col min="14850" max="14859" width="12.7109375" style="1253" customWidth="1"/>
    <col min="14860" max="14860" width="13.5703125" style="1253" customWidth="1"/>
    <col min="14861" max="14861" width="14.28515625" style="1253" customWidth="1"/>
    <col min="14862" max="14862" width="13.28515625" style="1253" customWidth="1"/>
    <col min="14863" max="14863" width="15.28515625" style="1253" customWidth="1"/>
    <col min="14864" max="15104" width="9.140625" style="1253"/>
    <col min="15105" max="15105" width="55.85546875" style="1253" customWidth="1"/>
    <col min="15106" max="15115" width="12.7109375" style="1253" customWidth="1"/>
    <col min="15116" max="15116" width="13.5703125" style="1253" customWidth="1"/>
    <col min="15117" max="15117" width="14.28515625" style="1253" customWidth="1"/>
    <col min="15118" max="15118" width="13.28515625" style="1253" customWidth="1"/>
    <col min="15119" max="15119" width="15.28515625" style="1253" customWidth="1"/>
    <col min="15120" max="15360" width="9.140625" style="1253"/>
    <col min="15361" max="15361" width="55.85546875" style="1253" customWidth="1"/>
    <col min="15362" max="15371" width="12.7109375" style="1253" customWidth="1"/>
    <col min="15372" max="15372" width="13.5703125" style="1253" customWidth="1"/>
    <col min="15373" max="15373" width="14.28515625" style="1253" customWidth="1"/>
    <col min="15374" max="15374" width="13.28515625" style="1253" customWidth="1"/>
    <col min="15375" max="15375" width="15.28515625" style="1253" customWidth="1"/>
    <col min="15376" max="15616" width="9.140625" style="1253"/>
    <col min="15617" max="15617" width="55.85546875" style="1253" customWidth="1"/>
    <col min="15618" max="15627" width="12.7109375" style="1253" customWidth="1"/>
    <col min="15628" max="15628" width="13.5703125" style="1253" customWidth="1"/>
    <col min="15629" max="15629" width="14.28515625" style="1253" customWidth="1"/>
    <col min="15630" max="15630" width="13.28515625" style="1253" customWidth="1"/>
    <col min="15631" max="15631" width="15.28515625" style="1253" customWidth="1"/>
    <col min="15632" max="15872" width="9.140625" style="1253"/>
    <col min="15873" max="15873" width="55.85546875" style="1253" customWidth="1"/>
    <col min="15874" max="15883" width="12.7109375" style="1253" customWidth="1"/>
    <col min="15884" max="15884" width="13.5703125" style="1253" customWidth="1"/>
    <col min="15885" max="15885" width="14.28515625" style="1253" customWidth="1"/>
    <col min="15886" max="15886" width="13.28515625" style="1253" customWidth="1"/>
    <col min="15887" max="15887" width="15.28515625" style="1253" customWidth="1"/>
    <col min="15888" max="16128" width="9.140625" style="1253"/>
    <col min="16129" max="16129" width="55.85546875" style="1253" customWidth="1"/>
    <col min="16130" max="16139" width="12.7109375" style="1253" customWidth="1"/>
    <col min="16140" max="16140" width="13.5703125" style="1253" customWidth="1"/>
    <col min="16141" max="16141" width="14.28515625" style="1253" customWidth="1"/>
    <col min="16142" max="16142" width="13.28515625" style="1253" customWidth="1"/>
    <col min="16143" max="16143" width="15.28515625" style="1253" customWidth="1"/>
    <col min="16144" max="16384" width="9.140625" style="1253"/>
  </cols>
  <sheetData>
    <row r="1" spans="1:15" ht="15">
      <c r="A1" s="1944" t="s">
        <v>2809</v>
      </c>
      <c r="B1" s="1944"/>
      <c r="C1" s="1944"/>
      <c r="D1" s="1944"/>
      <c r="E1" s="1944"/>
      <c r="F1" s="1944"/>
      <c r="G1" s="1944"/>
      <c r="H1" s="1944"/>
      <c r="I1" s="1944"/>
      <c r="J1" s="1944"/>
      <c r="K1" s="1944"/>
      <c r="L1" s="1944"/>
      <c r="M1" s="1944"/>
      <c r="N1" s="1944"/>
    </row>
    <row r="2" spans="1:15" ht="13.5" thickBot="1">
      <c r="A2" s="1945" t="s">
        <v>2810</v>
      </c>
      <c r="B2" s="1945"/>
      <c r="C2" s="1945"/>
      <c r="D2" s="1945"/>
      <c r="E2" s="1945"/>
      <c r="F2" s="1945"/>
      <c r="G2" s="1945"/>
      <c r="H2" s="1945"/>
      <c r="I2" s="1945"/>
      <c r="J2" s="1945"/>
      <c r="K2" s="1945"/>
      <c r="L2" s="1945"/>
      <c r="M2" s="1945"/>
      <c r="N2" s="1945"/>
    </row>
    <row r="3" spans="1:15" s="1259" customFormat="1" ht="13.5" thickBot="1">
      <c r="A3" s="1254"/>
      <c r="B3" s="1255">
        <v>2004</v>
      </c>
      <c r="C3" s="1255">
        <v>2005</v>
      </c>
      <c r="D3" s="1256">
        <v>2006</v>
      </c>
      <c r="E3" s="1255">
        <v>2007</v>
      </c>
      <c r="F3" s="1255">
        <v>2008</v>
      </c>
      <c r="G3" s="1255">
        <v>2009</v>
      </c>
      <c r="H3" s="1257">
        <v>2010</v>
      </c>
      <c r="I3" s="1257">
        <v>2011</v>
      </c>
      <c r="J3" s="1305">
        <v>2012</v>
      </c>
      <c r="K3" s="1257">
        <v>2013</v>
      </c>
      <c r="L3" s="1257">
        <v>2014</v>
      </c>
      <c r="M3" s="1258">
        <v>2015</v>
      </c>
      <c r="N3" s="1258">
        <v>2016</v>
      </c>
    </row>
    <row r="4" spans="1:15" s="1259" customFormat="1">
      <c r="A4" s="1260" t="s">
        <v>2811</v>
      </c>
      <c r="B4" s="1261">
        <v>1218922.8</v>
      </c>
      <c r="C4" s="1261">
        <v>1408697.8</v>
      </c>
      <c r="D4" s="1261">
        <v>1736760</v>
      </c>
      <c r="E4" s="1261">
        <v>2092794.4</v>
      </c>
      <c r="F4" s="1262">
        <v>2442827.2000000002</v>
      </c>
      <c r="G4" s="1261">
        <v>2551402.9</v>
      </c>
      <c r="H4" s="1261">
        <f>H5+H25</f>
        <v>3197147.8000000003</v>
      </c>
      <c r="I4" s="1261">
        <v>3865840.6</v>
      </c>
      <c r="J4" s="1306">
        <v>4567661.2</v>
      </c>
      <c r="K4" s="1263">
        <v>5474274</v>
      </c>
      <c r="L4" s="1263">
        <f>L25+L5</f>
        <v>6332253</v>
      </c>
      <c r="M4" s="1264">
        <v>6555820.9000000004</v>
      </c>
      <c r="N4" s="1264">
        <v>7974442.1179999998</v>
      </c>
    </row>
    <row r="5" spans="1:15" s="1267" customFormat="1">
      <c r="A5" s="1265" t="s">
        <v>2812</v>
      </c>
      <c r="B5" s="1262">
        <v>418588.6</v>
      </c>
      <c r="C5" s="1262">
        <v>489722.6</v>
      </c>
      <c r="D5" s="1262">
        <v>592440.9</v>
      </c>
      <c r="E5" s="1262">
        <v>689259.5</v>
      </c>
      <c r="F5" s="1262">
        <v>819658.8</v>
      </c>
      <c r="G5" s="1262">
        <v>929793.4</v>
      </c>
      <c r="H5" s="1262">
        <v>1050172.6000000001</v>
      </c>
      <c r="I5" s="1262">
        <v>1225896.3999999999</v>
      </c>
      <c r="J5" s="1306">
        <v>1417667.2</v>
      </c>
      <c r="K5" s="1263">
        <v>1609856.8</v>
      </c>
      <c r="L5" s="1263">
        <v>1820822.8</v>
      </c>
      <c r="M5" s="1266">
        <v>1886933.5</v>
      </c>
      <c r="N5" s="1266">
        <v>2204286.4</v>
      </c>
    </row>
    <row r="6" spans="1:15" ht="25.5">
      <c r="A6" s="1268" t="s">
        <v>2813</v>
      </c>
      <c r="B6" s="1269">
        <v>73843.399999999994</v>
      </c>
      <c r="C6" s="1269">
        <v>85201.9</v>
      </c>
      <c r="D6" s="1269">
        <v>113070.7</v>
      </c>
      <c r="E6" s="1269">
        <v>130909</v>
      </c>
      <c r="F6" s="1269">
        <v>135094.29999999999</v>
      </c>
      <c r="G6" s="1269">
        <v>156240.79999999999</v>
      </c>
      <c r="H6" s="1269">
        <v>181004</v>
      </c>
      <c r="I6" s="1269">
        <v>221189.2</v>
      </c>
      <c r="J6" s="1307">
        <v>255165.3</v>
      </c>
      <c r="K6" s="1269">
        <v>275628.3</v>
      </c>
      <c r="L6" s="1269">
        <v>299374.2</v>
      </c>
      <c r="M6" s="1270">
        <v>326659.59999999998</v>
      </c>
      <c r="N6" s="1270">
        <v>381077.5</v>
      </c>
      <c r="O6" s="1271"/>
    </row>
    <row r="7" spans="1:15">
      <c r="A7" s="1268" t="s">
        <v>2814</v>
      </c>
      <c r="B7" s="1272"/>
      <c r="C7" s="1269"/>
      <c r="D7" s="1269"/>
      <c r="E7" s="1269"/>
      <c r="F7" s="1269"/>
      <c r="G7" s="1269"/>
      <c r="H7" s="1269"/>
      <c r="I7" s="1269"/>
      <c r="J7" s="1307"/>
      <c r="K7" s="1269"/>
      <c r="L7" s="1269"/>
      <c r="M7" s="1273"/>
      <c r="N7" s="1274"/>
    </row>
    <row r="8" spans="1:15" ht="25.5">
      <c r="A8" s="1268" t="s">
        <v>2815</v>
      </c>
      <c r="B8" s="1269">
        <v>62033</v>
      </c>
      <c r="C8" s="1269">
        <v>72077.8</v>
      </c>
      <c r="D8" s="1269">
        <v>99099</v>
      </c>
      <c r="E8" s="1269">
        <v>108434.7</v>
      </c>
      <c r="F8" s="1269">
        <v>114302.1</v>
      </c>
      <c r="G8" s="1269">
        <v>131631.4</v>
      </c>
      <c r="H8" s="1269">
        <v>149091.29999999999</v>
      </c>
      <c r="I8" s="1269">
        <v>179107.9</v>
      </c>
      <c r="J8" s="1307">
        <v>205019.6</v>
      </c>
      <c r="K8" s="1269">
        <v>220177.9</v>
      </c>
      <c r="L8" s="1269">
        <v>237151.8</v>
      </c>
      <c r="M8" s="1275">
        <v>257183.3</v>
      </c>
      <c r="N8" s="1275">
        <v>299172.92499999999</v>
      </c>
    </row>
    <row r="9" spans="1:15">
      <c r="A9" s="1268" t="s">
        <v>2816</v>
      </c>
      <c r="B9" s="1269">
        <v>11810.4</v>
      </c>
      <c r="C9" s="1269">
        <v>13124.1</v>
      </c>
      <c r="D9" s="1269">
        <v>13971.7</v>
      </c>
      <c r="E9" s="1269">
        <v>22474.3</v>
      </c>
      <c r="F9" s="1269">
        <v>20792.2</v>
      </c>
      <c r="G9" s="1269">
        <v>24609.4</v>
      </c>
      <c r="H9" s="1269">
        <v>31912.7</v>
      </c>
      <c r="I9" s="1269">
        <v>42081.3</v>
      </c>
      <c r="J9" s="1307">
        <v>50145.7</v>
      </c>
      <c r="K9" s="1269">
        <v>55450.400000000001</v>
      </c>
      <c r="L9" s="1269">
        <v>62222.400000000001</v>
      </c>
      <c r="M9" s="1273">
        <v>69476.3</v>
      </c>
      <c r="N9" s="1273">
        <v>81904.547999999995</v>
      </c>
      <c r="O9" s="1271"/>
    </row>
    <row r="10" spans="1:15">
      <c r="A10" s="1276" t="s">
        <v>2817</v>
      </c>
      <c r="B10" s="1269">
        <v>8507.6</v>
      </c>
      <c r="C10" s="1269">
        <v>9752.7999999999993</v>
      </c>
      <c r="D10" s="1269">
        <v>12019</v>
      </c>
      <c r="E10" s="1269">
        <v>14700.6</v>
      </c>
      <c r="F10" s="1269">
        <v>17465.099999999999</v>
      </c>
      <c r="G10" s="1269">
        <v>23122.2</v>
      </c>
      <c r="H10" s="1269">
        <v>27736.5</v>
      </c>
      <c r="I10" s="1277">
        <v>31804.1</v>
      </c>
      <c r="J10" s="1308">
        <v>36068.1</v>
      </c>
      <c r="K10" s="1278">
        <v>47649.9</v>
      </c>
      <c r="L10" s="1269">
        <v>46034</v>
      </c>
      <c r="M10" s="1270">
        <v>48672.3</v>
      </c>
      <c r="N10" s="1270">
        <v>51895.936999999998</v>
      </c>
    </row>
    <row r="11" spans="1:15">
      <c r="A11" s="1276" t="s">
        <v>2818</v>
      </c>
      <c r="B11" s="1269">
        <v>36138</v>
      </c>
      <c r="C11" s="1269">
        <v>45008.6</v>
      </c>
      <c r="D11" s="1269">
        <v>50125.2</v>
      </c>
      <c r="E11" s="1269">
        <v>64371.1</v>
      </c>
      <c r="F11" s="1269">
        <v>83418.899999999994</v>
      </c>
      <c r="G11" s="1269">
        <v>103117.6</v>
      </c>
      <c r="H11" s="1269">
        <v>116044.2</v>
      </c>
      <c r="I11" s="1277">
        <v>135223.4</v>
      </c>
      <c r="J11" s="1309">
        <v>158368.4</v>
      </c>
      <c r="K11" s="1278">
        <v>184847.4</v>
      </c>
      <c r="L11" s="1269">
        <v>182402.5</v>
      </c>
      <c r="M11" s="1273">
        <v>214513</v>
      </c>
      <c r="N11" s="1273">
        <v>253241.07399999999</v>
      </c>
    </row>
    <row r="12" spans="1:15" s="1284" customFormat="1">
      <c r="A12" s="1279" t="s">
        <v>2819</v>
      </c>
      <c r="B12" s="1280">
        <v>42641.8</v>
      </c>
      <c r="C12" s="1280">
        <v>53350.8</v>
      </c>
      <c r="D12" s="1280">
        <v>67235.5</v>
      </c>
      <c r="E12" s="1269">
        <v>69633.7</v>
      </c>
      <c r="F12" s="1280">
        <v>68627.199999999997</v>
      </c>
      <c r="G12" s="1280">
        <v>70026.7</v>
      </c>
      <c r="H12" s="1280">
        <v>93724.2</v>
      </c>
      <c r="I12" s="1281">
        <v>106908.02</v>
      </c>
      <c r="J12" s="1310">
        <v>131215.4</v>
      </c>
      <c r="K12" s="1282">
        <v>162536.20000000001</v>
      </c>
      <c r="L12" s="1269">
        <v>222105.8</v>
      </c>
      <c r="M12" s="1283">
        <v>186594.6</v>
      </c>
      <c r="N12" s="1283">
        <v>207144.405</v>
      </c>
    </row>
    <row r="13" spans="1:15" s="1284" customFormat="1">
      <c r="A13" s="1268" t="s">
        <v>2820</v>
      </c>
      <c r="B13" s="1280">
        <v>11998.1</v>
      </c>
      <c r="C13" s="1280">
        <v>14733.3</v>
      </c>
      <c r="D13" s="1280">
        <v>17380.8</v>
      </c>
      <c r="E13" s="1269">
        <v>18229.2</v>
      </c>
      <c r="F13" s="1280">
        <v>22380.400000000001</v>
      </c>
      <c r="G13" s="1280">
        <v>21444.2</v>
      </c>
      <c r="H13" s="1280">
        <v>24981.9</v>
      </c>
      <c r="I13" s="1281">
        <v>27089.8</v>
      </c>
      <c r="J13" s="1310">
        <v>36139.1</v>
      </c>
      <c r="K13" s="1282">
        <v>35198.400000000001</v>
      </c>
      <c r="L13" s="1269">
        <v>54687.1</v>
      </c>
      <c r="M13" s="1283">
        <v>45862.2</v>
      </c>
      <c r="N13" s="1283">
        <v>33745.1</v>
      </c>
    </row>
    <row r="14" spans="1:15">
      <c r="A14" s="1276" t="s">
        <v>2821</v>
      </c>
      <c r="B14" s="1269">
        <v>19312.5</v>
      </c>
      <c r="C14" s="1269">
        <v>21171.200000000001</v>
      </c>
      <c r="D14" s="1269">
        <v>25210</v>
      </c>
      <c r="E14" s="1269">
        <v>25422.3</v>
      </c>
      <c r="F14" s="1269">
        <v>34687.599999999999</v>
      </c>
      <c r="G14" s="1269">
        <v>37814.6</v>
      </c>
      <c r="H14" s="1269">
        <v>38026.9</v>
      </c>
      <c r="I14" s="1277">
        <v>42498.8</v>
      </c>
      <c r="J14" s="1308">
        <v>43463.3</v>
      </c>
      <c r="K14" s="1278">
        <v>53662.400000000001</v>
      </c>
      <c r="L14" s="1269">
        <v>55437.1</v>
      </c>
      <c r="M14" s="1273">
        <v>59485.599999999999</v>
      </c>
      <c r="N14" s="1273">
        <v>63057.366999999998</v>
      </c>
      <c r="O14" s="1285"/>
    </row>
    <row r="15" spans="1:15">
      <c r="A15" s="1276" t="s">
        <v>2822</v>
      </c>
      <c r="B15" s="1269">
        <v>20383.599999999999</v>
      </c>
      <c r="C15" s="1269">
        <v>25533.3</v>
      </c>
      <c r="D15" s="1269">
        <v>27980.7</v>
      </c>
      <c r="E15" s="1269">
        <v>32222.7</v>
      </c>
      <c r="F15" s="1269">
        <v>37868.800000000003</v>
      </c>
      <c r="G15" s="1269">
        <v>46066.8</v>
      </c>
      <c r="H15" s="1269">
        <v>58864.4</v>
      </c>
      <c r="I15" s="1277">
        <v>68790.8</v>
      </c>
      <c r="J15" s="1308">
        <v>85526.1</v>
      </c>
      <c r="K15" s="1278">
        <v>98994.6</v>
      </c>
      <c r="L15" s="1269">
        <v>109724.3</v>
      </c>
      <c r="M15" s="1283">
        <v>101272</v>
      </c>
      <c r="N15" s="1283">
        <v>111563.378</v>
      </c>
    </row>
    <row r="16" spans="1:15" s="1284" customFormat="1">
      <c r="A16" s="1279" t="s">
        <v>2823</v>
      </c>
      <c r="B16" s="1280">
        <v>26920.9</v>
      </c>
      <c r="C16" s="1280">
        <v>33319.599999999999</v>
      </c>
      <c r="D16" s="1280">
        <v>47064.7</v>
      </c>
      <c r="E16" s="1280">
        <v>55868.1</v>
      </c>
      <c r="F16" s="1280">
        <v>49907.5</v>
      </c>
      <c r="G16" s="1280">
        <v>74424.800000000003</v>
      </c>
      <c r="H16" s="1280">
        <v>83637.3</v>
      </c>
      <c r="I16" s="1281">
        <v>81792.600000000006</v>
      </c>
      <c r="J16" s="1310">
        <v>87909.8</v>
      </c>
      <c r="K16" s="1282">
        <v>106559</v>
      </c>
      <c r="L16" s="1269">
        <v>117128.1</v>
      </c>
      <c r="M16" s="1273">
        <v>117375.6</v>
      </c>
      <c r="N16" s="1273">
        <v>141895.201</v>
      </c>
    </row>
    <row r="17" spans="1:14">
      <c r="A17" s="1276" t="s">
        <v>2824</v>
      </c>
      <c r="B17" s="1269">
        <v>64574</v>
      </c>
      <c r="C17" s="1269">
        <v>76820.5</v>
      </c>
      <c r="D17" s="1269">
        <v>94920.1</v>
      </c>
      <c r="E17" s="1269">
        <v>118475.9</v>
      </c>
      <c r="F17" s="1269">
        <v>161425</v>
      </c>
      <c r="G17" s="1269">
        <v>162851.4</v>
      </c>
      <c r="H17" s="1269">
        <v>165627.5</v>
      </c>
      <c r="I17" s="1277">
        <v>189137.2</v>
      </c>
      <c r="J17" s="1308">
        <v>221943.4</v>
      </c>
      <c r="K17" s="1278">
        <v>249994.6</v>
      </c>
      <c r="L17" s="1269">
        <v>252366.1</v>
      </c>
      <c r="M17" s="1283">
        <v>312574.90000000002</v>
      </c>
      <c r="N17" s="1283">
        <v>387176.32900000003</v>
      </c>
    </row>
    <row r="18" spans="1:14">
      <c r="A18" s="1276" t="s">
        <v>2825</v>
      </c>
      <c r="B18" s="1269">
        <v>18360.400000000001</v>
      </c>
      <c r="C18" s="1269">
        <v>22062.2</v>
      </c>
      <c r="D18" s="1269">
        <v>28539.8</v>
      </c>
      <c r="E18" s="1269">
        <v>37737.300000000003</v>
      </c>
      <c r="F18" s="1269">
        <v>50131.199999999997</v>
      </c>
      <c r="G18" s="1269">
        <v>47958.5</v>
      </c>
      <c r="H18" s="1269">
        <v>51829.599999999999</v>
      </c>
      <c r="I18" s="1277">
        <v>62738.400000000001</v>
      </c>
      <c r="J18" s="1308">
        <v>65120.9</v>
      </c>
      <c r="K18" s="1278">
        <v>82711.42</v>
      </c>
      <c r="L18" s="1269">
        <v>61675.6</v>
      </c>
      <c r="M18" s="1273">
        <v>87913</v>
      </c>
      <c r="N18" s="1273">
        <v>105977.183</v>
      </c>
    </row>
    <row r="19" spans="1:14">
      <c r="A19" s="1276" t="s">
        <v>2826</v>
      </c>
      <c r="B19" s="1269">
        <v>3407.2</v>
      </c>
      <c r="C19" s="1269">
        <v>4810.6000000000004</v>
      </c>
      <c r="D19" s="1269">
        <v>8567.2000000000007</v>
      </c>
      <c r="E19" s="1269">
        <v>12942.6</v>
      </c>
      <c r="F19" s="1269">
        <v>13845.4</v>
      </c>
      <c r="G19" s="1269">
        <v>12237.6</v>
      </c>
      <c r="H19" s="1269">
        <v>12699.8</v>
      </c>
      <c r="I19" s="1277">
        <v>14213.3</v>
      </c>
      <c r="J19" s="1308">
        <v>15814.4</v>
      </c>
      <c r="K19" s="1278">
        <v>18305.2</v>
      </c>
      <c r="L19" s="1269"/>
      <c r="M19" s="1273"/>
      <c r="N19" s="1274"/>
    </row>
    <row r="20" spans="1:14">
      <c r="A20" s="1276" t="s">
        <v>2827</v>
      </c>
      <c r="B20" s="1269">
        <v>13401.2</v>
      </c>
      <c r="C20" s="1269">
        <v>16314.3</v>
      </c>
      <c r="D20" s="1269">
        <v>19924.5</v>
      </c>
      <c r="E20" s="1269">
        <v>24658.400000000001</v>
      </c>
      <c r="F20" s="1269">
        <v>38011.4</v>
      </c>
      <c r="G20" s="1269">
        <v>37806.9</v>
      </c>
      <c r="H20" s="1269">
        <v>29502.1</v>
      </c>
      <c r="I20" s="1277">
        <v>30508.2</v>
      </c>
      <c r="J20" s="1308">
        <v>36056.5</v>
      </c>
      <c r="K20" s="1278">
        <v>38755.599999999999</v>
      </c>
      <c r="L20" s="1269">
        <v>21962.9</v>
      </c>
      <c r="M20" s="1273">
        <v>34531</v>
      </c>
      <c r="N20" s="1273">
        <v>45777.360999999997</v>
      </c>
    </row>
    <row r="21" spans="1:14">
      <c r="A21" s="1268" t="s">
        <v>2828</v>
      </c>
      <c r="B21" s="1269">
        <v>3652.4</v>
      </c>
      <c r="C21" s="1269">
        <v>4045.4</v>
      </c>
      <c r="D21" s="1269">
        <v>3533.4</v>
      </c>
      <c r="E21" s="1269">
        <v>5588</v>
      </c>
      <c r="F21" s="1269">
        <v>10198</v>
      </c>
      <c r="G21" s="1269">
        <v>11045.1</v>
      </c>
      <c r="H21" s="1269">
        <v>6508.5</v>
      </c>
      <c r="I21" s="1277">
        <v>4712.8</v>
      </c>
      <c r="J21" s="1308">
        <v>5456.3</v>
      </c>
      <c r="K21" s="1278">
        <v>4562.5</v>
      </c>
      <c r="L21" s="1269">
        <v>5784.6</v>
      </c>
      <c r="M21" s="1273">
        <v>11489.7</v>
      </c>
      <c r="N21" s="1273">
        <v>12512.775</v>
      </c>
    </row>
    <row r="22" spans="1:14">
      <c r="A22" s="1276" t="s">
        <v>2829</v>
      </c>
      <c r="B22" s="1269">
        <v>17483.099999999999</v>
      </c>
      <c r="C22" s="1269">
        <v>19368</v>
      </c>
      <c r="D22" s="1269">
        <v>21816.799999999999</v>
      </c>
      <c r="E22" s="1269">
        <v>27485.8</v>
      </c>
      <c r="F22" s="1269">
        <v>31736</v>
      </c>
      <c r="G22" s="1269">
        <v>33630.9</v>
      </c>
      <c r="H22" s="1269">
        <v>35077.9</v>
      </c>
      <c r="I22" s="1277">
        <v>33723.599999999999</v>
      </c>
      <c r="J22" s="1308">
        <v>42450</v>
      </c>
      <c r="K22" s="1278">
        <v>41180</v>
      </c>
      <c r="L22" s="1269">
        <v>40879.4</v>
      </c>
      <c r="M22" s="1273">
        <v>49735.7</v>
      </c>
      <c r="N22" s="1273">
        <v>66128.217999999993</v>
      </c>
    </row>
    <row r="23" spans="1:14">
      <c r="A23" s="1276" t="s">
        <v>2830</v>
      </c>
      <c r="B23" s="1269">
        <v>15329.4</v>
      </c>
      <c r="C23" s="1269">
        <v>19075.900000000001</v>
      </c>
      <c r="D23" s="1269">
        <v>24638.9</v>
      </c>
      <c r="E23" s="1269">
        <v>28594.400000000001</v>
      </c>
      <c r="F23" s="1269">
        <v>41546.400000000001</v>
      </c>
      <c r="G23" s="1269">
        <v>43455.199999999997</v>
      </c>
      <c r="H23" s="1269">
        <v>49217.8</v>
      </c>
      <c r="I23" s="1277">
        <v>62167.199999999997</v>
      </c>
      <c r="J23" s="1308">
        <v>78316</v>
      </c>
      <c r="K23" s="1278">
        <v>87347.6</v>
      </c>
      <c r="L23" s="1269">
        <v>96920.8</v>
      </c>
      <c r="M23" s="1273">
        <v>100405.8</v>
      </c>
      <c r="N23" s="1273">
        <v>124560.819</v>
      </c>
    </row>
    <row r="24" spans="1:14">
      <c r="A24" s="1276" t="s">
        <v>2831</v>
      </c>
      <c r="B24" s="1269">
        <v>21636.1</v>
      </c>
      <c r="C24" s="1269">
        <v>25357.599999999999</v>
      </c>
      <c r="D24" s="1269">
        <v>30056.5</v>
      </c>
      <c r="E24" s="1269">
        <v>35023.9</v>
      </c>
      <c r="F24" s="1269">
        <v>47720.7</v>
      </c>
      <c r="G24" s="1269">
        <v>49130.3</v>
      </c>
      <c r="H24" s="1269">
        <v>49561.2</v>
      </c>
      <c r="I24" s="1277">
        <v>54795.5</v>
      </c>
      <c r="J24" s="1308">
        <v>48905.5</v>
      </c>
      <c r="K24" s="1278">
        <v>59655.77</v>
      </c>
      <c r="L24" s="1269">
        <v>58798.6</v>
      </c>
      <c r="M24" s="1273">
        <v>71205.2</v>
      </c>
      <c r="N24" s="1273">
        <v>66446.091</v>
      </c>
    </row>
    <row r="25" spans="1:14" s="1267" customFormat="1">
      <c r="A25" s="1260" t="s">
        <v>2832</v>
      </c>
      <c r="B25" s="1261">
        <v>800334.2</v>
      </c>
      <c r="C25" s="1261">
        <v>918975.2</v>
      </c>
      <c r="D25" s="1261">
        <v>1144319.1000000001</v>
      </c>
      <c r="E25" s="1261">
        <v>1403534.9</v>
      </c>
      <c r="F25" s="1262">
        <v>1623168.4</v>
      </c>
      <c r="G25" s="1262">
        <v>1621609.5</v>
      </c>
      <c r="H25" s="1262">
        <v>2146975.2000000002</v>
      </c>
      <c r="I25" s="1262">
        <v>2639944.2000000002</v>
      </c>
      <c r="J25" s="1306">
        <v>3149994</v>
      </c>
      <c r="K25" s="1263">
        <v>3864417.2</v>
      </c>
      <c r="L25" s="1263">
        <v>4511430.2</v>
      </c>
      <c r="M25" s="1286">
        <v>4668887.4000000004</v>
      </c>
      <c r="N25" s="1286">
        <v>5770155.7659999998</v>
      </c>
    </row>
    <row r="26" spans="1:14" s="1293" customFormat="1">
      <c r="A26" s="1287" t="s">
        <v>2833</v>
      </c>
      <c r="B26" s="1288">
        <v>23580.5</v>
      </c>
      <c r="C26" s="1288">
        <v>20775.099999999999</v>
      </c>
      <c r="D26" s="1288">
        <v>28629.4</v>
      </c>
      <c r="E26" s="1288">
        <v>32778.800000000003</v>
      </c>
      <c r="F26" s="1288">
        <v>45269.9</v>
      </c>
      <c r="G26" s="1288">
        <v>67202.8</v>
      </c>
      <c r="H26" s="1288">
        <v>87690.2</v>
      </c>
      <c r="I26" s="1289">
        <v>90440.1</v>
      </c>
      <c r="J26" s="1308">
        <v>118698.7</v>
      </c>
      <c r="K26" s="1290">
        <v>115335.2</v>
      </c>
      <c r="L26" s="1290">
        <v>128482.7</v>
      </c>
      <c r="M26" s="1291">
        <v>189350.1</v>
      </c>
      <c r="N26" s="1292">
        <v>299218.36800000002</v>
      </c>
    </row>
    <row r="27" spans="1:14" s="1293" customFormat="1">
      <c r="A27" s="1287" t="s">
        <v>2834</v>
      </c>
      <c r="B27" s="1288">
        <v>2546.5</v>
      </c>
      <c r="C27" s="1288">
        <v>2989.8</v>
      </c>
      <c r="D27" s="1288">
        <v>3545.8</v>
      </c>
      <c r="E27" s="1288">
        <v>4920.6000000000004</v>
      </c>
      <c r="F27" s="1288">
        <v>7211</v>
      </c>
      <c r="G27" s="1288">
        <v>17590.5</v>
      </c>
      <c r="H27" s="1288">
        <v>21004.2</v>
      </c>
      <c r="I27" s="1289">
        <v>22920.799999999999</v>
      </c>
      <c r="J27" s="1308">
        <v>32128.1</v>
      </c>
      <c r="K27" s="1290">
        <v>29918</v>
      </c>
      <c r="L27" s="1290">
        <v>45528</v>
      </c>
      <c r="M27" s="1291">
        <v>70859.399999999994</v>
      </c>
      <c r="N27" s="1292">
        <v>105075.63</v>
      </c>
    </row>
    <row r="28" spans="1:14">
      <c r="A28" s="1276" t="s">
        <v>2835</v>
      </c>
      <c r="B28" s="1269">
        <v>24633.1</v>
      </c>
      <c r="C28" s="1269">
        <v>28189.599999999999</v>
      </c>
      <c r="D28" s="1269">
        <v>31853.8</v>
      </c>
      <c r="E28" s="1269">
        <v>42566.6</v>
      </c>
      <c r="F28" s="1269">
        <v>50883.4</v>
      </c>
      <c r="G28" s="1269">
        <v>46338.5</v>
      </c>
      <c r="H28" s="1269">
        <v>69279.7</v>
      </c>
      <c r="I28" s="1277">
        <v>78765.7</v>
      </c>
      <c r="J28" s="1308">
        <v>91237.4</v>
      </c>
      <c r="K28" s="1278">
        <v>124124.2</v>
      </c>
      <c r="L28" s="1278">
        <v>130045.9</v>
      </c>
      <c r="M28" s="1273">
        <v>150344.70000000001</v>
      </c>
      <c r="N28" s="1273">
        <v>160955.084</v>
      </c>
    </row>
    <row r="29" spans="1:14">
      <c r="A29" s="1276" t="s">
        <v>2836</v>
      </c>
      <c r="B29" s="1269">
        <v>24584.1</v>
      </c>
      <c r="C29" s="1269">
        <v>28357.8</v>
      </c>
      <c r="D29" s="1269">
        <v>31127.3</v>
      </c>
      <c r="E29" s="1269">
        <v>33011.9</v>
      </c>
      <c r="F29" s="1269">
        <v>42144.3</v>
      </c>
      <c r="G29" s="1269">
        <v>63572.800000000003</v>
      </c>
      <c r="H29" s="1269">
        <v>53686.6</v>
      </c>
      <c r="I29" s="1277">
        <v>53457.5</v>
      </c>
      <c r="J29" s="1308">
        <v>53942.3</v>
      </c>
      <c r="K29" s="1278">
        <v>68109.5</v>
      </c>
      <c r="L29" s="1278">
        <v>77424.899999999994</v>
      </c>
      <c r="M29" s="1273">
        <v>57640.6</v>
      </c>
      <c r="N29" s="1273">
        <v>53354.546000000002</v>
      </c>
    </row>
    <row r="30" spans="1:14">
      <c r="A30" s="1276" t="s">
        <v>2837</v>
      </c>
      <c r="B30" s="1269">
        <v>104547.6</v>
      </c>
      <c r="C30" s="1269">
        <v>104285.6</v>
      </c>
      <c r="D30" s="1269">
        <v>111767.6</v>
      </c>
      <c r="E30" s="1269">
        <v>116865.2</v>
      </c>
      <c r="F30" s="1269">
        <v>137299</v>
      </c>
      <c r="G30" s="1269">
        <v>123924.8</v>
      </c>
      <c r="H30" s="1269">
        <v>200684.6</v>
      </c>
      <c r="I30" s="1277">
        <v>243391.4</v>
      </c>
      <c r="J30" s="1308">
        <v>295159.7</v>
      </c>
      <c r="K30" s="1278">
        <v>422172.4</v>
      </c>
      <c r="L30" s="1278">
        <v>557444.4</v>
      </c>
      <c r="M30" s="1273">
        <v>510937.59999999998</v>
      </c>
      <c r="N30" s="1273">
        <v>573798.47499999998</v>
      </c>
    </row>
    <row r="31" spans="1:14">
      <c r="A31" s="1276" t="s">
        <v>2838</v>
      </c>
      <c r="B31" s="1269">
        <v>44797.599999999999</v>
      </c>
      <c r="C31" s="1269">
        <v>49214.2</v>
      </c>
      <c r="D31" s="1269">
        <v>49981.3</v>
      </c>
      <c r="E31" s="1269">
        <v>56708.5</v>
      </c>
      <c r="F31" s="1269">
        <v>62212</v>
      </c>
      <c r="G31" s="1269">
        <v>66774.5</v>
      </c>
      <c r="H31" s="1269">
        <v>94006.2</v>
      </c>
      <c r="I31" s="1277">
        <v>109200.8</v>
      </c>
      <c r="J31" s="1308">
        <v>133875.5</v>
      </c>
      <c r="K31" s="1278">
        <v>166018.4</v>
      </c>
      <c r="L31" s="1278">
        <v>163564.1</v>
      </c>
      <c r="M31" s="1273">
        <v>165642.20000000001</v>
      </c>
      <c r="N31" s="1273">
        <v>174305.90299999999</v>
      </c>
    </row>
    <row r="32" spans="1:14">
      <c r="A32" s="1276" t="s">
        <v>2839</v>
      </c>
      <c r="B32" s="1269">
        <v>4001</v>
      </c>
      <c r="C32" s="1269">
        <v>4161</v>
      </c>
      <c r="D32" s="1269">
        <v>3411</v>
      </c>
      <c r="E32" s="1269">
        <v>5052.6000000000004</v>
      </c>
      <c r="F32" s="1269">
        <v>6273.9</v>
      </c>
      <c r="G32" s="1269">
        <v>5549.7</v>
      </c>
      <c r="H32" s="1269">
        <v>8363.2000000000007</v>
      </c>
      <c r="I32" s="1277">
        <v>9153.6</v>
      </c>
      <c r="J32" s="1308">
        <v>9710.2000000000007</v>
      </c>
      <c r="K32" s="1278">
        <v>15213.1</v>
      </c>
      <c r="L32" s="1278">
        <v>24679.200000000001</v>
      </c>
      <c r="M32" s="1273">
        <v>23954.799999999999</v>
      </c>
      <c r="N32" s="1273">
        <v>26653.300999999999</v>
      </c>
    </row>
    <row r="33" spans="1:15">
      <c r="A33" s="1276" t="s">
        <v>2840</v>
      </c>
      <c r="B33" s="1269">
        <v>18410.599999999999</v>
      </c>
      <c r="C33" s="1269">
        <v>19310</v>
      </c>
      <c r="D33" s="1269">
        <v>23722.2</v>
      </c>
      <c r="E33" s="1269">
        <v>30842.7</v>
      </c>
      <c r="F33" s="1269">
        <v>45737.5</v>
      </c>
      <c r="G33" s="1269">
        <v>46893.5</v>
      </c>
      <c r="H33" s="1269">
        <v>57391</v>
      </c>
      <c r="I33" s="1277">
        <v>83571.399999999994</v>
      </c>
      <c r="J33" s="1308">
        <v>99495.8</v>
      </c>
      <c r="K33" s="1278">
        <v>117572.8</v>
      </c>
      <c r="L33" s="1278">
        <v>123962.8</v>
      </c>
      <c r="M33" s="1273">
        <v>155631.5</v>
      </c>
      <c r="N33" s="1273">
        <v>264749.08399999997</v>
      </c>
    </row>
    <row r="34" spans="1:15" ht="76.5">
      <c r="A34" s="1276" t="s">
        <v>2841</v>
      </c>
      <c r="B34" s="1269">
        <v>10277.4</v>
      </c>
      <c r="C34" s="1269">
        <v>10843.1</v>
      </c>
      <c r="D34" s="1269">
        <v>11554.7</v>
      </c>
      <c r="E34" s="1269">
        <v>14812</v>
      </c>
      <c r="F34" s="1269">
        <v>17799.8</v>
      </c>
      <c r="G34" s="1269">
        <v>14476</v>
      </c>
      <c r="H34" s="1269">
        <v>26421.7</v>
      </c>
      <c r="I34" s="1277">
        <v>32555.8</v>
      </c>
      <c r="J34" s="1308">
        <v>36125.199999999997</v>
      </c>
      <c r="K34" s="1278">
        <v>40945.599999999999</v>
      </c>
      <c r="L34" s="1278">
        <v>39256.800000000003</v>
      </c>
      <c r="M34" s="1273">
        <v>61639.1</v>
      </c>
      <c r="N34" s="1274">
        <v>89028.96</v>
      </c>
    </row>
    <row r="35" spans="1:15">
      <c r="A35" s="1276" t="s">
        <v>2842</v>
      </c>
      <c r="B35" s="1269">
        <v>11070.3</v>
      </c>
      <c r="C35" s="1269">
        <v>11072.8</v>
      </c>
      <c r="D35" s="1269">
        <v>7937.1</v>
      </c>
      <c r="E35" s="1269">
        <v>16011.9</v>
      </c>
      <c r="F35" s="1269">
        <v>16882.7</v>
      </c>
      <c r="G35" s="1269">
        <v>18397.7</v>
      </c>
      <c r="H35" s="1269">
        <v>21999</v>
      </c>
      <c r="I35" s="1277">
        <v>20834.400000000001</v>
      </c>
      <c r="J35" s="1308">
        <v>27062.9</v>
      </c>
      <c r="K35" s="1278">
        <v>30459.4</v>
      </c>
      <c r="L35" s="1278">
        <v>42477.8</v>
      </c>
      <c r="M35" s="1273">
        <v>53772</v>
      </c>
      <c r="N35" s="1273">
        <v>62209.415999999997</v>
      </c>
    </row>
    <row r="36" spans="1:15" ht="25.5">
      <c r="A36" s="1276" t="s">
        <v>2843</v>
      </c>
      <c r="B36" s="1269">
        <v>6667.7</v>
      </c>
      <c r="C36" s="1269">
        <v>6598.4</v>
      </c>
      <c r="D36" s="1269">
        <v>7097.2</v>
      </c>
      <c r="E36" s="1269">
        <v>7116</v>
      </c>
      <c r="F36" s="1269">
        <v>7783.3</v>
      </c>
      <c r="G36" s="1269">
        <v>19220.5</v>
      </c>
      <c r="H36" s="1269">
        <v>23242.6</v>
      </c>
      <c r="I36" s="1269">
        <v>22598</v>
      </c>
      <c r="J36" s="1307">
        <v>18706.900000000001</v>
      </c>
      <c r="K36" s="1269">
        <v>22887.5</v>
      </c>
      <c r="L36" s="1278">
        <v>17835.3</v>
      </c>
      <c r="M36" s="1273">
        <v>9192.2000000000007</v>
      </c>
      <c r="N36" s="1273">
        <v>36394.752999999997</v>
      </c>
    </row>
    <row r="37" spans="1:15">
      <c r="A37" s="1276" t="s">
        <v>2844</v>
      </c>
      <c r="B37" s="1269">
        <v>40978.699999999997</v>
      </c>
      <c r="C37" s="1269">
        <v>57629.7</v>
      </c>
      <c r="D37" s="1269">
        <v>78276.2</v>
      </c>
      <c r="E37" s="1269">
        <v>87022.6</v>
      </c>
      <c r="F37" s="1269">
        <v>89112.6</v>
      </c>
      <c r="G37" s="1269">
        <v>70192.7</v>
      </c>
      <c r="H37" s="1269">
        <v>98002.7</v>
      </c>
      <c r="I37" s="1269">
        <v>131940.70000000001</v>
      </c>
      <c r="J37" s="1307">
        <v>152811.29999999999</v>
      </c>
      <c r="K37" s="1269">
        <v>187001.60000000001</v>
      </c>
      <c r="L37" s="1278">
        <v>190559.8</v>
      </c>
      <c r="M37" s="1273">
        <v>188807.4</v>
      </c>
      <c r="N37" s="1273">
        <v>315698.83399999997</v>
      </c>
    </row>
    <row r="38" spans="1:15">
      <c r="A38" s="1276" t="s">
        <v>2845</v>
      </c>
      <c r="B38" s="1269">
        <v>27761.4</v>
      </c>
      <c r="C38" s="1269">
        <v>33051.699999999997</v>
      </c>
      <c r="D38" s="1269">
        <v>36216.300000000003</v>
      </c>
      <c r="E38" s="1269">
        <v>46460</v>
      </c>
      <c r="F38" s="1269">
        <v>43924.1</v>
      </c>
      <c r="G38" s="1269">
        <v>39675.699999999997</v>
      </c>
      <c r="H38" s="1269">
        <v>50958.2</v>
      </c>
      <c r="I38" s="1269">
        <v>70570</v>
      </c>
      <c r="J38" s="1307">
        <v>91808.8</v>
      </c>
      <c r="K38" s="1269">
        <v>78949.3</v>
      </c>
      <c r="L38" s="1278">
        <v>110287.7</v>
      </c>
      <c r="M38" s="1273">
        <v>99127.8</v>
      </c>
      <c r="N38" s="1273">
        <v>89749.966</v>
      </c>
    </row>
    <row r="39" spans="1:15">
      <c r="A39" s="1276" t="s">
        <v>2846</v>
      </c>
      <c r="B39" s="1269">
        <v>2017</v>
      </c>
      <c r="C39" s="1269">
        <v>2317.3000000000002</v>
      </c>
      <c r="D39" s="1269">
        <v>4289.2</v>
      </c>
      <c r="E39" s="1269">
        <v>5849.9</v>
      </c>
      <c r="F39" s="1269">
        <v>7938.4</v>
      </c>
      <c r="G39" s="1269">
        <v>3800.6</v>
      </c>
      <c r="H39" s="1269">
        <v>5665.1</v>
      </c>
      <c r="I39" s="1269">
        <v>5745.7</v>
      </c>
      <c r="J39" s="1307">
        <v>5026.1000000000004</v>
      </c>
      <c r="K39" s="1269">
        <v>6616.9</v>
      </c>
      <c r="L39" s="1278">
        <v>9296.2999999999993</v>
      </c>
      <c r="M39" s="1275">
        <v>10634.1</v>
      </c>
      <c r="N39" s="1278">
        <v>4589.0820000000003</v>
      </c>
      <c r="O39" s="1294"/>
    </row>
    <row r="40" spans="1:15">
      <c r="A40" s="1276" t="s">
        <v>2847</v>
      </c>
      <c r="B40" s="1269">
        <v>545.1</v>
      </c>
      <c r="C40" s="1269">
        <v>307.3</v>
      </c>
      <c r="D40" s="1269">
        <v>364.8</v>
      </c>
      <c r="E40" s="1269">
        <v>302.8</v>
      </c>
      <c r="F40" s="1269">
        <v>708.5</v>
      </c>
      <c r="G40" s="1269">
        <v>1041</v>
      </c>
      <c r="H40" s="1269">
        <v>1489.9</v>
      </c>
      <c r="I40" s="1269">
        <v>2201.3000000000002</v>
      </c>
      <c r="J40" s="1307">
        <v>2643.1</v>
      </c>
      <c r="K40" s="1269">
        <v>5400</v>
      </c>
      <c r="L40" s="1278">
        <v>7536.4</v>
      </c>
      <c r="M40" s="1273">
        <v>10085</v>
      </c>
      <c r="N40" s="1278">
        <v>3499.0430000000001</v>
      </c>
    </row>
    <row r="41" spans="1:15">
      <c r="A41" s="1276" t="s">
        <v>2848</v>
      </c>
      <c r="B41" s="1269">
        <v>4334.8999999999996</v>
      </c>
      <c r="C41" s="1269">
        <v>4577</v>
      </c>
      <c r="D41" s="1269">
        <v>6048.5</v>
      </c>
      <c r="E41" s="1269">
        <v>7322.1</v>
      </c>
      <c r="F41" s="1269">
        <v>8236.9</v>
      </c>
      <c r="G41" s="1269">
        <v>8267.6</v>
      </c>
      <c r="H41" s="1269">
        <v>8976.1</v>
      </c>
      <c r="I41" s="1269">
        <v>7447.9</v>
      </c>
      <c r="J41" s="1307">
        <v>10503.1</v>
      </c>
      <c r="K41" s="1269">
        <v>16670.3</v>
      </c>
      <c r="L41" s="1278">
        <v>12176</v>
      </c>
      <c r="M41" s="1273">
        <v>33549.1</v>
      </c>
      <c r="N41" s="1273">
        <v>28121.57</v>
      </c>
    </row>
    <row r="42" spans="1:15">
      <c r="A42" s="1276" t="s">
        <v>2849</v>
      </c>
      <c r="B42" s="1269">
        <v>13145.7</v>
      </c>
      <c r="C42" s="1269">
        <v>13963.7</v>
      </c>
      <c r="D42" s="1269">
        <v>15255.6</v>
      </c>
      <c r="E42" s="1269">
        <v>15784.8</v>
      </c>
      <c r="F42" s="1269">
        <v>19846.900000000001</v>
      </c>
      <c r="G42" s="1269">
        <v>21771.7</v>
      </c>
      <c r="H42" s="1269">
        <v>32860.6</v>
      </c>
      <c r="I42" s="1269">
        <v>37286</v>
      </c>
      <c r="J42" s="1307">
        <v>33965.300000000003</v>
      </c>
      <c r="K42" s="1269">
        <v>39917.4</v>
      </c>
      <c r="L42" s="1278">
        <v>39690.199999999997</v>
      </c>
      <c r="M42" s="1273">
        <v>49256.6</v>
      </c>
      <c r="N42" s="1273">
        <v>47855.087</v>
      </c>
    </row>
    <row r="43" spans="1:15">
      <c r="A43" s="1276" t="s">
        <v>2850</v>
      </c>
      <c r="B43" s="1269">
        <v>3376</v>
      </c>
      <c r="C43" s="1269">
        <v>3319.8</v>
      </c>
      <c r="D43" s="1269">
        <v>2165.1</v>
      </c>
      <c r="E43" s="1269">
        <v>3170.5</v>
      </c>
      <c r="F43" s="1269">
        <v>3541.1</v>
      </c>
      <c r="G43" s="1269">
        <v>3510.3</v>
      </c>
      <c r="H43" s="1269">
        <v>6232.4</v>
      </c>
      <c r="I43" s="1269">
        <v>5773.9</v>
      </c>
      <c r="J43" s="1307">
        <v>5021.8999999999996</v>
      </c>
      <c r="K43" s="1269">
        <v>5300.7</v>
      </c>
      <c r="L43" s="1278">
        <v>4087.6</v>
      </c>
      <c r="M43" s="1273">
        <v>1433.6</v>
      </c>
      <c r="N43" s="1273">
        <v>3722.1039999999998</v>
      </c>
    </row>
    <row r="44" spans="1:15">
      <c r="A44" s="1276" t="s">
        <v>2851</v>
      </c>
      <c r="B44" s="1269">
        <v>9465.4</v>
      </c>
      <c r="C44" s="1269">
        <v>10357.200000000001</v>
      </c>
      <c r="D44" s="1269">
        <v>11699.6</v>
      </c>
      <c r="E44" s="1269">
        <v>14270.1</v>
      </c>
      <c r="F44" s="1269">
        <v>17238.599999999999</v>
      </c>
      <c r="G44" s="1269">
        <v>19777.400000000001</v>
      </c>
      <c r="H44" s="1269">
        <v>24426</v>
      </c>
      <c r="I44" s="1269">
        <v>24954.799999999999</v>
      </c>
      <c r="J44" s="1307">
        <v>25653.4</v>
      </c>
      <c r="K44" s="1269">
        <v>34391.5</v>
      </c>
      <c r="L44" s="1278">
        <v>41907.699999999997</v>
      </c>
      <c r="M44" s="1273">
        <v>35516.199999999997</v>
      </c>
      <c r="N44" s="1273">
        <v>53571.061000000002</v>
      </c>
    </row>
    <row r="45" spans="1:15">
      <c r="A45" s="1276" t="s">
        <v>2852</v>
      </c>
      <c r="B45" s="1269">
        <v>16549.400000000001</v>
      </c>
      <c r="C45" s="1269">
        <v>24982.5</v>
      </c>
      <c r="D45" s="1269">
        <v>44714.400000000001</v>
      </c>
      <c r="E45" s="1269">
        <v>48101.9</v>
      </c>
      <c r="F45" s="1269">
        <v>67769.600000000006</v>
      </c>
      <c r="G45" s="1269">
        <v>76147.199999999997</v>
      </c>
      <c r="H45" s="1269">
        <v>97100.3</v>
      </c>
      <c r="I45" s="1269">
        <v>122215.7</v>
      </c>
      <c r="J45" s="1307">
        <v>120435.3</v>
      </c>
      <c r="K45" s="1269">
        <v>140370.5</v>
      </c>
      <c r="L45" s="1278">
        <v>189605.7</v>
      </c>
      <c r="M45" s="1273">
        <v>284993.5</v>
      </c>
      <c r="N45" s="1273">
        <v>369596.321</v>
      </c>
    </row>
    <row r="46" spans="1:15">
      <c r="A46" s="1276" t="s">
        <v>2853</v>
      </c>
      <c r="B46" s="1269">
        <v>3181.5</v>
      </c>
      <c r="C46" s="1269">
        <v>3620.7</v>
      </c>
      <c r="D46" s="1269">
        <v>4016.1</v>
      </c>
      <c r="E46" s="1269">
        <v>6294.4</v>
      </c>
      <c r="F46" s="1269">
        <v>9971.2999999999993</v>
      </c>
      <c r="G46" s="1269">
        <v>17106.599999999999</v>
      </c>
      <c r="H46" s="1269">
        <v>13600.3</v>
      </c>
      <c r="I46" s="1269">
        <v>13704.6</v>
      </c>
      <c r="J46" s="1307">
        <v>13417.2</v>
      </c>
      <c r="K46" s="1269">
        <v>19354.7</v>
      </c>
      <c r="L46" s="1278">
        <v>22823.599999999999</v>
      </c>
      <c r="M46" s="1273">
        <v>14305.3</v>
      </c>
      <c r="N46" s="1273">
        <v>12746.612999999999</v>
      </c>
    </row>
    <row r="47" spans="1:15">
      <c r="A47" s="1276" t="s">
        <v>2854</v>
      </c>
      <c r="B47" s="1269">
        <v>2716.1</v>
      </c>
      <c r="C47" s="1269">
        <v>3487.1</v>
      </c>
      <c r="D47" s="1269">
        <v>5765.7</v>
      </c>
      <c r="E47" s="1269">
        <v>5688.2</v>
      </c>
      <c r="F47" s="1269">
        <v>7752.4</v>
      </c>
      <c r="G47" s="1269">
        <v>6984</v>
      </c>
      <c r="H47" s="1269">
        <v>7844.2</v>
      </c>
      <c r="I47" s="1269">
        <v>8943.6</v>
      </c>
      <c r="J47" s="1307">
        <v>8508.1</v>
      </c>
      <c r="K47" s="1269">
        <v>9416.1</v>
      </c>
      <c r="L47" s="1278">
        <v>12055.3</v>
      </c>
      <c r="M47" s="1273">
        <v>3381.3</v>
      </c>
      <c r="N47" s="1273">
        <v>3579.4009999999998</v>
      </c>
    </row>
    <row r="48" spans="1:15">
      <c r="A48" s="1276" t="s">
        <v>2855</v>
      </c>
      <c r="B48" s="1269">
        <v>12190.9</v>
      </c>
      <c r="C48" s="1269">
        <v>12875.6</v>
      </c>
      <c r="D48" s="1269">
        <v>12811.2</v>
      </c>
      <c r="E48" s="1269">
        <v>16905</v>
      </c>
      <c r="F48" s="1269">
        <v>20743.2</v>
      </c>
      <c r="G48" s="1269">
        <v>21050.1</v>
      </c>
      <c r="H48" s="1269">
        <v>26784.400000000001</v>
      </c>
      <c r="I48" s="1269">
        <v>31820.7</v>
      </c>
      <c r="J48" s="1307">
        <v>39136.9</v>
      </c>
      <c r="K48" s="1269">
        <v>48022.8</v>
      </c>
      <c r="L48" s="1278">
        <v>64461.3</v>
      </c>
      <c r="M48" s="1273">
        <v>89970.3</v>
      </c>
      <c r="N48" s="1273">
        <v>70369.391000000003</v>
      </c>
    </row>
    <row r="49" spans="1:14" ht="25.5">
      <c r="A49" s="1276" t="s">
        <v>2856</v>
      </c>
      <c r="B49" s="1269">
        <v>37690.400000000001</v>
      </c>
      <c r="C49" s="1269">
        <v>31161.4</v>
      </c>
      <c r="D49" s="1269">
        <v>53793.7</v>
      </c>
      <c r="E49" s="1269">
        <v>70538.7</v>
      </c>
      <c r="F49" s="1269">
        <v>75176.100000000006</v>
      </c>
      <c r="G49" s="1269">
        <v>74292.100000000006</v>
      </c>
      <c r="H49" s="1269">
        <v>98197.7</v>
      </c>
      <c r="I49" s="1269">
        <v>124455.1</v>
      </c>
      <c r="J49" s="1307">
        <v>144250.5</v>
      </c>
      <c r="K49" s="1269">
        <v>176322.6</v>
      </c>
      <c r="L49" s="1278">
        <v>134430.9</v>
      </c>
      <c r="M49" s="1273">
        <v>145996.70000000001</v>
      </c>
      <c r="N49" s="1273">
        <v>125304.946</v>
      </c>
    </row>
    <row r="50" spans="1:14">
      <c r="A50" s="1276" t="s">
        <v>2857</v>
      </c>
      <c r="B50" s="1269">
        <v>3175</v>
      </c>
      <c r="C50" s="1269">
        <v>4060.9</v>
      </c>
      <c r="D50" s="1269">
        <v>5814.8</v>
      </c>
      <c r="E50" s="1269">
        <v>6331.3</v>
      </c>
      <c r="F50" s="1269">
        <v>7770.8</v>
      </c>
      <c r="G50" s="1269">
        <v>10380.200000000001</v>
      </c>
      <c r="H50" s="1269">
        <v>15683.8</v>
      </c>
      <c r="I50" s="1269">
        <v>14240.4</v>
      </c>
      <c r="J50" s="1307">
        <v>16243.8</v>
      </c>
      <c r="K50" s="1269">
        <v>20872.099999999999</v>
      </c>
      <c r="L50" s="1278">
        <v>17841.400000000001</v>
      </c>
      <c r="M50" s="1273">
        <v>14283.1</v>
      </c>
      <c r="N50" s="1273">
        <v>29206.802</v>
      </c>
    </row>
    <row r="51" spans="1:14">
      <c r="A51" s="1276" t="s">
        <v>2858</v>
      </c>
      <c r="B51" s="1269">
        <v>12815.2</v>
      </c>
      <c r="C51" s="1269">
        <v>10773.9</v>
      </c>
      <c r="D51" s="1269">
        <v>20799.900000000001</v>
      </c>
      <c r="E51" s="1269">
        <v>38555.599999999999</v>
      </c>
      <c r="F51" s="1269">
        <v>32553.9</v>
      </c>
      <c r="G51" s="1269">
        <v>31606.9</v>
      </c>
      <c r="H51" s="1269">
        <v>33019.800000000003</v>
      </c>
      <c r="I51" s="1269">
        <v>46784.4</v>
      </c>
      <c r="J51" s="1307">
        <v>72743.5</v>
      </c>
      <c r="K51" s="1269">
        <v>76242.8</v>
      </c>
      <c r="L51" s="1278">
        <v>94651.8</v>
      </c>
      <c r="M51" s="1273">
        <v>148983.9</v>
      </c>
      <c r="N51" s="1273">
        <v>146425.26800000001</v>
      </c>
    </row>
    <row r="52" spans="1:14">
      <c r="A52" s="1276" t="s">
        <v>2859</v>
      </c>
      <c r="B52" s="1269">
        <v>7708.5</v>
      </c>
      <c r="C52" s="1269">
        <v>7282.4</v>
      </c>
      <c r="D52" s="1269">
        <v>7978.2</v>
      </c>
      <c r="E52" s="1269">
        <v>11886.5</v>
      </c>
      <c r="F52" s="1269">
        <v>19154.3</v>
      </c>
      <c r="G52" s="1269">
        <v>21173.5</v>
      </c>
      <c r="H52" s="1269">
        <v>23636.799999999999</v>
      </c>
      <c r="I52" s="1269">
        <v>23708.3</v>
      </c>
      <c r="J52" s="1307">
        <v>27495.5</v>
      </c>
      <c r="K52" s="1269">
        <v>35813.42</v>
      </c>
      <c r="L52" s="1278">
        <v>39887.699999999997</v>
      </c>
      <c r="M52" s="1273">
        <v>47476.9</v>
      </c>
      <c r="N52" s="1273">
        <v>85231.534</v>
      </c>
    </row>
    <row r="53" spans="1:14">
      <c r="A53" s="1276" t="s">
        <v>2860</v>
      </c>
      <c r="B53" s="1269">
        <v>8667</v>
      </c>
      <c r="C53" s="1269">
        <v>9572.2000000000007</v>
      </c>
      <c r="D53" s="1269">
        <v>10431</v>
      </c>
      <c r="E53" s="1269">
        <v>14520.3</v>
      </c>
      <c r="F53" s="1269">
        <v>40619.199999999997</v>
      </c>
      <c r="G53" s="1269">
        <v>21387.7</v>
      </c>
      <c r="H53" s="1269">
        <v>21005.7</v>
      </c>
      <c r="I53" s="1269">
        <v>24518.9</v>
      </c>
      <c r="J53" s="1307">
        <v>29024.7</v>
      </c>
      <c r="K53" s="1269">
        <v>28101.4</v>
      </c>
      <c r="L53" s="1278">
        <v>30828.6</v>
      </c>
      <c r="M53" s="1273">
        <v>40245.699999999997</v>
      </c>
      <c r="N53" s="1273">
        <v>77909.975999999995</v>
      </c>
    </row>
    <row r="54" spans="1:14">
      <c r="A54" s="1276" t="s">
        <v>2861</v>
      </c>
      <c r="B54" s="1269">
        <v>5324.1</v>
      </c>
      <c r="C54" s="1269">
        <v>5847.1</v>
      </c>
      <c r="D54" s="1269">
        <v>6534.1</v>
      </c>
      <c r="E54" s="1269">
        <v>7589.3</v>
      </c>
      <c r="F54" s="1269">
        <v>9201.7000000000007</v>
      </c>
      <c r="G54" s="1269">
        <v>15906.9</v>
      </c>
      <c r="H54" s="1269">
        <v>18793.900000000001</v>
      </c>
      <c r="I54" s="1269">
        <v>21796.1</v>
      </c>
      <c r="J54" s="1307">
        <v>21608.1</v>
      </c>
      <c r="K54" s="1269">
        <v>33109.9</v>
      </c>
      <c r="L54" s="1278">
        <v>36332</v>
      </c>
      <c r="M54" s="1273">
        <v>49583.8</v>
      </c>
      <c r="N54" s="1273">
        <v>108997.33</v>
      </c>
    </row>
    <row r="55" spans="1:14">
      <c r="A55" s="1276" t="s">
        <v>2862</v>
      </c>
      <c r="B55" s="1269">
        <v>16069.1</v>
      </c>
      <c r="C55" s="1269">
        <v>17167.5</v>
      </c>
      <c r="D55" s="1269">
        <v>20466.900000000001</v>
      </c>
      <c r="E55" s="1269">
        <v>25632.5</v>
      </c>
      <c r="F55" s="1269">
        <v>32584.1</v>
      </c>
      <c r="G55" s="1269" t="s">
        <v>2863</v>
      </c>
      <c r="H55" s="1269" t="s">
        <v>2863</v>
      </c>
      <c r="I55" s="1269" t="s">
        <v>2863</v>
      </c>
      <c r="J55" s="1307" t="s">
        <v>2863</v>
      </c>
      <c r="K55" s="1269" t="s">
        <v>2863</v>
      </c>
      <c r="L55" s="1269" t="s">
        <v>2863</v>
      </c>
      <c r="M55" s="1270" t="s">
        <v>2863</v>
      </c>
      <c r="N55" s="1270" t="s">
        <v>2863</v>
      </c>
    </row>
    <row r="56" spans="1:14">
      <c r="A56" s="1276" t="s">
        <v>2864</v>
      </c>
      <c r="B56" s="1261" t="s">
        <v>2863</v>
      </c>
      <c r="C56" s="1261" t="s">
        <v>2863</v>
      </c>
      <c r="D56" s="1261" t="s">
        <v>2863</v>
      </c>
      <c r="E56" s="1261" t="s">
        <v>2863</v>
      </c>
      <c r="F56" s="1261" t="s">
        <v>2863</v>
      </c>
      <c r="G56" s="1269">
        <v>31120</v>
      </c>
      <c r="H56" s="1269">
        <v>34746.1</v>
      </c>
      <c r="I56" s="1269">
        <v>38604.699999999997</v>
      </c>
      <c r="J56" s="1307">
        <v>44077.599999999999</v>
      </c>
      <c r="K56" s="1269">
        <v>63807.9</v>
      </c>
      <c r="L56" s="1278">
        <v>78625.5</v>
      </c>
      <c r="M56" s="1273">
        <v>83062.2</v>
      </c>
      <c r="N56" s="1273">
        <v>84270.945000000007</v>
      </c>
    </row>
    <row r="57" spans="1:14">
      <c r="A57" s="1276" t="s">
        <v>2865</v>
      </c>
      <c r="B57" s="1261" t="s">
        <v>2863</v>
      </c>
      <c r="C57" s="1261" t="s">
        <v>2863</v>
      </c>
      <c r="D57" s="1261" t="s">
        <v>2863</v>
      </c>
      <c r="E57" s="1261" t="s">
        <v>2863</v>
      </c>
      <c r="F57" s="1261" t="s">
        <v>2863</v>
      </c>
      <c r="G57" s="1269">
        <v>21137.5</v>
      </c>
      <c r="H57" s="1269">
        <v>31612.1</v>
      </c>
      <c r="I57" s="1269">
        <v>34173.5</v>
      </c>
      <c r="J57" s="1307">
        <v>43049.8</v>
      </c>
      <c r="K57" s="1269">
        <v>46844</v>
      </c>
      <c r="L57" s="1278">
        <v>53082.400000000001</v>
      </c>
      <c r="M57" s="1273">
        <v>56252.4</v>
      </c>
      <c r="N57" s="1273">
        <v>104337.09699999999</v>
      </c>
    </row>
    <row r="58" spans="1:14" ht="25.5">
      <c r="A58" s="1276" t="s">
        <v>2866</v>
      </c>
      <c r="B58" s="1269">
        <v>1617</v>
      </c>
      <c r="C58" s="1269">
        <v>1695.6</v>
      </c>
      <c r="D58" s="1269">
        <v>1910.2</v>
      </c>
      <c r="E58" s="1269">
        <v>1869.9</v>
      </c>
      <c r="F58" s="1269">
        <v>1501</v>
      </c>
      <c r="G58" s="1269">
        <v>4704.2</v>
      </c>
      <c r="H58" s="1269">
        <v>7602</v>
      </c>
      <c r="I58" s="1269">
        <v>8088.4</v>
      </c>
      <c r="J58" s="1307">
        <v>8089.5</v>
      </c>
      <c r="K58" s="1269">
        <v>14560.1</v>
      </c>
      <c r="L58" s="1278">
        <v>19777.400000000001</v>
      </c>
      <c r="M58" s="1273">
        <v>17594.599999999999</v>
      </c>
      <c r="N58" s="1273">
        <v>15085.736999999999</v>
      </c>
    </row>
    <row r="59" spans="1:14" ht="25.5">
      <c r="A59" s="1276" t="s">
        <v>2867</v>
      </c>
      <c r="B59" s="1269">
        <v>111052.2</v>
      </c>
      <c r="C59" s="1269">
        <v>149726.5</v>
      </c>
      <c r="D59" s="1269">
        <v>215522.8</v>
      </c>
      <c r="E59" s="1269">
        <v>259779.7</v>
      </c>
      <c r="F59" s="1269">
        <v>340217.1</v>
      </c>
      <c r="G59" s="1269">
        <v>7565.8</v>
      </c>
      <c r="H59" s="1269">
        <v>16892.3</v>
      </c>
      <c r="I59" s="1269">
        <v>19963.599999999999</v>
      </c>
      <c r="J59" s="1307">
        <v>24963.5</v>
      </c>
      <c r="K59" s="1269">
        <v>40121.800000000003</v>
      </c>
      <c r="L59" s="1278">
        <v>38282.699999999997</v>
      </c>
      <c r="M59" s="1273">
        <v>38956.1</v>
      </c>
      <c r="N59" s="1273">
        <v>48089.599999999999</v>
      </c>
    </row>
    <row r="60" spans="1:14">
      <c r="A60" s="1276" t="s">
        <v>2868</v>
      </c>
      <c r="B60" s="1269">
        <v>68020.100000000006</v>
      </c>
      <c r="C60" s="1269">
        <v>73361.399999999994</v>
      </c>
      <c r="D60" s="1269">
        <v>113390.2</v>
      </c>
      <c r="E60" s="1269">
        <v>182570.6</v>
      </c>
      <c r="F60" s="1269">
        <v>135502</v>
      </c>
      <c r="G60" s="1269">
        <v>87305.4</v>
      </c>
      <c r="H60" s="1269">
        <v>108655.1</v>
      </c>
      <c r="I60" s="1269">
        <v>157993.79999999999</v>
      </c>
      <c r="J60" s="1307">
        <v>293044</v>
      </c>
      <c r="K60" s="1269">
        <v>452350.4</v>
      </c>
      <c r="L60" s="1278">
        <v>558669.19999999995</v>
      </c>
      <c r="M60" s="1295">
        <v>309520.8</v>
      </c>
      <c r="N60" s="1273">
        <v>323396.59999999998</v>
      </c>
    </row>
    <row r="61" spans="1:14">
      <c r="A61" s="1276" t="s">
        <v>2869</v>
      </c>
      <c r="B61" s="1269">
        <v>6815.8</v>
      </c>
      <c r="C61" s="1269">
        <v>7599.9</v>
      </c>
      <c r="D61" s="1269">
        <v>22044.1</v>
      </c>
      <c r="E61" s="1269">
        <v>21520.400000000001</v>
      </c>
      <c r="F61" s="1269">
        <v>7172.2</v>
      </c>
      <c r="G61" s="1269">
        <v>12183.9</v>
      </c>
      <c r="H61" s="1269">
        <v>18817.8</v>
      </c>
      <c r="I61" s="1269">
        <v>18563.099999999999</v>
      </c>
      <c r="J61" s="1307">
        <v>20384.400000000001</v>
      </c>
      <c r="K61" s="1269">
        <v>21409.3</v>
      </c>
      <c r="L61" s="1278">
        <v>31632.799999999999</v>
      </c>
      <c r="M61" s="1295">
        <v>24857.3</v>
      </c>
      <c r="N61" s="1296">
        <v>6659.9</v>
      </c>
    </row>
    <row r="62" spans="1:14">
      <c r="A62" s="1276" t="s">
        <v>2870</v>
      </c>
      <c r="B62" s="1269">
        <v>2902.8</v>
      </c>
      <c r="C62" s="1269">
        <v>3955.2</v>
      </c>
      <c r="D62" s="1269">
        <v>5394.6</v>
      </c>
      <c r="E62" s="1269">
        <v>7974.6</v>
      </c>
      <c r="F62" s="1269">
        <v>12835.1</v>
      </c>
      <c r="G62" s="1269">
        <v>17109.5</v>
      </c>
      <c r="H62" s="1269">
        <v>17431.599999999999</v>
      </c>
      <c r="I62" s="1269">
        <v>24597.9</v>
      </c>
      <c r="J62" s="1307">
        <v>36598.5</v>
      </c>
      <c r="K62" s="1269">
        <v>31420.5</v>
      </c>
      <c r="L62" s="1278">
        <v>30435.9</v>
      </c>
      <c r="M62" s="1295">
        <v>45263.5</v>
      </c>
      <c r="N62" s="1296">
        <v>59757.9</v>
      </c>
    </row>
    <row r="63" spans="1:14">
      <c r="A63" s="1276" t="s">
        <v>2871</v>
      </c>
      <c r="B63" s="1269">
        <v>20814.3</v>
      </c>
      <c r="C63" s="1269">
        <v>20912.099999999999</v>
      </c>
      <c r="D63" s="1269">
        <v>30689.5</v>
      </c>
      <c r="E63" s="1269">
        <v>35653.699999999997</v>
      </c>
      <c r="F63" s="1269">
        <v>38921.800000000003</v>
      </c>
      <c r="G63" s="1269">
        <v>44929.8</v>
      </c>
      <c r="H63" s="1269">
        <v>75250.3</v>
      </c>
      <c r="I63" s="1269">
        <v>73926.600000000006</v>
      </c>
      <c r="J63" s="1307">
        <v>101120.5</v>
      </c>
      <c r="K63" s="1269">
        <v>83017.7</v>
      </c>
      <c r="L63" s="1278">
        <v>107499.8</v>
      </c>
      <c r="M63" s="1295">
        <v>176821.9</v>
      </c>
      <c r="N63" s="1296">
        <v>193587.9</v>
      </c>
    </row>
    <row r="64" spans="1:14" s="1267" customFormat="1">
      <c r="J64" s="1311"/>
      <c r="M64" s="1297"/>
    </row>
    <row r="65" spans="1:13" s="1299" customFormat="1">
      <c r="A65" s="1946" t="s">
        <v>2872</v>
      </c>
      <c r="B65" s="1947"/>
      <c r="C65" s="1947"/>
      <c r="D65" s="1947"/>
      <c r="E65" s="1947"/>
      <c r="F65" s="1947"/>
      <c r="G65" s="1947"/>
      <c r="H65" s="1947"/>
      <c r="I65" s="1947"/>
      <c r="J65" s="1947"/>
      <c r="K65" s="1947"/>
      <c r="L65" s="1298"/>
      <c r="M65" s="1275"/>
    </row>
    <row r="66" spans="1:13">
      <c r="A66" s="1300"/>
      <c r="B66" s="1301"/>
      <c r="C66" s="1302"/>
      <c r="D66" s="1302"/>
      <c r="E66" s="1302"/>
      <c r="F66" s="1302"/>
    </row>
    <row r="67" spans="1:13">
      <c r="A67" s="1300"/>
      <c r="B67" s="1301"/>
      <c r="C67" s="1301"/>
      <c r="D67" s="1301"/>
      <c r="E67" s="1301"/>
      <c r="F67" s="1301"/>
      <c r="G67" s="1301"/>
      <c r="H67" s="1301"/>
      <c r="I67" s="1301"/>
      <c r="J67" s="1313"/>
      <c r="K67" s="1301"/>
    </row>
    <row r="68" spans="1:13">
      <c r="A68" s="1300"/>
      <c r="B68" s="1301"/>
      <c r="C68" s="1303"/>
      <c r="D68" s="1303"/>
      <c r="E68" s="1303"/>
      <c r="F68" s="1303"/>
    </row>
    <row r="69" spans="1:13">
      <c r="A69" s="1300"/>
      <c r="B69" s="1301"/>
      <c r="C69" s="1302"/>
      <c r="D69" s="1302"/>
      <c r="E69" s="1302"/>
      <c r="F69" s="1302"/>
    </row>
    <row r="70" spans="1:13">
      <c r="A70" s="1300"/>
      <c r="B70" s="1301"/>
      <c r="C70" s="1303"/>
      <c r="D70" s="1303"/>
      <c r="E70" s="1303"/>
      <c r="F70" s="1303"/>
    </row>
    <row r="71" spans="1:13">
      <c r="A71" s="1300"/>
      <c r="B71" s="1301"/>
      <c r="C71" s="1303"/>
      <c r="D71" s="1303"/>
      <c r="E71" s="1303"/>
      <c r="F71" s="1303"/>
    </row>
    <row r="72" spans="1:13">
      <c r="A72" s="1300"/>
      <c r="B72" s="1301"/>
      <c r="C72" s="1302"/>
      <c r="D72" s="1302"/>
      <c r="E72" s="1302"/>
      <c r="F72" s="1302"/>
    </row>
    <row r="73" spans="1:13">
      <c r="A73" s="1300"/>
      <c r="B73" s="1301"/>
      <c r="C73" s="1303"/>
      <c r="D73" s="1303"/>
      <c r="E73" s="1303"/>
      <c r="F73" s="1303"/>
    </row>
    <row r="74" spans="1:13">
      <c r="A74" s="1300"/>
      <c r="B74" s="1301"/>
      <c r="C74" s="1303"/>
      <c r="D74" s="1303"/>
      <c r="E74" s="1303"/>
      <c r="F74" s="1303"/>
    </row>
    <row r="75" spans="1:13">
      <c r="A75" s="1300"/>
      <c r="B75" s="1301"/>
      <c r="C75" s="1302"/>
      <c r="D75" s="1302"/>
      <c r="E75" s="1302"/>
      <c r="F75" s="1302"/>
    </row>
    <row r="76" spans="1:13">
      <c r="A76" s="1300"/>
      <c r="B76" s="1301"/>
      <c r="C76" s="1302"/>
      <c r="D76" s="1302"/>
      <c r="E76" s="1302"/>
      <c r="F76" s="1302"/>
    </row>
    <row r="77" spans="1:13">
      <c r="A77" s="1300"/>
      <c r="B77" s="1301"/>
      <c r="C77" s="1302"/>
      <c r="D77" s="1302"/>
      <c r="E77" s="1302"/>
      <c r="F77" s="1302"/>
    </row>
    <row r="78" spans="1:13">
      <c r="A78" s="1300"/>
      <c r="B78" s="1301"/>
      <c r="C78" s="1302"/>
      <c r="D78" s="1302"/>
      <c r="E78" s="1302"/>
      <c r="F78" s="1302"/>
    </row>
    <row r="79" spans="1:13">
      <c r="A79" s="1300"/>
      <c r="B79" s="1301"/>
      <c r="C79" s="1302"/>
      <c r="D79" s="1302"/>
      <c r="E79" s="1302"/>
      <c r="F79" s="1302"/>
    </row>
    <row r="80" spans="1:13">
      <c r="A80" s="1300"/>
      <c r="B80" s="1301"/>
      <c r="C80" s="1302"/>
      <c r="D80" s="1302"/>
      <c r="E80" s="1302"/>
      <c r="F80" s="1302"/>
    </row>
    <row r="81" spans="1:10" s="1253" customFormat="1">
      <c r="A81" s="1300"/>
      <c r="B81" s="1301"/>
      <c r="C81" s="1302"/>
      <c r="D81" s="1302"/>
      <c r="E81" s="1302"/>
      <c r="F81" s="1302"/>
      <c r="J81" s="1312"/>
    </row>
    <row r="82" spans="1:10" s="1253" customFormat="1">
      <c r="A82" s="1300"/>
      <c r="B82" s="1301"/>
      <c r="C82" s="1302"/>
      <c r="D82" s="1302"/>
      <c r="E82" s="1302"/>
      <c r="F82" s="1302"/>
      <c r="J82" s="1312"/>
    </row>
    <row r="83" spans="1:10" s="1253" customFormat="1">
      <c r="A83" s="1300"/>
      <c r="B83" s="1301"/>
      <c r="C83" s="1302"/>
      <c r="D83" s="1302"/>
      <c r="E83" s="1302"/>
      <c r="F83" s="1302"/>
      <c r="J83" s="1312"/>
    </row>
    <row r="84" spans="1:10" s="1253" customFormat="1">
      <c r="A84" s="1300"/>
      <c r="B84" s="1301"/>
      <c r="C84" s="1302"/>
      <c r="D84" s="1302"/>
      <c r="E84" s="1302"/>
      <c r="F84" s="1302"/>
      <c r="J84" s="1312"/>
    </row>
    <row r="85" spans="1:10" s="1253" customFormat="1">
      <c r="A85" s="1300"/>
      <c r="B85" s="1301"/>
      <c r="C85" s="1302"/>
      <c r="D85" s="1302"/>
      <c r="E85" s="1302"/>
      <c r="F85" s="1302"/>
      <c r="J85" s="1312"/>
    </row>
    <row r="86" spans="1:10" s="1253" customFormat="1">
      <c r="A86" s="1300"/>
      <c r="B86" s="1301"/>
      <c r="C86" s="1302"/>
      <c r="D86" s="1302"/>
      <c r="E86" s="1302"/>
      <c r="F86" s="1302"/>
      <c r="J86" s="1312"/>
    </row>
    <row r="87" spans="1:10" s="1253" customFormat="1">
      <c r="A87" s="1300"/>
      <c r="B87" s="1301"/>
      <c r="C87" s="1302"/>
      <c r="D87" s="1302"/>
      <c r="E87" s="1302"/>
      <c r="F87" s="1302"/>
      <c r="J87" s="1312"/>
    </row>
    <row r="88" spans="1:10" s="1253" customFormat="1">
      <c r="A88" s="1300"/>
      <c r="B88" s="1301"/>
      <c r="C88" s="1302"/>
      <c r="D88" s="1302"/>
      <c r="E88" s="1302"/>
      <c r="F88" s="1302"/>
      <c r="J88" s="1312"/>
    </row>
    <row r="89" spans="1:10" s="1253" customFormat="1">
      <c r="A89" s="1300"/>
      <c r="B89" s="1301"/>
      <c r="C89" s="1302"/>
      <c r="D89" s="1302"/>
      <c r="E89" s="1302"/>
      <c r="F89" s="1302"/>
      <c r="J89" s="1312"/>
    </row>
    <row r="90" spans="1:10" s="1253" customFormat="1">
      <c r="A90" s="1300"/>
      <c r="B90" s="1301"/>
      <c r="C90" s="1302"/>
      <c r="D90" s="1302"/>
      <c r="E90" s="1302"/>
      <c r="F90" s="1302"/>
      <c r="J90" s="1312"/>
    </row>
    <row r="91" spans="1:10" s="1253" customFormat="1">
      <c r="A91" s="1300"/>
      <c r="B91" s="1301"/>
      <c r="C91" s="1302"/>
      <c r="D91" s="1302"/>
      <c r="E91" s="1302"/>
      <c r="F91" s="1302"/>
      <c r="J91" s="1312"/>
    </row>
    <row r="92" spans="1:10" s="1253" customFormat="1">
      <c r="A92" s="1300"/>
      <c r="B92" s="1301"/>
      <c r="C92" s="1302"/>
      <c r="D92" s="1302"/>
      <c r="E92" s="1302"/>
      <c r="F92" s="1302"/>
      <c r="J92" s="1312"/>
    </row>
    <row r="93" spans="1:10" s="1253" customFormat="1">
      <c r="A93" s="1300"/>
      <c r="B93" s="1301"/>
      <c r="C93" s="1302"/>
      <c r="D93" s="1302"/>
      <c r="E93" s="1302"/>
      <c r="F93" s="1302"/>
      <c r="J93" s="1312"/>
    </row>
    <row r="94" spans="1:10" s="1253" customFormat="1">
      <c r="A94" s="1300"/>
      <c r="B94" s="1301"/>
      <c r="C94" s="1302"/>
      <c r="D94" s="1302"/>
      <c r="E94" s="1302"/>
      <c r="F94" s="1302"/>
      <c r="J94" s="1312"/>
    </row>
    <row r="95" spans="1:10" s="1253" customFormat="1">
      <c r="A95" s="1300"/>
      <c r="B95" s="1301"/>
      <c r="C95" s="1302"/>
      <c r="D95" s="1302"/>
      <c r="E95" s="1302"/>
      <c r="F95" s="1302"/>
      <c r="J95" s="1312"/>
    </row>
    <row r="96" spans="1:10" s="1253" customFormat="1">
      <c r="A96" s="1300"/>
      <c r="B96" s="1301"/>
      <c r="C96" s="1302"/>
      <c r="D96" s="1302"/>
      <c r="E96" s="1302"/>
      <c r="F96" s="1302"/>
      <c r="J96" s="1312"/>
    </row>
    <row r="97" spans="1:10" s="1253" customFormat="1">
      <c r="A97" s="1300"/>
      <c r="B97" s="1301"/>
      <c r="C97" s="1302"/>
      <c r="D97" s="1302"/>
      <c r="E97" s="1302"/>
      <c r="F97" s="1302"/>
      <c r="J97" s="1312"/>
    </row>
    <row r="98" spans="1:10" s="1253" customFormat="1">
      <c r="A98" s="1300"/>
      <c r="B98" s="1301"/>
      <c r="C98" s="1302"/>
      <c r="D98" s="1302"/>
      <c r="E98" s="1302"/>
      <c r="F98" s="1302"/>
      <c r="J98" s="1312"/>
    </row>
    <row r="99" spans="1:10" s="1253" customFormat="1">
      <c r="A99" s="1300"/>
      <c r="B99" s="1301"/>
      <c r="J99" s="1312"/>
    </row>
    <row r="100" spans="1:10" s="1253" customFormat="1">
      <c r="A100" s="1300"/>
      <c r="B100" s="1301"/>
      <c r="J100" s="1312"/>
    </row>
    <row r="101" spans="1:10" s="1253" customFormat="1">
      <c r="A101" s="1300"/>
      <c r="B101" s="1301"/>
      <c r="J101" s="1312"/>
    </row>
    <row r="102" spans="1:10" s="1253" customFormat="1">
      <c r="A102" s="1300"/>
      <c r="B102" s="1301"/>
      <c r="J102" s="1312"/>
    </row>
    <row r="103" spans="1:10" s="1253" customFormat="1">
      <c r="A103" s="1300"/>
      <c r="B103" s="1301"/>
      <c r="J103" s="1312"/>
    </row>
    <row r="104" spans="1:10" s="1253" customFormat="1">
      <c r="A104" s="1300"/>
      <c r="B104" s="1301"/>
      <c r="J104" s="1312"/>
    </row>
    <row r="105" spans="1:10" s="1253" customFormat="1">
      <c r="A105" s="1300"/>
      <c r="B105" s="1301"/>
      <c r="J105" s="1312"/>
    </row>
    <row r="106" spans="1:10" s="1253" customFormat="1">
      <c r="A106" s="1300"/>
      <c r="B106" s="1301"/>
      <c r="J106" s="1312"/>
    </row>
    <row r="107" spans="1:10" s="1253" customFormat="1">
      <c r="A107" s="1300"/>
      <c r="B107" s="1301"/>
      <c r="J107" s="1312"/>
    </row>
    <row r="108" spans="1:10" s="1253" customFormat="1">
      <c r="A108" s="1300"/>
      <c r="B108" s="1301"/>
      <c r="J108" s="1312"/>
    </row>
    <row r="109" spans="1:10" s="1253" customFormat="1">
      <c r="A109" s="1300"/>
      <c r="B109" s="1301"/>
      <c r="J109" s="1312"/>
    </row>
    <row r="110" spans="1:10" s="1253" customFormat="1">
      <c r="A110" s="1300"/>
      <c r="B110" s="1301"/>
      <c r="J110" s="1312"/>
    </row>
    <row r="111" spans="1:10" s="1253" customFormat="1">
      <c r="A111" s="1300"/>
      <c r="B111" s="1301"/>
      <c r="J111" s="1312"/>
    </row>
    <row r="112" spans="1:10" s="1253" customFormat="1">
      <c r="A112" s="1300"/>
      <c r="B112" s="1301"/>
      <c r="J112" s="1312"/>
    </row>
    <row r="113" spans="1:10" s="1253" customFormat="1">
      <c r="A113" s="1300"/>
      <c r="B113" s="1301"/>
      <c r="J113" s="1312"/>
    </row>
    <row r="114" spans="1:10" s="1253" customFormat="1">
      <c r="A114" s="1300"/>
      <c r="B114" s="1301"/>
      <c r="J114" s="1312"/>
    </row>
    <row r="115" spans="1:10" s="1253" customFormat="1">
      <c r="A115" s="1300"/>
      <c r="B115" s="1301"/>
      <c r="J115" s="1312"/>
    </row>
    <row r="116" spans="1:10" s="1253" customFormat="1">
      <c r="A116" s="1300"/>
      <c r="B116" s="1301"/>
      <c r="J116" s="1312"/>
    </row>
    <row r="117" spans="1:10" s="1253" customFormat="1">
      <c r="A117" s="1300"/>
      <c r="B117" s="1301"/>
      <c r="J117" s="1312"/>
    </row>
    <row r="118" spans="1:10" s="1253" customFormat="1">
      <c r="A118" s="1300"/>
      <c r="B118" s="1301"/>
      <c r="J118" s="1312"/>
    </row>
    <row r="119" spans="1:10" s="1253" customFormat="1">
      <c r="A119" s="1300"/>
      <c r="B119" s="1301"/>
      <c r="J119" s="1312"/>
    </row>
    <row r="120" spans="1:10" s="1253" customFormat="1">
      <c r="A120" s="1300"/>
      <c r="B120" s="1301"/>
      <c r="J120" s="1312"/>
    </row>
    <row r="121" spans="1:10" s="1253" customFormat="1">
      <c r="A121" s="1300"/>
      <c r="B121" s="1301"/>
      <c r="J121" s="1312"/>
    </row>
    <row r="122" spans="1:10" s="1253" customFormat="1">
      <c r="A122" s="1300"/>
      <c r="B122" s="1301"/>
      <c r="J122" s="1312"/>
    </row>
    <row r="123" spans="1:10" s="1253" customFormat="1">
      <c r="A123" s="1300"/>
      <c r="B123" s="1301"/>
      <c r="J123" s="1312"/>
    </row>
    <row r="124" spans="1:10" s="1253" customFormat="1">
      <c r="A124" s="1300"/>
      <c r="B124" s="1301"/>
      <c r="J124" s="1312"/>
    </row>
    <row r="125" spans="1:10" s="1253" customFormat="1">
      <c r="A125" s="1300"/>
      <c r="B125" s="1301"/>
      <c r="J125" s="1312"/>
    </row>
    <row r="126" spans="1:10" s="1253" customFormat="1">
      <c r="A126" s="1300"/>
      <c r="B126" s="1301"/>
      <c r="J126" s="1312"/>
    </row>
    <row r="127" spans="1:10" s="1253" customFormat="1">
      <c r="A127" s="1300"/>
      <c r="B127" s="1301"/>
      <c r="J127" s="1312"/>
    </row>
    <row r="128" spans="1:10" s="1253" customFormat="1">
      <c r="A128" s="1300"/>
      <c r="B128" s="1301"/>
      <c r="J128" s="1312"/>
    </row>
    <row r="129" spans="1:10" s="1253" customFormat="1">
      <c r="A129" s="1300"/>
      <c r="B129" s="1301"/>
      <c r="J129" s="1312"/>
    </row>
    <row r="130" spans="1:10" s="1253" customFormat="1">
      <c r="A130" s="1300"/>
      <c r="B130" s="1301"/>
      <c r="J130" s="1312"/>
    </row>
    <row r="131" spans="1:10" s="1253" customFormat="1">
      <c r="A131" s="1300"/>
      <c r="B131" s="1301"/>
      <c r="J131" s="1312"/>
    </row>
    <row r="132" spans="1:10" s="1253" customFormat="1">
      <c r="A132" s="1300"/>
      <c r="B132" s="1301"/>
      <c r="J132" s="1312"/>
    </row>
    <row r="133" spans="1:10" s="1253" customFormat="1">
      <c r="A133" s="1300"/>
      <c r="B133" s="1301"/>
      <c r="J133" s="1312"/>
    </row>
    <row r="134" spans="1:10" s="1253" customFormat="1">
      <c r="A134" s="1300"/>
      <c r="B134" s="1301"/>
      <c r="J134" s="1312"/>
    </row>
    <row r="135" spans="1:10" s="1253" customFormat="1">
      <c r="A135" s="1300"/>
      <c r="B135" s="1301"/>
      <c r="J135" s="1312"/>
    </row>
    <row r="136" spans="1:10" s="1253" customFormat="1">
      <c r="A136" s="1300"/>
      <c r="B136" s="1301"/>
      <c r="J136" s="1312"/>
    </row>
    <row r="137" spans="1:10" s="1253" customFormat="1">
      <c r="A137" s="1300"/>
      <c r="B137" s="1301"/>
      <c r="J137" s="1312"/>
    </row>
    <row r="138" spans="1:10" s="1253" customFormat="1">
      <c r="A138" s="1300"/>
      <c r="B138" s="1301"/>
      <c r="J138" s="1312"/>
    </row>
    <row r="139" spans="1:10" s="1253" customFormat="1">
      <c r="A139" s="1300"/>
      <c r="B139" s="1301"/>
      <c r="J139" s="1312"/>
    </row>
    <row r="140" spans="1:10" s="1253" customFormat="1">
      <c r="A140" s="1300"/>
      <c r="B140" s="1301"/>
      <c r="J140" s="1312"/>
    </row>
    <row r="141" spans="1:10" s="1253" customFormat="1">
      <c r="A141" s="1300"/>
      <c r="B141" s="1301"/>
      <c r="J141" s="1312"/>
    </row>
    <row r="142" spans="1:10" s="1253" customFormat="1">
      <c r="A142" s="1300"/>
      <c r="B142" s="1301"/>
      <c r="J142" s="1312"/>
    </row>
    <row r="143" spans="1:10" s="1253" customFormat="1">
      <c r="A143" s="1300"/>
      <c r="B143" s="1301"/>
      <c r="J143" s="1312"/>
    </row>
    <row r="144" spans="1:10" s="1253" customFormat="1">
      <c r="A144" s="1300"/>
      <c r="B144" s="1301"/>
      <c r="J144" s="1312"/>
    </row>
    <row r="145" spans="1:10" s="1253" customFormat="1">
      <c r="A145" s="1300"/>
      <c r="B145" s="1301"/>
      <c r="J145" s="1312"/>
    </row>
    <row r="146" spans="1:10" s="1253" customFormat="1">
      <c r="A146" s="1300"/>
      <c r="B146" s="1301"/>
      <c r="J146" s="1312"/>
    </row>
    <row r="147" spans="1:10" s="1253" customFormat="1">
      <c r="A147" s="1300"/>
      <c r="B147" s="1301"/>
      <c r="J147" s="1312"/>
    </row>
    <row r="148" spans="1:10" s="1253" customFormat="1">
      <c r="A148" s="1300"/>
      <c r="B148" s="1301"/>
      <c r="J148" s="1312"/>
    </row>
  </sheetData>
  <mergeCells count="3">
    <mergeCell ref="A1:N1"/>
    <mergeCell ref="A2:N2"/>
    <mergeCell ref="A65:K65"/>
  </mergeCells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24"/>
  <sheetViews>
    <sheetView topLeftCell="A9" zoomScaleNormal="100" workbookViewId="0">
      <selection activeCell="A6" sqref="A1:XFD1048576"/>
    </sheetView>
  </sheetViews>
  <sheetFormatPr defaultRowHeight="12.75"/>
  <cols>
    <col min="1" max="1" width="23.28515625" style="676" customWidth="1"/>
    <col min="2" max="2" width="13.140625" style="561" customWidth="1"/>
    <col min="3" max="3" width="13.5703125" style="561" customWidth="1"/>
    <col min="4" max="4" width="13.28515625" style="561" bestFit="1" customWidth="1"/>
    <col min="5" max="6" width="12.140625" style="561" bestFit="1" customWidth="1"/>
    <col min="7" max="7" width="12.42578125" style="561" customWidth="1"/>
    <col min="8" max="8" width="13.42578125" style="561" customWidth="1"/>
    <col min="9" max="9" width="13.7109375" style="561" customWidth="1"/>
    <col min="10" max="10" width="14.5703125" style="561" customWidth="1"/>
    <col min="11" max="11" width="24.28515625" style="561" customWidth="1"/>
    <col min="12" max="256" width="9.140625" style="561"/>
    <col min="257" max="257" width="23.28515625" style="561" customWidth="1"/>
    <col min="258" max="258" width="13.140625" style="561" customWidth="1"/>
    <col min="259" max="259" width="13.5703125" style="561" customWidth="1"/>
    <col min="260" max="260" width="13.28515625" style="561" bestFit="1" customWidth="1"/>
    <col min="261" max="262" width="12.140625" style="561" bestFit="1" customWidth="1"/>
    <col min="263" max="263" width="12.42578125" style="561" customWidth="1"/>
    <col min="264" max="264" width="13.42578125" style="561" customWidth="1"/>
    <col min="265" max="265" width="13.7109375" style="561" customWidth="1"/>
    <col min="266" max="266" width="14.5703125" style="561" customWidth="1"/>
    <col min="267" max="267" width="24.28515625" style="561" customWidth="1"/>
    <col min="268" max="512" width="9.140625" style="561"/>
    <col min="513" max="513" width="23.28515625" style="561" customWidth="1"/>
    <col min="514" max="514" width="13.140625" style="561" customWidth="1"/>
    <col min="515" max="515" width="13.5703125" style="561" customWidth="1"/>
    <col min="516" max="516" width="13.28515625" style="561" bestFit="1" customWidth="1"/>
    <col min="517" max="518" width="12.140625" style="561" bestFit="1" customWidth="1"/>
    <col min="519" max="519" width="12.42578125" style="561" customWidth="1"/>
    <col min="520" max="520" width="13.42578125" style="561" customWidth="1"/>
    <col min="521" max="521" width="13.7109375" style="561" customWidth="1"/>
    <col min="522" max="522" width="14.5703125" style="561" customWidth="1"/>
    <col min="523" max="523" width="24.28515625" style="561" customWidth="1"/>
    <col min="524" max="768" width="9.140625" style="561"/>
    <col min="769" max="769" width="23.28515625" style="561" customWidth="1"/>
    <col min="770" max="770" width="13.140625" style="561" customWidth="1"/>
    <col min="771" max="771" width="13.5703125" style="561" customWidth="1"/>
    <col min="772" max="772" width="13.28515625" style="561" bestFit="1" customWidth="1"/>
    <col min="773" max="774" width="12.140625" style="561" bestFit="1" customWidth="1"/>
    <col min="775" max="775" width="12.42578125" style="561" customWidth="1"/>
    <col min="776" max="776" width="13.42578125" style="561" customWidth="1"/>
    <col min="777" max="777" width="13.7109375" style="561" customWidth="1"/>
    <col min="778" max="778" width="14.5703125" style="561" customWidth="1"/>
    <col min="779" max="779" width="24.28515625" style="561" customWidth="1"/>
    <col min="780" max="1024" width="9.140625" style="561"/>
    <col min="1025" max="1025" width="23.28515625" style="561" customWidth="1"/>
    <col min="1026" max="1026" width="13.140625" style="561" customWidth="1"/>
    <col min="1027" max="1027" width="13.5703125" style="561" customWidth="1"/>
    <col min="1028" max="1028" width="13.28515625" style="561" bestFit="1" customWidth="1"/>
    <col min="1029" max="1030" width="12.140625" style="561" bestFit="1" customWidth="1"/>
    <col min="1031" max="1031" width="12.42578125" style="561" customWidth="1"/>
    <col min="1032" max="1032" width="13.42578125" style="561" customWidth="1"/>
    <col min="1033" max="1033" width="13.7109375" style="561" customWidth="1"/>
    <col min="1034" max="1034" width="14.5703125" style="561" customWidth="1"/>
    <col min="1035" max="1035" width="24.28515625" style="561" customWidth="1"/>
    <col min="1036" max="1280" width="9.140625" style="561"/>
    <col min="1281" max="1281" width="23.28515625" style="561" customWidth="1"/>
    <col min="1282" max="1282" width="13.140625" style="561" customWidth="1"/>
    <col min="1283" max="1283" width="13.5703125" style="561" customWidth="1"/>
    <col min="1284" max="1284" width="13.28515625" style="561" bestFit="1" customWidth="1"/>
    <col min="1285" max="1286" width="12.140625" style="561" bestFit="1" customWidth="1"/>
    <col min="1287" max="1287" width="12.42578125" style="561" customWidth="1"/>
    <col min="1288" max="1288" width="13.42578125" style="561" customWidth="1"/>
    <col min="1289" max="1289" width="13.7109375" style="561" customWidth="1"/>
    <col min="1290" max="1290" width="14.5703125" style="561" customWidth="1"/>
    <col min="1291" max="1291" width="24.28515625" style="561" customWidth="1"/>
    <col min="1292" max="1536" width="9.140625" style="561"/>
    <col min="1537" max="1537" width="23.28515625" style="561" customWidth="1"/>
    <col min="1538" max="1538" width="13.140625" style="561" customWidth="1"/>
    <col min="1539" max="1539" width="13.5703125" style="561" customWidth="1"/>
    <col min="1540" max="1540" width="13.28515625" style="561" bestFit="1" customWidth="1"/>
    <col min="1541" max="1542" width="12.140625" style="561" bestFit="1" customWidth="1"/>
    <col min="1543" max="1543" width="12.42578125" style="561" customWidth="1"/>
    <col min="1544" max="1544" width="13.42578125" style="561" customWidth="1"/>
    <col min="1545" max="1545" width="13.7109375" style="561" customWidth="1"/>
    <col min="1546" max="1546" width="14.5703125" style="561" customWidth="1"/>
    <col min="1547" max="1547" width="24.28515625" style="561" customWidth="1"/>
    <col min="1548" max="1792" width="9.140625" style="561"/>
    <col min="1793" max="1793" width="23.28515625" style="561" customWidth="1"/>
    <col min="1794" max="1794" width="13.140625" style="561" customWidth="1"/>
    <col min="1795" max="1795" width="13.5703125" style="561" customWidth="1"/>
    <col min="1796" max="1796" width="13.28515625" style="561" bestFit="1" customWidth="1"/>
    <col min="1797" max="1798" width="12.140625" style="561" bestFit="1" customWidth="1"/>
    <col min="1799" max="1799" width="12.42578125" style="561" customWidth="1"/>
    <col min="1800" max="1800" width="13.42578125" style="561" customWidth="1"/>
    <col min="1801" max="1801" width="13.7109375" style="561" customWidth="1"/>
    <col min="1802" max="1802" width="14.5703125" style="561" customWidth="1"/>
    <col min="1803" max="1803" width="24.28515625" style="561" customWidth="1"/>
    <col min="1804" max="2048" width="9.140625" style="561"/>
    <col min="2049" max="2049" width="23.28515625" style="561" customWidth="1"/>
    <col min="2050" max="2050" width="13.140625" style="561" customWidth="1"/>
    <col min="2051" max="2051" width="13.5703125" style="561" customWidth="1"/>
    <col min="2052" max="2052" width="13.28515625" style="561" bestFit="1" customWidth="1"/>
    <col min="2053" max="2054" width="12.140625" style="561" bestFit="1" customWidth="1"/>
    <col min="2055" max="2055" width="12.42578125" style="561" customWidth="1"/>
    <col min="2056" max="2056" width="13.42578125" style="561" customWidth="1"/>
    <col min="2057" max="2057" width="13.7109375" style="561" customWidth="1"/>
    <col min="2058" max="2058" width="14.5703125" style="561" customWidth="1"/>
    <col min="2059" max="2059" width="24.28515625" style="561" customWidth="1"/>
    <col min="2060" max="2304" width="9.140625" style="561"/>
    <col min="2305" max="2305" width="23.28515625" style="561" customWidth="1"/>
    <col min="2306" max="2306" width="13.140625" style="561" customWidth="1"/>
    <col min="2307" max="2307" width="13.5703125" style="561" customWidth="1"/>
    <col min="2308" max="2308" width="13.28515625" style="561" bestFit="1" customWidth="1"/>
    <col min="2309" max="2310" width="12.140625" style="561" bestFit="1" customWidth="1"/>
    <col min="2311" max="2311" width="12.42578125" style="561" customWidth="1"/>
    <col min="2312" max="2312" width="13.42578125" style="561" customWidth="1"/>
    <col min="2313" max="2313" width="13.7109375" style="561" customWidth="1"/>
    <col min="2314" max="2314" width="14.5703125" style="561" customWidth="1"/>
    <col min="2315" max="2315" width="24.28515625" style="561" customWidth="1"/>
    <col min="2316" max="2560" width="9.140625" style="561"/>
    <col min="2561" max="2561" width="23.28515625" style="561" customWidth="1"/>
    <col min="2562" max="2562" width="13.140625" style="561" customWidth="1"/>
    <col min="2563" max="2563" width="13.5703125" style="561" customWidth="1"/>
    <col min="2564" max="2564" width="13.28515625" style="561" bestFit="1" customWidth="1"/>
    <col min="2565" max="2566" width="12.140625" style="561" bestFit="1" customWidth="1"/>
    <col min="2567" max="2567" width="12.42578125" style="561" customWidth="1"/>
    <col min="2568" max="2568" width="13.42578125" style="561" customWidth="1"/>
    <col min="2569" max="2569" width="13.7109375" style="561" customWidth="1"/>
    <col min="2570" max="2570" width="14.5703125" style="561" customWidth="1"/>
    <col min="2571" max="2571" width="24.28515625" style="561" customWidth="1"/>
    <col min="2572" max="2816" width="9.140625" style="561"/>
    <col min="2817" max="2817" width="23.28515625" style="561" customWidth="1"/>
    <col min="2818" max="2818" width="13.140625" style="561" customWidth="1"/>
    <col min="2819" max="2819" width="13.5703125" style="561" customWidth="1"/>
    <col min="2820" max="2820" width="13.28515625" style="561" bestFit="1" customWidth="1"/>
    <col min="2821" max="2822" width="12.140625" style="561" bestFit="1" customWidth="1"/>
    <col min="2823" max="2823" width="12.42578125" style="561" customWidth="1"/>
    <col min="2824" max="2824" width="13.42578125" style="561" customWidth="1"/>
    <col min="2825" max="2825" width="13.7109375" style="561" customWidth="1"/>
    <col min="2826" max="2826" width="14.5703125" style="561" customWidth="1"/>
    <col min="2827" max="2827" width="24.28515625" style="561" customWidth="1"/>
    <col min="2828" max="3072" width="9.140625" style="561"/>
    <col min="3073" max="3073" width="23.28515625" style="561" customWidth="1"/>
    <col min="3074" max="3074" width="13.140625" style="561" customWidth="1"/>
    <col min="3075" max="3075" width="13.5703125" style="561" customWidth="1"/>
    <col min="3076" max="3076" width="13.28515625" style="561" bestFit="1" customWidth="1"/>
    <col min="3077" max="3078" width="12.140625" style="561" bestFit="1" customWidth="1"/>
    <col min="3079" max="3079" width="12.42578125" style="561" customWidth="1"/>
    <col min="3080" max="3080" width="13.42578125" style="561" customWidth="1"/>
    <col min="3081" max="3081" width="13.7109375" style="561" customWidth="1"/>
    <col min="3082" max="3082" width="14.5703125" style="561" customWidth="1"/>
    <col min="3083" max="3083" width="24.28515625" style="561" customWidth="1"/>
    <col min="3084" max="3328" width="9.140625" style="561"/>
    <col min="3329" max="3329" width="23.28515625" style="561" customWidth="1"/>
    <col min="3330" max="3330" width="13.140625" style="561" customWidth="1"/>
    <col min="3331" max="3331" width="13.5703125" style="561" customWidth="1"/>
    <col min="3332" max="3332" width="13.28515625" style="561" bestFit="1" customWidth="1"/>
    <col min="3333" max="3334" width="12.140625" style="561" bestFit="1" customWidth="1"/>
    <col min="3335" max="3335" width="12.42578125" style="561" customWidth="1"/>
    <col min="3336" max="3336" width="13.42578125" style="561" customWidth="1"/>
    <col min="3337" max="3337" width="13.7109375" style="561" customWidth="1"/>
    <col min="3338" max="3338" width="14.5703125" style="561" customWidth="1"/>
    <col min="3339" max="3339" width="24.28515625" style="561" customWidth="1"/>
    <col min="3340" max="3584" width="9.140625" style="561"/>
    <col min="3585" max="3585" width="23.28515625" style="561" customWidth="1"/>
    <col min="3586" max="3586" width="13.140625" style="561" customWidth="1"/>
    <col min="3587" max="3587" width="13.5703125" style="561" customWidth="1"/>
    <col min="3588" max="3588" width="13.28515625" style="561" bestFit="1" customWidth="1"/>
    <col min="3589" max="3590" width="12.140625" style="561" bestFit="1" customWidth="1"/>
    <col min="3591" max="3591" width="12.42578125" style="561" customWidth="1"/>
    <col min="3592" max="3592" width="13.42578125" style="561" customWidth="1"/>
    <col min="3593" max="3593" width="13.7109375" style="561" customWidth="1"/>
    <col min="3594" max="3594" width="14.5703125" style="561" customWidth="1"/>
    <col min="3595" max="3595" width="24.28515625" style="561" customWidth="1"/>
    <col min="3596" max="3840" width="9.140625" style="561"/>
    <col min="3841" max="3841" width="23.28515625" style="561" customWidth="1"/>
    <col min="3842" max="3842" width="13.140625" style="561" customWidth="1"/>
    <col min="3843" max="3843" width="13.5703125" style="561" customWidth="1"/>
    <col min="3844" max="3844" width="13.28515625" style="561" bestFit="1" customWidth="1"/>
    <col min="3845" max="3846" width="12.140625" style="561" bestFit="1" customWidth="1"/>
    <col min="3847" max="3847" width="12.42578125" style="561" customWidth="1"/>
    <col min="3848" max="3848" width="13.42578125" style="561" customWidth="1"/>
    <col min="3849" max="3849" width="13.7109375" style="561" customWidth="1"/>
    <col min="3850" max="3850" width="14.5703125" style="561" customWidth="1"/>
    <col min="3851" max="3851" width="24.28515625" style="561" customWidth="1"/>
    <col min="3852" max="4096" width="9.140625" style="561"/>
    <col min="4097" max="4097" width="23.28515625" style="561" customWidth="1"/>
    <col min="4098" max="4098" width="13.140625" style="561" customWidth="1"/>
    <col min="4099" max="4099" width="13.5703125" style="561" customWidth="1"/>
    <col min="4100" max="4100" width="13.28515625" style="561" bestFit="1" customWidth="1"/>
    <col min="4101" max="4102" width="12.140625" style="561" bestFit="1" customWidth="1"/>
    <col min="4103" max="4103" width="12.42578125" style="561" customWidth="1"/>
    <col min="4104" max="4104" width="13.42578125" style="561" customWidth="1"/>
    <col min="4105" max="4105" width="13.7109375" style="561" customWidth="1"/>
    <col min="4106" max="4106" width="14.5703125" style="561" customWidth="1"/>
    <col min="4107" max="4107" width="24.28515625" style="561" customWidth="1"/>
    <col min="4108" max="4352" width="9.140625" style="561"/>
    <col min="4353" max="4353" width="23.28515625" style="561" customWidth="1"/>
    <col min="4354" max="4354" width="13.140625" style="561" customWidth="1"/>
    <col min="4355" max="4355" width="13.5703125" style="561" customWidth="1"/>
    <col min="4356" max="4356" width="13.28515625" style="561" bestFit="1" customWidth="1"/>
    <col min="4357" max="4358" width="12.140625" style="561" bestFit="1" customWidth="1"/>
    <col min="4359" max="4359" width="12.42578125" style="561" customWidth="1"/>
    <col min="4360" max="4360" width="13.42578125" style="561" customWidth="1"/>
    <col min="4361" max="4361" width="13.7109375" style="561" customWidth="1"/>
    <col min="4362" max="4362" width="14.5703125" style="561" customWidth="1"/>
    <col min="4363" max="4363" width="24.28515625" style="561" customWidth="1"/>
    <col min="4364" max="4608" width="9.140625" style="561"/>
    <col min="4609" max="4609" width="23.28515625" style="561" customWidth="1"/>
    <col min="4610" max="4610" width="13.140625" style="561" customWidth="1"/>
    <col min="4611" max="4611" width="13.5703125" style="561" customWidth="1"/>
    <col min="4612" max="4612" width="13.28515625" style="561" bestFit="1" customWidth="1"/>
    <col min="4613" max="4614" width="12.140625" style="561" bestFit="1" customWidth="1"/>
    <col min="4615" max="4615" width="12.42578125" style="561" customWidth="1"/>
    <col min="4616" max="4616" width="13.42578125" style="561" customWidth="1"/>
    <col min="4617" max="4617" width="13.7109375" style="561" customWidth="1"/>
    <col min="4618" max="4618" width="14.5703125" style="561" customWidth="1"/>
    <col min="4619" max="4619" width="24.28515625" style="561" customWidth="1"/>
    <col min="4620" max="4864" width="9.140625" style="561"/>
    <col min="4865" max="4865" width="23.28515625" style="561" customWidth="1"/>
    <col min="4866" max="4866" width="13.140625" style="561" customWidth="1"/>
    <col min="4867" max="4867" width="13.5703125" style="561" customWidth="1"/>
    <col min="4868" max="4868" width="13.28515625" style="561" bestFit="1" customWidth="1"/>
    <col min="4869" max="4870" width="12.140625" style="561" bestFit="1" customWidth="1"/>
    <col min="4871" max="4871" width="12.42578125" style="561" customWidth="1"/>
    <col min="4872" max="4872" width="13.42578125" style="561" customWidth="1"/>
    <col min="4873" max="4873" width="13.7109375" style="561" customWidth="1"/>
    <col min="4874" max="4874" width="14.5703125" style="561" customWidth="1"/>
    <col min="4875" max="4875" width="24.28515625" style="561" customWidth="1"/>
    <col min="4876" max="5120" width="9.140625" style="561"/>
    <col min="5121" max="5121" width="23.28515625" style="561" customWidth="1"/>
    <col min="5122" max="5122" width="13.140625" style="561" customWidth="1"/>
    <col min="5123" max="5123" width="13.5703125" style="561" customWidth="1"/>
    <col min="5124" max="5124" width="13.28515625" style="561" bestFit="1" customWidth="1"/>
    <col min="5125" max="5126" width="12.140625" style="561" bestFit="1" customWidth="1"/>
    <col min="5127" max="5127" width="12.42578125" style="561" customWidth="1"/>
    <col min="5128" max="5128" width="13.42578125" style="561" customWidth="1"/>
    <col min="5129" max="5129" width="13.7109375" style="561" customWidth="1"/>
    <col min="5130" max="5130" width="14.5703125" style="561" customWidth="1"/>
    <col min="5131" max="5131" width="24.28515625" style="561" customWidth="1"/>
    <col min="5132" max="5376" width="9.140625" style="561"/>
    <col min="5377" max="5377" width="23.28515625" style="561" customWidth="1"/>
    <col min="5378" max="5378" width="13.140625" style="561" customWidth="1"/>
    <col min="5379" max="5379" width="13.5703125" style="561" customWidth="1"/>
    <col min="5380" max="5380" width="13.28515625" style="561" bestFit="1" customWidth="1"/>
    <col min="5381" max="5382" width="12.140625" style="561" bestFit="1" customWidth="1"/>
    <col min="5383" max="5383" width="12.42578125" style="561" customWidth="1"/>
    <col min="5384" max="5384" width="13.42578125" style="561" customWidth="1"/>
    <col min="5385" max="5385" width="13.7109375" style="561" customWidth="1"/>
    <col min="5386" max="5386" width="14.5703125" style="561" customWidth="1"/>
    <col min="5387" max="5387" width="24.28515625" style="561" customWidth="1"/>
    <col min="5388" max="5632" width="9.140625" style="561"/>
    <col min="5633" max="5633" width="23.28515625" style="561" customWidth="1"/>
    <col min="5634" max="5634" width="13.140625" style="561" customWidth="1"/>
    <col min="5635" max="5635" width="13.5703125" style="561" customWidth="1"/>
    <col min="5636" max="5636" width="13.28515625" style="561" bestFit="1" customWidth="1"/>
    <col min="5637" max="5638" width="12.140625" style="561" bestFit="1" customWidth="1"/>
    <col min="5639" max="5639" width="12.42578125" style="561" customWidth="1"/>
    <col min="5640" max="5640" width="13.42578125" style="561" customWidth="1"/>
    <col min="5641" max="5641" width="13.7109375" style="561" customWidth="1"/>
    <col min="5642" max="5642" width="14.5703125" style="561" customWidth="1"/>
    <col min="5643" max="5643" width="24.28515625" style="561" customWidth="1"/>
    <col min="5644" max="5888" width="9.140625" style="561"/>
    <col min="5889" max="5889" width="23.28515625" style="561" customWidth="1"/>
    <col min="5890" max="5890" width="13.140625" style="561" customWidth="1"/>
    <col min="5891" max="5891" width="13.5703125" style="561" customWidth="1"/>
    <col min="5892" max="5892" width="13.28515625" style="561" bestFit="1" customWidth="1"/>
    <col min="5893" max="5894" width="12.140625" style="561" bestFit="1" customWidth="1"/>
    <col min="5895" max="5895" width="12.42578125" style="561" customWidth="1"/>
    <col min="5896" max="5896" width="13.42578125" style="561" customWidth="1"/>
    <col min="5897" max="5897" width="13.7109375" style="561" customWidth="1"/>
    <col min="5898" max="5898" width="14.5703125" style="561" customWidth="1"/>
    <col min="5899" max="5899" width="24.28515625" style="561" customWidth="1"/>
    <col min="5900" max="6144" width="9.140625" style="561"/>
    <col min="6145" max="6145" width="23.28515625" style="561" customWidth="1"/>
    <col min="6146" max="6146" width="13.140625" style="561" customWidth="1"/>
    <col min="6147" max="6147" width="13.5703125" style="561" customWidth="1"/>
    <col min="6148" max="6148" width="13.28515625" style="561" bestFit="1" customWidth="1"/>
    <col min="6149" max="6150" width="12.140625" style="561" bestFit="1" customWidth="1"/>
    <col min="6151" max="6151" width="12.42578125" style="561" customWidth="1"/>
    <col min="6152" max="6152" width="13.42578125" style="561" customWidth="1"/>
    <col min="6153" max="6153" width="13.7109375" style="561" customWidth="1"/>
    <col min="6154" max="6154" width="14.5703125" style="561" customWidth="1"/>
    <col min="6155" max="6155" width="24.28515625" style="561" customWidth="1"/>
    <col min="6156" max="6400" width="9.140625" style="561"/>
    <col min="6401" max="6401" width="23.28515625" style="561" customWidth="1"/>
    <col min="6402" max="6402" width="13.140625" style="561" customWidth="1"/>
    <col min="6403" max="6403" width="13.5703125" style="561" customWidth="1"/>
    <col min="6404" max="6404" width="13.28515625" style="561" bestFit="1" customWidth="1"/>
    <col min="6405" max="6406" width="12.140625" style="561" bestFit="1" customWidth="1"/>
    <col min="6407" max="6407" width="12.42578125" style="561" customWidth="1"/>
    <col min="6408" max="6408" width="13.42578125" style="561" customWidth="1"/>
    <col min="6409" max="6409" width="13.7109375" style="561" customWidth="1"/>
    <col min="6410" max="6410" width="14.5703125" style="561" customWidth="1"/>
    <col min="6411" max="6411" width="24.28515625" style="561" customWidth="1"/>
    <col min="6412" max="6656" width="9.140625" style="561"/>
    <col min="6657" max="6657" width="23.28515625" style="561" customWidth="1"/>
    <col min="6658" max="6658" width="13.140625" style="561" customWidth="1"/>
    <col min="6659" max="6659" width="13.5703125" style="561" customWidth="1"/>
    <col min="6660" max="6660" width="13.28515625" style="561" bestFit="1" customWidth="1"/>
    <col min="6661" max="6662" width="12.140625" style="561" bestFit="1" customWidth="1"/>
    <col min="6663" max="6663" width="12.42578125" style="561" customWidth="1"/>
    <col min="6664" max="6664" width="13.42578125" style="561" customWidth="1"/>
    <col min="6665" max="6665" width="13.7109375" style="561" customWidth="1"/>
    <col min="6666" max="6666" width="14.5703125" style="561" customWidth="1"/>
    <col min="6667" max="6667" width="24.28515625" style="561" customWidth="1"/>
    <col min="6668" max="6912" width="9.140625" style="561"/>
    <col min="6913" max="6913" width="23.28515625" style="561" customWidth="1"/>
    <col min="6914" max="6914" width="13.140625" style="561" customWidth="1"/>
    <col min="6915" max="6915" width="13.5703125" style="561" customWidth="1"/>
    <col min="6916" max="6916" width="13.28515625" style="561" bestFit="1" customWidth="1"/>
    <col min="6917" max="6918" width="12.140625" style="561" bestFit="1" customWidth="1"/>
    <col min="6919" max="6919" width="12.42578125" style="561" customWidth="1"/>
    <col min="6920" max="6920" width="13.42578125" style="561" customWidth="1"/>
    <col min="6921" max="6921" width="13.7109375" style="561" customWidth="1"/>
    <col min="6922" max="6922" width="14.5703125" style="561" customWidth="1"/>
    <col min="6923" max="6923" width="24.28515625" style="561" customWidth="1"/>
    <col min="6924" max="7168" width="9.140625" style="561"/>
    <col min="7169" max="7169" width="23.28515625" style="561" customWidth="1"/>
    <col min="7170" max="7170" width="13.140625" style="561" customWidth="1"/>
    <col min="7171" max="7171" width="13.5703125" style="561" customWidth="1"/>
    <col min="7172" max="7172" width="13.28515625" style="561" bestFit="1" customWidth="1"/>
    <col min="7173" max="7174" width="12.140625" style="561" bestFit="1" customWidth="1"/>
    <col min="7175" max="7175" width="12.42578125" style="561" customWidth="1"/>
    <col min="7176" max="7176" width="13.42578125" style="561" customWidth="1"/>
    <col min="7177" max="7177" width="13.7109375" style="561" customWidth="1"/>
    <col min="7178" max="7178" width="14.5703125" style="561" customWidth="1"/>
    <col min="7179" max="7179" width="24.28515625" style="561" customWidth="1"/>
    <col min="7180" max="7424" width="9.140625" style="561"/>
    <col min="7425" max="7425" width="23.28515625" style="561" customWidth="1"/>
    <col min="7426" max="7426" width="13.140625" style="561" customWidth="1"/>
    <col min="7427" max="7427" width="13.5703125" style="561" customWidth="1"/>
    <col min="7428" max="7428" width="13.28515625" style="561" bestFit="1" customWidth="1"/>
    <col min="7429" max="7430" width="12.140625" style="561" bestFit="1" customWidth="1"/>
    <col min="7431" max="7431" width="12.42578125" style="561" customWidth="1"/>
    <col min="7432" max="7432" width="13.42578125" style="561" customWidth="1"/>
    <col min="7433" max="7433" width="13.7109375" style="561" customWidth="1"/>
    <col min="7434" max="7434" width="14.5703125" style="561" customWidth="1"/>
    <col min="7435" max="7435" width="24.28515625" style="561" customWidth="1"/>
    <col min="7436" max="7680" width="9.140625" style="561"/>
    <col min="7681" max="7681" width="23.28515625" style="561" customWidth="1"/>
    <col min="7682" max="7682" width="13.140625" style="561" customWidth="1"/>
    <col min="7683" max="7683" width="13.5703125" style="561" customWidth="1"/>
    <col min="7684" max="7684" width="13.28515625" style="561" bestFit="1" customWidth="1"/>
    <col min="7685" max="7686" width="12.140625" style="561" bestFit="1" customWidth="1"/>
    <col min="7687" max="7687" width="12.42578125" style="561" customWidth="1"/>
    <col min="7688" max="7688" width="13.42578125" style="561" customWidth="1"/>
    <col min="7689" max="7689" width="13.7109375" style="561" customWidth="1"/>
    <col min="7690" max="7690" width="14.5703125" style="561" customWidth="1"/>
    <col min="7691" max="7691" width="24.28515625" style="561" customWidth="1"/>
    <col min="7692" max="7936" width="9.140625" style="561"/>
    <col min="7937" max="7937" width="23.28515625" style="561" customWidth="1"/>
    <col min="7938" max="7938" width="13.140625" style="561" customWidth="1"/>
    <col min="7939" max="7939" width="13.5703125" style="561" customWidth="1"/>
    <col min="7940" max="7940" width="13.28515625" style="561" bestFit="1" customWidth="1"/>
    <col min="7941" max="7942" width="12.140625" style="561" bestFit="1" customWidth="1"/>
    <col min="7943" max="7943" width="12.42578125" style="561" customWidth="1"/>
    <col min="7944" max="7944" width="13.42578125" style="561" customWidth="1"/>
    <col min="7945" max="7945" width="13.7109375" style="561" customWidth="1"/>
    <col min="7946" max="7946" width="14.5703125" style="561" customWidth="1"/>
    <col min="7947" max="7947" width="24.28515625" style="561" customWidth="1"/>
    <col min="7948" max="8192" width="9.140625" style="561"/>
    <col min="8193" max="8193" width="23.28515625" style="561" customWidth="1"/>
    <col min="8194" max="8194" width="13.140625" style="561" customWidth="1"/>
    <col min="8195" max="8195" width="13.5703125" style="561" customWidth="1"/>
    <col min="8196" max="8196" width="13.28515625" style="561" bestFit="1" customWidth="1"/>
    <col min="8197" max="8198" width="12.140625" style="561" bestFit="1" customWidth="1"/>
    <col min="8199" max="8199" width="12.42578125" style="561" customWidth="1"/>
    <col min="8200" max="8200" width="13.42578125" style="561" customWidth="1"/>
    <col min="8201" max="8201" width="13.7109375" style="561" customWidth="1"/>
    <col min="8202" max="8202" width="14.5703125" style="561" customWidth="1"/>
    <col min="8203" max="8203" width="24.28515625" style="561" customWidth="1"/>
    <col min="8204" max="8448" width="9.140625" style="561"/>
    <col min="8449" max="8449" width="23.28515625" style="561" customWidth="1"/>
    <col min="8450" max="8450" width="13.140625" style="561" customWidth="1"/>
    <col min="8451" max="8451" width="13.5703125" style="561" customWidth="1"/>
    <col min="8452" max="8452" width="13.28515625" style="561" bestFit="1" customWidth="1"/>
    <col min="8453" max="8454" width="12.140625" style="561" bestFit="1" customWidth="1"/>
    <col min="8455" max="8455" width="12.42578125" style="561" customWidth="1"/>
    <col min="8456" max="8456" width="13.42578125" style="561" customWidth="1"/>
    <col min="8457" max="8457" width="13.7109375" style="561" customWidth="1"/>
    <col min="8458" max="8458" width="14.5703125" style="561" customWidth="1"/>
    <col min="8459" max="8459" width="24.28515625" style="561" customWidth="1"/>
    <col min="8460" max="8704" width="9.140625" style="561"/>
    <col min="8705" max="8705" width="23.28515625" style="561" customWidth="1"/>
    <col min="8706" max="8706" width="13.140625" style="561" customWidth="1"/>
    <col min="8707" max="8707" width="13.5703125" style="561" customWidth="1"/>
    <col min="8708" max="8708" width="13.28515625" style="561" bestFit="1" customWidth="1"/>
    <col min="8709" max="8710" width="12.140625" style="561" bestFit="1" customWidth="1"/>
    <col min="8711" max="8711" width="12.42578125" style="561" customWidth="1"/>
    <col min="8712" max="8712" width="13.42578125" style="561" customWidth="1"/>
    <col min="8713" max="8713" width="13.7109375" style="561" customWidth="1"/>
    <col min="8714" max="8714" width="14.5703125" style="561" customWidth="1"/>
    <col min="8715" max="8715" width="24.28515625" style="561" customWidth="1"/>
    <col min="8716" max="8960" width="9.140625" style="561"/>
    <col min="8961" max="8961" width="23.28515625" style="561" customWidth="1"/>
    <col min="8962" max="8962" width="13.140625" style="561" customWidth="1"/>
    <col min="8963" max="8963" width="13.5703125" style="561" customWidth="1"/>
    <col min="8964" max="8964" width="13.28515625" style="561" bestFit="1" customWidth="1"/>
    <col min="8965" max="8966" width="12.140625" style="561" bestFit="1" customWidth="1"/>
    <col min="8967" max="8967" width="12.42578125" style="561" customWidth="1"/>
    <col min="8968" max="8968" width="13.42578125" style="561" customWidth="1"/>
    <col min="8969" max="8969" width="13.7109375" style="561" customWidth="1"/>
    <col min="8970" max="8970" width="14.5703125" style="561" customWidth="1"/>
    <col min="8971" max="8971" width="24.28515625" style="561" customWidth="1"/>
    <col min="8972" max="9216" width="9.140625" style="561"/>
    <col min="9217" max="9217" width="23.28515625" style="561" customWidth="1"/>
    <col min="9218" max="9218" width="13.140625" style="561" customWidth="1"/>
    <col min="9219" max="9219" width="13.5703125" style="561" customWidth="1"/>
    <col min="9220" max="9220" width="13.28515625" style="561" bestFit="1" customWidth="1"/>
    <col min="9221" max="9222" width="12.140625" style="561" bestFit="1" customWidth="1"/>
    <col min="9223" max="9223" width="12.42578125" style="561" customWidth="1"/>
    <col min="9224" max="9224" width="13.42578125" style="561" customWidth="1"/>
    <col min="9225" max="9225" width="13.7109375" style="561" customWidth="1"/>
    <col min="9226" max="9226" width="14.5703125" style="561" customWidth="1"/>
    <col min="9227" max="9227" width="24.28515625" style="561" customWidth="1"/>
    <col min="9228" max="9472" width="9.140625" style="561"/>
    <col min="9473" max="9473" width="23.28515625" style="561" customWidth="1"/>
    <col min="9474" max="9474" width="13.140625" style="561" customWidth="1"/>
    <col min="9475" max="9475" width="13.5703125" style="561" customWidth="1"/>
    <col min="9476" max="9476" width="13.28515625" style="561" bestFit="1" customWidth="1"/>
    <col min="9477" max="9478" width="12.140625" style="561" bestFit="1" customWidth="1"/>
    <col min="9479" max="9479" width="12.42578125" style="561" customWidth="1"/>
    <col min="9480" max="9480" width="13.42578125" style="561" customWidth="1"/>
    <col min="9481" max="9481" width="13.7109375" style="561" customWidth="1"/>
    <col min="9482" max="9482" width="14.5703125" style="561" customWidth="1"/>
    <col min="9483" max="9483" width="24.28515625" style="561" customWidth="1"/>
    <col min="9484" max="9728" width="9.140625" style="561"/>
    <col min="9729" max="9729" width="23.28515625" style="561" customWidth="1"/>
    <col min="9730" max="9730" width="13.140625" style="561" customWidth="1"/>
    <col min="9731" max="9731" width="13.5703125" style="561" customWidth="1"/>
    <col min="9732" max="9732" width="13.28515625" style="561" bestFit="1" customWidth="1"/>
    <col min="9733" max="9734" width="12.140625" style="561" bestFit="1" customWidth="1"/>
    <col min="9735" max="9735" width="12.42578125" style="561" customWidth="1"/>
    <col min="9736" max="9736" width="13.42578125" style="561" customWidth="1"/>
    <col min="9737" max="9737" width="13.7109375" style="561" customWidth="1"/>
    <col min="9738" max="9738" width="14.5703125" style="561" customWidth="1"/>
    <col min="9739" max="9739" width="24.28515625" style="561" customWidth="1"/>
    <col min="9740" max="9984" width="9.140625" style="561"/>
    <col min="9985" max="9985" width="23.28515625" style="561" customWidth="1"/>
    <col min="9986" max="9986" width="13.140625" style="561" customWidth="1"/>
    <col min="9987" max="9987" width="13.5703125" style="561" customWidth="1"/>
    <col min="9988" max="9988" width="13.28515625" style="561" bestFit="1" customWidth="1"/>
    <col min="9989" max="9990" width="12.140625" style="561" bestFit="1" customWidth="1"/>
    <col min="9991" max="9991" width="12.42578125" style="561" customWidth="1"/>
    <col min="9992" max="9992" width="13.42578125" style="561" customWidth="1"/>
    <col min="9993" max="9993" width="13.7109375" style="561" customWidth="1"/>
    <col min="9994" max="9994" width="14.5703125" style="561" customWidth="1"/>
    <col min="9995" max="9995" width="24.28515625" style="561" customWidth="1"/>
    <col min="9996" max="10240" width="9.140625" style="561"/>
    <col min="10241" max="10241" width="23.28515625" style="561" customWidth="1"/>
    <col min="10242" max="10242" width="13.140625" style="561" customWidth="1"/>
    <col min="10243" max="10243" width="13.5703125" style="561" customWidth="1"/>
    <col min="10244" max="10244" width="13.28515625" style="561" bestFit="1" customWidth="1"/>
    <col min="10245" max="10246" width="12.140625" style="561" bestFit="1" customWidth="1"/>
    <col min="10247" max="10247" width="12.42578125" style="561" customWidth="1"/>
    <col min="10248" max="10248" width="13.42578125" style="561" customWidth="1"/>
    <col min="10249" max="10249" width="13.7109375" style="561" customWidth="1"/>
    <col min="10250" max="10250" width="14.5703125" style="561" customWidth="1"/>
    <col min="10251" max="10251" width="24.28515625" style="561" customWidth="1"/>
    <col min="10252" max="10496" width="9.140625" style="561"/>
    <col min="10497" max="10497" width="23.28515625" style="561" customWidth="1"/>
    <col min="10498" max="10498" width="13.140625" style="561" customWidth="1"/>
    <col min="10499" max="10499" width="13.5703125" style="561" customWidth="1"/>
    <col min="10500" max="10500" width="13.28515625" style="561" bestFit="1" customWidth="1"/>
    <col min="10501" max="10502" width="12.140625" style="561" bestFit="1" customWidth="1"/>
    <col min="10503" max="10503" width="12.42578125" style="561" customWidth="1"/>
    <col min="10504" max="10504" width="13.42578125" style="561" customWidth="1"/>
    <col min="10505" max="10505" width="13.7109375" style="561" customWidth="1"/>
    <col min="10506" max="10506" width="14.5703125" style="561" customWidth="1"/>
    <col min="10507" max="10507" width="24.28515625" style="561" customWidth="1"/>
    <col min="10508" max="10752" width="9.140625" style="561"/>
    <col min="10753" max="10753" width="23.28515625" style="561" customWidth="1"/>
    <col min="10754" max="10754" width="13.140625" style="561" customWidth="1"/>
    <col min="10755" max="10755" width="13.5703125" style="561" customWidth="1"/>
    <col min="10756" max="10756" width="13.28515625" style="561" bestFit="1" customWidth="1"/>
    <col min="10757" max="10758" width="12.140625" style="561" bestFit="1" customWidth="1"/>
    <col min="10759" max="10759" width="12.42578125" style="561" customWidth="1"/>
    <col min="10760" max="10760" width="13.42578125" style="561" customWidth="1"/>
    <col min="10761" max="10761" width="13.7109375" style="561" customWidth="1"/>
    <col min="10762" max="10762" width="14.5703125" style="561" customWidth="1"/>
    <col min="10763" max="10763" width="24.28515625" style="561" customWidth="1"/>
    <col min="10764" max="11008" width="9.140625" style="561"/>
    <col min="11009" max="11009" width="23.28515625" style="561" customWidth="1"/>
    <col min="11010" max="11010" width="13.140625" style="561" customWidth="1"/>
    <col min="11011" max="11011" width="13.5703125" style="561" customWidth="1"/>
    <col min="11012" max="11012" width="13.28515625" style="561" bestFit="1" customWidth="1"/>
    <col min="11013" max="11014" width="12.140625" style="561" bestFit="1" customWidth="1"/>
    <col min="11015" max="11015" width="12.42578125" style="561" customWidth="1"/>
    <col min="11016" max="11016" width="13.42578125" style="561" customWidth="1"/>
    <col min="11017" max="11017" width="13.7109375" style="561" customWidth="1"/>
    <col min="11018" max="11018" width="14.5703125" style="561" customWidth="1"/>
    <col min="11019" max="11019" width="24.28515625" style="561" customWidth="1"/>
    <col min="11020" max="11264" width="9.140625" style="561"/>
    <col min="11265" max="11265" width="23.28515625" style="561" customWidth="1"/>
    <col min="11266" max="11266" width="13.140625" style="561" customWidth="1"/>
    <col min="11267" max="11267" width="13.5703125" style="561" customWidth="1"/>
    <col min="11268" max="11268" width="13.28515625" style="561" bestFit="1" customWidth="1"/>
    <col min="11269" max="11270" width="12.140625" style="561" bestFit="1" customWidth="1"/>
    <col min="11271" max="11271" width="12.42578125" style="561" customWidth="1"/>
    <col min="11272" max="11272" width="13.42578125" style="561" customWidth="1"/>
    <col min="11273" max="11273" width="13.7109375" style="561" customWidth="1"/>
    <col min="11274" max="11274" width="14.5703125" style="561" customWidth="1"/>
    <col min="11275" max="11275" width="24.28515625" style="561" customWidth="1"/>
    <col min="11276" max="11520" width="9.140625" style="561"/>
    <col min="11521" max="11521" width="23.28515625" style="561" customWidth="1"/>
    <col min="11522" max="11522" width="13.140625" style="561" customWidth="1"/>
    <col min="11523" max="11523" width="13.5703125" style="561" customWidth="1"/>
    <col min="11524" max="11524" width="13.28515625" style="561" bestFit="1" customWidth="1"/>
    <col min="11525" max="11526" width="12.140625" style="561" bestFit="1" customWidth="1"/>
    <col min="11527" max="11527" width="12.42578125" style="561" customWidth="1"/>
    <col min="11528" max="11528" width="13.42578125" style="561" customWidth="1"/>
    <col min="11529" max="11529" width="13.7109375" style="561" customWidth="1"/>
    <col min="11530" max="11530" width="14.5703125" style="561" customWidth="1"/>
    <col min="11531" max="11531" width="24.28515625" style="561" customWidth="1"/>
    <col min="11532" max="11776" width="9.140625" style="561"/>
    <col min="11777" max="11777" width="23.28515625" style="561" customWidth="1"/>
    <col min="11778" max="11778" width="13.140625" style="561" customWidth="1"/>
    <col min="11779" max="11779" width="13.5703125" style="561" customWidth="1"/>
    <col min="11780" max="11780" width="13.28515625" style="561" bestFit="1" customWidth="1"/>
    <col min="11781" max="11782" width="12.140625" style="561" bestFit="1" customWidth="1"/>
    <col min="11783" max="11783" width="12.42578125" style="561" customWidth="1"/>
    <col min="11784" max="11784" width="13.42578125" style="561" customWidth="1"/>
    <col min="11785" max="11785" width="13.7109375" style="561" customWidth="1"/>
    <col min="11786" max="11786" width="14.5703125" style="561" customWidth="1"/>
    <col min="11787" max="11787" width="24.28515625" style="561" customWidth="1"/>
    <col min="11788" max="12032" width="9.140625" style="561"/>
    <col min="12033" max="12033" width="23.28515625" style="561" customWidth="1"/>
    <col min="12034" max="12034" width="13.140625" style="561" customWidth="1"/>
    <col min="12035" max="12035" width="13.5703125" style="561" customWidth="1"/>
    <col min="12036" max="12036" width="13.28515625" style="561" bestFit="1" customWidth="1"/>
    <col min="12037" max="12038" width="12.140625" style="561" bestFit="1" customWidth="1"/>
    <col min="12039" max="12039" width="12.42578125" style="561" customWidth="1"/>
    <col min="12040" max="12040" width="13.42578125" style="561" customWidth="1"/>
    <col min="12041" max="12041" width="13.7109375" style="561" customWidth="1"/>
    <col min="12042" max="12042" width="14.5703125" style="561" customWidth="1"/>
    <col min="12043" max="12043" width="24.28515625" style="561" customWidth="1"/>
    <col min="12044" max="12288" width="9.140625" style="561"/>
    <col min="12289" max="12289" width="23.28515625" style="561" customWidth="1"/>
    <col min="12290" max="12290" width="13.140625" style="561" customWidth="1"/>
    <col min="12291" max="12291" width="13.5703125" style="561" customWidth="1"/>
    <col min="12292" max="12292" width="13.28515625" style="561" bestFit="1" customWidth="1"/>
    <col min="12293" max="12294" width="12.140625" style="561" bestFit="1" customWidth="1"/>
    <col min="12295" max="12295" width="12.42578125" style="561" customWidth="1"/>
    <col min="12296" max="12296" width="13.42578125" style="561" customWidth="1"/>
    <col min="12297" max="12297" width="13.7109375" style="561" customWidth="1"/>
    <col min="12298" max="12298" width="14.5703125" style="561" customWidth="1"/>
    <col min="12299" max="12299" width="24.28515625" style="561" customWidth="1"/>
    <col min="12300" max="12544" width="9.140625" style="561"/>
    <col min="12545" max="12545" width="23.28515625" style="561" customWidth="1"/>
    <col min="12546" max="12546" width="13.140625" style="561" customWidth="1"/>
    <col min="12547" max="12547" width="13.5703125" style="561" customWidth="1"/>
    <col min="12548" max="12548" width="13.28515625" style="561" bestFit="1" customWidth="1"/>
    <col min="12549" max="12550" width="12.140625" style="561" bestFit="1" customWidth="1"/>
    <col min="12551" max="12551" width="12.42578125" style="561" customWidth="1"/>
    <col min="12552" max="12552" width="13.42578125" style="561" customWidth="1"/>
    <col min="12553" max="12553" width="13.7109375" style="561" customWidth="1"/>
    <col min="12554" max="12554" width="14.5703125" style="561" customWidth="1"/>
    <col min="12555" max="12555" width="24.28515625" style="561" customWidth="1"/>
    <col min="12556" max="12800" width="9.140625" style="561"/>
    <col min="12801" max="12801" width="23.28515625" style="561" customWidth="1"/>
    <col min="12802" max="12802" width="13.140625" style="561" customWidth="1"/>
    <col min="12803" max="12803" width="13.5703125" style="561" customWidth="1"/>
    <col min="12804" max="12804" width="13.28515625" style="561" bestFit="1" customWidth="1"/>
    <col min="12805" max="12806" width="12.140625" style="561" bestFit="1" customWidth="1"/>
    <col min="12807" max="12807" width="12.42578125" style="561" customWidth="1"/>
    <col min="12808" max="12808" width="13.42578125" style="561" customWidth="1"/>
    <col min="12809" max="12809" width="13.7109375" style="561" customWidth="1"/>
    <col min="12810" max="12810" width="14.5703125" style="561" customWidth="1"/>
    <col min="12811" max="12811" width="24.28515625" style="561" customWidth="1"/>
    <col min="12812" max="13056" width="9.140625" style="561"/>
    <col min="13057" max="13057" width="23.28515625" style="561" customWidth="1"/>
    <col min="13058" max="13058" width="13.140625" style="561" customWidth="1"/>
    <col min="13059" max="13059" width="13.5703125" style="561" customWidth="1"/>
    <col min="13060" max="13060" width="13.28515625" style="561" bestFit="1" customWidth="1"/>
    <col min="13061" max="13062" width="12.140625" style="561" bestFit="1" customWidth="1"/>
    <col min="13063" max="13063" width="12.42578125" style="561" customWidth="1"/>
    <col min="13064" max="13064" width="13.42578125" style="561" customWidth="1"/>
    <col min="13065" max="13065" width="13.7109375" style="561" customWidth="1"/>
    <col min="13066" max="13066" width="14.5703125" style="561" customWidth="1"/>
    <col min="13067" max="13067" width="24.28515625" style="561" customWidth="1"/>
    <col min="13068" max="13312" width="9.140625" style="561"/>
    <col min="13313" max="13313" width="23.28515625" style="561" customWidth="1"/>
    <col min="13314" max="13314" width="13.140625" style="561" customWidth="1"/>
    <col min="13315" max="13315" width="13.5703125" style="561" customWidth="1"/>
    <col min="13316" max="13316" width="13.28515625" style="561" bestFit="1" customWidth="1"/>
    <col min="13317" max="13318" width="12.140625" style="561" bestFit="1" customWidth="1"/>
    <col min="13319" max="13319" width="12.42578125" style="561" customWidth="1"/>
    <col min="13320" max="13320" width="13.42578125" style="561" customWidth="1"/>
    <col min="13321" max="13321" width="13.7109375" style="561" customWidth="1"/>
    <col min="13322" max="13322" width="14.5703125" style="561" customWidth="1"/>
    <col min="13323" max="13323" width="24.28515625" style="561" customWidth="1"/>
    <col min="13324" max="13568" width="9.140625" style="561"/>
    <col min="13569" max="13569" width="23.28515625" style="561" customWidth="1"/>
    <col min="13570" max="13570" width="13.140625" style="561" customWidth="1"/>
    <col min="13571" max="13571" width="13.5703125" style="561" customWidth="1"/>
    <col min="13572" max="13572" width="13.28515625" style="561" bestFit="1" customWidth="1"/>
    <col min="13573" max="13574" width="12.140625" style="561" bestFit="1" customWidth="1"/>
    <col min="13575" max="13575" width="12.42578125" style="561" customWidth="1"/>
    <col min="13576" max="13576" width="13.42578125" style="561" customWidth="1"/>
    <col min="13577" max="13577" width="13.7109375" style="561" customWidth="1"/>
    <col min="13578" max="13578" width="14.5703125" style="561" customWidth="1"/>
    <col min="13579" max="13579" width="24.28515625" style="561" customWidth="1"/>
    <col min="13580" max="13824" width="9.140625" style="561"/>
    <col min="13825" max="13825" width="23.28515625" style="561" customWidth="1"/>
    <col min="13826" max="13826" width="13.140625" style="561" customWidth="1"/>
    <col min="13827" max="13827" width="13.5703125" style="561" customWidth="1"/>
    <col min="13828" max="13828" width="13.28515625" style="561" bestFit="1" customWidth="1"/>
    <col min="13829" max="13830" width="12.140625" style="561" bestFit="1" customWidth="1"/>
    <col min="13831" max="13831" width="12.42578125" style="561" customWidth="1"/>
    <col min="13832" max="13832" width="13.42578125" style="561" customWidth="1"/>
    <col min="13833" max="13833" width="13.7109375" style="561" customWidth="1"/>
    <col min="13834" max="13834" width="14.5703125" style="561" customWidth="1"/>
    <col min="13835" max="13835" width="24.28515625" style="561" customWidth="1"/>
    <col min="13836" max="14080" width="9.140625" style="561"/>
    <col min="14081" max="14081" width="23.28515625" style="561" customWidth="1"/>
    <col min="14082" max="14082" width="13.140625" style="561" customWidth="1"/>
    <col min="14083" max="14083" width="13.5703125" style="561" customWidth="1"/>
    <col min="14084" max="14084" width="13.28515625" style="561" bestFit="1" customWidth="1"/>
    <col min="14085" max="14086" width="12.140625" style="561" bestFit="1" customWidth="1"/>
    <col min="14087" max="14087" width="12.42578125" style="561" customWidth="1"/>
    <col min="14088" max="14088" width="13.42578125" style="561" customWidth="1"/>
    <col min="14089" max="14089" width="13.7109375" style="561" customWidth="1"/>
    <col min="14090" max="14090" width="14.5703125" style="561" customWidth="1"/>
    <col min="14091" max="14091" width="24.28515625" style="561" customWidth="1"/>
    <col min="14092" max="14336" width="9.140625" style="561"/>
    <col min="14337" max="14337" width="23.28515625" style="561" customWidth="1"/>
    <col min="14338" max="14338" width="13.140625" style="561" customWidth="1"/>
    <col min="14339" max="14339" width="13.5703125" style="561" customWidth="1"/>
    <col min="14340" max="14340" width="13.28515625" style="561" bestFit="1" customWidth="1"/>
    <col min="14341" max="14342" width="12.140625" style="561" bestFit="1" customWidth="1"/>
    <col min="14343" max="14343" width="12.42578125" style="561" customWidth="1"/>
    <col min="14344" max="14344" width="13.42578125" style="561" customWidth="1"/>
    <col min="14345" max="14345" width="13.7109375" style="561" customWidth="1"/>
    <col min="14346" max="14346" width="14.5703125" style="561" customWidth="1"/>
    <col min="14347" max="14347" width="24.28515625" style="561" customWidth="1"/>
    <col min="14348" max="14592" width="9.140625" style="561"/>
    <col min="14593" max="14593" width="23.28515625" style="561" customWidth="1"/>
    <col min="14594" max="14594" width="13.140625" style="561" customWidth="1"/>
    <col min="14595" max="14595" width="13.5703125" style="561" customWidth="1"/>
    <col min="14596" max="14596" width="13.28515625" style="561" bestFit="1" customWidth="1"/>
    <col min="14597" max="14598" width="12.140625" style="561" bestFit="1" customWidth="1"/>
    <col min="14599" max="14599" width="12.42578125" style="561" customWidth="1"/>
    <col min="14600" max="14600" width="13.42578125" style="561" customWidth="1"/>
    <col min="14601" max="14601" width="13.7109375" style="561" customWidth="1"/>
    <col min="14602" max="14602" width="14.5703125" style="561" customWidth="1"/>
    <col min="14603" max="14603" width="24.28515625" style="561" customWidth="1"/>
    <col min="14604" max="14848" width="9.140625" style="561"/>
    <col min="14849" max="14849" width="23.28515625" style="561" customWidth="1"/>
    <col min="14850" max="14850" width="13.140625" style="561" customWidth="1"/>
    <col min="14851" max="14851" width="13.5703125" style="561" customWidth="1"/>
    <col min="14852" max="14852" width="13.28515625" style="561" bestFit="1" customWidth="1"/>
    <col min="14853" max="14854" width="12.140625" style="561" bestFit="1" customWidth="1"/>
    <col min="14855" max="14855" width="12.42578125" style="561" customWidth="1"/>
    <col min="14856" max="14856" width="13.42578125" style="561" customWidth="1"/>
    <col min="14857" max="14857" width="13.7109375" style="561" customWidth="1"/>
    <col min="14858" max="14858" width="14.5703125" style="561" customWidth="1"/>
    <col min="14859" max="14859" width="24.28515625" style="561" customWidth="1"/>
    <col min="14860" max="15104" width="9.140625" style="561"/>
    <col min="15105" max="15105" width="23.28515625" style="561" customWidth="1"/>
    <col min="15106" max="15106" width="13.140625" style="561" customWidth="1"/>
    <col min="15107" max="15107" width="13.5703125" style="561" customWidth="1"/>
    <col min="15108" max="15108" width="13.28515625" style="561" bestFit="1" customWidth="1"/>
    <col min="15109" max="15110" width="12.140625" style="561" bestFit="1" customWidth="1"/>
    <col min="15111" max="15111" width="12.42578125" style="561" customWidth="1"/>
    <col min="15112" max="15112" width="13.42578125" style="561" customWidth="1"/>
    <col min="15113" max="15113" width="13.7109375" style="561" customWidth="1"/>
    <col min="15114" max="15114" width="14.5703125" style="561" customWidth="1"/>
    <col min="15115" max="15115" width="24.28515625" style="561" customWidth="1"/>
    <col min="15116" max="15360" width="9.140625" style="561"/>
    <col min="15361" max="15361" width="23.28515625" style="561" customWidth="1"/>
    <col min="15362" max="15362" width="13.140625" style="561" customWidth="1"/>
    <col min="15363" max="15363" width="13.5703125" style="561" customWidth="1"/>
    <col min="15364" max="15364" width="13.28515625" style="561" bestFit="1" customWidth="1"/>
    <col min="15365" max="15366" width="12.140625" style="561" bestFit="1" customWidth="1"/>
    <col min="15367" max="15367" width="12.42578125" style="561" customWidth="1"/>
    <col min="15368" max="15368" width="13.42578125" style="561" customWidth="1"/>
    <col min="15369" max="15369" width="13.7109375" style="561" customWidth="1"/>
    <col min="15370" max="15370" width="14.5703125" style="561" customWidth="1"/>
    <col min="15371" max="15371" width="24.28515625" style="561" customWidth="1"/>
    <col min="15372" max="15616" width="9.140625" style="561"/>
    <col min="15617" max="15617" width="23.28515625" style="561" customWidth="1"/>
    <col min="15618" max="15618" width="13.140625" style="561" customWidth="1"/>
    <col min="15619" max="15619" width="13.5703125" style="561" customWidth="1"/>
    <col min="15620" max="15620" width="13.28515625" style="561" bestFit="1" customWidth="1"/>
    <col min="15621" max="15622" width="12.140625" style="561" bestFit="1" customWidth="1"/>
    <col min="15623" max="15623" width="12.42578125" style="561" customWidth="1"/>
    <col min="15624" max="15624" width="13.42578125" style="561" customWidth="1"/>
    <col min="15625" max="15625" width="13.7109375" style="561" customWidth="1"/>
    <col min="15626" max="15626" width="14.5703125" style="561" customWidth="1"/>
    <col min="15627" max="15627" width="24.28515625" style="561" customWidth="1"/>
    <col min="15628" max="15872" width="9.140625" style="561"/>
    <col min="15873" max="15873" width="23.28515625" style="561" customWidth="1"/>
    <col min="15874" max="15874" width="13.140625" style="561" customWidth="1"/>
    <col min="15875" max="15875" width="13.5703125" style="561" customWidth="1"/>
    <col min="15876" max="15876" width="13.28515625" style="561" bestFit="1" customWidth="1"/>
    <col min="15877" max="15878" width="12.140625" style="561" bestFit="1" customWidth="1"/>
    <col min="15879" max="15879" width="12.42578125" style="561" customWidth="1"/>
    <col min="15880" max="15880" width="13.42578125" style="561" customWidth="1"/>
    <col min="15881" max="15881" width="13.7109375" style="561" customWidth="1"/>
    <col min="15882" max="15882" width="14.5703125" style="561" customWidth="1"/>
    <col min="15883" max="15883" width="24.28515625" style="561" customWidth="1"/>
    <col min="15884" max="16128" width="9.140625" style="561"/>
    <col min="16129" max="16129" width="23.28515625" style="561" customWidth="1"/>
    <col min="16130" max="16130" width="13.140625" style="561" customWidth="1"/>
    <col min="16131" max="16131" width="13.5703125" style="561" customWidth="1"/>
    <col min="16132" max="16132" width="13.28515625" style="561" bestFit="1" customWidth="1"/>
    <col min="16133" max="16134" width="12.140625" style="561" bestFit="1" customWidth="1"/>
    <col min="16135" max="16135" width="12.42578125" style="561" customWidth="1"/>
    <col min="16136" max="16136" width="13.42578125" style="561" customWidth="1"/>
    <col min="16137" max="16137" width="13.7109375" style="561" customWidth="1"/>
    <col min="16138" max="16138" width="14.5703125" style="561" customWidth="1"/>
    <col min="16139" max="16139" width="24.28515625" style="561" customWidth="1"/>
    <col min="16140" max="16384" width="9.140625" style="561"/>
  </cols>
  <sheetData>
    <row r="1" spans="1:14" ht="28.5" customHeight="1">
      <c r="A1" s="1948" t="s">
        <v>2059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</row>
    <row r="2" spans="1:14" ht="30.75" customHeight="1">
      <c r="A2" s="1684" t="s">
        <v>2060</v>
      </c>
      <c r="B2" s="1684"/>
      <c r="C2" s="1684"/>
      <c r="D2" s="1684"/>
      <c r="E2" s="1684"/>
      <c r="F2" s="1684"/>
      <c r="G2" s="1684"/>
      <c r="H2" s="1684"/>
      <c r="I2" s="1684"/>
      <c r="J2" s="1684"/>
      <c r="K2" s="1684"/>
    </row>
    <row r="3" spans="1:14" ht="12.75" customHeight="1">
      <c r="A3" s="1684"/>
      <c r="B3" s="1684"/>
      <c r="C3" s="1684"/>
      <c r="D3" s="1684"/>
      <c r="E3" s="1684"/>
      <c r="F3" s="1684"/>
      <c r="G3" s="1684"/>
      <c r="H3" s="1684"/>
      <c r="I3" s="1684"/>
      <c r="J3" s="1684"/>
      <c r="K3" s="1684"/>
    </row>
    <row r="4" spans="1:14" ht="27" customHeight="1">
      <c r="A4" s="1950" t="s">
        <v>2061</v>
      </c>
      <c r="B4" s="1950"/>
      <c r="C4" s="1950"/>
      <c r="D4" s="1950"/>
      <c r="E4" s="1950"/>
      <c r="F4" s="1950"/>
      <c r="G4" s="1950"/>
      <c r="H4" s="1950"/>
      <c r="I4" s="1950"/>
      <c r="J4" s="1950"/>
      <c r="K4" s="1950"/>
    </row>
    <row r="5" spans="1:14" s="660" customFormat="1" ht="12" customHeight="1">
      <c r="A5" s="1176" t="s">
        <v>2686</v>
      </c>
      <c r="B5" s="1168"/>
      <c r="C5" s="1168"/>
      <c r="D5" s="1168"/>
      <c r="E5" s="1168"/>
      <c r="F5" s="1168"/>
      <c r="G5" s="1168"/>
      <c r="H5" s="1168"/>
      <c r="I5" s="1168"/>
      <c r="J5" s="1168"/>
      <c r="K5" s="1168" t="s">
        <v>2687</v>
      </c>
      <c r="L5" s="561"/>
      <c r="M5" s="561"/>
      <c r="N5" s="561"/>
    </row>
    <row r="6" spans="1:14" ht="12" customHeight="1">
      <c r="A6" s="1695" t="s">
        <v>846</v>
      </c>
      <c r="B6" s="1698" t="s">
        <v>2063</v>
      </c>
      <c r="C6" s="1699" t="s">
        <v>2064</v>
      </c>
      <c r="D6" s="1700"/>
      <c r="E6" s="1700"/>
      <c r="F6" s="1700"/>
      <c r="G6" s="1700"/>
      <c r="H6" s="1700"/>
      <c r="I6" s="1700"/>
      <c r="J6" s="1701"/>
      <c r="K6" s="1705"/>
    </row>
    <row r="7" spans="1:14" ht="12" customHeight="1">
      <c r="A7" s="1696"/>
      <c r="B7" s="1698"/>
      <c r="C7" s="1708" t="s">
        <v>2065</v>
      </c>
      <c r="D7" s="1699" t="s">
        <v>2066</v>
      </c>
      <c r="E7" s="1700"/>
      <c r="F7" s="1700"/>
      <c r="G7" s="1700"/>
      <c r="H7" s="1701"/>
      <c r="I7" s="1710" t="s">
        <v>2067</v>
      </c>
      <c r="J7" s="1708" t="s">
        <v>2068</v>
      </c>
      <c r="K7" s="1706"/>
    </row>
    <row r="8" spans="1:14" ht="68.25" customHeight="1">
      <c r="A8" s="1696"/>
      <c r="B8" s="1698"/>
      <c r="C8" s="1709"/>
      <c r="D8" s="661" t="s">
        <v>2069</v>
      </c>
      <c r="E8" s="661" t="s">
        <v>2070</v>
      </c>
      <c r="F8" s="661" t="s">
        <v>2071</v>
      </c>
      <c r="G8" s="661" t="s">
        <v>2072</v>
      </c>
      <c r="H8" s="661" t="s">
        <v>2073</v>
      </c>
      <c r="I8" s="1710"/>
      <c r="J8" s="1709"/>
      <c r="K8" s="1706"/>
    </row>
    <row r="9" spans="1:14" ht="12.75" customHeight="1">
      <c r="A9" s="1696"/>
      <c r="B9" s="1702" t="s">
        <v>2074</v>
      </c>
      <c r="C9" s="1711" t="s">
        <v>2075</v>
      </c>
      <c r="D9" s="1712"/>
      <c r="E9" s="1712"/>
      <c r="F9" s="1712"/>
      <c r="G9" s="1712"/>
      <c r="H9" s="1712"/>
      <c r="I9" s="1712"/>
      <c r="J9" s="1713"/>
      <c r="K9" s="1706"/>
    </row>
    <row r="10" spans="1:14" ht="12.75" customHeight="1">
      <c r="A10" s="1696"/>
      <c r="B10" s="1703"/>
      <c r="C10" s="1714" t="s">
        <v>2076</v>
      </c>
      <c r="D10" s="1710" t="s">
        <v>2077</v>
      </c>
      <c r="E10" s="1710"/>
      <c r="F10" s="1710"/>
      <c r="G10" s="1710"/>
      <c r="H10" s="1710"/>
      <c r="I10" s="1710" t="s">
        <v>2078</v>
      </c>
      <c r="J10" s="1708" t="s">
        <v>2079</v>
      </c>
      <c r="K10" s="1706"/>
    </row>
    <row r="11" spans="1:14" ht="68.25" customHeight="1">
      <c r="A11" s="1697"/>
      <c r="B11" s="1704"/>
      <c r="C11" s="1715"/>
      <c r="D11" s="661" t="s">
        <v>2080</v>
      </c>
      <c r="E11" s="661" t="s">
        <v>2081</v>
      </c>
      <c r="F11" s="661" t="s">
        <v>2082</v>
      </c>
      <c r="G11" s="661" t="s">
        <v>2083</v>
      </c>
      <c r="H11" s="661" t="s">
        <v>2084</v>
      </c>
      <c r="I11" s="1710"/>
      <c r="J11" s="1816"/>
      <c r="K11" s="1707"/>
    </row>
    <row r="12" spans="1:14" s="666" customFormat="1">
      <c r="A12" s="1177" t="s">
        <v>2085</v>
      </c>
      <c r="B12" s="1178">
        <v>690623950</v>
      </c>
      <c r="C12" s="1178">
        <v>651077082</v>
      </c>
      <c r="D12" s="1178">
        <v>436492995</v>
      </c>
      <c r="E12" s="1178">
        <v>86068352</v>
      </c>
      <c r="F12" s="1178">
        <v>28708862</v>
      </c>
      <c r="G12" s="1178">
        <v>13596122</v>
      </c>
      <c r="H12" s="1178">
        <v>86210751</v>
      </c>
      <c r="I12" s="1178">
        <v>35479519</v>
      </c>
      <c r="J12" s="1178">
        <v>4067349</v>
      </c>
      <c r="K12" s="1179" t="s">
        <v>2086</v>
      </c>
      <c r="L12" s="561"/>
      <c r="M12" s="561"/>
      <c r="N12" s="561"/>
    </row>
    <row r="13" spans="1:14">
      <c r="A13" s="1180" t="s">
        <v>2087</v>
      </c>
      <c r="B13" s="1181">
        <v>552461822</v>
      </c>
      <c r="C13" s="1181">
        <v>513881859</v>
      </c>
      <c r="D13" s="1181">
        <v>380453478</v>
      </c>
      <c r="E13" s="1181">
        <v>55850743</v>
      </c>
      <c r="F13" s="1181">
        <v>19811023</v>
      </c>
      <c r="G13" s="1181">
        <v>3450056</v>
      </c>
      <c r="H13" s="1181">
        <v>54316559</v>
      </c>
      <c r="I13" s="1181">
        <v>35200614</v>
      </c>
      <c r="J13" s="1181">
        <v>3379349</v>
      </c>
      <c r="K13" s="1182" t="s">
        <v>2088</v>
      </c>
    </row>
    <row r="14" spans="1:14" ht="22.5">
      <c r="A14" s="1183" t="s">
        <v>2089</v>
      </c>
      <c r="B14" s="1181">
        <v>277841518</v>
      </c>
      <c r="C14" s="1181">
        <v>275818185</v>
      </c>
      <c r="D14" s="1181">
        <v>237753011</v>
      </c>
      <c r="E14" s="1181">
        <v>14114339</v>
      </c>
      <c r="F14" s="1181">
        <v>9742652</v>
      </c>
      <c r="G14" s="1181">
        <v>364749</v>
      </c>
      <c r="H14" s="1181">
        <v>13843434</v>
      </c>
      <c r="I14" s="1181">
        <v>1554168</v>
      </c>
      <c r="J14" s="1181">
        <v>469165</v>
      </c>
      <c r="K14" s="1183" t="s">
        <v>2090</v>
      </c>
    </row>
    <row r="15" spans="1:14">
      <c r="A15" s="1184" t="s">
        <v>2091</v>
      </c>
      <c r="B15" s="1181">
        <v>4205063</v>
      </c>
      <c r="C15" s="1181">
        <v>4164828</v>
      </c>
      <c r="D15" s="1181">
        <v>4050023</v>
      </c>
      <c r="E15" s="1181">
        <v>57702</v>
      </c>
      <c r="F15" s="1181">
        <v>34485</v>
      </c>
      <c r="G15" s="1185" t="s">
        <v>8</v>
      </c>
      <c r="H15" s="1181">
        <v>22618</v>
      </c>
      <c r="I15" s="1181">
        <v>23639</v>
      </c>
      <c r="J15" s="1181">
        <v>16596</v>
      </c>
      <c r="K15" s="1186" t="s">
        <v>2092</v>
      </c>
    </row>
    <row r="16" spans="1:14">
      <c r="A16" s="1183" t="s">
        <v>2093</v>
      </c>
      <c r="B16" s="1181">
        <v>271446018</v>
      </c>
      <c r="C16" s="1181">
        <v>235452415</v>
      </c>
      <c r="D16" s="1181">
        <v>140800057</v>
      </c>
      <c r="E16" s="1181">
        <v>41380136</v>
      </c>
      <c r="F16" s="1181">
        <v>10021531</v>
      </c>
      <c r="G16" s="1181">
        <v>2838955</v>
      </c>
      <c r="H16" s="1181">
        <v>40411736</v>
      </c>
      <c r="I16" s="1181">
        <v>33123508</v>
      </c>
      <c r="J16" s="1181">
        <v>2870095</v>
      </c>
      <c r="K16" s="1187" t="s">
        <v>2094</v>
      </c>
    </row>
    <row r="17" spans="1:11" ht="33.75">
      <c r="A17" s="1183" t="s">
        <v>2095</v>
      </c>
      <c r="B17" s="1181">
        <v>3174286</v>
      </c>
      <c r="C17" s="1181">
        <v>2611259</v>
      </c>
      <c r="D17" s="1181">
        <v>1900410</v>
      </c>
      <c r="E17" s="1181">
        <v>356268</v>
      </c>
      <c r="F17" s="1181">
        <v>46840</v>
      </c>
      <c r="G17" s="1181">
        <v>246352</v>
      </c>
      <c r="H17" s="1181">
        <v>61389</v>
      </c>
      <c r="I17" s="1181">
        <v>522938</v>
      </c>
      <c r="J17" s="1181">
        <v>40089</v>
      </c>
      <c r="K17" s="1180" t="s">
        <v>2096</v>
      </c>
    </row>
    <row r="18" spans="1:11">
      <c r="A18" s="1184" t="s">
        <v>2097</v>
      </c>
      <c r="B18" s="1181">
        <v>101768</v>
      </c>
      <c r="C18" s="1208">
        <v>53847</v>
      </c>
      <c r="D18" s="1181">
        <v>22131</v>
      </c>
      <c r="E18" s="1185" t="s">
        <v>8</v>
      </c>
      <c r="F18" s="1185" t="s">
        <v>8</v>
      </c>
      <c r="G18" s="1185" t="s">
        <v>8</v>
      </c>
      <c r="H18" s="1181">
        <v>31716</v>
      </c>
      <c r="I18" s="1181">
        <v>37805</v>
      </c>
      <c r="J18" s="1181">
        <v>10116</v>
      </c>
      <c r="K18" s="1180" t="s">
        <v>2098</v>
      </c>
    </row>
    <row r="19" spans="1:11" s="1317" customFormat="1" ht="45">
      <c r="A19" s="1314" t="s">
        <v>2099</v>
      </c>
      <c r="B19" s="1315">
        <v>125092752</v>
      </c>
      <c r="C19" s="1318">
        <v>124224914</v>
      </c>
      <c r="D19" s="1315">
        <v>48158744</v>
      </c>
      <c r="E19" s="1315">
        <v>28211720</v>
      </c>
      <c r="F19" s="1315">
        <v>8510336</v>
      </c>
      <c r="G19" s="1315">
        <v>9642036</v>
      </c>
      <c r="H19" s="1315">
        <v>29702078</v>
      </c>
      <c r="I19" s="1315">
        <v>268497</v>
      </c>
      <c r="J19" s="1315">
        <v>599341</v>
      </c>
      <c r="K19" s="1316" t="s">
        <v>2100</v>
      </c>
    </row>
    <row r="20" spans="1:11" ht="33.75">
      <c r="A20" s="1180" t="s">
        <v>2101</v>
      </c>
      <c r="B20" s="1181">
        <v>6980082</v>
      </c>
      <c r="C20" s="1181">
        <v>6897826</v>
      </c>
      <c r="D20" s="1181">
        <v>4721582</v>
      </c>
      <c r="E20" s="1181">
        <v>754794</v>
      </c>
      <c r="F20" s="1181">
        <v>30349</v>
      </c>
      <c r="G20" s="1181">
        <v>288919</v>
      </c>
      <c r="H20" s="1181">
        <v>1102182</v>
      </c>
      <c r="I20" s="1181">
        <v>10408</v>
      </c>
      <c r="J20" s="1181">
        <v>71848</v>
      </c>
      <c r="K20" s="1188" t="s">
        <v>2102</v>
      </c>
    </row>
    <row r="21" spans="1:11" ht="22.5">
      <c r="A21" s="1180" t="s">
        <v>2103</v>
      </c>
      <c r="B21" s="1181">
        <v>219500</v>
      </c>
      <c r="C21" s="1181">
        <v>219398</v>
      </c>
      <c r="D21" s="1181">
        <v>100341</v>
      </c>
      <c r="E21" s="1181">
        <v>87331</v>
      </c>
      <c r="F21" s="1181">
        <v>8580</v>
      </c>
      <c r="G21" s="1181">
        <v>1422</v>
      </c>
      <c r="H21" s="1181">
        <v>21724</v>
      </c>
      <c r="I21" s="1185" t="s">
        <v>8</v>
      </c>
      <c r="J21" s="1181">
        <v>102</v>
      </c>
      <c r="K21" s="1188" t="s">
        <v>2104</v>
      </c>
    </row>
    <row r="22" spans="1:11">
      <c r="A22" s="1183" t="s">
        <v>2105</v>
      </c>
      <c r="B22" s="1181">
        <v>186769</v>
      </c>
      <c r="C22" s="1181">
        <v>186769</v>
      </c>
      <c r="D22" s="1181">
        <v>81341</v>
      </c>
      <c r="E22" s="1181">
        <v>73702</v>
      </c>
      <c r="F22" s="1181">
        <v>8580</v>
      </c>
      <c r="G22" s="1181">
        <v>1422</v>
      </c>
      <c r="H22" s="1181">
        <v>21724</v>
      </c>
      <c r="I22" s="1185" t="s">
        <v>8</v>
      </c>
      <c r="J22" s="1185" t="s">
        <v>8</v>
      </c>
      <c r="K22" s="1180" t="s">
        <v>2106</v>
      </c>
    </row>
    <row r="23" spans="1:11">
      <c r="A23" s="1183" t="s">
        <v>2107</v>
      </c>
      <c r="B23" s="1181">
        <v>32731</v>
      </c>
      <c r="C23" s="1181">
        <v>32629</v>
      </c>
      <c r="D23" s="1181">
        <v>19000</v>
      </c>
      <c r="E23" s="1181">
        <v>13629</v>
      </c>
      <c r="F23" s="1185" t="s">
        <v>8</v>
      </c>
      <c r="G23" s="1185" t="s">
        <v>8</v>
      </c>
      <c r="H23" s="1185" t="s">
        <v>8</v>
      </c>
      <c r="I23" s="1185" t="s">
        <v>8</v>
      </c>
      <c r="J23" s="1181">
        <v>102</v>
      </c>
      <c r="K23" s="1180" t="s">
        <v>2108</v>
      </c>
    </row>
    <row r="24" spans="1:11" ht="45">
      <c r="A24" s="1189" t="s">
        <v>2109</v>
      </c>
      <c r="B24" s="1190">
        <v>5869794</v>
      </c>
      <c r="C24" s="1190">
        <v>5853085</v>
      </c>
      <c r="D24" s="1190">
        <v>3058850</v>
      </c>
      <c r="E24" s="1190">
        <v>1163764</v>
      </c>
      <c r="F24" s="1190">
        <v>348574</v>
      </c>
      <c r="G24" s="1190">
        <v>213689</v>
      </c>
      <c r="H24" s="1190">
        <v>1068208</v>
      </c>
      <c r="I24" s="1191" t="s">
        <v>8</v>
      </c>
      <c r="J24" s="1190">
        <v>16709</v>
      </c>
      <c r="K24" s="1192" t="s">
        <v>2688</v>
      </c>
    </row>
  </sheetData>
  <mergeCells count="18">
    <mergeCell ref="A1:K1"/>
    <mergeCell ref="A2:K2"/>
    <mergeCell ref="A3:K3"/>
    <mergeCell ref="A4:K4"/>
    <mergeCell ref="A6:A11"/>
    <mergeCell ref="B6:B8"/>
    <mergeCell ref="C6:J6"/>
    <mergeCell ref="K6:K11"/>
    <mergeCell ref="C7:C8"/>
    <mergeCell ref="D7:H7"/>
    <mergeCell ref="I7:I8"/>
    <mergeCell ref="J7:J8"/>
    <mergeCell ref="B9:B11"/>
    <mergeCell ref="C9:J9"/>
    <mergeCell ref="C10:C11"/>
    <mergeCell ref="D10:H10"/>
    <mergeCell ref="I10:I11"/>
    <mergeCell ref="J10:J11"/>
  </mergeCells>
  <printOptions horizontalCentered="1"/>
  <pageMargins left="0.39370078740157483" right="0.39370078740157483" top="0.59055118110236227" bottom="0.59055118110236227" header="0.19685039370078741" footer="0.31496062992125984"/>
  <pageSetup paperSize="9" scale="85" firstPageNumber="18" orientation="landscape" useFirstPageNumber="1" r:id="rId1"/>
  <headerFooter alignWithMargins="0">
    <oddFooter>&amp;R&amp;P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topLeftCell="C1" workbookViewId="0">
      <selection sqref="A1:XFD1048576"/>
    </sheetView>
  </sheetViews>
  <sheetFormatPr defaultRowHeight="30" customHeight="1"/>
  <cols>
    <col min="1" max="1" width="36.140625" customWidth="1"/>
    <col min="2" max="2" width="15" customWidth="1"/>
    <col min="3" max="3" width="25" customWidth="1"/>
    <col min="4" max="4" width="25" style="1212" customWidth="1"/>
    <col min="6" max="6" width="20.7109375" customWidth="1"/>
    <col min="7" max="7" width="17.7109375" customWidth="1"/>
  </cols>
  <sheetData>
    <row r="1" spans="1:7" ht="30" customHeight="1">
      <c r="A1" s="1326" t="s">
        <v>2873</v>
      </c>
      <c r="B1" s="1326" t="s">
        <v>2874</v>
      </c>
      <c r="C1" s="1327" t="s">
        <v>2875</v>
      </c>
      <c r="D1" s="1370"/>
      <c r="F1" s="1330" t="s">
        <v>2876</v>
      </c>
      <c r="G1" s="1330" t="s">
        <v>2877</v>
      </c>
    </row>
    <row r="2" spans="1:7" ht="30" customHeight="1">
      <c r="A2" s="1328" t="s">
        <v>2314</v>
      </c>
      <c r="B2" s="1225">
        <v>34521</v>
      </c>
      <c r="C2" s="1332">
        <f>B2*$G$2</f>
        <v>575571291117</v>
      </c>
      <c r="D2" s="1371">
        <f>B2*$G$2</f>
        <v>575571291117</v>
      </c>
      <c r="F2" s="1330">
        <v>3.5</v>
      </c>
      <c r="G2" s="1331">
        <v>16673077</v>
      </c>
    </row>
    <row r="3" spans="1:7" ht="30" customHeight="1">
      <c r="A3" s="1329" t="s">
        <v>2381</v>
      </c>
      <c r="B3" s="1225">
        <v>17248</v>
      </c>
      <c r="C3" s="1332">
        <f t="shared" ref="C3:C11" si="0">B3*$G$2</f>
        <v>287577232096</v>
      </c>
      <c r="D3" s="1371">
        <f t="shared" ref="D3:D11" si="1">B3*$G$2</f>
        <v>287577232096</v>
      </c>
    </row>
    <row r="4" spans="1:7" ht="30" customHeight="1">
      <c r="A4" s="1329" t="s">
        <v>2318</v>
      </c>
      <c r="B4" s="1225">
        <v>412</v>
      </c>
      <c r="C4" s="1332">
        <f t="shared" si="0"/>
        <v>6869307724</v>
      </c>
      <c r="D4" s="1371">
        <f t="shared" si="1"/>
        <v>6869307724</v>
      </c>
    </row>
    <row r="5" spans="1:7" ht="30" customHeight="1">
      <c r="A5" s="1329" t="s">
        <v>2316</v>
      </c>
      <c r="B5" s="1225">
        <v>1380</v>
      </c>
      <c r="C5" s="1332">
        <f t="shared" si="0"/>
        <v>23008846260</v>
      </c>
      <c r="D5" s="1371">
        <f t="shared" si="1"/>
        <v>23008846260</v>
      </c>
    </row>
    <row r="6" spans="1:7" ht="30" customHeight="1">
      <c r="A6" s="1329" t="s">
        <v>2382</v>
      </c>
      <c r="B6" s="1225">
        <v>1208</v>
      </c>
      <c r="C6" s="1332">
        <f t="shared" si="0"/>
        <v>20141077016</v>
      </c>
      <c r="D6" s="1371">
        <f t="shared" si="1"/>
        <v>20141077016</v>
      </c>
    </row>
    <row r="7" spans="1:7" ht="30" customHeight="1">
      <c r="A7" s="1329" t="s">
        <v>2324</v>
      </c>
      <c r="B7" s="1225">
        <v>7728</v>
      </c>
      <c r="C7" s="1332">
        <f t="shared" si="0"/>
        <v>128849539056</v>
      </c>
      <c r="D7" s="1371">
        <f t="shared" si="1"/>
        <v>128849539056</v>
      </c>
    </row>
    <row r="8" spans="1:7" ht="30" customHeight="1">
      <c r="A8" s="1432" t="s">
        <v>2326</v>
      </c>
      <c r="B8" s="1433">
        <v>1930</v>
      </c>
      <c r="C8" s="1434">
        <f t="shared" si="0"/>
        <v>32179038610</v>
      </c>
      <c r="D8" s="1435">
        <f t="shared" si="1"/>
        <v>32179038610</v>
      </c>
    </row>
    <row r="9" spans="1:7" ht="30" customHeight="1">
      <c r="A9" s="1329" t="s">
        <v>2328</v>
      </c>
      <c r="B9" s="1225">
        <v>3731</v>
      </c>
      <c r="C9" s="1332">
        <f t="shared" si="0"/>
        <v>62207250287</v>
      </c>
      <c r="D9" s="1371">
        <f t="shared" si="1"/>
        <v>62207250287</v>
      </c>
    </row>
    <row r="10" spans="1:7" ht="30" customHeight="1">
      <c r="A10" s="1329" t="s">
        <v>2383</v>
      </c>
      <c r="B10" s="1225">
        <v>536</v>
      </c>
      <c r="C10" s="1332">
        <f t="shared" si="0"/>
        <v>8936769272</v>
      </c>
      <c r="D10" s="1371">
        <f t="shared" si="1"/>
        <v>8936769272</v>
      </c>
    </row>
    <row r="11" spans="1:7" ht="30" customHeight="1">
      <c r="A11" s="1432" t="s">
        <v>2384</v>
      </c>
      <c r="B11" s="1433">
        <v>348</v>
      </c>
      <c r="C11" s="1434">
        <f t="shared" si="0"/>
        <v>5802230796</v>
      </c>
      <c r="D11" s="1435">
        <f t="shared" si="1"/>
        <v>5802230796</v>
      </c>
    </row>
    <row r="13" spans="1:7" ht="30" customHeight="1">
      <c r="A13" s="1212"/>
      <c r="B13" s="1212"/>
      <c r="C13" s="1319"/>
      <c r="D13" s="1319"/>
      <c r="E13" s="1212"/>
      <c r="F13" s="1212"/>
      <c r="G13" s="1212"/>
    </row>
    <row r="14" spans="1:7" ht="30" customHeight="1">
      <c r="A14" s="1320"/>
      <c r="B14" s="781"/>
      <c r="C14" s="1319"/>
      <c r="D14" s="1319"/>
      <c r="E14" s="1212"/>
      <c r="F14" s="1321"/>
      <c r="G14" s="1321"/>
    </row>
    <row r="15" spans="1:7" ht="30" customHeight="1">
      <c r="A15" s="1322"/>
      <c r="B15" s="782"/>
      <c r="C15" s="1319"/>
      <c r="D15" s="1319"/>
      <c r="E15" s="1212"/>
      <c r="F15" s="1321"/>
      <c r="G15" s="1323"/>
    </row>
    <row r="16" spans="1:7" ht="30" customHeight="1">
      <c r="A16" s="1322"/>
      <c r="B16" s="782"/>
      <c r="C16" s="1319"/>
      <c r="D16" s="1319"/>
      <c r="E16" s="1212"/>
      <c r="F16" s="1212"/>
      <c r="G16" s="1212"/>
    </row>
    <row r="17" spans="1:7" ht="30" customHeight="1">
      <c r="A17" s="1324"/>
      <c r="B17" s="782"/>
      <c r="C17" s="1319"/>
      <c r="D17" s="1319"/>
      <c r="E17" s="1212"/>
      <c r="F17" s="1212"/>
      <c r="G17" s="1212"/>
    </row>
    <row r="18" spans="1:7" ht="30" customHeight="1">
      <c r="A18" s="1324"/>
      <c r="B18" s="782"/>
      <c r="C18" s="1319"/>
      <c r="D18" s="1319"/>
      <c r="E18" s="1212"/>
      <c r="F18" s="1212"/>
      <c r="G18" s="1212"/>
    </row>
    <row r="19" spans="1:7" ht="30" customHeight="1">
      <c r="A19" s="1324"/>
      <c r="B19" s="782"/>
      <c r="C19" s="1319"/>
      <c r="D19" s="1319"/>
      <c r="E19" s="1212"/>
      <c r="F19" s="1212"/>
      <c r="G19" s="1212"/>
    </row>
    <row r="20" spans="1:7" ht="30" customHeight="1">
      <c r="A20" s="1324"/>
      <c r="B20" s="782"/>
      <c r="C20" s="1319"/>
      <c r="D20" s="1319"/>
      <c r="E20" s="1212"/>
      <c r="F20" s="1212"/>
      <c r="G20" s="1212"/>
    </row>
    <row r="21" spans="1:7" ht="30" customHeight="1">
      <c r="A21" s="1324"/>
      <c r="B21" s="782"/>
      <c r="C21" s="1319"/>
      <c r="D21" s="1319"/>
      <c r="E21" s="1212"/>
      <c r="F21" s="1212"/>
      <c r="G21" s="1212"/>
    </row>
    <row r="22" spans="1:7" ht="30" customHeight="1">
      <c r="A22" s="1324"/>
      <c r="B22" s="782"/>
      <c r="C22" s="1319"/>
      <c r="D22" s="1319"/>
      <c r="E22" s="1212"/>
      <c r="F22" s="1212"/>
      <c r="G22" s="1212"/>
    </row>
    <row r="23" spans="1:7" ht="30" customHeight="1">
      <c r="A23" s="1325"/>
      <c r="B23" s="783"/>
      <c r="C23" s="1319"/>
      <c r="D23" s="1319"/>
      <c r="E23" s="1212"/>
      <c r="F23" s="1212"/>
      <c r="G23" s="121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92D050"/>
  </sheetPr>
  <dimension ref="A1:DL154"/>
  <sheetViews>
    <sheetView zoomScale="50" zoomScaleNormal="50" workbookViewId="0">
      <pane xSplit="2" ySplit="2" topLeftCell="C75" activePane="bottomRight" state="frozen"/>
      <selection activeCell="C3" sqref="C3"/>
      <selection pane="topRight" activeCell="C3" sqref="C3"/>
      <selection pane="bottomLeft" activeCell="C3" sqref="C3"/>
      <selection pane="bottomRight" activeCell="C73" sqref="C73"/>
    </sheetView>
  </sheetViews>
  <sheetFormatPr defaultRowHeight="20.25"/>
  <cols>
    <col min="1" max="1" width="14" style="839" customWidth="1"/>
    <col min="2" max="2" width="38.42578125" style="936" customWidth="1"/>
    <col min="3" max="3" width="26.7109375" style="840" customWidth="1"/>
    <col min="4" max="4" width="24.28515625" style="812" customWidth="1"/>
    <col min="5" max="5" width="22.5703125" style="1114" customWidth="1"/>
    <col min="6" max="6" width="29" style="1114" customWidth="1"/>
    <col min="7" max="7" width="20.28515625" style="821" customWidth="1"/>
    <col min="8" max="8" width="21.140625" style="821" customWidth="1"/>
    <col min="9" max="9" width="19.140625" style="821" customWidth="1"/>
    <col min="10" max="10" width="16.42578125" style="821" customWidth="1"/>
    <col min="11" max="11" width="19.140625" style="1115" hidden="1" customWidth="1"/>
    <col min="12" max="13" width="14.5703125" style="1115" hidden="1" customWidth="1"/>
    <col min="14" max="14" width="16" style="812" customWidth="1"/>
    <col min="15" max="15" width="18.85546875" style="821" customWidth="1"/>
    <col min="16" max="16" width="20.85546875" style="821" customWidth="1"/>
    <col min="17" max="17" width="27.85546875" style="821" customWidth="1"/>
    <col min="18" max="18" width="14.5703125" style="821" customWidth="1"/>
    <col min="19" max="19" width="15.42578125" style="812" customWidth="1"/>
    <col min="20" max="20" width="14.5703125" style="821" customWidth="1"/>
    <col min="21" max="21" width="14.5703125" style="840" customWidth="1"/>
    <col min="22" max="22" width="14.5703125" style="812" customWidth="1"/>
    <col min="23" max="23" width="23.85546875" style="1079" customWidth="1"/>
    <col min="24" max="24" width="20.5703125" style="1343" customWidth="1"/>
    <col min="25" max="25" width="17.5703125" style="1078" customWidth="1"/>
    <col min="26" max="26" width="18.7109375" style="1078" customWidth="1"/>
    <col min="27" max="27" width="19" style="1078" customWidth="1"/>
    <col min="28" max="28" width="19.7109375" style="1338" customWidth="1"/>
    <col min="29" max="29" width="15.140625" style="1343" customWidth="1"/>
    <col min="30" max="30" width="18.7109375" style="1078" customWidth="1"/>
    <col min="31" max="31" width="20.140625" style="1078" customWidth="1"/>
    <col min="32" max="32" width="17.7109375" style="1078" customWidth="1"/>
    <col min="33" max="33" width="18" style="1078" customWidth="1"/>
    <col min="34" max="34" width="28" style="1078" customWidth="1"/>
    <col min="35" max="35" width="20.42578125" style="1051" customWidth="1"/>
    <col min="36" max="36" width="13.5703125" style="1051" customWidth="1"/>
    <col min="37" max="116" width="9.140625" style="1051"/>
    <col min="117" max="16384" width="9.140625" style="1078"/>
  </cols>
  <sheetData>
    <row r="1" spans="1:116" s="1067" customFormat="1" ht="20.25" customHeight="1">
      <c r="A1" s="1658"/>
      <c r="B1" s="1658"/>
      <c r="C1" s="1059" t="s">
        <v>44</v>
      </c>
      <c r="D1" s="1060" t="s">
        <v>47</v>
      </c>
      <c r="E1" s="1061" t="s">
        <v>51</v>
      </c>
      <c r="F1" s="820" t="s">
        <v>54</v>
      </c>
      <c r="G1" s="820" t="s">
        <v>56</v>
      </c>
      <c r="H1" s="820" t="s">
        <v>58</v>
      </c>
      <c r="I1" s="820" t="s">
        <v>60</v>
      </c>
      <c r="J1" s="820" t="s">
        <v>62</v>
      </c>
      <c r="K1" s="820" t="s">
        <v>64</v>
      </c>
      <c r="L1" s="820" t="s">
        <v>66</v>
      </c>
      <c r="M1" s="820" t="s">
        <v>68</v>
      </c>
      <c r="N1" s="820" t="s">
        <v>70</v>
      </c>
      <c r="O1" s="820" t="s">
        <v>2637</v>
      </c>
      <c r="P1" s="1062" t="s">
        <v>73</v>
      </c>
      <c r="Q1" s="820" t="s">
        <v>76</v>
      </c>
      <c r="R1" s="820" t="s">
        <v>80</v>
      </c>
      <c r="S1" s="820" t="s">
        <v>82</v>
      </c>
      <c r="T1" s="820" t="s">
        <v>84</v>
      </c>
      <c r="U1" s="820" t="s">
        <v>86</v>
      </c>
      <c r="V1" s="820" t="s">
        <v>88</v>
      </c>
      <c r="W1" s="820" t="s">
        <v>1063</v>
      </c>
      <c r="X1" s="1339" t="s">
        <v>93</v>
      </c>
      <c r="Y1" s="1063" t="s">
        <v>97</v>
      </c>
      <c r="Z1" s="1063" t="s">
        <v>106</v>
      </c>
      <c r="AA1" s="1064" t="s">
        <v>107</v>
      </c>
      <c r="AB1" s="1333" t="s">
        <v>112</v>
      </c>
      <c r="AC1" s="1339" t="s">
        <v>122</v>
      </c>
      <c r="AD1" s="985" t="s">
        <v>2638</v>
      </c>
      <c r="AE1" s="1065" t="s">
        <v>129</v>
      </c>
      <c r="AF1" s="1066" t="s">
        <v>130</v>
      </c>
      <c r="AG1" s="1066" t="s">
        <v>2639</v>
      </c>
      <c r="AI1" s="1158"/>
      <c r="AJ1" s="1158"/>
      <c r="AK1" s="1051"/>
      <c r="AL1" s="1158"/>
      <c r="AM1" s="1158"/>
      <c r="AN1" s="1158"/>
      <c r="AO1" s="1158"/>
      <c r="AP1" s="1158"/>
      <c r="AQ1" s="1158"/>
      <c r="AR1" s="1158"/>
      <c r="AS1" s="1158"/>
      <c r="AT1" s="1158"/>
      <c r="AU1" s="1158"/>
      <c r="AV1" s="1158"/>
      <c r="AW1" s="1158"/>
      <c r="AX1" s="1158"/>
      <c r="AY1" s="1158"/>
      <c r="AZ1" s="1158"/>
      <c r="BA1" s="1158"/>
      <c r="BB1" s="1158"/>
      <c r="BC1" s="1158"/>
      <c r="BD1" s="1158"/>
      <c r="BE1" s="1158"/>
      <c r="BF1" s="1158"/>
      <c r="BG1" s="1158"/>
      <c r="BH1" s="1158"/>
      <c r="BI1" s="1158"/>
      <c r="BJ1" s="1158"/>
      <c r="BK1" s="1158"/>
      <c r="BL1" s="1158"/>
      <c r="BM1" s="1158"/>
      <c r="BN1" s="1158"/>
      <c r="BO1" s="1158"/>
      <c r="BP1" s="1158"/>
      <c r="BQ1" s="1158"/>
      <c r="BR1" s="1158"/>
      <c r="BS1" s="1158"/>
      <c r="BT1" s="1158"/>
      <c r="BU1" s="1158"/>
      <c r="BV1" s="1158"/>
      <c r="BW1" s="1158"/>
      <c r="BX1" s="1158"/>
      <c r="BY1" s="1158"/>
      <c r="BZ1" s="1158"/>
      <c r="CA1" s="1158"/>
      <c r="CB1" s="1158"/>
      <c r="CC1" s="1158"/>
      <c r="CD1" s="1158"/>
      <c r="CE1" s="1158"/>
      <c r="CF1" s="1158"/>
      <c r="CG1" s="1158"/>
      <c r="CH1" s="1158"/>
      <c r="CI1" s="1158"/>
      <c r="CJ1" s="1158"/>
      <c r="CK1" s="1158"/>
      <c r="CL1" s="1158"/>
      <c r="CM1" s="1158"/>
      <c r="CN1" s="1158"/>
      <c r="CO1" s="1158"/>
      <c r="CP1" s="1158"/>
      <c r="CQ1" s="1158"/>
      <c r="CR1" s="1158"/>
      <c r="CS1" s="1158"/>
      <c r="CT1" s="1158"/>
      <c r="CU1" s="1158"/>
      <c r="CV1" s="1158"/>
      <c r="CW1" s="1158"/>
      <c r="CX1" s="1158"/>
      <c r="CY1" s="1158"/>
      <c r="CZ1" s="1158"/>
      <c r="DA1" s="1158"/>
      <c r="DB1" s="1158"/>
      <c r="DC1" s="1158"/>
      <c r="DD1" s="1158"/>
      <c r="DE1" s="1158"/>
      <c r="DF1" s="1158"/>
      <c r="DG1" s="1158"/>
      <c r="DH1" s="1158"/>
      <c r="DI1" s="1158"/>
      <c r="DJ1" s="1158"/>
      <c r="DK1" s="1158"/>
      <c r="DL1" s="1158"/>
    </row>
    <row r="2" spans="1:116" s="1073" customFormat="1" ht="138" customHeight="1">
      <c r="A2" s="1658"/>
      <c r="B2" s="1658"/>
      <c r="C2" s="1068" t="s">
        <v>795</v>
      </c>
      <c r="D2" s="1068" t="s">
        <v>48</v>
      </c>
      <c r="E2" s="1069" t="s">
        <v>796</v>
      </c>
      <c r="F2" s="1070" t="s">
        <v>55</v>
      </c>
      <c r="G2" s="1070" t="s">
        <v>57</v>
      </c>
      <c r="H2" s="1070" t="s">
        <v>59</v>
      </c>
      <c r="I2" s="1070" t="s">
        <v>61</v>
      </c>
      <c r="J2" s="1070" t="s">
        <v>63</v>
      </c>
      <c r="K2" s="1070" t="s">
        <v>65</v>
      </c>
      <c r="L2" s="1070" t="s">
        <v>67</v>
      </c>
      <c r="M2" s="1070" t="s">
        <v>69</v>
      </c>
      <c r="N2" s="1070" t="s">
        <v>71</v>
      </c>
      <c r="O2" s="1070" t="s">
        <v>1071</v>
      </c>
      <c r="P2" s="1069" t="s">
        <v>797</v>
      </c>
      <c r="Q2" s="1050" t="s">
        <v>77</v>
      </c>
      <c r="R2" s="1050" t="s">
        <v>79</v>
      </c>
      <c r="S2" s="1050" t="s">
        <v>81</v>
      </c>
      <c r="T2" s="1050" t="s">
        <v>83</v>
      </c>
      <c r="U2" s="1050" t="s">
        <v>85</v>
      </c>
      <c r="V2" s="1050" t="s">
        <v>87</v>
      </c>
      <c r="W2" s="1050" t="s">
        <v>89</v>
      </c>
      <c r="X2" s="1339" t="s">
        <v>94</v>
      </c>
      <c r="Y2" s="985" t="s">
        <v>98</v>
      </c>
      <c r="Z2" s="985" t="s">
        <v>798</v>
      </c>
      <c r="AA2" s="1071" t="s">
        <v>799</v>
      </c>
      <c r="AB2" s="1333" t="s">
        <v>113</v>
      </c>
      <c r="AC2" s="1339" t="s">
        <v>802</v>
      </c>
      <c r="AD2" s="985" t="s">
        <v>2640</v>
      </c>
      <c r="AE2" s="1071" t="s">
        <v>2641</v>
      </c>
      <c r="AF2" s="1066" t="s">
        <v>131</v>
      </c>
      <c r="AG2" s="1066" t="s">
        <v>135</v>
      </c>
      <c r="AH2" s="1072" t="s">
        <v>1211</v>
      </c>
      <c r="AK2" s="1051"/>
    </row>
    <row r="3" spans="1:116" s="1079" customFormat="1" ht="19.5" customHeight="1">
      <c r="A3" s="1074" t="s">
        <v>334</v>
      </c>
      <c r="B3" s="935" t="s">
        <v>339</v>
      </c>
      <c r="C3" s="1075">
        <f>D3</f>
        <v>331179978.9901154</v>
      </c>
      <c r="D3" s="1075">
        <f>D4+D11+D8</f>
        <v>331179978.9901154</v>
      </c>
      <c r="E3" s="1076">
        <f>E4+E8+E11</f>
        <v>231109649.29011542</v>
      </c>
      <c r="F3" s="1077"/>
      <c r="G3" s="1076"/>
      <c r="H3" s="1076"/>
      <c r="I3" s="1076"/>
      <c r="J3" s="1076"/>
      <c r="K3" s="1076"/>
      <c r="L3" s="1076"/>
      <c r="M3" s="1076"/>
      <c r="N3" s="1076"/>
      <c r="O3" s="1076"/>
      <c r="P3" s="1027"/>
      <c r="Q3" s="1027"/>
      <c r="R3" s="1027"/>
      <c r="S3" s="1076"/>
      <c r="T3" s="1076"/>
      <c r="U3" s="1076"/>
      <c r="V3" s="1076"/>
      <c r="W3" s="1076"/>
      <c r="X3" s="1340"/>
      <c r="Y3" s="1029"/>
      <c r="Z3" s="1029"/>
      <c r="AA3" s="1029"/>
      <c r="AB3" s="1334"/>
      <c r="AC3" s="1340"/>
      <c r="AD3" s="1029"/>
      <c r="AE3" s="1029"/>
      <c r="AF3" s="1029">
        <v>308791.41200673999</v>
      </c>
      <c r="AG3" s="1029"/>
      <c r="AH3" s="1049">
        <f>SUM(C3:AG3)</f>
        <v>893778398.6823529</v>
      </c>
      <c r="AI3" s="1051"/>
      <c r="AJ3" s="1051"/>
      <c r="AK3" s="1051"/>
      <c r="AL3" s="1051"/>
      <c r="AM3" s="1051"/>
      <c r="AN3" s="1051"/>
      <c r="AO3" s="1051"/>
      <c r="AP3" s="1051"/>
      <c r="AQ3" s="1051"/>
      <c r="AR3" s="1051"/>
      <c r="AS3" s="1051"/>
      <c r="AT3" s="1051"/>
      <c r="AU3" s="1051"/>
      <c r="AV3" s="1051"/>
      <c r="AW3" s="1051"/>
      <c r="AX3" s="1051"/>
      <c r="AY3" s="1051"/>
      <c r="AZ3" s="1051"/>
      <c r="BA3" s="1051"/>
      <c r="BB3" s="1051"/>
      <c r="BC3" s="1051"/>
      <c r="BD3" s="1051"/>
      <c r="BE3" s="1051"/>
      <c r="BF3" s="1051"/>
      <c r="BG3" s="1051"/>
      <c r="BH3" s="1051"/>
      <c r="BI3" s="1051"/>
      <c r="BJ3" s="1051"/>
      <c r="BK3" s="1051"/>
      <c r="BL3" s="1051"/>
      <c r="BM3" s="1051"/>
      <c r="BN3" s="1051"/>
      <c r="BO3" s="1051"/>
      <c r="BP3" s="1051"/>
      <c r="BQ3" s="1051"/>
      <c r="BR3" s="1051"/>
      <c r="BS3" s="1051"/>
      <c r="BT3" s="1051"/>
      <c r="BU3" s="1051"/>
      <c r="BV3" s="1051"/>
      <c r="BW3" s="1051"/>
      <c r="BX3" s="1051"/>
      <c r="BY3" s="1051"/>
      <c r="BZ3" s="1051"/>
      <c r="CA3" s="1051"/>
      <c r="CB3" s="1051"/>
      <c r="CC3" s="1051"/>
      <c r="CD3" s="1051"/>
      <c r="CE3" s="1051"/>
      <c r="CF3" s="1051"/>
      <c r="CG3" s="1051"/>
      <c r="CH3" s="1051"/>
      <c r="CI3" s="1051"/>
      <c r="CJ3" s="1051"/>
      <c r="CK3" s="1051"/>
      <c r="CL3" s="1051"/>
      <c r="CM3" s="1051"/>
      <c r="CN3" s="1051"/>
      <c r="CO3" s="1051"/>
      <c r="CP3" s="1051"/>
      <c r="CQ3" s="1051"/>
      <c r="CR3" s="1051"/>
      <c r="CS3" s="1051"/>
      <c r="CT3" s="1051"/>
      <c r="CU3" s="1051"/>
      <c r="CV3" s="1051"/>
      <c r="CW3" s="1051"/>
      <c r="CX3" s="1051"/>
      <c r="CY3" s="1051"/>
      <c r="CZ3" s="1051"/>
      <c r="DA3" s="1051"/>
      <c r="DB3" s="1051"/>
      <c r="DC3" s="1051"/>
      <c r="DD3" s="1051"/>
      <c r="DE3" s="1051"/>
      <c r="DF3" s="1051"/>
      <c r="DG3" s="1051"/>
      <c r="DH3" s="1051"/>
      <c r="DI3" s="1051"/>
      <c r="DJ3" s="1051"/>
      <c r="DK3" s="1051"/>
      <c r="DL3" s="1051"/>
    </row>
    <row r="4" spans="1:116" s="840" customFormat="1" ht="27" customHeight="1">
      <c r="A4" s="1080" t="s">
        <v>337</v>
      </c>
      <c r="B4" s="935" t="s">
        <v>339</v>
      </c>
      <c r="C4" s="1081"/>
      <c r="D4" s="1081">
        <f>E4+P4</f>
        <v>171312297.53884125</v>
      </c>
      <c r="E4" s="1082">
        <f>E6+E7+E5</f>
        <v>151376818.19119257</v>
      </c>
      <c r="F4" s="1082">
        <f>F6+F7+F5</f>
        <v>145170821.19119257</v>
      </c>
      <c r="G4" s="1082">
        <f t="shared" ref="G4:O4" si="0">G6+G7+G5</f>
        <v>2206107</v>
      </c>
      <c r="H4" s="1082">
        <f t="shared" si="0"/>
        <v>0</v>
      </c>
      <c r="I4" s="1082">
        <f t="shared" si="0"/>
        <v>3999890</v>
      </c>
      <c r="J4" s="1082">
        <f t="shared" si="0"/>
        <v>0</v>
      </c>
      <c r="K4" s="1082">
        <f t="shared" si="0"/>
        <v>0</v>
      </c>
      <c r="L4" s="1082">
        <f t="shared" si="0"/>
        <v>0</v>
      </c>
      <c r="M4" s="1082">
        <f t="shared" si="0"/>
        <v>0</v>
      </c>
      <c r="N4" s="1082">
        <f t="shared" si="0"/>
        <v>0</v>
      </c>
      <c r="O4" s="1082">
        <f t="shared" si="0"/>
        <v>0</v>
      </c>
      <c r="P4" s="1030">
        <f>P5+P6+P7</f>
        <v>19935479.34764868</v>
      </c>
      <c r="Q4" s="1030">
        <f>Q5+Q6+Q7</f>
        <v>19935479.34764868</v>
      </c>
      <c r="R4" s="1030"/>
      <c r="S4" s="1083"/>
      <c r="T4" s="1083"/>
      <c r="U4" s="1083"/>
      <c r="V4" s="1083"/>
      <c r="W4" s="1083"/>
      <c r="X4" s="1340">
        <f>Y4+Z4</f>
        <v>7616713</v>
      </c>
      <c r="Y4" s="1031"/>
      <c r="Z4" s="1031">
        <f>Z5+Z8+Z11</f>
        <v>7616713</v>
      </c>
      <c r="AA4" s="1031"/>
      <c r="AB4" s="1334"/>
      <c r="AC4" s="1340"/>
      <c r="AD4" s="1031">
        <f>AD5+AF3</f>
        <v>308791.41200673999</v>
      </c>
      <c r="AE4" s="1031"/>
      <c r="AF4" s="1031"/>
      <c r="AG4" s="1031"/>
      <c r="AH4" s="1049">
        <f t="shared" ref="AH4:AH65" si="1">SUM(C4:AG4)</f>
        <v>529479110.02853048</v>
      </c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1"/>
      <c r="DI4" s="1051"/>
      <c r="DJ4" s="1051"/>
      <c r="DK4" s="1051"/>
      <c r="DL4" s="1051"/>
    </row>
    <row r="5" spans="1:116" s="812" customFormat="1" ht="31.5" customHeight="1">
      <c r="A5" s="811" t="s">
        <v>340</v>
      </c>
      <c r="B5" s="935" t="s">
        <v>341</v>
      </c>
      <c r="C5" s="1052"/>
      <c r="D5" s="1081">
        <f>E5+P5</f>
        <v>157316319.04028812</v>
      </c>
      <c r="E5" s="1053">
        <f>F5+G5+H5+I5+J5+N5+O5</f>
        <v>137380839.69263944</v>
      </c>
      <c r="F5" s="1054">
        <f>'036 гобм'!AL6+'036 гобм'!AL7+'036 гобм'!AL8</f>
        <v>131174842.69263944</v>
      </c>
      <c r="G5" s="1053">
        <f>Отчет!J33</f>
        <v>2206107</v>
      </c>
      <c r="H5" s="1053"/>
      <c r="I5" s="1053">
        <f>Отчет!J35</f>
        <v>3999890</v>
      </c>
      <c r="J5" s="1055"/>
      <c r="K5" s="1053"/>
      <c r="L5" s="1053"/>
      <c r="M5" s="1053"/>
      <c r="N5" s="1053"/>
      <c r="O5" s="1053"/>
      <c r="P5" s="1032">
        <f>Q5+R5+S5+T5+U5+V5+W5</f>
        <v>19935479.34764868</v>
      </c>
      <c r="Q5" s="1032">
        <f>Отчет!J37+Отчет!J41+'009'!F6+Отчет!J114</f>
        <v>19935479.34764868</v>
      </c>
      <c r="R5" s="1032"/>
      <c r="S5" s="1053"/>
      <c r="T5" s="1053"/>
      <c r="U5" s="1053"/>
      <c r="V5" s="1053"/>
      <c r="W5" s="1053"/>
      <c r="X5" s="1340"/>
      <c r="Y5" s="841"/>
      <c r="Z5" s="841">
        <f>AA5</f>
        <v>7616713</v>
      </c>
      <c r="AA5" s="841">
        <f>'Соцфин 9.1'!F13</f>
        <v>7616713</v>
      </c>
      <c r="AB5" s="1334"/>
      <c r="AC5" s="1340"/>
      <c r="AD5" s="841">
        <f>'FS-HF2'!T38</f>
        <v>0</v>
      </c>
      <c r="AE5" s="841"/>
      <c r="AF5" s="841"/>
      <c r="AG5" s="841"/>
      <c r="AH5" s="1049">
        <f t="shared" si="1"/>
        <v>487182383.12086439</v>
      </c>
      <c r="AI5" s="1051"/>
      <c r="AJ5" s="1051"/>
      <c r="AK5" s="1051"/>
      <c r="AL5" s="1051"/>
      <c r="AM5" s="1051"/>
      <c r="AN5" s="1051"/>
      <c r="AO5" s="1051"/>
      <c r="AP5" s="1051"/>
      <c r="AQ5" s="1051"/>
      <c r="AR5" s="1051"/>
      <c r="AS5" s="1051"/>
      <c r="AT5" s="1051"/>
      <c r="AU5" s="1051"/>
      <c r="AV5" s="1051"/>
      <c r="AW5" s="1051"/>
      <c r="AX5" s="1051"/>
      <c r="AY5" s="1051"/>
      <c r="AZ5" s="1051"/>
      <c r="BA5" s="1051"/>
      <c r="BB5" s="1051"/>
      <c r="BC5" s="1051"/>
      <c r="BD5" s="1051"/>
      <c r="BE5" s="1051"/>
      <c r="BF5" s="1051"/>
      <c r="BG5" s="1051"/>
      <c r="BH5" s="1051"/>
      <c r="BI5" s="1051"/>
      <c r="BJ5" s="1051"/>
      <c r="BK5" s="1051"/>
      <c r="BL5" s="1051"/>
      <c r="BM5" s="1051"/>
      <c r="BN5" s="1051"/>
      <c r="BO5" s="1051"/>
      <c r="BP5" s="1051"/>
      <c r="BQ5" s="1051"/>
      <c r="BR5" s="1051"/>
      <c r="BS5" s="1051"/>
      <c r="BT5" s="1051"/>
      <c r="BU5" s="1051"/>
      <c r="BV5" s="1051"/>
      <c r="BW5" s="1051"/>
      <c r="BX5" s="1051"/>
      <c r="BY5" s="1051"/>
      <c r="BZ5" s="1051"/>
      <c r="CA5" s="1051"/>
      <c r="CB5" s="1051"/>
      <c r="CC5" s="1051"/>
      <c r="CD5" s="1051"/>
      <c r="CE5" s="1051"/>
      <c r="CF5" s="1051"/>
      <c r="CG5" s="1051"/>
      <c r="CH5" s="1051"/>
      <c r="CI5" s="1051"/>
      <c r="CJ5" s="1051"/>
      <c r="CK5" s="1051"/>
      <c r="CL5" s="1051"/>
      <c r="CM5" s="1051"/>
      <c r="CN5" s="1051"/>
      <c r="CO5" s="1051"/>
      <c r="CP5" s="1051"/>
      <c r="CQ5" s="1051"/>
      <c r="CR5" s="1051"/>
      <c r="CS5" s="1051"/>
      <c r="CT5" s="1051"/>
      <c r="CU5" s="1051"/>
      <c r="CV5" s="1051"/>
      <c r="CW5" s="1051"/>
      <c r="CX5" s="1051"/>
      <c r="CY5" s="1051"/>
      <c r="CZ5" s="1051"/>
      <c r="DA5" s="1051"/>
      <c r="DB5" s="1051"/>
      <c r="DC5" s="1051"/>
      <c r="DD5" s="1051"/>
      <c r="DE5" s="1051"/>
      <c r="DF5" s="1051"/>
      <c r="DG5" s="1051"/>
      <c r="DH5" s="1051"/>
      <c r="DI5" s="1051"/>
      <c r="DJ5" s="1051"/>
      <c r="DK5" s="1051"/>
      <c r="DL5" s="1051"/>
    </row>
    <row r="6" spans="1:116" s="812" customFormat="1" ht="105" customHeight="1">
      <c r="A6" s="811" t="s">
        <v>342</v>
      </c>
      <c r="B6" s="935" t="s">
        <v>343</v>
      </c>
      <c r="C6" s="1052"/>
      <c r="D6" s="1081">
        <f>E6+P6</f>
        <v>11175206.479149818</v>
      </c>
      <c r="E6" s="1053">
        <f>F6+G6+H6+I6+J6+N6+O6</f>
        <v>11175206.479149818</v>
      </c>
      <c r="F6" s="1054">
        <f>'036 гобм'!AM6+'036 гобм'!AM7+'036 гобм'!AM8</f>
        <v>11175206.479149818</v>
      </c>
      <c r="G6" s="1053"/>
      <c r="H6" s="1053"/>
      <c r="I6" s="1053"/>
      <c r="J6" s="1053"/>
      <c r="K6" s="1053"/>
      <c r="L6" s="1053"/>
      <c r="M6" s="1053"/>
      <c r="N6" s="1053"/>
      <c r="O6" s="1053"/>
      <c r="P6" s="1032">
        <f>Q6+R6+S6+T6+U6+V6+W6</f>
        <v>0</v>
      </c>
      <c r="Q6" s="1032"/>
      <c r="R6" s="1032"/>
      <c r="S6" s="1053"/>
      <c r="T6" s="1053"/>
      <c r="U6" s="1053"/>
      <c r="V6" s="1053"/>
      <c r="W6" s="1053"/>
      <c r="X6" s="1340"/>
      <c r="Y6" s="841"/>
      <c r="Z6" s="841"/>
      <c r="AA6" s="841"/>
      <c r="AB6" s="1335"/>
      <c r="AC6" s="1340"/>
      <c r="AD6" s="841"/>
      <c r="AE6" s="841"/>
      <c r="AF6" s="841"/>
      <c r="AG6" s="841"/>
      <c r="AH6" s="1049">
        <f t="shared" si="1"/>
        <v>33525619.437449455</v>
      </c>
      <c r="AI6" s="1051"/>
      <c r="AJ6" s="1051"/>
      <c r="AK6" s="1051"/>
      <c r="AL6" s="1051"/>
      <c r="AM6" s="1051"/>
      <c r="AN6" s="1051"/>
      <c r="AO6" s="1051"/>
      <c r="AP6" s="1051"/>
      <c r="AQ6" s="1051"/>
      <c r="AR6" s="1051"/>
      <c r="AS6" s="1051"/>
      <c r="AT6" s="1051"/>
      <c r="AU6" s="1051"/>
      <c r="AV6" s="1051"/>
      <c r="AW6" s="1051"/>
      <c r="AX6" s="1051"/>
      <c r="AY6" s="1051"/>
      <c r="AZ6" s="1051"/>
      <c r="BA6" s="1051"/>
      <c r="BB6" s="1051"/>
      <c r="BC6" s="1051"/>
      <c r="BD6" s="1051"/>
      <c r="BE6" s="1051"/>
      <c r="BF6" s="1051"/>
      <c r="BG6" s="1051"/>
      <c r="BH6" s="1051"/>
      <c r="BI6" s="1051"/>
      <c r="BJ6" s="1051"/>
      <c r="BK6" s="1051"/>
      <c r="BL6" s="1051"/>
      <c r="BM6" s="1051"/>
      <c r="BN6" s="1051"/>
      <c r="BO6" s="1051"/>
      <c r="BP6" s="1051"/>
      <c r="BQ6" s="1051"/>
      <c r="BR6" s="1051"/>
      <c r="BS6" s="1051"/>
      <c r="BT6" s="1051"/>
      <c r="BU6" s="1051"/>
      <c r="BV6" s="1051"/>
      <c r="BW6" s="1051"/>
      <c r="BX6" s="1051"/>
      <c r="BY6" s="1051"/>
      <c r="BZ6" s="1051"/>
      <c r="CA6" s="1051"/>
      <c r="CB6" s="1051"/>
      <c r="CC6" s="1051"/>
      <c r="CD6" s="1051"/>
      <c r="CE6" s="1051"/>
      <c r="CF6" s="1051"/>
      <c r="CG6" s="1051"/>
      <c r="CH6" s="1051"/>
      <c r="CI6" s="1051"/>
      <c r="CJ6" s="1051"/>
      <c r="CK6" s="1051"/>
      <c r="CL6" s="1051"/>
      <c r="CM6" s="1051"/>
      <c r="CN6" s="1051"/>
      <c r="CO6" s="1051"/>
      <c r="CP6" s="1051"/>
      <c r="CQ6" s="1051"/>
      <c r="CR6" s="1051"/>
      <c r="CS6" s="1051"/>
      <c r="CT6" s="1051"/>
      <c r="CU6" s="1051"/>
      <c r="CV6" s="1051"/>
      <c r="CW6" s="1051"/>
      <c r="CX6" s="1051"/>
      <c r="CY6" s="1051"/>
      <c r="CZ6" s="1051"/>
      <c r="DA6" s="1051"/>
      <c r="DB6" s="1051"/>
      <c r="DC6" s="1051"/>
      <c r="DD6" s="1051"/>
      <c r="DE6" s="1051"/>
      <c r="DF6" s="1051"/>
      <c r="DG6" s="1051"/>
      <c r="DH6" s="1051"/>
      <c r="DI6" s="1051"/>
      <c r="DJ6" s="1051"/>
      <c r="DK6" s="1051"/>
      <c r="DL6" s="1051"/>
    </row>
    <row r="7" spans="1:116" s="812" customFormat="1" ht="81">
      <c r="A7" s="811" t="s">
        <v>344</v>
      </c>
      <c r="B7" s="935" t="s">
        <v>345</v>
      </c>
      <c r="C7" s="1052"/>
      <c r="D7" s="1081">
        <f>E7+P7</f>
        <v>2820772.0194032933</v>
      </c>
      <c r="E7" s="1053">
        <f>F7+G7+H7+I7+J7+N7+O7</f>
        <v>2820772.0194032933</v>
      </c>
      <c r="F7" s="1054">
        <f>'036 гобм'!AN6+'036 гобм'!AN8</f>
        <v>2820772.0194032933</v>
      </c>
      <c r="G7" s="1053"/>
      <c r="H7" s="1053"/>
      <c r="I7" s="1053"/>
      <c r="J7" s="1053"/>
      <c r="K7" s="1053"/>
      <c r="L7" s="1053"/>
      <c r="M7" s="1053"/>
      <c r="N7" s="1053"/>
      <c r="O7" s="1053"/>
      <c r="P7" s="1032">
        <f>Q7+R7+S7+T7+U7+V7+W7</f>
        <v>0</v>
      </c>
      <c r="Q7" s="1032"/>
      <c r="R7" s="1032"/>
      <c r="S7" s="1053"/>
      <c r="T7" s="1053"/>
      <c r="U7" s="1053"/>
      <c r="V7" s="1053"/>
      <c r="W7" s="1053"/>
      <c r="X7" s="1340"/>
      <c r="Y7" s="841"/>
      <c r="Z7" s="841"/>
      <c r="AA7" s="841"/>
      <c r="AB7" s="1334"/>
      <c r="AC7" s="1340"/>
      <c r="AD7" s="841"/>
      <c r="AE7" s="841"/>
      <c r="AF7" s="841"/>
      <c r="AG7" s="841"/>
      <c r="AH7" s="1049">
        <f t="shared" si="1"/>
        <v>8462316.0582098793</v>
      </c>
      <c r="AI7" s="1051"/>
      <c r="AJ7" s="1051"/>
      <c r="AK7" s="1051"/>
      <c r="AL7" s="1051"/>
      <c r="AM7" s="1051"/>
      <c r="AN7" s="1051"/>
      <c r="AO7" s="1051"/>
      <c r="AP7" s="1051"/>
      <c r="AQ7" s="1051"/>
      <c r="AR7" s="1051"/>
      <c r="AS7" s="1051"/>
      <c r="AT7" s="1051"/>
      <c r="AU7" s="1051"/>
      <c r="AV7" s="1051"/>
      <c r="AW7" s="1051"/>
      <c r="AX7" s="1051"/>
      <c r="AY7" s="1051"/>
      <c r="AZ7" s="1051"/>
      <c r="BA7" s="1051"/>
      <c r="BB7" s="1051"/>
      <c r="BC7" s="1051"/>
      <c r="BD7" s="1051"/>
      <c r="BE7" s="1051"/>
      <c r="BF7" s="1051"/>
      <c r="BG7" s="1051"/>
      <c r="BH7" s="1051"/>
      <c r="BI7" s="1051"/>
      <c r="BJ7" s="1051"/>
      <c r="BK7" s="1051"/>
      <c r="BL7" s="1051"/>
      <c r="BM7" s="1051"/>
      <c r="BN7" s="1051"/>
      <c r="BO7" s="1051"/>
      <c r="BP7" s="1051"/>
      <c r="BQ7" s="1051"/>
      <c r="BR7" s="1051"/>
      <c r="BS7" s="1051"/>
      <c r="BT7" s="1051"/>
      <c r="BU7" s="1051"/>
      <c r="BV7" s="1051"/>
      <c r="BW7" s="1051"/>
      <c r="BX7" s="1051"/>
      <c r="BY7" s="1051"/>
      <c r="BZ7" s="1051"/>
      <c r="CA7" s="1051"/>
      <c r="CB7" s="1051"/>
      <c r="CC7" s="1051"/>
      <c r="CD7" s="1051"/>
      <c r="CE7" s="1051"/>
      <c r="CF7" s="1051"/>
      <c r="CG7" s="1051"/>
      <c r="CH7" s="1051"/>
      <c r="CI7" s="1051"/>
      <c r="CJ7" s="1051"/>
      <c r="CK7" s="1051"/>
      <c r="CL7" s="1051"/>
      <c r="CM7" s="1051"/>
      <c r="CN7" s="1051"/>
      <c r="CO7" s="1051"/>
      <c r="CP7" s="1051"/>
      <c r="CQ7" s="1051"/>
      <c r="CR7" s="1051"/>
      <c r="CS7" s="1051"/>
      <c r="CT7" s="1051"/>
      <c r="CU7" s="1051"/>
      <c r="CV7" s="1051"/>
      <c r="CW7" s="1051"/>
      <c r="CX7" s="1051"/>
      <c r="CY7" s="1051"/>
      <c r="CZ7" s="1051"/>
      <c r="DA7" s="1051"/>
      <c r="DB7" s="1051"/>
      <c r="DC7" s="1051"/>
      <c r="DD7" s="1051"/>
      <c r="DE7" s="1051"/>
      <c r="DF7" s="1051"/>
      <c r="DG7" s="1051"/>
      <c r="DH7" s="1051"/>
      <c r="DI7" s="1051"/>
      <c r="DJ7" s="1051"/>
      <c r="DK7" s="1051"/>
      <c r="DL7" s="1051"/>
    </row>
    <row r="8" spans="1:116" s="840" customFormat="1" ht="81">
      <c r="A8" s="1080" t="s">
        <v>346</v>
      </c>
      <c r="B8" s="935" t="s">
        <v>348</v>
      </c>
      <c r="C8" s="1081"/>
      <c r="D8" s="1081">
        <f>E8+P8</f>
        <v>16742686.853129506</v>
      </c>
      <c r="E8" s="1053">
        <f>F8+G8+H8+I8+J8+N8+O8</f>
        <v>957313</v>
      </c>
      <c r="F8" s="1084">
        <f>Дэф!C3</f>
        <v>957313</v>
      </c>
      <c r="G8" s="1083"/>
      <c r="H8" s="1083"/>
      <c r="I8" s="1083"/>
      <c r="J8" s="1083"/>
      <c r="K8" s="1083"/>
      <c r="L8" s="1083"/>
      <c r="M8" s="1083"/>
      <c r="N8" s="1083"/>
      <c r="O8" s="1083"/>
      <c r="P8" s="1032">
        <f>Q8+R8+S8+T8+U8+V8+W8</f>
        <v>15785373.853129506</v>
      </c>
      <c r="Q8" s="1084">
        <f>'009'!F8+'009'!F5</f>
        <v>15785373.853129506</v>
      </c>
      <c r="R8" s="1030"/>
      <c r="S8" s="1083"/>
      <c r="T8" s="1083"/>
      <c r="U8" s="1083"/>
      <c r="V8" s="1083"/>
      <c r="W8" s="1083"/>
      <c r="X8" s="1340"/>
      <c r="Y8" s="1031"/>
      <c r="Z8" s="1031"/>
      <c r="AA8" s="1031"/>
      <c r="AB8" s="1334"/>
      <c r="AC8" s="1340"/>
      <c r="AD8" s="1031"/>
      <c r="AE8" s="1031"/>
      <c r="AF8" s="1031"/>
      <c r="AG8" s="1031"/>
      <c r="AH8" s="1049">
        <f t="shared" si="1"/>
        <v>50228060.559388518</v>
      </c>
      <c r="AI8" s="1051"/>
      <c r="AJ8" s="1051"/>
      <c r="AK8" s="1051"/>
      <c r="AL8" s="1051"/>
      <c r="AM8" s="1051"/>
      <c r="AN8" s="1051"/>
      <c r="AO8" s="1051"/>
      <c r="AP8" s="1051"/>
      <c r="AQ8" s="1051"/>
      <c r="AR8" s="1051"/>
      <c r="AS8" s="1051"/>
      <c r="AT8" s="1051"/>
      <c r="AU8" s="1051"/>
      <c r="AV8" s="1051"/>
      <c r="AW8" s="1051"/>
      <c r="AX8" s="1051"/>
      <c r="AY8" s="1051"/>
      <c r="AZ8" s="1051"/>
      <c r="BA8" s="1051"/>
      <c r="BB8" s="1051"/>
      <c r="BC8" s="1051"/>
      <c r="BD8" s="1051"/>
      <c r="BE8" s="1051"/>
      <c r="BF8" s="1051"/>
      <c r="BG8" s="1051"/>
      <c r="BH8" s="1051"/>
      <c r="BI8" s="1051"/>
      <c r="BJ8" s="1051"/>
      <c r="BK8" s="1051"/>
      <c r="BL8" s="1051"/>
      <c r="BM8" s="1051"/>
      <c r="BN8" s="1051"/>
      <c r="BO8" s="1051"/>
      <c r="BP8" s="1051"/>
      <c r="BQ8" s="1051"/>
      <c r="BR8" s="1051"/>
      <c r="BS8" s="1051"/>
      <c r="BT8" s="1051"/>
      <c r="BU8" s="1051"/>
      <c r="BV8" s="1051"/>
      <c r="BW8" s="1051"/>
      <c r="BX8" s="1051"/>
      <c r="BY8" s="1051"/>
      <c r="BZ8" s="1051"/>
      <c r="CA8" s="1051"/>
      <c r="CB8" s="1051"/>
      <c r="CC8" s="1051"/>
      <c r="CD8" s="1051"/>
      <c r="CE8" s="1051"/>
      <c r="CF8" s="1051"/>
      <c r="CG8" s="1051"/>
      <c r="CH8" s="1051"/>
      <c r="CI8" s="1051"/>
      <c r="CJ8" s="1051"/>
      <c r="CK8" s="1051"/>
      <c r="CL8" s="1051"/>
      <c r="CM8" s="1051"/>
      <c r="CN8" s="1051"/>
      <c r="CO8" s="1051"/>
      <c r="CP8" s="1051"/>
      <c r="CQ8" s="1051"/>
      <c r="CR8" s="1051"/>
      <c r="CS8" s="1051"/>
      <c r="CT8" s="1051"/>
      <c r="CU8" s="1051"/>
      <c r="CV8" s="1051"/>
      <c r="CW8" s="1051"/>
      <c r="CX8" s="1051"/>
      <c r="CY8" s="1051"/>
      <c r="CZ8" s="1051"/>
      <c r="DA8" s="1051"/>
      <c r="DB8" s="1051"/>
      <c r="DC8" s="1051"/>
      <c r="DD8" s="1051"/>
      <c r="DE8" s="1051"/>
      <c r="DF8" s="1051"/>
      <c r="DG8" s="1051"/>
      <c r="DH8" s="1051"/>
      <c r="DI8" s="1051"/>
      <c r="DJ8" s="1051"/>
      <c r="DK8" s="1051"/>
      <c r="DL8" s="1051"/>
    </row>
    <row r="9" spans="1:116" s="812" customFormat="1" ht="40.5">
      <c r="A9" s="811" t="s">
        <v>349</v>
      </c>
      <c r="B9" s="935" t="s">
        <v>350</v>
      </c>
      <c r="C9" s="1055"/>
      <c r="D9" s="1081">
        <f t="shared" ref="D9:D23" si="2">E9+P9</f>
        <v>0</v>
      </c>
      <c r="E9" s="1053">
        <f t="shared" ref="E9:E23" si="3">F9+G9+H9+I9+J9+N9+O9</f>
        <v>0</v>
      </c>
      <c r="F9" s="1054"/>
      <c r="G9" s="1053"/>
      <c r="H9" s="1053"/>
      <c r="I9" s="1053"/>
      <c r="J9" s="1053"/>
      <c r="K9" s="1053"/>
      <c r="L9" s="1053"/>
      <c r="M9" s="1053"/>
      <c r="N9" s="1053"/>
      <c r="O9" s="1053"/>
      <c r="P9" s="1032">
        <f t="shared" ref="P9:P23" si="4">Q9+R9+S9+T9+U9+V9+W9</f>
        <v>0</v>
      </c>
      <c r="Q9" s="1032"/>
      <c r="R9" s="1032"/>
      <c r="S9" s="1053"/>
      <c r="T9" s="1085"/>
      <c r="U9" s="1053"/>
      <c r="V9" s="1053"/>
      <c r="W9" s="1053"/>
      <c r="X9" s="1340"/>
      <c r="Y9" s="841"/>
      <c r="Z9" s="841"/>
      <c r="AA9" s="841"/>
      <c r="AB9" s="1334"/>
      <c r="AC9" s="1340"/>
      <c r="AD9" s="841"/>
      <c r="AE9" s="841"/>
      <c r="AF9" s="841"/>
      <c r="AG9" s="841"/>
      <c r="AH9" s="1049">
        <f t="shared" si="1"/>
        <v>0</v>
      </c>
      <c r="AI9" s="1051"/>
      <c r="AJ9" s="1051"/>
      <c r="AK9" s="1051"/>
      <c r="AL9" s="1051"/>
      <c r="AM9" s="1051"/>
      <c r="AN9" s="1051"/>
      <c r="AO9" s="1051"/>
      <c r="AP9" s="1051"/>
      <c r="AQ9" s="1051"/>
      <c r="AR9" s="1051"/>
      <c r="AS9" s="1051"/>
      <c r="AT9" s="1051"/>
      <c r="AU9" s="1051"/>
      <c r="AV9" s="1051"/>
      <c r="AW9" s="1051"/>
      <c r="AX9" s="1051"/>
      <c r="AY9" s="1051"/>
      <c r="AZ9" s="1051"/>
      <c r="BA9" s="1051"/>
      <c r="BB9" s="1051"/>
      <c r="BC9" s="1051"/>
      <c r="BD9" s="1051"/>
      <c r="BE9" s="1051"/>
      <c r="BF9" s="1051"/>
      <c r="BG9" s="1051"/>
      <c r="BH9" s="1051"/>
      <c r="BI9" s="1051"/>
      <c r="BJ9" s="1051"/>
      <c r="BK9" s="1051"/>
      <c r="BL9" s="1051"/>
      <c r="BM9" s="1051"/>
      <c r="BN9" s="1051"/>
      <c r="BO9" s="1051"/>
      <c r="BP9" s="1051"/>
      <c r="BQ9" s="1051"/>
      <c r="BR9" s="1051"/>
      <c r="BS9" s="1051"/>
      <c r="BT9" s="1051"/>
      <c r="BU9" s="1051"/>
      <c r="BV9" s="1051"/>
      <c r="BW9" s="1051"/>
      <c r="BX9" s="1051"/>
      <c r="BY9" s="1051"/>
      <c r="BZ9" s="1051"/>
      <c r="CA9" s="1051"/>
      <c r="CB9" s="1051"/>
      <c r="CC9" s="1051"/>
      <c r="CD9" s="1051"/>
      <c r="CE9" s="1051"/>
      <c r="CF9" s="1051"/>
      <c r="CG9" s="1051"/>
      <c r="CH9" s="1051"/>
      <c r="CI9" s="1051"/>
      <c r="CJ9" s="1051"/>
      <c r="CK9" s="1051"/>
      <c r="CL9" s="1051"/>
      <c r="CM9" s="1051"/>
      <c r="CN9" s="1051"/>
      <c r="CO9" s="1051"/>
      <c r="CP9" s="1051"/>
      <c r="CQ9" s="1051"/>
      <c r="CR9" s="1051"/>
      <c r="CS9" s="1051"/>
      <c r="CT9" s="1051"/>
      <c r="CU9" s="1051"/>
      <c r="CV9" s="1051"/>
      <c r="CW9" s="1051"/>
      <c r="CX9" s="1051"/>
      <c r="CY9" s="1051"/>
      <c r="CZ9" s="1051"/>
      <c r="DA9" s="1051"/>
      <c r="DB9" s="1051"/>
      <c r="DC9" s="1051"/>
      <c r="DD9" s="1051"/>
      <c r="DE9" s="1051"/>
      <c r="DF9" s="1051"/>
      <c r="DG9" s="1051"/>
      <c r="DH9" s="1051"/>
      <c r="DI9" s="1051"/>
      <c r="DJ9" s="1051"/>
      <c r="DK9" s="1051"/>
      <c r="DL9" s="1051"/>
    </row>
    <row r="10" spans="1:116" s="812" customFormat="1" ht="60.75">
      <c r="A10" s="811" t="s">
        <v>351</v>
      </c>
      <c r="B10" s="935" t="s">
        <v>352</v>
      </c>
      <c r="C10" s="1052"/>
      <c r="D10" s="1081">
        <f t="shared" si="2"/>
        <v>0</v>
      </c>
      <c r="E10" s="1053">
        <f t="shared" si="3"/>
        <v>0</v>
      </c>
      <c r="F10" s="1054"/>
      <c r="G10" s="1053"/>
      <c r="H10" s="1053"/>
      <c r="I10" s="1053"/>
      <c r="J10" s="1053"/>
      <c r="K10" s="1053"/>
      <c r="L10" s="1053"/>
      <c r="M10" s="1053"/>
      <c r="N10" s="1053"/>
      <c r="O10" s="1053"/>
      <c r="P10" s="1032">
        <f t="shared" si="4"/>
        <v>0</v>
      </c>
      <c r="Q10" s="1032"/>
      <c r="R10" s="1032"/>
      <c r="S10" s="1053"/>
      <c r="T10" s="1085"/>
      <c r="U10" s="1053"/>
      <c r="V10" s="1053"/>
      <c r="W10" s="1053"/>
      <c r="X10" s="1340"/>
      <c r="Y10" s="841"/>
      <c r="Z10" s="841"/>
      <c r="AA10" s="841"/>
      <c r="AB10" s="1334"/>
      <c r="AC10" s="1340"/>
      <c r="AD10" s="841"/>
      <c r="AE10" s="841"/>
      <c r="AF10" s="841"/>
      <c r="AG10" s="841"/>
      <c r="AH10" s="1049">
        <f t="shared" si="1"/>
        <v>0</v>
      </c>
      <c r="AI10" s="1051"/>
      <c r="AJ10" s="1051"/>
      <c r="AK10" s="1051"/>
      <c r="AL10" s="1051"/>
      <c r="AM10" s="1051"/>
      <c r="AN10" s="1051"/>
      <c r="AO10" s="1051"/>
      <c r="AP10" s="1051"/>
      <c r="AQ10" s="1051"/>
      <c r="AR10" s="1051"/>
      <c r="AS10" s="1051"/>
      <c r="AT10" s="1051"/>
      <c r="AU10" s="1051"/>
      <c r="AV10" s="1051"/>
      <c r="AW10" s="1051"/>
      <c r="AX10" s="1051"/>
      <c r="AY10" s="1051"/>
      <c r="AZ10" s="1051"/>
      <c r="BA10" s="1051"/>
      <c r="BB10" s="1051"/>
      <c r="BC10" s="1051"/>
      <c r="BD10" s="1051"/>
      <c r="BE10" s="1051"/>
      <c r="BF10" s="1051"/>
      <c r="BG10" s="1051"/>
      <c r="BH10" s="1051"/>
      <c r="BI10" s="1051"/>
      <c r="BJ10" s="1051"/>
      <c r="BK10" s="1051"/>
      <c r="BL10" s="1051"/>
      <c r="BM10" s="1051"/>
      <c r="BN10" s="1051"/>
      <c r="BO10" s="1051"/>
      <c r="BP10" s="1051"/>
      <c r="BQ10" s="1051"/>
      <c r="BR10" s="1051"/>
      <c r="BS10" s="1051"/>
      <c r="BT10" s="1051"/>
      <c r="BU10" s="1051"/>
      <c r="BV10" s="1051"/>
      <c r="BW10" s="1051"/>
      <c r="BX10" s="1051"/>
      <c r="BY10" s="1051"/>
      <c r="BZ10" s="1051"/>
      <c r="CA10" s="1051"/>
      <c r="CB10" s="1051"/>
      <c r="CC10" s="1051"/>
      <c r="CD10" s="1051"/>
      <c r="CE10" s="1051"/>
      <c r="CF10" s="1051"/>
      <c r="CG10" s="1051"/>
      <c r="CH10" s="1051"/>
      <c r="CI10" s="1051"/>
      <c r="CJ10" s="1051"/>
      <c r="CK10" s="1051"/>
      <c r="CL10" s="1051"/>
      <c r="CM10" s="1051"/>
      <c r="CN10" s="1051"/>
      <c r="CO10" s="1051"/>
      <c r="CP10" s="1051"/>
      <c r="CQ10" s="1051"/>
      <c r="CR10" s="1051"/>
      <c r="CS10" s="1051"/>
      <c r="CT10" s="1051"/>
      <c r="CU10" s="1051"/>
      <c r="CV10" s="1051"/>
      <c r="CW10" s="1051"/>
      <c r="CX10" s="1051"/>
      <c r="CY10" s="1051"/>
      <c r="CZ10" s="1051"/>
      <c r="DA10" s="1051"/>
      <c r="DB10" s="1051"/>
      <c r="DC10" s="1051"/>
      <c r="DD10" s="1051"/>
      <c r="DE10" s="1051"/>
      <c r="DF10" s="1051"/>
      <c r="DG10" s="1051"/>
      <c r="DH10" s="1051"/>
      <c r="DI10" s="1051"/>
      <c r="DJ10" s="1051"/>
      <c r="DK10" s="1051"/>
      <c r="DL10" s="1051"/>
    </row>
    <row r="11" spans="1:116" s="840" customFormat="1" ht="121.5">
      <c r="A11" s="1080" t="s">
        <v>353</v>
      </c>
      <c r="B11" s="935" t="s">
        <v>354</v>
      </c>
      <c r="C11" s="1081"/>
      <c r="D11" s="1081">
        <f>E11+P11</f>
        <v>143124994.59814468</v>
      </c>
      <c r="E11" s="1053">
        <f>F11+E12+E13+E14+E15+E16+E17+E18+E19+E20+E21+E22+E23</f>
        <v>78775518.098922849</v>
      </c>
      <c r="F11" s="1082">
        <f>'036 гобм'!AR6+'036 гобм'!AT6+'036 гобм'!AX6+'036 гобм'!BB6+'036 гобм'!AR7+'036 гобм'!AX7+'036 гобм'!BB7+'036 гобм'!AR8+'036 гобм'!AT8+'036 гобм'!AX8+'036 гобм'!BB8</f>
        <v>47614792.57174518</v>
      </c>
      <c r="G11" s="1083"/>
      <c r="H11" s="1083"/>
      <c r="I11" s="1083"/>
      <c r="J11" s="1083"/>
      <c r="K11" s="1083"/>
      <c r="L11" s="1083"/>
      <c r="M11" s="1083"/>
      <c r="N11" s="1083"/>
      <c r="O11" s="1083"/>
      <c r="P11" s="1032">
        <f>P12+P13+P14+P15+P16+P17+P18+P19+P20+P21+P22+P23</f>
        <v>64349476.499221824</v>
      </c>
      <c r="Q11" s="1030"/>
      <c r="R11" s="1030"/>
      <c r="S11" s="1083"/>
      <c r="T11" s="1083"/>
      <c r="U11" s="1083"/>
      <c r="V11" s="1083"/>
      <c r="W11" s="1083"/>
      <c r="X11" s="1340"/>
      <c r="Y11" s="1031"/>
      <c r="Z11" s="1031"/>
      <c r="AA11" s="1031"/>
      <c r="AB11" s="1334"/>
      <c r="AC11" s="1340"/>
      <c r="AD11" s="1031"/>
      <c r="AE11" s="1031"/>
      <c r="AF11" s="1031"/>
      <c r="AG11" s="1031"/>
      <c r="AH11" s="1049">
        <f t="shared" si="1"/>
        <v>333864781.76803452</v>
      </c>
      <c r="AI11" s="1051"/>
      <c r="AJ11" s="1051"/>
      <c r="AK11" s="1051"/>
      <c r="AL11" s="1051"/>
      <c r="AM11" s="1051"/>
      <c r="AN11" s="1051"/>
      <c r="AO11" s="1051"/>
      <c r="AP11" s="1051"/>
      <c r="AQ11" s="1051"/>
      <c r="AR11" s="1051"/>
      <c r="AS11" s="1051"/>
      <c r="AT11" s="1051"/>
      <c r="AU11" s="1051"/>
      <c r="AV11" s="1051"/>
      <c r="AW11" s="1051"/>
      <c r="AX11" s="1051"/>
      <c r="AY11" s="1051"/>
      <c r="AZ11" s="1051"/>
      <c r="BA11" s="1051"/>
      <c r="BB11" s="1051"/>
      <c r="BC11" s="1051"/>
      <c r="BD11" s="1051"/>
      <c r="BE11" s="1051"/>
      <c r="BF11" s="1051"/>
      <c r="BG11" s="1051"/>
      <c r="BH11" s="1051"/>
      <c r="BI11" s="1051"/>
      <c r="BJ11" s="1051"/>
      <c r="BK11" s="1051"/>
      <c r="BL11" s="1051"/>
      <c r="BM11" s="1051"/>
      <c r="BN11" s="1051"/>
      <c r="BO11" s="1051"/>
      <c r="BP11" s="1051"/>
      <c r="BQ11" s="1051"/>
      <c r="BR11" s="1051"/>
      <c r="BS11" s="1051"/>
      <c r="BT11" s="1051"/>
      <c r="BU11" s="1051"/>
      <c r="BV11" s="1051"/>
      <c r="BW11" s="1051"/>
      <c r="BX11" s="1051"/>
      <c r="BY11" s="1051"/>
      <c r="BZ11" s="1051"/>
      <c r="CA11" s="1051"/>
      <c r="CB11" s="1051"/>
      <c r="CC11" s="1051"/>
      <c r="CD11" s="1051"/>
      <c r="CE11" s="1051"/>
      <c r="CF11" s="1051"/>
      <c r="CG11" s="1051"/>
      <c r="CH11" s="1051"/>
      <c r="CI11" s="1051"/>
      <c r="CJ11" s="1051"/>
      <c r="CK11" s="1051"/>
      <c r="CL11" s="1051"/>
      <c r="CM11" s="1051"/>
      <c r="CN11" s="1051"/>
      <c r="CO11" s="1051"/>
      <c r="CP11" s="1051"/>
      <c r="CQ11" s="1051"/>
      <c r="CR11" s="1051"/>
      <c r="CS11" s="1051"/>
      <c r="CT11" s="1051"/>
      <c r="CU11" s="1051"/>
      <c r="CV11" s="1051"/>
      <c r="CW11" s="1051"/>
      <c r="CX11" s="1051"/>
      <c r="CY11" s="1051"/>
      <c r="CZ11" s="1051"/>
      <c r="DA11" s="1051"/>
      <c r="DB11" s="1051"/>
      <c r="DC11" s="1051"/>
      <c r="DD11" s="1051"/>
      <c r="DE11" s="1051"/>
      <c r="DF11" s="1051"/>
      <c r="DG11" s="1051"/>
      <c r="DH11" s="1051"/>
      <c r="DI11" s="1051"/>
      <c r="DJ11" s="1051"/>
      <c r="DK11" s="1051"/>
      <c r="DL11" s="1051"/>
    </row>
    <row r="12" spans="1:116" s="812" customFormat="1">
      <c r="A12" s="1086" t="s">
        <v>355</v>
      </c>
      <c r="B12" s="1087" t="s">
        <v>356</v>
      </c>
      <c r="C12" s="1052"/>
      <c r="D12" s="1081">
        <f>E12+P12</f>
        <v>7522932.61442619</v>
      </c>
      <c r="E12" s="1053">
        <f t="shared" si="3"/>
        <v>0</v>
      </c>
      <c r="F12" s="1054"/>
      <c r="G12" s="1053"/>
      <c r="H12" s="1053"/>
      <c r="I12" s="1053"/>
      <c r="J12" s="1053"/>
      <c r="K12" s="1053"/>
      <c r="L12" s="1053"/>
      <c r="M12" s="1053"/>
      <c r="N12" s="1053"/>
      <c r="O12" s="1053"/>
      <c r="P12" s="1032">
        <f t="shared" si="4"/>
        <v>7522932.61442619</v>
      </c>
      <c r="Q12" s="1032">
        <f>'009'!F4</f>
        <v>7522932.61442619</v>
      </c>
      <c r="R12" s="1032"/>
      <c r="S12" s="1053"/>
      <c r="T12" s="1054"/>
      <c r="U12" s="1053"/>
      <c r="V12" s="1053"/>
      <c r="W12" s="1053"/>
      <c r="X12" s="1340"/>
      <c r="Y12" s="841"/>
      <c r="Z12" s="841"/>
      <c r="AA12" s="841"/>
      <c r="AB12" s="1334"/>
      <c r="AC12" s="1340"/>
      <c r="AD12" s="841"/>
      <c r="AE12" s="841"/>
      <c r="AF12" s="841"/>
      <c r="AG12" s="841"/>
      <c r="AH12" s="1049">
        <f t="shared" si="1"/>
        <v>22568797.843278572</v>
      </c>
      <c r="AI12" s="1051"/>
      <c r="AJ12" s="1051"/>
      <c r="AK12" s="1051"/>
      <c r="AL12" s="1051"/>
      <c r="AM12" s="1051"/>
      <c r="AN12" s="1051"/>
      <c r="AO12" s="1051"/>
      <c r="AP12" s="1051"/>
      <c r="AQ12" s="1051"/>
      <c r="AR12" s="1051"/>
      <c r="AS12" s="1051"/>
      <c r="AT12" s="1051"/>
      <c r="AU12" s="1051"/>
      <c r="AV12" s="1051"/>
      <c r="AW12" s="1051"/>
      <c r="AX12" s="1051"/>
      <c r="AY12" s="1051"/>
      <c r="AZ12" s="1051"/>
      <c r="BA12" s="1051"/>
      <c r="BB12" s="1051"/>
      <c r="BC12" s="1051"/>
      <c r="BD12" s="1051"/>
      <c r="BE12" s="1051"/>
      <c r="BF12" s="1051"/>
      <c r="BG12" s="1051"/>
      <c r="BH12" s="1051"/>
      <c r="BI12" s="1051"/>
      <c r="BJ12" s="1051"/>
      <c r="BK12" s="1051"/>
      <c r="BL12" s="1051"/>
      <c r="BM12" s="1051"/>
      <c r="BN12" s="1051"/>
      <c r="BO12" s="1051"/>
      <c r="BP12" s="1051"/>
      <c r="BQ12" s="1051"/>
      <c r="BR12" s="1051"/>
      <c r="BS12" s="1051"/>
      <c r="BT12" s="1051"/>
      <c r="BU12" s="1051"/>
      <c r="BV12" s="1051"/>
      <c r="BW12" s="1051"/>
      <c r="BX12" s="1051"/>
      <c r="BY12" s="1051"/>
      <c r="BZ12" s="1051"/>
      <c r="CA12" s="1051"/>
      <c r="CB12" s="1051"/>
      <c r="CC12" s="1051"/>
      <c r="CD12" s="1051"/>
      <c r="CE12" s="1051"/>
      <c r="CF12" s="1051"/>
      <c r="CG12" s="1051"/>
      <c r="CH12" s="1051"/>
      <c r="CI12" s="1051"/>
      <c r="CJ12" s="1051"/>
      <c r="CK12" s="1051"/>
      <c r="CL12" s="1051"/>
      <c r="CM12" s="1051"/>
      <c r="CN12" s="1051"/>
      <c r="CO12" s="1051"/>
      <c r="CP12" s="1051"/>
      <c r="CQ12" s="1051"/>
      <c r="CR12" s="1051"/>
      <c r="CS12" s="1051"/>
      <c r="CT12" s="1051"/>
      <c r="CU12" s="1051"/>
      <c r="CV12" s="1051"/>
      <c r="CW12" s="1051"/>
      <c r="CX12" s="1051"/>
      <c r="CY12" s="1051"/>
      <c r="CZ12" s="1051"/>
      <c r="DA12" s="1051"/>
      <c r="DB12" s="1051"/>
      <c r="DC12" s="1051"/>
      <c r="DD12" s="1051"/>
      <c r="DE12" s="1051"/>
      <c r="DF12" s="1051"/>
      <c r="DG12" s="1051"/>
      <c r="DH12" s="1051"/>
      <c r="DI12" s="1051"/>
      <c r="DJ12" s="1051"/>
      <c r="DK12" s="1051"/>
      <c r="DL12" s="1051"/>
    </row>
    <row r="13" spans="1:116" s="812" customFormat="1" ht="40.5">
      <c r="A13" s="1086" t="s">
        <v>357</v>
      </c>
      <c r="B13" s="1087" t="s">
        <v>358</v>
      </c>
      <c r="C13" s="1052"/>
      <c r="D13" s="1081">
        <f t="shared" si="2"/>
        <v>0</v>
      </c>
      <c r="E13" s="1053">
        <f t="shared" si="3"/>
        <v>0</v>
      </c>
      <c r="F13" s="1054"/>
      <c r="G13" s="1053"/>
      <c r="H13" s="1053"/>
      <c r="I13" s="1053"/>
      <c r="J13" s="1053"/>
      <c r="K13" s="1053"/>
      <c r="L13" s="1053"/>
      <c r="M13" s="1053"/>
      <c r="N13" s="1053"/>
      <c r="O13" s="1053"/>
      <c r="P13" s="1032">
        <f t="shared" si="4"/>
        <v>0</v>
      </c>
      <c r="Q13" s="1032"/>
      <c r="R13" s="1032"/>
      <c r="S13" s="1053"/>
      <c r="T13" s="1053"/>
      <c r="U13" s="1053"/>
      <c r="V13" s="1053"/>
      <c r="W13" s="1053"/>
      <c r="X13" s="1340"/>
      <c r="Y13" s="841"/>
      <c r="Z13" s="841"/>
      <c r="AA13" s="841"/>
      <c r="AB13" s="1334"/>
      <c r="AC13" s="1340"/>
      <c r="AD13" s="841"/>
      <c r="AE13" s="841"/>
      <c r="AF13" s="841"/>
      <c r="AG13" s="841"/>
      <c r="AH13" s="1049">
        <f t="shared" si="1"/>
        <v>0</v>
      </c>
      <c r="AI13" s="1051"/>
      <c r="AJ13" s="1051"/>
      <c r="AK13" s="1051"/>
      <c r="AL13" s="1051"/>
      <c r="AM13" s="1051"/>
      <c r="AN13" s="1051"/>
      <c r="AO13" s="1051"/>
      <c r="AP13" s="1051"/>
      <c r="AQ13" s="1051"/>
      <c r="AR13" s="1051"/>
      <c r="AS13" s="1051"/>
      <c r="AT13" s="1051"/>
      <c r="AU13" s="1051"/>
      <c r="AV13" s="1051"/>
      <c r="AW13" s="1051"/>
      <c r="AX13" s="1051"/>
      <c r="AY13" s="1051"/>
      <c r="AZ13" s="1051"/>
      <c r="BA13" s="1051"/>
      <c r="BB13" s="1051"/>
      <c r="BC13" s="1051"/>
      <c r="BD13" s="1051"/>
      <c r="BE13" s="1051"/>
      <c r="BF13" s="1051"/>
      <c r="BG13" s="1051"/>
      <c r="BH13" s="1051"/>
      <c r="BI13" s="1051"/>
      <c r="BJ13" s="1051"/>
      <c r="BK13" s="1051"/>
      <c r="BL13" s="1051"/>
      <c r="BM13" s="1051"/>
      <c r="BN13" s="1051"/>
      <c r="BO13" s="1051"/>
      <c r="BP13" s="1051"/>
      <c r="BQ13" s="1051"/>
      <c r="BR13" s="1051"/>
      <c r="BS13" s="1051"/>
      <c r="BT13" s="1051"/>
      <c r="BU13" s="1051"/>
      <c r="BV13" s="1051"/>
      <c r="BW13" s="1051"/>
      <c r="BX13" s="1051"/>
      <c r="BY13" s="1051"/>
      <c r="BZ13" s="1051"/>
      <c r="CA13" s="1051"/>
      <c r="CB13" s="1051"/>
      <c r="CC13" s="1051"/>
      <c r="CD13" s="1051"/>
      <c r="CE13" s="1051"/>
      <c r="CF13" s="1051"/>
      <c r="CG13" s="1051"/>
      <c r="CH13" s="1051"/>
      <c r="CI13" s="1051"/>
      <c r="CJ13" s="1051"/>
      <c r="CK13" s="1051"/>
      <c r="CL13" s="1051"/>
      <c r="CM13" s="1051"/>
      <c r="CN13" s="1051"/>
      <c r="CO13" s="1051"/>
      <c r="CP13" s="1051"/>
      <c r="CQ13" s="1051"/>
      <c r="CR13" s="1051"/>
      <c r="CS13" s="1051"/>
      <c r="CT13" s="1051"/>
      <c r="CU13" s="1051"/>
      <c r="CV13" s="1051"/>
      <c r="CW13" s="1051"/>
      <c r="CX13" s="1051"/>
      <c r="CY13" s="1051"/>
      <c r="CZ13" s="1051"/>
      <c r="DA13" s="1051"/>
      <c r="DB13" s="1051"/>
      <c r="DC13" s="1051"/>
      <c r="DD13" s="1051"/>
      <c r="DE13" s="1051"/>
      <c r="DF13" s="1051"/>
      <c r="DG13" s="1051"/>
      <c r="DH13" s="1051"/>
      <c r="DI13" s="1051"/>
      <c r="DJ13" s="1051"/>
      <c r="DK13" s="1051"/>
      <c r="DL13" s="1051"/>
    </row>
    <row r="14" spans="1:116" s="812" customFormat="1">
      <c r="A14" s="1086" t="s">
        <v>359</v>
      </c>
      <c r="B14" s="1087" t="s">
        <v>360</v>
      </c>
      <c r="C14" s="1052"/>
      <c r="D14" s="1081">
        <f>E14+P14</f>
        <v>25952129.861298155</v>
      </c>
      <c r="E14" s="1053">
        <f t="shared" si="3"/>
        <v>445574.05640713172</v>
      </c>
      <c r="F14" s="1054">
        <f>'036 гобм'!AU6</f>
        <v>445574.05640713172</v>
      </c>
      <c r="G14" s="1053"/>
      <c r="H14" s="1053"/>
      <c r="I14" s="1053"/>
      <c r="J14" s="1053"/>
      <c r="K14" s="1053"/>
      <c r="L14" s="1053"/>
      <c r="M14" s="1053"/>
      <c r="N14" s="1053"/>
      <c r="O14" s="1053"/>
      <c r="P14" s="1032">
        <f t="shared" si="4"/>
        <v>25506555.804891024</v>
      </c>
      <c r="Q14" s="1032">
        <f>'009'!F9+'009'!F10+Отчет!K117+Отчет!J87</f>
        <v>25506555.804891024</v>
      </c>
      <c r="R14" s="1032"/>
      <c r="S14" s="1053"/>
      <c r="T14" s="1053"/>
      <c r="U14" s="1053"/>
      <c r="V14" s="1053"/>
      <c r="W14" s="1053"/>
      <c r="X14" s="1340"/>
      <c r="Y14" s="841"/>
      <c r="Z14" s="841"/>
      <c r="AA14" s="841"/>
      <c r="AB14" s="1334"/>
      <c r="AC14" s="1340"/>
      <c r="AD14" s="841"/>
      <c r="AE14" s="841"/>
      <c r="AF14" s="841"/>
      <c r="AG14" s="841"/>
      <c r="AH14" s="1049">
        <f t="shared" si="1"/>
        <v>77856389.583894461</v>
      </c>
      <c r="AI14" s="1051"/>
      <c r="AJ14" s="1051"/>
      <c r="AK14" s="1051"/>
      <c r="AL14" s="1051"/>
      <c r="AM14" s="1051"/>
      <c r="AN14" s="1051"/>
      <c r="AO14" s="1051"/>
      <c r="AP14" s="1051"/>
      <c r="AQ14" s="1051"/>
      <c r="AR14" s="1051"/>
      <c r="AS14" s="1051"/>
      <c r="AT14" s="1051"/>
      <c r="AU14" s="1051"/>
      <c r="AV14" s="1051"/>
      <c r="AW14" s="1051"/>
      <c r="AX14" s="1051"/>
      <c r="AY14" s="1051"/>
      <c r="AZ14" s="1051"/>
      <c r="BA14" s="1051"/>
      <c r="BB14" s="1051"/>
      <c r="BC14" s="1051"/>
      <c r="BD14" s="1051"/>
      <c r="BE14" s="1051"/>
      <c r="BF14" s="1051"/>
      <c r="BG14" s="1051"/>
      <c r="BH14" s="1051"/>
      <c r="BI14" s="1051"/>
      <c r="BJ14" s="1051"/>
      <c r="BK14" s="1051"/>
      <c r="BL14" s="1051"/>
      <c r="BM14" s="1051"/>
      <c r="BN14" s="1051"/>
      <c r="BO14" s="1051"/>
      <c r="BP14" s="1051"/>
      <c r="BQ14" s="1051"/>
      <c r="BR14" s="1051"/>
      <c r="BS14" s="1051"/>
      <c r="BT14" s="1051"/>
      <c r="BU14" s="1051"/>
      <c r="BV14" s="1051"/>
      <c r="BW14" s="1051"/>
      <c r="BX14" s="1051"/>
      <c r="BY14" s="1051"/>
      <c r="BZ14" s="1051"/>
      <c r="CA14" s="1051"/>
      <c r="CB14" s="1051"/>
      <c r="CC14" s="1051"/>
      <c r="CD14" s="1051"/>
      <c r="CE14" s="1051"/>
      <c r="CF14" s="1051"/>
      <c r="CG14" s="1051"/>
      <c r="CH14" s="1051"/>
      <c r="CI14" s="1051"/>
      <c r="CJ14" s="1051"/>
      <c r="CK14" s="1051"/>
      <c r="CL14" s="1051"/>
      <c r="CM14" s="1051"/>
      <c r="CN14" s="1051"/>
      <c r="CO14" s="1051"/>
      <c r="CP14" s="1051"/>
      <c r="CQ14" s="1051"/>
      <c r="CR14" s="1051"/>
      <c r="CS14" s="1051"/>
      <c r="CT14" s="1051"/>
      <c r="CU14" s="1051"/>
      <c r="CV14" s="1051"/>
      <c r="CW14" s="1051"/>
      <c r="CX14" s="1051"/>
      <c r="CY14" s="1051"/>
      <c r="CZ14" s="1051"/>
      <c r="DA14" s="1051"/>
      <c r="DB14" s="1051"/>
      <c r="DC14" s="1051"/>
      <c r="DD14" s="1051"/>
      <c r="DE14" s="1051"/>
      <c r="DF14" s="1051"/>
      <c r="DG14" s="1051"/>
      <c r="DH14" s="1051"/>
      <c r="DI14" s="1051"/>
      <c r="DJ14" s="1051"/>
      <c r="DK14" s="1051"/>
      <c r="DL14" s="1051"/>
    </row>
    <row r="15" spans="1:116" s="812" customFormat="1" ht="40.5">
      <c r="A15" s="1086" t="s">
        <v>361</v>
      </c>
      <c r="B15" s="1087" t="s">
        <v>362</v>
      </c>
      <c r="C15" s="1052"/>
      <c r="D15" s="1081">
        <f t="shared" si="2"/>
        <v>0</v>
      </c>
      <c r="E15" s="1053">
        <f t="shared" si="3"/>
        <v>0</v>
      </c>
      <c r="F15" s="1054"/>
      <c r="G15" s="1053"/>
      <c r="H15" s="1053"/>
      <c r="I15" s="1053"/>
      <c r="J15" s="1053"/>
      <c r="K15" s="1053"/>
      <c r="L15" s="1053"/>
      <c r="M15" s="1053"/>
      <c r="N15" s="1053"/>
      <c r="O15" s="1053"/>
      <c r="P15" s="1032">
        <f t="shared" si="4"/>
        <v>0</v>
      </c>
      <c r="Q15" s="1032"/>
      <c r="R15" s="1032"/>
      <c r="S15" s="1053"/>
      <c r="T15" s="1053"/>
      <c r="U15" s="1053"/>
      <c r="V15" s="1053"/>
      <c r="W15" s="1053"/>
      <c r="X15" s="1340"/>
      <c r="Y15" s="841"/>
      <c r="Z15" s="841"/>
      <c r="AA15" s="841"/>
      <c r="AB15" s="1334"/>
      <c r="AC15" s="1340"/>
      <c r="AD15" s="841"/>
      <c r="AE15" s="841"/>
      <c r="AF15" s="841"/>
      <c r="AG15" s="841"/>
      <c r="AH15" s="1049">
        <f t="shared" si="1"/>
        <v>0</v>
      </c>
      <c r="AI15" s="1051"/>
      <c r="AJ15" s="1051"/>
      <c r="AK15" s="1051"/>
      <c r="AL15" s="1051"/>
      <c r="AM15" s="1051"/>
      <c r="AN15" s="1051"/>
      <c r="AO15" s="1051"/>
      <c r="AP15" s="1051"/>
      <c r="AQ15" s="1051"/>
      <c r="AR15" s="1051"/>
      <c r="AS15" s="1051"/>
      <c r="AT15" s="1051"/>
      <c r="AU15" s="1051"/>
      <c r="AV15" s="1051"/>
      <c r="AW15" s="1051"/>
      <c r="AX15" s="1051"/>
      <c r="AY15" s="1051"/>
      <c r="AZ15" s="1051"/>
      <c r="BA15" s="1051"/>
      <c r="BB15" s="1051"/>
      <c r="BC15" s="1051"/>
      <c r="BD15" s="1051"/>
      <c r="BE15" s="1051"/>
      <c r="BF15" s="1051"/>
      <c r="BG15" s="1051"/>
      <c r="BH15" s="1051"/>
      <c r="BI15" s="1051"/>
      <c r="BJ15" s="1051"/>
      <c r="BK15" s="1051"/>
      <c r="BL15" s="1051"/>
      <c r="BM15" s="1051"/>
      <c r="BN15" s="1051"/>
      <c r="BO15" s="1051"/>
      <c r="BP15" s="1051"/>
      <c r="BQ15" s="1051"/>
      <c r="BR15" s="1051"/>
      <c r="BS15" s="1051"/>
      <c r="BT15" s="1051"/>
      <c r="BU15" s="1051"/>
      <c r="BV15" s="1051"/>
      <c r="BW15" s="1051"/>
      <c r="BX15" s="1051"/>
      <c r="BY15" s="1051"/>
      <c r="BZ15" s="1051"/>
      <c r="CA15" s="1051"/>
      <c r="CB15" s="1051"/>
      <c r="CC15" s="1051"/>
      <c r="CD15" s="1051"/>
      <c r="CE15" s="1051"/>
      <c r="CF15" s="1051"/>
      <c r="CG15" s="1051"/>
      <c r="CH15" s="1051"/>
      <c r="CI15" s="1051"/>
      <c r="CJ15" s="1051"/>
      <c r="CK15" s="1051"/>
      <c r="CL15" s="1051"/>
      <c r="CM15" s="1051"/>
      <c r="CN15" s="1051"/>
      <c r="CO15" s="1051"/>
      <c r="CP15" s="1051"/>
      <c r="CQ15" s="1051"/>
      <c r="CR15" s="1051"/>
      <c r="CS15" s="1051"/>
      <c r="CT15" s="1051"/>
      <c r="CU15" s="1051"/>
      <c r="CV15" s="1051"/>
      <c r="CW15" s="1051"/>
      <c r="CX15" s="1051"/>
      <c r="CY15" s="1051"/>
      <c r="CZ15" s="1051"/>
      <c r="DA15" s="1051"/>
      <c r="DB15" s="1051"/>
      <c r="DC15" s="1051"/>
      <c r="DD15" s="1051"/>
      <c r="DE15" s="1051"/>
      <c r="DF15" s="1051"/>
      <c r="DG15" s="1051"/>
      <c r="DH15" s="1051"/>
      <c r="DI15" s="1051"/>
      <c r="DJ15" s="1051"/>
      <c r="DK15" s="1051"/>
      <c r="DL15" s="1051"/>
    </row>
    <row r="16" spans="1:116" s="812" customFormat="1">
      <c r="A16" s="1086" t="s">
        <v>363</v>
      </c>
      <c r="B16" s="1087" t="s">
        <v>364</v>
      </c>
      <c r="C16" s="1052"/>
      <c r="D16" s="1081">
        <f>E16+P16</f>
        <v>304096.7</v>
      </c>
      <c r="E16" s="1053">
        <f t="shared" si="3"/>
        <v>304096.7</v>
      </c>
      <c r="F16" s="1054">
        <f>'HP-HC2'!P5</f>
        <v>304096.7</v>
      </c>
      <c r="G16" s="1053"/>
      <c r="H16" s="1053"/>
      <c r="I16" s="1053"/>
      <c r="J16" s="1053"/>
      <c r="K16" s="1053"/>
      <c r="L16" s="1053"/>
      <c r="M16" s="1053"/>
      <c r="N16" s="1053"/>
      <c r="O16" s="1053"/>
      <c r="P16" s="1032">
        <f t="shared" si="4"/>
        <v>0</v>
      </c>
      <c r="Q16" s="1032"/>
      <c r="R16" s="1032"/>
      <c r="S16" s="1053"/>
      <c r="T16" s="1053"/>
      <c r="U16" s="1053"/>
      <c r="V16" s="1053"/>
      <c r="W16" s="1053"/>
      <c r="X16" s="1340"/>
      <c r="Y16" s="841"/>
      <c r="Z16" s="841"/>
      <c r="AA16" s="841"/>
      <c r="AB16" s="1334"/>
      <c r="AC16" s="1340"/>
      <c r="AD16" s="841"/>
      <c r="AE16" s="841"/>
      <c r="AF16" s="841"/>
      <c r="AG16" s="841"/>
      <c r="AH16" s="1049">
        <f t="shared" si="1"/>
        <v>912290.10000000009</v>
      </c>
      <c r="AI16" s="1051"/>
      <c r="AJ16" s="1051"/>
      <c r="AK16" s="1051"/>
      <c r="AL16" s="1051"/>
      <c r="AM16" s="1051"/>
      <c r="AN16" s="1051"/>
      <c r="AO16" s="1051"/>
      <c r="AP16" s="1051"/>
      <c r="AQ16" s="1051"/>
      <c r="AR16" s="1051"/>
      <c r="AS16" s="1051"/>
      <c r="AT16" s="1051"/>
      <c r="AU16" s="1051"/>
      <c r="AV16" s="1051"/>
      <c r="AW16" s="1051"/>
      <c r="AX16" s="1051"/>
      <c r="AY16" s="1051"/>
      <c r="AZ16" s="1051"/>
      <c r="BA16" s="1051"/>
      <c r="BB16" s="1051"/>
      <c r="BC16" s="1051"/>
      <c r="BD16" s="1051"/>
      <c r="BE16" s="1051"/>
      <c r="BF16" s="1051"/>
      <c r="BG16" s="1051"/>
      <c r="BH16" s="1051"/>
      <c r="BI16" s="1051"/>
      <c r="BJ16" s="1051"/>
      <c r="BK16" s="1051"/>
      <c r="BL16" s="1051"/>
      <c r="BM16" s="1051"/>
      <c r="BN16" s="1051"/>
      <c r="BO16" s="1051"/>
      <c r="BP16" s="1051"/>
      <c r="BQ16" s="1051"/>
      <c r="BR16" s="1051"/>
      <c r="BS16" s="1051"/>
      <c r="BT16" s="1051"/>
      <c r="BU16" s="1051"/>
      <c r="BV16" s="1051"/>
      <c r="BW16" s="1051"/>
      <c r="BX16" s="1051"/>
      <c r="BY16" s="1051"/>
      <c r="BZ16" s="1051"/>
      <c r="CA16" s="1051"/>
      <c r="CB16" s="1051"/>
      <c r="CC16" s="1051"/>
      <c r="CD16" s="1051"/>
      <c r="CE16" s="1051"/>
      <c r="CF16" s="1051"/>
      <c r="CG16" s="1051"/>
      <c r="CH16" s="1051"/>
      <c r="CI16" s="1051"/>
      <c r="CJ16" s="1051"/>
      <c r="CK16" s="1051"/>
      <c r="CL16" s="1051"/>
      <c r="CM16" s="1051"/>
      <c r="CN16" s="1051"/>
      <c r="CO16" s="1051"/>
      <c r="CP16" s="1051"/>
      <c r="CQ16" s="1051"/>
      <c r="CR16" s="1051"/>
      <c r="CS16" s="1051"/>
      <c r="CT16" s="1051"/>
      <c r="CU16" s="1051"/>
      <c r="CV16" s="1051"/>
      <c r="CW16" s="1051"/>
      <c r="CX16" s="1051"/>
      <c r="CY16" s="1051"/>
      <c r="CZ16" s="1051"/>
      <c r="DA16" s="1051"/>
      <c r="DB16" s="1051"/>
      <c r="DC16" s="1051"/>
      <c r="DD16" s="1051"/>
      <c r="DE16" s="1051"/>
      <c r="DF16" s="1051"/>
      <c r="DG16" s="1051"/>
      <c r="DH16" s="1051"/>
      <c r="DI16" s="1051"/>
      <c r="DJ16" s="1051"/>
      <c r="DK16" s="1051"/>
      <c r="DL16" s="1051"/>
    </row>
    <row r="17" spans="1:116" s="812" customFormat="1" ht="40.5">
      <c r="A17" s="1086" t="s">
        <v>365</v>
      </c>
      <c r="B17" s="1087" t="s">
        <v>366</v>
      </c>
      <c r="C17" s="1052"/>
      <c r="D17" s="1081">
        <f t="shared" si="2"/>
        <v>0</v>
      </c>
      <c r="E17" s="1053">
        <f t="shared" si="3"/>
        <v>0</v>
      </c>
      <c r="F17" s="1054"/>
      <c r="G17" s="1053"/>
      <c r="H17" s="1053"/>
      <c r="I17" s="1053"/>
      <c r="J17" s="1053"/>
      <c r="K17" s="1053"/>
      <c r="L17" s="1053"/>
      <c r="M17" s="1053"/>
      <c r="N17" s="1053"/>
      <c r="O17" s="1053"/>
      <c r="P17" s="1032">
        <f t="shared" si="4"/>
        <v>0</v>
      </c>
      <c r="Q17" s="1032"/>
      <c r="R17" s="1032"/>
      <c r="S17" s="1053"/>
      <c r="T17" s="1053"/>
      <c r="U17" s="1053"/>
      <c r="V17" s="1053"/>
      <c r="W17" s="1053"/>
      <c r="X17" s="1340"/>
      <c r="Y17" s="841"/>
      <c r="Z17" s="841"/>
      <c r="AA17" s="841"/>
      <c r="AB17" s="1334"/>
      <c r="AC17" s="1340"/>
      <c r="AD17" s="841"/>
      <c r="AE17" s="841"/>
      <c r="AF17" s="841"/>
      <c r="AG17" s="841"/>
      <c r="AH17" s="1049">
        <f t="shared" si="1"/>
        <v>0</v>
      </c>
      <c r="AI17" s="1051"/>
      <c r="AJ17" s="1051"/>
      <c r="AK17" s="1051"/>
      <c r="AL17" s="1051"/>
      <c r="AM17" s="1051"/>
      <c r="AN17" s="1051"/>
      <c r="AO17" s="1051"/>
      <c r="AP17" s="1051"/>
      <c r="AQ17" s="1051"/>
      <c r="AR17" s="1051"/>
      <c r="AS17" s="1051"/>
      <c r="AT17" s="1051"/>
      <c r="AU17" s="1051"/>
      <c r="AV17" s="1051"/>
      <c r="AW17" s="1051"/>
      <c r="AX17" s="1051"/>
      <c r="AY17" s="1051"/>
      <c r="AZ17" s="1051"/>
      <c r="BA17" s="1051"/>
      <c r="BB17" s="1051"/>
      <c r="BC17" s="1051"/>
      <c r="BD17" s="1051"/>
      <c r="BE17" s="1051"/>
      <c r="BF17" s="1051"/>
      <c r="BG17" s="1051"/>
      <c r="BH17" s="1051"/>
      <c r="BI17" s="1051"/>
      <c r="BJ17" s="1051"/>
      <c r="BK17" s="1051"/>
      <c r="BL17" s="1051"/>
      <c r="BM17" s="1051"/>
      <c r="BN17" s="1051"/>
      <c r="BO17" s="1051"/>
      <c r="BP17" s="1051"/>
      <c r="BQ17" s="1051"/>
      <c r="BR17" s="1051"/>
      <c r="BS17" s="1051"/>
      <c r="BT17" s="1051"/>
      <c r="BU17" s="1051"/>
      <c r="BV17" s="1051"/>
      <c r="BW17" s="1051"/>
      <c r="BX17" s="1051"/>
      <c r="BY17" s="1051"/>
      <c r="BZ17" s="1051"/>
      <c r="CA17" s="1051"/>
      <c r="CB17" s="1051"/>
      <c r="CC17" s="1051"/>
      <c r="CD17" s="1051"/>
      <c r="CE17" s="1051"/>
      <c r="CF17" s="1051"/>
      <c r="CG17" s="1051"/>
      <c r="CH17" s="1051"/>
      <c r="CI17" s="1051"/>
      <c r="CJ17" s="1051"/>
      <c r="CK17" s="1051"/>
      <c r="CL17" s="1051"/>
      <c r="CM17" s="1051"/>
      <c r="CN17" s="1051"/>
      <c r="CO17" s="1051"/>
      <c r="CP17" s="1051"/>
      <c r="CQ17" s="1051"/>
      <c r="CR17" s="1051"/>
      <c r="CS17" s="1051"/>
      <c r="CT17" s="1051"/>
      <c r="CU17" s="1051"/>
      <c r="CV17" s="1051"/>
      <c r="CW17" s="1051"/>
      <c r="CX17" s="1051"/>
      <c r="CY17" s="1051"/>
      <c r="CZ17" s="1051"/>
      <c r="DA17" s="1051"/>
      <c r="DB17" s="1051"/>
      <c r="DC17" s="1051"/>
      <c r="DD17" s="1051"/>
      <c r="DE17" s="1051"/>
      <c r="DF17" s="1051"/>
      <c r="DG17" s="1051"/>
      <c r="DH17" s="1051"/>
      <c r="DI17" s="1051"/>
      <c r="DJ17" s="1051"/>
      <c r="DK17" s="1051"/>
      <c r="DL17" s="1051"/>
    </row>
    <row r="18" spans="1:116" s="812" customFormat="1" ht="40.5">
      <c r="A18" s="1086" t="s">
        <v>367</v>
      </c>
      <c r="B18" s="1087" t="s">
        <v>368</v>
      </c>
      <c r="C18" s="1052"/>
      <c r="D18" s="1081">
        <f>E18+P18</f>
        <v>1407027.4312104108</v>
      </c>
      <c r="E18" s="1053">
        <f t="shared" si="3"/>
        <v>1407027.4312104108</v>
      </c>
      <c r="F18" s="1054">
        <f>'036 гобм'!AY6+'036 гобм'!AY8</f>
        <v>1407027.4312104108</v>
      </c>
      <c r="G18" s="1053"/>
      <c r="H18" s="1053"/>
      <c r="I18" s="1053"/>
      <c r="J18" s="1053"/>
      <c r="K18" s="1053"/>
      <c r="L18" s="1053"/>
      <c r="M18" s="1053"/>
      <c r="N18" s="1053"/>
      <c r="O18" s="1053"/>
      <c r="P18" s="1032">
        <f t="shared" si="4"/>
        <v>0</v>
      </c>
      <c r="Q18" s="1032"/>
      <c r="R18" s="1032"/>
      <c r="S18" s="1053"/>
      <c r="T18" s="1053"/>
      <c r="U18" s="1053"/>
      <c r="V18" s="1053"/>
      <c r="W18" s="1053"/>
      <c r="X18" s="1340"/>
      <c r="Y18" s="841"/>
      <c r="Z18" s="841"/>
      <c r="AA18" s="841"/>
      <c r="AB18" s="1334"/>
      <c r="AC18" s="1340"/>
      <c r="AD18" s="841"/>
      <c r="AE18" s="841"/>
      <c r="AF18" s="841"/>
      <c r="AG18" s="841"/>
      <c r="AH18" s="1049">
        <f t="shared" si="1"/>
        <v>4221082.2936312323</v>
      </c>
      <c r="AI18" s="1051"/>
      <c r="AJ18" s="1051"/>
      <c r="AK18" s="1051"/>
      <c r="AL18" s="1051"/>
      <c r="AM18" s="1051"/>
      <c r="AN18" s="1051"/>
      <c r="AO18" s="1051"/>
      <c r="AP18" s="1051"/>
      <c r="AQ18" s="1051"/>
      <c r="AR18" s="1051"/>
      <c r="AS18" s="1051"/>
      <c r="AT18" s="1051"/>
      <c r="AU18" s="1051"/>
      <c r="AV18" s="1051"/>
      <c r="AW18" s="1051"/>
      <c r="AX18" s="1051"/>
      <c r="AY18" s="1051"/>
      <c r="AZ18" s="1051"/>
      <c r="BA18" s="1051"/>
      <c r="BB18" s="1051"/>
      <c r="BC18" s="1051"/>
      <c r="BD18" s="1051"/>
      <c r="BE18" s="1051"/>
      <c r="BF18" s="1051"/>
      <c r="BG18" s="1051"/>
      <c r="BH18" s="1051"/>
      <c r="BI18" s="1051"/>
      <c r="BJ18" s="1051"/>
      <c r="BK18" s="1051"/>
      <c r="BL18" s="1051"/>
      <c r="BM18" s="1051"/>
      <c r="BN18" s="1051"/>
      <c r="BO18" s="1051"/>
      <c r="BP18" s="1051"/>
      <c r="BQ18" s="1051"/>
      <c r="BR18" s="1051"/>
      <c r="BS18" s="1051"/>
      <c r="BT18" s="1051"/>
      <c r="BU18" s="1051"/>
      <c r="BV18" s="1051"/>
      <c r="BW18" s="1051"/>
      <c r="BX18" s="1051"/>
      <c r="BY18" s="1051"/>
      <c r="BZ18" s="1051"/>
      <c r="CA18" s="1051"/>
      <c r="CB18" s="1051"/>
      <c r="CC18" s="1051"/>
      <c r="CD18" s="1051"/>
      <c r="CE18" s="1051"/>
      <c r="CF18" s="1051"/>
      <c r="CG18" s="1051"/>
      <c r="CH18" s="1051"/>
      <c r="CI18" s="1051"/>
      <c r="CJ18" s="1051"/>
      <c r="CK18" s="1051"/>
      <c r="CL18" s="1051"/>
      <c r="CM18" s="1051"/>
      <c r="CN18" s="1051"/>
      <c r="CO18" s="1051"/>
      <c r="CP18" s="1051"/>
      <c r="CQ18" s="1051"/>
      <c r="CR18" s="1051"/>
      <c r="CS18" s="1051"/>
      <c r="CT18" s="1051"/>
      <c r="CU18" s="1051"/>
      <c r="CV18" s="1051"/>
      <c r="CW18" s="1051"/>
      <c r="CX18" s="1051"/>
      <c r="CY18" s="1051"/>
      <c r="CZ18" s="1051"/>
      <c r="DA18" s="1051"/>
      <c r="DB18" s="1051"/>
      <c r="DC18" s="1051"/>
      <c r="DD18" s="1051"/>
      <c r="DE18" s="1051"/>
      <c r="DF18" s="1051"/>
      <c r="DG18" s="1051"/>
      <c r="DH18" s="1051"/>
      <c r="DI18" s="1051"/>
      <c r="DJ18" s="1051"/>
      <c r="DK18" s="1051"/>
      <c r="DL18" s="1051"/>
    </row>
    <row r="19" spans="1:116" s="812" customFormat="1" ht="40.5">
      <c r="A19" s="1086" t="s">
        <v>369</v>
      </c>
      <c r="B19" s="1087" t="s">
        <v>370</v>
      </c>
      <c r="C19" s="1052"/>
      <c r="D19" s="1081">
        <f>E19+P19</f>
        <v>28421452.757159524</v>
      </c>
      <c r="E19" s="1053">
        <f t="shared" si="3"/>
        <v>0</v>
      </c>
      <c r="F19" s="1054"/>
      <c r="G19" s="1053"/>
      <c r="H19" s="1053"/>
      <c r="I19" s="1053"/>
      <c r="J19" s="1053"/>
      <c r="K19" s="1053"/>
      <c r="L19" s="1053"/>
      <c r="M19" s="1053"/>
      <c r="N19" s="1053"/>
      <c r="O19" s="1053"/>
      <c r="P19" s="1032">
        <f t="shared" si="4"/>
        <v>28421452.757159524</v>
      </c>
      <c r="Q19" s="1032">
        <f>'HP-HC2'!S4+'HP-HC2'!S37</f>
        <v>28421452.757159524</v>
      </c>
      <c r="R19" s="1032"/>
      <c r="S19" s="1053"/>
      <c r="T19" s="1053"/>
      <c r="U19" s="1053"/>
      <c r="V19" s="1053"/>
      <c r="W19" s="1053"/>
      <c r="X19" s="1340"/>
      <c r="Y19" s="841"/>
      <c r="Z19" s="841"/>
      <c r="AA19" s="841"/>
      <c r="AB19" s="1334"/>
      <c r="AC19" s="1340"/>
      <c r="AD19" s="841"/>
      <c r="AE19" s="841"/>
      <c r="AF19" s="841"/>
      <c r="AG19" s="841"/>
      <c r="AH19" s="1049">
        <f t="shared" si="1"/>
        <v>85264358.271478564</v>
      </c>
      <c r="AI19" s="1051"/>
      <c r="AJ19" s="1051"/>
      <c r="AK19" s="1051"/>
      <c r="AL19" s="1051"/>
      <c r="AM19" s="1051"/>
      <c r="AN19" s="1051"/>
      <c r="AO19" s="1051"/>
      <c r="AP19" s="1051"/>
      <c r="AQ19" s="1051"/>
      <c r="AR19" s="1051"/>
      <c r="AS19" s="1051"/>
      <c r="AT19" s="1051"/>
      <c r="AU19" s="1051"/>
      <c r="AV19" s="1051"/>
      <c r="AW19" s="1051"/>
      <c r="AX19" s="1051"/>
      <c r="AY19" s="1051"/>
      <c r="AZ19" s="1051"/>
      <c r="BA19" s="1051"/>
      <c r="BB19" s="1051"/>
      <c r="BC19" s="1051"/>
      <c r="BD19" s="1051"/>
      <c r="BE19" s="1051"/>
      <c r="BF19" s="1051"/>
      <c r="BG19" s="1051"/>
      <c r="BH19" s="1051"/>
      <c r="BI19" s="1051"/>
      <c r="BJ19" s="1051"/>
      <c r="BK19" s="1051"/>
      <c r="BL19" s="1051"/>
      <c r="BM19" s="1051"/>
      <c r="BN19" s="1051"/>
      <c r="BO19" s="1051"/>
      <c r="BP19" s="1051"/>
      <c r="BQ19" s="1051"/>
      <c r="BR19" s="1051"/>
      <c r="BS19" s="1051"/>
      <c r="BT19" s="1051"/>
      <c r="BU19" s="1051"/>
      <c r="BV19" s="1051"/>
      <c r="BW19" s="1051"/>
      <c r="BX19" s="1051"/>
      <c r="BY19" s="1051"/>
      <c r="BZ19" s="1051"/>
      <c r="CA19" s="1051"/>
      <c r="CB19" s="1051"/>
      <c r="CC19" s="1051"/>
      <c r="CD19" s="1051"/>
      <c r="CE19" s="1051"/>
      <c r="CF19" s="1051"/>
      <c r="CG19" s="1051"/>
      <c r="CH19" s="1051"/>
      <c r="CI19" s="1051"/>
      <c r="CJ19" s="1051"/>
      <c r="CK19" s="1051"/>
      <c r="CL19" s="1051"/>
      <c r="CM19" s="1051"/>
      <c r="CN19" s="1051"/>
      <c r="CO19" s="1051"/>
      <c r="CP19" s="1051"/>
      <c r="CQ19" s="1051"/>
      <c r="CR19" s="1051"/>
      <c r="CS19" s="1051"/>
      <c r="CT19" s="1051"/>
      <c r="CU19" s="1051"/>
      <c r="CV19" s="1051"/>
      <c r="CW19" s="1051"/>
      <c r="CX19" s="1051"/>
      <c r="CY19" s="1051"/>
      <c r="CZ19" s="1051"/>
      <c r="DA19" s="1051"/>
      <c r="DB19" s="1051"/>
      <c r="DC19" s="1051"/>
      <c r="DD19" s="1051"/>
      <c r="DE19" s="1051"/>
      <c r="DF19" s="1051"/>
      <c r="DG19" s="1051"/>
      <c r="DH19" s="1051"/>
      <c r="DI19" s="1051"/>
      <c r="DJ19" s="1051"/>
      <c r="DK19" s="1051"/>
      <c r="DL19" s="1051"/>
    </row>
    <row r="20" spans="1:116" s="812" customFormat="1" ht="40.5">
      <c r="A20" s="1086" t="s">
        <v>371</v>
      </c>
      <c r="B20" s="1087" t="s">
        <v>372</v>
      </c>
      <c r="C20" s="1052"/>
      <c r="D20" s="1081">
        <f>E20+P20</f>
        <v>279033.33019158785</v>
      </c>
      <c r="E20" s="1053">
        <f t="shared" si="3"/>
        <v>279033.33019158785</v>
      </c>
      <c r="F20" s="1054">
        <f>'036 гобм'!BA6+'036 гобм'!BA8</f>
        <v>279033.33019158785</v>
      </c>
      <c r="G20" s="1053"/>
      <c r="H20" s="1053"/>
      <c r="I20" s="1053"/>
      <c r="J20" s="1053"/>
      <c r="K20" s="1053"/>
      <c r="L20" s="1053"/>
      <c r="M20" s="1053"/>
      <c r="N20" s="1053"/>
      <c r="O20" s="1053"/>
      <c r="P20" s="1032">
        <f t="shared" si="4"/>
        <v>0</v>
      </c>
      <c r="Q20" s="1032"/>
      <c r="R20" s="1032"/>
      <c r="S20" s="1053"/>
      <c r="T20" s="1053"/>
      <c r="U20" s="1053"/>
      <c r="V20" s="1053"/>
      <c r="W20" s="1053"/>
      <c r="X20" s="1340"/>
      <c r="Y20" s="841"/>
      <c r="Z20" s="841"/>
      <c r="AA20" s="841"/>
      <c r="AB20" s="1334"/>
      <c r="AC20" s="1340"/>
      <c r="AD20" s="841"/>
      <c r="AE20" s="841"/>
      <c r="AF20" s="841"/>
      <c r="AG20" s="841"/>
      <c r="AH20" s="1049">
        <f t="shared" si="1"/>
        <v>837099.99057476362</v>
      </c>
      <c r="AI20" s="1051"/>
      <c r="AJ20" s="1051"/>
      <c r="AK20" s="1051"/>
      <c r="AL20" s="1051"/>
      <c r="AM20" s="1051"/>
      <c r="AN20" s="1051"/>
      <c r="AO20" s="1051"/>
      <c r="AP20" s="1051"/>
      <c r="AQ20" s="1051"/>
      <c r="AR20" s="1051"/>
      <c r="AS20" s="1051"/>
      <c r="AT20" s="1051"/>
      <c r="AU20" s="1051"/>
      <c r="AV20" s="1051"/>
      <c r="AW20" s="1051"/>
      <c r="AX20" s="1051"/>
      <c r="AY20" s="1051"/>
      <c r="AZ20" s="1051"/>
      <c r="BA20" s="1051"/>
      <c r="BB20" s="1051"/>
      <c r="BC20" s="1051"/>
      <c r="BD20" s="1051"/>
      <c r="BE20" s="1051"/>
      <c r="BF20" s="1051"/>
      <c r="BG20" s="1051"/>
      <c r="BH20" s="1051"/>
      <c r="BI20" s="1051"/>
      <c r="BJ20" s="1051"/>
      <c r="BK20" s="1051"/>
      <c r="BL20" s="1051"/>
      <c r="BM20" s="1051"/>
      <c r="BN20" s="1051"/>
      <c r="BO20" s="1051"/>
      <c r="BP20" s="1051"/>
      <c r="BQ20" s="1051"/>
      <c r="BR20" s="1051"/>
      <c r="BS20" s="1051"/>
      <c r="BT20" s="1051"/>
      <c r="BU20" s="1051"/>
      <c r="BV20" s="1051"/>
      <c r="BW20" s="1051"/>
      <c r="BX20" s="1051"/>
      <c r="BY20" s="1051"/>
      <c r="BZ20" s="1051"/>
      <c r="CA20" s="1051"/>
      <c r="CB20" s="1051"/>
      <c r="CC20" s="1051"/>
      <c r="CD20" s="1051"/>
      <c r="CE20" s="1051"/>
      <c r="CF20" s="1051"/>
      <c r="CG20" s="1051"/>
      <c r="CH20" s="1051"/>
      <c r="CI20" s="1051"/>
      <c r="CJ20" s="1051"/>
      <c r="CK20" s="1051"/>
      <c r="CL20" s="1051"/>
      <c r="CM20" s="1051"/>
      <c r="CN20" s="1051"/>
      <c r="CO20" s="1051"/>
      <c r="CP20" s="1051"/>
      <c r="CQ20" s="1051"/>
      <c r="CR20" s="1051"/>
      <c r="CS20" s="1051"/>
      <c r="CT20" s="1051"/>
      <c r="CU20" s="1051"/>
      <c r="CV20" s="1051"/>
      <c r="CW20" s="1051"/>
      <c r="CX20" s="1051"/>
      <c r="CY20" s="1051"/>
      <c r="CZ20" s="1051"/>
      <c r="DA20" s="1051"/>
      <c r="DB20" s="1051"/>
      <c r="DC20" s="1051"/>
      <c r="DD20" s="1051"/>
      <c r="DE20" s="1051"/>
      <c r="DF20" s="1051"/>
      <c r="DG20" s="1051"/>
      <c r="DH20" s="1051"/>
      <c r="DI20" s="1051"/>
      <c r="DJ20" s="1051"/>
      <c r="DK20" s="1051"/>
      <c r="DL20" s="1051"/>
    </row>
    <row r="21" spans="1:116" s="1079" customFormat="1" ht="60.75">
      <c r="A21" s="1086" t="s">
        <v>373</v>
      </c>
      <c r="B21" s="1087" t="s">
        <v>374</v>
      </c>
      <c r="C21" s="1088"/>
      <c r="D21" s="1081">
        <f t="shared" si="2"/>
        <v>0</v>
      </c>
      <c r="E21" s="1053">
        <f t="shared" si="3"/>
        <v>0</v>
      </c>
      <c r="F21" s="1077"/>
      <c r="G21" s="1076"/>
      <c r="H21" s="1076"/>
      <c r="I21" s="1076"/>
      <c r="J21" s="1076"/>
      <c r="K21" s="1076"/>
      <c r="L21" s="1076"/>
      <c r="M21" s="1076"/>
      <c r="N21" s="1076"/>
      <c r="O21" s="1076"/>
      <c r="P21" s="1032">
        <f t="shared" si="4"/>
        <v>0</v>
      </c>
      <c r="Q21" s="1027"/>
      <c r="R21" s="1027"/>
      <c r="S21" s="1076"/>
      <c r="T21" s="1076"/>
      <c r="U21" s="1076"/>
      <c r="V21" s="1076"/>
      <c r="W21" s="1076"/>
      <c r="X21" s="1340"/>
      <c r="Y21" s="1029"/>
      <c r="Z21" s="1029"/>
      <c r="AA21" s="1029"/>
      <c r="AB21" s="1334"/>
      <c r="AC21" s="1340"/>
      <c r="AD21" s="1029"/>
      <c r="AE21" s="1029"/>
      <c r="AF21" s="1029"/>
      <c r="AG21" s="1029"/>
      <c r="AH21" s="1049">
        <f t="shared" si="1"/>
        <v>0</v>
      </c>
      <c r="AI21" s="1051"/>
      <c r="AJ21" s="1051"/>
      <c r="AK21" s="1051"/>
      <c r="AL21" s="1051"/>
      <c r="AM21" s="1051"/>
      <c r="AN21" s="1051"/>
      <c r="AO21" s="1051"/>
      <c r="AP21" s="1051"/>
      <c r="AQ21" s="1051"/>
      <c r="AR21" s="1051"/>
      <c r="AS21" s="1051"/>
      <c r="AT21" s="1051"/>
      <c r="AU21" s="1051"/>
      <c r="AV21" s="1051"/>
      <c r="AW21" s="1051"/>
      <c r="AX21" s="1051"/>
      <c r="AY21" s="1051"/>
      <c r="AZ21" s="1051"/>
      <c r="BA21" s="1051"/>
      <c r="BB21" s="1051"/>
      <c r="BC21" s="1051"/>
      <c r="BD21" s="1051"/>
      <c r="BE21" s="1051"/>
      <c r="BF21" s="1051"/>
      <c r="BG21" s="1051"/>
      <c r="BH21" s="1051"/>
      <c r="BI21" s="1051"/>
      <c r="BJ21" s="1051"/>
      <c r="BK21" s="1051"/>
      <c r="BL21" s="1051"/>
      <c r="BM21" s="1051"/>
      <c r="BN21" s="1051"/>
      <c r="BO21" s="1051"/>
      <c r="BP21" s="1051"/>
      <c r="BQ21" s="1051"/>
      <c r="BR21" s="1051"/>
      <c r="BS21" s="1051"/>
      <c r="BT21" s="1051"/>
      <c r="BU21" s="1051"/>
      <c r="BV21" s="1051"/>
      <c r="BW21" s="1051"/>
      <c r="BX21" s="1051"/>
      <c r="BY21" s="1051"/>
      <c r="BZ21" s="1051"/>
      <c r="CA21" s="1051"/>
      <c r="CB21" s="1051"/>
      <c r="CC21" s="1051"/>
      <c r="CD21" s="1051"/>
      <c r="CE21" s="1051"/>
      <c r="CF21" s="1051"/>
      <c r="CG21" s="1051"/>
      <c r="CH21" s="1051"/>
      <c r="CI21" s="1051"/>
      <c r="CJ21" s="1051"/>
      <c r="CK21" s="1051"/>
      <c r="CL21" s="1051"/>
      <c r="CM21" s="1051"/>
      <c r="CN21" s="1051"/>
      <c r="CO21" s="1051"/>
      <c r="CP21" s="1051"/>
      <c r="CQ21" s="1051"/>
      <c r="CR21" s="1051"/>
      <c r="CS21" s="1051"/>
      <c r="CT21" s="1051"/>
      <c r="CU21" s="1051"/>
      <c r="CV21" s="1051"/>
      <c r="CW21" s="1051"/>
      <c r="CX21" s="1051"/>
      <c r="CY21" s="1051"/>
      <c r="CZ21" s="1051"/>
      <c r="DA21" s="1051"/>
      <c r="DB21" s="1051"/>
      <c r="DC21" s="1051"/>
      <c r="DD21" s="1051"/>
      <c r="DE21" s="1051"/>
      <c r="DF21" s="1051"/>
      <c r="DG21" s="1051"/>
      <c r="DH21" s="1051"/>
      <c r="DI21" s="1051"/>
      <c r="DJ21" s="1051"/>
      <c r="DK21" s="1051"/>
      <c r="DL21" s="1051"/>
    </row>
    <row r="22" spans="1:116" s="840" customFormat="1" ht="60.75">
      <c r="A22" s="1086" t="s">
        <v>375</v>
      </c>
      <c r="B22" s="1087" t="s">
        <v>376</v>
      </c>
      <c r="C22" s="1081"/>
      <c r="D22" s="1081">
        <f t="shared" si="2"/>
        <v>4882386.8845837582</v>
      </c>
      <c r="E22" s="1053">
        <f t="shared" si="3"/>
        <v>1983851.5618386739</v>
      </c>
      <c r="F22" s="1082">
        <f>'036 гобм'!BC6</f>
        <v>1983851.5618386739</v>
      </c>
      <c r="G22" s="1083"/>
      <c r="H22" s="1083"/>
      <c r="I22" s="1083"/>
      <c r="J22" s="1083"/>
      <c r="K22" s="1083"/>
      <c r="L22" s="1083"/>
      <c r="M22" s="1083"/>
      <c r="N22" s="1083"/>
      <c r="O22" s="1083"/>
      <c r="P22" s="1032">
        <f t="shared" si="4"/>
        <v>2898535.3227450848</v>
      </c>
      <c r="Q22" s="1030">
        <f>'009'!F3</f>
        <v>2898535.3227450848</v>
      </c>
      <c r="R22" s="1030"/>
      <c r="S22" s="1083"/>
      <c r="T22" s="1083"/>
      <c r="U22" s="1083"/>
      <c r="V22" s="1083"/>
      <c r="W22" s="1083"/>
      <c r="X22" s="1340"/>
      <c r="Y22" s="1031"/>
      <c r="Z22" s="1031"/>
      <c r="AA22" s="1031"/>
      <c r="AB22" s="1334"/>
      <c r="AC22" s="1340"/>
      <c r="AD22" s="1031"/>
      <c r="AE22" s="1031"/>
      <c r="AF22" s="1031"/>
      <c r="AG22" s="1031"/>
      <c r="AH22" s="1049">
        <f t="shared" si="1"/>
        <v>14647160.653751275</v>
      </c>
      <c r="AI22" s="1051"/>
      <c r="AJ22" s="1051"/>
      <c r="AK22" s="1051"/>
      <c r="AL22" s="1051"/>
      <c r="AM22" s="1051"/>
      <c r="AN22" s="1051"/>
      <c r="AO22" s="1051"/>
      <c r="AP22" s="1051"/>
      <c r="AQ22" s="1051"/>
      <c r="AR22" s="1051"/>
      <c r="AS22" s="1051"/>
      <c r="AT22" s="1051"/>
      <c r="AU22" s="1051"/>
      <c r="AV22" s="1051"/>
      <c r="AW22" s="1051"/>
      <c r="AX22" s="1051"/>
      <c r="AY22" s="1051"/>
      <c r="AZ22" s="1051"/>
      <c r="BA22" s="1051"/>
      <c r="BB22" s="1051"/>
      <c r="BC22" s="1051"/>
      <c r="BD22" s="1051"/>
      <c r="BE22" s="1051"/>
      <c r="BF22" s="1051"/>
      <c r="BG22" s="1051"/>
      <c r="BH22" s="1051"/>
      <c r="BI22" s="1051"/>
      <c r="BJ22" s="1051"/>
      <c r="BK22" s="1051"/>
      <c r="BL22" s="1051"/>
      <c r="BM22" s="1051"/>
      <c r="BN22" s="1051"/>
      <c r="BO22" s="1051"/>
      <c r="BP22" s="1051"/>
      <c r="BQ22" s="1051"/>
      <c r="BR22" s="1051"/>
      <c r="BS22" s="1051"/>
      <c r="BT22" s="1051"/>
      <c r="BU22" s="1051"/>
      <c r="BV22" s="1051"/>
      <c r="BW22" s="1051"/>
      <c r="BX22" s="1051"/>
      <c r="BY22" s="1051"/>
      <c r="BZ22" s="1051"/>
      <c r="CA22" s="1051"/>
      <c r="CB22" s="1051"/>
      <c r="CC22" s="1051"/>
      <c r="CD22" s="1051"/>
      <c r="CE22" s="1051"/>
      <c r="CF22" s="1051"/>
      <c r="CG22" s="1051"/>
      <c r="CH22" s="1051"/>
      <c r="CI22" s="1051"/>
      <c r="CJ22" s="1051"/>
      <c r="CK22" s="1051"/>
      <c r="CL22" s="1051"/>
      <c r="CM22" s="1051"/>
      <c r="CN22" s="1051"/>
      <c r="CO22" s="1051"/>
      <c r="CP22" s="1051"/>
      <c r="CQ22" s="1051"/>
      <c r="CR22" s="1051"/>
      <c r="CS22" s="1051"/>
      <c r="CT22" s="1051"/>
      <c r="CU22" s="1051"/>
      <c r="CV22" s="1051"/>
      <c r="CW22" s="1051"/>
      <c r="CX22" s="1051"/>
      <c r="CY22" s="1051"/>
      <c r="CZ22" s="1051"/>
      <c r="DA22" s="1051"/>
      <c r="DB22" s="1051"/>
      <c r="DC22" s="1051"/>
      <c r="DD22" s="1051"/>
      <c r="DE22" s="1051"/>
      <c r="DF22" s="1051"/>
      <c r="DG22" s="1051"/>
      <c r="DH22" s="1051"/>
      <c r="DI22" s="1051"/>
      <c r="DJ22" s="1051"/>
      <c r="DK22" s="1051"/>
      <c r="DL22" s="1051"/>
    </row>
    <row r="23" spans="1:116" s="812" customFormat="1" ht="60.75">
      <c r="A23" s="1086" t="s">
        <v>377</v>
      </c>
      <c r="B23" s="1087" t="s">
        <v>378</v>
      </c>
      <c r="C23" s="1052"/>
      <c r="D23" s="1081">
        <f t="shared" si="2"/>
        <v>26741142.44752986</v>
      </c>
      <c r="E23" s="1053">
        <f t="shared" si="3"/>
        <v>26741142.44752986</v>
      </c>
      <c r="F23" s="1054">
        <f>'036 гобм'!BD6+'036 гобм'!BD7+'036 гобм'!BD8</f>
        <v>26741142.44752986</v>
      </c>
      <c r="G23" s="1053"/>
      <c r="H23" s="1053"/>
      <c r="I23" s="1053"/>
      <c r="J23" s="1053"/>
      <c r="K23" s="1053"/>
      <c r="L23" s="1053"/>
      <c r="M23" s="1053"/>
      <c r="N23" s="1053"/>
      <c r="O23" s="1053"/>
      <c r="P23" s="1032">
        <f t="shared" si="4"/>
        <v>0</v>
      </c>
      <c r="Q23" s="1032"/>
      <c r="R23" s="1032"/>
      <c r="S23" s="1053"/>
      <c r="T23" s="1053"/>
      <c r="U23" s="1053"/>
      <c r="V23" s="1053"/>
      <c r="W23" s="1053"/>
      <c r="X23" s="1340"/>
      <c r="Y23" s="841"/>
      <c r="Z23" s="841"/>
      <c r="AA23" s="841"/>
      <c r="AB23" s="1334"/>
      <c r="AC23" s="1340"/>
      <c r="AD23" s="841"/>
      <c r="AE23" s="841"/>
      <c r="AF23" s="841"/>
      <c r="AG23" s="841"/>
      <c r="AH23" s="1049">
        <f t="shared" si="1"/>
        <v>80223427.342589587</v>
      </c>
      <c r="AI23" s="1051"/>
      <c r="AJ23" s="1051"/>
      <c r="AK23" s="1051"/>
      <c r="AL23" s="1051"/>
      <c r="AM23" s="1051"/>
      <c r="AN23" s="1051"/>
      <c r="AO23" s="1051"/>
      <c r="AP23" s="1051"/>
      <c r="AQ23" s="1051"/>
      <c r="AR23" s="1051"/>
      <c r="AS23" s="1051"/>
      <c r="AT23" s="1051"/>
      <c r="AU23" s="1051"/>
      <c r="AV23" s="1051"/>
      <c r="AW23" s="1051"/>
      <c r="AX23" s="1051"/>
      <c r="AY23" s="1051"/>
      <c r="AZ23" s="1051"/>
      <c r="BA23" s="1051"/>
      <c r="BB23" s="1051"/>
      <c r="BC23" s="1051"/>
      <c r="BD23" s="1051"/>
      <c r="BE23" s="1051"/>
      <c r="BF23" s="1051"/>
      <c r="BG23" s="1051"/>
      <c r="BH23" s="1051"/>
      <c r="BI23" s="1051"/>
      <c r="BJ23" s="1051"/>
      <c r="BK23" s="1051"/>
      <c r="BL23" s="1051"/>
      <c r="BM23" s="1051"/>
      <c r="BN23" s="1051"/>
      <c r="BO23" s="1051"/>
      <c r="BP23" s="1051"/>
      <c r="BQ23" s="1051"/>
      <c r="BR23" s="1051"/>
      <c r="BS23" s="1051"/>
      <c r="BT23" s="1051"/>
      <c r="BU23" s="1051"/>
      <c r="BV23" s="1051"/>
      <c r="BW23" s="1051"/>
      <c r="BX23" s="1051"/>
      <c r="BY23" s="1051"/>
      <c r="BZ23" s="1051"/>
      <c r="CA23" s="1051"/>
      <c r="CB23" s="1051"/>
      <c r="CC23" s="1051"/>
      <c r="CD23" s="1051"/>
      <c r="CE23" s="1051"/>
      <c r="CF23" s="1051"/>
      <c r="CG23" s="1051"/>
      <c r="CH23" s="1051"/>
      <c r="CI23" s="1051"/>
      <c r="CJ23" s="1051"/>
      <c r="CK23" s="1051"/>
      <c r="CL23" s="1051"/>
      <c r="CM23" s="1051"/>
      <c r="CN23" s="1051"/>
      <c r="CO23" s="1051"/>
      <c r="CP23" s="1051"/>
      <c r="CQ23" s="1051"/>
      <c r="CR23" s="1051"/>
      <c r="CS23" s="1051"/>
      <c r="CT23" s="1051"/>
      <c r="CU23" s="1051"/>
      <c r="CV23" s="1051"/>
      <c r="CW23" s="1051"/>
      <c r="CX23" s="1051"/>
      <c r="CY23" s="1051"/>
      <c r="CZ23" s="1051"/>
      <c r="DA23" s="1051"/>
      <c r="DB23" s="1051"/>
      <c r="DC23" s="1051"/>
      <c r="DD23" s="1051"/>
      <c r="DE23" s="1051"/>
      <c r="DF23" s="1051"/>
      <c r="DG23" s="1051"/>
      <c r="DH23" s="1051"/>
      <c r="DI23" s="1051"/>
      <c r="DJ23" s="1051"/>
      <c r="DK23" s="1051"/>
      <c r="DL23" s="1051"/>
    </row>
    <row r="24" spans="1:116" s="812" customFormat="1" ht="40.5">
      <c r="A24" s="1074" t="s">
        <v>379</v>
      </c>
      <c r="B24" s="1089" t="s">
        <v>381</v>
      </c>
      <c r="C24" s="1052">
        <f>D24</f>
        <v>3307099</v>
      </c>
      <c r="D24" s="1052">
        <f>D25+D26+D27+D28</f>
        <v>3307099</v>
      </c>
      <c r="E24" s="1054"/>
      <c r="F24" s="1054"/>
      <c r="G24" s="1053"/>
      <c r="H24" s="1053"/>
      <c r="I24" s="1053"/>
      <c r="J24" s="1053"/>
      <c r="K24" s="1053"/>
      <c r="L24" s="1053"/>
      <c r="M24" s="1053"/>
      <c r="N24" s="1053"/>
      <c r="O24" s="1053"/>
      <c r="P24" s="1032"/>
      <c r="Q24" s="1032"/>
      <c r="R24" s="1032"/>
      <c r="S24" s="1053"/>
      <c r="T24" s="1053"/>
      <c r="U24" s="1053"/>
      <c r="V24" s="1053"/>
      <c r="W24" s="1053"/>
      <c r="X24" s="1340"/>
      <c r="Y24" s="841"/>
      <c r="Z24" s="841"/>
      <c r="AA24" s="841"/>
      <c r="AB24" s="1334"/>
      <c r="AC24" s="1340"/>
      <c r="AD24" s="841"/>
      <c r="AE24" s="841"/>
      <c r="AF24" s="841"/>
      <c r="AG24" s="841"/>
      <c r="AH24" s="1049">
        <f t="shared" si="1"/>
        <v>6614198</v>
      </c>
      <c r="AI24" s="1051"/>
      <c r="AJ24" s="1051"/>
      <c r="AK24" s="1051"/>
      <c r="AL24" s="1051"/>
      <c r="AM24" s="1051"/>
      <c r="AN24" s="1051"/>
      <c r="AO24" s="1051"/>
      <c r="AP24" s="1051"/>
      <c r="AQ24" s="1051"/>
      <c r="AR24" s="1051"/>
      <c r="AS24" s="1051"/>
      <c r="AT24" s="1051"/>
      <c r="AU24" s="1051"/>
      <c r="AV24" s="1051"/>
      <c r="AW24" s="1051"/>
      <c r="AX24" s="1051"/>
      <c r="AY24" s="1051"/>
      <c r="AZ24" s="1051"/>
      <c r="BA24" s="1051"/>
      <c r="BB24" s="1051"/>
      <c r="BC24" s="1051"/>
      <c r="BD24" s="1051"/>
      <c r="BE24" s="1051"/>
      <c r="BF24" s="1051"/>
      <c r="BG24" s="1051"/>
      <c r="BH24" s="1051"/>
      <c r="BI24" s="1051"/>
      <c r="BJ24" s="1051"/>
      <c r="BK24" s="1051"/>
      <c r="BL24" s="1051"/>
      <c r="BM24" s="1051"/>
      <c r="BN24" s="1051"/>
      <c r="BO24" s="1051"/>
      <c r="BP24" s="1051"/>
      <c r="BQ24" s="1051"/>
      <c r="BR24" s="1051"/>
      <c r="BS24" s="1051"/>
      <c r="BT24" s="1051"/>
      <c r="BU24" s="1051"/>
      <c r="BV24" s="1051"/>
      <c r="BW24" s="1051"/>
      <c r="BX24" s="1051"/>
      <c r="BY24" s="1051"/>
      <c r="BZ24" s="1051"/>
      <c r="CA24" s="1051"/>
      <c r="CB24" s="1051"/>
      <c r="CC24" s="1051"/>
      <c r="CD24" s="1051"/>
      <c r="CE24" s="1051"/>
      <c r="CF24" s="1051"/>
      <c r="CG24" s="1051"/>
      <c r="CH24" s="1051"/>
      <c r="CI24" s="1051"/>
      <c r="CJ24" s="1051"/>
      <c r="CK24" s="1051"/>
      <c r="CL24" s="1051"/>
      <c r="CM24" s="1051"/>
      <c r="CN24" s="1051"/>
      <c r="CO24" s="1051"/>
      <c r="CP24" s="1051"/>
      <c r="CQ24" s="1051"/>
      <c r="CR24" s="1051"/>
      <c r="CS24" s="1051"/>
      <c r="CT24" s="1051"/>
      <c r="CU24" s="1051"/>
      <c r="CV24" s="1051"/>
      <c r="CW24" s="1051"/>
      <c r="CX24" s="1051"/>
      <c r="CY24" s="1051"/>
      <c r="CZ24" s="1051"/>
      <c r="DA24" s="1051"/>
      <c r="DB24" s="1051"/>
      <c r="DC24" s="1051"/>
      <c r="DD24" s="1051"/>
      <c r="DE24" s="1051"/>
      <c r="DF24" s="1051"/>
      <c r="DG24" s="1051"/>
      <c r="DH24" s="1051"/>
      <c r="DI24" s="1051"/>
      <c r="DJ24" s="1051"/>
      <c r="DK24" s="1051"/>
      <c r="DL24" s="1051"/>
    </row>
    <row r="25" spans="1:116" s="840" customFormat="1" ht="40.5">
      <c r="A25" s="1080" t="s">
        <v>383</v>
      </c>
      <c r="B25" s="1090" t="s">
        <v>385</v>
      </c>
      <c r="C25" s="1081"/>
      <c r="D25" s="1081">
        <f>E25+P25</f>
        <v>0</v>
      </c>
      <c r="E25" s="1082">
        <f>F25+G25+H25+I25+J25+N25+O25</f>
        <v>0</v>
      </c>
      <c r="F25" s="1082"/>
      <c r="G25" s="1083"/>
      <c r="H25" s="1083"/>
      <c r="I25" s="1083"/>
      <c r="J25" s="1083"/>
      <c r="K25" s="1083"/>
      <c r="L25" s="1083"/>
      <c r="M25" s="1083"/>
      <c r="N25" s="1083"/>
      <c r="O25" s="1083"/>
      <c r="P25" s="1030">
        <f>Q25+R25+S25+T25+U25+V25+W25</f>
        <v>0</v>
      </c>
      <c r="Q25" s="1030"/>
      <c r="R25" s="1030"/>
      <c r="S25" s="1083"/>
      <c r="T25" s="1083"/>
      <c r="U25" s="1083"/>
      <c r="V25" s="1083"/>
      <c r="W25" s="1083"/>
      <c r="X25" s="1340"/>
      <c r="Y25" s="1031"/>
      <c r="Z25" s="1031"/>
      <c r="AA25" s="1031"/>
      <c r="AB25" s="1334"/>
      <c r="AC25" s="1340"/>
      <c r="AD25" s="1031"/>
      <c r="AE25" s="1031"/>
      <c r="AF25" s="1031"/>
      <c r="AG25" s="1031"/>
      <c r="AH25" s="1049">
        <f t="shared" si="1"/>
        <v>0</v>
      </c>
      <c r="AI25" s="1051"/>
      <c r="AJ25" s="1051"/>
      <c r="AK25" s="1051"/>
      <c r="AL25" s="1051"/>
      <c r="AM25" s="1051"/>
      <c r="AN25" s="1051"/>
      <c r="AO25" s="1051"/>
      <c r="AP25" s="1051"/>
      <c r="AQ25" s="1051"/>
      <c r="AR25" s="1051"/>
      <c r="AS25" s="1051"/>
      <c r="AT25" s="1051"/>
      <c r="AU25" s="1051"/>
      <c r="AV25" s="1051"/>
      <c r="AW25" s="1051"/>
      <c r="AX25" s="1051"/>
      <c r="AY25" s="1051"/>
      <c r="AZ25" s="1051"/>
      <c r="BA25" s="1051"/>
      <c r="BB25" s="1051"/>
      <c r="BC25" s="1051"/>
      <c r="BD25" s="1051"/>
      <c r="BE25" s="1051"/>
      <c r="BF25" s="1051"/>
      <c r="BG25" s="1051"/>
      <c r="BH25" s="1051"/>
      <c r="BI25" s="1051"/>
      <c r="BJ25" s="1051"/>
      <c r="BK25" s="1051"/>
      <c r="BL25" s="1051"/>
      <c r="BM25" s="1051"/>
      <c r="BN25" s="1051"/>
      <c r="BO25" s="1051"/>
      <c r="BP25" s="1051"/>
      <c r="BQ25" s="1051"/>
      <c r="BR25" s="1051"/>
      <c r="BS25" s="1051"/>
      <c r="BT25" s="1051"/>
      <c r="BU25" s="1051"/>
      <c r="BV25" s="1051"/>
      <c r="BW25" s="1051"/>
      <c r="BX25" s="1051"/>
      <c r="BY25" s="1051"/>
      <c r="BZ25" s="1051"/>
      <c r="CA25" s="1051"/>
      <c r="CB25" s="1051"/>
      <c r="CC25" s="1051"/>
      <c r="CD25" s="1051"/>
      <c r="CE25" s="1051"/>
      <c r="CF25" s="1051"/>
      <c r="CG25" s="1051"/>
      <c r="CH25" s="1051"/>
      <c r="CI25" s="1051"/>
      <c r="CJ25" s="1051"/>
      <c r="CK25" s="1051"/>
      <c r="CL25" s="1051"/>
      <c r="CM25" s="1051"/>
      <c r="CN25" s="1051"/>
      <c r="CO25" s="1051"/>
      <c r="CP25" s="1051"/>
      <c r="CQ25" s="1051"/>
      <c r="CR25" s="1051"/>
      <c r="CS25" s="1051"/>
      <c r="CT25" s="1051"/>
      <c r="CU25" s="1051"/>
      <c r="CV25" s="1051"/>
      <c r="CW25" s="1051"/>
      <c r="CX25" s="1051"/>
      <c r="CY25" s="1051"/>
      <c r="CZ25" s="1051"/>
      <c r="DA25" s="1051"/>
      <c r="DB25" s="1051"/>
      <c r="DC25" s="1051"/>
      <c r="DD25" s="1051"/>
      <c r="DE25" s="1051"/>
      <c r="DF25" s="1051"/>
      <c r="DG25" s="1051"/>
      <c r="DH25" s="1051"/>
      <c r="DI25" s="1051"/>
      <c r="DJ25" s="1051"/>
      <c r="DK25" s="1051"/>
      <c r="DL25" s="1051"/>
    </row>
    <row r="26" spans="1:116" s="812" customFormat="1" ht="60.75">
      <c r="A26" s="1080" t="s">
        <v>391</v>
      </c>
      <c r="B26" s="935" t="s">
        <v>393</v>
      </c>
      <c r="C26" s="1052"/>
      <c r="D26" s="1081">
        <f t="shared" ref="D26:D71" si="5">E26+P26</f>
        <v>0</v>
      </c>
      <c r="E26" s="1082">
        <f t="shared" ref="E26:E49" si="6">F26+G26+H26+I26+J26+N26+O26</f>
        <v>0</v>
      </c>
      <c r="F26" s="1054"/>
      <c r="G26" s="1053"/>
      <c r="H26" s="1053"/>
      <c r="I26" s="1053"/>
      <c r="J26" s="1053"/>
      <c r="K26" s="1053"/>
      <c r="L26" s="1053"/>
      <c r="M26" s="1053"/>
      <c r="N26" s="1053"/>
      <c r="O26" s="1053"/>
      <c r="P26" s="1030">
        <f>Q26+R26+S26+T26+U26+V26+W26</f>
        <v>0</v>
      </c>
      <c r="Q26" s="1032"/>
      <c r="R26" s="1032"/>
      <c r="S26" s="1053"/>
      <c r="T26" s="1053"/>
      <c r="U26" s="1053"/>
      <c r="V26" s="1053"/>
      <c r="W26" s="1053"/>
      <c r="X26" s="1340"/>
      <c r="Y26" s="841"/>
      <c r="Z26" s="841"/>
      <c r="AA26" s="841"/>
      <c r="AB26" s="1334"/>
      <c r="AC26" s="1340"/>
      <c r="AD26" s="841"/>
      <c r="AE26" s="841"/>
      <c r="AF26" s="841"/>
      <c r="AG26" s="841"/>
      <c r="AH26" s="1049">
        <f t="shared" si="1"/>
        <v>0</v>
      </c>
      <c r="AI26" s="1051"/>
      <c r="AJ26" s="1051"/>
      <c r="AK26" s="1051"/>
      <c r="AL26" s="1051"/>
      <c r="AM26" s="1051"/>
      <c r="AN26" s="1051"/>
      <c r="AO26" s="1051"/>
      <c r="AP26" s="1051"/>
      <c r="AQ26" s="1051"/>
      <c r="AR26" s="1051"/>
      <c r="AS26" s="1051"/>
      <c r="AT26" s="1051"/>
      <c r="AU26" s="1051"/>
      <c r="AV26" s="1051"/>
      <c r="AW26" s="1051"/>
      <c r="AX26" s="1051"/>
      <c r="AY26" s="1051"/>
      <c r="AZ26" s="1051"/>
      <c r="BA26" s="1051"/>
      <c r="BB26" s="1051"/>
      <c r="BC26" s="1051"/>
      <c r="BD26" s="1051"/>
      <c r="BE26" s="1051"/>
      <c r="BF26" s="1051"/>
      <c r="BG26" s="1051"/>
      <c r="BH26" s="1051"/>
      <c r="BI26" s="1051"/>
      <c r="BJ26" s="1051"/>
      <c r="BK26" s="1051"/>
      <c r="BL26" s="1051"/>
      <c r="BM26" s="1051"/>
      <c r="BN26" s="1051"/>
      <c r="BO26" s="1051"/>
      <c r="BP26" s="1051"/>
      <c r="BQ26" s="1051"/>
      <c r="BR26" s="1051"/>
      <c r="BS26" s="1051"/>
      <c r="BT26" s="1051"/>
      <c r="BU26" s="1051"/>
      <c r="BV26" s="1051"/>
      <c r="BW26" s="1051"/>
      <c r="BX26" s="1051"/>
      <c r="BY26" s="1051"/>
      <c r="BZ26" s="1051"/>
      <c r="CA26" s="1051"/>
      <c r="CB26" s="1051"/>
      <c r="CC26" s="1051"/>
      <c r="CD26" s="1051"/>
      <c r="CE26" s="1051"/>
      <c r="CF26" s="1051"/>
      <c r="CG26" s="1051"/>
      <c r="CH26" s="1051"/>
      <c r="CI26" s="1051"/>
      <c r="CJ26" s="1051"/>
      <c r="CK26" s="1051"/>
      <c r="CL26" s="1051"/>
      <c r="CM26" s="1051"/>
      <c r="CN26" s="1051"/>
      <c r="CO26" s="1051"/>
      <c r="CP26" s="1051"/>
      <c r="CQ26" s="1051"/>
      <c r="CR26" s="1051"/>
      <c r="CS26" s="1051"/>
      <c r="CT26" s="1051"/>
      <c r="CU26" s="1051"/>
      <c r="CV26" s="1051"/>
      <c r="CW26" s="1051"/>
      <c r="CX26" s="1051"/>
      <c r="CY26" s="1051"/>
      <c r="CZ26" s="1051"/>
      <c r="DA26" s="1051"/>
      <c r="DB26" s="1051"/>
      <c r="DC26" s="1051"/>
      <c r="DD26" s="1051"/>
      <c r="DE26" s="1051"/>
      <c r="DF26" s="1051"/>
      <c r="DG26" s="1051"/>
      <c r="DH26" s="1051"/>
      <c r="DI26" s="1051"/>
      <c r="DJ26" s="1051"/>
      <c r="DK26" s="1051"/>
      <c r="DL26" s="1051"/>
    </row>
    <row r="27" spans="1:116" s="1079" customFormat="1" ht="42.75" customHeight="1">
      <c r="A27" s="1091" t="s">
        <v>394</v>
      </c>
      <c r="B27" s="1087" t="s">
        <v>395</v>
      </c>
      <c r="C27" s="1088"/>
      <c r="D27" s="1081">
        <f t="shared" si="5"/>
        <v>0</v>
      </c>
      <c r="E27" s="1082">
        <f t="shared" si="6"/>
        <v>0</v>
      </c>
      <c r="F27" s="1077"/>
      <c r="G27" s="1076"/>
      <c r="H27" s="1076"/>
      <c r="I27" s="1076"/>
      <c r="J27" s="1076"/>
      <c r="K27" s="1076"/>
      <c r="L27" s="1076"/>
      <c r="M27" s="1076"/>
      <c r="N27" s="1076"/>
      <c r="O27" s="1076"/>
      <c r="P27" s="1030">
        <f>Q27+R27+S27+T27+U27+V27+W27</f>
        <v>0</v>
      </c>
      <c r="Q27" s="1027"/>
      <c r="R27" s="1027"/>
      <c r="S27" s="1076"/>
      <c r="T27" s="1076"/>
      <c r="U27" s="1076"/>
      <c r="V27" s="1076"/>
      <c r="W27" s="1076"/>
      <c r="X27" s="1340"/>
      <c r="Y27" s="1029"/>
      <c r="Z27" s="1029"/>
      <c r="AA27" s="1029"/>
      <c r="AB27" s="1334"/>
      <c r="AC27" s="1340"/>
      <c r="AD27" s="1029"/>
      <c r="AE27" s="1029"/>
      <c r="AF27" s="1029"/>
      <c r="AG27" s="1029"/>
      <c r="AH27" s="1049">
        <f t="shared" si="1"/>
        <v>0</v>
      </c>
      <c r="AI27" s="1051"/>
      <c r="AJ27" s="1051"/>
      <c r="AK27" s="1051"/>
      <c r="AL27" s="1051"/>
      <c r="AM27" s="1051"/>
      <c r="AN27" s="1051"/>
      <c r="AO27" s="1051"/>
      <c r="AP27" s="1051"/>
      <c r="AQ27" s="1051"/>
      <c r="AR27" s="1051"/>
      <c r="AS27" s="1051"/>
      <c r="AT27" s="1051"/>
      <c r="AU27" s="1051"/>
      <c r="AV27" s="1051"/>
      <c r="AW27" s="1051"/>
      <c r="AX27" s="1051"/>
      <c r="AY27" s="1051"/>
      <c r="AZ27" s="1051"/>
      <c r="BA27" s="1051"/>
      <c r="BB27" s="1051"/>
      <c r="BC27" s="1051"/>
      <c r="BD27" s="1051"/>
      <c r="BE27" s="1051"/>
      <c r="BF27" s="1051"/>
      <c r="BG27" s="1051"/>
      <c r="BH27" s="1051"/>
      <c r="BI27" s="1051"/>
      <c r="BJ27" s="1051"/>
      <c r="BK27" s="1051"/>
      <c r="BL27" s="1051"/>
      <c r="BM27" s="1051"/>
      <c r="BN27" s="1051"/>
      <c r="BO27" s="1051"/>
      <c r="BP27" s="1051"/>
      <c r="BQ27" s="1051"/>
      <c r="BR27" s="1051"/>
      <c r="BS27" s="1051"/>
      <c r="BT27" s="1051"/>
      <c r="BU27" s="1051"/>
      <c r="BV27" s="1051"/>
      <c r="BW27" s="1051"/>
      <c r="BX27" s="1051"/>
      <c r="BY27" s="1051"/>
      <c r="BZ27" s="1051"/>
      <c r="CA27" s="1051"/>
      <c r="CB27" s="1051"/>
      <c r="CC27" s="1051"/>
      <c r="CD27" s="1051"/>
      <c r="CE27" s="1051"/>
      <c r="CF27" s="1051"/>
      <c r="CG27" s="1051"/>
      <c r="CH27" s="1051"/>
      <c r="CI27" s="1051"/>
      <c r="CJ27" s="1051"/>
      <c r="CK27" s="1051"/>
      <c r="CL27" s="1051"/>
      <c r="CM27" s="1051"/>
      <c r="CN27" s="1051"/>
      <c r="CO27" s="1051"/>
      <c r="CP27" s="1051"/>
      <c r="CQ27" s="1051"/>
      <c r="CR27" s="1051"/>
      <c r="CS27" s="1051"/>
      <c r="CT27" s="1051"/>
      <c r="CU27" s="1051"/>
      <c r="CV27" s="1051"/>
      <c r="CW27" s="1051"/>
      <c r="CX27" s="1051"/>
      <c r="CY27" s="1051"/>
      <c r="CZ27" s="1051"/>
      <c r="DA27" s="1051"/>
      <c r="DB27" s="1051"/>
      <c r="DC27" s="1051"/>
      <c r="DD27" s="1051"/>
      <c r="DE27" s="1051"/>
      <c r="DF27" s="1051"/>
      <c r="DG27" s="1051"/>
      <c r="DH27" s="1051"/>
      <c r="DI27" s="1051"/>
      <c r="DJ27" s="1051"/>
      <c r="DK27" s="1051"/>
      <c r="DL27" s="1051"/>
    </row>
    <row r="28" spans="1:116" s="840" customFormat="1" ht="40.5">
      <c r="A28" s="1080" t="s">
        <v>396</v>
      </c>
      <c r="B28" s="935" t="s">
        <v>398</v>
      </c>
      <c r="C28" s="1081"/>
      <c r="D28" s="1081">
        <f>D29</f>
        <v>3307099</v>
      </c>
      <c r="E28" s="1082">
        <f t="shared" si="6"/>
        <v>0</v>
      </c>
      <c r="F28" s="1082"/>
      <c r="G28" s="1083"/>
      <c r="H28" s="1083"/>
      <c r="I28" s="1083"/>
      <c r="J28" s="1083"/>
      <c r="K28" s="1083"/>
      <c r="L28" s="1083"/>
      <c r="M28" s="1083"/>
      <c r="N28" s="1083"/>
      <c r="O28" s="1083"/>
      <c r="P28" s="1030">
        <f>Q28+R28+S28+T28+U28+V28+W28</f>
        <v>0</v>
      </c>
      <c r="Q28" s="1030"/>
      <c r="R28" s="1030"/>
      <c r="S28" s="1083"/>
      <c r="T28" s="1083"/>
      <c r="U28" s="1083"/>
      <c r="V28" s="1083"/>
      <c r="W28" s="1083"/>
      <c r="X28" s="1340"/>
      <c r="Y28" s="1031"/>
      <c r="Z28" s="1031"/>
      <c r="AA28" s="1031"/>
      <c r="AB28" s="1334"/>
      <c r="AC28" s="1340"/>
      <c r="AD28" s="1031"/>
      <c r="AE28" s="1031"/>
      <c r="AF28" s="1031"/>
      <c r="AG28" s="1031"/>
      <c r="AH28" s="1049">
        <f t="shared" si="1"/>
        <v>3307099</v>
      </c>
      <c r="AI28" s="1051"/>
      <c r="AJ28" s="1051"/>
      <c r="AK28" s="1051"/>
      <c r="AL28" s="1051"/>
      <c r="AM28" s="1051"/>
      <c r="AN28" s="1051"/>
      <c r="AO28" s="1051"/>
      <c r="AP28" s="1051"/>
      <c r="AQ28" s="1051"/>
      <c r="AR28" s="1051"/>
      <c r="AS28" s="1051"/>
      <c r="AT28" s="1051"/>
      <c r="AU28" s="1051"/>
      <c r="AV28" s="1051"/>
      <c r="AW28" s="1051"/>
      <c r="AX28" s="1051"/>
      <c r="AY28" s="1051"/>
      <c r="AZ28" s="1051"/>
      <c r="BA28" s="1051"/>
      <c r="BB28" s="1051"/>
      <c r="BC28" s="1051"/>
      <c r="BD28" s="1051"/>
      <c r="BE28" s="1051"/>
      <c r="BF28" s="1051"/>
      <c r="BG28" s="1051"/>
      <c r="BH28" s="1051"/>
      <c r="BI28" s="1051"/>
      <c r="BJ28" s="1051"/>
      <c r="BK28" s="1051"/>
      <c r="BL28" s="1051"/>
      <c r="BM28" s="1051"/>
      <c r="BN28" s="1051"/>
      <c r="BO28" s="1051"/>
      <c r="BP28" s="1051"/>
      <c r="BQ28" s="1051"/>
      <c r="BR28" s="1051"/>
      <c r="BS28" s="1051"/>
      <c r="BT28" s="1051"/>
      <c r="BU28" s="1051"/>
      <c r="BV28" s="1051"/>
      <c r="BW28" s="1051"/>
      <c r="BX28" s="1051"/>
      <c r="BY28" s="1051"/>
      <c r="BZ28" s="1051"/>
      <c r="CA28" s="1051"/>
      <c r="CB28" s="1051"/>
      <c r="CC28" s="1051"/>
      <c r="CD28" s="1051"/>
      <c r="CE28" s="1051"/>
      <c r="CF28" s="1051"/>
      <c r="CG28" s="1051"/>
      <c r="CH28" s="1051"/>
      <c r="CI28" s="1051"/>
      <c r="CJ28" s="1051"/>
      <c r="CK28" s="1051"/>
      <c r="CL28" s="1051"/>
      <c r="CM28" s="1051"/>
      <c r="CN28" s="1051"/>
      <c r="CO28" s="1051"/>
      <c r="CP28" s="1051"/>
      <c r="CQ28" s="1051"/>
      <c r="CR28" s="1051"/>
      <c r="CS28" s="1051"/>
      <c r="CT28" s="1051"/>
      <c r="CU28" s="1051"/>
      <c r="CV28" s="1051"/>
      <c r="CW28" s="1051"/>
      <c r="CX28" s="1051"/>
      <c r="CY28" s="1051"/>
      <c r="CZ28" s="1051"/>
      <c r="DA28" s="1051"/>
      <c r="DB28" s="1051"/>
      <c r="DC28" s="1051"/>
      <c r="DD28" s="1051"/>
      <c r="DE28" s="1051"/>
      <c r="DF28" s="1051"/>
      <c r="DG28" s="1051"/>
      <c r="DH28" s="1051"/>
      <c r="DI28" s="1051"/>
      <c r="DJ28" s="1051"/>
      <c r="DK28" s="1051"/>
      <c r="DL28" s="1051"/>
    </row>
    <row r="29" spans="1:116" s="840" customFormat="1">
      <c r="A29" s="811" t="s">
        <v>400</v>
      </c>
      <c r="B29" s="1092" t="s">
        <v>401</v>
      </c>
      <c r="C29" s="1081"/>
      <c r="D29" s="1081">
        <f t="shared" si="5"/>
        <v>3307099</v>
      </c>
      <c r="E29" s="1082">
        <f t="shared" si="6"/>
        <v>0</v>
      </c>
      <c r="F29" s="1082"/>
      <c r="G29" s="1083"/>
      <c r="H29" s="1083"/>
      <c r="I29" s="1083"/>
      <c r="J29" s="1083"/>
      <c r="K29" s="1083"/>
      <c r="L29" s="1083"/>
      <c r="M29" s="1083"/>
      <c r="N29" s="1083"/>
      <c r="O29" s="1083"/>
      <c r="P29" s="1030">
        <f>Q29+R29+S29+T29+U29+V29+W29</f>
        <v>3307099</v>
      </c>
      <c r="Q29" s="1030">
        <f>Отчет!J56+Отчет!J66</f>
        <v>3307099</v>
      </c>
      <c r="R29" s="1030"/>
      <c r="S29" s="1083"/>
      <c r="T29" s="1083"/>
      <c r="U29" s="1083"/>
      <c r="V29" s="1083"/>
      <c r="W29" s="1083"/>
      <c r="X29" s="1340"/>
      <c r="Y29" s="1031"/>
      <c r="Z29" s="1031"/>
      <c r="AA29" s="1031"/>
      <c r="AB29" s="1334"/>
      <c r="AC29" s="1340"/>
      <c r="AD29" s="1031"/>
      <c r="AE29" s="1031">
        <f>AF29+AG29</f>
        <v>85893.742981285221</v>
      </c>
      <c r="AF29" s="973">
        <v>57381.227001285282</v>
      </c>
      <c r="AG29" s="973">
        <v>28512.515979999938</v>
      </c>
      <c r="AH29" s="1049">
        <f t="shared" si="1"/>
        <v>10093084.48596257</v>
      </c>
      <c r="AI29" s="1051"/>
      <c r="AJ29" s="1051"/>
      <c r="AK29" s="1051"/>
      <c r="AL29" s="1051"/>
      <c r="AM29" s="1051"/>
      <c r="AN29" s="1051"/>
      <c r="AO29" s="1051"/>
      <c r="AP29" s="1051"/>
      <c r="AQ29" s="1051"/>
      <c r="AR29" s="1051"/>
      <c r="AS29" s="1051"/>
      <c r="AT29" s="1051"/>
      <c r="AU29" s="1051"/>
      <c r="AV29" s="1051"/>
      <c r="AW29" s="1051"/>
      <c r="AX29" s="1051"/>
      <c r="AY29" s="1051"/>
      <c r="AZ29" s="1051"/>
      <c r="BA29" s="1051"/>
      <c r="BB29" s="1051"/>
      <c r="BC29" s="1051"/>
      <c r="BD29" s="1051"/>
      <c r="BE29" s="1051"/>
      <c r="BF29" s="1051"/>
      <c r="BG29" s="1051"/>
      <c r="BH29" s="1051"/>
      <c r="BI29" s="1051"/>
      <c r="BJ29" s="1051"/>
      <c r="BK29" s="1051"/>
      <c r="BL29" s="1051"/>
      <c r="BM29" s="1051"/>
      <c r="BN29" s="1051"/>
      <c r="BO29" s="1051"/>
      <c r="BP29" s="1051"/>
      <c r="BQ29" s="1051"/>
      <c r="BR29" s="1051"/>
      <c r="BS29" s="1051"/>
      <c r="BT29" s="1051"/>
      <c r="BU29" s="1051"/>
      <c r="BV29" s="1051"/>
      <c r="BW29" s="1051"/>
      <c r="BX29" s="1051"/>
      <c r="BY29" s="1051"/>
      <c r="BZ29" s="1051"/>
      <c r="CA29" s="1051"/>
      <c r="CB29" s="1051"/>
      <c r="CC29" s="1051"/>
      <c r="CD29" s="1051"/>
      <c r="CE29" s="1051"/>
      <c r="CF29" s="1051"/>
      <c r="CG29" s="1051"/>
      <c r="CH29" s="1051"/>
      <c r="CI29" s="1051"/>
      <c r="CJ29" s="1051"/>
      <c r="CK29" s="1051"/>
      <c r="CL29" s="1051"/>
      <c r="CM29" s="1051"/>
      <c r="CN29" s="1051"/>
      <c r="CO29" s="1051"/>
      <c r="CP29" s="1051"/>
      <c r="CQ29" s="1051"/>
      <c r="CR29" s="1051"/>
      <c r="CS29" s="1051"/>
      <c r="CT29" s="1051"/>
      <c r="CU29" s="1051"/>
      <c r="CV29" s="1051"/>
      <c r="CW29" s="1051"/>
      <c r="CX29" s="1051"/>
      <c r="CY29" s="1051"/>
      <c r="CZ29" s="1051"/>
      <c r="DA29" s="1051"/>
      <c r="DB29" s="1051"/>
      <c r="DC29" s="1051"/>
      <c r="DD29" s="1051"/>
      <c r="DE29" s="1051"/>
      <c r="DF29" s="1051"/>
      <c r="DG29" s="1051"/>
      <c r="DH29" s="1051"/>
      <c r="DI29" s="1051"/>
      <c r="DJ29" s="1051"/>
      <c r="DK29" s="1051"/>
      <c r="DL29" s="1051"/>
    </row>
    <row r="30" spans="1:116" s="840" customFormat="1" ht="60.75">
      <c r="A30" s="811" t="s">
        <v>646</v>
      </c>
      <c r="B30" s="1089" t="s">
        <v>812</v>
      </c>
      <c r="C30" s="1081"/>
      <c r="D30" s="1081">
        <f>E30+P30+D31+D35+D36+D37</f>
        <v>161894184.74786878</v>
      </c>
      <c r="E30" s="1082">
        <f>F30+G30+H30+I30+J30+N30+O30</f>
        <v>5521192.472662936</v>
      </c>
      <c r="F30" s="1082">
        <f>'036 гобм'!BM8+'036 гобм'!BZ8+'036 гобм'!BY8+'036 гобм'!BT6+'036 гобм'!BZ6</f>
        <v>5521192.472662936</v>
      </c>
      <c r="G30" s="1083"/>
      <c r="H30" s="1083"/>
      <c r="I30" s="1083"/>
      <c r="J30" s="1083"/>
      <c r="K30" s="1083"/>
      <c r="L30" s="1083"/>
      <c r="M30" s="1083"/>
      <c r="N30" s="1083"/>
      <c r="O30" s="1083"/>
      <c r="P30" s="1030">
        <f t="shared" ref="P30:P71" si="7">Q30+R30+S30+T30+U30+V30+W30</f>
        <v>155946626.30000001</v>
      </c>
      <c r="Q30" s="1030">
        <f>Отчет!J141+Отчет!J153++Отчет!K102+Отчет!K128</f>
        <v>155946626.30000001</v>
      </c>
      <c r="R30" s="1030"/>
      <c r="S30" s="1083"/>
      <c r="T30" s="1083"/>
      <c r="U30" s="1083"/>
      <c r="V30" s="1083"/>
      <c r="W30" s="1083"/>
      <c r="X30" s="1340">
        <f>Y30+Z30</f>
        <v>14363297</v>
      </c>
      <c r="Y30" s="1031"/>
      <c r="Z30" s="1031">
        <f>AA30</f>
        <v>14363297</v>
      </c>
      <c r="AA30" s="1031">
        <f>'Соцфин 9.1'!F14+AA35+AA36+AA31+AA46-2078250</f>
        <v>14363297</v>
      </c>
      <c r="AB30" s="1334"/>
      <c r="AC30" s="1340"/>
      <c r="AD30" s="1031"/>
      <c r="AE30" s="1031"/>
      <c r="AF30" s="1031"/>
      <c r="AG30" s="1031"/>
      <c r="AH30" s="1049">
        <f t="shared" si="1"/>
        <v>527919713.29319465</v>
      </c>
      <c r="AI30" s="1051"/>
      <c r="AJ30" s="1051"/>
      <c r="AK30" s="1051"/>
      <c r="AL30" s="1051"/>
      <c r="AM30" s="1051"/>
      <c r="AN30" s="1051"/>
      <c r="AO30" s="1051"/>
      <c r="AP30" s="1051"/>
      <c r="AQ30" s="1051"/>
      <c r="AR30" s="1051"/>
      <c r="AS30" s="1051"/>
      <c r="AT30" s="1051"/>
      <c r="AU30" s="1051"/>
      <c r="AV30" s="1051"/>
      <c r="AW30" s="1051"/>
      <c r="AX30" s="1051"/>
      <c r="AY30" s="1051"/>
      <c r="AZ30" s="1051"/>
      <c r="BA30" s="1051"/>
      <c r="BB30" s="1051"/>
      <c r="BC30" s="1051"/>
      <c r="BD30" s="1051"/>
      <c r="BE30" s="1051"/>
      <c r="BF30" s="1051"/>
      <c r="BG30" s="1051"/>
      <c r="BH30" s="1051"/>
      <c r="BI30" s="1051"/>
      <c r="BJ30" s="1051"/>
      <c r="BK30" s="1051"/>
      <c r="BL30" s="1051"/>
      <c r="BM30" s="1051"/>
      <c r="BN30" s="1051"/>
      <c r="BO30" s="1051"/>
      <c r="BP30" s="1051"/>
      <c r="BQ30" s="1051"/>
      <c r="BR30" s="1051"/>
      <c r="BS30" s="1051"/>
      <c r="BT30" s="1051"/>
      <c r="BU30" s="1051"/>
      <c r="BV30" s="1051"/>
      <c r="BW30" s="1051"/>
      <c r="BX30" s="1051"/>
      <c r="BY30" s="1051"/>
      <c r="BZ30" s="1051"/>
      <c r="CA30" s="1051"/>
      <c r="CB30" s="1051"/>
      <c r="CC30" s="1051"/>
      <c r="CD30" s="1051"/>
      <c r="CE30" s="1051"/>
      <c r="CF30" s="1051"/>
      <c r="CG30" s="1051"/>
      <c r="CH30" s="1051"/>
      <c r="CI30" s="1051"/>
      <c r="CJ30" s="1051"/>
      <c r="CK30" s="1051"/>
      <c r="CL30" s="1051"/>
      <c r="CM30" s="1051"/>
      <c r="CN30" s="1051"/>
      <c r="CO30" s="1051"/>
      <c r="CP30" s="1051"/>
      <c r="CQ30" s="1051"/>
      <c r="CR30" s="1051"/>
      <c r="CS30" s="1051"/>
      <c r="CT30" s="1051"/>
      <c r="CU30" s="1051"/>
      <c r="CV30" s="1051"/>
      <c r="CW30" s="1051"/>
      <c r="CX30" s="1051"/>
      <c r="CY30" s="1051"/>
      <c r="CZ30" s="1051"/>
      <c r="DA30" s="1051"/>
      <c r="DB30" s="1051"/>
      <c r="DC30" s="1051"/>
      <c r="DD30" s="1051"/>
      <c r="DE30" s="1051"/>
      <c r="DF30" s="1051"/>
      <c r="DG30" s="1051"/>
      <c r="DH30" s="1051"/>
      <c r="DI30" s="1051"/>
      <c r="DJ30" s="1051"/>
      <c r="DK30" s="1051"/>
      <c r="DL30" s="1051"/>
    </row>
    <row r="31" spans="1:116" s="840" customFormat="1">
      <c r="A31" s="1080" t="s">
        <v>404</v>
      </c>
      <c r="B31" s="935" t="s">
        <v>811</v>
      </c>
      <c r="C31" s="1081"/>
      <c r="D31" s="1081">
        <f t="shared" si="5"/>
        <v>0</v>
      </c>
      <c r="E31" s="1082">
        <f t="shared" si="6"/>
        <v>0</v>
      </c>
      <c r="F31" s="1082"/>
      <c r="G31" s="1083"/>
      <c r="H31" s="1083"/>
      <c r="I31" s="1083"/>
      <c r="J31" s="1083"/>
      <c r="K31" s="1083"/>
      <c r="L31" s="1083"/>
      <c r="M31" s="1083"/>
      <c r="N31" s="1083"/>
      <c r="O31" s="1083"/>
      <c r="P31" s="1030">
        <f t="shared" si="7"/>
        <v>0</v>
      </c>
      <c r="Q31" s="1030"/>
      <c r="R31" s="1030"/>
      <c r="S31" s="1083"/>
      <c r="T31" s="1083"/>
      <c r="U31" s="1083"/>
      <c r="V31" s="1083"/>
      <c r="W31" s="1083"/>
      <c r="X31" s="1340"/>
      <c r="Y31" s="1031"/>
      <c r="Z31" s="1031"/>
      <c r="AA31" s="1084"/>
      <c r="AB31" s="1334"/>
      <c r="AC31" s="1340"/>
      <c r="AD31" s="1031"/>
      <c r="AE31" s="1031"/>
      <c r="AF31" s="1031"/>
      <c r="AG31" s="1031"/>
      <c r="AH31" s="1049">
        <f t="shared" si="1"/>
        <v>0</v>
      </c>
      <c r="AI31" s="1051"/>
      <c r="AJ31" s="1051"/>
      <c r="AK31" s="1051"/>
      <c r="AL31" s="1051"/>
      <c r="AM31" s="1051"/>
      <c r="AN31" s="1051"/>
      <c r="AO31" s="1051"/>
      <c r="AP31" s="1051"/>
      <c r="AQ31" s="1051"/>
      <c r="AR31" s="1051"/>
      <c r="AS31" s="1051"/>
      <c r="AT31" s="1051"/>
      <c r="AU31" s="1051"/>
      <c r="AV31" s="1051"/>
      <c r="AW31" s="1051"/>
      <c r="AX31" s="1051"/>
      <c r="AY31" s="1051"/>
      <c r="AZ31" s="1051"/>
      <c r="BA31" s="1051"/>
      <c r="BB31" s="1051"/>
      <c r="BC31" s="1051"/>
      <c r="BD31" s="1051"/>
      <c r="BE31" s="1051"/>
      <c r="BF31" s="1051"/>
      <c r="BG31" s="1051"/>
      <c r="BH31" s="1051"/>
      <c r="BI31" s="1051"/>
      <c r="BJ31" s="1051"/>
      <c r="BK31" s="1051"/>
      <c r="BL31" s="1051"/>
      <c r="BM31" s="1051"/>
      <c r="BN31" s="1051"/>
      <c r="BO31" s="1051"/>
      <c r="BP31" s="1051"/>
      <c r="BQ31" s="1051"/>
      <c r="BR31" s="1051"/>
      <c r="BS31" s="1051"/>
      <c r="BT31" s="1051"/>
      <c r="BU31" s="1051"/>
      <c r="BV31" s="1051"/>
      <c r="BW31" s="1051"/>
      <c r="BX31" s="1051"/>
      <c r="BY31" s="1051"/>
      <c r="BZ31" s="1051"/>
      <c r="CA31" s="1051"/>
      <c r="CB31" s="1051"/>
      <c r="CC31" s="1051"/>
      <c r="CD31" s="1051"/>
      <c r="CE31" s="1051"/>
      <c r="CF31" s="1051"/>
      <c r="CG31" s="1051"/>
      <c r="CH31" s="1051"/>
      <c r="CI31" s="1051"/>
      <c r="CJ31" s="1051"/>
      <c r="CK31" s="1051"/>
      <c r="CL31" s="1051"/>
      <c r="CM31" s="1051"/>
      <c r="CN31" s="1051"/>
      <c r="CO31" s="1051"/>
      <c r="CP31" s="1051"/>
      <c r="CQ31" s="1051"/>
      <c r="CR31" s="1051"/>
      <c r="CS31" s="1051"/>
      <c r="CT31" s="1051"/>
      <c r="CU31" s="1051"/>
      <c r="CV31" s="1051"/>
      <c r="CW31" s="1051"/>
      <c r="CX31" s="1051"/>
      <c r="CY31" s="1051"/>
      <c r="CZ31" s="1051"/>
      <c r="DA31" s="1051"/>
      <c r="DB31" s="1051"/>
      <c r="DC31" s="1051"/>
      <c r="DD31" s="1051"/>
      <c r="DE31" s="1051"/>
      <c r="DF31" s="1051"/>
      <c r="DG31" s="1051"/>
      <c r="DH31" s="1051"/>
      <c r="DI31" s="1051"/>
      <c r="DJ31" s="1051"/>
      <c r="DK31" s="1051"/>
      <c r="DL31" s="1051"/>
    </row>
    <row r="32" spans="1:116" s="812" customFormat="1" ht="40.5">
      <c r="A32" s="1093" t="s">
        <v>406</v>
      </c>
      <c r="B32" s="935" t="s">
        <v>408</v>
      </c>
      <c r="C32" s="1052"/>
      <c r="D32" s="1081">
        <f t="shared" si="5"/>
        <v>0</v>
      </c>
      <c r="E32" s="1082">
        <f t="shared" si="6"/>
        <v>0</v>
      </c>
      <c r="F32" s="1054"/>
      <c r="G32" s="1053"/>
      <c r="H32" s="1053"/>
      <c r="I32" s="1053"/>
      <c r="J32" s="1053"/>
      <c r="K32" s="1053"/>
      <c r="L32" s="1053"/>
      <c r="M32" s="1053"/>
      <c r="N32" s="1053"/>
      <c r="O32" s="1053"/>
      <c r="P32" s="1030">
        <f t="shared" si="7"/>
        <v>0</v>
      </c>
      <c r="Q32" s="1032"/>
      <c r="R32" s="1032"/>
      <c r="S32" s="1053"/>
      <c r="T32" s="1053"/>
      <c r="U32" s="1053"/>
      <c r="V32" s="1053"/>
      <c r="W32" s="1053"/>
      <c r="X32" s="1340"/>
      <c r="Y32" s="841"/>
      <c r="Z32" s="841"/>
      <c r="AA32" s="841"/>
      <c r="AB32" s="1334"/>
      <c r="AC32" s="1340"/>
      <c r="AD32" s="841"/>
      <c r="AE32" s="841"/>
      <c r="AF32" s="841"/>
      <c r="AG32" s="841"/>
      <c r="AH32" s="1049">
        <f t="shared" si="1"/>
        <v>0</v>
      </c>
      <c r="AI32" s="1051"/>
      <c r="AJ32" s="1051"/>
      <c r="AK32" s="1051"/>
      <c r="AL32" s="1051"/>
      <c r="AM32" s="1051"/>
      <c r="AN32" s="1051"/>
      <c r="AO32" s="1051"/>
      <c r="AP32" s="1051"/>
      <c r="AQ32" s="1051"/>
      <c r="AR32" s="1051"/>
      <c r="AS32" s="1051"/>
      <c r="AT32" s="1051"/>
      <c r="AU32" s="1051"/>
      <c r="AV32" s="1051"/>
      <c r="AW32" s="1051"/>
      <c r="AX32" s="1051"/>
      <c r="AY32" s="1051"/>
      <c r="AZ32" s="1051"/>
      <c r="BA32" s="1051"/>
      <c r="BB32" s="1051"/>
      <c r="BC32" s="1051"/>
      <c r="BD32" s="1051"/>
      <c r="BE32" s="1051"/>
      <c r="BF32" s="1051"/>
      <c r="BG32" s="1051"/>
      <c r="BH32" s="1051"/>
      <c r="BI32" s="1051"/>
      <c r="BJ32" s="1051"/>
      <c r="BK32" s="1051"/>
      <c r="BL32" s="1051"/>
      <c r="BM32" s="1051"/>
      <c r="BN32" s="1051"/>
      <c r="BO32" s="1051"/>
      <c r="BP32" s="1051"/>
      <c r="BQ32" s="1051"/>
      <c r="BR32" s="1051"/>
      <c r="BS32" s="1051"/>
      <c r="BT32" s="1051"/>
      <c r="BU32" s="1051"/>
      <c r="BV32" s="1051"/>
      <c r="BW32" s="1051"/>
      <c r="BX32" s="1051"/>
      <c r="BY32" s="1051"/>
      <c r="BZ32" s="1051"/>
      <c r="CA32" s="1051"/>
      <c r="CB32" s="1051"/>
      <c r="CC32" s="1051"/>
      <c r="CD32" s="1051"/>
      <c r="CE32" s="1051"/>
      <c r="CF32" s="1051"/>
      <c r="CG32" s="1051"/>
      <c r="CH32" s="1051"/>
      <c r="CI32" s="1051"/>
      <c r="CJ32" s="1051"/>
      <c r="CK32" s="1051"/>
      <c r="CL32" s="1051"/>
      <c r="CM32" s="1051"/>
      <c r="CN32" s="1051"/>
      <c r="CO32" s="1051"/>
      <c r="CP32" s="1051"/>
      <c r="CQ32" s="1051"/>
      <c r="CR32" s="1051"/>
      <c r="CS32" s="1051"/>
      <c r="CT32" s="1051"/>
      <c r="CU32" s="1051"/>
      <c r="CV32" s="1051"/>
      <c r="CW32" s="1051"/>
      <c r="CX32" s="1051"/>
      <c r="CY32" s="1051"/>
      <c r="CZ32" s="1051"/>
      <c r="DA32" s="1051"/>
      <c r="DB32" s="1051"/>
      <c r="DC32" s="1051"/>
      <c r="DD32" s="1051"/>
      <c r="DE32" s="1051"/>
      <c r="DF32" s="1051"/>
      <c r="DG32" s="1051"/>
      <c r="DH32" s="1051"/>
      <c r="DI32" s="1051"/>
      <c r="DJ32" s="1051"/>
      <c r="DK32" s="1051"/>
      <c r="DL32" s="1051"/>
    </row>
    <row r="33" spans="1:116" s="812" customFormat="1">
      <c r="A33" s="1093" t="s">
        <v>409</v>
      </c>
      <c r="B33" s="935" t="s">
        <v>411</v>
      </c>
      <c r="C33" s="1052"/>
      <c r="D33" s="1081">
        <f t="shared" si="5"/>
        <v>0</v>
      </c>
      <c r="E33" s="1082">
        <f t="shared" si="6"/>
        <v>0</v>
      </c>
      <c r="F33" s="1054"/>
      <c r="G33" s="1053"/>
      <c r="H33" s="1053"/>
      <c r="I33" s="1053"/>
      <c r="J33" s="1053"/>
      <c r="K33" s="1053"/>
      <c r="L33" s="1053"/>
      <c r="M33" s="1053"/>
      <c r="N33" s="1053"/>
      <c r="O33" s="1053"/>
      <c r="P33" s="1030">
        <f t="shared" si="7"/>
        <v>0</v>
      </c>
      <c r="Q33" s="1032"/>
      <c r="R33" s="1032"/>
      <c r="S33" s="1053"/>
      <c r="T33" s="1053"/>
      <c r="U33" s="1053"/>
      <c r="V33" s="1053"/>
      <c r="W33" s="1053"/>
      <c r="X33" s="1340"/>
      <c r="Y33" s="841"/>
      <c r="Z33" s="841"/>
      <c r="AA33" s="841"/>
      <c r="AB33" s="1334"/>
      <c r="AC33" s="1340"/>
      <c r="AD33" s="841"/>
      <c r="AE33" s="841"/>
      <c r="AF33" s="841"/>
      <c r="AG33" s="841"/>
      <c r="AH33" s="1049">
        <f t="shared" si="1"/>
        <v>0</v>
      </c>
      <c r="AI33" s="1051"/>
      <c r="AJ33" s="1051"/>
      <c r="AK33" s="1051"/>
      <c r="AL33" s="1051"/>
      <c r="AM33" s="1051"/>
      <c r="AN33" s="1051"/>
      <c r="AO33" s="1051"/>
      <c r="AP33" s="1051"/>
      <c r="AQ33" s="1051"/>
      <c r="AR33" s="1051"/>
      <c r="AS33" s="1051"/>
      <c r="AT33" s="1051"/>
      <c r="AU33" s="1051"/>
      <c r="AV33" s="1051"/>
      <c r="AW33" s="1051"/>
      <c r="AX33" s="1051"/>
      <c r="AY33" s="1051"/>
      <c r="AZ33" s="1051"/>
      <c r="BA33" s="1051"/>
      <c r="BB33" s="1051"/>
      <c r="BC33" s="1051"/>
      <c r="BD33" s="1051"/>
      <c r="BE33" s="1051"/>
      <c r="BF33" s="1051"/>
      <c r="BG33" s="1051"/>
      <c r="BH33" s="1051"/>
      <c r="BI33" s="1051"/>
      <c r="BJ33" s="1051"/>
      <c r="BK33" s="1051"/>
      <c r="BL33" s="1051"/>
      <c r="BM33" s="1051"/>
      <c r="BN33" s="1051"/>
      <c r="BO33" s="1051"/>
      <c r="BP33" s="1051"/>
      <c r="BQ33" s="1051"/>
      <c r="BR33" s="1051"/>
      <c r="BS33" s="1051"/>
      <c r="BT33" s="1051"/>
      <c r="BU33" s="1051"/>
      <c r="BV33" s="1051"/>
      <c r="BW33" s="1051"/>
      <c r="BX33" s="1051"/>
      <c r="BY33" s="1051"/>
      <c r="BZ33" s="1051"/>
      <c r="CA33" s="1051"/>
      <c r="CB33" s="1051"/>
      <c r="CC33" s="1051"/>
      <c r="CD33" s="1051"/>
      <c r="CE33" s="1051"/>
      <c r="CF33" s="1051"/>
      <c r="CG33" s="1051"/>
      <c r="CH33" s="1051"/>
      <c r="CI33" s="1051"/>
      <c r="CJ33" s="1051"/>
      <c r="CK33" s="1051"/>
      <c r="CL33" s="1051"/>
      <c r="CM33" s="1051"/>
      <c r="CN33" s="1051"/>
      <c r="CO33" s="1051"/>
      <c r="CP33" s="1051"/>
      <c r="CQ33" s="1051"/>
      <c r="CR33" s="1051"/>
      <c r="CS33" s="1051"/>
      <c r="CT33" s="1051"/>
      <c r="CU33" s="1051"/>
      <c r="CV33" s="1051"/>
      <c r="CW33" s="1051"/>
      <c r="CX33" s="1051"/>
      <c r="CY33" s="1051"/>
      <c r="CZ33" s="1051"/>
      <c r="DA33" s="1051"/>
      <c r="DB33" s="1051"/>
      <c r="DC33" s="1051"/>
      <c r="DD33" s="1051"/>
      <c r="DE33" s="1051"/>
      <c r="DF33" s="1051"/>
      <c r="DG33" s="1051"/>
      <c r="DH33" s="1051"/>
      <c r="DI33" s="1051"/>
      <c r="DJ33" s="1051"/>
      <c r="DK33" s="1051"/>
      <c r="DL33" s="1051"/>
    </row>
    <row r="34" spans="1:116" s="812" customFormat="1" ht="60.75">
      <c r="A34" s="1093" t="s">
        <v>412</v>
      </c>
      <c r="B34" s="935" t="s">
        <v>414</v>
      </c>
      <c r="C34" s="1052"/>
      <c r="D34" s="1081">
        <f t="shared" si="5"/>
        <v>0</v>
      </c>
      <c r="E34" s="1082">
        <f t="shared" si="6"/>
        <v>0</v>
      </c>
      <c r="F34" s="1054"/>
      <c r="G34" s="1053"/>
      <c r="H34" s="1053"/>
      <c r="I34" s="1053"/>
      <c r="J34" s="1053"/>
      <c r="K34" s="1053"/>
      <c r="L34" s="1053"/>
      <c r="M34" s="1053"/>
      <c r="N34" s="1053"/>
      <c r="O34" s="1053"/>
      <c r="P34" s="1030">
        <f t="shared" si="7"/>
        <v>0</v>
      </c>
      <c r="Q34" s="1032"/>
      <c r="R34" s="1032"/>
      <c r="S34" s="1053"/>
      <c r="T34" s="1053"/>
      <c r="U34" s="1053"/>
      <c r="V34" s="1053"/>
      <c r="W34" s="1053"/>
      <c r="X34" s="1340"/>
      <c r="Y34" s="841"/>
      <c r="Z34" s="841"/>
      <c r="AA34" s="841"/>
      <c r="AB34" s="1334"/>
      <c r="AC34" s="1340"/>
      <c r="AD34" s="841"/>
      <c r="AE34" s="841"/>
      <c r="AF34" s="841"/>
      <c r="AG34" s="841"/>
      <c r="AH34" s="1049">
        <f t="shared" si="1"/>
        <v>0</v>
      </c>
      <c r="AI34" s="1051"/>
      <c r="AJ34" s="1051"/>
      <c r="AK34" s="1051"/>
      <c r="AL34" s="1051"/>
      <c r="AM34" s="1051"/>
      <c r="AN34" s="1051"/>
      <c r="AO34" s="1051"/>
      <c r="AP34" s="1051"/>
      <c r="AQ34" s="1051"/>
      <c r="AR34" s="1051"/>
      <c r="AS34" s="1051"/>
      <c r="AT34" s="1051"/>
      <c r="AU34" s="1051"/>
      <c r="AV34" s="1051"/>
      <c r="AW34" s="1051"/>
      <c r="AX34" s="1051"/>
      <c r="AY34" s="1051"/>
      <c r="AZ34" s="1051"/>
      <c r="BA34" s="1051"/>
      <c r="BB34" s="1051"/>
      <c r="BC34" s="1051"/>
      <c r="BD34" s="1051"/>
      <c r="BE34" s="1051"/>
      <c r="BF34" s="1051"/>
      <c r="BG34" s="1051"/>
      <c r="BH34" s="1051"/>
      <c r="BI34" s="1051"/>
      <c r="BJ34" s="1051"/>
      <c r="BK34" s="1051"/>
      <c r="BL34" s="1051"/>
      <c r="BM34" s="1051"/>
      <c r="BN34" s="1051"/>
      <c r="BO34" s="1051"/>
      <c r="BP34" s="1051"/>
      <c r="BQ34" s="1051"/>
      <c r="BR34" s="1051"/>
      <c r="BS34" s="1051"/>
      <c r="BT34" s="1051"/>
      <c r="BU34" s="1051"/>
      <c r="BV34" s="1051"/>
      <c r="BW34" s="1051"/>
      <c r="BX34" s="1051"/>
      <c r="BY34" s="1051"/>
      <c r="BZ34" s="1051"/>
      <c r="CA34" s="1051"/>
      <c r="CB34" s="1051"/>
      <c r="CC34" s="1051"/>
      <c r="CD34" s="1051"/>
      <c r="CE34" s="1051"/>
      <c r="CF34" s="1051"/>
      <c r="CG34" s="1051"/>
      <c r="CH34" s="1051"/>
      <c r="CI34" s="1051"/>
      <c r="CJ34" s="1051"/>
      <c r="CK34" s="1051"/>
      <c r="CL34" s="1051"/>
      <c r="CM34" s="1051"/>
      <c r="CN34" s="1051"/>
      <c r="CO34" s="1051"/>
      <c r="CP34" s="1051"/>
      <c r="CQ34" s="1051"/>
      <c r="CR34" s="1051"/>
      <c r="CS34" s="1051"/>
      <c r="CT34" s="1051"/>
      <c r="CU34" s="1051"/>
      <c r="CV34" s="1051"/>
      <c r="CW34" s="1051"/>
      <c r="CX34" s="1051"/>
      <c r="CY34" s="1051"/>
      <c r="CZ34" s="1051"/>
      <c r="DA34" s="1051"/>
      <c r="DB34" s="1051"/>
      <c r="DC34" s="1051"/>
      <c r="DD34" s="1051"/>
      <c r="DE34" s="1051"/>
      <c r="DF34" s="1051"/>
      <c r="DG34" s="1051"/>
      <c r="DH34" s="1051"/>
      <c r="DI34" s="1051"/>
      <c r="DJ34" s="1051"/>
      <c r="DK34" s="1051"/>
      <c r="DL34" s="1051"/>
    </row>
    <row r="35" spans="1:116" s="812" customFormat="1" ht="40.5">
      <c r="A35" s="1080" t="s">
        <v>415</v>
      </c>
      <c r="B35" s="935" t="s">
        <v>417</v>
      </c>
      <c r="C35" s="1052"/>
      <c r="D35" s="1081">
        <f t="shared" si="5"/>
        <v>0</v>
      </c>
      <c r="E35" s="1082">
        <f t="shared" si="6"/>
        <v>0</v>
      </c>
      <c r="F35" s="1032"/>
      <c r="G35" s="1053"/>
      <c r="H35" s="1053"/>
      <c r="I35" s="1053"/>
      <c r="J35" s="1053"/>
      <c r="K35" s="1053"/>
      <c r="L35" s="1053"/>
      <c r="M35" s="1053"/>
      <c r="N35" s="1053"/>
      <c r="O35" s="1053"/>
      <c r="P35" s="1030">
        <f t="shared" si="7"/>
        <v>0</v>
      </c>
      <c r="Q35" s="1032"/>
      <c r="R35" s="1032"/>
      <c r="S35" s="1053"/>
      <c r="T35" s="1053"/>
      <c r="U35" s="1053"/>
      <c r="V35" s="1053"/>
      <c r="W35" s="1053"/>
      <c r="X35" s="1340"/>
      <c r="Y35" s="841"/>
      <c r="Z35" s="841"/>
      <c r="AA35" s="841">
        <f>'Соцфин 9.1'!F16</f>
        <v>1814689</v>
      </c>
      <c r="AB35" s="1334"/>
      <c r="AC35" s="1340"/>
      <c r="AD35" s="841"/>
      <c r="AE35" s="841"/>
      <c r="AF35" s="841"/>
      <c r="AG35" s="841"/>
      <c r="AH35" s="1049">
        <f t="shared" si="1"/>
        <v>1814689</v>
      </c>
      <c r="AI35" s="1051"/>
      <c r="AJ35" s="1051"/>
      <c r="AK35" s="1051"/>
      <c r="AL35" s="1051"/>
      <c r="AM35" s="1051"/>
      <c r="AN35" s="1051"/>
      <c r="AO35" s="1051"/>
      <c r="AP35" s="1051"/>
      <c r="AQ35" s="1051"/>
      <c r="AR35" s="1051"/>
      <c r="AS35" s="1051"/>
      <c r="AT35" s="1051"/>
      <c r="AU35" s="1051"/>
      <c r="AV35" s="1051"/>
      <c r="AW35" s="1051"/>
      <c r="AX35" s="1051"/>
      <c r="AY35" s="1051"/>
      <c r="AZ35" s="1051"/>
      <c r="BA35" s="1051"/>
      <c r="BB35" s="1051"/>
      <c r="BC35" s="1051"/>
      <c r="BD35" s="1051"/>
      <c r="BE35" s="1051"/>
      <c r="BF35" s="1051"/>
      <c r="BG35" s="1051"/>
      <c r="BH35" s="1051"/>
      <c r="BI35" s="1051"/>
      <c r="BJ35" s="1051"/>
      <c r="BK35" s="1051"/>
      <c r="BL35" s="1051"/>
      <c r="BM35" s="1051"/>
      <c r="BN35" s="1051"/>
      <c r="BO35" s="1051"/>
      <c r="BP35" s="1051"/>
      <c r="BQ35" s="1051"/>
      <c r="BR35" s="1051"/>
      <c r="BS35" s="1051"/>
      <c r="BT35" s="1051"/>
      <c r="BU35" s="1051"/>
      <c r="BV35" s="1051"/>
      <c r="BW35" s="1051"/>
      <c r="BX35" s="1051"/>
      <c r="BY35" s="1051"/>
      <c r="BZ35" s="1051"/>
      <c r="CA35" s="1051"/>
      <c r="CB35" s="1051"/>
      <c r="CC35" s="1051"/>
      <c r="CD35" s="1051"/>
      <c r="CE35" s="1051"/>
      <c r="CF35" s="1051"/>
      <c r="CG35" s="1051"/>
      <c r="CH35" s="1051"/>
      <c r="CI35" s="1051"/>
      <c r="CJ35" s="1051"/>
      <c r="CK35" s="1051"/>
      <c r="CL35" s="1051"/>
      <c r="CM35" s="1051"/>
      <c r="CN35" s="1051"/>
      <c r="CO35" s="1051"/>
      <c r="CP35" s="1051"/>
      <c r="CQ35" s="1051"/>
      <c r="CR35" s="1051"/>
      <c r="CS35" s="1051"/>
      <c r="CT35" s="1051"/>
      <c r="CU35" s="1051"/>
      <c r="CV35" s="1051"/>
      <c r="CW35" s="1051"/>
      <c r="CX35" s="1051"/>
      <c r="CY35" s="1051"/>
      <c r="CZ35" s="1051"/>
      <c r="DA35" s="1051"/>
      <c r="DB35" s="1051"/>
      <c r="DC35" s="1051"/>
      <c r="DD35" s="1051"/>
      <c r="DE35" s="1051"/>
      <c r="DF35" s="1051"/>
      <c r="DG35" s="1051"/>
      <c r="DH35" s="1051"/>
      <c r="DI35" s="1051"/>
      <c r="DJ35" s="1051"/>
      <c r="DK35" s="1051"/>
      <c r="DL35" s="1051"/>
    </row>
    <row r="36" spans="1:116" s="812" customFormat="1" ht="40.5">
      <c r="A36" s="1080" t="s">
        <v>418</v>
      </c>
      <c r="B36" s="935" t="s">
        <v>420</v>
      </c>
      <c r="C36" s="1052"/>
      <c r="D36" s="1081">
        <f t="shared" si="5"/>
        <v>0</v>
      </c>
      <c r="E36" s="1082">
        <f t="shared" si="6"/>
        <v>0</v>
      </c>
      <c r="F36" s="1054"/>
      <c r="G36" s="1053"/>
      <c r="H36" s="1053"/>
      <c r="I36" s="1053"/>
      <c r="J36" s="1053"/>
      <c r="K36" s="1053"/>
      <c r="L36" s="1053"/>
      <c r="M36" s="1053"/>
      <c r="N36" s="1053"/>
      <c r="O36" s="1053"/>
      <c r="P36" s="1030">
        <f t="shared" si="7"/>
        <v>0</v>
      </c>
      <c r="Q36" s="1032"/>
      <c r="R36" s="1032"/>
      <c r="S36" s="1053"/>
      <c r="T36" s="1053"/>
      <c r="U36" s="1053"/>
      <c r="V36" s="1053"/>
      <c r="W36" s="1053"/>
      <c r="X36" s="1340"/>
      <c r="Y36" s="841"/>
      <c r="Z36" s="841"/>
      <c r="AA36" s="841">
        <f>'Соцфин 9.1'!F15</f>
        <v>3295343</v>
      </c>
      <c r="AB36" s="1334"/>
      <c r="AC36" s="1340"/>
      <c r="AD36" s="841"/>
      <c r="AE36" s="841"/>
      <c r="AF36" s="841"/>
      <c r="AG36" s="841"/>
      <c r="AH36" s="1049">
        <f t="shared" si="1"/>
        <v>3295343</v>
      </c>
      <c r="AI36" s="1051"/>
      <c r="AJ36" s="1051"/>
      <c r="AK36" s="1051"/>
      <c r="AL36" s="1051"/>
      <c r="AM36" s="1051"/>
      <c r="AN36" s="1051"/>
      <c r="AO36" s="1051"/>
      <c r="AP36" s="1051"/>
      <c r="AQ36" s="1051"/>
      <c r="AR36" s="1051"/>
      <c r="AS36" s="1051"/>
      <c r="AT36" s="1051"/>
      <c r="AU36" s="1051"/>
      <c r="AV36" s="1051"/>
      <c r="AW36" s="1051"/>
      <c r="AX36" s="1051"/>
      <c r="AY36" s="1051"/>
      <c r="AZ36" s="1051"/>
      <c r="BA36" s="1051"/>
      <c r="BB36" s="1051"/>
      <c r="BC36" s="1051"/>
      <c r="BD36" s="1051"/>
      <c r="BE36" s="1051"/>
      <c r="BF36" s="1051"/>
      <c r="BG36" s="1051"/>
      <c r="BH36" s="1051"/>
      <c r="BI36" s="1051"/>
      <c r="BJ36" s="1051"/>
      <c r="BK36" s="1051"/>
      <c r="BL36" s="1051"/>
      <c r="BM36" s="1051"/>
      <c r="BN36" s="1051"/>
      <c r="BO36" s="1051"/>
      <c r="BP36" s="1051"/>
      <c r="BQ36" s="1051"/>
      <c r="BR36" s="1051"/>
      <c r="BS36" s="1051"/>
      <c r="BT36" s="1051"/>
      <c r="BU36" s="1051"/>
      <c r="BV36" s="1051"/>
      <c r="BW36" s="1051"/>
      <c r="BX36" s="1051"/>
      <c r="BY36" s="1051"/>
      <c r="BZ36" s="1051"/>
      <c r="CA36" s="1051"/>
      <c r="CB36" s="1051"/>
      <c r="CC36" s="1051"/>
      <c r="CD36" s="1051"/>
      <c r="CE36" s="1051"/>
      <c r="CF36" s="1051"/>
      <c r="CG36" s="1051"/>
      <c r="CH36" s="1051"/>
      <c r="CI36" s="1051"/>
      <c r="CJ36" s="1051"/>
      <c r="CK36" s="1051"/>
      <c r="CL36" s="1051"/>
      <c r="CM36" s="1051"/>
      <c r="CN36" s="1051"/>
      <c r="CO36" s="1051"/>
      <c r="CP36" s="1051"/>
      <c r="CQ36" s="1051"/>
      <c r="CR36" s="1051"/>
      <c r="CS36" s="1051"/>
      <c r="CT36" s="1051"/>
      <c r="CU36" s="1051"/>
      <c r="CV36" s="1051"/>
      <c r="CW36" s="1051"/>
      <c r="CX36" s="1051"/>
      <c r="CY36" s="1051"/>
      <c r="CZ36" s="1051"/>
      <c r="DA36" s="1051"/>
      <c r="DB36" s="1051"/>
      <c r="DC36" s="1051"/>
      <c r="DD36" s="1051"/>
      <c r="DE36" s="1051"/>
      <c r="DF36" s="1051"/>
      <c r="DG36" s="1051"/>
      <c r="DH36" s="1051"/>
      <c r="DI36" s="1051"/>
      <c r="DJ36" s="1051"/>
      <c r="DK36" s="1051"/>
      <c r="DL36" s="1051"/>
    </row>
    <row r="37" spans="1:116" s="821" customFormat="1" ht="40.5">
      <c r="A37" s="1080" t="s">
        <v>421</v>
      </c>
      <c r="B37" s="935" t="s">
        <v>422</v>
      </c>
      <c r="C37" s="1094"/>
      <c r="D37" s="1081">
        <f>D38+D39+D40+D41+D42+D43+D44+D45</f>
        <v>426365.97520584532</v>
      </c>
      <c r="E37" s="1082">
        <f t="shared" si="6"/>
        <v>0</v>
      </c>
      <c r="F37" s="1095"/>
      <c r="G37" s="1096"/>
      <c r="H37" s="1096"/>
      <c r="I37" s="1096"/>
      <c r="J37" s="1096"/>
      <c r="K37" s="1096"/>
      <c r="L37" s="1096"/>
      <c r="M37" s="1096"/>
      <c r="N37" s="1096"/>
      <c r="O37" s="1096"/>
      <c r="P37" s="1030">
        <f t="shared" si="7"/>
        <v>0</v>
      </c>
      <c r="Q37" s="1056"/>
      <c r="R37" s="1056"/>
      <c r="S37" s="1096"/>
      <c r="T37" s="1097"/>
      <c r="U37" s="1096"/>
      <c r="V37" s="1096"/>
      <c r="W37" s="1096"/>
      <c r="X37" s="1340"/>
      <c r="Y37" s="1048"/>
      <c r="Z37" s="1048"/>
      <c r="AA37" s="1048"/>
      <c r="AB37" s="1334"/>
      <c r="AC37" s="1340"/>
      <c r="AD37" s="1048"/>
      <c r="AE37" s="1048"/>
      <c r="AF37" s="1048"/>
      <c r="AG37" s="1048"/>
      <c r="AH37" s="1049">
        <f t="shared" si="1"/>
        <v>426365.97520584532</v>
      </c>
      <c r="AI37" s="1051"/>
      <c r="AJ37" s="1051"/>
      <c r="AK37" s="1051"/>
      <c r="AL37" s="1051"/>
      <c r="AM37" s="1051"/>
      <c r="AN37" s="1051"/>
      <c r="AO37" s="1051"/>
      <c r="AP37" s="1051"/>
      <c r="AQ37" s="1051"/>
      <c r="AR37" s="1051"/>
      <c r="AS37" s="1051"/>
      <c r="AT37" s="1051"/>
      <c r="AU37" s="1051"/>
      <c r="AV37" s="1051"/>
      <c r="AW37" s="1051"/>
      <c r="AX37" s="1051"/>
      <c r="AY37" s="1051"/>
      <c r="AZ37" s="1051"/>
      <c r="BA37" s="1051"/>
      <c r="BB37" s="1051"/>
      <c r="BC37" s="1051"/>
      <c r="BD37" s="1051"/>
      <c r="BE37" s="1051"/>
      <c r="BF37" s="1051"/>
      <c r="BG37" s="1051"/>
      <c r="BH37" s="1051"/>
      <c r="BI37" s="1051"/>
      <c r="BJ37" s="1051"/>
      <c r="BK37" s="1051"/>
      <c r="BL37" s="1051"/>
      <c r="BM37" s="1051"/>
      <c r="BN37" s="1051"/>
      <c r="BO37" s="1051"/>
      <c r="BP37" s="1051"/>
      <c r="BQ37" s="1051"/>
      <c r="BR37" s="1051"/>
      <c r="BS37" s="1051"/>
      <c r="BT37" s="1051"/>
      <c r="BU37" s="1051"/>
      <c r="BV37" s="1051"/>
      <c r="BW37" s="1051"/>
      <c r="BX37" s="1051"/>
      <c r="BY37" s="1051"/>
      <c r="BZ37" s="1051"/>
      <c r="CA37" s="1051"/>
      <c r="CB37" s="1051"/>
      <c r="CC37" s="1051"/>
      <c r="CD37" s="1051"/>
      <c r="CE37" s="1051"/>
      <c r="CF37" s="1051"/>
      <c r="CG37" s="1051"/>
      <c r="CH37" s="1051"/>
      <c r="CI37" s="1051"/>
      <c r="CJ37" s="1051"/>
      <c r="CK37" s="1051"/>
      <c r="CL37" s="1051"/>
      <c r="CM37" s="1051"/>
      <c r="CN37" s="1051"/>
      <c r="CO37" s="1051"/>
      <c r="CP37" s="1051"/>
      <c r="CQ37" s="1051"/>
      <c r="CR37" s="1051"/>
      <c r="CS37" s="1051"/>
      <c r="CT37" s="1051"/>
      <c r="CU37" s="1051"/>
      <c r="CV37" s="1051"/>
      <c r="CW37" s="1051"/>
      <c r="CX37" s="1051"/>
      <c r="CY37" s="1051"/>
      <c r="CZ37" s="1051"/>
      <c r="DA37" s="1051"/>
      <c r="DB37" s="1051"/>
      <c r="DC37" s="1051"/>
      <c r="DD37" s="1051"/>
      <c r="DE37" s="1051"/>
      <c r="DF37" s="1051"/>
      <c r="DG37" s="1051"/>
      <c r="DH37" s="1051"/>
      <c r="DI37" s="1051"/>
      <c r="DJ37" s="1051"/>
      <c r="DK37" s="1051"/>
      <c r="DL37" s="1051"/>
    </row>
    <row r="38" spans="1:116" s="812" customFormat="1" ht="60.75">
      <c r="A38" s="1093" t="s">
        <v>423</v>
      </c>
      <c r="B38" s="935" t="s">
        <v>424</v>
      </c>
      <c r="C38" s="1052"/>
      <c r="D38" s="1081">
        <f t="shared" si="5"/>
        <v>0</v>
      </c>
      <c r="E38" s="1082">
        <f t="shared" si="6"/>
        <v>0</v>
      </c>
      <c r="F38" s="1054"/>
      <c r="G38" s="1053"/>
      <c r="H38" s="1053"/>
      <c r="I38" s="1053"/>
      <c r="J38" s="1053"/>
      <c r="K38" s="1053"/>
      <c r="L38" s="1053"/>
      <c r="M38" s="1053"/>
      <c r="N38" s="1053"/>
      <c r="O38" s="1053"/>
      <c r="P38" s="1030">
        <f t="shared" si="7"/>
        <v>0</v>
      </c>
      <c r="Q38" s="1032"/>
      <c r="R38" s="1032"/>
      <c r="S38" s="1053"/>
      <c r="T38" s="1053"/>
      <c r="U38" s="1053"/>
      <c r="V38" s="1053"/>
      <c r="W38" s="1053"/>
      <c r="X38" s="1340"/>
      <c r="Y38" s="841"/>
      <c r="Z38" s="841"/>
      <c r="AA38" s="841"/>
      <c r="AB38" s="1334"/>
      <c r="AC38" s="1340"/>
      <c r="AD38" s="841"/>
      <c r="AE38" s="841"/>
      <c r="AF38" s="841"/>
      <c r="AG38" s="841"/>
      <c r="AH38" s="1049">
        <f t="shared" si="1"/>
        <v>0</v>
      </c>
      <c r="AI38" s="1051"/>
      <c r="AJ38" s="1051"/>
      <c r="AK38" s="1051"/>
      <c r="AL38" s="1051"/>
      <c r="AM38" s="1051"/>
      <c r="AN38" s="1051"/>
      <c r="AO38" s="1051"/>
      <c r="AP38" s="1051"/>
      <c r="AQ38" s="1051"/>
      <c r="AR38" s="1051"/>
      <c r="AS38" s="1051"/>
      <c r="AT38" s="1051"/>
      <c r="AU38" s="1051"/>
      <c r="AV38" s="1051"/>
      <c r="AW38" s="1051"/>
      <c r="AX38" s="1051"/>
      <c r="AY38" s="1051"/>
      <c r="AZ38" s="1051"/>
      <c r="BA38" s="1051"/>
      <c r="BB38" s="1051"/>
      <c r="BC38" s="1051"/>
      <c r="BD38" s="1051"/>
      <c r="BE38" s="1051"/>
      <c r="BF38" s="1051"/>
      <c r="BG38" s="1051"/>
      <c r="BH38" s="1051"/>
      <c r="BI38" s="1051"/>
      <c r="BJ38" s="1051"/>
      <c r="BK38" s="1051"/>
      <c r="BL38" s="1051"/>
      <c r="BM38" s="1051"/>
      <c r="BN38" s="1051"/>
      <c r="BO38" s="1051"/>
      <c r="BP38" s="1051"/>
      <c r="BQ38" s="1051"/>
      <c r="BR38" s="1051"/>
      <c r="BS38" s="1051"/>
      <c r="BT38" s="1051"/>
      <c r="BU38" s="1051"/>
      <c r="BV38" s="1051"/>
      <c r="BW38" s="1051"/>
      <c r="BX38" s="1051"/>
      <c r="BY38" s="1051"/>
      <c r="BZ38" s="1051"/>
      <c r="CA38" s="1051"/>
      <c r="CB38" s="1051"/>
      <c r="CC38" s="1051"/>
      <c r="CD38" s="1051"/>
      <c r="CE38" s="1051"/>
      <c r="CF38" s="1051"/>
      <c r="CG38" s="1051"/>
      <c r="CH38" s="1051"/>
      <c r="CI38" s="1051"/>
      <c r="CJ38" s="1051"/>
      <c r="CK38" s="1051"/>
      <c r="CL38" s="1051"/>
      <c r="CM38" s="1051"/>
      <c r="CN38" s="1051"/>
      <c r="CO38" s="1051"/>
      <c r="CP38" s="1051"/>
      <c r="CQ38" s="1051"/>
      <c r="CR38" s="1051"/>
      <c r="CS38" s="1051"/>
      <c r="CT38" s="1051"/>
      <c r="CU38" s="1051"/>
      <c r="CV38" s="1051"/>
      <c r="CW38" s="1051"/>
      <c r="CX38" s="1051"/>
      <c r="CY38" s="1051"/>
      <c r="CZ38" s="1051"/>
      <c r="DA38" s="1051"/>
      <c r="DB38" s="1051"/>
      <c r="DC38" s="1051"/>
      <c r="DD38" s="1051"/>
      <c r="DE38" s="1051"/>
      <c r="DF38" s="1051"/>
      <c r="DG38" s="1051"/>
      <c r="DH38" s="1051"/>
      <c r="DI38" s="1051"/>
      <c r="DJ38" s="1051"/>
      <c r="DK38" s="1051"/>
      <c r="DL38" s="1051"/>
    </row>
    <row r="39" spans="1:116" s="821" customFormat="1" ht="121.5">
      <c r="A39" s="1093" t="s">
        <v>425</v>
      </c>
      <c r="B39" s="935" t="s">
        <v>426</v>
      </c>
      <c r="C39" s="1094"/>
      <c r="D39" s="1081">
        <f t="shared" si="5"/>
        <v>0</v>
      </c>
      <c r="E39" s="1082">
        <f t="shared" si="6"/>
        <v>0</v>
      </c>
      <c r="F39" s="1095"/>
      <c r="G39" s="1096"/>
      <c r="H39" s="1096"/>
      <c r="I39" s="1096"/>
      <c r="J39" s="1096"/>
      <c r="K39" s="1096"/>
      <c r="L39" s="1096"/>
      <c r="M39" s="1096"/>
      <c r="N39" s="1096"/>
      <c r="O39" s="1096"/>
      <c r="P39" s="1030">
        <f t="shared" si="7"/>
        <v>0</v>
      </c>
      <c r="Q39" s="1056"/>
      <c r="R39" s="1056"/>
      <c r="S39" s="1096"/>
      <c r="T39" s="1096"/>
      <c r="U39" s="1096"/>
      <c r="V39" s="1096"/>
      <c r="W39" s="1096"/>
      <c r="X39" s="1340"/>
      <c r="Y39" s="1048"/>
      <c r="Z39" s="1048"/>
      <c r="AA39" s="1048"/>
      <c r="AB39" s="1334"/>
      <c r="AC39" s="1340"/>
      <c r="AD39" s="1048"/>
      <c r="AE39" s="1048"/>
      <c r="AF39" s="1048"/>
      <c r="AG39" s="1048"/>
      <c r="AH39" s="1049">
        <f t="shared" si="1"/>
        <v>0</v>
      </c>
      <c r="AI39" s="1051"/>
      <c r="AJ39" s="1051"/>
      <c r="AK39" s="1051"/>
      <c r="AL39" s="1051"/>
      <c r="AM39" s="1051"/>
      <c r="AN39" s="1051"/>
      <c r="AO39" s="1051"/>
      <c r="AP39" s="1051"/>
      <c r="AQ39" s="1051"/>
      <c r="AR39" s="1051"/>
      <c r="AS39" s="1051"/>
      <c r="AT39" s="1051"/>
      <c r="AU39" s="1051"/>
      <c r="AV39" s="1051"/>
      <c r="AW39" s="1051"/>
      <c r="AX39" s="1051"/>
      <c r="AY39" s="1051"/>
      <c r="AZ39" s="1051"/>
      <c r="BA39" s="1051"/>
      <c r="BB39" s="1051"/>
      <c r="BC39" s="1051"/>
      <c r="BD39" s="1051"/>
      <c r="BE39" s="1051"/>
      <c r="BF39" s="1051"/>
      <c r="BG39" s="1051"/>
      <c r="BH39" s="1051"/>
      <c r="BI39" s="1051"/>
      <c r="BJ39" s="1051"/>
      <c r="BK39" s="1051"/>
      <c r="BL39" s="1051"/>
      <c r="BM39" s="1051"/>
      <c r="BN39" s="1051"/>
      <c r="BO39" s="1051"/>
      <c r="BP39" s="1051"/>
      <c r="BQ39" s="1051"/>
      <c r="BR39" s="1051"/>
      <c r="BS39" s="1051"/>
      <c r="BT39" s="1051"/>
      <c r="BU39" s="1051"/>
      <c r="BV39" s="1051"/>
      <c r="BW39" s="1051"/>
      <c r="BX39" s="1051"/>
      <c r="BY39" s="1051"/>
      <c r="BZ39" s="1051"/>
      <c r="CA39" s="1051"/>
      <c r="CB39" s="1051"/>
      <c r="CC39" s="1051"/>
      <c r="CD39" s="1051"/>
      <c r="CE39" s="1051"/>
      <c r="CF39" s="1051"/>
      <c r="CG39" s="1051"/>
      <c r="CH39" s="1051"/>
      <c r="CI39" s="1051"/>
      <c r="CJ39" s="1051"/>
      <c r="CK39" s="1051"/>
      <c r="CL39" s="1051"/>
      <c r="CM39" s="1051"/>
      <c r="CN39" s="1051"/>
      <c r="CO39" s="1051"/>
      <c r="CP39" s="1051"/>
      <c r="CQ39" s="1051"/>
      <c r="CR39" s="1051"/>
      <c r="CS39" s="1051"/>
      <c r="CT39" s="1051"/>
      <c r="CU39" s="1051"/>
      <c r="CV39" s="1051"/>
      <c r="CW39" s="1051"/>
      <c r="CX39" s="1051"/>
      <c r="CY39" s="1051"/>
      <c r="CZ39" s="1051"/>
      <c r="DA39" s="1051"/>
      <c r="DB39" s="1051"/>
      <c r="DC39" s="1051"/>
      <c r="DD39" s="1051"/>
      <c r="DE39" s="1051"/>
      <c r="DF39" s="1051"/>
      <c r="DG39" s="1051"/>
      <c r="DH39" s="1051"/>
      <c r="DI39" s="1051"/>
      <c r="DJ39" s="1051"/>
      <c r="DK39" s="1051"/>
      <c r="DL39" s="1051"/>
    </row>
    <row r="40" spans="1:116" s="840" customFormat="1" ht="40.5">
      <c r="A40" s="1093" t="s">
        <v>428</v>
      </c>
      <c r="B40" s="935" t="s">
        <v>429</v>
      </c>
      <c r="C40" s="1081"/>
      <c r="D40" s="1081">
        <f t="shared" si="5"/>
        <v>0</v>
      </c>
      <c r="E40" s="1082">
        <f t="shared" si="6"/>
        <v>0</v>
      </c>
      <c r="F40" s="1082"/>
      <c r="G40" s="1083"/>
      <c r="H40" s="1083"/>
      <c r="I40" s="1083"/>
      <c r="J40" s="1083"/>
      <c r="K40" s="1083"/>
      <c r="L40" s="1083"/>
      <c r="M40" s="1083"/>
      <c r="N40" s="1083"/>
      <c r="O40" s="1083"/>
      <c r="P40" s="1030">
        <f t="shared" si="7"/>
        <v>0</v>
      </c>
      <c r="Q40" s="1030"/>
      <c r="R40" s="1030"/>
      <c r="S40" s="1083"/>
      <c r="T40" s="1083"/>
      <c r="U40" s="1083"/>
      <c r="V40" s="1083"/>
      <c r="W40" s="1083"/>
      <c r="X40" s="1340"/>
      <c r="Y40" s="1031"/>
      <c r="Z40" s="1031"/>
      <c r="AA40" s="1031"/>
      <c r="AB40" s="1334"/>
      <c r="AC40" s="1340"/>
      <c r="AD40" s="1031"/>
      <c r="AE40" s="1031"/>
      <c r="AF40" s="1031"/>
      <c r="AG40" s="1031"/>
      <c r="AH40" s="1049">
        <f t="shared" si="1"/>
        <v>0</v>
      </c>
      <c r="AI40" s="1051"/>
      <c r="AJ40" s="1051"/>
      <c r="AK40" s="1051"/>
      <c r="AL40" s="1051"/>
      <c r="AM40" s="1051"/>
      <c r="AN40" s="1051"/>
      <c r="AO40" s="1051"/>
      <c r="AP40" s="1051"/>
      <c r="AQ40" s="1051"/>
      <c r="AR40" s="1051"/>
      <c r="AS40" s="1051"/>
      <c r="AT40" s="1051"/>
      <c r="AU40" s="1051"/>
      <c r="AV40" s="1051"/>
      <c r="AW40" s="1051"/>
      <c r="AX40" s="1051"/>
      <c r="AY40" s="1051"/>
      <c r="AZ40" s="1051"/>
      <c r="BA40" s="1051"/>
      <c r="BB40" s="1051"/>
      <c r="BC40" s="1051"/>
      <c r="BD40" s="1051"/>
      <c r="BE40" s="1051"/>
      <c r="BF40" s="1051"/>
      <c r="BG40" s="1051"/>
      <c r="BH40" s="1051"/>
      <c r="BI40" s="1051"/>
      <c r="BJ40" s="1051"/>
      <c r="BK40" s="1051"/>
      <c r="BL40" s="1051"/>
      <c r="BM40" s="1051"/>
      <c r="BN40" s="1051"/>
      <c r="BO40" s="1051"/>
      <c r="BP40" s="1051"/>
      <c r="BQ40" s="1051"/>
      <c r="BR40" s="1051"/>
      <c r="BS40" s="1051"/>
      <c r="BT40" s="1051"/>
      <c r="BU40" s="1051"/>
      <c r="BV40" s="1051"/>
      <c r="BW40" s="1051"/>
      <c r="BX40" s="1051"/>
      <c r="BY40" s="1051"/>
      <c r="BZ40" s="1051"/>
      <c r="CA40" s="1051"/>
      <c r="CB40" s="1051"/>
      <c r="CC40" s="1051"/>
      <c r="CD40" s="1051"/>
      <c r="CE40" s="1051"/>
      <c r="CF40" s="1051"/>
      <c r="CG40" s="1051"/>
      <c r="CH40" s="1051"/>
      <c r="CI40" s="1051"/>
      <c r="CJ40" s="1051"/>
      <c r="CK40" s="1051"/>
      <c r="CL40" s="1051"/>
      <c r="CM40" s="1051"/>
      <c r="CN40" s="1051"/>
      <c r="CO40" s="1051"/>
      <c r="CP40" s="1051"/>
      <c r="CQ40" s="1051"/>
      <c r="CR40" s="1051"/>
      <c r="CS40" s="1051"/>
      <c r="CT40" s="1051"/>
      <c r="CU40" s="1051"/>
      <c r="CV40" s="1051"/>
      <c r="CW40" s="1051"/>
      <c r="CX40" s="1051"/>
      <c r="CY40" s="1051"/>
      <c r="CZ40" s="1051"/>
      <c r="DA40" s="1051"/>
      <c r="DB40" s="1051"/>
      <c r="DC40" s="1051"/>
      <c r="DD40" s="1051"/>
      <c r="DE40" s="1051"/>
      <c r="DF40" s="1051"/>
      <c r="DG40" s="1051"/>
      <c r="DH40" s="1051"/>
      <c r="DI40" s="1051"/>
      <c r="DJ40" s="1051"/>
      <c r="DK40" s="1051"/>
      <c r="DL40" s="1051"/>
    </row>
    <row r="41" spans="1:116" s="812" customFormat="1">
      <c r="A41" s="1093" t="s">
        <v>431</v>
      </c>
      <c r="B41" s="935" t="s">
        <v>432</v>
      </c>
      <c r="C41" s="1052"/>
      <c r="D41" s="1081">
        <f t="shared" si="5"/>
        <v>419585.9370271542</v>
      </c>
      <c r="E41" s="1082">
        <f t="shared" si="6"/>
        <v>419585.9370271542</v>
      </c>
      <c r="F41" s="1054">
        <f>'036 гобм'!BX6+'036 гобм'!BX8</f>
        <v>419585.9370271542</v>
      </c>
      <c r="G41" s="1053"/>
      <c r="H41" s="1053"/>
      <c r="I41" s="1053"/>
      <c r="J41" s="1053"/>
      <c r="K41" s="1053"/>
      <c r="L41" s="1053"/>
      <c r="M41" s="1053"/>
      <c r="N41" s="1053"/>
      <c r="O41" s="1053"/>
      <c r="P41" s="1030">
        <f t="shared" si="7"/>
        <v>0</v>
      </c>
      <c r="Q41" s="1032"/>
      <c r="R41" s="1032"/>
      <c r="S41" s="1053"/>
      <c r="T41" s="1053"/>
      <c r="U41" s="1053"/>
      <c r="V41" s="1053"/>
      <c r="W41" s="1053"/>
      <c r="X41" s="1340"/>
      <c r="Y41" s="841"/>
      <c r="Z41" s="841"/>
      <c r="AA41" s="841"/>
      <c r="AB41" s="1334"/>
      <c r="AC41" s="1340"/>
      <c r="AD41" s="841"/>
      <c r="AE41" s="841"/>
      <c r="AF41" s="841"/>
      <c r="AG41" s="841"/>
      <c r="AH41" s="1049">
        <f t="shared" si="1"/>
        <v>1258757.8110814625</v>
      </c>
      <c r="AI41" s="1051"/>
      <c r="AJ41" s="1051"/>
      <c r="AK41" s="1051"/>
      <c r="AL41" s="1051"/>
      <c r="AM41" s="1051"/>
      <c r="AN41" s="1051"/>
      <c r="AO41" s="1051"/>
      <c r="AP41" s="1051"/>
      <c r="AQ41" s="1051"/>
      <c r="AR41" s="1051"/>
      <c r="AS41" s="1051"/>
      <c r="AT41" s="1051"/>
      <c r="AU41" s="1051"/>
      <c r="AV41" s="1051"/>
      <c r="AW41" s="1051"/>
      <c r="AX41" s="1051"/>
      <c r="AY41" s="1051"/>
      <c r="AZ41" s="1051"/>
      <c r="BA41" s="1051"/>
      <c r="BB41" s="1051"/>
      <c r="BC41" s="1051"/>
      <c r="BD41" s="1051"/>
      <c r="BE41" s="1051"/>
      <c r="BF41" s="1051"/>
      <c r="BG41" s="1051"/>
      <c r="BH41" s="1051"/>
      <c r="BI41" s="1051"/>
      <c r="BJ41" s="1051"/>
      <c r="BK41" s="1051"/>
      <c r="BL41" s="1051"/>
      <c r="BM41" s="1051"/>
      <c r="BN41" s="1051"/>
      <c r="BO41" s="1051"/>
      <c r="BP41" s="1051"/>
      <c r="BQ41" s="1051"/>
      <c r="BR41" s="1051"/>
      <c r="BS41" s="1051"/>
      <c r="BT41" s="1051"/>
      <c r="BU41" s="1051"/>
      <c r="BV41" s="1051"/>
      <c r="BW41" s="1051"/>
      <c r="BX41" s="1051"/>
      <c r="BY41" s="1051"/>
      <c r="BZ41" s="1051"/>
      <c r="CA41" s="1051"/>
      <c r="CB41" s="1051"/>
      <c r="CC41" s="1051"/>
      <c r="CD41" s="1051"/>
      <c r="CE41" s="1051"/>
      <c r="CF41" s="1051"/>
      <c r="CG41" s="1051"/>
      <c r="CH41" s="1051"/>
      <c r="CI41" s="1051"/>
      <c r="CJ41" s="1051"/>
      <c r="CK41" s="1051"/>
      <c r="CL41" s="1051"/>
      <c r="CM41" s="1051"/>
      <c r="CN41" s="1051"/>
      <c r="CO41" s="1051"/>
      <c r="CP41" s="1051"/>
      <c r="CQ41" s="1051"/>
      <c r="CR41" s="1051"/>
      <c r="CS41" s="1051"/>
      <c r="CT41" s="1051"/>
      <c r="CU41" s="1051"/>
      <c r="CV41" s="1051"/>
      <c r="CW41" s="1051"/>
      <c r="CX41" s="1051"/>
      <c r="CY41" s="1051"/>
      <c r="CZ41" s="1051"/>
      <c r="DA41" s="1051"/>
      <c r="DB41" s="1051"/>
      <c r="DC41" s="1051"/>
      <c r="DD41" s="1051"/>
      <c r="DE41" s="1051"/>
      <c r="DF41" s="1051"/>
      <c r="DG41" s="1051"/>
      <c r="DH41" s="1051"/>
      <c r="DI41" s="1051"/>
      <c r="DJ41" s="1051"/>
      <c r="DK41" s="1051"/>
      <c r="DL41" s="1051"/>
    </row>
    <row r="42" spans="1:116" s="812" customFormat="1" ht="121.5">
      <c r="A42" s="1098" t="s">
        <v>434</v>
      </c>
      <c r="B42" s="1087" t="s">
        <v>435</v>
      </c>
      <c r="C42" s="1052"/>
      <c r="D42" s="1081">
        <f t="shared" si="5"/>
        <v>0</v>
      </c>
      <c r="E42" s="1082">
        <f t="shared" si="6"/>
        <v>0</v>
      </c>
      <c r="F42" s="1054"/>
      <c r="G42" s="1053"/>
      <c r="H42" s="1053"/>
      <c r="I42" s="1053"/>
      <c r="J42" s="1053"/>
      <c r="K42" s="1053"/>
      <c r="L42" s="1053"/>
      <c r="M42" s="1053"/>
      <c r="N42" s="1053"/>
      <c r="O42" s="1053"/>
      <c r="P42" s="1030">
        <f t="shared" si="7"/>
        <v>0</v>
      </c>
      <c r="Q42" s="1032"/>
      <c r="R42" s="1032"/>
      <c r="S42" s="1053"/>
      <c r="T42" s="1053"/>
      <c r="U42" s="1053"/>
      <c r="V42" s="1053"/>
      <c r="W42" s="1053"/>
      <c r="X42" s="1340"/>
      <c r="Y42" s="841"/>
      <c r="Z42" s="841"/>
      <c r="AA42" s="841"/>
      <c r="AB42" s="1334"/>
      <c r="AC42" s="1340"/>
      <c r="AD42" s="841"/>
      <c r="AE42" s="841"/>
      <c r="AF42" s="841"/>
      <c r="AG42" s="841"/>
      <c r="AH42" s="1049">
        <f t="shared" si="1"/>
        <v>0</v>
      </c>
      <c r="AI42" s="1051"/>
      <c r="AJ42" s="1051"/>
      <c r="AK42" s="1051"/>
      <c r="AL42" s="1051"/>
      <c r="AM42" s="1051"/>
      <c r="AN42" s="1051"/>
      <c r="AO42" s="1051"/>
      <c r="AP42" s="1051"/>
      <c r="AQ42" s="1051"/>
      <c r="AR42" s="1051"/>
      <c r="AS42" s="1051"/>
      <c r="AT42" s="1051"/>
      <c r="AU42" s="1051"/>
      <c r="AV42" s="1051"/>
      <c r="AW42" s="1051"/>
      <c r="AX42" s="1051"/>
      <c r="AY42" s="1051"/>
      <c r="AZ42" s="1051"/>
      <c r="BA42" s="1051"/>
      <c r="BB42" s="1051"/>
      <c r="BC42" s="1051"/>
      <c r="BD42" s="1051"/>
      <c r="BE42" s="1051"/>
      <c r="BF42" s="1051"/>
      <c r="BG42" s="1051"/>
      <c r="BH42" s="1051"/>
      <c r="BI42" s="1051"/>
      <c r="BJ42" s="1051"/>
      <c r="BK42" s="1051"/>
      <c r="BL42" s="1051"/>
      <c r="BM42" s="1051"/>
      <c r="BN42" s="1051"/>
      <c r="BO42" s="1051"/>
      <c r="BP42" s="1051"/>
      <c r="BQ42" s="1051"/>
      <c r="BR42" s="1051"/>
      <c r="BS42" s="1051"/>
      <c r="BT42" s="1051"/>
      <c r="BU42" s="1051"/>
      <c r="BV42" s="1051"/>
      <c r="BW42" s="1051"/>
      <c r="BX42" s="1051"/>
      <c r="BY42" s="1051"/>
      <c r="BZ42" s="1051"/>
      <c r="CA42" s="1051"/>
      <c r="CB42" s="1051"/>
      <c r="CC42" s="1051"/>
      <c r="CD42" s="1051"/>
      <c r="CE42" s="1051"/>
      <c r="CF42" s="1051"/>
      <c r="CG42" s="1051"/>
      <c r="CH42" s="1051"/>
      <c r="CI42" s="1051"/>
      <c r="CJ42" s="1051"/>
      <c r="CK42" s="1051"/>
      <c r="CL42" s="1051"/>
      <c r="CM42" s="1051"/>
      <c r="CN42" s="1051"/>
      <c r="CO42" s="1051"/>
      <c r="CP42" s="1051"/>
      <c r="CQ42" s="1051"/>
      <c r="CR42" s="1051"/>
      <c r="CS42" s="1051"/>
      <c r="CT42" s="1051"/>
      <c r="CU42" s="1051"/>
      <c r="CV42" s="1051"/>
      <c r="CW42" s="1051"/>
      <c r="CX42" s="1051"/>
      <c r="CY42" s="1051"/>
      <c r="CZ42" s="1051"/>
      <c r="DA42" s="1051"/>
      <c r="DB42" s="1051"/>
      <c r="DC42" s="1051"/>
      <c r="DD42" s="1051"/>
      <c r="DE42" s="1051"/>
      <c r="DF42" s="1051"/>
      <c r="DG42" s="1051"/>
      <c r="DH42" s="1051"/>
      <c r="DI42" s="1051"/>
      <c r="DJ42" s="1051"/>
      <c r="DK42" s="1051"/>
      <c r="DL42" s="1051"/>
    </row>
    <row r="43" spans="1:116" s="812" customFormat="1" ht="60.75">
      <c r="A43" s="1098" t="s">
        <v>436</v>
      </c>
      <c r="B43" s="1087" t="s">
        <v>437</v>
      </c>
      <c r="C43" s="1052"/>
      <c r="D43" s="1081">
        <f t="shared" si="5"/>
        <v>0</v>
      </c>
      <c r="E43" s="1082">
        <f t="shared" si="6"/>
        <v>0</v>
      </c>
      <c r="F43" s="1054"/>
      <c r="G43" s="1053"/>
      <c r="H43" s="1053"/>
      <c r="I43" s="1053"/>
      <c r="J43" s="1053"/>
      <c r="K43" s="1053"/>
      <c r="L43" s="1053"/>
      <c r="M43" s="1053"/>
      <c r="N43" s="1053"/>
      <c r="O43" s="1053"/>
      <c r="P43" s="1030">
        <f t="shared" si="7"/>
        <v>0</v>
      </c>
      <c r="Q43" s="1032"/>
      <c r="R43" s="1032"/>
      <c r="S43" s="1053"/>
      <c r="T43" s="1053"/>
      <c r="U43" s="1053"/>
      <c r="V43" s="1053"/>
      <c r="W43" s="1053"/>
      <c r="X43" s="1340"/>
      <c r="Y43" s="841"/>
      <c r="Z43" s="841"/>
      <c r="AA43" s="841"/>
      <c r="AB43" s="1334"/>
      <c r="AC43" s="1340"/>
      <c r="AD43" s="841"/>
      <c r="AE43" s="841"/>
      <c r="AF43" s="841"/>
      <c r="AG43" s="841"/>
      <c r="AH43" s="1049">
        <f t="shared" si="1"/>
        <v>0</v>
      </c>
      <c r="AI43" s="1051"/>
      <c r="AJ43" s="1051"/>
      <c r="AK43" s="1051"/>
      <c r="AL43" s="1051"/>
      <c r="AM43" s="1051"/>
      <c r="AN43" s="1051"/>
      <c r="AO43" s="1051"/>
      <c r="AP43" s="1051"/>
      <c r="AQ43" s="1051"/>
      <c r="AR43" s="1051"/>
      <c r="AS43" s="1051"/>
      <c r="AT43" s="1051"/>
      <c r="AU43" s="1051"/>
      <c r="AV43" s="1051"/>
      <c r="AW43" s="1051"/>
      <c r="AX43" s="1051"/>
      <c r="AY43" s="1051"/>
      <c r="AZ43" s="1051"/>
      <c r="BA43" s="1051"/>
      <c r="BB43" s="1051"/>
      <c r="BC43" s="1051"/>
      <c r="BD43" s="1051"/>
      <c r="BE43" s="1051"/>
      <c r="BF43" s="1051"/>
      <c r="BG43" s="1051"/>
      <c r="BH43" s="1051"/>
      <c r="BI43" s="1051"/>
      <c r="BJ43" s="1051"/>
      <c r="BK43" s="1051"/>
      <c r="BL43" s="1051"/>
      <c r="BM43" s="1051"/>
      <c r="BN43" s="1051"/>
      <c r="BO43" s="1051"/>
      <c r="BP43" s="1051"/>
      <c r="BQ43" s="1051"/>
      <c r="BR43" s="1051"/>
      <c r="BS43" s="1051"/>
      <c r="BT43" s="1051"/>
      <c r="BU43" s="1051"/>
      <c r="BV43" s="1051"/>
      <c r="BW43" s="1051"/>
      <c r="BX43" s="1051"/>
      <c r="BY43" s="1051"/>
      <c r="BZ43" s="1051"/>
      <c r="CA43" s="1051"/>
      <c r="CB43" s="1051"/>
      <c r="CC43" s="1051"/>
      <c r="CD43" s="1051"/>
      <c r="CE43" s="1051"/>
      <c r="CF43" s="1051"/>
      <c r="CG43" s="1051"/>
      <c r="CH43" s="1051"/>
      <c r="CI43" s="1051"/>
      <c r="CJ43" s="1051"/>
      <c r="CK43" s="1051"/>
      <c r="CL43" s="1051"/>
      <c r="CM43" s="1051"/>
      <c r="CN43" s="1051"/>
      <c r="CO43" s="1051"/>
      <c r="CP43" s="1051"/>
      <c r="CQ43" s="1051"/>
      <c r="CR43" s="1051"/>
      <c r="CS43" s="1051"/>
      <c r="CT43" s="1051"/>
      <c r="CU43" s="1051"/>
      <c r="CV43" s="1051"/>
      <c r="CW43" s="1051"/>
      <c r="CX43" s="1051"/>
      <c r="CY43" s="1051"/>
      <c r="CZ43" s="1051"/>
      <c r="DA43" s="1051"/>
      <c r="DB43" s="1051"/>
      <c r="DC43" s="1051"/>
      <c r="DD43" s="1051"/>
      <c r="DE43" s="1051"/>
      <c r="DF43" s="1051"/>
      <c r="DG43" s="1051"/>
      <c r="DH43" s="1051"/>
      <c r="DI43" s="1051"/>
      <c r="DJ43" s="1051"/>
      <c r="DK43" s="1051"/>
      <c r="DL43" s="1051"/>
    </row>
    <row r="44" spans="1:116" s="812" customFormat="1" ht="60.75">
      <c r="A44" s="1093" t="s">
        <v>438</v>
      </c>
      <c r="B44" s="935" t="s">
        <v>439</v>
      </c>
      <c r="C44" s="1052"/>
      <c r="D44" s="1081">
        <f t="shared" si="5"/>
        <v>0</v>
      </c>
      <c r="E44" s="1082">
        <f t="shared" si="6"/>
        <v>0</v>
      </c>
      <c r="F44" s="1054"/>
      <c r="G44" s="1053"/>
      <c r="H44" s="1053"/>
      <c r="I44" s="1053"/>
      <c r="J44" s="1053"/>
      <c r="K44" s="1053"/>
      <c r="L44" s="1053"/>
      <c r="M44" s="1053"/>
      <c r="N44" s="1053"/>
      <c r="O44" s="1053"/>
      <c r="P44" s="1030">
        <f t="shared" si="7"/>
        <v>0</v>
      </c>
      <c r="Q44" s="1032"/>
      <c r="R44" s="1032"/>
      <c r="S44" s="1053"/>
      <c r="T44" s="1053"/>
      <c r="U44" s="1053"/>
      <c r="V44" s="1053"/>
      <c r="W44" s="1053"/>
      <c r="X44" s="1340"/>
      <c r="Y44" s="841"/>
      <c r="Z44" s="841"/>
      <c r="AA44" s="841"/>
      <c r="AB44" s="1334"/>
      <c r="AC44" s="1340"/>
      <c r="AD44" s="841"/>
      <c r="AE44" s="841"/>
      <c r="AF44" s="841"/>
      <c r="AG44" s="841"/>
      <c r="AH44" s="1049">
        <f t="shared" si="1"/>
        <v>0</v>
      </c>
      <c r="AI44" s="1051"/>
      <c r="AJ44" s="1051"/>
      <c r="AK44" s="1051"/>
      <c r="AL44" s="1051"/>
      <c r="AM44" s="1051"/>
      <c r="AN44" s="1051"/>
      <c r="AO44" s="1051"/>
      <c r="AP44" s="1051"/>
      <c r="AQ44" s="1051"/>
      <c r="AR44" s="1051"/>
      <c r="AS44" s="1051"/>
      <c r="AT44" s="1051"/>
      <c r="AU44" s="1051"/>
      <c r="AV44" s="1051"/>
      <c r="AW44" s="1051"/>
      <c r="AX44" s="1051"/>
      <c r="AY44" s="1051"/>
      <c r="AZ44" s="1051"/>
      <c r="BA44" s="1051"/>
      <c r="BB44" s="1051"/>
      <c r="BC44" s="1051"/>
      <c r="BD44" s="1051"/>
      <c r="BE44" s="1051"/>
      <c r="BF44" s="1051"/>
      <c r="BG44" s="1051"/>
      <c r="BH44" s="1051"/>
      <c r="BI44" s="1051"/>
      <c r="BJ44" s="1051"/>
      <c r="BK44" s="1051"/>
      <c r="BL44" s="1051"/>
      <c r="BM44" s="1051"/>
      <c r="BN44" s="1051"/>
      <c r="BO44" s="1051"/>
      <c r="BP44" s="1051"/>
      <c r="BQ44" s="1051"/>
      <c r="BR44" s="1051"/>
      <c r="BS44" s="1051"/>
      <c r="BT44" s="1051"/>
      <c r="BU44" s="1051"/>
      <c r="BV44" s="1051"/>
      <c r="BW44" s="1051"/>
      <c r="BX44" s="1051"/>
      <c r="BY44" s="1051"/>
      <c r="BZ44" s="1051"/>
      <c r="CA44" s="1051"/>
      <c r="CB44" s="1051"/>
      <c r="CC44" s="1051"/>
      <c r="CD44" s="1051"/>
      <c r="CE44" s="1051"/>
      <c r="CF44" s="1051"/>
      <c r="CG44" s="1051"/>
      <c r="CH44" s="1051"/>
      <c r="CI44" s="1051"/>
      <c r="CJ44" s="1051"/>
      <c r="CK44" s="1051"/>
      <c r="CL44" s="1051"/>
      <c r="CM44" s="1051"/>
      <c r="CN44" s="1051"/>
      <c r="CO44" s="1051"/>
      <c r="CP44" s="1051"/>
      <c r="CQ44" s="1051"/>
      <c r="CR44" s="1051"/>
      <c r="CS44" s="1051"/>
      <c r="CT44" s="1051"/>
      <c r="CU44" s="1051"/>
      <c r="CV44" s="1051"/>
      <c r="CW44" s="1051"/>
      <c r="CX44" s="1051"/>
      <c r="CY44" s="1051"/>
      <c r="CZ44" s="1051"/>
      <c r="DA44" s="1051"/>
      <c r="DB44" s="1051"/>
      <c r="DC44" s="1051"/>
      <c r="DD44" s="1051"/>
      <c r="DE44" s="1051"/>
      <c r="DF44" s="1051"/>
      <c r="DG44" s="1051"/>
      <c r="DH44" s="1051"/>
      <c r="DI44" s="1051"/>
      <c r="DJ44" s="1051"/>
      <c r="DK44" s="1051"/>
      <c r="DL44" s="1051"/>
    </row>
    <row r="45" spans="1:116" s="1079" customFormat="1" ht="60.75">
      <c r="A45" s="1093" t="s">
        <v>441</v>
      </c>
      <c r="B45" s="935" t="s">
        <v>442</v>
      </c>
      <c r="C45" s="1088"/>
      <c r="D45" s="1081">
        <f t="shared" si="5"/>
        <v>6780.0381786911175</v>
      </c>
      <c r="E45" s="1082">
        <f t="shared" si="6"/>
        <v>6780.0381786911175</v>
      </c>
      <c r="F45" s="1077">
        <f>'036 гобм'!CB8</f>
        <v>6780.0381786911175</v>
      </c>
      <c r="G45" s="1076"/>
      <c r="H45" s="1076"/>
      <c r="I45" s="1076"/>
      <c r="J45" s="1076"/>
      <c r="K45" s="1076"/>
      <c r="L45" s="1076"/>
      <c r="M45" s="1076"/>
      <c r="N45" s="1076"/>
      <c r="O45" s="1076"/>
      <c r="P45" s="1030">
        <f t="shared" si="7"/>
        <v>0</v>
      </c>
      <c r="Q45" s="1027"/>
      <c r="R45" s="1027"/>
      <c r="S45" s="1076"/>
      <c r="T45" s="1076"/>
      <c r="U45" s="1076"/>
      <c r="V45" s="1076"/>
      <c r="W45" s="1076"/>
      <c r="X45" s="1340"/>
      <c r="Y45" s="1029"/>
      <c r="Z45" s="1029"/>
      <c r="AA45" s="1029"/>
      <c r="AB45" s="1334"/>
      <c r="AC45" s="1340"/>
      <c r="AD45" s="1029"/>
      <c r="AE45" s="1029"/>
      <c r="AF45" s="1029"/>
      <c r="AG45" s="1029"/>
      <c r="AH45" s="1049">
        <f t="shared" si="1"/>
        <v>20340.114536073354</v>
      </c>
      <c r="AI45" s="1051"/>
      <c r="AJ45" s="1051"/>
      <c r="AK45" s="1051"/>
      <c r="AL45" s="1051"/>
      <c r="AM45" s="1051"/>
      <c r="AN45" s="1051"/>
      <c r="AO45" s="1051"/>
      <c r="AP45" s="1051"/>
      <c r="AQ45" s="1051"/>
      <c r="AR45" s="1051"/>
      <c r="AS45" s="1051"/>
      <c r="AT45" s="1051"/>
      <c r="AU45" s="1051"/>
      <c r="AV45" s="1051"/>
      <c r="AW45" s="1051"/>
      <c r="AX45" s="1051"/>
      <c r="AY45" s="1051"/>
      <c r="AZ45" s="1051"/>
      <c r="BA45" s="1051"/>
      <c r="BB45" s="1051"/>
      <c r="BC45" s="1051"/>
      <c r="BD45" s="1051"/>
      <c r="BE45" s="1051"/>
      <c r="BF45" s="1051"/>
      <c r="BG45" s="1051"/>
      <c r="BH45" s="1051"/>
      <c r="BI45" s="1051"/>
      <c r="BJ45" s="1051"/>
      <c r="BK45" s="1051"/>
      <c r="BL45" s="1051"/>
      <c r="BM45" s="1051"/>
      <c r="BN45" s="1051"/>
      <c r="BO45" s="1051"/>
      <c r="BP45" s="1051"/>
      <c r="BQ45" s="1051"/>
      <c r="BR45" s="1051"/>
      <c r="BS45" s="1051"/>
      <c r="BT45" s="1051"/>
      <c r="BU45" s="1051"/>
      <c r="BV45" s="1051"/>
      <c r="BW45" s="1051"/>
      <c r="BX45" s="1051"/>
      <c r="BY45" s="1051"/>
      <c r="BZ45" s="1051"/>
      <c r="CA45" s="1051"/>
      <c r="CB45" s="1051"/>
      <c r="CC45" s="1051"/>
      <c r="CD45" s="1051"/>
      <c r="CE45" s="1051"/>
      <c r="CF45" s="1051"/>
      <c r="CG45" s="1051"/>
      <c r="CH45" s="1051"/>
      <c r="CI45" s="1051"/>
      <c r="CJ45" s="1051"/>
      <c r="CK45" s="1051"/>
      <c r="CL45" s="1051"/>
      <c r="CM45" s="1051"/>
      <c r="CN45" s="1051"/>
      <c r="CO45" s="1051"/>
      <c r="CP45" s="1051"/>
      <c r="CQ45" s="1051"/>
      <c r="CR45" s="1051"/>
      <c r="CS45" s="1051"/>
      <c r="CT45" s="1051"/>
      <c r="CU45" s="1051"/>
      <c r="CV45" s="1051"/>
      <c r="CW45" s="1051"/>
      <c r="CX45" s="1051"/>
      <c r="CY45" s="1051"/>
      <c r="CZ45" s="1051"/>
      <c r="DA45" s="1051"/>
      <c r="DB45" s="1051"/>
      <c r="DC45" s="1051"/>
      <c r="DD45" s="1051"/>
      <c r="DE45" s="1051"/>
      <c r="DF45" s="1051"/>
      <c r="DG45" s="1051"/>
      <c r="DH45" s="1051"/>
      <c r="DI45" s="1051"/>
      <c r="DJ45" s="1051"/>
      <c r="DK45" s="1051"/>
      <c r="DL45" s="1051"/>
    </row>
    <row r="46" spans="1:116" s="840" customFormat="1" ht="60.75">
      <c r="A46" s="1080" t="s">
        <v>443</v>
      </c>
      <c r="B46" s="935" t="s">
        <v>445</v>
      </c>
      <c r="C46" s="1081"/>
      <c r="D46" s="1081">
        <f t="shared" si="5"/>
        <v>0</v>
      </c>
      <c r="E46" s="1082">
        <f t="shared" si="6"/>
        <v>0</v>
      </c>
      <c r="F46" s="1082"/>
      <c r="G46" s="1083"/>
      <c r="H46" s="1083"/>
      <c r="I46" s="1083"/>
      <c r="J46" s="1083"/>
      <c r="K46" s="1083"/>
      <c r="L46" s="1083"/>
      <c r="M46" s="1083"/>
      <c r="N46" s="1083"/>
      <c r="O46" s="1083"/>
      <c r="P46" s="1030">
        <f t="shared" si="7"/>
        <v>0</v>
      </c>
      <c r="Q46" s="1030"/>
      <c r="R46" s="1030"/>
      <c r="S46" s="1083"/>
      <c r="T46" s="1083"/>
      <c r="U46" s="1083"/>
      <c r="V46" s="1083"/>
      <c r="W46" s="1083"/>
      <c r="X46" s="1340"/>
      <c r="Y46" s="1031"/>
      <c r="Z46" s="1031"/>
      <c r="AA46" s="1031"/>
      <c r="AB46" s="1334"/>
      <c r="AC46" s="1340"/>
      <c r="AD46" s="1031"/>
      <c r="AE46" s="1031"/>
      <c r="AF46" s="1031"/>
      <c r="AG46" s="1031"/>
      <c r="AH46" s="1049">
        <f t="shared" si="1"/>
        <v>0</v>
      </c>
      <c r="AI46" s="1051"/>
      <c r="AJ46" s="1051"/>
      <c r="AK46" s="1051"/>
      <c r="AL46" s="1051"/>
      <c r="AM46" s="1051"/>
      <c r="AN46" s="1051"/>
      <c r="AO46" s="1051"/>
      <c r="AP46" s="1051"/>
      <c r="AQ46" s="1051"/>
      <c r="AR46" s="1051"/>
      <c r="AS46" s="1051"/>
      <c r="AT46" s="1051"/>
      <c r="AU46" s="1051"/>
      <c r="AV46" s="1051"/>
      <c r="AW46" s="1051"/>
      <c r="AX46" s="1051"/>
      <c r="AY46" s="1051"/>
      <c r="AZ46" s="1051"/>
      <c r="BA46" s="1051"/>
      <c r="BB46" s="1051"/>
      <c r="BC46" s="1051"/>
      <c r="BD46" s="1051"/>
      <c r="BE46" s="1051"/>
      <c r="BF46" s="1051"/>
      <c r="BG46" s="1051"/>
      <c r="BH46" s="1051"/>
      <c r="BI46" s="1051"/>
      <c r="BJ46" s="1051"/>
      <c r="BK46" s="1051"/>
      <c r="BL46" s="1051"/>
      <c r="BM46" s="1051"/>
      <c r="BN46" s="1051"/>
      <c r="BO46" s="1051"/>
      <c r="BP46" s="1051"/>
      <c r="BQ46" s="1051"/>
      <c r="BR46" s="1051"/>
      <c r="BS46" s="1051"/>
      <c r="BT46" s="1051"/>
      <c r="BU46" s="1051"/>
      <c r="BV46" s="1051"/>
      <c r="BW46" s="1051"/>
      <c r="BX46" s="1051"/>
      <c r="BY46" s="1051"/>
      <c r="BZ46" s="1051"/>
      <c r="CA46" s="1051"/>
      <c r="CB46" s="1051"/>
      <c r="CC46" s="1051"/>
      <c r="CD46" s="1051"/>
      <c r="CE46" s="1051"/>
      <c r="CF46" s="1051"/>
      <c r="CG46" s="1051"/>
      <c r="CH46" s="1051"/>
      <c r="CI46" s="1051"/>
      <c r="CJ46" s="1051"/>
      <c r="CK46" s="1051"/>
      <c r="CL46" s="1051"/>
      <c r="CM46" s="1051"/>
      <c r="CN46" s="1051"/>
      <c r="CO46" s="1051"/>
      <c r="CP46" s="1051"/>
      <c r="CQ46" s="1051"/>
      <c r="CR46" s="1051"/>
      <c r="CS46" s="1051"/>
      <c r="CT46" s="1051"/>
      <c r="CU46" s="1051"/>
      <c r="CV46" s="1051"/>
      <c r="CW46" s="1051"/>
      <c r="CX46" s="1051"/>
      <c r="CY46" s="1051"/>
      <c r="CZ46" s="1051"/>
      <c r="DA46" s="1051"/>
      <c r="DB46" s="1051"/>
      <c r="DC46" s="1051"/>
      <c r="DD46" s="1051"/>
      <c r="DE46" s="1051"/>
      <c r="DF46" s="1051"/>
      <c r="DG46" s="1051"/>
      <c r="DH46" s="1051"/>
      <c r="DI46" s="1051"/>
      <c r="DJ46" s="1051"/>
      <c r="DK46" s="1051"/>
      <c r="DL46" s="1051"/>
    </row>
    <row r="47" spans="1:116" s="812" customFormat="1" ht="60.75">
      <c r="A47" s="1074" t="s">
        <v>446</v>
      </c>
      <c r="B47" s="1099" t="s">
        <v>448</v>
      </c>
      <c r="C47" s="1052">
        <f>D47</f>
        <v>43217599.493299603</v>
      </c>
      <c r="D47" s="1081">
        <f>E47+P47</f>
        <v>43217599.493299603</v>
      </c>
      <c r="E47" s="1082">
        <f>E48+E49+E50</f>
        <v>11719147.693299606</v>
      </c>
      <c r="F47" s="1054"/>
      <c r="G47" s="1053"/>
      <c r="H47" s="1053"/>
      <c r="I47" s="1053"/>
      <c r="J47" s="1055"/>
      <c r="K47" s="1053"/>
      <c r="L47" s="1053"/>
      <c r="M47" s="1053"/>
      <c r="N47" s="1053"/>
      <c r="O47" s="1053"/>
      <c r="P47" s="1030">
        <f>P48+P50</f>
        <v>31498451.800000001</v>
      </c>
      <c r="Q47" s="1032"/>
      <c r="R47" s="1032"/>
      <c r="S47" s="1053"/>
      <c r="T47" s="1053"/>
      <c r="U47" s="1053"/>
      <c r="V47" s="1053"/>
      <c r="W47" s="1053"/>
      <c r="X47" s="1340"/>
      <c r="Y47" s="841"/>
      <c r="Z47" s="841"/>
      <c r="AA47" s="841"/>
      <c r="AB47" s="1334"/>
      <c r="AC47" s="1340"/>
      <c r="AD47" s="841"/>
      <c r="AE47" s="841"/>
      <c r="AF47" s="841"/>
      <c r="AG47" s="841"/>
      <c r="AH47" s="1049">
        <f t="shared" si="1"/>
        <v>129652798.47989881</v>
      </c>
      <c r="AI47" s="1051"/>
      <c r="AJ47" s="1051"/>
      <c r="AK47" s="1051"/>
      <c r="AL47" s="1051"/>
      <c r="AM47" s="1051"/>
      <c r="AN47" s="1051"/>
      <c r="AO47" s="1051"/>
      <c r="AP47" s="1051"/>
      <c r="AQ47" s="1051"/>
      <c r="AR47" s="1051"/>
      <c r="AS47" s="1051"/>
      <c r="AT47" s="1051"/>
      <c r="AU47" s="1051"/>
      <c r="AV47" s="1051"/>
      <c r="AW47" s="1051"/>
      <c r="AX47" s="1051"/>
      <c r="AY47" s="1051"/>
      <c r="AZ47" s="1051"/>
      <c r="BA47" s="1051"/>
      <c r="BB47" s="1051"/>
      <c r="BC47" s="1051"/>
      <c r="BD47" s="1051"/>
      <c r="BE47" s="1051"/>
      <c r="BF47" s="1051"/>
      <c r="BG47" s="1051"/>
      <c r="BH47" s="1051"/>
      <c r="BI47" s="1051"/>
      <c r="BJ47" s="1051"/>
      <c r="BK47" s="1051"/>
      <c r="BL47" s="1051"/>
      <c r="BM47" s="1051"/>
      <c r="BN47" s="1051"/>
      <c r="BO47" s="1051"/>
      <c r="BP47" s="1051"/>
      <c r="BQ47" s="1051"/>
      <c r="BR47" s="1051"/>
      <c r="BS47" s="1051"/>
      <c r="BT47" s="1051"/>
      <c r="BU47" s="1051"/>
      <c r="BV47" s="1051"/>
      <c r="BW47" s="1051"/>
      <c r="BX47" s="1051"/>
      <c r="BY47" s="1051"/>
      <c r="BZ47" s="1051"/>
      <c r="CA47" s="1051"/>
      <c r="CB47" s="1051"/>
      <c r="CC47" s="1051"/>
      <c r="CD47" s="1051"/>
      <c r="CE47" s="1051"/>
      <c r="CF47" s="1051"/>
      <c r="CG47" s="1051"/>
      <c r="CH47" s="1051"/>
      <c r="CI47" s="1051"/>
      <c r="CJ47" s="1051"/>
      <c r="CK47" s="1051"/>
      <c r="CL47" s="1051"/>
      <c r="CM47" s="1051"/>
      <c r="CN47" s="1051"/>
      <c r="CO47" s="1051"/>
      <c r="CP47" s="1051"/>
      <c r="CQ47" s="1051"/>
      <c r="CR47" s="1051"/>
      <c r="CS47" s="1051"/>
      <c r="CT47" s="1051"/>
      <c r="CU47" s="1051"/>
      <c r="CV47" s="1051"/>
      <c r="CW47" s="1051"/>
      <c r="CX47" s="1051"/>
      <c r="CY47" s="1051"/>
      <c r="CZ47" s="1051"/>
      <c r="DA47" s="1051"/>
      <c r="DB47" s="1051"/>
      <c r="DC47" s="1051"/>
      <c r="DD47" s="1051"/>
      <c r="DE47" s="1051"/>
      <c r="DF47" s="1051"/>
      <c r="DG47" s="1051"/>
      <c r="DH47" s="1051"/>
      <c r="DI47" s="1051"/>
      <c r="DJ47" s="1051"/>
      <c r="DK47" s="1051"/>
      <c r="DL47" s="1051"/>
    </row>
    <row r="48" spans="1:116" s="840" customFormat="1" ht="101.25">
      <c r="A48" s="1080" t="s">
        <v>449</v>
      </c>
      <c r="B48" s="935" t="s">
        <v>451</v>
      </c>
      <c r="C48" s="1081"/>
      <c r="D48" s="1081">
        <f t="shared" si="5"/>
        <v>26491571.493299607</v>
      </c>
      <c r="E48" s="1082">
        <f>F48+G48+H48+I48+J48+N48+O48</f>
        <v>1884532.6932996064</v>
      </c>
      <c r="F48" s="1082">
        <f>'036 гобм'!CE10</f>
        <v>1884532.6932996064</v>
      </c>
      <c r="G48" s="1083"/>
      <c r="H48" s="1083"/>
      <c r="I48" s="1083"/>
      <c r="J48" s="1083"/>
      <c r="K48" s="1083"/>
      <c r="L48" s="1083"/>
      <c r="M48" s="1083"/>
      <c r="N48" s="1083"/>
      <c r="O48" s="1083"/>
      <c r="P48" s="1030">
        <f t="shared" si="7"/>
        <v>24607038.800000001</v>
      </c>
      <c r="Q48" s="1030">
        <f>Отчет!J164+Отчет!J168+Отчет!J173+Отчет!J207+Отчет!J235</f>
        <v>24607038.800000001</v>
      </c>
      <c r="R48" s="1030"/>
      <c r="S48" s="1083"/>
      <c r="T48" s="1083"/>
      <c r="U48" s="1083"/>
      <c r="V48" s="1083"/>
      <c r="W48" s="1083"/>
      <c r="X48" s="1340"/>
      <c r="Y48" s="1031"/>
      <c r="Z48" s="1031"/>
      <c r="AA48" s="1031"/>
      <c r="AB48" s="1334"/>
      <c r="AC48" s="1340"/>
      <c r="AD48" s="1031"/>
      <c r="AE48" s="1031"/>
      <c r="AF48" s="1031"/>
      <c r="AG48" s="1031"/>
      <c r="AH48" s="1049">
        <f t="shared" si="1"/>
        <v>79474714.479898825</v>
      </c>
      <c r="AI48" s="1051"/>
      <c r="AJ48" s="1051"/>
      <c r="AK48" s="1051"/>
      <c r="AL48" s="1051"/>
      <c r="AM48" s="1051"/>
      <c r="AN48" s="1051"/>
      <c r="AO48" s="1051"/>
      <c r="AP48" s="1051"/>
      <c r="AQ48" s="1051"/>
      <c r="AR48" s="1051"/>
      <c r="AS48" s="1051"/>
      <c r="AT48" s="1051"/>
      <c r="AU48" s="1051"/>
      <c r="AV48" s="1051"/>
      <c r="AW48" s="1051"/>
      <c r="AX48" s="1051"/>
      <c r="AY48" s="1051"/>
      <c r="AZ48" s="1051"/>
      <c r="BA48" s="1051"/>
      <c r="BB48" s="1051"/>
      <c r="BC48" s="1051"/>
      <c r="BD48" s="1051"/>
      <c r="BE48" s="1051"/>
      <c r="BF48" s="1051"/>
      <c r="BG48" s="1051"/>
      <c r="BH48" s="1051"/>
      <c r="BI48" s="1051"/>
      <c r="BJ48" s="1051"/>
      <c r="BK48" s="1051"/>
      <c r="BL48" s="1051"/>
      <c r="BM48" s="1051"/>
      <c r="BN48" s="1051"/>
      <c r="BO48" s="1051"/>
      <c r="BP48" s="1051"/>
      <c r="BQ48" s="1051"/>
      <c r="BR48" s="1051"/>
      <c r="BS48" s="1051"/>
      <c r="BT48" s="1051"/>
      <c r="BU48" s="1051"/>
      <c r="BV48" s="1051"/>
      <c r="BW48" s="1051"/>
      <c r="BX48" s="1051"/>
      <c r="BY48" s="1051"/>
      <c r="BZ48" s="1051"/>
      <c r="CA48" s="1051"/>
      <c r="CB48" s="1051"/>
      <c r="CC48" s="1051"/>
      <c r="CD48" s="1051"/>
      <c r="CE48" s="1051"/>
      <c r="CF48" s="1051"/>
      <c r="CG48" s="1051"/>
      <c r="CH48" s="1051"/>
      <c r="CI48" s="1051"/>
      <c r="CJ48" s="1051"/>
      <c r="CK48" s="1051"/>
      <c r="CL48" s="1051"/>
      <c r="CM48" s="1051"/>
      <c r="CN48" s="1051"/>
      <c r="CO48" s="1051"/>
      <c r="CP48" s="1051"/>
      <c r="CQ48" s="1051"/>
      <c r="CR48" s="1051"/>
      <c r="CS48" s="1051"/>
      <c r="CT48" s="1051"/>
      <c r="CU48" s="1051"/>
      <c r="CV48" s="1051"/>
      <c r="CW48" s="1051"/>
      <c r="CX48" s="1051"/>
      <c r="CY48" s="1051"/>
      <c r="CZ48" s="1051"/>
      <c r="DA48" s="1051"/>
      <c r="DB48" s="1051"/>
      <c r="DC48" s="1051"/>
      <c r="DD48" s="1051"/>
      <c r="DE48" s="1051"/>
      <c r="DF48" s="1051"/>
      <c r="DG48" s="1051"/>
      <c r="DH48" s="1051"/>
      <c r="DI48" s="1051"/>
      <c r="DJ48" s="1051"/>
      <c r="DK48" s="1051"/>
      <c r="DL48" s="1051"/>
    </row>
    <row r="49" spans="1:116" s="812" customFormat="1" ht="60.75">
      <c r="A49" s="1080" t="s">
        <v>452</v>
      </c>
      <c r="B49" s="935" t="s">
        <v>454</v>
      </c>
      <c r="C49" s="1052"/>
      <c r="D49" s="1081">
        <f t="shared" si="5"/>
        <v>0</v>
      </c>
      <c r="E49" s="1082">
        <f t="shared" si="6"/>
        <v>0</v>
      </c>
      <c r="F49" s="1054"/>
      <c r="G49" s="1053"/>
      <c r="H49" s="1053"/>
      <c r="I49" s="1053"/>
      <c r="J49" s="1053"/>
      <c r="K49" s="1053"/>
      <c r="L49" s="1053"/>
      <c r="M49" s="1053"/>
      <c r="N49" s="1053"/>
      <c r="O49" s="1053"/>
      <c r="P49" s="1030">
        <f t="shared" si="7"/>
        <v>0</v>
      </c>
      <c r="Q49" s="1032"/>
      <c r="R49" s="1032"/>
      <c r="S49" s="1053"/>
      <c r="T49" s="1053"/>
      <c r="U49" s="1053"/>
      <c r="V49" s="1053"/>
      <c r="W49" s="1053"/>
      <c r="X49" s="1340"/>
      <c r="Y49" s="841"/>
      <c r="Z49" s="841"/>
      <c r="AA49" s="841"/>
      <c r="AB49" s="1334"/>
      <c r="AC49" s="1340"/>
      <c r="AD49" s="841"/>
      <c r="AE49" s="841"/>
      <c r="AF49" s="841"/>
      <c r="AG49" s="841"/>
      <c r="AH49" s="1049">
        <f t="shared" si="1"/>
        <v>0</v>
      </c>
      <c r="AI49" s="1051"/>
      <c r="AJ49" s="1051"/>
      <c r="AK49" s="1051"/>
      <c r="AL49" s="1051"/>
      <c r="AM49" s="1051"/>
      <c r="AN49" s="1051"/>
      <c r="AO49" s="1051"/>
      <c r="AP49" s="1051"/>
      <c r="AQ49" s="1051"/>
      <c r="AR49" s="1051"/>
      <c r="AS49" s="1051"/>
      <c r="AT49" s="1051"/>
      <c r="AU49" s="1051"/>
      <c r="AV49" s="1051"/>
      <c r="AW49" s="1051"/>
      <c r="AX49" s="1051"/>
      <c r="AY49" s="1051"/>
      <c r="AZ49" s="1051"/>
      <c r="BA49" s="1051"/>
      <c r="BB49" s="1051"/>
      <c r="BC49" s="1051"/>
      <c r="BD49" s="1051"/>
      <c r="BE49" s="1051"/>
      <c r="BF49" s="1051"/>
      <c r="BG49" s="1051"/>
      <c r="BH49" s="1051"/>
      <c r="BI49" s="1051"/>
      <c r="BJ49" s="1051"/>
      <c r="BK49" s="1051"/>
      <c r="BL49" s="1051"/>
      <c r="BM49" s="1051"/>
      <c r="BN49" s="1051"/>
      <c r="BO49" s="1051"/>
      <c r="BP49" s="1051"/>
      <c r="BQ49" s="1051"/>
      <c r="BR49" s="1051"/>
      <c r="BS49" s="1051"/>
      <c r="BT49" s="1051"/>
      <c r="BU49" s="1051"/>
      <c r="BV49" s="1051"/>
      <c r="BW49" s="1051"/>
      <c r="BX49" s="1051"/>
      <c r="BY49" s="1051"/>
      <c r="BZ49" s="1051"/>
      <c r="CA49" s="1051"/>
      <c r="CB49" s="1051"/>
      <c r="CC49" s="1051"/>
      <c r="CD49" s="1051"/>
      <c r="CE49" s="1051"/>
      <c r="CF49" s="1051"/>
      <c r="CG49" s="1051"/>
      <c r="CH49" s="1051"/>
      <c r="CI49" s="1051"/>
      <c r="CJ49" s="1051"/>
      <c r="CK49" s="1051"/>
      <c r="CL49" s="1051"/>
      <c r="CM49" s="1051"/>
      <c r="CN49" s="1051"/>
      <c r="CO49" s="1051"/>
      <c r="CP49" s="1051"/>
      <c r="CQ49" s="1051"/>
      <c r="CR49" s="1051"/>
      <c r="CS49" s="1051"/>
      <c r="CT49" s="1051"/>
      <c r="CU49" s="1051"/>
      <c r="CV49" s="1051"/>
      <c r="CW49" s="1051"/>
      <c r="CX49" s="1051"/>
      <c r="CY49" s="1051"/>
      <c r="CZ49" s="1051"/>
      <c r="DA49" s="1051"/>
      <c r="DB49" s="1051"/>
      <c r="DC49" s="1051"/>
      <c r="DD49" s="1051"/>
      <c r="DE49" s="1051"/>
      <c r="DF49" s="1051"/>
      <c r="DG49" s="1051"/>
      <c r="DH49" s="1051"/>
      <c r="DI49" s="1051"/>
      <c r="DJ49" s="1051"/>
      <c r="DK49" s="1051"/>
      <c r="DL49" s="1051"/>
    </row>
    <row r="50" spans="1:116" s="812" customFormat="1" ht="60.75">
      <c r="A50" s="1080" t="s">
        <v>455</v>
      </c>
      <c r="B50" s="935" t="s">
        <v>457</v>
      </c>
      <c r="C50" s="1052"/>
      <c r="D50" s="1081">
        <f t="shared" si="5"/>
        <v>16726028</v>
      </c>
      <c r="E50" s="1082">
        <f>F50+G50+H50+I50+J50+N50+O50</f>
        <v>9834615</v>
      </c>
      <c r="F50" s="1054">
        <f>+Отчет!J187+Дэф!C5+Дэф!C7</f>
        <v>5127893</v>
      </c>
      <c r="G50" s="1053"/>
      <c r="H50" s="1053"/>
      <c r="I50" s="1053"/>
      <c r="J50" s="1053">
        <f>Отчет!J81+Отчет!J80</f>
        <v>4706722</v>
      </c>
      <c r="K50" s="1053"/>
      <c r="L50" s="1053"/>
      <c r="M50" s="1053"/>
      <c r="N50" s="1053"/>
      <c r="O50" s="1053"/>
      <c r="P50" s="1030">
        <f t="shared" si="7"/>
        <v>6891413</v>
      </c>
      <c r="Q50" s="1032">
        <f>Отчет!J54+Отчет!J64</f>
        <v>6891413</v>
      </c>
      <c r="R50" s="1032"/>
      <c r="S50" s="1053"/>
      <c r="T50" s="1053"/>
      <c r="U50" s="1053"/>
      <c r="V50" s="1053"/>
      <c r="W50" s="1053"/>
      <c r="X50" s="1340"/>
      <c r="Y50" s="841"/>
      <c r="Z50" s="841"/>
      <c r="AA50" s="841"/>
      <c r="AB50" s="1334"/>
      <c r="AC50" s="1340"/>
      <c r="AD50" s="841"/>
      <c r="AE50" s="841"/>
      <c r="AF50" s="841"/>
      <c r="AG50" s="841"/>
      <c r="AH50" s="1049">
        <f t="shared" si="1"/>
        <v>50178084</v>
      </c>
      <c r="AI50" s="1051"/>
      <c r="AJ50" s="1051"/>
      <c r="AK50" s="1051"/>
      <c r="AL50" s="1051"/>
      <c r="AM50" s="1051"/>
      <c r="AN50" s="1051"/>
      <c r="AO50" s="1051"/>
      <c r="AP50" s="1051"/>
      <c r="AQ50" s="1051"/>
      <c r="AR50" s="1051"/>
      <c r="AS50" s="1051"/>
      <c r="AT50" s="1051"/>
      <c r="AU50" s="1051"/>
      <c r="AV50" s="1051"/>
      <c r="AW50" s="1051"/>
      <c r="AX50" s="1051"/>
      <c r="AY50" s="1051"/>
      <c r="AZ50" s="1051"/>
      <c r="BA50" s="1051"/>
      <c r="BB50" s="1051"/>
      <c r="BC50" s="1051"/>
      <c r="BD50" s="1051"/>
      <c r="BE50" s="1051"/>
      <c r="BF50" s="1051"/>
      <c r="BG50" s="1051"/>
      <c r="BH50" s="1051"/>
      <c r="BI50" s="1051"/>
      <c r="BJ50" s="1051"/>
      <c r="BK50" s="1051"/>
      <c r="BL50" s="1051"/>
      <c r="BM50" s="1051"/>
      <c r="BN50" s="1051"/>
      <c r="BO50" s="1051"/>
      <c r="BP50" s="1051"/>
      <c r="BQ50" s="1051"/>
      <c r="BR50" s="1051"/>
      <c r="BS50" s="1051"/>
      <c r="BT50" s="1051"/>
      <c r="BU50" s="1051"/>
      <c r="BV50" s="1051"/>
      <c r="BW50" s="1051"/>
      <c r="BX50" s="1051"/>
      <c r="BY50" s="1051"/>
      <c r="BZ50" s="1051"/>
      <c r="CA50" s="1051"/>
      <c r="CB50" s="1051"/>
      <c r="CC50" s="1051"/>
      <c r="CD50" s="1051"/>
      <c r="CE50" s="1051"/>
      <c r="CF50" s="1051"/>
      <c r="CG50" s="1051"/>
      <c r="CH50" s="1051"/>
      <c r="CI50" s="1051"/>
      <c r="CJ50" s="1051"/>
      <c r="CK50" s="1051"/>
      <c r="CL50" s="1051"/>
      <c r="CM50" s="1051"/>
      <c r="CN50" s="1051"/>
      <c r="CO50" s="1051"/>
      <c r="CP50" s="1051"/>
      <c r="CQ50" s="1051"/>
      <c r="CR50" s="1051"/>
      <c r="CS50" s="1051"/>
      <c r="CT50" s="1051"/>
      <c r="CU50" s="1051"/>
      <c r="CV50" s="1051"/>
      <c r="CW50" s="1051"/>
      <c r="CX50" s="1051"/>
      <c r="CY50" s="1051"/>
      <c r="CZ50" s="1051"/>
      <c r="DA50" s="1051"/>
      <c r="DB50" s="1051"/>
      <c r="DC50" s="1051"/>
      <c r="DD50" s="1051"/>
      <c r="DE50" s="1051"/>
      <c r="DF50" s="1051"/>
      <c r="DG50" s="1051"/>
      <c r="DH50" s="1051"/>
      <c r="DI50" s="1051"/>
      <c r="DJ50" s="1051"/>
      <c r="DK50" s="1051"/>
      <c r="DL50" s="1051"/>
    </row>
    <row r="51" spans="1:116" s="840" customFormat="1" ht="60.75">
      <c r="A51" s="1074" t="s">
        <v>458</v>
      </c>
      <c r="B51" s="1099" t="s">
        <v>813</v>
      </c>
      <c r="C51" s="1081"/>
      <c r="D51" s="1081">
        <f>E51+P51</f>
        <v>37086094</v>
      </c>
      <c r="E51" s="1082">
        <f>E56</f>
        <v>0</v>
      </c>
      <c r="F51" s="1082"/>
      <c r="G51" s="1083"/>
      <c r="H51" s="1083"/>
      <c r="I51" s="1083"/>
      <c r="J51" s="1083"/>
      <c r="K51" s="1083"/>
      <c r="L51" s="1083"/>
      <c r="M51" s="1083"/>
      <c r="N51" s="1083"/>
      <c r="O51" s="1083"/>
      <c r="P51" s="1030">
        <f t="shared" si="7"/>
        <v>37086094</v>
      </c>
      <c r="Q51" s="1030">
        <f>Q52+Q53+Q54+Q55+Q56</f>
        <v>37086094</v>
      </c>
      <c r="R51" s="1030"/>
      <c r="S51" s="1083"/>
      <c r="T51" s="1083"/>
      <c r="U51" s="1083"/>
      <c r="V51" s="1083"/>
      <c r="W51" s="1083"/>
      <c r="X51" s="1340"/>
      <c r="Y51" s="1031"/>
      <c r="Z51" s="1031"/>
      <c r="AA51" s="1031"/>
      <c r="AB51" s="1334"/>
      <c r="AC51" s="1340"/>
      <c r="AD51" s="1031"/>
      <c r="AE51" s="1031"/>
      <c r="AF51" s="1031"/>
      <c r="AG51" s="1031"/>
      <c r="AH51" s="1049">
        <f t="shared" si="1"/>
        <v>111258282</v>
      </c>
      <c r="AI51" s="1051"/>
      <c r="AJ51" s="1051"/>
      <c r="AK51" s="1051"/>
      <c r="AL51" s="1051"/>
      <c r="AM51" s="1051"/>
      <c r="AN51" s="1051"/>
      <c r="AO51" s="1051"/>
      <c r="AP51" s="1051"/>
      <c r="AQ51" s="1051"/>
      <c r="AR51" s="1051"/>
      <c r="AS51" s="1051"/>
      <c r="AT51" s="1051"/>
      <c r="AU51" s="1051"/>
      <c r="AV51" s="1051"/>
      <c r="AW51" s="1051"/>
      <c r="AX51" s="1051"/>
      <c r="AY51" s="1051"/>
      <c r="AZ51" s="1051"/>
      <c r="BA51" s="1051"/>
      <c r="BB51" s="1051"/>
      <c r="BC51" s="1051"/>
      <c r="BD51" s="1051"/>
      <c r="BE51" s="1051"/>
      <c r="BF51" s="1051"/>
      <c r="BG51" s="1051"/>
      <c r="BH51" s="1051"/>
      <c r="BI51" s="1051"/>
      <c r="BJ51" s="1051"/>
      <c r="BK51" s="1051"/>
      <c r="BL51" s="1051"/>
      <c r="BM51" s="1051"/>
      <c r="BN51" s="1051"/>
      <c r="BO51" s="1051"/>
      <c r="BP51" s="1051"/>
      <c r="BQ51" s="1051"/>
      <c r="BR51" s="1051"/>
      <c r="BS51" s="1051"/>
      <c r="BT51" s="1051"/>
      <c r="BU51" s="1051"/>
      <c r="BV51" s="1051"/>
      <c r="BW51" s="1051"/>
      <c r="BX51" s="1051"/>
      <c r="BY51" s="1051"/>
      <c r="BZ51" s="1051"/>
      <c r="CA51" s="1051"/>
      <c r="CB51" s="1051"/>
      <c r="CC51" s="1051"/>
      <c r="CD51" s="1051"/>
      <c r="CE51" s="1051"/>
      <c r="CF51" s="1051"/>
      <c r="CG51" s="1051"/>
      <c r="CH51" s="1051"/>
      <c r="CI51" s="1051"/>
      <c r="CJ51" s="1051"/>
      <c r="CK51" s="1051"/>
      <c r="CL51" s="1051"/>
      <c r="CM51" s="1051"/>
      <c r="CN51" s="1051"/>
      <c r="CO51" s="1051"/>
      <c r="CP51" s="1051"/>
      <c r="CQ51" s="1051"/>
      <c r="CR51" s="1051"/>
      <c r="CS51" s="1051"/>
      <c r="CT51" s="1051"/>
      <c r="CU51" s="1051"/>
      <c r="CV51" s="1051"/>
      <c r="CW51" s="1051"/>
      <c r="CX51" s="1051"/>
      <c r="CY51" s="1051"/>
      <c r="CZ51" s="1051"/>
      <c r="DA51" s="1051"/>
      <c r="DB51" s="1051"/>
      <c r="DC51" s="1051"/>
      <c r="DD51" s="1051"/>
      <c r="DE51" s="1051"/>
      <c r="DF51" s="1051"/>
      <c r="DG51" s="1051"/>
      <c r="DH51" s="1051"/>
      <c r="DI51" s="1051"/>
      <c r="DJ51" s="1051"/>
      <c r="DK51" s="1051"/>
      <c r="DL51" s="1051"/>
    </row>
    <row r="52" spans="1:116" s="840" customFormat="1" ht="90" customHeight="1">
      <c r="A52" s="1080" t="s">
        <v>460</v>
      </c>
      <c r="B52" s="935" t="s">
        <v>462</v>
      </c>
      <c r="C52" s="1081"/>
      <c r="D52" s="1081">
        <f>E52+P52</f>
        <v>37086094</v>
      </c>
      <c r="E52" s="1082">
        <f t="shared" ref="E52:E71" si="8">F52+G52+H52+I52+J52+N52+O52</f>
        <v>0</v>
      </c>
      <c r="F52" s="1082"/>
      <c r="G52" s="1083"/>
      <c r="H52" s="1083"/>
      <c r="I52" s="1083"/>
      <c r="J52" s="1083"/>
      <c r="K52" s="1083"/>
      <c r="L52" s="1083"/>
      <c r="M52" s="1083"/>
      <c r="N52" s="1083"/>
      <c r="O52" s="1083"/>
      <c r="P52" s="1030">
        <f>Q52+R52+S52+T52+U52+V52+W52</f>
        <v>37086094</v>
      </c>
      <c r="Q52" s="1030">
        <f>Отчет!K90+Отчет!K96+Отчет!K99+Отчет!K105+Отчет!K119+Отчет!K123+Отчет!K126+Отчет!K131+Отчет!K144+Отчет!K149+Отчет!K156+Отчет!K159</f>
        <v>37086094</v>
      </c>
      <c r="R52" s="1084"/>
      <c r="S52" s="1083"/>
      <c r="T52" s="1083"/>
      <c r="U52" s="1083"/>
      <c r="V52" s="1083"/>
      <c r="W52" s="1083"/>
      <c r="X52" s="1340"/>
      <c r="Y52" s="1031"/>
      <c r="Z52" s="1031"/>
      <c r="AA52" s="1031"/>
      <c r="AB52" s="1334"/>
      <c r="AC52" s="1340"/>
      <c r="AD52" s="1031"/>
      <c r="AE52" s="1031"/>
      <c r="AF52" s="1031"/>
      <c r="AG52" s="1031"/>
      <c r="AH52" s="1049">
        <f t="shared" si="1"/>
        <v>111258282</v>
      </c>
      <c r="AI52" s="1051"/>
      <c r="AJ52" s="1051"/>
      <c r="AK52" s="1051"/>
      <c r="AL52" s="1051"/>
      <c r="AM52" s="1051"/>
      <c r="AN52" s="1051"/>
      <c r="AO52" s="1051"/>
      <c r="AP52" s="1051"/>
      <c r="AQ52" s="1051"/>
      <c r="AR52" s="1051"/>
      <c r="AS52" s="1051"/>
      <c r="AT52" s="1051"/>
      <c r="AU52" s="1051"/>
      <c r="AV52" s="1051"/>
      <c r="AW52" s="1051"/>
      <c r="AX52" s="1051"/>
      <c r="AY52" s="1051"/>
      <c r="AZ52" s="1051"/>
      <c r="BA52" s="1051"/>
      <c r="BB52" s="1051"/>
      <c r="BC52" s="1051"/>
      <c r="BD52" s="1051"/>
      <c r="BE52" s="1051"/>
      <c r="BF52" s="1051"/>
      <c r="BG52" s="1051"/>
      <c r="BH52" s="1051"/>
      <c r="BI52" s="1051"/>
      <c r="BJ52" s="1051"/>
      <c r="BK52" s="1051"/>
      <c r="BL52" s="1051"/>
      <c r="BM52" s="1051"/>
      <c r="BN52" s="1051"/>
      <c r="BO52" s="1051"/>
      <c r="BP52" s="1051"/>
      <c r="BQ52" s="1051"/>
      <c r="BR52" s="1051"/>
      <c r="BS52" s="1051"/>
      <c r="BT52" s="1051"/>
      <c r="BU52" s="1051"/>
      <c r="BV52" s="1051"/>
      <c r="BW52" s="1051"/>
      <c r="BX52" s="1051"/>
      <c r="BY52" s="1051"/>
      <c r="BZ52" s="1051"/>
      <c r="CA52" s="1051"/>
      <c r="CB52" s="1051"/>
      <c r="CC52" s="1051"/>
      <c r="CD52" s="1051"/>
      <c r="CE52" s="1051"/>
      <c r="CF52" s="1051"/>
      <c r="CG52" s="1051"/>
      <c r="CH52" s="1051"/>
      <c r="CI52" s="1051"/>
      <c r="CJ52" s="1051"/>
      <c r="CK52" s="1051"/>
      <c r="CL52" s="1051"/>
      <c r="CM52" s="1051"/>
      <c r="CN52" s="1051"/>
      <c r="CO52" s="1051"/>
      <c r="CP52" s="1051"/>
      <c r="CQ52" s="1051"/>
      <c r="CR52" s="1051"/>
      <c r="CS52" s="1051"/>
      <c r="CT52" s="1051"/>
      <c r="CU52" s="1051"/>
      <c r="CV52" s="1051"/>
      <c r="CW52" s="1051"/>
      <c r="CX52" s="1051"/>
      <c r="CY52" s="1051"/>
      <c r="CZ52" s="1051"/>
      <c r="DA52" s="1051"/>
      <c r="DB52" s="1051"/>
      <c r="DC52" s="1051"/>
      <c r="DD52" s="1051"/>
      <c r="DE52" s="1051"/>
      <c r="DF52" s="1051"/>
      <c r="DG52" s="1051"/>
      <c r="DH52" s="1051"/>
      <c r="DI52" s="1051"/>
      <c r="DJ52" s="1051"/>
      <c r="DK52" s="1051"/>
      <c r="DL52" s="1051"/>
    </row>
    <row r="53" spans="1:116" s="812" customFormat="1" ht="30" customHeight="1">
      <c r="A53" s="1080" t="s">
        <v>464</v>
      </c>
      <c r="B53" s="935" t="s">
        <v>466</v>
      </c>
      <c r="C53" s="1052"/>
      <c r="D53" s="1081">
        <f t="shared" si="5"/>
        <v>0</v>
      </c>
      <c r="E53" s="1082">
        <f t="shared" si="8"/>
        <v>0</v>
      </c>
      <c r="F53" s="1054"/>
      <c r="G53" s="1053"/>
      <c r="H53" s="1053"/>
      <c r="I53" s="1053"/>
      <c r="J53" s="1053"/>
      <c r="K53" s="1053"/>
      <c r="L53" s="1053"/>
      <c r="M53" s="1053"/>
      <c r="N53" s="1053"/>
      <c r="O53" s="1053"/>
      <c r="P53" s="1030">
        <f t="shared" si="7"/>
        <v>0</v>
      </c>
      <c r="Q53" s="1032"/>
      <c r="R53" s="1032"/>
      <c r="S53" s="1053"/>
      <c r="T53" s="1053"/>
      <c r="U53" s="1053"/>
      <c r="V53" s="1053"/>
      <c r="W53" s="1053"/>
      <c r="X53" s="1340"/>
      <c r="Y53" s="841"/>
      <c r="Z53" s="841"/>
      <c r="AA53" s="841"/>
      <c r="AB53" s="1334"/>
      <c r="AC53" s="1340"/>
      <c r="AD53" s="841"/>
      <c r="AE53" s="841"/>
      <c r="AF53" s="841"/>
      <c r="AG53" s="841"/>
      <c r="AH53" s="1049">
        <f t="shared" si="1"/>
        <v>0</v>
      </c>
      <c r="AI53" s="1051"/>
      <c r="AJ53" s="1051"/>
      <c r="AK53" s="1051"/>
      <c r="AL53" s="1051"/>
      <c r="AM53" s="1051"/>
      <c r="AN53" s="1051"/>
      <c r="AO53" s="1051"/>
      <c r="AP53" s="1051"/>
      <c r="AQ53" s="1051"/>
      <c r="AR53" s="1051"/>
      <c r="AS53" s="1051"/>
      <c r="AT53" s="1051"/>
      <c r="AU53" s="1051"/>
      <c r="AV53" s="1051"/>
      <c r="AW53" s="1051"/>
      <c r="AX53" s="1051"/>
      <c r="AY53" s="1051"/>
      <c r="AZ53" s="1051"/>
      <c r="BA53" s="1051"/>
      <c r="BB53" s="1051"/>
      <c r="BC53" s="1051"/>
      <c r="BD53" s="1051"/>
      <c r="BE53" s="1051"/>
      <c r="BF53" s="1051"/>
      <c r="BG53" s="1051"/>
      <c r="BH53" s="1051"/>
      <c r="BI53" s="1051"/>
      <c r="BJ53" s="1051"/>
      <c r="BK53" s="1051"/>
      <c r="BL53" s="1051"/>
      <c r="BM53" s="1051"/>
      <c r="BN53" s="1051"/>
      <c r="BO53" s="1051"/>
      <c r="BP53" s="1051"/>
      <c r="BQ53" s="1051"/>
      <c r="BR53" s="1051"/>
      <c r="BS53" s="1051"/>
      <c r="BT53" s="1051"/>
      <c r="BU53" s="1051"/>
      <c r="BV53" s="1051"/>
      <c r="BW53" s="1051"/>
      <c r="BX53" s="1051"/>
      <c r="BY53" s="1051"/>
      <c r="BZ53" s="1051"/>
      <c r="CA53" s="1051"/>
      <c r="CB53" s="1051"/>
      <c r="CC53" s="1051"/>
      <c r="CD53" s="1051"/>
      <c r="CE53" s="1051"/>
      <c r="CF53" s="1051"/>
      <c r="CG53" s="1051"/>
      <c r="CH53" s="1051"/>
      <c r="CI53" s="1051"/>
      <c r="CJ53" s="1051"/>
      <c r="CK53" s="1051"/>
      <c r="CL53" s="1051"/>
      <c r="CM53" s="1051"/>
      <c r="CN53" s="1051"/>
      <c r="CO53" s="1051"/>
      <c r="CP53" s="1051"/>
      <c r="CQ53" s="1051"/>
      <c r="CR53" s="1051"/>
      <c r="CS53" s="1051"/>
      <c r="CT53" s="1051"/>
      <c r="CU53" s="1051"/>
      <c r="CV53" s="1051"/>
      <c r="CW53" s="1051"/>
      <c r="CX53" s="1051"/>
      <c r="CY53" s="1051"/>
      <c r="CZ53" s="1051"/>
      <c r="DA53" s="1051"/>
      <c r="DB53" s="1051"/>
      <c r="DC53" s="1051"/>
      <c r="DD53" s="1051"/>
      <c r="DE53" s="1051"/>
      <c r="DF53" s="1051"/>
      <c r="DG53" s="1051"/>
      <c r="DH53" s="1051"/>
      <c r="DI53" s="1051"/>
      <c r="DJ53" s="1051"/>
      <c r="DK53" s="1051"/>
      <c r="DL53" s="1051"/>
    </row>
    <row r="54" spans="1:116" s="840" customFormat="1">
      <c r="A54" s="811" t="s">
        <v>469</v>
      </c>
      <c r="B54" s="1087"/>
      <c r="C54" s="1081"/>
      <c r="D54" s="1081">
        <f t="shared" si="5"/>
        <v>0</v>
      </c>
      <c r="E54" s="1082">
        <f t="shared" si="8"/>
        <v>0</v>
      </c>
      <c r="F54" s="1082"/>
      <c r="G54" s="1083"/>
      <c r="H54" s="1083"/>
      <c r="I54" s="1083"/>
      <c r="J54" s="1083"/>
      <c r="K54" s="1083"/>
      <c r="L54" s="1083"/>
      <c r="M54" s="1083"/>
      <c r="N54" s="1083"/>
      <c r="O54" s="1083"/>
      <c r="P54" s="1030">
        <f t="shared" si="7"/>
        <v>0</v>
      </c>
      <c r="Q54" s="1030"/>
      <c r="R54" s="1030"/>
      <c r="S54" s="1083"/>
      <c r="T54" s="1083"/>
      <c r="U54" s="1083"/>
      <c r="V54" s="1083"/>
      <c r="W54" s="1083"/>
      <c r="X54" s="1340"/>
      <c r="Y54" s="1031"/>
      <c r="Z54" s="1031"/>
      <c r="AA54" s="1031"/>
      <c r="AB54" s="1334"/>
      <c r="AC54" s="1340"/>
      <c r="AD54" s="1031"/>
      <c r="AE54" s="1031"/>
      <c r="AF54" s="1031"/>
      <c r="AG54" s="1031"/>
      <c r="AH54" s="1049">
        <f t="shared" si="1"/>
        <v>0</v>
      </c>
      <c r="AI54" s="1051"/>
      <c r="AJ54" s="1051"/>
      <c r="AK54" s="1051"/>
      <c r="AL54" s="1051"/>
      <c r="AM54" s="1051"/>
      <c r="AN54" s="1051"/>
      <c r="AO54" s="1051"/>
      <c r="AP54" s="1051"/>
      <c r="AQ54" s="1051"/>
      <c r="AR54" s="1051"/>
      <c r="AS54" s="1051"/>
      <c r="AT54" s="1051"/>
      <c r="AU54" s="1051"/>
      <c r="AV54" s="1051"/>
      <c r="AW54" s="1051"/>
      <c r="AX54" s="1051"/>
      <c r="AY54" s="1051"/>
      <c r="AZ54" s="1051"/>
      <c r="BA54" s="1051"/>
      <c r="BB54" s="1051"/>
      <c r="BC54" s="1051"/>
      <c r="BD54" s="1051"/>
      <c r="BE54" s="1051"/>
      <c r="BF54" s="1051"/>
      <c r="BG54" s="1051"/>
      <c r="BH54" s="1051"/>
      <c r="BI54" s="1051"/>
      <c r="BJ54" s="1051"/>
      <c r="BK54" s="1051"/>
      <c r="BL54" s="1051"/>
      <c r="BM54" s="1051"/>
      <c r="BN54" s="1051"/>
      <c r="BO54" s="1051"/>
      <c r="BP54" s="1051"/>
      <c r="BQ54" s="1051"/>
      <c r="BR54" s="1051"/>
      <c r="BS54" s="1051"/>
      <c r="BT54" s="1051"/>
      <c r="BU54" s="1051"/>
      <c r="BV54" s="1051"/>
      <c r="BW54" s="1051"/>
      <c r="BX54" s="1051"/>
      <c r="BY54" s="1051"/>
      <c r="BZ54" s="1051"/>
      <c r="CA54" s="1051"/>
      <c r="CB54" s="1051"/>
      <c r="CC54" s="1051"/>
      <c r="CD54" s="1051"/>
      <c r="CE54" s="1051"/>
      <c r="CF54" s="1051"/>
      <c r="CG54" s="1051"/>
      <c r="CH54" s="1051"/>
      <c r="CI54" s="1051"/>
      <c r="CJ54" s="1051"/>
      <c r="CK54" s="1051"/>
      <c r="CL54" s="1051"/>
      <c r="CM54" s="1051"/>
      <c r="CN54" s="1051"/>
      <c r="CO54" s="1051"/>
      <c r="CP54" s="1051"/>
      <c r="CQ54" s="1051"/>
      <c r="CR54" s="1051"/>
      <c r="CS54" s="1051"/>
      <c r="CT54" s="1051"/>
      <c r="CU54" s="1051"/>
      <c r="CV54" s="1051"/>
      <c r="CW54" s="1051"/>
      <c r="CX54" s="1051"/>
      <c r="CY54" s="1051"/>
      <c r="CZ54" s="1051"/>
      <c r="DA54" s="1051"/>
      <c r="DB54" s="1051"/>
      <c r="DC54" s="1051"/>
      <c r="DD54" s="1051"/>
      <c r="DE54" s="1051"/>
      <c r="DF54" s="1051"/>
      <c r="DG54" s="1051"/>
      <c r="DH54" s="1051"/>
      <c r="DI54" s="1051"/>
      <c r="DJ54" s="1051"/>
      <c r="DK54" s="1051"/>
      <c r="DL54" s="1051"/>
    </row>
    <row r="55" spans="1:116" s="1079" customFormat="1" ht="182.25">
      <c r="A55" s="811" t="s">
        <v>472</v>
      </c>
      <c r="B55" s="1087" t="s">
        <v>473</v>
      </c>
      <c r="C55" s="1088"/>
      <c r="D55" s="1081">
        <f t="shared" si="5"/>
        <v>0</v>
      </c>
      <c r="E55" s="1082">
        <f t="shared" si="8"/>
        <v>0</v>
      </c>
      <c r="F55" s="1077"/>
      <c r="G55" s="1076"/>
      <c r="H55" s="1076"/>
      <c r="I55" s="1076"/>
      <c r="J55" s="1076"/>
      <c r="K55" s="1076"/>
      <c r="L55" s="1076"/>
      <c r="M55" s="1076"/>
      <c r="N55" s="1076"/>
      <c r="O55" s="1076"/>
      <c r="P55" s="1030">
        <f>Q55+R55+S55+T55+U55+V55+W55</f>
        <v>0</v>
      </c>
      <c r="Q55" s="1027"/>
      <c r="R55" s="1027"/>
      <c r="S55" s="1076"/>
      <c r="T55" s="1076"/>
      <c r="U55" s="1076"/>
      <c r="V55" s="1076"/>
      <c r="W55" s="1076"/>
      <c r="X55" s="1340"/>
      <c r="Y55" s="1029"/>
      <c r="Z55" s="1029"/>
      <c r="AA55" s="1029"/>
      <c r="AB55" s="1334"/>
      <c r="AC55" s="1340"/>
      <c r="AD55" s="1029"/>
      <c r="AE55" s="1029"/>
      <c r="AF55" s="1029"/>
      <c r="AG55" s="1029"/>
      <c r="AH55" s="1049">
        <f t="shared" si="1"/>
        <v>0</v>
      </c>
      <c r="AI55" s="1051"/>
      <c r="AJ55" s="1051"/>
      <c r="AK55" s="1051"/>
      <c r="AL55" s="1051"/>
      <c r="AM55" s="1051"/>
      <c r="AN55" s="1051"/>
      <c r="AO55" s="1051"/>
      <c r="AP55" s="1051"/>
      <c r="AQ55" s="1051"/>
      <c r="AR55" s="1051"/>
      <c r="AS55" s="1051"/>
      <c r="AT55" s="1051"/>
      <c r="AU55" s="1051"/>
      <c r="AV55" s="1051"/>
      <c r="AW55" s="1051"/>
      <c r="AX55" s="1051"/>
      <c r="AY55" s="1051"/>
      <c r="AZ55" s="1051"/>
      <c r="BA55" s="1051"/>
      <c r="BB55" s="1051"/>
      <c r="BC55" s="1051"/>
      <c r="BD55" s="1051"/>
      <c r="BE55" s="1051"/>
      <c r="BF55" s="1051"/>
      <c r="BG55" s="1051"/>
      <c r="BH55" s="1051"/>
      <c r="BI55" s="1051"/>
      <c r="BJ55" s="1051"/>
      <c r="BK55" s="1051"/>
      <c r="BL55" s="1051"/>
      <c r="BM55" s="1051"/>
      <c r="BN55" s="1051"/>
      <c r="BO55" s="1051"/>
      <c r="BP55" s="1051"/>
      <c r="BQ55" s="1051"/>
      <c r="BR55" s="1051"/>
      <c r="BS55" s="1051"/>
      <c r="BT55" s="1051"/>
      <c r="BU55" s="1051"/>
      <c r="BV55" s="1051"/>
      <c r="BW55" s="1051"/>
      <c r="BX55" s="1051"/>
      <c r="BY55" s="1051"/>
      <c r="BZ55" s="1051"/>
      <c r="CA55" s="1051"/>
      <c r="CB55" s="1051"/>
      <c r="CC55" s="1051"/>
      <c r="CD55" s="1051"/>
      <c r="CE55" s="1051"/>
      <c r="CF55" s="1051"/>
      <c r="CG55" s="1051"/>
      <c r="CH55" s="1051"/>
      <c r="CI55" s="1051"/>
      <c r="CJ55" s="1051"/>
      <c r="CK55" s="1051"/>
      <c r="CL55" s="1051"/>
      <c r="CM55" s="1051"/>
      <c r="CN55" s="1051"/>
      <c r="CO55" s="1051"/>
      <c r="CP55" s="1051"/>
      <c r="CQ55" s="1051"/>
      <c r="CR55" s="1051"/>
      <c r="CS55" s="1051"/>
      <c r="CT55" s="1051"/>
      <c r="CU55" s="1051"/>
      <c r="CV55" s="1051"/>
      <c r="CW55" s="1051"/>
      <c r="CX55" s="1051"/>
      <c r="CY55" s="1051"/>
      <c r="CZ55" s="1051"/>
      <c r="DA55" s="1051"/>
      <c r="DB55" s="1051"/>
      <c r="DC55" s="1051"/>
      <c r="DD55" s="1051"/>
      <c r="DE55" s="1051"/>
      <c r="DF55" s="1051"/>
      <c r="DG55" s="1051"/>
      <c r="DH55" s="1051"/>
      <c r="DI55" s="1051"/>
      <c r="DJ55" s="1051"/>
      <c r="DK55" s="1051"/>
      <c r="DL55" s="1051"/>
    </row>
    <row r="56" spans="1:116" s="1079" customFormat="1" ht="101.25">
      <c r="A56" s="1080" t="s">
        <v>475</v>
      </c>
      <c r="B56" s="1100" t="s">
        <v>477</v>
      </c>
      <c r="C56" s="1088"/>
      <c r="D56" s="1081">
        <f t="shared" si="5"/>
        <v>0</v>
      </c>
      <c r="E56" s="1082">
        <f t="shared" si="8"/>
        <v>0</v>
      </c>
      <c r="F56" s="1077"/>
      <c r="G56" s="1076"/>
      <c r="H56" s="1076"/>
      <c r="I56" s="1076"/>
      <c r="J56" s="1076"/>
      <c r="K56" s="1076"/>
      <c r="L56" s="1076"/>
      <c r="M56" s="1076"/>
      <c r="N56" s="1076"/>
      <c r="O56" s="1076"/>
      <c r="P56" s="1030">
        <f t="shared" si="7"/>
        <v>0</v>
      </c>
      <c r="Q56" s="1027"/>
      <c r="R56" s="1027"/>
      <c r="S56" s="1076"/>
      <c r="T56" s="1076"/>
      <c r="U56" s="1076"/>
      <c r="V56" s="1076"/>
      <c r="W56" s="1076"/>
      <c r="X56" s="1340"/>
      <c r="Y56" s="1029"/>
      <c r="Z56" s="1029"/>
      <c r="AA56" s="1029"/>
      <c r="AB56" s="1334"/>
      <c r="AC56" s="1340"/>
      <c r="AD56" s="1029"/>
      <c r="AE56" s="1029"/>
      <c r="AF56" s="1029"/>
      <c r="AG56" s="1029"/>
      <c r="AH56" s="1049">
        <f t="shared" si="1"/>
        <v>0</v>
      </c>
      <c r="AI56" s="1051"/>
      <c r="AJ56" s="1051"/>
      <c r="AK56" s="1051"/>
      <c r="AL56" s="1051"/>
      <c r="AM56" s="1051"/>
      <c r="AN56" s="1051"/>
      <c r="AO56" s="1051"/>
      <c r="AP56" s="1051"/>
      <c r="AQ56" s="1051"/>
      <c r="AR56" s="1051"/>
      <c r="AS56" s="1051"/>
      <c r="AT56" s="1051"/>
      <c r="AU56" s="1051"/>
      <c r="AV56" s="1051"/>
      <c r="AW56" s="1051"/>
      <c r="AX56" s="1051"/>
      <c r="AY56" s="1051"/>
      <c r="AZ56" s="1051"/>
      <c r="BA56" s="1051"/>
      <c r="BB56" s="1051"/>
      <c r="BC56" s="1051"/>
      <c r="BD56" s="1051"/>
      <c r="BE56" s="1051"/>
      <c r="BF56" s="1051"/>
      <c r="BG56" s="1051"/>
      <c r="BH56" s="1051"/>
      <c r="BI56" s="1051"/>
      <c r="BJ56" s="1051"/>
      <c r="BK56" s="1051"/>
      <c r="BL56" s="1051"/>
      <c r="BM56" s="1051"/>
      <c r="BN56" s="1051"/>
      <c r="BO56" s="1051"/>
      <c r="BP56" s="1051"/>
      <c r="BQ56" s="1051"/>
      <c r="BR56" s="1051"/>
      <c r="BS56" s="1051"/>
      <c r="BT56" s="1051"/>
      <c r="BU56" s="1051"/>
      <c r="BV56" s="1051"/>
      <c r="BW56" s="1051"/>
      <c r="BX56" s="1051"/>
      <c r="BY56" s="1051"/>
      <c r="BZ56" s="1051"/>
      <c r="CA56" s="1051"/>
      <c r="CB56" s="1051"/>
      <c r="CC56" s="1051"/>
      <c r="CD56" s="1051"/>
      <c r="CE56" s="1051"/>
      <c r="CF56" s="1051"/>
      <c r="CG56" s="1051"/>
      <c r="CH56" s="1051"/>
      <c r="CI56" s="1051"/>
      <c r="CJ56" s="1051"/>
      <c r="CK56" s="1051"/>
      <c r="CL56" s="1051"/>
      <c r="CM56" s="1051"/>
      <c r="CN56" s="1051"/>
      <c r="CO56" s="1051"/>
      <c r="CP56" s="1051"/>
      <c r="CQ56" s="1051"/>
      <c r="CR56" s="1051"/>
      <c r="CS56" s="1051"/>
      <c r="CT56" s="1051"/>
      <c r="CU56" s="1051"/>
      <c r="CV56" s="1051"/>
      <c r="CW56" s="1051"/>
      <c r="CX56" s="1051"/>
      <c r="CY56" s="1051"/>
      <c r="CZ56" s="1051"/>
      <c r="DA56" s="1051"/>
      <c r="DB56" s="1051"/>
      <c r="DC56" s="1051"/>
      <c r="DD56" s="1051"/>
      <c r="DE56" s="1051"/>
      <c r="DF56" s="1051"/>
      <c r="DG56" s="1051"/>
      <c r="DH56" s="1051"/>
      <c r="DI56" s="1051"/>
      <c r="DJ56" s="1051"/>
      <c r="DK56" s="1051"/>
      <c r="DL56" s="1051"/>
    </row>
    <row r="57" spans="1:116" s="1102" customFormat="1" ht="60.75">
      <c r="A57" s="1074" t="s">
        <v>480</v>
      </c>
      <c r="B57" s="1099" t="s">
        <v>482</v>
      </c>
      <c r="C57" s="1081"/>
      <c r="D57" s="1081">
        <f>E57+P57</f>
        <v>4976244</v>
      </c>
      <c r="E57" s="1082">
        <f>F57+G57+H57+I57+J57+N57+O57</f>
        <v>184944</v>
      </c>
      <c r="F57" s="1082">
        <f>Дэф!C4</f>
        <v>184944</v>
      </c>
      <c r="G57" s="1083"/>
      <c r="H57" s="1083"/>
      <c r="I57" s="1083"/>
      <c r="J57" s="1083"/>
      <c r="K57" s="1083"/>
      <c r="L57" s="1083"/>
      <c r="M57" s="1083"/>
      <c r="N57" s="1083"/>
      <c r="O57" s="1083"/>
      <c r="P57" s="1030">
        <f t="shared" si="7"/>
        <v>4791300</v>
      </c>
      <c r="Q57" s="1057">
        <f>Отчет!J57+Отчет!J67+Отчет!J60+Отчет!J70+Отчет!J197+Отчет!J62+Отчет!J72+Отчет!J202+Отчет!J231</f>
        <v>4791300</v>
      </c>
      <c r="R57" s="1057"/>
      <c r="S57" s="1083"/>
      <c r="T57" s="1083"/>
      <c r="U57" s="1083"/>
      <c r="V57" s="1083"/>
      <c r="W57" s="1083"/>
      <c r="X57" s="1341"/>
      <c r="Y57" s="1101"/>
      <c r="Z57" s="1101"/>
      <c r="AA57" s="1101"/>
      <c r="AB57" s="1336"/>
      <c r="AC57" s="1341">
        <f>AD57</f>
        <v>3211245.1784613193</v>
      </c>
      <c r="AD57" s="1101">
        <f>AE57</f>
        <v>3211245.1784613193</v>
      </c>
      <c r="AE57" s="1101">
        <f>AF57+AG57</f>
        <v>3211245.1784613193</v>
      </c>
      <c r="AF57" s="1083">
        <v>501242.59221841913</v>
      </c>
      <c r="AG57" s="1083">
        <v>2710002.5862429002</v>
      </c>
      <c r="AH57" s="1049">
        <f t="shared" si="1"/>
        <v>27773712.713845279</v>
      </c>
      <c r="AI57" s="1051"/>
      <c r="AJ57" s="1051"/>
      <c r="AK57" s="1051"/>
      <c r="AL57" s="1159"/>
      <c r="AM57" s="1159"/>
      <c r="AN57" s="1159"/>
      <c r="AO57" s="1159"/>
      <c r="AP57" s="1159"/>
      <c r="AQ57" s="1159"/>
      <c r="AR57" s="1159"/>
      <c r="AS57" s="1159"/>
      <c r="AT57" s="1159"/>
      <c r="AU57" s="1159"/>
      <c r="AV57" s="1159"/>
      <c r="AW57" s="1159"/>
      <c r="AX57" s="1159"/>
      <c r="AY57" s="1159"/>
      <c r="AZ57" s="1159"/>
      <c r="BA57" s="1159"/>
      <c r="BB57" s="1159"/>
      <c r="BC57" s="1159"/>
      <c r="BD57" s="1159"/>
      <c r="BE57" s="1159"/>
      <c r="BF57" s="1159"/>
      <c r="BG57" s="1159"/>
      <c r="BH57" s="1159"/>
      <c r="BI57" s="1159"/>
      <c r="BJ57" s="1159"/>
      <c r="BK57" s="1159"/>
      <c r="BL57" s="1159"/>
      <c r="BM57" s="1159"/>
      <c r="BN57" s="1159"/>
      <c r="BO57" s="1159"/>
      <c r="BP57" s="1159"/>
      <c r="BQ57" s="1159"/>
      <c r="BR57" s="1159"/>
      <c r="BS57" s="1159"/>
      <c r="BT57" s="1159"/>
      <c r="BU57" s="1159"/>
      <c r="BV57" s="1159"/>
      <c r="BW57" s="1159"/>
      <c r="BX57" s="1159"/>
      <c r="BY57" s="1159"/>
      <c r="BZ57" s="1159"/>
      <c r="CA57" s="1159"/>
      <c r="CB57" s="1159"/>
      <c r="CC57" s="1159"/>
      <c r="CD57" s="1159"/>
      <c r="CE57" s="1159"/>
      <c r="CF57" s="1159"/>
      <c r="CG57" s="1159"/>
      <c r="CH57" s="1159"/>
      <c r="CI57" s="1159"/>
      <c r="CJ57" s="1159"/>
      <c r="CK57" s="1159"/>
      <c r="CL57" s="1159"/>
      <c r="CM57" s="1159"/>
      <c r="CN57" s="1159"/>
      <c r="CO57" s="1159"/>
      <c r="CP57" s="1159"/>
      <c r="CQ57" s="1159"/>
      <c r="CR57" s="1159"/>
      <c r="CS57" s="1159"/>
      <c r="CT57" s="1159"/>
      <c r="CU57" s="1159"/>
      <c r="CV57" s="1159"/>
      <c r="CW57" s="1159"/>
      <c r="CX57" s="1159"/>
      <c r="CY57" s="1159"/>
      <c r="CZ57" s="1159"/>
      <c r="DA57" s="1159"/>
      <c r="DB57" s="1159"/>
      <c r="DC57" s="1159"/>
      <c r="DD57" s="1159"/>
      <c r="DE57" s="1159"/>
      <c r="DF57" s="1159"/>
      <c r="DG57" s="1159"/>
      <c r="DH57" s="1159"/>
      <c r="DI57" s="1159"/>
      <c r="DJ57" s="1159"/>
      <c r="DK57" s="1159"/>
      <c r="DL57" s="1159"/>
    </row>
    <row r="58" spans="1:116" s="812" customFormat="1" ht="40.5">
      <c r="A58" s="1074" t="s">
        <v>483</v>
      </c>
      <c r="B58" s="1099" t="s">
        <v>485</v>
      </c>
      <c r="C58" s="1052"/>
      <c r="D58" s="1081">
        <f>E58+P58</f>
        <v>24850157.300000001</v>
      </c>
      <c r="E58" s="1082">
        <f>E59+E62+E63+E64</f>
        <v>23131261.100000001</v>
      </c>
      <c r="F58" s="1054"/>
      <c r="G58" s="1053"/>
      <c r="H58" s="1053"/>
      <c r="I58" s="1053"/>
      <c r="J58" s="1053"/>
      <c r="K58" s="1053"/>
      <c r="L58" s="1053"/>
      <c r="M58" s="1053"/>
      <c r="N58" s="1053"/>
      <c r="O58" s="1053"/>
      <c r="P58" s="1030">
        <f>P59+P62+P63+P64</f>
        <v>1718896.2</v>
      </c>
      <c r="Q58" s="1058"/>
      <c r="R58" s="1032"/>
      <c r="S58" s="1053"/>
      <c r="T58" s="1053"/>
      <c r="U58" s="1053"/>
      <c r="V58" s="1053"/>
      <c r="W58" s="1053"/>
      <c r="X58" s="1340">
        <f>X59+X62+X63+X64</f>
        <v>0</v>
      </c>
      <c r="Y58" s="841"/>
      <c r="Z58" s="841"/>
      <c r="AA58" s="841"/>
      <c r="AB58" s="1334"/>
      <c r="AC58" s="1340"/>
      <c r="AD58" s="841">
        <f>AE58</f>
        <v>151667.56432784206</v>
      </c>
      <c r="AE58" s="841">
        <f>AF58+AG58</f>
        <v>151667.56432784206</v>
      </c>
      <c r="AF58" s="841">
        <v>99940.857997842104</v>
      </c>
      <c r="AG58" s="841">
        <v>51726.706329999965</v>
      </c>
      <c r="AH58" s="1049">
        <f t="shared" si="1"/>
        <v>50155317.292983539</v>
      </c>
      <c r="AI58" s="1051"/>
      <c r="AJ58" s="1051"/>
      <c r="AK58" s="1051"/>
      <c r="AL58" s="1051"/>
      <c r="AM58" s="1051"/>
      <c r="AN58" s="1051"/>
      <c r="AO58" s="1051"/>
      <c r="AP58" s="1051"/>
      <c r="AQ58" s="1051"/>
      <c r="AR58" s="1051"/>
      <c r="AS58" s="1051"/>
      <c r="AT58" s="1051"/>
      <c r="AU58" s="1051"/>
      <c r="AV58" s="1051"/>
      <c r="AW58" s="1051"/>
      <c r="AX58" s="1051"/>
      <c r="AY58" s="1051"/>
      <c r="AZ58" s="1051"/>
      <c r="BA58" s="1051"/>
      <c r="BB58" s="1051"/>
      <c r="BC58" s="1051"/>
      <c r="BD58" s="1051"/>
      <c r="BE58" s="1051"/>
      <c r="BF58" s="1051"/>
      <c r="BG58" s="1051"/>
      <c r="BH58" s="1051"/>
      <c r="BI58" s="1051"/>
      <c r="BJ58" s="1051"/>
      <c r="BK58" s="1051"/>
      <c r="BL58" s="1051"/>
      <c r="BM58" s="1051"/>
      <c r="BN58" s="1051"/>
      <c r="BO58" s="1051"/>
      <c r="BP58" s="1051"/>
      <c r="BQ58" s="1051"/>
      <c r="BR58" s="1051"/>
      <c r="BS58" s="1051"/>
      <c r="BT58" s="1051"/>
      <c r="BU58" s="1051"/>
      <c r="BV58" s="1051"/>
      <c r="BW58" s="1051"/>
      <c r="BX58" s="1051"/>
      <c r="BY58" s="1051"/>
      <c r="BZ58" s="1051"/>
      <c r="CA58" s="1051"/>
      <c r="CB58" s="1051"/>
      <c r="CC58" s="1051"/>
      <c r="CD58" s="1051"/>
      <c r="CE58" s="1051"/>
      <c r="CF58" s="1051"/>
      <c r="CG58" s="1051"/>
      <c r="CH58" s="1051"/>
      <c r="CI58" s="1051"/>
      <c r="CJ58" s="1051"/>
      <c r="CK58" s="1051"/>
      <c r="CL58" s="1051"/>
      <c r="CM58" s="1051"/>
      <c r="CN58" s="1051"/>
      <c r="CO58" s="1051"/>
      <c r="CP58" s="1051"/>
      <c r="CQ58" s="1051"/>
      <c r="CR58" s="1051"/>
      <c r="CS58" s="1051"/>
      <c r="CT58" s="1051"/>
      <c r="CU58" s="1051"/>
      <c r="CV58" s="1051"/>
      <c r="CW58" s="1051"/>
      <c r="CX58" s="1051"/>
      <c r="CY58" s="1051"/>
      <c r="CZ58" s="1051"/>
      <c r="DA58" s="1051"/>
      <c r="DB58" s="1051"/>
      <c r="DC58" s="1051"/>
      <c r="DD58" s="1051"/>
      <c r="DE58" s="1051"/>
      <c r="DF58" s="1051"/>
      <c r="DG58" s="1051"/>
      <c r="DH58" s="1051"/>
      <c r="DI58" s="1051"/>
      <c r="DJ58" s="1051"/>
      <c r="DK58" s="1051"/>
      <c r="DL58" s="1051"/>
    </row>
    <row r="59" spans="1:116" s="812" customFormat="1" ht="60.75">
      <c r="A59" s="1080" t="s">
        <v>488</v>
      </c>
      <c r="B59" s="935" t="s">
        <v>490</v>
      </c>
      <c r="C59" s="1052"/>
      <c r="D59" s="1081">
        <f t="shared" si="5"/>
        <v>24850157.300000001</v>
      </c>
      <c r="E59" s="1082">
        <f>E60+E61</f>
        <v>23131261.100000001</v>
      </c>
      <c r="F59" s="1054"/>
      <c r="G59" s="1053"/>
      <c r="H59" s="1053"/>
      <c r="I59" s="1053"/>
      <c r="J59" s="1053"/>
      <c r="K59" s="1053"/>
      <c r="L59" s="1053"/>
      <c r="M59" s="1053"/>
      <c r="N59" s="1053"/>
      <c r="O59" s="1053"/>
      <c r="P59" s="1030">
        <f>P60+P61</f>
        <v>1718896.2</v>
      </c>
      <c r="Q59" s="1032"/>
      <c r="R59" s="1032"/>
      <c r="S59" s="1053"/>
      <c r="T59" s="1053"/>
      <c r="U59" s="1053"/>
      <c r="V59" s="1053"/>
      <c r="W59" s="1053"/>
      <c r="X59" s="1340"/>
      <c r="Y59" s="841"/>
      <c r="Z59" s="841"/>
      <c r="AA59" s="841"/>
      <c r="AB59" s="1334"/>
      <c r="AC59" s="1340"/>
      <c r="AD59" s="841"/>
      <c r="AE59" s="841"/>
      <c r="AG59" s="841"/>
      <c r="AH59" s="1049">
        <f t="shared" si="1"/>
        <v>49700314.600000009</v>
      </c>
      <c r="AI59" s="1051"/>
      <c r="AJ59" s="1051"/>
      <c r="AK59" s="1051"/>
      <c r="AL59" s="1051"/>
      <c r="AM59" s="1051"/>
      <c r="AN59" s="1051"/>
      <c r="AO59" s="1051"/>
      <c r="AP59" s="1051"/>
      <c r="AQ59" s="1051"/>
      <c r="AR59" s="1051"/>
      <c r="AS59" s="1051"/>
      <c r="AT59" s="1051"/>
      <c r="AU59" s="1051"/>
      <c r="AV59" s="1051"/>
      <c r="AW59" s="1051"/>
      <c r="AX59" s="1051"/>
      <c r="AY59" s="1051"/>
      <c r="AZ59" s="1051"/>
      <c r="BA59" s="1051"/>
      <c r="BB59" s="1051"/>
      <c r="BC59" s="1051"/>
      <c r="BD59" s="1051"/>
      <c r="BE59" s="1051"/>
      <c r="BF59" s="1051"/>
      <c r="BG59" s="1051"/>
      <c r="BH59" s="1051"/>
      <c r="BI59" s="1051"/>
      <c r="BJ59" s="1051"/>
      <c r="BK59" s="1051"/>
      <c r="BL59" s="1051"/>
      <c r="BM59" s="1051"/>
      <c r="BN59" s="1051"/>
      <c r="BO59" s="1051"/>
      <c r="BP59" s="1051"/>
      <c r="BQ59" s="1051"/>
      <c r="BR59" s="1051"/>
      <c r="BS59" s="1051"/>
      <c r="BT59" s="1051"/>
      <c r="BU59" s="1051"/>
      <c r="BV59" s="1051"/>
      <c r="BW59" s="1051"/>
      <c r="BX59" s="1051"/>
      <c r="BY59" s="1051"/>
      <c r="BZ59" s="1051"/>
      <c r="CA59" s="1051"/>
      <c r="CB59" s="1051"/>
      <c r="CC59" s="1051"/>
      <c r="CD59" s="1051"/>
      <c r="CE59" s="1051"/>
      <c r="CF59" s="1051"/>
      <c r="CG59" s="1051"/>
      <c r="CH59" s="1051"/>
      <c r="CI59" s="1051"/>
      <c r="CJ59" s="1051"/>
      <c r="CK59" s="1051"/>
      <c r="CL59" s="1051"/>
      <c r="CM59" s="1051"/>
      <c r="CN59" s="1051"/>
      <c r="CO59" s="1051"/>
      <c r="CP59" s="1051"/>
      <c r="CQ59" s="1051"/>
      <c r="CR59" s="1051"/>
      <c r="CS59" s="1051"/>
      <c r="CT59" s="1051"/>
      <c r="CU59" s="1051"/>
      <c r="CV59" s="1051"/>
      <c r="CW59" s="1051"/>
      <c r="CX59" s="1051"/>
      <c r="CY59" s="1051"/>
      <c r="CZ59" s="1051"/>
      <c r="DA59" s="1051"/>
      <c r="DB59" s="1051"/>
      <c r="DC59" s="1051"/>
      <c r="DD59" s="1051"/>
      <c r="DE59" s="1051"/>
      <c r="DF59" s="1051"/>
      <c r="DG59" s="1051"/>
      <c r="DH59" s="1051"/>
      <c r="DI59" s="1051"/>
      <c r="DJ59" s="1051"/>
      <c r="DK59" s="1051"/>
      <c r="DL59" s="1051"/>
    </row>
    <row r="60" spans="1:116" s="1102" customFormat="1">
      <c r="A60" s="1103" t="s">
        <v>493</v>
      </c>
      <c r="B60" s="935" t="s">
        <v>494</v>
      </c>
      <c r="C60" s="1081"/>
      <c r="D60" s="1081">
        <f t="shared" si="5"/>
        <v>23131261.100000001</v>
      </c>
      <c r="E60" s="1082">
        <f t="shared" si="8"/>
        <v>23131261.100000001</v>
      </c>
      <c r="F60" s="1082">
        <f>Отчет!J180+Отчет!J195+Отчет!J196+'HF-HC '!Q48</f>
        <v>23131261.100000001</v>
      </c>
      <c r="G60" s="1083"/>
      <c r="H60" s="1083"/>
      <c r="I60" s="1083"/>
      <c r="J60" s="1083"/>
      <c r="K60" s="1083"/>
      <c r="L60" s="1083"/>
      <c r="M60" s="1083"/>
      <c r="N60" s="1083"/>
      <c r="O60" s="1083"/>
      <c r="P60" s="1030">
        <f t="shared" si="7"/>
        <v>0</v>
      </c>
      <c r="Q60" s="1057"/>
      <c r="R60" s="1057"/>
      <c r="S60" s="1083"/>
      <c r="T60" s="1083"/>
      <c r="U60" s="1083"/>
      <c r="V60" s="1083"/>
      <c r="W60" s="1083"/>
      <c r="X60" s="1341"/>
      <c r="Y60" s="1101"/>
      <c r="Z60" s="1101"/>
      <c r="AA60" s="1101"/>
      <c r="AB60" s="1336"/>
      <c r="AC60" s="1341"/>
      <c r="AD60" s="1101"/>
      <c r="AE60" s="1101"/>
      <c r="AF60" s="1101"/>
      <c r="AG60" s="1101"/>
      <c r="AH60" s="1049">
        <f t="shared" si="1"/>
        <v>69393783.300000012</v>
      </c>
      <c r="AI60" s="1051"/>
      <c r="AJ60" s="1051"/>
      <c r="AK60" s="1051"/>
      <c r="AL60" s="1159"/>
      <c r="AM60" s="1159"/>
      <c r="AN60" s="1159"/>
      <c r="AO60" s="1159"/>
      <c r="AP60" s="1159"/>
      <c r="AQ60" s="1159"/>
      <c r="AR60" s="1159"/>
      <c r="AS60" s="1159"/>
      <c r="AT60" s="1159"/>
      <c r="AU60" s="1159"/>
      <c r="AV60" s="1159"/>
      <c r="AW60" s="1159"/>
      <c r="AX60" s="1159"/>
      <c r="AY60" s="1159"/>
      <c r="AZ60" s="1159"/>
      <c r="BA60" s="1159"/>
      <c r="BB60" s="1159"/>
      <c r="BC60" s="1159"/>
      <c r="BD60" s="1159"/>
      <c r="BE60" s="1159"/>
      <c r="BF60" s="1159"/>
      <c r="BG60" s="1159"/>
      <c r="BH60" s="1159"/>
      <c r="BI60" s="1159"/>
      <c r="BJ60" s="1159"/>
      <c r="BK60" s="1159"/>
      <c r="BL60" s="1159"/>
      <c r="BM60" s="1159"/>
      <c r="BN60" s="1159"/>
      <c r="BO60" s="1159"/>
      <c r="BP60" s="1159"/>
      <c r="BQ60" s="1159"/>
      <c r="BR60" s="1159"/>
      <c r="BS60" s="1159"/>
      <c r="BT60" s="1159"/>
      <c r="BU60" s="1159"/>
      <c r="BV60" s="1159"/>
      <c r="BW60" s="1159"/>
      <c r="BX60" s="1159"/>
      <c r="BY60" s="1159"/>
      <c r="BZ60" s="1159"/>
      <c r="CA60" s="1159"/>
      <c r="CB60" s="1159"/>
      <c r="CC60" s="1159"/>
      <c r="CD60" s="1159"/>
      <c r="CE60" s="1159"/>
      <c r="CF60" s="1159"/>
      <c r="CG60" s="1159"/>
      <c r="CH60" s="1159"/>
      <c r="CI60" s="1159"/>
      <c r="CJ60" s="1159"/>
      <c r="CK60" s="1159"/>
      <c r="CL60" s="1159"/>
      <c r="CM60" s="1159"/>
      <c r="CN60" s="1159"/>
      <c r="CO60" s="1159"/>
      <c r="CP60" s="1159"/>
      <c r="CQ60" s="1159"/>
      <c r="CR60" s="1159"/>
      <c r="CS60" s="1159"/>
      <c r="CT60" s="1159"/>
      <c r="CU60" s="1159"/>
      <c r="CV60" s="1159"/>
      <c r="CW60" s="1159"/>
      <c r="CX60" s="1159"/>
      <c r="CY60" s="1159"/>
      <c r="CZ60" s="1159"/>
      <c r="DA60" s="1159"/>
      <c r="DB60" s="1159"/>
      <c r="DC60" s="1159"/>
      <c r="DD60" s="1159"/>
      <c r="DE60" s="1159"/>
      <c r="DF60" s="1159"/>
      <c r="DG60" s="1159"/>
      <c r="DH60" s="1159"/>
      <c r="DI60" s="1159"/>
      <c r="DJ60" s="1159"/>
      <c r="DK60" s="1159"/>
      <c r="DL60" s="1159"/>
    </row>
    <row r="61" spans="1:116" s="1102" customFormat="1" ht="81">
      <c r="A61" s="1103" t="s">
        <v>496</v>
      </c>
      <c r="B61" s="935" t="s">
        <v>77</v>
      </c>
      <c r="C61" s="1081"/>
      <c r="D61" s="1081">
        <f t="shared" si="5"/>
        <v>1718896.2</v>
      </c>
      <c r="E61" s="1082">
        <f t="shared" si="8"/>
        <v>0</v>
      </c>
      <c r="F61" s="1104"/>
      <c r="G61" s="1083"/>
      <c r="H61" s="1083"/>
      <c r="I61" s="1083"/>
      <c r="J61" s="1083"/>
      <c r="K61" s="1083"/>
      <c r="L61" s="1083"/>
      <c r="M61" s="1083"/>
      <c r="N61" s="1083"/>
      <c r="O61" s="1083"/>
      <c r="P61" s="1030">
        <f t="shared" si="7"/>
        <v>1718896.2</v>
      </c>
      <c r="Q61" s="1057">
        <f>Отчет!J201+Отчет!J230+Отчет!J214+Отчет!J217</f>
        <v>1718896.2</v>
      </c>
      <c r="R61" s="1057"/>
      <c r="S61" s="1083"/>
      <c r="T61" s="1083"/>
      <c r="U61" s="1083"/>
      <c r="V61" s="1083"/>
      <c r="W61" s="1083"/>
      <c r="X61" s="1341"/>
      <c r="Y61" s="1101"/>
      <c r="Z61" s="1101"/>
      <c r="AA61" s="1101"/>
      <c r="AB61" s="1336"/>
      <c r="AC61" s="1341"/>
      <c r="AD61" s="1101"/>
      <c r="AE61" s="1101"/>
      <c r="AF61" s="1101"/>
      <c r="AG61" s="1101"/>
      <c r="AH61" s="1049">
        <f t="shared" si="1"/>
        <v>5156688.5999999996</v>
      </c>
      <c r="AI61" s="1051"/>
      <c r="AJ61" s="1051"/>
      <c r="AK61" s="1051"/>
      <c r="AL61" s="1159"/>
      <c r="AM61" s="1159"/>
      <c r="AN61" s="1159"/>
      <c r="AO61" s="1159"/>
      <c r="AP61" s="1159"/>
      <c r="AQ61" s="1159"/>
      <c r="AR61" s="1159"/>
      <c r="AS61" s="1159"/>
      <c r="AT61" s="1159"/>
      <c r="AU61" s="1159"/>
      <c r="AV61" s="1159"/>
      <c r="AW61" s="1159"/>
      <c r="AX61" s="1159"/>
      <c r="AY61" s="1159"/>
      <c r="AZ61" s="1159"/>
      <c r="BA61" s="1159"/>
      <c r="BB61" s="1159"/>
      <c r="BC61" s="1159"/>
      <c r="BD61" s="1159"/>
      <c r="BE61" s="1159"/>
      <c r="BF61" s="1159"/>
      <c r="BG61" s="1159"/>
      <c r="BH61" s="1159"/>
      <c r="BI61" s="1159"/>
      <c r="BJ61" s="1159"/>
      <c r="BK61" s="1159"/>
      <c r="BL61" s="1159"/>
      <c r="BM61" s="1159"/>
      <c r="BN61" s="1159"/>
      <c r="BO61" s="1159"/>
      <c r="BP61" s="1159"/>
      <c r="BQ61" s="1159"/>
      <c r="BR61" s="1159"/>
      <c r="BS61" s="1159"/>
      <c r="BT61" s="1159"/>
      <c r="BU61" s="1159"/>
      <c r="BV61" s="1159"/>
      <c r="BW61" s="1159"/>
      <c r="BX61" s="1159"/>
      <c r="BY61" s="1159"/>
      <c r="BZ61" s="1159"/>
      <c r="CA61" s="1159"/>
      <c r="CB61" s="1159"/>
      <c r="CC61" s="1159"/>
      <c r="CD61" s="1159"/>
      <c r="CE61" s="1159"/>
      <c r="CF61" s="1159"/>
      <c r="CG61" s="1159"/>
      <c r="CH61" s="1159"/>
      <c r="CI61" s="1159"/>
      <c r="CJ61" s="1159"/>
      <c r="CK61" s="1159"/>
      <c r="CL61" s="1159"/>
      <c r="CM61" s="1159"/>
      <c r="CN61" s="1159"/>
      <c r="CO61" s="1159"/>
      <c r="CP61" s="1159"/>
      <c r="CQ61" s="1159"/>
      <c r="CR61" s="1159"/>
      <c r="CS61" s="1159"/>
      <c r="CT61" s="1159"/>
      <c r="CU61" s="1159"/>
      <c r="CV61" s="1159"/>
      <c r="CW61" s="1159"/>
      <c r="CX61" s="1159"/>
      <c r="CY61" s="1159"/>
      <c r="CZ61" s="1159"/>
      <c r="DA61" s="1159"/>
      <c r="DB61" s="1159"/>
      <c r="DC61" s="1159"/>
      <c r="DD61" s="1159"/>
      <c r="DE61" s="1159"/>
      <c r="DF61" s="1159"/>
      <c r="DG61" s="1159"/>
      <c r="DH61" s="1159"/>
      <c r="DI61" s="1159"/>
      <c r="DJ61" s="1159"/>
      <c r="DK61" s="1159"/>
      <c r="DL61" s="1159"/>
    </row>
    <row r="62" spans="1:116" s="1102" customFormat="1" ht="40.5">
      <c r="A62" s="1080" t="s">
        <v>498</v>
      </c>
      <c r="B62" s="935" t="s">
        <v>500</v>
      </c>
      <c r="C62" s="1081"/>
      <c r="D62" s="1081">
        <f t="shared" si="5"/>
        <v>0</v>
      </c>
      <c r="E62" s="1082">
        <f>F62+G62+H62+I62+J62+N62+O62</f>
        <v>0</v>
      </c>
      <c r="F62" s="1082"/>
      <c r="G62" s="1083"/>
      <c r="H62" s="1083"/>
      <c r="I62" s="1083"/>
      <c r="J62" s="1083"/>
      <c r="K62" s="1083"/>
      <c r="L62" s="1083"/>
      <c r="M62" s="1083"/>
      <c r="N62" s="1083"/>
      <c r="O62" s="1083"/>
      <c r="P62" s="1030">
        <f t="shared" si="7"/>
        <v>0</v>
      </c>
      <c r="Q62" s="1057"/>
      <c r="R62" s="1057"/>
      <c r="S62" s="1083"/>
      <c r="T62" s="1083"/>
      <c r="U62" s="1083"/>
      <c r="V62" s="1083"/>
      <c r="W62" s="1083"/>
      <c r="X62" s="1341"/>
      <c r="Y62" s="1101"/>
      <c r="Z62" s="1101"/>
      <c r="AA62" s="1101"/>
      <c r="AB62" s="1336"/>
      <c r="AC62" s="1341"/>
      <c r="AD62" s="1101"/>
      <c r="AE62" s="1101"/>
      <c r="AF62" s="1101"/>
      <c r="AG62" s="1101"/>
      <c r="AH62" s="1049">
        <f t="shared" si="1"/>
        <v>0</v>
      </c>
      <c r="AI62" s="1051"/>
      <c r="AJ62" s="1051"/>
      <c r="AK62" s="1051"/>
      <c r="AL62" s="1159"/>
      <c r="AM62" s="1159"/>
      <c r="AN62" s="1159"/>
      <c r="AO62" s="1159"/>
      <c r="AP62" s="1159"/>
      <c r="AQ62" s="1159"/>
      <c r="AR62" s="1159"/>
      <c r="AS62" s="1159"/>
      <c r="AT62" s="1159"/>
      <c r="AU62" s="1159"/>
      <c r="AV62" s="1159"/>
      <c r="AW62" s="1159"/>
      <c r="AX62" s="1159"/>
      <c r="AY62" s="1159"/>
      <c r="AZ62" s="1159"/>
      <c r="BA62" s="1159"/>
      <c r="BB62" s="1159"/>
      <c r="BC62" s="1159"/>
      <c r="BD62" s="1159"/>
      <c r="BE62" s="1159"/>
      <c r="BF62" s="1159"/>
      <c r="BG62" s="1159"/>
      <c r="BH62" s="1159"/>
      <c r="BI62" s="1159"/>
      <c r="BJ62" s="1159"/>
      <c r="BK62" s="1159"/>
      <c r="BL62" s="1159"/>
      <c r="BM62" s="1159"/>
      <c r="BN62" s="1159"/>
      <c r="BO62" s="1159"/>
      <c r="BP62" s="1159"/>
      <c r="BQ62" s="1159"/>
      <c r="BR62" s="1159"/>
      <c r="BS62" s="1159"/>
      <c r="BT62" s="1159"/>
      <c r="BU62" s="1159"/>
      <c r="BV62" s="1159"/>
      <c r="BW62" s="1159"/>
      <c r="BX62" s="1159"/>
      <c r="BY62" s="1159"/>
      <c r="BZ62" s="1159"/>
      <c r="CA62" s="1159"/>
      <c r="CB62" s="1159"/>
      <c r="CC62" s="1159"/>
      <c r="CD62" s="1159"/>
      <c r="CE62" s="1159"/>
      <c r="CF62" s="1159"/>
      <c r="CG62" s="1159"/>
      <c r="CH62" s="1159"/>
      <c r="CI62" s="1159"/>
      <c r="CJ62" s="1159"/>
      <c r="CK62" s="1159"/>
      <c r="CL62" s="1159"/>
      <c r="CM62" s="1159"/>
      <c r="CN62" s="1159"/>
      <c r="CO62" s="1159"/>
      <c r="CP62" s="1159"/>
      <c r="CQ62" s="1159"/>
      <c r="CR62" s="1159"/>
      <c r="CS62" s="1159"/>
      <c r="CT62" s="1159"/>
      <c r="CU62" s="1159"/>
      <c r="CV62" s="1159"/>
      <c r="CW62" s="1159"/>
      <c r="CX62" s="1159"/>
      <c r="CY62" s="1159"/>
      <c r="CZ62" s="1159"/>
      <c r="DA62" s="1159"/>
      <c r="DB62" s="1159"/>
      <c r="DC62" s="1159"/>
      <c r="DD62" s="1159"/>
      <c r="DE62" s="1159"/>
      <c r="DF62" s="1159"/>
      <c r="DG62" s="1159"/>
      <c r="DH62" s="1159"/>
      <c r="DI62" s="1159"/>
      <c r="DJ62" s="1159"/>
      <c r="DK62" s="1159"/>
      <c r="DL62" s="1159"/>
    </row>
    <row r="63" spans="1:116" s="812" customFormat="1" ht="60.75">
      <c r="A63" s="1080" t="s">
        <v>502</v>
      </c>
      <c r="B63" s="935" t="s">
        <v>504</v>
      </c>
      <c r="C63" s="1052"/>
      <c r="D63" s="1081">
        <f t="shared" si="5"/>
        <v>0</v>
      </c>
      <c r="E63" s="1082">
        <f t="shared" si="8"/>
        <v>0</v>
      </c>
      <c r="F63" s="1054"/>
      <c r="G63" s="1053"/>
      <c r="H63" s="1053"/>
      <c r="I63" s="1053"/>
      <c r="J63" s="1053"/>
      <c r="K63" s="1053"/>
      <c r="L63" s="1053"/>
      <c r="M63" s="1053"/>
      <c r="N63" s="1053"/>
      <c r="O63" s="1053"/>
      <c r="P63" s="1030">
        <f t="shared" si="7"/>
        <v>0</v>
      </c>
      <c r="Q63" s="1032"/>
      <c r="R63" s="1032"/>
      <c r="S63" s="1053"/>
      <c r="T63" s="1053"/>
      <c r="U63" s="1053"/>
      <c r="V63" s="1053"/>
      <c r="W63" s="1053"/>
      <c r="X63" s="1344">
        <f>Y63+Z63</f>
        <v>0</v>
      </c>
      <c r="Y63" s="1053">
        <f>'FS-HF2'!I27</f>
        <v>0</v>
      </c>
      <c r="Z63" s="841">
        <f>'FS-HF2'!I28</f>
        <v>0</v>
      </c>
      <c r="AA63" s="841"/>
      <c r="AB63" s="1334"/>
      <c r="AC63" s="1340"/>
      <c r="AD63" s="841"/>
      <c r="AE63" s="841"/>
      <c r="AF63" s="841"/>
      <c r="AG63" s="841"/>
      <c r="AH63" s="1049">
        <f>SUM(C63:AG63)-Y63</f>
        <v>0</v>
      </c>
      <c r="AI63" s="1051"/>
      <c r="AJ63" s="1051"/>
      <c r="AK63" s="1051"/>
      <c r="AL63" s="1051"/>
      <c r="AM63" s="1051"/>
      <c r="AN63" s="1051"/>
      <c r="AO63" s="1051"/>
      <c r="AP63" s="1051"/>
      <c r="AQ63" s="1051"/>
      <c r="AR63" s="1051"/>
      <c r="AS63" s="1051"/>
      <c r="AT63" s="1051"/>
      <c r="AU63" s="1051"/>
      <c r="AV63" s="1051"/>
      <c r="AW63" s="1051"/>
      <c r="AX63" s="1051"/>
      <c r="AY63" s="1051"/>
      <c r="AZ63" s="1051"/>
      <c r="BA63" s="1051"/>
      <c r="BB63" s="1051"/>
      <c r="BC63" s="1051"/>
      <c r="BD63" s="1051"/>
      <c r="BE63" s="1051"/>
      <c r="BF63" s="1051"/>
      <c r="BG63" s="1051"/>
      <c r="BH63" s="1051"/>
      <c r="BI63" s="1051"/>
      <c r="BJ63" s="1051"/>
      <c r="BK63" s="1051"/>
      <c r="BL63" s="1051"/>
      <c r="BM63" s="1051"/>
      <c r="BN63" s="1051"/>
      <c r="BO63" s="1051"/>
      <c r="BP63" s="1051"/>
      <c r="BQ63" s="1051"/>
      <c r="BR63" s="1051"/>
      <c r="BS63" s="1051"/>
      <c r="BT63" s="1051"/>
      <c r="BU63" s="1051"/>
      <c r="BV63" s="1051"/>
      <c r="BW63" s="1051"/>
      <c r="BX63" s="1051"/>
      <c r="BY63" s="1051"/>
      <c r="BZ63" s="1051"/>
      <c r="CA63" s="1051"/>
      <c r="CB63" s="1051"/>
      <c r="CC63" s="1051"/>
      <c r="CD63" s="1051"/>
      <c r="CE63" s="1051"/>
      <c r="CF63" s="1051"/>
      <c r="CG63" s="1051"/>
      <c r="CH63" s="1051"/>
      <c r="CI63" s="1051"/>
      <c r="CJ63" s="1051"/>
      <c r="CK63" s="1051"/>
      <c r="CL63" s="1051"/>
      <c r="CM63" s="1051"/>
      <c r="CN63" s="1051"/>
      <c r="CO63" s="1051"/>
      <c r="CP63" s="1051"/>
      <c r="CQ63" s="1051"/>
      <c r="CR63" s="1051"/>
      <c r="CS63" s="1051"/>
      <c r="CT63" s="1051"/>
      <c r="CU63" s="1051"/>
      <c r="CV63" s="1051"/>
      <c r="CW63" s="1051"/>
      <c r="CX63" s="1051"/>
      <c r="CY63" s="1051"/>
      <c r="CZ63" s="1051"/>
      <c r="DA63" s="1051"/>
      <c r="DB63" s="1051"/>
      <c r="DC63" s="1051"/>
      <c r="DD63" s="1051"/>
      <c r="DE63" s="1051"/>
      <c r="DF63" s="1051"/>
      <c r="DG63" s="1051"/>
      <c r="DH63" s="1051"/>
      <c r="DI63" s="1051"/>
      <c r="DJ63" s="1051"/>
      <c r="DK63" s="1051"/>
      <c r="DL63" s="1051"/>
    </row>
    <row r="64" spans="1:116" s="812" customFormat="1">
      <c r="A64" s="1080" t="s">
        <v>507</v>
      </c>
      <c r="B64" s="935" t="s">
        <v>509</v>
      </c>
      <c r="C64" s="1052"/>
      <c r="D64" s="1081">
        <f t="shared" si="5"/>
        <v>0</v>
      </c>
      <c r="E64" s="1082">
        <f>F64+G64+H64+I64+J64+N64+O64</f>
        <v>0</v>
      </c>
      <c r="F64" s="1054"/>
      <c r="G64" s="1053"/>
      <c r="H64" s="1053"/>
      <c r="I64" s="841"/>
      <c r="J64" s="1053"/>
      <c r="K64" s="1053"/>
      <c r="L64" s="1053"/>
      <c r="M64" s="1053"/>
      <c r="N64" s="1053"/>
      <c r="O64" s="1053"/>
      <c r="P64" s="1030">
        <f t="shared" si="7"/>
        <v>0</v>
      </c>
      <c r="Q64" s="1032"/>
      <c r="R64" s="1032"/>
      <c r="S64" s="1053"/>
      <c r="T64" s="1053"/>
      <c r="U64" s="1053"/>
      <c r="V64" s="1053"/>
      <c r="W64" s="1053"/>
      <c r="X64" s="1340"/>
      <c r="Y64" s="841"/>
      <c r="Z64" s="841"/>
      <c r="AA64" s="841"/>
      <c r="AB64" s="1334"/>
      <c r="AC64" s="1340"/>
      <c r="AD64" s="841"/>
      <c r="AE64" s="841"/>
      <c r="AF64" s="841"/>
      <c r="AG64" s="841"/>
      <c r="AH64" s="1049">
        <f t="shared" si="1"/>
        <v>0</v>
      </c>
      <c r="AI64" s="1051"/>
      <c r="AJ64" s="1051"/>
      <c r="AK64" s="1051"/>
      <c r="AL64" s="1051"/>
      <c r="AM64" s="1051"/>
      <c r="AN64" s="1051"/>
      <c r="AO64" s="1051"/>
      <c r="AP64" s="1051"/>
      <c r="AQ64" s="1051"/>
      <c r="AR64" s="1051"/>
      <c r="AS64" s="1051"/>
      <c r="AT64" s="1051"/>
      <c r="AU64" s="1051"/>
      <c r="AV64" s="1051"/>
      <c r="AW64" s="1051"/>
      <c r="AX64" s="1051"/>
      <c r="AY64" s="1051"/>
      <c r="AZ64" s="1051"/>
      <c r="BA64" s="1051"/>
      <c r="BB64" s="1051"/>
      <c r="BC64" s="1051"/>
      <c r="BD64" s="1051"/>
      <c r="BE64" s="1051"/>
      <c r="BF64" s="1051"/>
      <c r="BG64" s="1051"/>
      <c r="BH64" s="1051"/>
      <c r="BI64" s="1051"/>
      <c r="BJ64" s="1051"/>
      <c r="BK64" s="1051"/>
      <c r="BL64" s="1051"/>
      <c r="BM64" s="1051"/>
      <c r="BN64" s="1051"/>
      <c r="BO64" s="1051"/>
      <c r="BP64" s="1051"/>
      <c r="BQ64" s="1051"/>
      <c r="BR64" s="1051"/>
      <c r="BS64" s="1051"/>
      <c r="BT64" s="1051"/>
      <c r="BU64" s="1051"/>
      <c r="BV64" s="1051"/>
      <c r="BW64" s="1051"/>
      <c r="BX64" s="1051"/>
      <c r="BY64" s="1051"/>
      <c r="BZ64" s="1051"/>
      <c r="CA64" s="1051"/>
      <c r="CB64" s="1051"/>
      <c r="CC64" s="1051"/>
      <c r="CD64" s="1051"/>
      <c r="CE64" s="1051"/>
      <c r="CF64" s="1051"/>
      <c r="CG64" s="1051"/>
      <c r="CH64" s="1051"/>
      <c r="CI64" s="1051"/>
      <c r="CJ64" s="1051"/>
      <c r="CK64" s="1051"/>
      <c r="CL64" s="1051"/>
      <c r="CM64" s="1051"/>
      <c r="CN64" s="1051"/>
      <c r="CO64" s="1051"/>
      <c r="CP64" s="1051"/>
      <c r="CQ64" s="1051"/>
      <c r="CR64" s="1051"/>
      <c r="CS64" s="1051"/>
      <c r="CT64" s="1051"/>
      <c r="CU64" s="1051"/>
      <c r="CV64" s="1051"/>
      <c r="CW64" s="1051"/>
      <c r="CX64" s="1051"/>
      <c r="CY64" s="1051"/>
      <c r="CZ64" s="1051"/>
      <c r="DA64" s="1051"/>
      <c r="DB64" s="1051"/>
      <c r="DC64" s="1051"/>
      <c r="DD64" s="1051"/>
      <c r="DE64" s="1051"/>
      <c r="DF64" s="1051"/>
      <c r="DG64" s="1051"/>
      <c r="DH64" s="1051"/>
      <c r="DI64" s="1051"/>
      <c r="DJ64" s="1051"/>
      <c r="DK64" s="1051"/>
      <c r="DL64" s="1051"/>
    </row>
    <row r="65" spans="1:116" s="1079" customFormat="1" ht="60.75">
      <c r="A65" s="1105" t="s">
        <v>512</v>
      </c>
      <c r="B65" s="935" t="s">
        <v>513</v>
      </c>
      <c r="C65" s="1088"/>
      <c r="D65" s="1081">
        <f t="shared" si="5"/>
        <v>0</v>
      </c>
      <c r="E65" s="1082">
        <f t="shared" si="8"/>
        <v>0</v>
      </c>
      <c r="F65" s="1077"/>
      <c r="G65" s="1076"/>
      <c r="H65" s="1076"/>
      <c r="I65" s="1076"/>
      <c r="J65" s="1076"/>
      <c r="K65" s="1076"/>
      <c r="L65" s="1076"/>
      <c r="M65" s="1076"/>
      <c r="N65" s="1076"/>
      <c r="O65" s="1076"/>
      <c r="P65" s="1030">
        <f t="shared" si="7"/>
        <v>0</v>
      </c>
      <c r="Q65" s="1027"/>
      <c r="R65" s="1027"/>
      <c r="S65" s="1076"/>
      <c r="T65" s="1076"/>
      <c r="U65" s="1076"/>
      <c r="V65" s="1076"/>
      <c r="W65" s="1076"/>
      <c r="X65" s="1340"/>
      <c r="Y65" s="1029"/>
      <c r="Z65" s="1029"/>
      <c r="AA65" s="1029"/>
      <c r="AB65" s="1334"/>
      <c r="AC65" s="1340"/>
      <c r="AD65" s="1029"/>
      <c r="AE65" s="1029"/>
      <c r="AF65" s="1029"/>
      <c r="AG65" s="1029"/>
      <c r="AH65" s="1049">
        <f t="shared" si="1"/>
        <v>0</v>
      </c>
      <c r="AI65" s="1051"/>
      <c r="AJ65" s="1051"/>
      <c r="AK65" s="1051"/>
      <c r="AL65" s="1051"/>
      <c r="AM65" s="1051"/>
      <c r="AN65" s="1051"/>
      <c r="AO65" s="1051"/>
      <c r="AP65" s="1051"/>
      <c r="AQ65" s="1051"/>
      <c r="AR65" s="1051"/>
      <c r="AS65" s="1051"/>
      <c r="AT65" s="1051"/>
      <c r="AU65" s="1051"/>
      <c r="AV65" s="1051"/>
      <c r="AW65" s="1051"/>
      <c r="AX65" s="1051"/>
      <c r="AY65" s="1051"/>
      <c r="AZ65" s="1051"/>
      <c r="BA65" s="1051"/>
      <c r="BB65" s="1051"/>
      <c r="BC65" s="1051"/>
      <c r="BD65" s="1051"/>
      <c r="BE65" s="1051"/>
      <c r="BF65" s="1051"/>
      <c r="BG65" s="1051"/>
      <c r="BH65" s="1051"/>
      <c r="BI65" s="1051"/>
      <c r="BJ65" s="1051"/>
      <c r="BK65" s="1051"/>
      <c r="BL65" s="1051"/>
      <c r="BM65" s="1051"/>
      <c r="BN65" s="1051"/>
      <c r="BO65" s="1051"/>
      <c r="BP65" s="1051"/>
      <c r="BQ65" s="1051"/>
      <c r="BR65" s="1051"/>
      <c r="BS65" s="1051"/>
      <c r="BT65" s="1051"/>
      <c r="BU65" s="1051"/>
      <c r="BV65" s="1051"/>
      <c r="BW65" s="1051"/>
      <c r="BX65" s="1051"/>
      <c r="BY65" s="1051"/>
      <c r="BZ65" s="1051"/>
      <c r="CA65" s="1051"/>
      <c r="CB65" s="1051"/>
      <c r="CC65" s="1051"/>
      <c r="CD65" s="1051"/>
      <c r="CE65" s="1051"/>
      <c r="CF65" s="1051"/>
      <c r="CG65" s="1051"/>
      <c r="CH65" s="1051"/>
      <c r="CI65" s="1051"/>
      <c r="CJ65" s="1051"/>
      <c r="CK65" s="1051"/>
      <c r="CL65" s="1051"/>
      <c r="CM65" s="1051"/>
      <c r="CN65" s="1051"/>
      <c r="CO65" s="1051"/>
      <c r="CP65" s="1051"/>
      <c r="CQ65" s="1051"/>
      <c r="CR65" s="1051"/>
      <c r="CS65" s="1051"/>
      <c r="CT65" s="1051"/>
      <c r="CU65" s="1051"/>
      <c r="CV65" s="1051"/>
      <c r="CW65" s="1051"/>
      <c r="CX65" s="1051"/>
      <c r="CY65" s="1051"/>
      <c r="CZ65" s="1051"/>
      <c r="DA65" s="1051"/>
      <c r="DB65" s="1051"/>
      <c r="DC65" s="1051"/>
      <c r="DD65" s="1051"/>
      <c r="DE65" s="1051"/>
      <c r="DF65" s="1051"/>
      <c r="DG65" s="1051"/>
      <c r="DH65" s="1051"/>
      <c r="DI65" s="1051"/>
      <c r="DJ65" s="1051"/>
      <c r="DK65" s="1051"/>
      <c r="DL65" s="1051"/>
    </row>
    <row r="66" spans="1:116" s="1102" customFormat="1" ht="60.75">
      <c r="A66" s="1105" t="s">
        <v>514</v>
      </c>
      <c r="B66" s="935" t="s">
        <v>515</v>
      </c>
      <c r="C66" s="1081"/>
      <c r="D66" s="1081">
        <f t="shared" si="5"/>
        <v>0</v>
      </c>
      <c r="E66" s="1082">
        <f t="shared" si="8"/>
        <v>0</v>
      </c>
      <c r="F66" s="1082"/>
      <c r="G66" s="1083"/>
      <c r="H66" s="1083"/>
      <c r="I66" s="1083"/>
      <c r="J66" s="1083"/>
      <c r="K66" s="1083"/>
      <c r="L66" s="1083"/>
      <c r="M66" s="1083"/>
      <c r="N66" s="1083"/>
      <c r="O66" s="1083"/>
      <c r="P66" s="1030">
        <f t="shared" si="7"/>
        <v>0</v>
      </c>
      <c r="Q66" s="1057"/>
      <c r="R66" s="1057"/>
      <c r="S66" s="1083"/>
      <c r="T66" s="1083"/>
      <c r="U66" s="1083"/>
      <c r="V66" s="1083"/>
      <c r="W66" s="1083"/>
      <c r="X66" s="1341"/>
      <c r="Y66" s="1101"/>
      <c r="Z66" s="1101"/>
      <c r="AA66" s="1101"/>
      <c r="AB66" s="1336"/>
      <c r="AC66" s="1341"/>
      <c r="AD66" s="1101"/>
      <c r="AE66" s="1101"/>
      <c r="AF66" s="1101"/>
      <c r="AG66" s="1101"/>
      <c r="AH66" s="1049">
        <f t="shared" ref="AH66:AH75" si="9">SUM(C66:AG66)</f>
        <v>0</v>
      </c>
      <c r="AI66" s="1051"/>
      <c r="AJ66" s="1051"/>
      <c r="AK66" s="1051"/>
      <c r="AL66" s="1159"/>
      <c r="AM66" s="1159"/>
      <c r="AN66" s="1159"/>
      <c r="AO66" s="1159"/>
      <c r="AP66" s="1159"/>
      <c r="AQ66" s="1159"/>
      <c r="AR66" s="1159"/>
      <c r="AS66" s="1159"/>
      <c r="AT66" s="1159"/>
      <c r="AU66" s="1159"/>
      <c r="AV66" s="1159"/>
      <c r="AW66" s="1159"/>
      <c r="AX66" s="1159"/>
      <c r="AY66" s="1159"/>
      <c r="AZ66" s="1159"/>
      <c r="BA66" s="1159"/>
      <c r="BB66" s="1159"/>
      <c r="BC66" s="1159"/>
      <c r="BD66" s="1159"/>
      <c r="BE66" s="1159"/>
      <c r="BF66" s="1159"/>
      <c r="BG66" s="1159"/>
      <c r="BH66" s="1159"/>
      <c r="BI66" s="1159"/>
      <c r="BJ66" s="1159"/>
      <c r="BK66" s="1159"/>
      <c r="BL66" s="1159"/>
      <c r="BM66" s="1159"/>
      <c r="BN66" s="1159"/>
      <c r="BO66" s="1159"/>
      <c r="BP66" s="1159"/>
      <c r="BQ66" s="1159"/>
      <c r="BR66" s="1159"/>
      <c r="BS66" s="1159"/>
      <c r="BT66" s="1159"/>
      <c r="BU66" s="1159"/>
      <c r="BV66" s="1159"/>
      <c r="BW66" s="1159"/>
      <c r="BX66" s="1159"/>
      <c r="BY66" s="1159"/>
      <c r="BZ66" s="1159"/>
      <c r="CA66" s="1159"/>
      <c r="CB66" s="1159"/>
      <c r="CC66" s="1159"/>
      <c r="CD66" s="1159"/>
      <c r="CE66" s="1159"/>
      <c r="CF66" s="1159"/>
      <c r="CG66" s="1159"/>
      <c r="CH66" s="1159"/>
      <c r="CI66" s="1159"/>
      <c r="CJ66" s="1159"/>
      <c r="CK66" s="1159"/>
      <c r="CL66" s="1159"/>
      <c r="CM66" s="1159"/>
      <c r="CN66" s="1159"/>
      <c r="CO66" s="1159"/>
      <c r="CP66" s="1159"/>
      <c r="CQ66" s="1159"/>
      <c r="CR66" s="1159"/>
      <c r="CS66" s="1159"/>
      <c r="CT66" s="1159"/>
      <c r="CU66" s="1159"/>
      <c r="CV66" s="1159"/>
      <c r="CW66" s="1159"/>
      <c r="CX66" s="1159"/>
      <c r="CY66" s="1159"/>
      <c r="CZ66" s="1159"/>
      <c r="DA66" s="1159"/>
      <c r="DB66" s="1159"/>
      <c r="DC66" s="1159"/>
      <c r="DD66" s="1159"/>
      <c r="DE66" s="1159"/>
      <c r="DF66" s="1159"/>
      <c r="DG66" s="1159"/>
      <c r="DH66" s="1159"/>
      <c r="DI66" s="1159"/>
      <c r="DJ66" s="1159"/>
      <c r="DK66" s="1159"/>
      <c r="DL66" s="1159"/>
    </row>
    <row r="67" spans="1:116" s="1102" customFormat="1">
      <c r="A67" s="1074" t="s">
        <v>516</v>
      </c>
      <c r="B67" s="935" t="s">
        <v>517</v>
      </c>
      <c r="C67" s="1081"/>
      <c r="D67" s="1081">
        <f>E67+P67</f>
        <v>0</v>
      </c>
      <c r="E67" s="1082">
        <f>E68+E69+E71</f>
        <v>0</v>
      </c>
      <c r="F67" s="1082"/>
      <c r="G67" s="1083"/>
      <c r="H67" s="1083"/>
      <c r="I67" s="1083"/>
      <c r="J67" s="1083"/>
      <c r="K67" s="1083"/>
      <c r="L67" s="1083"/>
      <c r="M67" s="1083"/>
      <c r="N67" s="1083"/>
      <c r="O67" s="1083"/>
      <c r="P67" s="1030">
        <f>P68+P69+P71</f>
        <v>0</v>
      </c>
      <c r="Q67" s="1057"/>
      <c r="R67" s="1057"/>
      <c r="S67" s="1083"/>
      <c r="T67" s="1083"/>
      <c r="U67" s="1083"/>
      <c r="V67" s="1083"/>
      <c r="W67" s="1083"/>
      <c r="X67" s="1341"/>
      <c r="Y67" s="1101"/>
      <c r="Z67" s="1101"/>
      <c r="AA67" s="1101"/>
      <c r="AB67" s="1336"/>
      <c r="AC67" s="1341"/>
      <c r="AD67" s="1101"/>
      <c r="AE67" s="1101"/>
      <c r="AF67" s="1101"/>
      <c r="AG67" s="1101"/>
      <c r="AH67" s="1049">
        <f t="shared" si="9"/>
        <v>0</v>
      </c>
      <c r="AI67" s="1051"/>
      <c r="AJ67" s="1051"/>
      <c r="AK67" s="1051"/>
      <c r="AL67" s="1159"/>
      <c r="AM67" s="1159"/>
      <c r="AN67" s="1159"/>
      <c r="AO67" s="1159"/>
      <c r="AP67" s="1159"/>
      <c r="AQ67" s="1159"/>
      <c r="AR67" s="1159"/>
      <c r="AS67" s="1159"/>
      <c r="AT67" s="1159"/>
      <c r="AU67" s="1159"/>
      <c r="AV67" s="1159"/>
      <c r="AW67" s="1159"/>
      <c r="AX67" s="1159"/>
      <c r="AY67" s="1159"/>
      <c r="AZ67" s="1159"/>
      <c r="BA67" s="1159"/>
      <c r="BB67" s="1159"/>
      <c r="BC67" s="1159"/>
      <c r="BD67" s="1159"/>
      <c r="BE67" s="1159"/>
      <c r="BF67" s="1159"/>
      <c r="BG67" s="1159"/>
      <c r="BH67" s="1159"/>
      <c r="BI67" s="1159"/>
      <c r="BJ67" s="1159"/>
      <c r="BK67" s="1159"/>
      <c r="BL67" s="1159"/>
      <c r="BM67" s="1159"/>
      <c r="BN67" s="1159"/>
      <c r="BO67" s="1159"/>
      <c r="BP67" s="1159"/>
      <c r="BQ67" s="1159"/>
      <c r="BR67" s="1159"/>
      <c r="BS67" s="1159"/>
      <c r="BT67" s="1159"/>
      <c r="BU67" s="1159"/>
      <c r="BV67" s="1159"/>
      <c r="BW67" s="1159"/>
      <c r="BX67" s="1159"/>
      <c r="BY67" s="1159"/>
      <c r="BZ67" s="1159"/>
      <c r="CA67" s="1159"/>
      <c r="CB67" s="1159"/>
      <c r="CC67" s="1159"/>
      <c r="CD67" s="1159"/>
      <c r="CE67" s="1159"/>
      <c r="CF67" s="1159"/>
      <c r="CG67" s="1159"/>
      <c r="CH67" s="1159"/>
      <c r="CI67" s="1159"/>
      <c r="CJ67" s="1159"/>
      <c r="CK67" s="1159"/>
      <c r="CL67" s="1159"/>
      <c r="CM67" s="1159"/>
      <c r="CN67" s="1159"/>
      <c r="CO67" s="1159"/>
      <c r="CP67" s="1159"/>
      <c r="CQ67" s="1159"/>
      <c r="CR67" s="1159"/>
      <c r="CS67" s="1159"/>
      <c r="CT67" s="1159"/>
      <c r="CU67" s="1159"/>
      <c r="CV67" s="1159"/>
      <c r="CW67" s="1159"/>
      <c r="CX67" s="1159"/>
      <c r="CY67" s="1159"/>
      <c r="CZ67" s="1159"/>
      <c r="DA67" s="1159"/>
      <c r="DB67" s="1159"/>
      <c r="DC67" s="1159"/>
      <c r="DD67" s="1159"/>
      <c r="DE67" s="1159"/>
      <c r="DF67" s="1159"/>
      <c r="DG67" s="1159"/>
      <c r="DH67" s="1159"/>
      <c r="DI67" s="1159"/>
      <c r="DJ67" s="1159"/>
      <c r="DK67" s="1159"/>
      <c r="DL67" s="1159"/>
    </row>
    <row r="68" spans="1:116" s="1102" customFormat="1" ht="101.25">
      <c r="A68" s="1080" t="s">
        <v>519</v>
      </c>
      <c r="B68" s="935" t="s">
        <v>521</v>
      </c>
      <c r="C68" s="1081"/>
      <c r="D68" s="1081">
        <f t="shared" si="5"/>
        <v>0</v>
      </c>
      <c r="E68" s="1082">
        <f t="shared" si="8"/>
        <v>0</v>
      </c>
      <c r="F68" s="1082"/>
      <c r="G68" s="1083"/>
      <c r="H68" s="1083"/>
      <c r="I68" s="1083"/>
      <c r="J68" s="1083"/>
      <c r="K68" s="1083"/>
      <c r="L68" s="1083"/>
      <c r="M68" s="1083"/>
      <c r="N68" s="1083"/>
      <c r="O68" s="1083"/>
      <c r="P68" s="1030">
        <f t="shared" si="7"/>
        <v>0</v>
      </c>
      <c r="Q68" s="1057"/>
      <c r="R68" s="1057"/>
      <c r="S68" s="1083"/>
      <c r="T68" s="1083"/>
      <c r="U68" s="1083"/>
      <c r="V68" s="1083"/>
      <c r="W68" s="1083"/>
      <c r="X68" s="1341"/>
      <c r="Y68" s="1101"/>
      <c r="Z68" s="1101"/>
      <c r="AA68" s="1101"/>
      <c r="AB68" s="1336"/>
      <c r="AC68" s="1341"/>
      <c r="AD68" s="1101"/>
      <c r="AE68" s="1101"/>
      <c r="AF68" s="1101"/>
      <c r="AG68" s="1101"/>
      <c r="AH68" s="1049">
        <f t="shared" si="9"/>
        <v>0</v>
      </c>
      <c r="AI68" s="1051"/>
      <c r="AJ68" s="1051"/>
      <c r="AK68" s="1051"/>
      <c r="AL68" s="1159"/>
      <c r="AM68" s="1159"/>
      <c r="AN68" s="1159"/>
      <c r="AO68" s="1159"/>
      <c r="AP68" s="1159"/>
      <c r="AQ68" s="1159"/>
      <c r="AR68" s="1159"/>
      <c r="AS68" s="1159"/>
      <c r="AT68" s="1159"/>
      <c r="AU68" s="1159"/>
      <c r="AV68" s="1159"/>
      <c r="AW68" s="1159"/>
      <c r="AX68" s="1159"/>
      <c r="AY68" s="1159"/>
      <c r="AZ68" s="1159"/>
      <c r="BA68" s="1159"/>
      <c r="BB68" s="1159"/>
      <c r="BC68" s="1159"/>
      <c r="BD68" s="1159"/>
      <c r="BE68" s="1159"/>
      <c r="BF68" s="1159"/>
      <c r="BG68" s="1159"/>
      <c r="BH68" s="1159"/>
      <c r="BI68" s="1159"/>
      <c r="BJ68" s="1159"/>
      <c r="BK68" s="1159"/>
      <c r="BL68" s="1159"/>
      <c r="BM68" s="1159"/>
      <c r="BN68" s="1159"/>
      <c r="BO68" s="1159"/>
      <c r="BP68" s="1159"/>
      <c r="BQ68" s="1159"/>
      <c r="BR68" s="1159"/>
      <c r="BS68" s="1159"/>
      <c r="BT68" s="1159"/>
      <c r="BU68" s="1159"/>
      <c r="BV68" s="1159"/>
      <c r="BW68" s="1159"/>
      <c r="BX68" s="1159"/>
      <c r="BY68" s="1159"/>
      <c r="BZ68" s="1159"/>
      <c r="CA68" s="1159"/>
      <c r="CB68" s="1159"/>
      <c r="CC68" s="1159"/>
      <c r="CD68" s="1159"/>
      <c r="CE68" s="1159"/>
      <c r="CF68" s="1159"/>
      <c r="CG68" s="1159"/>
      <c r="CH68" s="1159"/>
      <c r="CI68" s="1159"/>
      <c r="CJ68" s="1159"/>
      <c r="CK68" s="1159"/>
      <c r="CL68" s="1159"/>
      <c r="CM68" s="1159"/>
      <c r="CN68" s="1159"/>
      <c r="CO68" s="1159"/>
      <c r="CP68" s="1159"/>
      <c r="CQ68" s="1159"/>
      <c r="CR68" s="1159"/>
      <c r="CS68" s="1159"/>
      <c r="CT68" s="1159"/>
      <c r="CU68" s="1159"/>
      <c r="CV68" s="1159"/>
      <c r="CW68" s="1159"/>
      <c r="CX68" s="1159"/>
      <c r="CY68" s="1159"/>
      <c r="CZ68" s="1159"/>
      <c r="DA68" s="1159"/>
      <c r="DB68" s="1159"/>
      <c r="DC68" s="1159"/>
      <c r="DD68" s="1159"/>
      <c r="DE68" s="1159"/>
      <c r="DF68" s="1159"/>
      <c r="DG68" s="1159"/>
      <c r="DH68" s="1159"/>
      <c r="DI68" s="1159"/>
      <c r="DJ68" s="1159"/>
      <c r="DK68" s="1159"/>
      <c r="DL68" s="1159"/>
    </row>
    <row r="69" spans="1:116" s="812" customFormat="1" ht="66">
      <c r="A69" s="1106" t="s">
        <v>527</v>
      </c>
      <c r="B69" s="1107" t="s">
        <v>529</v>
      </c>
      <c r="C69" s="1052"/>
      <c r="D69" s="1081">
        <f t="shared" si="5"/>
        <v>0</v>
      </c>
      <c r="E69" s="1082">
        <f>E70</f>
        <v>0</v>
      </c>
      <c r="F69" s="1054"/>
      <c r="G69" s="1053"/>
      <c r="H69" s="1053"/>
      <c r="I69" s="1053"/>
      <c r="J69" s="1053"/>
      <c r="K69" s="1053"/>
      <c r="L69" s="1053"/>
      <c r="M69" s="1053"/>
      <c r="N69" s="1053"/>
      <c r="O69" s="1053"/>
      <c r="P69" s="1030">
        <f>P70</f>
        <v>0</v>
      </c>
      <c r="Q69" s="1032"/>
      <c r="R69" s="1032"/>
      <c r="S69" s="1053"/>
      <c r="T69" s="1053"/>
      <c r="U69" s="1053"/>
      <c r="V69" s="1053"/>
      <c r="W69" s="1053"/>
      <c r="X69" s="1340"/>
      <c r="Y69" s="841"/>
      <c r="Z69" s="841"/>
      <c r="AA69" s="841"/>
      <c r="AB69" s="1334"/>
      <c r="AC69" s="1340"/>
      <c r="AD69" s="841"/>
      <c r="AE69" s="841"/>
      <c r="AF69" s="841"/>
      <c r="AG69" s="841"/>
      <c r="AH69" s="1049">
        <f t="shared" si="9"/>
        <v>0</v>
      </c>
      <c r="AI69" s="1051"/>
      <c r="AJ69" s="1051"/>
      <c r="AK69" s="1051"/>
      <c r="AL69" s="1051"/>
      <c r="AM69" s="1051"/>
      <c r="AN69" s="1051"/>
      <c r="AO69" s="1051"/>
      <c r="AP69" s="1051"/>
      <c r="AQ69" s="1051"/>
      <c r="AR69" s="1051"/>
      <c r="AS69" s="1051"/>
      <c r="AT69" s="1051"/>
      <c r="AU69" s="1051"/>
      <c r="AV69" s="1051"/>
      <c r="AW69" s="1051"/>
      <c r="AX69" s="1051"/>
      <c r="AY69" s="1051"/>
      <c r="AZ69" s="1051"/>
      <c r="BA69" s="1051"/>
      <c r="BB69" s="1051"/>
      <c r="BC69" s="1051"/>
      <c r="BD69" s="1051"/>
      <c r="BE69" s="1051"/>
      <c r="BF69" s="1051"/>
      <c r="BG69" s="1051"/>
      <c r="BH69" s="1051"/>
      <c r="BI69" s="1051"/>
      <c r="BJ69" s="1051"/>
      <c r="BK69" s="1051"/>
      <c r="BL69" s="1051"/>
      <c r="BM69" s="1051"/>
      <c r="BN69" s="1051"/>
      <c r="BO69" s="1051"/>
      <c r="BP69" s="1051"/>
      <c r="BQ69" s="1051"/>
      <c r="BR69" s="1051"/>
      <c r="BS69" s="1051"/>
      <c r="BT69" s="1051"/>
      <c r="BU69" s="1051"/>
      <c r="BV69" s="1051"/>
      <c r="BW69" s="1051"/>
      <c r="BX69" s="1051"/>
      <c r="BY69" s="1051"/>
      <c r="BZ69" s="1051"/>
      <c r="CA69" s="1051"/>
      <c r="CB69" s="1051"/>
      <c r="CC69" s="1051"/>
      <c r="CD69" s="1051"/>
      <c r="CE69" s="1051"/>
      <c r="CF69" s="1051"/>
      <c r="CG69" s="1051"/>
      <c r="CH69" s="1051"/>
      <c r="CI69" s="1051"/>
      <c r="CJ69" s="1051"/>
      <c r="CK69" s="1051"/>
      <c r="CL69" s="1051"/>
      <c r="CM69" s="1051"/>
      <c r="CN69" s="1051"/>
      <c r="CO69" s="1051"/>
      <c r="CP69" s="1051"/>
      <c r="CQ69" s="1051"/>
      <c r="CR69" s="1051"/>
      <c r="CS69" s="1051"/>
      <c r="CT69" s="1051"/>
      <c r="CU69" s="1051"/>
      <c r="CV69" s="1051"/>
      <c r="CW69" s="1051"/>
      <c r="CX69" s="1051"/>
      <c r="CY69" s="1051"/>
      <c r="CZ69" s="1051"/>
      <c r="DA69" s="1051"/>
      <c r="DB69" s="1051"/>
      <c r="DC69" s="1051"/>
      <c r="DD69" s="1051"/>
      <c r="DE69" s="1051"/>
      <c r="DF69" s="1051"/>
      <c r="DG69" s="1051"/>
      <c r="DH69" s="1051"/>
      <c r="DI69" s="1051"/>
      <c r="DJ69" s="1051"/>
      <c r="DK69" s="1051"/>
      <c r="DL69" s="1051"/>
    </row>
    <row r="70" spans="1:116" s="1102" customFormat="1" ht="18">
      <c r="A70" s="1106" t="s">
        <v>532</v>
      </c>
      <c r="B70" s="1108" t="s">
        <v>533</v>
      </c>
      <c r="C70" s="1081"/>
      <c r="D70" s="1081"/>
      <c r="E70" s="1082"/>
      <c r="F70" s="1082"/>
      <c r="G70" s="1083"/>
      <c r="H70" s="1083"/>
      <c r="I70" s="1083"/>
      <c r="J70" s="1083"/>
      <c r="K70" s="1083"/>
      <c r="L70" s="1083"/>
      <c r="M70" s="1083"/>
      <c r="N70" s="1083"/>
      <c r="O70" s="1083"/>
      <c r="P70" s="1030"/>
      <c r="Q70" s="1057"/>
      <c r="R70" s="1057"/>
      <c r="S70" s="1083"/>
      <c r="T70" s="1083"/>
      <c r="U70" s="1083"/>
      <c r="V70" s="1083"/>
      <c r="W70" s="1083"/>
      <c r="X70" s="1341"/>
      <c r="Y70" s="1101"/>
      <c r="Z70" s="1101"/>
      <c r="AA70" s="1101"/>
      <c r="AB70" s="1336"/>
      <c r="AC70" s="1341"/>
      <c r="AD70" s="1101"/>
      <c r="AE70" s="1101"/>
      <c r="AF70" s="974"/>
      <c r="AG70" s="1101"/>
      <c r="AH70" s="1049"/>
      <c r="AI70" s="1051"/>
      <c r="AJ70" s="1051"/>
      <c r="AK70" s="1051"/>
      <c r="AL70" s="1159"/>
      <c r="AM70" s="1159"/>
      <c r="AN70" s="1159"/>
      <c r="AO70" s="1159"/>
      <c r="AP70" s="1159"/>
      <c r="AQ70" s="1159"/>
      <c r="AR70" s="1159"/>
      <c r="AS70" s="1159"/>
      <c r="AT70" s="1159"/>
      <c r="AU70" s="1159"/>
      <c r="AV70" s="1159"/>
      <c r="AW70" s="1159"/>
      <c r="AX70" s="1159"/>
      <c r="AY70" s="1159"/>
      <c r="AZ70" s="1159"/>
      <c r="BA70" s="1159"/>
      <c r="BB70" s="1159"/>
      <c r="BC70" s="1159"/>
      <c r="BD70" s="1159"/>
      <c r="BE70" s="1159"/>
      <c r="BF70" s="1159"/>
      <c r="BG70" s="1159"/>
      <c r="BH70" s="1159"/>
      <c r="BI70" s="1159"/>
      <c r="BJ70" s="1159"/>
      <c r="BK70" s="1159"/>
      <c r="BL70" s="1159"/>
      <c r="BM70" s="1159"/>
      <c r="BN70" s="1159"/>
      <c r="BO70" s="1159"/>
      <c r="BP70" s="1159"/>
      <c r="BQ70" s="1159"/>
      <c r="BR70" s="1159"/>
      <c r="BS70" s="1159"/>
      <c r="BT70" s="1159"/>
      <c r="BU70" s="1159"/>
      <c r="BV70" s="1159"/>
      <c r="BW70" s="1159"/>
      <c r="BX70" s="1159"/>
      <c r="BY70" s="1159"/>
      <c r="BZ70" s="1159"/>
      <c r="CA70" s="1159"/>
      <c r="CB70" s="1159"/>
      <c r="CC70" s="1159"/>
      <c r="CD70" s="1159"/>
      <c r="CE70" s="1159"/>
      <c r="CF70" s="1159"/>
      <c r="CG70" s="1159"/>
      <c r="CH70" s="1159"/>
      <c r="CI70" s="1159"/>
      <c r="CJ70" s="1159"/>
      <c r="CK70" s="1159"/>
      <c r="CL70" s="1159"/>
      <c r="CM70" s="1159"/>
      <c r="CN70" s="1159"/>
      <c r="CO70" s="1159"/>
      <c r="CP70" s="1159"/>
      <c r="CQ70" s="1159"/>
      <c r="CR70" s="1159"/>
      <c r="CS70" s="1159"/>
      <c r="CT70" s="1159"/>
      <c r="CU70" s="1159"/>
      <c r="CV70" s="1159"/>
      <c r="CW70" s="1159"/>
      <c r="CX70" s="1159"/>
      <c r="CY70" s="1159"/>
      <c r="CZ70" s="1159"/>
      <c r="DA70" s="1159"/>
      <c r="DB70" s="1159"/>
      <c r="DC70" s="1159"/>
      <c r="DD70" s="1159"/>
      <c r="DE70" s="1159"/>
      <c r="DF70" s="1159"/>
      <c r="DG70" s="1159"/>
      <c r="DH70" s="1159"/>
      <c r="DI70" s="1159"/>
      <c r="DJ70" s="1159"/>
      <c r="DK70" s="1159"/>
      <c r="DL70" s="1159"/>
    </row>
    <row r="71" spans="1:116" s="1102" customFormat="1">
      <c r="A71" s="1080" t="s">
        <v>535</v>
      </c>
      <c r="B71" s="935" t="s">
        <v>536</v>
      </c>
      <c r="C71" s="1081"/>
      <c r="D71" s="1081">
        <f t="shared" si="5"/>
        <v>0</v>
      </c>
      <c r="E71" s="1082">
        <f t="shared" si="8"/>
        <v>0</v>
      </c>
      <c r="F71" s="1082"/>
      <c r="G71" s="1083"/>
      <c r="H71" s="1104"/>
      <c r="I71" s="1083"/>
      <c r="J71" s="1083"/>
      <c r="K71" s="1083"/>
      <c r="L71" s="1083"/>
      <c r="M71" s="1083"/>
      <c r="N71" s="1083"/>
      <c r="O71" s="1083"/>
      <c r="P71" s="1030">
        <f t="shared" si="7"/>
        <v>0</v>
      </c>
      <c r="Q71" s="1104"/>
      <c r="R71" s="1057"/>
      <c r="S71" s="1083"/>
      <c r="T71" s="1083"/>
      <c r="U71" s="1083"/>
      <c r="V71" s="1083"/>
      <c r="W71" s="1083"/>
      <c r="X71" s="1341"/>
      <c r="Y71" s="1101"/>
      <c r="Z71" s="1101"/>
      <c r="AA71" s="1101"/>
      <c r="AB71" s="1336"/>
      <c r="AC71" s="1341"/>
      <c r="AD71" s="1101"/>
      <c r="AE71" s="1101"/>
      <c r="AF71" s="1101"/>
      <c r="AG71" s="1101"/>
      <c r="AH71" s="1049">
        <f t="shared" si="9"/>
        <v>0</v>
      </c>
      <c r="AI71" s="1051"/>
      <c r="AJ71" s="1051"/>
      <c r="AK71" s="1051"/>
      <c r="AL71" s="1159"/>
      <c r="AM71" s="1159"/>
      <c r="AN71" s="1159"/>
      <c r="AO71" s="1159"/>
      <c r="AP71" s="1159"/>
      <c r="AQ71" s="1159"/>
      <c r="AR71" s="1159"/>
      <c r="AS71" s="1159"/>
      <c r="AT71" s="1159"/>
      <c r="AU71" s="1159"/>
      <c r="AV71" s="1159"/>
      <c r="AW71" s="1159"/>
      <c r="AX71" s="1159"/>
      <c r="AY71" s="1159"/>
      <c r="AZ71" s="1159"/>
      <c r="BA71" s="1159"/>
      <c r="BB71" s="1159"/>
      <c r="BC71" s="1159"/>
      <c r="BD71" s="1159"/>
      <c r="BE71" s="1159"/>
      <c r="BF71" s="1159"/>
      <c r="BG71" s="1159"/>
      <c r="BH71" s="1159"/>
      <c r="BI71" s="1159"/>
      <c r="BJ71" s="1159"/>
      <c r="BK71" s="1159"/>
      <c r="BL71" s="1159"/>
      <c r="BM71" s="1159"/>
      <c r="BN71" s="1159"/>
      <c r="BO71" s="1159"/>
      <c r="BP71" s="1159"/>
      <c r="BQ71" s="1159"/>
      <c r="BR71" s="1159"/>
      <c r="BS71" s="1159"/>
      <c r="BT71" s="1159"/>
      <c r="BU71" s="1159"/>
      <c r="BV71" s="1159"/>
      <c r="BW71" s="1159"/>
      <c r="BX71" s="1159"/>
      <c r="BY71" s="1159"/>
      <c r="BZ71" s="1159"/>
      <c r="CA71" s="1159"/>
      <c r="CB71" s="1159"/>
      <c r="CC71" s="1159"/>
      <c r="CD71" s="1159"/>
      <c r="CE71" s="1159"/>
      <c r="CF71" s="1159"/>
      <c r="CG71" s="1159"/>
      <c r="CH71" s="1159"/>
      <c r="CI71" s="1159"/>
      <c r="CJ71" s="1159"/>
      <c r="CK71" s="1159"/>
      <c r="CL71" s="1159"/>
      <c r="CM71" s="1159"/>
      <c r="CN71" s="1159"/>
      <c r="CO71" s="1159"/>
      <c r="CP71" s="1159"/>
      <c r="CQ71" s="1159"/>
      <c r="CR71" s="1159"/>
      <c r="CS71" s="1159"/>
      <c r="CT71" s="1159"/>
      <c r="CU71" s="1159"/>
      <c r="CV71" s="1159"/>
      <c r="CW71" s="1159"/>
      <c r="CX71" s="1159"/>
      <c r="CY71" s="1159"/>
      <c r="CZ71" s="1159"/>
      <c r="DA71" s="1159"/>
      <c r="DB71" s="1159"/>
      <c r="DC71" s="1159"/>
      <c r="DD71" s="1159"/>
      <c r="DE71" s="1159"/>
      <c r="DF71" s="1159"/>
      <c r="DG71" s="1159"/>
      <c r="DH71" s="1159"/>
      <c r="DI71" s="1159"/>
      <c r="DJ71" s="1159"/>
      <c r="DK71" s="1159"/>
      <c r="DL71" s="1159"/>
    </row>
    <row r="72" spans="1:116" s="812" customFormat="1">
      <c r="A72" s="1074" t="s">
        <v>568</v>
      </c>
      <c r="B72" s="1099" t="s">
        <v>40</v>
      </c>
      <c r="C72" s="1052"/>
      <c r="D72" s="1052">
        <f>E72+P72</f>
        <v>2557219</v>
      </c>
      <c r="E72" s="1054">
        <f>F72</f>
        <v>2557219</v>
      </c>
      <c r="F72" s="1054">
        <f>Отчет!J192</f>
        <v>2557219</v>
      </c>
      <c r="G72" s="1055"/>
      <c r="H72" s="1053"/>
      <c r="I72" s="1053"/>
      <c r="J72" s="1053"/>
      <c r="K72" s="1053"/>
      <c r="L72" s="1053"/>
      <c r="M72" s="1053"/>
      <c r="N72" s="1053"/>
      <c r="O72" s="1053"/>
      <c r="P72" s="1032">
        <f>Q72+R72+S72+T72+U72+V72+W72</f>
        <v>0</v>
      </c>
      <c r="Q72" s="1032"/>
      <c r="R72" s="1032"/>
      <c r="S72" s="1053"/>
      <c r="T72" s="1053"/>
      <c r="U72" s="1053"/>
      <c r="V72" s="1053"/>
      <c r="W72" s="1053"/>
      <c r="X72" s="1340"/>
      <c r="Y72" s="841"/>
      <c r="Z72" s="841"/>
      <c r="AA72" s="841"/>
      <c r="AB72" s="1334"/>
      <c r="AC72" s="1340"/>
      <c r="AD72" s="841"/>
      <c r="AE72" s="841"/>
      <c r="AF72" s="841"/>
      <c r="AG72" s="841"/>
      <c r="AH72" s="1049">
        <f t="shared" si="9"/>
        <v>7671657</v>
      </c>
      <c r="AI72" s="1051"/>
      <c r="AJ72" s="1051"/>
      <c r="AK72" s="1051"/>
      <c r="AL72" s="1051"/>
      <c r="AM72" s="1051"/>
      <c r="AN72" s="1051"/>
      <c r="AO72" s="1051"/>
      <c r="AP72" s="1051"/>
      <c r="AQ72" s="1051"/>
      <c r="AR72" s="1051"/>
      <c r="AS72" s="1051"/>
      <c r="AT72" s="1051"/>
      <c r="AU72" s="1051"/>
      <c r="AV72" s="1051"/>
      <c r="AW72" s="1051"/>
      <c r="AX72" s="1051"/>
      <c r="AY72" s="1051"/>
      <c r="AZ72" s="1051"/>
      <c r="BA72" s="1051"/>
      <c r="BB72" s="1051"/>
      <c r="BC72" s="1051"/>
      <c r="BD72" s="1051"/>
      <c r="BE72" s="1051"/>
      <c r="BF72" s="1051"/>
      <c r="BG72" s="1051"/>
      <c r="BH72" s="1051"/>
      <c r="BI72" s="1051"/>
      <c r="BJ72" s="1051"/>
      <c r="BK72" s="1051"/>
      <c r="BL72" s="1051"/>
      <c r="BM72" s="1051"/>
      <c r="BN72" s="1051"/>
      <c r="BO72" s="1051"/>
      <c r="BP72" s="1051"/>
      <c r="BQ72" s="1051"/>
      <c r="BR72" s="1051"/>
      <c r="BS72" s="1051"/>
      <c r="BT72" s="1051"/>
      <c r="BU72" s="1051"/>
      <c r="BV72" s="1051"/>
      <c r="BW72" s="1051"/>
      <c r="BX72" s="1051"/>
      <c r="BY72" s="1051"/>
      <c r="BZ72" s="1051"/>
      <c r="CA72" s="1051"/>
      <c r="CB72" s="1051"/>
      <c r="CC72" s="1051"/>
      <c r="CD72" s="1051"/>
      <c r="CE72" s="1051"/>
      <c r="CF72" s="1051"/>
      <c r="CG72" s="1051"/>
      <c r="CH72" s="1051"/>
      <c r="CI72" s="1051"/>
      <c r="CJ72" s="1051"/>
      <c r="CK72" s="1051"/>
      <c r="CL72" s="1051"/>
      <c r="CM72" s="1051"/>
      <c r="CN72" s="1051"/>
      <c r="CO72" s="1051"/>
      <c r="CP72" s="1051"/>
      <c r="CQ72" s="1051"/>
      <c r="CR72" s="1051"/>
      <c r="CS72" s="1051"/>
      <c r="CT72" s="1051"/>
      <c r="CU72" s="1051"/>
      <c r="CV72" s="1051"/>
      <c r="CW72" s="1051"/>
      <c r="CX72" s="1051"/>
      <c r="CY72" s="1051"/>
      <c r="CZ72" s="1051"/>
      <c r="DA72" s="1051"/>
      <c r="DB72" s="1051"/>
      <c r="DC72" s="1051"/>
      <c r="DD72" s="1051"/>
      <c r="DE72" s="1051"/>
      <c r="DF72" s="1051"/>
      <c r="DG72" s="1051"/>
      <c r="DH72" s="1051"/>
      <c r="DI72" s="1051"/>
      <c r="DJ72" s="1051"/>
      <c r="DK72" s="1051"/>
      <c r="DL72" s="1051"/>
    </row>
    <row r="73" spans="1:116" s="812" customFormat="1" ht="60.75">
      <c r="A73" s="1109" t="s">
        <v>570</v>
      </c>
      <c r="B73" s="1099" t="s">
        <v>571</v>
      </c>
      <c r="C73" s="1052">
        <f>D73</f>
        <v>28727687</v>
      </c>
      <c r="D73" s="1052">
        <v>28727687</v>
      </c>
      <c r="E73" s="1054">
        <f>F73+G73+H73+I73+J73+N73+O73</f>
        <v>31633666.22489915</v>
      </c>
      <c r="F73" s="1054">
        <f>Отчет!J52+Отчет!J186+Отчет!J188+Отчет!J189+Отчет!J191+Отчет!J197+Отчет!J198+'036 гобм'!AL9+Отчет!J285+Отчет!J182+Отчет!J194+Отчет!J181</f>
        <v>12237415.224899149</v>
      </c>
      <c r="G73" s="1053">
        <f>Отчет!J175</f>
        <v>2282053</v>
      </c>
      <c r="H73" s="1053"/>
      <c r="I73" s="1053"/>
      <c r="J73" s="1053">
        <f>Отчет!J255+Отчет!J257</f>
        <v>115886</v>
      </c>
      <c r="K73" s="1053"/>
      <c r="L73" s="1053"/>
      <c r="M73" s="1053"/>
      <c r="N73" s="1053">
        <f>Отчет!J278</f>
        <v>11472</v>
      </c>
      <c r="O73" s="1053">
        <f>Отчет!J177</f>
        <v>16986840</v>
      </c>
      <c r="P73" s="1032">
        <f>Q73+R73+S73+T73+U73+V73+W73</f>
        <v>59955834.924899139</v>
      </c>
      <c r="Q73" s="1032">
        <f>Отчет!J60+Отчет!J70+Отчет!J216+Отчет!J237+Отчет!J209+Отчет!J206+Отчет!J236+Отчет!J208+73196.824899137</f>
        <v>864808.22489913704</v>
      </c>
      <c r="R73" s="1032"/>
      <c r="S73" s="1053">
        <f>Отчет!J75</f>
        <v>110814</v>
      </c>
      <c r="T73" s="1053"/>
      <c r="U73" s="1053"/>
      <c r="V73" s="1053"/>
      <c r="W73" s="1053">
        <f>Отчет!J219+Отчет!J222+Отчет!J226+Отчет!J245+Отчет!J248+Отчет!J251</f>
        <v>58980212.700000003</v>
      </c>
      <c r="X73" s="1340">
        <f>Y73+Z73</f>
        <v>8793121</v>
      </c>
      <c r="Y73" s="841"/>
      <c r="Z73" s="841">
        <f>AA73</f>
        <v>8793121</v>
      </c>
      <c r="AA73" s="841">
        <f>'Соцфин 9.1'!F17</f>
        <v>8793121</v>
      </c>
      <c r="AB73" s="1334"/>
      <c r="AC73" s="1340">
        <f>AF73+AG73</f>
        <v>91967.910800154903</v>
      </c>
      <c r="AD73" s="841"/>
      <c r="AE73" s="841"/>
      <c r="AF73" s="841">
        <v>62498.7870706549</v>
      </c>
      <c r="AG73" s="841">
        <v>29469.123729500003</v>
      </c>
      <c r="AH73" s="1049">
        <f t="shared" si="9"/>
        <v>267197675.12119687</v>
      </c>
      <c r="AI73" s="1051"/>
      <c r="AJ73" s="1051"/>
      <c r="AK73" s="1051"/>
      <c r="AL73" s="1051"/>
      <c r="AM73" s="1051"/>
      <c r="AN73" s="1051"/>
      <c r="AO73" s="1051"/>
      <c r="AP73" s="1051"/>
      <c r="AQ73" s="1051"/>
      <c r="AR73" s="1051"/>
      <c r="AS73" s="1051"/>
      <c r="AT73" s="1051"/>
      <c r="AU73" s="1051"/>
      <c r="AV73" s="1051"/>
      <c r="AW73" s="1051"/>
      <c r="AX73" s="1051"/>
      <c r="AY73" s="1051"/>
      <c r="AZ73" s="1051"/>
      <c r="BA73" s="1051"/>
      <c r="BB73" s="1051"/>
      <c r="BC73" s="1051"/>
      <c r="BD73" s="1051"/>
      <c r="BE73" s="1051"/>
      <c r="BF73" s="1051"/>
      <c r="BG73" s="1051"/>
      <c r="BH73" s="1051"/>
      <c r="BI73" s="1051"/>
      <c r="BJ73" s="1051"/>
      <c r="BK73" s="1051"/>
      <c r="BL73" s="1051"/>
      <c r="BM73" s="1051"/>
      <c r="BN73" s="1051"/>
      <c r="BO73" s="1051"/>
      <c r="BP73" s="1051"/>
      <c r="BQ73" s="1051"/>
      <c r="BR73" s="1051"/>
      <c r="BS73" s="1051"/>
      <c r="BT73" s="1051"/>
      <c r="BU73" s="1051"/>
      <c r="BV73" s="1051"/>
      <c r="BW73" s="1051"/>
      <c r="BX73" s="1051"/>
      <c r="BY73" s="1051"/>
      <c r="BZ73" s="1051"/>
      <c r="CA73" s="1051"/>
      <c r="CB73" s="1051"/>
      <c r="CC73" s="1051"/>
      <c r="CD73" s="1051"/>
      <c r="CE73" s="1051"/>
      <c r="CF73" s="1051"/>
      <c r="CG73" s="1051"/>
      <c r="CH73" s="1051"/>
      <c r="CI73" s="1051"/>
      <c r="CJ73" s="1051"/>
      <c r="CK73" s="1051"/>
      <c r="CL73" s="1051"/>
      <c r="CM73" s="1051"/>
      <c r="CN73" s="1051"/>
      <c r="CO73" s="1051"/>
      <c r="CP73" s="1051"/>
      <c r="CQ73" s="1051"/>
      <c r="CR73" s="1051"/>
      <c r="CS73" s="1051"/>
      <c r="CT73" s="1051"/>
      <c r="CU73" s="1051"/>
      <c r="CV73" s="1051"/>
      <c r="CW73" s="1051"/>
      <c r="CX73" s="1051"/>
      <c r="CY73" s="1051"/>
      <c r="CZ73" s="1051"/>
      <c r="DA73" s="1051"/>
      <c r="DB73" s="1051"/>
      <c r="DC73" s="1051"/>
      <c r="DD73" s="1051"/>
      <c r="DE73" s="1051"/>
      <c r="DF73" s="1051"/>
      <c r="DG73" s="1051"/>
      <c r="DH73" s="1051"/>
      <c r="DI73" s="1051"/>
      <c r="DJ73" s="1051"/>
      <c r="DK73" s="1051"/>
      <c r="DL73" s="1051"/>
    </row>
    <row r="74" spans="1:116" s="812" customFormat="1" ht="144" customHeight="1">
      <c r="A74" s="1109" t="s">
        <v>573</v>
      </c>
      <c r="B74" s="1110" t="s">
        <v>574</v>
      </c>
      <c r="C74" s="1052"/>
      <c r="D74" s="1052"/>
      <c r="E74" s="1054"/>
      <c r="F74" s="1054"/>
      <c r="G74" s="1053"/>
      <c r="H74" s="1053"/>
      <c r="I74" s="1053"/>
      <c r="J74" s="1053"/>
      <c r="K74" s="1053"/>
      <c r="L74" s="1053"/>
      <c r="M74" s="1053"/>
      <c r="N74" s="1055"/>
      <c r="O74" s="1053" t="s">
        <v>846</v>
      </c>
      <c r="P74" s="1032"/>
      <c r="Q74" s="1032"/>
      <c r="R74" s="1032"/>
      <c r="S74" s="1053"/>
      <c r="T74" s="1053"/>
      <c r="U74" s="1053"/>
      <c r="V74" s="1053"/>
      <c r="W74" s="1053"/>
      <c r="X74" s="1340"/>
      <c r="Y74" s="841"/>
      <c r="Z74" s="841"/>
      <c r="AA74" s="841"/>
      <c r="AB74" s="1334"/>
      <c r="AC74" s="1340"/>
      <c r="AD74" s="841"/>
      <c r="AE74" s="841"/>
      <c r="AG74" s="841"/>
      <c r="AH74" s="1049">
        <f t="shared" si="9"/>
        <v>0</v>
      </c>
      <c r="AI74" s="1051"/>
      <c r="AJ74" s="1051"/>
      <c r="AK74" s="1051"/>
      <c r="AL74" s="1051"/>
      <c r="AM74" s="1051"/>
      <c r="AN74" s="1051"/>
      <c r="AO74" s="1051"/>
      <c r="AP74" s="1051"/>
      <c r="AQ74" s="1051"/>
      <c r="AR74" s="1051"/>
      <c r="AS74" s="1051"/>
      <c r="AT74" s="1051"/>
      <c r="AU74" s="1051"/>
      <c r="AV74" s="1051"/>
      <c r="AW74" s="1051"/>
      <c r="AX74" s="1051"/>
      <c r="AY74" s="1051"/>
      <c r="AZ74" s="1051"/>
      <c r="BA74" s="1051"/>
      <c r="BB74" s="1051"/>
      <c r="BC74" s="1051"/>
      <c r="BD74" s="1051"/>
      <c r="BE74" s="1051"/>
      <c r="BF74" s="1051"/>
      <c r="BG74" s="1051"/>
      <c r="BH74" s="1051"/>
      <c r="BI74" s="1051"/>
      <c r="BJ74" s="1051"/>
      <c r="BK74" s="1051"/>
      <c r="BL74" s="1051"/>
      <c r="BM74" s="1051"/>
      <c r="BN74" s="1051"/>
      <c r="BO74" s="1051"/>
      <c r="BP74" s="1051"/>
      <c r="BQ74" s="1051"/>
      <c r="BR74" s="1051"/>
      <c r="BS74" s="1051"/>
      <c r="BT74" s="1051"/>
      <c r="BU74" s="1051"/>
      <c r="BV74" s="1051"/>
      <c r="BW74" s="1051"/>
      <c r="BX74" s="1051"/>
      <c r="BY74" s="1051"/>
      <c r="BZ74" s="1051"/>
      <c r="CA74" s="1051"/>
      <c r="CB74" s="1051"/>
      <c r="CC74" s="1051"/>
      <c r="CD74" s="1051"/>
      <c r="CE74" s="1051"/>
      <c r="CF74" s="1051"/>
      <c r="CG74" s="1051"/>
      <c r="CH74" s="1051"/>
      <c r="CI74" s="1051"/>
      <c r="CJ74" s="1051"/>
      <c r="CK74" s="1051"/>
      <c r="CL74" s="1051"/>
      <c r="CM74" s="1051"/>
      <c r="CN74" s="1051"/>
      <c r="CO74" s="1051"/>
      <c r="CP74" s="1051"/>
      <c r="CQ74" s="1051"/>
      <c r="CR74" s="1051"/>
      <c r="CS74" s="1051"/>
      <c r="CT74" s="1051"/>
      <c r="CU74" s="1051"/>
      <c r="CV74" s="1051"/>
      <c r="CW74" s="1051"/>
      <c r="CX74" s="1051"/>
      <c r="CY74" s="1051"/>
      <c r="CZ74" s="1051"/>
      <c r="DA74" s="1051"/>
      <c r="DB74" s="1051"/>
      <c r="DC74" s="1051"/>
      <c r="DD74" s="1051"/>
      <c r="DE74" s="1051"/>
      <c r="DF74" s="1051"/>
      <c r="DG74" s="1051"/>
      <c r="DH74" s="1051"/>
      <c r="DI74" s="1051"/>
      <c r="DJ74" s="1051"/>
      <c r="DK74" s="1051"/>
      <c r="DL74" s="1051"/>
    </row>
    <row r="75" spans="1:116" s="840" customFormat="1" ht="40.5">
      <c r="A75" s="1109" t="s">
        <v>576</v>
      </c>
      <c r="B75" s="1110" t="s">
        <v>577</v>
      </c>
      <c r="C75" s="1081">
        <f>D75</f>
        <v>655615.80000000005</v>
      </c>
      <c r="D75" s="1081">
        <f>E75+P75</f>
        <v>655615.80000000005</v>
      </c>
      <c r="E75" s="1082">
        <f>F75+G75+H75+I75+J75+N75+O75</f>
        <v>68519.8</v>
      </c>
      <c r="F75" s="1082">
        <f>Отчет!J49++Отчет!J199</f>
        <v>68519.8</v>
      </c>
      <c r="G75" s="1083"/>
      <c r="H75" s="1083"/>
      <c r="I75" s="1083"/>
      <c r="J75" s="1083"/>
      <c r="K75" s="1083"/>
      <c r="L75" s="1083"/>
      <c r="M75" s="1083"/>
      <c r="N75" s="1083"/>
      <c r="O75" s="1083"/>
      <c r="P75" s="1030">
        <f>Q75+R75+S75+T75+U75+V75+W75</f>
        <v>587096</v>
      </c>
      <c r="Q75" s="1030">
        <f>Отчет!J166+Отчет!J170+Отчет!J215</f>
        <v>587096</v>
      </c>
      <c r="R75" s="1030"/>
      <c r="S75" s="1083"/>
      <c r="T75" s="1083"/>
      <c r="U75" s="1083"/>
      <c r="V75" s="1083"/>
      <c r="W75" s="1083"/>
      <c r="X75" s="1340"/>
      <c r="Y75" s="1031"/>
      <c r="Z75" s="1031"/>
      <c r="AA75" s="1031"/>
      <c r="AB75" s="1334"/>
      <c r="AC75" s="1340"/>
      <c r="AD75" s="1031"/>
      <c r="AE75" s="1031"/>
      <c r="AF75" s="1031"/>
      <c r="AG75" s="1031"/>
      <c r="AH75" s="1049">
        <f t="shared" si="9"/>
        <v>2622463.2000000002</v>
      </c>
      <c r="AI75" s="1051"/>
      <c r="AJ75" s="1051"/>
      <c r="AK75" s="1051"/>
      <c r="AL75" s="1051"/>
      <c r="AM75" s="1051"/>
      <c r="AN75" s="1051"/>
      <c r="AO75" s="1051"/>
      <c r="AP75" s="1051"/>
      <c r="AQ75" s="1051"/>
      <c r="AR75" s="1051"/>
      <c r="AS75" s="1051"/>
      <c r="AT75" s="1051"/>
      <c r="AU75" s="1051"/>
      <c r="AV75" s="1051"/>
      <c r="AW75" s="1051"/>
      <c r="AX75" s="1051"/>
      <c r="AY75" s="1051"/>
      <c r="AZ75" s="1051"/>
      <c r="BA75" s="1051"/>
      <c r="BB75" s="1051"/>
      <c r="BC75" s="1051"/>
      <c r="BD75" s="1051"/>
      <c r="BE75" s="1051"/>
      <c r="BF75" s="1051"/>
      <c r="BG75" s="1051"/>
      <c r="BH75" s="1051"/>
      <c r="BI75" s="1051"/>
      <c r="BJ75" s="1051"/>
      <c r="BK75" s="1051"/>
      <c r="BL75" s="1051"/>
      <c r="BM75" s="1051"/>
      <c r="BN75" s="1051"/>
      <c r="BO75" s="1051"/>
      <c r="BP75" s="1051"/>
      <c r="BQ75" s="1051"/>
      <c r="BR75" s="1051"/>
      <c r="BS75" s="1051"/>
      <c r="BT75" s="1051"/>
      <c r="BU75" s="1051"/>
      <c r="BV75" s="1051"/>
      <c r="BW75" s="1051"/>
      <c r="BX75" s="1051"/>
      <c r="BY75" s="1051"/>
      <c r="BZ75" s="1051"/>
      <c r="CA75" s="1051"/>
      <c r="CB75" s="1051"/>
      <c r="CC75" s="1051"/>
      <c r="CD75" s="1051"/>
      <c r="CE75" s="1051"/>
      <c r="CF75" s="1051"/>
      <c r="CG75" s="1051"/>
      <c r="CH75" s="1051"/>
      <c r="CI75" s="1051"/>
      <c r="CJ75" s="1051"/>
      <c r="CK75" s="1051"/>
      <c r="CL75" s="1051"/>
      <c r="CM75" s="1051"/>
      <c r="CN75" s="1051"/>
      <c r="CO75" s="1051"/>
      <c r="CP75" s="1051"/>
      <c r="CQ75" s="1051"/>
      <c r="CR75" s="1051"/>
      <c r="CS75" s="1051"/>
      <c r="CT75" s="1051"/>
      <c r="CU75" s="1051"/>
      <c r="CV75" s="1051"/>
      <c r="CW75" s="1051"/>
      <c r="CX75" s="1051"/>
      <c r="CY75" s="1051"/>
      <c r="CZ75" s="1051"/>
      <c r="DA75" s="1051"/>
      <c r="DB75" s="1051"/>
      <c r="DC75" s="1051"/>
      <c r="DD75" s="1051"/>
      <c r="DE75" s="1051"/>
      <c r="DF75" s="1051"/>
      <c r="DG75" s="1051"/>
      <c r="DH75" s="1051"/>
      <c r="DI75" s="1051"/>
      <c r="DJ75" s="1051"/>
      <c r="DK75" s="1051"/>
      <c r="DL75" s="1051"/>
    </row>
    <row r="76" spans="1:116" s="812" customFormat="1">
      <c r="A76" s="1111" t="s">
        <v>816</v>
      </c>
      <c r="B76" s="1112"/>
      <c r="C76" s="1010">
        <f t="shared" ref="C76:X76" si="10">SUM(C3:C75)</f>
        <v>407087980.28341502</v>
      </c>
      <c r="D76" s="1010">
        <f t="shared" si="10"/>
        <v>1373925295.930351</v>
      </c>
      <c r="E76" s="1010">
        <f t="shared" si="10"/>
        <v>777980828.45796824</v>
      </c>
      <c r="F76" s="1010">
        <f t="shared" si="10"/>
        <v>421213816.74737549</v>
      </c>
      <c r="G76" s="1010">
        <f t="shared" si="10"/>
        <v>6694267</v>
      </c>
      <c r="H76" s="1010">
        <f t="shared" si="10"/>
        <v>0</v>
      </c>
      <c r="I76" s="1010">
        <f t="shared" si="10"/>
        <v>7999780</v>
      </c>
      <c r="J76" s="1010">
        <f t="shared" si="10"/>
        <v>4822608</v>
      </c>
      <c r="K76" s="1010">
        <f t="shared" si="10"/>
        <v>0</v>
      </c>
      <c r="L76" s="1010">
        <f t="shared" si="10"/>
        <v>0</v>
      </c>
      <c r="M76" s="1010">
        <f t="shared" si="10"/>
        <v>0</v>
      </c>
      <c r="N76" s="1010">
        <f t="shared" si="10"/>
        <v>11472</v>
      </c>
      <c r="O76" s="1010">
        <f t="shared" si="10"/>
        <v>16986840</v>
      </c>
      <c r="P76" s="1010">
        <f t="shared" si="10"/>
        <v>551269021.97176969</v>
      </c>
      <c r="Q76" s="1010">
        <f t="shared" si="10"/>
        <v>392892274.57254785</v>
      </c>
      <c r="R76" s="1010">
        <f t="shared" si="10"/>
        <v>0</v>
      </c>
      <c r="S76" s="1010">
        <f t="shared" si="10"/>
        <v>110814</v>
      </c>
      <c r="T76" s="1010">
        <f t="shared" si="10"/>
        <v>0</v>
      </c>
      <c r="U76" s="1010">
        <f t="shared" si="10"/>
        <v>0</v>
      </c>
      <c r="V76" s="1010">
        <f t="shared" si="10"/>
        <v>0</v>
      </c>
      <c r="W76" s="1010">
        <f t="shared" si="10"/>
        <v>58980212.700000003</v>
      </c>
      <c r="X76" s="1342">
        <f t="shared" si="10"/>
        <v>30773131</v>
      </c>
      <c r="Y76" s="1010">
        <v>0</v>
      </c>
      <c r="Z76" s="1010">
        <f t="shared" ref="Z76:AH76" si="11">SUM(Z3:Z75)</f>
        <v>38389844</v>
      </c>
      <c r="AA76" s="1010">
        <f t="shared" si="11"/>
        <v>35883163</v>
      </c>
      <c r="AB76" s="1337">
        <f t="shared" si="11"/>
        <v>0</v>
      </c>
      <c r="AC76" s="1342">
        <f t="shared" si="11"/>
        <v>3303213.0892614741</v>
      </c>
      <c r="AD76" s="1010">
        <f t="shared" si="11"/>
        <v>3671704.1547959014</v>
      </c>
      <c r="AE76" s="1010">
        <f t="shared" si="11"/>
        <v>3448806.4857704467</v>
      </c>
      <c r="AF76" s="1010">
        <f t="shared" si="11"/>
        <v>1029854.8762949415</v>
      </c>
      <c r="AG76" s="1010">
        <f t="shared" si="11"/>
        <v>2819710.9322824003</v>
      </c>
      <c r="AH76" s="1113">
        <f t="shared" si="11"/>
        <v>4139294639.2018318</v>
      </c>
      <c r="AI76" s="1051"/>
      <c r="AJ76" s="1051"/>
      <c r="AK76" s="1051"/>
      <c r="AL76" s="1051"/>
      <c r="AM76" s="1051"/>
      <c r="AN76" s="1051"/>
      <c r="AO76" s="1051"/>
      <c r="AP76" s="1051"/>
      <c r="AQ76" s="1051"/>
      <c r="AR76" s="1051"/>
      <c r="AS76" s="1051"/>
      <c r="AT76" s="1051"/>
      <c r="AU76" s="1051"/>
      <c r="AV76" s="1051"/>
      <c r="AW76" s="1051"/>
      <c r="AX76" s="1051"/>
      <c r="AY76" s="1051"/>
      <c r="AZ76" s="1051"/>
      <c r="BA76" s="1051"/>
      <c r="BB76" s="1051"/>
      <c r="BC76" s="1051"/>
      <c r="BD76" s="1051"/>
      <c r="BE76" s="1051"/>
      <c r="BF76" s="1051"/>
      <c r="BG76" s="1051"/>
      <c r="BH76" s="1051"/>
      <c r="BI76" s="1051"/>
      <c r="BJ76" s="1051"/>
      <c r="BK76" s="1051"/>
      <c r="BL76" s="1051"/>
      <c r="BM76" s="1051"/>
      <c r="BN76" s="1051"/>
      <c r="BO76" s="1051"/>
      <c r="BP76" s="1051"/>
      <c r="BQ76" s="1051"/>
      <c r="BR76" s="1051"/>
      <c r="BS76" s="1051"/>
      <c r="BT76" s="1051"/>
      <c r="BU76" s="1051"/>
      <c r="BV76" s="1051"/>
      <c r="BW76" s="1051"/>
      <c r="BX76" s="1051"/>
      <c r="BY76" s="1051"/>
      <c r="BZ76" s="1051"/>
      <c r="CA76" s="1051"/>
      <c r="CB76" s="1051"/>
      <c r="CC76" s="1051"/>
      <c r="CD76" s="1051"/>
      <c r="CE76" s="1051"/>
      <c r="CF76" s="1051"/>
      <c r="CG76" s="1051"/>
      <c r="CH76" s="1051"/>
      <c r="CI76" s="1051"/>
      <c r="CJ76" s="1051"/>
      <c r="CK76" s="1051"/>
      <c r="CL76" s="1051"/>
      <c r="CM76" s="1051"/>
      <c r="CN76" s="1051"/>
      <c r="CO76" s="1051"/>
      <c r="CP76" s="1051"/>
      <c r="CQ76" s="1051"/>
      <c r="CR76" s="1051"/>
      <c r="CS76" s="1051"/>
      <c r="CT76" s="1051"/>
      <c r="CU76" s="1051"/>
      <c r="CV76" s="1051"/>
      <c r="CW76" s="1051"/>
      <c r="CX76" s="1051"/>
      <c r="CY76" s="1051"/>
      <c r="CZ76" s="1051"/>
      <c r="DA76" s="1051"/>
      <c r="DB76" s="1051"/>
      <c r="DC76" s="1051"/>
      <c r="DD76" s="1051"/>
      <c r="DE76" s="1051"/>
      <c r="DF76" s="1051"/>
      <c r="DG76" s="1051"/>
      <c r="DH76" s="1051"/>
      <c r="DI76" s="1051"/>
      <c r="DJ76" s="1051"/>
      <c r="DK76" s="1051"/>
      <c r="DL76" s="1051"/>
    </row>
    <row r="77" spans="1:116" s="1051" customFormat="1">
      <c r="A77" s="1155"/>
      <c r="B77" s="936"/>
      <c r="X77" s="1343"/>
      <c r="AA77" s="1051">
        <f>AA76-'HF-HC '!AA100</f>
        <v>-54180084</v>
      </c>
      <c r="AB77" s="1338"/>
      <c r="AC77" s="1343"/>
    </row>
    <row r="78" spans="1:116" s="1051" customFormat="1">
      <c r="A78" s="1155"/>
      <c r="B78" s="936"/>
      <c r="D78" s="1051">
        <f>D75+D72</f>
        <v>3212834.8</v>
      </c>
      <c r="E78" s="1156">
        <f>E80-D78</f>
        <v>28727687.199999999</v>
      </c>
      <c r="F78" s="1156"/>
      <c r="K78" s="1157"/>
      <c r="L78" s="1157"/>
      <c r="M78" s="1157"/>
      <c r="X78" s="1343"/>
      <c r="AB78" s="1338"/>
      <c r="AC78" s="1343"/>
    </row>
    <row r="79" spans="1:116" s="1051" customFormat="1">
      <c r="A79" s="1155"/>
      <c r="B79" s="936"/>
      <c r="E79" s="1156"/>
      <c r="F79" s="1156"/>
      <c r="K79" s="1157"/>
      <c r="L79" s="1157"/>
      <c r="M79" s="1157"/>
      <c r="X79" s="1343"/>
      <c r="AB79" s="1338"/>
      <c r="AC79" s="1343"/>
    </row>
    <row r="80" spans="1:116" s="1051" customFormat="1">
      <c r="A80" s="1155"/>
      <c r="B80" s="936"/>
      <c r="E80" s="1156">
        <v>31940522</v>
      </c>
      <c r="F80" s="1156"/>
      <c r="K80" s="1157"/>
      <c r="L80" s="1157"/>
      <c r="M80" s="1157"/>
      <c r="X80" s="1343"/>
      <c r="AB80" s="1338"/>
      <c r="AC80" s="1343"/>
    </row>
    <row r="81" spans="1:29" s="1051" customFormat="1">
      <c r="A81" s="1155"/>
      <c r="B81" s="936"/>
      <c r="E81" s="1156"/>
      <c r="F81" s="1156"/>
      <c r="K81" s="1157"/>
      <c r="L81" s="1157"/>
      <c r="M81" s="1157"/>
      <c r="X81" s="1343"/>
      <c r="AB81" s="1338"/>
      <c r="AC81" s="1343"/>
    </row>
    <row r="82" spans="1:29" s="1051" customFormat="1">
      <c r="A82" s="1155"/>
      <c r="B82" s="936"/>
      <c r="E82" s="1156"/>
      <c r="F82" s="1156"/>
      <c r="K82" s="1157"/>
      <c r="L82" s="1157"/>
      <c r="M82" s="1157"/>
      <c r="X82" s="1343"/>
      <c r="AB82" s="1338"/>
      <c r="AC82" s="1343"/>
    </row>
    <row r="83" spans="1:29" s="1051" customFormat="1">
      <c r="A83" s="1155"/>
      <c r="B83" s="936"/>
      <c r="E83" s="1156"/>
      <c r="F83" s="1156"/>
      <c r="K83" s="1157"/>
      <c r="L83" s="1157"/>
      <c r="M83" s="1157"/>
      <c r="X83" s="1343"/>
      <c r="AB83" s="1338"/>
      <c r="AC83" s="1343"/>
    </row>
    <row r="84" spans="1:29" s="1051" customFormat="1">
      <c r="A84" s="1155"/>
      <c r="B84" s="936"/>
      <c r="E84" s="1156"/>
      <c r="F84" s="1156"/>
      <c r="K84" s="1157"/>
      <c r="L84" s="1157"/>
      <c r="M84" s="1157"/>
      <c r="X84" s="1343"/>
      <c r="AB84" s="1338"/>
      <c r="AC84" s="1343"/>
    </row>
    <row r="85" spans="1:29" s="1051" customFormat="1">
      <c r="A85" s="1155"/>
      <c r="B85" s="936"/>
      <c r="E85" s="1156"/>
      <c r="F85" s="1156"/>
      <c r="K85" s="1157"/>
      <c r="L85" s="1157"/>
      <c r="M85" s="1157"/>
      <c r="X85" s="1343"/>
      <c r="AB85" s="1338"/>
      <c r="AC85" s="1343"/>
    </row>
    <row r="86" spans="1:29" s="1051" customFormat="1">
      <c r="A86" s="1155"/>
      <c r="B86" s="936"/>
      <c r="E86" s="1156"/>
      <c r="F86" s="1156"/>
      <c r="K86" s="1157"/>
      <c r="L86" s="1157"/>
      <c r="M86" s="1157"/>
      <c r="X86" s="1343"/>
      <c r="AB86" s="1338"/>
      <c r="AC86" s="1343"/>
    </row>
    <row r="87" spans="1:29" s="1051" customFormat="1" ht="33" customHeight="1">
      <c r="A87" s="1155"/>
      <c r="B87" s="936"/>
      <c r="E87" s="1156"/>
      <c r="F87" s="1156"/>
      <c r="K87" s="1157"/>
      <c r="L87" s="1157"/>
      <c r="M87" s="1157"/>
      <c r="X87" s="1343"/>
      <c r="AB87" s="1338"/>
      <c r="AC87" s="1343"/>
    </row>
    <row r="88" spans="1:29" s="1051" customFormat="1">
      <c r="A88" s="1155"/>
      <c r="B88" s="936"/>
      <c r="E88" s="1156"/>
      <c r="F88" s="1156"/>
      <c r="K88" s="1157"/>
      <c r="L88" s="1157"/>
      <c r="M88" s="1157"/>
      <c r="X88" s="1343"/>
      <c r="AB88" s="1338"/>
      <c r="AC88" s="1343"/>
    </row>
    <row r="89" spans="1:29" s="1051" customFormat="1">
      <c r="A89" s="1155"/>
      <c r="B89" s="936"/>
      <c r="E89" s="1156"/>
      <c r="F89" s="1156"/>
      <c r="K89" s="1157"/>
      <c r="L89" s="1157"/>
      <c r="M89" s="1157"/>
      <c r="X89" s="1343"/>
      <c r="AB89" s="1338"/>
      <c r="AC89" s="1343"/>
    </row>
    <row r="90" spans="1:29" s="1051" customFormat="1">
      <c r="A90" s="1155"/>
      <c r="B90" s="936"/>
      <c r="E90" s="1156"/>
      <c r="F90" s="1156"/>
      <c r="K90" s="1157"/>
      <c r="L90" s="1157"/>
      <c r="M90" s="1157"/>
      <c r="X90" s="1343"/>
      <c r="AB90" s="1338"/>
      <c r="AC90" s="1343"/>
    </row>
    <row r="91" spans="1:29" s="1051" customFormat="1">
      <c r="A91" s="1155"/>
      <c r="B91" s="936"/>
      <c r="E91" s="1156"/>
      <c r="F91" s="1156"/>
      <c r="K91" s="1157"/>
      <c r="L91" s="1157"/>
      <c r="M91" s="1157"/>
      <c r="X91" s="1343"/>
      <c r="AB91" s="1338"/>
      <c r="AC91" s="1343"/>
    </row>
    <row r="92" spans="1:29" s="1051" customFormat="1">
      <c r="A92" s="1155"/>
      <c r="B92" s="936"/>
      <c r="E92" s="1156"/>
      <c r="F92" s="1156"/>
      <c r="K92" s="1157"/>
      <c r="L92" s="1157"/>
      <c r="M92" s="1157"/>
      <c r="X92" s="1343"/>
      <c r="AB92" s="1338"/>
      <c r="AC92" s="1343"/>
    </row>
    <row r="93" spans="1:29" s="1051" customFormat="1">
      <c r="A93" s="1155"/>
      <c r="B93" s="936"/>
      <c r="E93" s="1156"/>
      <c r="F93" s="1156"/>
      <c r="K93" s="1157"/>
      <c r="L93" s="1157"/>
      <c r="M93" s="1157"/>
      <c r="X93" s="1343"/>
      <c r="AB93" s="1338"/>
      <c r="AC93" s="1343"/>
    </row>
    <row r="94" spans="1:29" s="1051" customFormat="1">
      <c r="A94" s="1155"/>
      <c r="B94" s="936"/>
      <c r="E94" s="1156"/>
      <c r="F94" s="1156"/>
      <c r="K94" s="1157"/>
      <c r="L94" s="1157"/>
      <c r="M94" s="1157"/>
      <c r="X94" s="1343"/>
      <c r="AB94" s="1338"/>
      <c r="AC94" s="1343"/>
    </row>
    <row r="95" spans="1:29" s="1051" customFormat="1">
      <c r="A95" s="1155"/>
      <c r="B95" s="936"/>
      <c r="E95" s="1156"/>
      <c r="F95" s="1156"/>
      <c r="K95" s="1157"/>
      <c r="L95" s="1157"/>
      <c r="M95" s="1157"/>
      <c r="X95" s="1343"/>
      <c r="AB95" s="1338"/>
      <c r="AC95" s="1343"/>
    </row>
    <row r="96" spans="1:29" s="1051" customFormat="1">
      <c r="A96" s="1155"/>
      <c r="B96" s="936"/>
      <c r="E96" s="1156"/>
      <c r="F96" s="1156"/>
      <c r="K96" s="1157"/>
      <c r="L96" s="1157"/>
      <c r="M96" s="1157"/>
      <c r="X96" s="1343"/>
      <c r="AB96" s="1338"/>
      <c r="AC96" s="1343"/>
    </row>
    <row r="97" spans="1:29" s="1051" customFormat="1">
      <c r="A97" s="1155"/>
      <c r="B97" s="936"/>
      <c r="E97" s="1156"/>
      <c r="F97" s="1156"/>
      <c r="K97" s="1157"/>
      <c r="L97" s="1157"/>
      <c r="M97" s="1157"/>
      <c r="X97" s="1343"/>
      <c r="AB97" s="1338"/>
      <c r="AC97" s="1343"/>
    </row>
    <row r="98" spans="1:29" s="1051" customFormat="1">
      <c r="A98" s="1155"/>
      <c r="B98" s="936"/>
      <c r="E98" s="1156"/>
      <c r="F98" s="1156"/>
      <c r="K98" s="1157"/>
      <c r="L98" s="1157"/>
      <c r="M98" s="1157"/>
      <c r="X98" s="1343"/>
      <c r="AB98" s="1338"/>
      <c r="AC98" s="1343"/>
    </row>
    <row r="99" spans="1:29" s="1051" customFormat="1">
      <c r="A99" s="1155"/>
      <c r="B99" s="936"/>
      <c r="E99" s="1156"/>
      <c r="F99" s="1156"/>
      <c r="K99" s="1157"/>
      <c r="L99" s="1157"/>
      <c r="M99" s="1157"/>
      <c r="X99" s="1343"/>
      <c r="AB99" s="1338"/>
      <c r="AC99" s="1343"/>
    </row>
    <row r="100" spans="1:29" s="1051" customFormat="1">
      <c r="A100" s="1155"/>
      <c r="B100" s="936"/>
      <c r="E100" s="1156"/>
      <c r="F100" s="1156"/>
      <c r="K100" s="1157"/>
      <c r="L100" s="1157"/>
      <c r="M100" s="1157"/>
      <c r="X100" s="1343"/>
      <c r="AB100" s="1338"/>
      <c r="AC100" s="1343"/>
    </row>
    <row r="101" spans="1:29" s="1051" customFormat="1">
      <c r="A101" s="1155"/>
      <c r="B101" s="936"/>
      <c r="E101" s="1156"/>
      <c r="F101" s="1156"/>
      <c r="K101" s="1157"/>
      <c r="L101" s="1157"/>
      <c r="M101" s="1157"/>
      <c r="X101" s="1343"/>
      <c r="AB101" s="1338"/>
      <c r="AC101" s="1343"/>
    </row>
    <row r="102" spans="1:29" s="1051" customFormat="1">
      <c r="A102" s="1155"/>
      <c r="B102" s="936"/>
      <c r="E102" s="1156"/>
      <c r="F102" s="1156"/>
      <c r="K102" s="1157"/>
      <c r="L102" s="1157"/>
      <c r="M102" s="1157"/>
      <c r="X102" s="1343"/>
      <c r="AB102" s="1338"/>
      <c r="AC102" s="1343"/>
    </row>
    <row r="103" spans="1:29" s="1051" customFormat="1">
      <c r="A103" s="1155"/>
      <c r="B103" s="936"/>
      <c r="E103" s="1156"/>
      <c r="F103" s="1156"/>
      <c r="K103" s="1157"/>
      <c r="L103" s="1157"/>
      <c r="M103" s="1157"/>
      <c r="X103" s="1343"/>
      <c r="AB103" s="1338"/>
      <c r="AC103" s="1343"/>
    </row>
    <row r="104" spans="1:29" s="1051" customFormat="1">
      <c r="A104" s="1155"/>
      <c r="B104" s="936"/>
      <c r="E104" s="1156"/>
      <c r="F104" s="1156"/>
      <c r="K104" s="1157"/>
      <c r="L104" s="1157"/>
      <c r="M104" s="1157"/>
      <c r="X104" s="1343"/>
      <c r="AB104" s="1338"/>
      <c r="AC104" s="1343"/>
    </row>
    <row r="105" spans="1:29" s="1051" customFormat="1">
      <c r="A105" s="1155"/>
      <c r="B105" s="936"/>
      <c r="E105" s="1156"/>
      <c r="F105" s="1156"/>
      <c r="K105" s="1157"/>
      <c r="L105" s="1157"/>
      <c r="M105" s="1157"/>
      <c r="X105" s="1343"/>
      <c r="AB105" s="1338"/>
      <c r="AC105" s="1343"/>
    </row>
    <row r="106" spans="1:29" s="1051" customFormat="1">
      <c r="A106" s="1155"/>
      <c r="B106" s="936"/>
      <c r="E106" s="1156"/>
      <c r="F106" s="1156"/>
      <c r="K106" s="1157"/>
      <c r="L106" s="1157"/>
      <c r="M106" s="1157"/>
      <c r="X106" s="1343"/>
      <c r="AB106" s="1338"/>
      <c r="AC106" s="1343"/>
    </row>
    <row r="107" spans="1:29" s="1051" customFormat="1">
      <c r="A107" s="1155"/>
      <c r="B107" s="936"/>
      <c r="E107" s="1156"/>
      <c r="F107" s="1156"/>
      <c r="K107" s="1157"/>
      <c r="L107" s="1157"/>
      <c r="M107" s="1157"/>
      <c r="X107" s="1343"/>
      <c r="AB107" s="1338"/>
      <c r="AC107" s="1343"/>
    </row>
    <row r="108" spans="1:29" s="1051" customFormat="1">
      <c r="A108" s="1155"/>
      <c r="B108" s="936"/>
      <c r="E108" s="1156"/>
      <c r="F108" s="1156"/>
      <c r="K108" s="1157"/>
      <c r="L108" s="1157"/>
      <c r="M108" s="1157"/>
      <c r="X108" s="1343"/>
      <c r="AB108" s="1338"/>
      <c r="AC108" s="1343"/>
    </row>
    <row r="109" spans="1:29" s="1051" customFormat="1">
      <c r="A109" s="1155"/>
      <c r="B109" s="936"/>
      <c r="E109" s="1156"/>
      <c r="F109" s="1156"/>
      <c r="K109" s="1157"/>
      <c r="L109" s="1157"/>
      <c r="M109" s="1157"/>
      <c r="X109" s="1343"/>
      <c r="AB109" s="1338"/>
      <c r="AC109" s="1343"/>
    </row>
    <row r="110" spans="1:29" s="1051" customFormat="1">
      <c r="A110" s="1155"/>
      <c r="B110" s="936"/>
      <c r="E110" s="1156"/>
      <c r="F110" s="1156"/>
      <c r="K110" s="1157"/>
      <c r="L110" s="1157"/>
      <c r="M110" s="1157"/>
      <c r="X110" s="1343"/>
      <c r="AB110" s="1338"/>
      <c r="AC110" s="1343"/>
    </row>
    <row r="111" spans="1:29" s="1051" customFormat="1">
      <c r="A111" s="1155"/>
      <c r="B111" s="936"/>
      <c r="E111" s="1156"/>
      <c r="F111" s="1156"/>
      <c r="K111" s="1157"/>
      <c r="L111" s="1157"/>
      <c r="M111" s="1157"/>
      <c r="X111" s="1343"/>
      <c r="AB111" s="1338"/>
      <c r="AC111" s="1343"/>
    </row>
    <row r="112" spans="1:29" s="1051" customFormat="1">
      <c r="A112" s="1155"/>
      <c r="B112" s="936"/>
      <c r="E112" s="1156"/>
      <c r="F112" s="1156"/>
      <c r="K112" s="1157"/>
      <c r="L112" s="1157"/>
      <c r="M112" s="1157"/>
      <c r="X112" s="1343"/>
      <c r="AB112" s="1338"/>
      <c r="AC112" s="1343"/>
    </row>
    <row r="113" spans="1:29" s="1051" customFormat="1">
      <c r="A113" s="1155"/>
      <c r="B113" s="936"/>
      <c r="E113" s="1156"/>
      <c r="F113" s="1156"/>
      <c r="K113" s="1157"/>
      <c r="L113" s="1157"/>
      <c r="M113" s="1157"/>
      <c r="X113" s="1343"/>
      <c r="AB113" s="1338"/>
      <c r="AC113" s="1343"/>
    </row>
    <row r="114" spans="1:29" s="1051" customFormat="1">
      <c r="A114" s="1155"/>
      <c r="B114" s="936"/>
      <c r="F114" s="1156"/>
      <c r="K114" s="1157"/>
      <c r="L114" s="1157"/>
      <c r="M114" s="1157"/>
      <c r="X114" s="1343"/>
      <c r="AB114" s="1338"/>
      <c r="AC114" s="1343"/>
    </row>
    <row r="115" spans="1:29" s="1051" customFormat="1">
      <c r="A115" s="1155"/>
      <c r="B115" s="936"/>
      <c r="F115" s="1156"/>
      <c r="K115" s="1157"/>
      <c r="L115" s="1157"/>
      <c r="M115" s="1157"/>
      <c r="X115" s="1343"/>
      <c r="AB115" s="1338"/>
      <c r="AC115" s="1343"/>
    </row>
    <row r="116" spans="1:29" s="1051" customFormat="1">
      <c r="A116" s="1155"/>
      <c r="B116" s="936"/>
      <c r="F116" s="1156"/>
      <c r="K116" s="1157"/>
      <c r="L116" s="1157"/>
      <c r="M116" s="1157"/>
      <c r="X116" s="1343"/>
      <c r="AB116" s="1338"/>
      <c r="AC116" s="1343"/>
    </row>
    <row r="117" spans="1:29" s="1051" customFormat="1">
      <c r="A117" s="1155"/>
      <c r="B117" s="936"/>
      <c r="F117" s="1156"/>
      <c r="K117" s="1157"/>
      <c r="L117" s="1157"/>
      <c r="M117" s="1157"/>
      <c r="X117" s="1343"/>
      <c r="AB117" s="1338"/>
      <c r="AC117" s="1343"/>
    </row>
    <row r="118" spans="1:29" s="1051" customFormat="1">
      <c r="A118" s="1155"/>
      <c r="B118" s="936"/>
      <c r="F118" s="1156"/>
      <c r="K118" s="1157"/>
      <c r="L118" s="1157"/>
      <c r="M118" s="1157"/>
      <c r="X118" s="1343"/>
      <c r="AB118" s="1338"/>
      <c r="AC118" s="1343"/>
    </row>
    <row r="119" spans="1:29" s="1051" customFormat="1">
      <c r="A119" s="1155"/>
      <c r="B119" s="936"/>
      <c r="F119" s="1156"/>
      <c r="K119" s="1157"/>
      <c r="L119" s="1157"/>
      <c r="M119" s="1157"/>
      <c r="X119" s="1343"/>
      <c r="AB119" s="1338"/>
      <c r="AC119" s="1343"/>
    </row>
    <row r="120" spans="1:29" s="1051" customFormat="1">
      <c r="A120" s="1155"/>
      <c r="B120" s="936"/>
      <c r="F120" s="1156"/>
      <c r="K120" s="1157"/>
      <c r="L120" s="1157"/>
      <c r="M120" s="1157"/>
      <c r="X120" s="1343"/>
      <c r="AB120" s="1338"/>
      <c r="AC120" s="1343"/>
    </row>
    <row r="121" spans="1:29" s="1051" customFormat="1">
      <c r="A121" s="1155"/>
      <c r="B121" s="936"/>
      <c r="F121" s="1156"/>
      <c r="K121" s="1157"/>
      <c r="L121" s="1157"/>
      <c r="M121" s="1157"/>
      <c r="X121" s="1343"/>
      <c r="AB121" s="1338"/>
      <c r="AC121" s="1343"/>
    </row>
    <row r="122" spans="1:29" s="1051" customFormat="1">
      <c r="A122" s="1155"/>
      <c r="B122" s="936"/>
      <c r="F122" s="1156"/>
      <c r="K122" s="1157"/>
      <c r="L122" s="1157"/>
      <c r="M122" s="1157"/>
      <c r="X122" s="1343"/>
      <c r="AB122" s="1338"/>
      <c r="AC122" s="1343"/>
    </row>
    <row r="123" spans="1:29" s="1051" customFormat="1">
      <c r="A123" s="1155"/>
      <c r="B123" s="936"/>
      <c r="F123" s="1156"/>
      <c r="K123" s="1157"/>
      <c r="L123" s="1157"/>
      <c r="M123" s="1157"/>
      <c r="X123" s="1343"/>
      <c r="AB123" s="1338"/>
      <c r="AC123" s="1343"/>
    </row>
    <row r="124" spans="1:29" s="1051" customFormat="1">
      <c r="A124" s="1155"/>
      <c r="B124" s="936"/>
      <c r="F124" s="1156"/>
      <c r="K124" s="1157"/>
      <c r="L124" s="1157"/>
      <c r="M124" s="1157"/>
      <c r="X124" s="1343"/>
      <c r="AB124" s="1338"/>
      <c r="AC124" s="1343"/>
    </row>
    <row r="125" spans="1:29" s="1051" customFormat="1">
      <c r="A125" s="1155"/>
      <c r="B125" s="936"/>
      <c r="F125" s="1156"/>
      <c r="K125" s="1157"/>
      <c r="L125" s="1157"/>
      <c r="M125" s="1157"/>
      <c r="X125" s="1343"/>
      <c r="AB125" s="1338"/>
      <c r="AC125" s="1343"/>
    </row>
    <row r="126" spans="1:29" s="1051" customFormat="1">
      <c r="A126" s="1155"/>
      <c r="B126" s="936"/>
      <c r="F126" s="1156"/>
      <c r="K126" s="1157"/>
      <c r="L126" s="1157"/>
      <c r="M126" s="1157"/>
      <c r="X126" s="1343"/>
      <c r="AB126" s="1338"/>
      <c r="AC126" s="1343"/>
    </row>
    <row r="127" spans="1:29" s="1051" customFormat="1">
      <c r="A127" s="1155"/>
      <c r="B127" s="936"/>
      <c r="F127" s="1156"/>
      <c r="K127" s="1157"/>
      <c r="L127" s="1157"/>
      <c r="M127" s="1157"/>
      <c r="X127" s="1343"/>
      <c r="AB127" s="1338"/>
      <c r="AC127" s="1343"/>
    </row>
    <row r="128" spans="1:29" s="1051" customFormat="1">
      <c r="A128" s="1155"/>
      <c r="B128" s="936"/>
      <c r="F128" s="1156"/>
      <c r="K128" s="1157"/>
      <c r="L128" s="1157"/>
      <c r="M128" s="1157"/>
      <c r="X128" s="1343"/>
      <c r="AB128" s="1338"/>
      <c r="AC128" s="1343"/>
    </row>
    <row r="129" spans="1:29" s="1051" customFormat="1">
      <c r="A129" s="1155"/>
      <c r="B129" s="936"/>
      <c r="F129" s="1156"/>
      <c r="K129" s="1157"/>
      <c r="L129" s="1157"/>
      <c r="M129" s="1157"/>
      <c r="X129" s="1343"/>
      <c r="AB129" s="1338"/>
      <c r="AC129" s="1343"/>
    </row>
    <row r="130" spans="1:29" s="1051" customFormat="1">
      <c r="A130" s="1155"/>
      <c r="B130" s="936"/>
      <c r="F130" s="1156"/>
      <c r="K130" s="1157"/>
      <c r="L130" s="1157"/>
      <c r="M130" s="1157"/>
      <c r="X130" s="1343"/>
      <c r="AB130" s="1338"/>
      <c r="AC130" s="1343"/>
    </row>
    <row r="131" spans="1:29" s="1051" customFormat="1">
      <c r="A131" s="1155"/>
      <c r="B131" s="936"/>
      <c r="F131" s="1156"/>
      <c r="K131" s="1157"/>
      <c r="L131" s="1157"/>
      <c r="M131" s="1157"/>
      <c r="X131" s="1343"/>
      <c r="AB131" s="1338"/>
      <c r="AC131" s="1343"/>
    </row>
    <row r="132" spans="1:29" s="1051" customFormat="1">
      <c r="A132" s="1155"/>
      <c r="B132" s="936"/>
      <c r="F132" s="1156"/>
      <c r="K132" s="1157"/>
      <c r="L132" s="1157"/>
      <c r="M132" s="1157"/>
      <c r="X132" s="1343"/>
      <c r="AB132" s="1338"/>
      <c r="AC132" s="1343"/>
    </row>
    <row r="133" spans="1:29" s="1051" customFormat="1">
      <c r="A133" s="1155"/>
      <c r="B133" s="936"/>
      <c r="F133" s="1156"/>
      <c r="K133" s="1157"/>
      <c r="L133" s="1157"/>
      <c r="M133" s="1157"/>
      <c r="X133" s="1343"/>
      <c r="AB133" s="1338"/>
      <c r="AC133" s="1343"/>
    </row>
    <row r="134" spans="1:29" s="1051" customFormat="1">
      <c r="A134" s="1155"/>
      <c r="B134" s="936"/>
      <c r="F134" s="1156"/>
      <c r="K134" s="1157"/>
      <c r="L134" s="1157"/>
      <c r="M134" s="1157"/>
      <c r="X134" s="1343"/>
      <c r="AB134" s="1338"/>
      <c r="AC134" s="1343"/>
    </row>
    <row r="135" spans="1:29" s="1051" customFormat="1">
      <c r="A135" s="1155"/>
      <c r="B135" s="936"/>
      <c r="F135" s="1156"/>
      <c r="K135" s="1157"/>
      <c r="L135" s="1157"/>
      <c r="M135" s="1157"/>
      <c r="X135" s="1343"/>
      <c r="AB135" s="1338"/>
      <c r="AC135" s="1343"/>
    </row>
    <row r="136" spans="1:29" s="1051" customFormat="1">
      <c r="A136" s="1155"/>
      <c r="B136" s="936"/>
      <c r="F136" s="1156"/>
      <c r="K136" s="1157"/>
      <c r="L136" s="1157"/>
      <c r="M136" s="1157"/>
      <c r="X136" s="1343"/>
      <c r="AB136" s="1338"/>
      <c r="AC136" s="1343"/>
    </row>
    <row r="137" spans="1:29" s="1051" customFormat="1">
      <c r="A137" s="1155"/>
      <c r="B137" s="936"/>
      <c r="F137" s="1156"/>
      <c r="K137" s="1157"/>
      <c r="L137" s="1157"/>
      <c r="M137" s="1157"/>
      <c r="X137" s="1343"/>
      <c r="AB137" s="1338"/>
      <c r="AC137" s="1343"/>
    </row>
    <row r="138" spans="1:29" s="1051" customFormat="1">
      <c r="A138" s="1155"/>
      <c r="B138" s="936"/>
      <c r="F138" s="1156"/>
      <c r="K138" s="1157"/>
      <c r="L138" s="1157"/>
      <c r="M138" s="1157"/>
      <c r="X138" s="1343"/>
      <c r="AB138" s="1338"/>
      <c r="AC138" s="1343"/>
    </row>
    <row r="139" spans="1:29" s="1051" customFormat="1">
      <c r="A139" s="1155"/>
      <c r="B139" s="936"/>
      <c r="F139" s="1156"/>
      <c r="K139" s="1157"/>
      <c r="L139" s="1157"/>
      <c r="M139" s="1157"/>
      <c r="X139" s="1343"/>
      <c r="AB139" s="1338"/>
      <c r="AC139" s="1343"/>
    </row>
    <row r="140" spans="1:29" s="1051" customFormat="1">
      <c r="A140" s="1155"/>
      <c r="B140" s="936"/>
      <c r="F140" s="1156"/>
      <c r="K140" s="1157"/>
      <c r="L140" s="1157"/>
      <c r="M140" s="1157"/>
      <c r="X140" s="1343"/>
      <c r="AB140" s="1338"/>
      <c r="AC140" s="1343"/>
    </row>
    <row r="141" spans="1:29" s="1051" customFormat="1">
      <c r="A141" s="1155"/>
      <c r="B141" s="936"/>
      <c r="F141" s="1156"/>
      <c r="K141" s="1157"/>
      <c r="L141" s="1157"/>
      <c r="M141" s="1157"/>
      <c r="X141" s="1343"/>
      <c r="AB141" s="1338"/>
      <c r="AC141" s="1343"/>
    </row>
    <row r="142" spans="1:29" s="1051" customFormat="1">
      <c r="A142" s="1155"/>
      <c r="B142" s="936"/>
      <c r="F142" s="1156"/>
      <c r="K142" s="1157"/>
      <c r="L142" s="1157"/>
      <c r="M142" s="1157"/>
      <c r="X142" s="1343"/>
      <c r="AB142" s="1338"/>
      <c r="AC142" s="1343"/>
    </row>
    <row r="143" spans="1:29" s="1051" customFormat="1">
      <c r="A143" s="1155"/>
      <c r="B143" s="936"/>
      <c r="F143" s="1156"/>
      <c r="K143" s="1157"/>
      <c r="L143" s="1157"/>
      <c r="M143" s="1157"/>
      <c r="X143" s="1343"/>
      <c r="AB143" s="1338"/>
      <c r="AC143" s="1343"/>
    </row>
    <row r="144" spans="1:29" s="1051" customFormat="1">
      <c r="A144" s="1155"/>
      <c r="B144" s="936"/>
      <c r="F144" s="1156"/>
      <c r="K144" s="1157"/>
      <c r="L144" s="1157"/>
      <c r="M144" s="1157"/>
      <c r="X144" s="1343"/>
      <c r="AB144" s="1338"/>
      <c r="AC144" s="1343"/>
    </row>
    <row r="145" spans="1:29" s="1051" customFormat="1">
      <c r="A145" s="1155"/>
      <c r="B145" s="936"/>
      <c r="F145" s="1156"/>
      <c r="K145" s="1157"/>
      <c r="L145" s="1157"/>
      <c r="M145" s="1157"/>
      <c r="X145" s="1343"/>
      <c r="AB145" s="1338"/>
      <c r="AC145" s="1343"/>
    </row>
    <row r="146" spans="1:29" s="1051" customFormat="1">
      <c r="A146" s="1155"/>
      <c r="B146" s="936"/>
      <c r="F146" s="1156"/>
      <c r="K146" s="1157"/>
      <c r="L146" s="1157"/>
      <c r="M146" s="1157"/>
      <c r="X146" s="1343"/>
      <c r="AB146" s="1338"/>
      <c r="AC146" s="1343"/>
    </row>
    <row r="147" spans="1:29" s="1051" customFormat="1">
      <c r="A147" s="1155"/>
      <c r="B147" s="936"/>
      <c r="F147" s="1156"/>
      <c r="K147" s="1157"/>
      <c r="L147" s="1157"/>
      <c r="M147" s="1157"/>
      <c r="X147" s="1343"/>
      <c r="AB147" s="1338"/>
      <c r="AC147" s="1343"/>
    </row>
    <row r="148" spans="1:29" s="1051" customFormat="1">
      <c r="A148" s="1155"/>
      <c r="B148" s="936"/>
      <c r="F148" s="1156"/>
      <c r="K148" s="1157"/>
      <c r="L148" s="1157"/>
      <c r="M148" s="1157"/>
      <c r="X148" s="1343"/>
      <c r="AB148" s="1338"/>
      <c r="AC148" s="1343"/>
    </row>
    <row r="149" spans="1:29" s="1051" customFormat="1">
      <c r="A149" s="1155"/>
      <c r="B149" s="936"/>
      <c r="F149" s="1156"/>
      <c r="K149" s="1157"/>
      <c r="L149" s="1157"/>
      <c r="M149" s="1157"/>
      <c r="X149" s="1343"/>
      <c r="AB149" s="1338"/>
      <c r="AC149" s="1343"/>
    </row>
    <row r="150" spans="1:29" s="1051" customFormat="1">
      <c r="A150" s="1155"/>
      <c r="B150" s="936"/>
      <c r="F150" s="1156"/>
      <c r="K150" s="1157"/>
      <c r="L150" s="1157"/>
      <c r="M150" s="1157"/>
      <c r="X150" s="1343"/>
      <c r="AB150" s="1338"/>
      <c r="AC150" s="1343"/>
    </row>
    <row r="151" spans="1:29" s="1051" customFormat="1">
      <c r="A151" s="1155"/>
      <c r="B151" s="936"/>
      <c r="F151" s="1156"/>
      <c r="K151" s="1157"/>
      <c r="L151" s="1157"/>
      <c r="M151" s="1157"/>
      <c r="X151" s="1343"/>
      <c r="AB151" s="1338"/>
      <c r="AC151" s="1343"/>
    </row>
    <row r="152" spans="1:29" s="1051" customFormat="1">
      <c r="A152" s="1155"/>
      <c r="B152" s="936"/>
      <c r="F152" s="1156"/>
      <c r="K152" s="1157"/>
      <c r="L152" s="1157"/>
      <c r="M152" s="1157"/>
      <c r="X152" s="1343"/>
      <c r="AB152" s="1338"/>
      <c r="AC152" s="1343"/>
    </row>
    <row r="153" spans="1:29" s="1051" customFormat="1">
      <c r="A153" s="1155"/>
      <c r="B153" s="936"/>
      <c r="F153" s="1156"/>
      <c r="K153" s="1157"/>
      <c r="L153" s="1157"/>
      <c r="M153" s="1157"/>
      <c r="X153" s="1343"/>
      <c r="AB153" s="1338"/>
      <c r="AC153" s="1343"/>
    </row>
    <row r="154" spans="1:29" s="1051" customFormat="1">
      <c r="A154" s="1155"/>
      <c r="B154" s="936"/>
      <c r="F154" s="1156"/>
      <c r="K154" s="1157"/>
      <c r="L154" s="1157"/>
      <c r="M154" s="1157"/>
      <c r="X154" s="1343"/>
      <c r="AB154" s="1338"/>
      <c r="AC154" s="1343"/>
    </row>
  </sheetData>
  <mergeCells count="1">
    <mergeCell ref="A1:B2"/>
  </mergeCells>
  <conditionalFormatting sqref="AA32:AA75 C74:M74 I71:O71 C72:F72 K5:W5 H72:N72 C73:N73 G61:O61 K47:O47 R71:W71 O72:W74 C75:W75 X64:Z75 Y63:Z63 X3:Z62 AA3:AA30 AF75 AB3:AE75 AF68:AF72 AG57:AG58 AF60:AF66 AF3:AF58 C3:W3 E4:W4 E6:W7 E5:I5 C4:D7 C8:W46 F48:O50 F47:I47 C47:E50 P47:W50 C51:W56 F57:O60 Q57:W70 P57:P71 F62:O70 F71:G71 C57:E71">
    <cfRule type="duplicateValues" dxfId="13" priority="19"/>
  </conditionalFormatting>
  <conditionalFormatting sqref="AF73:AG73">
    <cfRule type="duplicateValues" dxfId="12" priority="1"/>
  </conditionalFormatting>
  <pageMargins left="0.70866141732283472" right="0.70866141732283472" top="0.74803149606299213" bottom="0.74803149606299213" header="0.31496062992125984" footer="0.31496062992125984"/>
  <pageSetup paperSize="9" scale="10" fitToWidth="4" fitToHeight="2" orientation="portrait" horizontalDpi="4294967293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8"/>
  <sheetViews>
    <sheetView zoomScale="90" zoomScaleNormal="90" workbookViewId="0">
      <pane xSplit="2" ySplit="3" topLeftCell="C28" activePane="bottomRight" state="frozen"/>
      <selection activeCell="I20" sqref="I20"/>
      <selection pane="topRight" activeCell="I20" sqref="I20"/>
      <selection pane="bottomLeft" activeCell="I20" sqref="I20"/>
      <selection pane="bottomRight" activeCell="A57" sqref="A57"/>
    </sheetView>
  </sheetViews>
  <sheetFormatPr defaultColWidth="9.140625" defaultRowHeight="11.25"/>
  <cols>
    <col min="1" max="1" width="12.42578125" style="1537" customWidth="1"/>
    <col min="2" max="2" width="23.140625" style="1538" customWidth="1"/>
    <col min="3" max="3" width="12" style="1494" customWidth="1"/>
    <col min="4" max="4" width="12" style="1548" customWidth="1"/>
    <col min="5" max="9" width="12" style="1494" customWidth="1"/>
    <col min="10" max="10" width="12" style="1547" customWidth="1"/>
    <col min="11" max="16" width="12" style="1494" customWidth="1"/>
    <col min="17" max="17" width="12" style="1542" customWidth="1"/>
    <col min="18" max="18" width="9.140625" style="1500"/>
    <col min="19" max="19" width="23.85546875" style="1500" bestFit="1" customWidth="1"/>
    <col min="20" max="20" width="14.140625" style="1500" bestFit="1" customWidth="1"/>
    <col min="21" max="31" width="9.140625" style="1500"/>
    <col min="32" max="16384" width="9.140625" style="1501"/>
  </cols>
  <sheetData>
    <row r="1" spans="1:31" ht="18.75" customHeight="1">
      <c r="A1" s="1646"/>
      <c r="B1" s="1647"/>
      <c r="C1" s="1666" t="s">
        <v>46</v>
      </c>
      <c r="D1" s="1667"/>
      <c r="E1" s="1668"/>
      <c r="F1" s="1666" t="s">
        <v>96</v>
      </c>
      <c r="G1" s="1667"/>
      <c r="H1" s="1667"/>
      <c r="I1" s="1667"/>
      <c r="J1" s="1667"/>
      <c r="K1" s="1667"/>
      <c r="L1" s="1668"/>
      <c r="M1" s="1666" t="s">
        <v>2744</v>
      </c>
      <c r="N1" s="1667"/>
      <c r="O1" s="1668"/>
      <c r="P1" s="1659" t="s">
        <v>2730</v>
      </c>
      <c r="Q1" s="1661" t="s">
        <v>1211</v>
      </c>
    </row>
    <row r="2" spans="1:31">
      <c r="A2" s="1648"/>
      <c r="B2" s="1649"/>
      <c r="C2" s="1456" t="s">
        <v>44</v>
      </c>
      <c r="D2" s="1502" t="s">
        <v>47</v>
      </c>
      <c r="E2" s="1457" t="s">
        <v>2720</v>
      </c>
      <c r="F2" s="1456" t="s">
        <v>93</v>
      </c>
      <c r="G2" s="1457" t="s">
        <v>97</v>
      </c>
      <c r="H2" s="1457" t="s">
        <v>99</v>
      </c>
      <c r="I2" s="1457" t="s">
        <v>106</v>
      </c>
      <c r="J2" s="1503" t="s">
        <v>112</v>
      </c>
      <c r="K2" s="1457" t="s">
        <v>2723</v>
      </c>
      <c r="L2" s="1457" t="s">
        <v>2725</v>
      </c>
      <c r="M2" s="1456" t="s">
        <v>122</v>
      </c>
      <c r="N2" s="1457" t="s">
        <v>2727</v>
      </c>
      <c r="O2" s="1457" t="s">
        <v>127</v>
      </c>
      <c r="P2" s="1660"/>
      <c r="Q2" s="1662"/>
    </row>
    <row r="3" spans="1:31" ht="71.25" customHeight="1">
      <c r="A3" s="1650"/>
      <c r="B3" s="1651"/>
      <c r="C3" s="1456" t="s">
        <v>795</v>
      </c>
      <c r="D3" s="1502" t="s">
        <v>48</v>
      </c>
      <c r="E3" s="1504" t="s">
        <v>2721</v>
      </c>
      <c r="F3" s="1456" t="s">
        <v>94</v>
      </c>
      <c r="G3" s="1457" t="s">
        <v>98</v>
      </c>
      <c r="H3" s="1457" t="s">
        <v>2722</v>
      </c>
      <c r="I3" s="1457" t="s">
        <v>798</v>
      </c>
      <c r="J3" s="1503" t="s">
        <v>113</v>
      </c>
      <c r="K3" s="1457" t="s">
        <v>2724</v>
      </c>
      <c r="L3" s="1457" t="s">
        <v>2726</v>
      </c>
      <c r="M3" s="1456" t="s">
        <v>802</v>
      </c>
      <c r="N3" s="1457" t="s">
        <v>2728</v>
      </c>
      <c r="O3" s="1505" t="s">
        <v>2733</v>
      </c>
      <c r="P3" s="1506" t="s">
        <v>2731</v>
      </c>
      <c r="Q3" s="1663"/>
    </row>
    <row r="4" spans="1:31" s="1512" customFormat="1" ht="22.5">
      <c r="A4" s="1507" t="s">
        <v>2745</v>
      </c>
      <c r="B4" s="1508" t="s">
        <v>2746</v>
      </c>
      <c r="C4" s="1509">
        <f t="shared" ref="C4:Q4" si="0">C5+C6</f>
        <v>484213150.02464592</v>
      </c>
      <c r="D4" s="1510">
        <f t="shared" si="0"/>
        <v>484213150.02464592</v>
      </c>
      <c r="E4" s="1509"/>
      <c r="F4" s="1509">
        <f t="shared" ref="F4:G4" si="1">F5+F6</f>
        <v>24058260</v>
      </c>
      <c r="G4" s="1509">
        <f t="shared" si="1"/>
        <v>10216773</v>
      </c>
      <c r="H4" s="1509"/>
      <c r="I4" s="1509">
        <f>I5+I6</f>
        <v>13841487</v>
      </c>
      <c r="J4" s="1509">
        <f t="shared" ref="J4" si="2">J5+J6</f>
        <v>114799935.406</v>
      </c>
      <c r="K4" s="1509"/>
      <c r="L4" s="1509"/>
      <c r="M4" s="1509">
        <f t="shared" ref="M4:O4" si="3">M5+M6</f>
        <v>22131</v>
      </c>
      <c r="N4" s="1509"/>
      <c r="O4" s="1509">
        <f t="shared" si="3"/>
        <v>22131</v>
      </c>
      <c r="P4" s="1509"/>
      <c r="Q4" s="1509">
        <f t="shared" si="0"/>
        <v>623093476.43064594</v>
      </c>
      <c r="R4" s="1511"/>
      <c r="S4" s="1511"/>
      <c r="T4" s="1511"/>
      <c r="U4" s="1511"/>
      <c r="V4" s="1511"/>
      <c r="W4" s="1511"/>
      <c r="X4" s="1511"/>
      <c r="Y4" s="1511"/>
      <c r="Z4" s="1511"/>
      <c r="AA4" s="1511"/>
      <c r="AB4" s="1511"/>
      <c r="AC4" s="1511"/>
      <c r="AD4" s="1511"/>
      <c r="AE4" s="1511"/>
    </row>
    <row r="5" spans="1:31" s="1518" customFormat="1">
      <c r="A5" s="1513" t="s">
        <v>136</v>
      </c>
      <c r="B5" s="1513" t="s">
        <v>137</v>
      </c>
      <c r="C5" s="1514">
        <f>D5+E5</f>
        <v>478905275.02464592</v>
      </c>
      <c r="D5" s="1515">
        <f>D8+D11+D14</f>
        <v>478905275.02464592</v>
      </c>
      <c r="E5" s="1514"/>
      <c r="F5" s="1514">
        <f>I5+G5+H5</f>
        <v>24058260</v>
      </c>
      <c r="G5" s="1514">
        <f>G8+G11+G14</f>
        <v>10216773</v>
      </c>
      <c r="H5" s="1514"/>
      <c r="I5" s="1514">
        <f>I8+I11+I14</f>
        <v>13841487</v>
      </c>
      <c r="J5" s="1514">
        <f>J8+J14</f>
        <v>114799935.406</v>
      </c>
      <c r="K5" s="1514"/>
      <c r="L5" s="1514"/>
      <c r="M5" s="1514">
        <f>O5</f>
        <v>22131</v>
      </c>
      <c r="N5" s="1514"/>
      <c r="O5" s="1514">
        <f>O8+O11+O14</f>
        <v>22131</v>
      </c>
      <c r="P5" s="1514"/>
      <c r="Q5" s="1514">
        <f>C5+F5+J5+M5+P5</f>
        <v>617785601.43064594</v>
      </c>
      <c r="R5" s="1516"/>
      <c r="S5" s="1517"/>
      <c r="T5" s="1516"/>
      <c r="U5" s="1516"/>
      <c r="V5" s="1516"/>
      <c r="W5" s="1516"/>
      <c r="X5" s="1516"/>
      <c r="Y5" s="1516"/>
      <c r="Z5" s="1516"/>
      <c r="AA5" s="1516"/>
      <c r="AB5" s="1516"/>
      <c r="AC5" s="1516"/>
      <c r="AD5" s="1516"/>
      <c r="AE5" s="1516"/>
    </row>
    <row r="6" spans="1:31" s="1518" customFormat="1">
      <c r="A6" s="1513" t="s">
        <v>162</v>
      </c>
      <c r="B6" s="1513" t="s">
        <v>163</v>
      </c>
      <c r="C6" s="1514">
        <f>D6+E6</f>
        <v>5307875</v>
      </c>
      <c r="D6" s="1515">
        <f>D9+D12+D19+D22</f>
        <v>5307875</v>
      </c>
      <c r="E6" s="1514"/>
      <c r="F6" s="1514">
        <f>I6+G6+H6</f>
        <v>0</v>
      </c>
      <c r="G6" s="1514"/>
      <c r="H6" s="1514"/>
      <c r="I6" s="1514">
        <f>I9+I12+I19+I22</f>
        <v>0</v>
      </c>
      <c r="J6" s="1514">
        <f>J9</f>
        <v>0</v>
      </c>
      <c r="K6" s="1514"/>
      <c r="L6" s="1514"/>
      <c r="M6" s="1514"/>
      <c r="N6" s="1514"/>
      <c r="O6" s="1514"/>
      <c r="P6" s="1514"/>
      <c r="Q6" s="1514">
        <f>C6+F6+J6+M6+P6</f>
        <v>5307875</v>
      </c>
      <c r="R6" s="1516"/>
      <c r="S6" s="1516"/>
      <c r="T6" s="1516"/>
      <c r="U6" s="1516"/>
      <c r="V6" s="1516"/>
      <c r="W6" s="1516"/>
      <c r="X6" s="1516"/>
      <c r="Y6" s="1516"/>
      <c r="Z6" s="1516"/>
      <c r="AA6" s="1516"/>
      <c r="AB6" s="1516"/>
      <c r="AC6" s="1516"/>
      <c r="AD6" s="1516"/>
      <c r="AE6" s="1516"/>
    </row>
    <row r="7" spans="1:31" s="1518" customFormat="1" ht="33.75">
      <c r="A7" s="1507" t="s">
        <v>2747</v>
      </c>
      <c r="B7" s="1508" t="s">
        <v>2748</v>
      </c>
      <c r="C7" s="1509">
        <f t="shared" ref="C7:Q7" si="4">C8+C9</f>
        <v>318893832.33487129</v>
      </c>
      <c r="D7" s="1519">
        <f t="shared" si="4"/>
        <v>318893832.33487129</v>
      </c>
      <c r="E7" s="1520"/>
      <c r="F7" s="1509">
        <f t="shared" ref="F7:I7" si="5">F8+F9</f>
        <v>7616713</v>
      </c>
      <c r="G7" s="1520"/>
      <c r="H7" s="1520"/>
      <c r="I7" s="1520">
        <f t="shared" si="5"/>
        <v>7616713</v>
      </c>
      <c r="J7" s="1520">
        <f>J8+J9</f>
        <v>33167191.796</v>
      </c>
      <c r="K7" s="1520"/>
      <c r="L7" s="1520"/>
      <c r="M7" s="1509">
        <f t="shared" ref="M7:O7" si="6">M8+M9</f>
        <v>22131</v>
      </c>
      <c r="N7" s="1520"/>
      <c r="O7" s="1520">
        <f t="shared" si="6"/>
        <v>22131</v>
      </c>
      <c r="P7" s="1509"/>
      <c r="Q7" s="1509">
        <f t="shared" si="4"/>
        <v>359699868.1308713</v>
      </c>
      <c r="R7" s="1516"/>
      <c r="S7" s="1516"/>
      <c r="T7" s="1516"/>
      <c r="U7" s="1516"/>
      <c r="V7" s="1516"/>
      <c r="W7" s="1516"/>
      <c r="X7" s="1516"/>
      <c r="Y7" s="1516"/>
      <c r="Z7" s="1516"/>
      <c r="AA7" s="1516"/>
      <c r="AB7" s="1516"/>
      <c r="AC7" s="1516"/>
      <c r="AD7" s="1516"/>
      <c r="AE7" s="1516"/>
    </row>
    <row r="8" spans="1:31" s="1527" customFormat="1" ht="22.5">
      <c r="A8" s="1521" t="s">
        <v>138</v>
      </c>
      <c r="B8" s="1522" t="s">
        <v>139</v>
      </c>
      <c r="C8" s="1514">
        <f>D8+E8</f>
        <v>313585957.33487129</v>
      </c>
      <c r="D8" s="1523">
        <f>'[4]HF-HC '!D5</f>
        <v>313585957.33487129</v>
      </c>
      <c r="E8" s="1524"/>
      <c r="F8" s="1514">
        <f>I8+G8+H8</f>
        <v>7616713</v>
      </c>
      <c r="G8" s="1524"/>
      <c r="H8" s="1524"/>
      <c r="I8" s="1524">
        <f>'HF-HC '!AA5</f>
        <v>7616713</v>
      </c>
      <c r="J8" s="1524">
        <f>ОУ2012!D6+ОДХ!C11/1000</f>
        <v>33167191.796</v>
      </c>
      <c r="K8" s="1524"/>
      <c r="L8" s="1524"/>
      <c r="M8" s="1514">
        <f>O8</f>
        <v>22131</v>
      </c>
      <c r="N8" s="1524"/>
      <c r="O8" s="1524">
        <f>'HF-HC '!AH6</f>
        <v>22131</v>
      </c>
      <c r="P8" s="1514"/>
      <c r="Q8" s="1514">
        <f>C8+F8+J8+M8+P8</f>
        <v>354391993.1308713</v>
      </c>
      <c r="R8" s="1525"/>
      <c r="S8" s="1526"/>
      <c r="T8" s="1525"/>
      <c r="U8" s="1525"/>
      <c r="V8" s="1525"/>
      <c r="W8" s="1525"/>
      <c r="X8" s="1525"/>
      <c r="Y8" s="1525"/>
      <c r="Z8" s="1525"/>
      <c r="AA8" s="1525"/>
      <c r="AB8" s="1525"/>
      <c r="AC8" s="1525"/>
      <c r="AD8" s="1525"/>
      <c r="AE8" s="1525"/>
    </row>
    <row r="9" spans="1:31" s="1527" customFormat="1" ht="22.5">
      <c r="A9" s="1521" t="s">
        <v>164</v>
      </c>
      <c r="B9" s="1522" t="s">
        <v>165</v>
      </c>
      <c r="C9" s="1514">
        <f>D9+E9</f>
        <v>5307875</v>
      </c>
      <c r="D9" s="1528">
        <f>'[4]HF-HC '!D17</f>
        <v>5307875</v>
      </c>
      <c r="E9" s="1524"/>
      <c r="F9" s="1514">
        <f>I9+G9+H9</f>
        <v>0</v>
      </c>
      <c r="G9" s="1524"/>
      <c r="H9" s="1524"/>
      <c r="I9" s="1524">
        <f>'HF-HC '!Y18</f>
        <v>0</v>
      </c>
      <c r="J9" s="1524"/>
      <c r="K9" s="1524"/>
      <c r="L9" s="1524"/>
      <c r="M9" s="1514"/>
      <c r="N9" s="1524"/>
      <c r="O9" s="1524"/>
      <c r="P9" s="1514"/>
      <c r="Q9" s="1514">
        <f>C9+F9+J9+M9+P9</f>
        <v>5307875</v>
      </c>
      <c r="R9" s="1525"/>
      <c r="S9" s="1525"/>
      <c r="T9" s="1525"/>
      <c r="U9" s="1525"/>
      <c r="V9" s="1525"/>
      <c r="W9" s="1525"/>
      <c r="X9" s="1525"/>
      <c r="Y9" s="1525"/>
      <c r="Z9" s="1525"/>
      <c r="AA9" s="1525"/>
      <c r="AB9" s="1525"/>
      <c r="AC9" s="1525"/>
      <c r="AD9" s="1525"/>
      <c r="AE9" s="1525"/>
    </row>
    <row r="10" spans="1:31" s="1527" customFormat="1" ht="22.5">
      <c r="A10" s="1507" t="s">
        <v>2749</v>
      </c>
      <c r="B10" s="1508" t="s">
        <v>2750</v>
      </c>
      <c r="C10" s="1509">
        <f t="shared" ref="C10:Q10" si="7">C11+C12</f>
        <v>20586158.889774613</v>
      </c>
      <c r="D10" s="1519">
        <f t="shared" si="7"/>
        <v>20586158.889774613</v>
      </c>
      <c r="E10" s="1520"/>
      <c r="F10" s="1509"/>
      <c r="G10" s="1520"/>
      <c r="H10" s="1520"/>
      <c r="I10" s="1520"/>
      <c r="J10" s="1520"/>
      <c r="K10" s="1520"/>
      <c r="L10" s="1520"/>
      <c r="M10" s="1509"/>
      <c r="N10" s="1520"/>
      <c r="O10" s="1520"/>
      <c r="P10" s="1509"/>
      <c r="Q10" s="1509">
        <f t="shared" si="7"/>
        <v>20586158.889774613</v>
      </c>
      <c r="R10" s="1525"/>
      <c r="S10" s="1525"/>
      <c r="T10" s="1525"/>
      <c r="U10" s="1525"/>
      <c r="V10" s="1525"/>
      <c r="W10" s="1525"/>
      <c r="X10" s="1525"/>
      <c r="Y10" s="1525"/>
      <c r="Z10" s="1525"/>
      <c r="AA10" s="1525"/>
      <c r="AB10" s="1525"/>
      <c r="AC10" s="1525"/>
      <c r="AD10" s="1525"/>
      <c r="AE10" s="1525"/>
    </row>
    <row r="11" spans="1:31" s="1527" customFormat="1" ht="22.5">
      <c r="A11" s="1521" t="s">
        <v>144</v>
      </c>
      <c r="B11" s="1522" t="s">
        <v>145</v>
      </c>
      <c r="C11" s="1514">
        <f>D11+E11</f>
        <v>20586158.889774613</v>
      </c>
      <c r="D11" s="1523">
        <f>'[4]HF-HC '!D8</f>
        <v>20586158.889774613</v>
      </c>
      <c r="E11" s="1524"/>
      <c r="F11" s="1514"/>
      <c r="G11" s="1524"/>
      <c r="H11" s="1524"/>
      <c r="I11" s="1524"/>
      <c r="J11" s="1524"/>
      <c r="K11" s="1524"/>
      <c r="L11" s="1524"/>
      <c r="M11" s="1514"/>
      <c r="N11" s="1524"/>
      <c r="O11" s="1524"/>
      <c r="P11" s="1514"/>
      <c r="Q11" s="1514">
        <f>C11+F11+J11+M11+P11</f>
        <v>20586158.889774613</v>
      </c>
      <c r="R11" s="1525"/>
      <c r="S11" s="1525"/>
      <c r="T11" s="1525"/>
      <c r="U11" s="1525"/>
      <c r="V11" s="1525"/>
      <c r="W11" s="1525"/>
      <c r="X11" s="1525"/>
      <c r="Y11" s="1525"/>
      <c r="Z11" s="1525"/>
      <c r="AA11" s="1525"/>
      <c r="AB11" s="1525"/>
      <c r="AC11" s="1525"/>
      <c r="AD11" s="1525"/>
      <c r="AE11" s="1525"/>
    </row>
    <row r="12" spans="1:31" s="1527" customFormat="1" ht="22.5">
      <c r="A12" s="1521" t="s">
        <v>166</v>
      </c>
      <c r="B12" s="1522" t="s">
        <v>2751</v>
      </c>
      <c r="C12" s="1514"/>
      <c r="D12" s="1523"/>
      <c r="E12" s="1524"/>
      <c r="F12" s="1514"/>
      <c r="G12" s="1524"/>
      <c r="H12" s="1524"/>
      <c r="I12" s="1524"/>
      <c r="J12" s="1524"/>
      <c r="K12" s="1524"/>
      <c r="L12" s="1524"/>
      <c r="M12" s="1514"/>
      <c r="N12" s="1524"/>
      <c r="O12" s="1524"/>
      <c r="P12" s="1514"/>
      <c r="Q12" s="1514"/>
      <c r="R12" s="1525"/>
      <c r="S12" s="1525"/>
      <c r="T12" s="1525"/>
      <c r="U12" s="1525"/>
      <c r="V12" s="1525"/>
      <c r="W12" s="1525"/>
      <c r="X12" s="1525"/>
      <c r="Y12" s="1525"/>
      <c r="Z12" s="1525"/>
      <c r="AA12" s="1525"/>
      <c r="AB12" s="1525"/>
      <c r="AC12" s="1525"/>
      <c r="AD12" s="1525"/>
      <c r="AE12" s="1525"/>
    </row>
    <row r="13" spans="1:31" s="1527" customFormat="1" ht="22.5">
      <c r="A13" s="1507" t="s">
        <v>2752</v>
      </c>
      <c r="B13" s="1508" t="s">
        <v>2753</v>
      </c>
      <c r="C13" s="1509">
        <f t="shared" ref="C13:Q13" si="8">C14+C19</f>
        <v>144733158.80000001</v>
      </c>
      <c r="D13" s="1519">
        <f>D14+D19</f>
        <v>144733158.80000001</v>
      </c>
      <c r="E13" s="1520"/>
      <c r="F13" s="1509">
        <f>F14+F19</f>
        <v>16441547</v>
      </c>
      <c r="G13" s="1520">
        <f t="shared" ref="G13:J13" si="9">G14+G19</f>
        <v>10216773</v>
      </c>
      <c r="H13" s="1520"/>
      <c r="I13" s="1520">
        <f t="shared" si="9"/>
        <v>6224774</v>
      </c>
      <c r="J13" s="1520">
        <f t="shared" si="9"/>
        <v>81632743.609999999</v>
      </c>
      <c r="K13" s="1520"/>
      <c r="L13" s="1520"/>
      <c r="M13" s="1509"/>
      <c r="N13" s="1520"/>
      <c r="O13" s="1520"/>
      <c r="P13" s="1509"/>
      <c r="Q13" s="1509">
        <f t="shared" si="8"/>
        <v>242807449.41000003</v>
      </c>
      <c r="R13" s="1525"/>
      <c r="S13" s="1525"/>
      <c r="T13" s="1525"/>
      <c r="U13" s="1525"/>
      <c r="V13" s="1525"/>
      <c r="W13" s="1525"/>
      <c r="X13" s="1525"/>
      <c r="Y13" s="1525"/>
      <c r="Z13" s="1525"/>
      <c r="AA13" s="1525"/>
      <c r="AB13" s="1525"/>
      <c r="AC13" s="1525"/>
      <c r="AD13" s="1525"/>
      <c r="AE13" s="1525"/>
    </row>
    <row r="14" spans="1:31" s="1527" customFormat="1">
      <c r="A14" s="1521" t="s">
        <v>150</v>
      </c>
      <c r="B14" s="1522" t="s">
        <v>151</v>
      </c>
      <c r="C14" s="1514">
        <f t="shared" ref="C14:C17" si="10">D14+E14</f>
        <v>144733158.80000001</v>
      </c>
      <c r="D14" s="1523">
        <f>D15+D16+D18</f>
        <v>144733158.80000001</v>
      </c>
      <c r="E14" s="1524"/>
      <c r="F14" s="1514">
        <f>I14+G14+H14</f>
        <v>16441547</v>
      </c>
      <c r="G14" s="1524">
        <f>G15+G16+G17+G18+'АФН страх'!T24</f>
        <v>10216773</v>
      </c>
      <c r="H14" s="1524"/>
      <c r="I14" s="1524">
        <f>I15+I16+I17+I18-'АФН страх'!T24</f>
        <v>6224774</v>
      </c>
      <c r="J14" s="1524">
        <f>J15+J16+J17+J18</f>
        <v>81632743.609999999</v>
      </c>
      <c r="K14" s="1524"/>
      <c r="L14" s="1524"/>
      <c r="M14" s="1514"/>
      <c r="N14" s="1524"/>
      <c r="O14" s="1524"/>
      <c r="P14" s="1514"/>
      <c r="Q14" s="1514">
        <f>C14+F14+J14+M14+P14</f>
        <v>242807449.41000003</v>
      </c>
      <c r="R14" s="1529"/>
      <c r="S14" s="1525"/>
      <c r="T14" s="1525"/>
      <c r="U14" s="1525"/>
      <c r="V14" s="1525"/>
      <c r="W14" s="1525"/>
      <c r="X14" s="1525"/>
      <c r="Y14" s="1525"/>
      <c r="Z14" s="1525"/>
      <c r="AA14" s="1525"/>
      <c r="AB14" s="1525"/>
      <c r="AC14" s="1525"/>
      <c r="AD14" s="1525"/>
      <c r="AE14" s="1525"/>
    </row>
    <row r="15" spans="1:31" s="1527" customFormat="1" ht="22.5">
      <c r="A15" s="1530" t="s">
        <v>152</v>
      </c>
      <c r="B15" s="1531" t="s">
        <v>153</v>
      </c>
      <c r="C15" s="1514">
        <f t="shared" si="10"/>
        <v>144733158.80000001</v>
      </c>
      <c r="D15" s="1532">
        <f>'[4]HF-HC '!D12</f>
        <v>144733158.80000001</v>
      </c>
      <c r="E15" s="1533"/>
      <c r="F15" s="1514">
        <f>I15+G15+H15</f>
        <v>11331515</v>
      </c>
      <c r="G15" s="1533"/>
      <c r="H15" s="1533"/>
      <c r="I15" s="1533">
        <f>'Соцфин 9.1'!F14</f>
        <v>11331515</v>
      </c>
      <c r="J15" s="1533">
        <f>ОУ2012!D7</f>
        <v>15851619</v>
      </c>
      <c r="K15" s="1533"/>
      <c r="L15" s="1533"/>
      <c r="M15" s="1514"/>
      <c r="N15" s="1533"/>
      <c r="O15" s="1533"/>
      <c r="P15" s="1514"/>
      <c r="Q15" s="1514">
        <f>C15+F15+J15+M15+P15</f>
        <v>171916292.80000001</v>
      </c>
      <c r="R15" s="1525"/>
      <c r="S15" s="1525"/>
      <c r="T15" s="1525"/>
      <c r="U15" s="1525"/>
      <c r="V15" s="1525"/>
      <c r="W15" s="1525"/>
      <c r="X15" s="1525"/>
      <c r="Y15" s="1525"/>
      <c r="Z15" s="1525"/>
      <c r="AA15" s="1525"/>
      <c r="AB15" s="1525"/>
      <c r="AC15" s="1525"/>
      <c r="AD15" s="1525"/>
      <c r="AE15" s="1525"/>
    </row>
    <row r="16" spans="1:31" s="1527" customFormat="1" ht="22.5">
      <c r="A16" s="1530" t="s">
        <v>154</v>
      </c>
      <c r="B16" s="1531" t="s">
        <v>155</v>
      </c>
      <c r="C16" s="1514"/>
      <c r="D16" s="1532"/>
      <c r="E16" s="1533"/>
      <c r="F16" s="1514">
        <f>I16+G16+H16</f>
        <v>1814689</v>
      </c>
      <c r="G16" s="1533"/>
      <c r="H16" s="1533"/>
      <c r="I16" s="1533">
        <f>'HF-HC '!AA13</f>
        <v>1814689</v>
      </c>
      <c r="J16" s="1533">
        <f>ОУ2012!D9</f>
        <v>9259328</v>
      </c>
      <c r="K16" s="1533"/>
      <c r="L16" s="1533"/>
      <c r="M16" s="1514"/>
      <c r="N16" s="1533"/>
      <c r="O16" s="1533"/>
      <c r="P16" s="1514"/>
      <c r="Q16" s="1514">
        <f>C16+F16+J16+M16+P16</f>
        <v>11074017</v>
      </c>
      <c r="R16" s="1525"/>
      <c r="S16" s="1525"/>
      <c r="T16" s="1525"/>
      <c r="U16" s="1525"/>
      <c r="V16" s="1525"/>
      <c r="W16" s="1525"/>
      <c r="X16" s="1525"/>
      <c r="Y16" s="1525"/>
      <c r="Z16" s="1525"/>
      <c r="AA16" s="1525"/>
      <c r="AB16" s="1525"/>
      <c r="AC16" s="1525"/>
      <c r="AD16" s="1525"/>
      <c r="AE16" s="1525"/>
    </row>
    <row r="17" spans="1:31" s="1527" customFormat="1" ht="22.5">
      <c r="A17" s="1530" t="s">
        <v>156</v>
      </c>
      <c r="B17" s="1531" t="s">
        <v>157</v>
      </c>
      <c r="C17" s="1514">
        <f t="shared" si="10"/>
        <v>0</v>
      </c>
      <c r="D17" s="1532"/>
      <c r="E17" s="1533"/>
      <c r="F17" s="1514">
        <f>I17+G17+H17</f>
        <v>3295343</v>
      </c>
      <c r="G17" s="1533"/>
      <c r="H17" s="1533"/>
      <c r="I17" s="1533">
        <f>'Соцфин 9.1'!F15</f>
        <v>3295343</v>
      </c>
      <c r="J17" s="1533">
        <f>ОУ2012!D8</f>
        <v>4810270</v>
      </c>
      <c r="K17" s="1533"/>
      <c r="L17" s="1533"/>
      <c r="M17" s="1514"/>
      <c r="N17" s="1533"/>
      <c r="O17" s="1533"/>
      <c r="P17" s="1514"/>
      <c r="Q17" s="1514">
        <f>C17+F17+J17+M17+P17</f>
        <v>8105613</v>
      </c>
      <c r="R17" s="1525"/>
      <c r="S17" s="1525"/>
      <c r="T17" s="1525"/>
      <c r="U17" s="1525"/>
      <c r="V17" s="1525"/>
      <c r="W17" s="1525"/>
      <c r="X17" s="1525"/>
      <c r="Y17" s="1525"/>
      <c r="Z17" s="1525"/>
      <c r="AA17" s="1525"/>
      <c r="AB17" s="1525"/>
      <c r="AC17" s="1525"/>
      <c r="AD17" s="1525"/>
      <c r="AE17" s="1525"/>
    </row>
    <row r="18" spans="1:31" s="1527" customFormat="1" ht="33.75">
      <c r="A18" s="1530" t="s">
        <v>2754</v>
      </c>
      <c r="B18" s="1531" t="s">
        <v>2755</v>
      </c>
      <c r="C18" s="1514"/>
      <c r="D18" s="1532"/>
      <c r="E18" s="1533"/>
      <c r="F18" s="1514">
        <f>I18+G18+H18</f>
        <v>0</v>
      </c>
      <c r="G18" s="1533"/>
      <c r="H18" s="1533"/>
      <c r="I18" s="1533"/>
      <c r="J18" s="1533">
        <f>ОУ2012!D10+ОДХ!C8/1000</f>
        <v>51711526.609999999</v>
      </c>
      <c r="K18" s="1533"/>
      <c r="L18" s="1533"/>
      <c r="M18" s="1514"/>
      <c r="N18" s="1533"/>
      <c r="O18" s="1533"/>
      <c r="P18" s="1514"/>
      <c r="Q18" s="1514">
        <f>C18+F18+J18+M18+P18</f>
        <v>51711526.609999999</v>
      </c>
      <c r="R18" s="1525"/>
      <c r="S18" s="1525"/>
      <c r="T18" s="1525"/>
      <c r="U18" s="1525"/>
      <c r="V18" s="1525"/>
      <c r="W18" s="1525"/>
      <c r="X18" s="1525"/>
      <c r="Y18" s="1525"/>
      <c r="Z18" s="1525"/>
      <c r="AA18" s="1525"/>
      <c r="AB18" s="1525"/>
      <c r="AC18" s="1525"/>
      <c r="AD18" s="1525"/>
      <c r="AE18" s="1525"/>
    </row>
    <row r="19" spans="1:31" s="1527" customFormat="1" ht="22.5">
      <c r="A19" s="1521" t="s">
        <v>168</v>
      </c>
      <c r="B19" s="1522" t="s">
        <v>2756</v>
      </c>
      <c r="C19" s="1514"/>
      <c r="D19" s="1523"/>
      <c r="E19" s="1524"/>
      <c r="F19" s="1514"/>
      <c r="G19" s="1524"/>
      <c r="H19" s="1524"/>
      <c r="I19" s="1524"/>
      <c r="J19" s="1524"/>
      <c r="K19" s="1524"/>
      <c r="L19" s="1524"/>
      <c r="M19" s="1514"/>
      <c r="N19" s="1524"/>
      <c r="O19" s="1524"/>
      <c r="P19" s="1514"/>
      <c r="Q19" s="1514"/>
      <c r="R19" s="1525"/>
      <c r="S19" s="1525"/>
      <c r="T19" s="1525"/>
      <c r="U19" s="1525"/>
      <c r="V19" s="1525"/>
      <c r="W19" s="1525"/>
      <c r="X19" s="1525"/>
      <c r="Y19" s="1525"/>
      <c r="Z19" s="1525"/>
      <c r="AA19" s="1525"/>
      <c r="AB19" s="1525"/>
      <c r="AC19" s="1525"/>
      <c r="AD19" s="1525"/>
      <c r="AE19" s="1525"/>
    </row>
    <row r="20" spans="1:31" s="1527" customFormat="1" ht="22.5">
      <c r="A20" s="1507" t="s">
        <v>2757</v>
      </c>
      <c r="B20" s="1508" t="s">
        <v>2758</v>
      </c>
      <c r="C20" s="1509"/>
      <c r="D20" s="1519"/>
      <c r="E20" s="1520"/>
      <c r="F20" s="1509"/>
      <c r="G20" s="1520"/>
      <c r="H20" s="1520"/>
      <c r="I20" s="1520"/>
      <c r="J20" s="1520"/>
      <c r="K20" s="1520"/>
      <c r="L20" s="1520"/>
      <c r="M20" s="1509"/>
      <c r="N20" s="1520"/>
      <c r="O20" s="1520"/>
      <c r="P20" s="1509"/>
      <c r="Q20" s="1509"/>
      <c r="R20" s="1525"/>
      <c r="S20" s="1525"/>
      <c r="T20" s="1525"/>
      <c r="U20" s="1525"/>
      <c r="V20" s="1525"/>
      <c r="W20" s="1525"/>
      <c r="X20" s="1525"/>
      <c r="Y20" s="1525"/>
      <c r="Z20" s="1525"/>
      <c r="AA20" s="1525"/>
      <c r="AB20" s="1525"/>
      <c r="AC20" s="1525"/>
      <c r="AD20" s="1525"/>
      <c r="AE20" s="1525"/>
    </row>
    <row r="21" spans="1:31" s="1527" customFormat="1">
      <c r="A21" s="1521" t="s">
        <v>2759</v>
      </c>
      <c r="B21" s="1522" t="s">
        <v>2760</v>
      </c>
      <c r="C21" s="1514"/>
      <c r="D21" s="1532"/>
      <c r="E21" s="1524"/>
      <c r="F21" s="1514"/>
      <c r="G21" s="1524"/>
      <c r="H21" s="1524"/>
      <c r="I21" s="1524"/>
      <c r="J21" s="1524"/>
      <c r="K21" s="1524"/>
      <c r="L21" s="1524"/>
      <c r="M21" s="1514"/>
      <c r="N21" s="1524"/>
      <c r="O21" s="1524"/>
      <c r="P21" s="1514"/>
      <c r="Q21" s="1514"/>
      <c r="R21" s="1525"/>
      <c r="S21" s="1525"/>
      <c r="T21" s="1525"/>
      <c r="U21" s="1525"/>
      <c r="V21" s="1525"/>
      <c r="W21" s="1525"/>
      <c r="X21" s="1525"/>
      <c r="Y21" s="1525"/>
      <c r="Z21" s="1525"/>
      <c r="AA21" s="1525"/>
      <c r="AB21" s="1525"/>
      <c r="AC21" s="1525"/>
      <c r="AD21" s="1525"/>
      <c r="AE21" s="1525"/>
    </row>
    <row r="22" spans="1:31" s="1527" customFormat="1" ht="22.5">
      <c r="A22" s="1521" t="s">
        <v>170</v>
      </c>
      <c r="B22" s="1522" t="s">
        <v>2761</v>
      </c>
      <c r="C22" s="1514"/>
      <c r="D22" s="1532"/>
      <c r="E22" s="1524"/>
      <c r="F22" s="1514"/>
      <c r="G22" s="1524"/>
      <c r="H22" s="1524"/>
      <c r="I22" s="1524"/>
      <c r="J22" s="1524"/>
      <c r="K22" s="1524"/>
      <c r="L22" s="1524"/>
      <c r="M22" s="1514"/>
      <c r="N22" s="1524"/>
      <c r="O22" s="1524"/>
      <c r="P22" s="1514"/>
      <c r="Q22" s="1514"/>
      <c r="R22" s="1525"/>
      <c r="S22" s="1525"/>
      <c r="T22" s="1525"/>
      <c r="U22" s="1525"/>
      <c r="V22" s="1525"/>
      <c r="W22" s="1525"/>
      <c r="X22" s="1525"/>
      <c r="Y22" s="1525"/>
      <c r="Z22" s="1525"/>
      <c r="AA22" s="1525"/>
      <c r="AB22" s="1525"/>
      <c r="AC22" s="1525"/>
      <c r="AD22" s="1525"/>
      <c r="AE22" s="1525"/>
    </row>
    <row r="23" spans="1:31" s="1518" customFormat="1" ht="22.5">
      <c r="A23" s="1513" t="s">
        <v>172</v>
      </c>
      <c r="B23" s="1513" t="s">
        <v>173</v>
      </c>
      <c r="C23" s="1514">
        <f t="shared" ref="C23:C49" si="11">D23+E23</f>
        <v>0</v>
      </c>
      <c r="D23" s="1515"/>
      <c r="E23" s="1514"/>
      <c r="F23" s="1514"/>
      <c r="G23" s="1514"/>
      <c r="H23" s="1514"/>
      <c r="I23" s="1514"/>
      <c r="J23" s="1514">
        <f>J24</f>
        <v>126175</v>
      </c>
      <c r="K23" s="1514"/>
      <c r="L23" s="1514"/>
      <c r="M23" s="1514"/>
      <c r="N23" s="1514"/>
      <c r="O23" s="1514"/>
      <c r="P23" s="1514"/>
      <c r="Q23" s="1514">
        <f>C23+F23+J23+M23+P23</f>
        <v>126175</v>
      </c>
      <c r="R23" s="1516"/>
      <c r="S23" s="1516"/>
      <c r="T23" s="1516"/>
      <c r="U23" s="1516"/>
      <c r="V23" s="1516"/>
      <c r="W23" s="1516"/>
      <c r="X23" s="1516"/>
      <c r="Y23" s="1516"/>
      <c r="Z23" s="1516"/>
      <c r="AA23" s="1516"/>
      <c r="AB23" s="1516"/>
      <c r="AC23" s="1516"/>
      <c r="AD23" s="1516"/>
      <c r="AE23" s="1516"/>
    </row>
    <row r="24" spans="1:31" s="1518" customFormat="1" ht="22.5">
      <c r="A24" s="1521" t="s">
        <v>174</v>
      </c>
      <c r="B24" s="1522" t="s">
        <v>2762</v>
      </c>
      <c r="C24" s="1514"/>
      <c r="D24" s="1532"/>
      <c r="E24" s="1524"/>
      <c r="F24" s="1514"/>
      <c r="G24" s="1524"/>
      <c r="H24" s="1524"/>
      <c r="I24" s="1524"/>
      <c r="J24" s="1524">
        <f>ОУ2012!D12+ОУ2012!D13+ОУ2012!D14+ОУ2012!D17</f>
        <v>126175</v>
      </c>
      <c r="K24" s="1524"/>
      <c r="L24" s="1524"/>
      <c r="M24" s="1514"/>
      <c r="N24" s="1524"/>
      <c r="O24" s="1524"/>
      <c r="P24" s="1514"/>
      <c r="Q24" s="1514"/>
      <c r="R24" s="1516"/>
      <c r="S24" s="1516"/>
      <c r="T24" s="1516"/>
      <c r="U24" s="1516"/>
      <c r="V24" s="1516"/>
      <c r="W24" s="1516"/>
      <c r="X24" s="1516"/>
      <c r="Y24" s="1516"/>
      <c r="Z24" s="1516"/>
      <c r="AA24" s="1516"/>
      <c r="AB24" s="1516"/>
      <c r="AC24" s="1516"/>
      <c r="AD24" s="1516"/>
      <c r="AE24" s="1516"/>
    </row>
    <row r="25" spans="1:31" s="1518" customFormat="1" ht="22.5">
      <c r="A25" s="1521" t="s">
        <v>176</v>
      </c>
      <c r="B25" s="1522" t="s">
        <v>2763</v>
      </c>
      <c r="C25" s="1514"/>
      <c r="D25" s="1532"/>
      <c r="E25" s="1524"/>
      <c r="F25" s="1514"/>
      <c r="G25" s="1524"/>
      <c r="H25" s="1524"/>
      <c r="I25" s="1524"/>
      <c r="J25" s="1524"/>
      <c r="K25" s="1524"/>
      <c r="L25" s="1524"/>
      <c r="M25" s="1514"/>
      <c r="N25" s="1524"/>
      <c r="O25" s="1524"/>
      <c r="P25" s="1514"/>
      <c r="Q25" s="1514"/>
      <c r="R25" s="1516"/>
      <c r="S25" s="1516"/>
      <c r="T25" s="1516"/>
      <c r="U25" s="1516"/>
      <c r="V25" s="1516"/>
      <c r="W25" s="1516"/>
      <c r="X25" s="1516"/>
      <c r="Y25" s="1516"/>
      <c r="Z25" s="1516"/>
      <c r="AA25" s="1516"/>
      <c r="AB25" s="1516"/>
      <c r="AC25" s="1516"/>
      <c r="AD25" s="1516"/>
      <c r="AE25" s="1516"/>
    </row>
    <row r="26" spans="1:31" s="1518" customFormat="1" ht="22.5">
      <c r="A26" s="1521" t="s">
        <v>178</v>
      </c>
      <c r="B26" s="1522" t="s">
        <v>2764</v>
      </c>
      <c r="C26" s="1514"/>
      <c r="D26" s="1532"/>
      <c r="E26" s="1524"/>
      <c r="F26" s="1514"/>
      <c r="G26" s="1524"/>
      <c r="H26" s="1524"/>
      <c r="I26" s="1524"/>
      <c r="J26" s="1524"/>
      <c r="K26" s="1524"/>
      <c r="L26" s="1524"/>
      <c r="M26" s="1514"/>
      <c r="N26" s="1524"/>
      <c r="O26" s="1524"/>
      <c r="P26" s="1514"/>
      <c r="Q26" s="1514"/>
      <c r="R26" s="1516"/>
      <c r="S26" s="1516"/>
      <c r="T26" s="1516"/>
      <c r="U26" s="1516"/>
      <c r="V26" s="1516"/>
      <c r="W26" s="1516"/>
      <c r="X26" s="1516"/>
      <c r="Y26" s="1516"/>
      <c r="Z26" s="1516"/>
      <c r="AA26" s="1516"/>
      <c r="AB26" s="1516"/>
      <c r="AC26" s="1516"/>
      <c r="AD26" s="1516"/>
      <c r="AE26" s="1516"/>
    </row>
    <row r="27" spans="1:31" s="1518" customFormat="1" ht="22.5">
      <c r="A27" s="1521" t="s">
        <v>180</v>
      </c>
      <c r="B27" s="1522" t="s">
        <v>2765</v>
      </c>
      <c r="C27" s="1514"/>
      <c r="D27" s="1532"/>
      <c r="E27" s="1524"/>
      <c r="F27" s="1514"/>
      <c r="G27" s="1524"/>
      <c r="H27" s="1524"/>
      <c r="I27" s="1524"/>
      <c r="J27" s="1524"/>
      <c r="K27" s="1524"/>
      <c r="L27" s="1524"/>
      <c r="M27" s="1514"/>
      <c r="N27" s="1524"/>
      <c r="O27" s="1524"/>
      <c r="P27" s="1514"/>
      <c r="Q27" s="1514"/>
      <c r="R27" s="1516"/>
      <c r="S27" s="1516"/>
      <c r="T27" s="1516"/>
      <c r="U27" s="1516"/>
      <c r="V27" s="1516"/>
      <c r="W27" s="1516"/>
      <c r="X27" s="1516"/>
      <c r="Y27" s="1516"/>
      <c r="Z27" s="1516"/>
      <c r="AA27" s="1516"/>
      <c r="AB27" s="1516"/>
      <c r="AC27" s="1516"/>
      <c r="AD27" s="1516"/>
      <c r="AE27" s="1516"/>
    </row>
    <row r="28" spans="1:31" s="1518" customFormat="1">
      <c r="A28" s="1513" t="s">
        <v>182</v>
      </c>
      <c r="B28" s="1513" t="s">
        <v>183</v>
      </c>
      <c r="C28" s="1514">
        <f t="shared" si="11"/>
        <v>37395367.493299603</v>
      </c>
      <c r="D28" s="1515">
        <f>D30+D31+D29</f>
        <v>37395367.493299603</v>
      </c>
      <c r="E28" s="1514"/>
      <c r="F28" s="1514"/>
      <c r="G28" s="1514"/>
      <c r="H28" s="1514"/>
      <c r="I28" s="1514"/>
      <c r="J28" s="1514"/>
      <c r="K28" s="1514"/>
      <c r="L28" s="1514"/>
      <c r="M28" s="1514"/>
      <c r="N28" s="1514"/>
      <c r="O28" s="1514"/>
      <c r="P28" s="1514"/>
      <c r="Q28" s="1514">
        <f>C28+F28+J28+M28+P28</f>
        <v>37395367.493299603</v>
      </c>
      <c r="R28" s="1516"/>
      <c r="S28" s="1516"/>
      <c r="T28" s="1516"/>
      <c r="U28" s="1516"/>
      <c r="V28" s="1516"/>
      <c r="W28" s="1516"/>
      <c r="X28" s="1516"/>
      <c r="Y28" s="1516"/>
      <c r="Z28" s="1516"/>
      <c r="AA28" s="1516"/>
      <c r="AB28" s="1516"/>
      <c r="AC28" s="1516"/>
      <c r="AD28" s="1516"/>
      <c r="AE28" s="1516"/>
    </row>
    <row r="29" spans="1:31" s="1518" customFormat="1">
      <c r="A29" s="1521" t="s">
        <v>184</v>
      </c>
      <c r="B29" s="1522" t="s">
        <v>185</v>
      </c>
      <c r="C29" s="1514"/>
      <c r="D29" s="1532">
        <f>'[4]HF-HC '!D33</f>
        <v>9872814</v>
      </c>
      <c r="E29" s="1524"/>
      <c r="F29" s="1514"/>
      <c r="G29" s="1524"/>
      <c r="H29" s="1524"/>
      <c r="I29" s="1524"/>
      <c r="J29" s="1524"/>
      <c r="K29" s="1524"/>
      <c r="L29" s="1524"/>
      <c r="M29" s="1514"/>
      <c r="N29" s="1524"/>
      <c r="O29" s="1524"/>
      <c r="P29" s="1514"/>
      <c r="Q29" s="1514"/>
      <c r="R29" s="1516"/>
      <c r="S29" s="1516"/>
      <c r="T29" s="1516"/>
      <c r="U29" s="1516"/>
      <c r="V29" s="1516"/>
      <c r="W29" s="1516"/>
      <c r="X29" s="1516"/>
      <c r="Y29" s="1516"/>
      <c r="Z29" s="1516"/>
      <c r="AA29" s="1516"/>
      <c r="AB29" s="1516"/>
      <c r="AC29" s="1516"/>
      <c r="AD29" s="1516"/>
      <c r="AE29" s="1516"/>
    </row>
    <row r="30" spans="1:31" s="1527" customFormat="1">
      <c r="A30" s="1521" t="s">
        <v>186</v>
      </c>
      <c r="B30" s="1522" t="s">
        <v>187</v>
      </c>
      <c r="C30" s="1514">
        <f t="shared" si="11"/>
        <v>1030982</v>
      </c>
      <c r="D30" s="1532">
        <f>'[4]HF-HC '!D32</f>
        <v>1030982</v>
      </c>
      <c r="E30" s="1524"/>
      <c r="F30" s="1514"/>
      <c r="G30" s="1524"/>
      <c r="H30" s="1524"/>
      <c r="I30" s="1524"/>
      <c r="J30" s="1524"/>
      <c r="K30" s="1524"/>
      <c r="L30" s="1524"/>
      <c r="M30" s="1514"/>
      <c r="N30" s="1524"/>
      <c r="O30" s="1524"/>
      <c r="P30" s="1514"/>
      <c r="Q30" s="1514">
        <f>C30+F30+J30+M30+P30</f>
        <v>1030982</v>
      </c>
      <c r="R30" s="1525"/>
      <c r="S30" s="1525"/>
      <c r="T30" s="1525"/>
      <c r="U30" s="1525"/>
      <c r="V30" s="1525"/>
      <c r="W30" s="1525"/>
      <c r="X30" s="1525"/>
      <c r="Y30" s="1525"/>
      <c r="Z30" s="1525"/>
      <c r="AA30" s="1525"/>
      <c r="AB30" s="1525"/>
      <c r="AC30" s="1525"/>
      <c r="AD30" s="1525"/>
      <c r="AE30" s="1525"/>
    </row>
    <row r="31" spans="1:31" s="1527" customFormat="1">
      <c r="A31" s="1521" t="s">
        <v>188</v>
      </c>
      <c r="B31" s="1522" t="s">
        <v>189</v>
      </c>
      <c r="C31" s="1514">
        <f t="shared" si="11"/>
        <v>26491571.493299607</v>
      </c>
      <c r="D31" s="1532">
        <f>'[4]HF-HC '!D31</f>
        <v>26491571.493299607</v>
      </c>
      <c r="E31" s="1524"/>
      <c r="F31" s="1514"/>
      <c r="G31" s="1524"/>
      <c r="H31" s="1524"/>
      <c r="I31" s="1524"/>
      <c r="J31" s="1524"/>
      <c r="K31" s="1524"/>
      <c r="L31" s="1524"/>
      <c r="M31" s="1514"/>
      <c r="N31" s="1524"/>
      <c r="O31" s="1524"/>
      <c r="P31" s="1514"/>
      <c r="Q31" s="1514">
        <f>C31+F31+J31+M31+P31</f>
        <v>26491571.493299607</v>
      </c>
      <c r="R31" s="1525"/>
      <c r="S31" s="1525"/>
      <c r="T31" s="1525"/>
      <c r="U31" s="1525"/>
      <c r="V31" s="1525"/>
      <c r="W31" s="1525"/>
      <c r="X31" s="1525"/>
      <c r="Y31" s="1525"/>
      <c r="Z31" s="1525"/>
      <c r="AA31" s="1525"/>
      <c r="AB31" s="1525"/>
      <c r="AC31" s="1525"/>
      <c r="AD31" s="1525"/>
      <c r="AE31" s="1525"/>
    </row>
    <row r="32" spans="1:31" s="1518" customFormat="1" ht="22.5">
      <c r="A32" s="1513" t="s">
        <v>196</v>
      </c>
      <c r="B32" s="1513" t="s">
        <v>197</v>
      </c>
      <c r="C32" s="1514">
        <f t="shared" si="11"/>
        <v>42122496</v>
      </c>
      <c r="D32" s="1515">
        <f>D33+D37</f>
        <v>42122496</v>
      </c>
      <c r="E32" s="1514"/>
      <c r="F32" s="1514"/>
      <c r="G32" s="1514"/>
      <c r="H32" s="1514"/>
      <c r="I32" s="1514"/>
      <c r="J32" s="1514">
        <f>J33+J37</f>
        <v>150826800</v>
      </c>
      <c r="K32" s="1514"/>
      <c r="L32" s="1514"/>
      <c r="M32" s="1514"/>
      <c r="N32" s="1514"/>
      <c r="O32" s="1514"/>
      <c r="P32" s="1514"/>
      <c r="Q32" s="1514">
        <f>C32+F32+J32+M32+P32</f>
        <v>192949296</v>
      </c>
      <c r="R32" s="1516"/>
      <c r="S32" s="1516"/>
      <c r="T32" s="1516"/>
      <c r="U32" s="1516"/>
      <c r="V32" s="1516"/>
      <c r="W32" s="1516"/>
      <c r="X32" s="1516"/>
      <c r="Y32" s="1516"/>
      <c r="Z32" s="1516"/>
      <c r="AA32" s="1516"/>
      <c r="AB32" s="1516"/>
      <c r="AC32" s="1516"/>
      <c r="AD32" s="1516"/>
      <c r="AE32" s="1516"/>
    </row>
    <row r="33" spans="1:31" s="1527" customFormat="1" ht="33.75">
      <c r="A33" s="1521" t="s">
        <v>198</v>
      </c>
      <c r="B33" s="1522" t="s">
        <v>199</v>
      </c>
      <c r="C33" s="1514">
        <f t="shared" si="11"/>
        <v>42122496</v>
      </c>
      <c r="D33" s="1523">
        <f>'[4]HF-HC '!D36</f>
        <v>42122496</v>
      </c>
      <c r="E33" s="1524"/>
      <c r="F33" s="1514"/>
      <c r="G33" s="1524"/>
      <c r="H33" s="1524"/>
      <c r="I33" s="1524"/>
      <c r="J33" s="1524">
        <f>'Розница ЛС'!J26*1000</f>
        <v>118698700</v>
      </c>
      <c r="K33" s="1524"/>
      <c r="L33" s="1524"/>
      <c r="M33" s="1514"/>
      <c r="N33" s="1524"/>
      <c r="O33" s="1524"/>
      <c r="P33" s="1514"/>
      <c r="Q33" s="1514">
        <f>C33+F33+J33+M33+P33</f>
        <v>160821196</v>
      </c>
      <c r="R33" s="1525"/>
      <c r="S33" s="1525"/>
      <c r="T33" s="1525"/>
      <c r="U33" s="1525"/>
      <c r="V33" s="1525"/>
      <c r="W33" s="1525"/>
      <c r="X33" s="1525"/>
      <c r="Y33" s="1525"/>
      <c r="Z33" s="1525"/>
      <c r="AA33" s="1525"/>
      <c r="AB33" s="1525"/>
      <c r="AC33" s="1525"/>
      <c r="AD33" s="1525"/>
      <c r="AE33" s="1525"/>
    </row>
    <row r="34" spans="1:31" s="1527" customFormat="1" ht="22.5">
      <c r="A34" s="1530" t="s">
        <v>2766</v>
      </c>
      <c r="B34" s="1531" t="s">
        <v>2767</v>
      </c>
      <c r="C34" s="1514"/>
      <c r="D34" s="1534"/>
      <c r="E34" s="1533"/>
      <c r="F34" s="1514"/>
      <c r="G34" s="1533"/>
      <c r="H34" s="1533"/>
      <c r="I34" s="1533"/>
      <c r="J34" s="1533"/>
      <c r="K34" s="1533"/>
      <c r="L34" s="1533"/>
      <c r="M34" s="1514"/>
      <c r="N34" s="1533"/>
      <c r="O34" s="1533"/>
      <c r="P34" s="1514"/>
      <c r="Q34" s="1514"/>
      <c r="R34" s="1525"/>
      <c r="S34" s="1525"/>
      <c r="T34" s="1525"/>
      <c r="U34" s="1525"/>
      <c r="V34" s="1525"/>
      <c r="W34" s="1525"/>
      <c r="X34" s="1525"/>
      <c r="Y34" s="1525"/>
      <c r="Z34" s="1525"/>
      <c r="AA34" s="1525"/>
      <c r="AB34" s="1525"/>
      <c r="AC34" s="1525"/>
      <c r="AD34" s="1525"/>
      <c r="AE34" s="1525"/>
    </row>
    <row r="35" spans="1:31" s="1527" customFormat="1" ht="22.5">
      <c r="A35" s="1530" t="s">
        <v>2768</v>
      </c>
      <c r="B35" s="1531" t="s">
        <v>2769</v>
      </c>
      <c r="C35" s="1514"/>
      <c r="D35" s="1534"/>
      <c r="E35" s="1533"/>
      <c r="F35" s="1514"/>
      <c r="G35" s="1533"/>
      <c r="H35" s="1533"/>
      <c r="I35" s="1533"/>
      <c r="J35" s="1533"/>
      <c r="K35" s="1533"/>
      <c r="L35" s="1533"/>
      <c r="M35" s="1514"/>
      <c r="N35" s="1533"/>
      <c r="O35" s="1533"/>
      <c r="P35" s="1514"/>
      <c r="Q35" s="1514"/>
      <c r="R35" s="1525"/>
      <c r="S35" s="1525"/>
      <c r="T35" s="1525"/>
      <c r="U35" s="1525"/>
      <c r="V35" s="1525"/>
      <c r="W35" s="1525"/>
      <c r="X35" s="1525"/>
      <c r="Y35" s="1525"/>
      <c r="Z35" s="1525"/>
      <c r="AA35" s="1525"/>
      <c r="AB35" s="1525"/>
      <c r="AC35" s="1525"/>
      <c r="AD35" s="1525"/>
      <c r="AE35" s="1525"/>
    </row>
    <row r="36" spans="1:31" s="1527" customFormat="1" ht="22.5">
      <c r="A36" s="1530" t="s">
        <v>2770</v>
      </c>
      <c r="B36" s="1531" t="s">
        <v>2771</v>
      </c>
      <c r="C36" s="1514"/>
      <c r="D36" s="1534"/>
      <c r="E36" s="1533"/>
      <c r="F36" s="1514"/>
      <c r="G36" s="1533"/>
      <c r="H36" s="1533"/>
      <c r="I36" s="1533"/>
      <c r="J36" s="1533"/>
      <c r="K36" s="1533"/>
      <c r="L36" s="1533"/>
      <c r="M36" s="1514"/>
      <c r="N36" s="1533"/>
      <c r="O36" s="1533"/>
      <c r="P36" s="1514"/>
      <c r="Q36" s="1514"/>
      <c r="R36" s="1525"/>
      <c r="S36" s="1525"/>
      <c r="T36" s="1525"/>
      <c r="U36" s="1525"/>
      <c r="V36" s="1525"/>
      <c r="W36" s="1525"/>
      <c r="X36" s="1525"/>
      <c r="Y36" s="1525"/>
      <c r="Z36" s="1525"/>
      <c r="AA36" s="1525"/>
      <c r="AB36" s="1525"/>
      <c r="AC36" s="1525"/>
      <c r="AD36" s="1525"/>
      <c r="AE36" s="1525"/>
    </row>
    <row r="37" spans="1:31" s="1527" customFormat="1" ht="21" customHeight="1">
      <c r="A37" s="1521" t="s">
        <v>206</v>
      </c>
      <c r="B37" s="1522" t="s">
        <v>207</v>
      </c>
      <c r="C37" s="1514">
        <f t="shared" si="11"/>
        <v>0</v>
      </c>
      <c r="D37" s="1523"/>
      <c r="E37" s="1524"/>
      <c r="F37" s="1514"/>
      <c r="G37" s="1524"/>
      <c r="H37" s="1524"/>
      <c r="I37" s="1524"/>
      <c r="J37" s="1524">
        <f>'Розница ЛС'!J27*1000</f>
        <v>32128100</v>
      </c>
      <c r="K37" s="1524"/>
      <c r="L37" s="1524"/>
      <c r="M37" s="1514"/>
      <c r="N37" s="1524"/>
      <c r="O37" s="1524"/>
      <c r="P37" s="1514"/>
      <c r="Q37" s="1514">
        <f>C37+F37+J37+M37+P37</f>
        <v>32128100</v>
      </c>
      <c r="R37" s="1525"/>
      <c r="S37" s="1525"/>
      <c r="T37" s="1525"/>
      <c r="U37" s="1525"/>
      <c r="V37" s="1525"/>
      <c r="W37" s="1525"/>
      <c r="X37" s="1525"/>
      <c r="Y37" s="1525"/>
      <c r="Z37" s="1525"/>
      <c r="AA37" s="1525"/>
      <c r="AB37" s="1525"/>
      <c r="AC37" s="1525"/>
      <c r="AD37" s="1525"/>
      <c r="AE37" s="1525"/>
    </row>
    <row r="38" spans="1:31" s="1518" customFormat="1" ht="30.95" customHeight="1">
      <c r="A38" s="1513" t="s">
        <v>218</v>
      </c>
      <c r="B38" s="1513" t="s">
        <v>219</v>
      </c>
      <c r="C38" s="1514">
        <f t="shared" si="11"/>
        <v>13935876.5</v>
      </c>
      <c r="D38" s="1535">
        <f>D39+D40+D41+D43+D42+D44</f>
        <v>13935876.5</v>
      </c>
      <c r="E38" s="1514"/>
      <c r="F38" s="1514"/>
      <c r="G38" s="1514"/>
      <c r="H38" s="1514"/>
      <c r="I38" s="1514"/>
      <c r="J38" s="1514"/>
      <c r="K38" s="1514"/>
      <c r="L38" s="1514"/>
      <c r="M38" s="1514">
        <f>'[4]HF-HC '!AI47</f>
        <v>20990.122240000001</v>
      </c>
      <c r="N38" s="1514"/>
      <c r="O38" s="1514"/>
      <c r="P38" s="1514"/>
      <c r="Q38" s="1514">
        <f t="shared" ref="Q38:Q43" si="12">C38+F38+J38+M38+P38</f>
        <v>13956866.622239999</v>
      </c>
      <c r="R38" s="1516"/>
      <c r="S38" s="1516"/>
      <c r="T38" s="1516"/>
      <c r="U38" s="1516"/>
      <c r="V38" s="1516"/>
      <c r="W38" s="1516"/>
      <c r="X38" s="1516"/>
      <c r="Y38" s="1516"/>
      <c r="Z38" s="1516"/>
      <c r="AA38" s="1516"/>
      <c r="AB38" s="1516"/>
      <c r="AC38" s="1516"/>
      <c r="AD38" s="1516"/>
      <c r="AE38" s="1516"/>
    </row>
    <row r="39" spans="1:31" s="1527" customFormat="1" ht="33.75">
      <c r="A39" s="1521" t="s">
        <v>220</v>
      </c>
      <c r="B39" s="1522" t="s">
        <v>221</v>
      </c>
      <c r="C39" s="1514">
        <f t="shared" si="11"/>
        <v>2722409</v>
      </c>
      <c r="D39" s="1523">
        <f>'[4]HF-HC '!D47</f>
        <v>2722409</v>
      </c>
      <c r="E39" s="1524"/>
      <c r="F39" s="1514"/>
      <c r="G39" s="1524"/>
      <c r="H39" s="1524"/>
      <c r="I39" s="1524"/>
      <c r="J39" s="1524"/>
      <c r="K39" s="1524"/>
      <c r="L39" s="1524"/>
      <c r="M39" s="1514"/>
      <c r="N39" s="1524"/>
      <c r="O39" s="1524"/>
      <c r="P39" s="1514"/>
      <c r="Q39" s="1514">
        <f t="shared" si="12"/>
        <v>2722409</v>
      </c>
      <c r="R39" s="1525"/>
      <c r="S39" s="1525"/>
      <c r="T39" s="1525"/>
      <c r="U39" s="1525"/>
      <c r="V39" s="1525"/>
      <c r="W39" s="1525"/>
      <c r="X39" s="1525"/>
      <c r="Y39" s="1525"/>
      <c r="Z39" s="1525"/>
      <c r="AA39" s="1525"/>
      <c r="AB39" s="1525"/>
      <c r="AC39" s="1525"/>
      <c r="AD39" s="1525"/>
      <c r="AE39" s="1525"/>
    </row>
    <row r="40" spans="1:31" s="1527" customFormat="1">
      <c r="A40" s="1521" t="s">
        <v>222</v>
      </c>
      <c r="B40" s="1522" t="s">
        <v>223</v>
      </c>
      <c r="C40" s="1514">
        <f t="shared" si="11"/>
        <v>11213467.5</v>
      </c>
      <c r="D40" s="1523">
        <f>'[4]HF-HC '!D48</f>
        <v>11213467.5</v>
      </c>
      <c r="E40" s="1524"/>
      <c r="F40" s="1514"/>
      <c r="G40" s="1524"/>
      <c r="H40" s="1524"/>
      <c r="I40" s="1524"/>
      <c r="J40" s="1524"/>
      <c r="K40" s="1524"/>
      <c r="L40" s="1524"/>
      <c r="M40" s="1514"/>
      <c r="N40" s="1524"/>
      <c r="O40" s="1524"/>
      <c r="P40" s="1514"/>
      <c r="Q40" s="1514">
        <f t="shared" si="12"/>
        <v>11213467.5</v>
      </c>
      <c r="R40" s="1525"/>
      <c r="S40" s="1525"/>
      <c r="T40" s="1525"/>
      <c r="U40" s="1525"/>
      <c r="V40" s="1525"/>
      <c r="W40" s="1525"/>
      <c r="X40" s="1525"/>
      <c r="Y40" s="1525"/>
      <c r="Z40" s="1525"/>
      <c r="AA40" s="1525"/>
      <c r="AB40" s="1525"/>
      <c r="AC40" s="1525"/>
      <c r="AD40" s="1525"/>
      <c r="AE40" s="1525"/>
    </row>
    <row r="41" spans="1:31" s="1527" customFormat="1" ht="33.75">
      <c r="A41" s="1521" t="s">
        <v>224</v>
      </c>
      <c r="B41" s="1522" t="s">
        <v>2772</v>
      </c>
      <c r="C41" s="1514">
        <f t="shared" si="11"/>
        <v>0</v>
      </c>
      <c r="D41" s="1523"/>
      <c r="E41" s="1524"/>
      <c r="F41" s="1514"/>
      <c r="G41" s="1524"/>
      <c r="H41" s="1524"/>
      <c r="I41" s="1524"/>
      <c r="J41" s="1524"/>
      <c r="K41" s="1524"/>
      <c r="L41" s="1524"/>
      <c r="M41" s="1514"/>
      <c r="N41" s="1524"/>
      <c r="O41" s="1524"/>
      <c r="P41" s="1514"/>
      <c r="Q41" s="1514">
        <f t="shared" si="12"/>
        <v>0</v>
      </c>
      <c r="R41" s="1525"/>
      <c r="S41" s="1525"/>
      <c r="T41" s="1525"/>
      <c r="U41" s="1525"/>
      <c r="V41" s="1525"/>
      <c r="W41" s="1525"/>
      <c r="X41" s="1525"/>
      <c r="Y41" s="1525"/>
      <c r="Z41" s="1525"/>
      <c r="AA41" s="1525"/>
      <c r="AB41" s="1525"/>
      <c r="AC41" s="1525"/>
      <c r="AD41" s="1525"/>
      <c r="AE41" s="1525"/>
    </row>
    <row r="42" spans="1:31" s="1527" customFormat="1" ht="22.5">
      <c r="A42" s="1521" t="s">
        <v>227</v>
      </c>
      <c r="B42" s="1522" t="s">
        <v>2773</v>
      </c>
      <c r="C42" s="1514">
        <f t="shared" si="11"/>
        <v>0</v>
      </c>
      <c r="D42" s="1523"/>
      <c r="E42" s="1524"/>
      <c r="F42" s="1514"/>
      <c r="G42" s="1524"/>
      <c r="H42" s="1524"/>
      <c r="I42" s="1524"/>
      <c r="J42" s="1524"/>
      <c r="K42" s="1524"/>
      <c r="L42" s="1524"/>
      <c r="M42" s="1514"/>
      <c r="N42" s="1524"/>
      <c r="O42" s="1524"/>
      <c r="P42" s="1514"/>
      <c r="Q42" s="1514">
        <f t="shared" si="12"/>
        <v>0</v>
      </c>
      <c r="R42" s="1525"/>
      <c r="S42" s="1525"/>
      <c r="T42" s="1525"/>
      <c r="U42" s="1525"/>
      <c r="V42" s="1525"/>
      <c r="W42" s="1525"/>
      <c r="X42" s="1525"/>
      <c r="Y42" s="1525"/>
      <c r="Z42" s="1525"/>
      <c r="AA42" s="1525"/>
      <c r="AB42" s="1525"/>
      <c r="AC42" s="1525"/>
      <c r="AD42" s="1525"/>
      <c r="AE42" s="1525"/>
    </row>
    <row r="43" spans="1:31" s="1527" customFormat="1" ht="67.5">
      <c r="A43" s="1521" t="s">
        <v>230</v>
      </c>
      <c r="B43" s="1522" t="s">
        <v>2774</v>
      </c>
      <c r="C43" s="1514">
        <f t="shared" si="11"/>
        <v>0</v>
      </c>
      <c r="D43" s="1532"/>
      <c r="E43" s="1524"/>
      <c r="F43" s="1514"/>
      <c r="G43" s="1524"/>
      <c r="H43" s="1524"/>
      <c r="I43" s="1524"/>
      <c r="J43" s="1524"/>
      <c r="K43" s="1524"/>
      <c r="L43" s="1524"/>
      <c r="M43" s="1514"/>
      <c r="N43" s="1524"/>
      <c r="O43" s="1524"/>
      <c r="P43" s="1514"/>
      <c r="Q43" s="1514">
        <f t="shared" si="12"/>
        <v>0</v>
      </c>
      <c r="R43" s="1525"/>
      <c r="S43" s="1525"/>
      <c r="T43" s="1525"/>
      <c r="U43" s="1525"/>
      <c r="V43" s="1525"/>
      <c r="W43" s="1525"/>
      <c r="X43" s="1525"/>
      <c r="Y43" s="1525"/>
      <c r="Z43" s="1525"/>
      <c r="AA43" s="1525"/>
      <c r="AB43" s="1525"/>
      <c r="AC43" s="1525"/>
      <c r="AD43" s="1525"/>
      <c r="AE43" s="1525"/>
    </row>
    <row r="44" spans="1:31" s="1527" customFormat="1" ht="45">
      <c r="A44" s="1521" t="s">
        <v>233</v>
      </c>
      <c r="B44" s="1522" t="s">
        <v>2775</v>
      </c>
      <c r="C44" s="1514"/>
      <c r="D44" s="1536"/>
      <c r="E44" s="1524"/>
      <c r="F44" s="1514"/>
      <c r="G44" s="1524"/>
      <c r="H44" s="1524"/>
      <c r="I44" s="1524"/>
      <c r="J44" s="1524"/>
      <c r="K44" s="1524"/>
      <c r="L44" s="1524"/>
      <c r="M44" s="1514"/>
      <c r="N44" s="1524"/>
      <c r="O44" s="1524"/>
      <c r="P44" s="1514"/>
      <c r="Q44" s="1514"/>
      <c r="R44" s="1525"/>
      <c r="S44" s="1525"/>
      <c r="T44" s="1525"/>
      <c r="U44" s="1525"/>
      <c r="V44" s="1525"/>
      <c r="W44" s="1525"/>
      <c r="X44" s="1525"/>
      <c r="Y44" s="1525"/>
      <c r="Z44" s="1525"/>
      <c r="AA44" s="1525"/>
      <c r="AB44" s="1525"/>
      <c r="AC44" s="1525"/>
      <c r="AD44" s="1525"/>
      <c r="AE44" s="1525"/>
    </row>
    <row r="45" spans="1:31" s="1518" customFormat="1" ht="33.75">
      <c r="A45" s="1513" t="s">
        <v>238</v>
      </c>
      <c r="B45" s="1513" t="s">
        <v>239</v>
      </c>
      <c r="C45" s="1514">
        <f t="shared" si="11"/>
        <v>14687897.600000001</v>
      </c>
      <c r="D45" s="1515">
        <f>D46+D47</f>
        <v>14687897.600000001</v>
      </c>
      <c r="E45" s="1514"/>
      <c r="F45" s="1514">
        <f>I45+G45+H45</f>
        <v>4554185</v>
      </c>
      <c r="G45" s="1514">
        <f>G46+G47</f>
        <v>4554185</v>
      </c>
      <c r="H45" s="1514"/>
      <c r="I45" s="1514"/>
      <c r="J45" s="1514"/>
      <c r="K45" s="1514"/>
      <c r="L45" s="1514"/>
      <c r="M45" s="1514">
        <f>'HF-HC '!AG55</f>
        <v>151667.56432784203</v>
      </c>
      <c r="N45" s="1514"/>
      <c r="O45" s="1514"/>
      <c r="P45" s="1514"/>
      <c r="Q45" s="1514">
        <f>C45+F45+J45+M45+P45</f>
        <v>19393750.164327845</v>
      </c>
      <c r="R45" s="1516"/>
      <c r="S45" s="1517"/>
      <c r="T45" s="1516"/>
      <c r="U45" s="1516"/>
      <c r="V45" s="1516"/>
      <c r="W45" s="1516"/>
      <c r="X45" s="1516"/>
      <c r="Y45" s="1516"/>
      <c r="Z45" s="1516"/>
      <c r="AA45" s="1516"/>
      <c r="AB45" s="1516"/>
      <c r="AC45" s="1516"/>
      <c r="AD45" s="1516"/>
      <c r="AE45" s="1516"/>
    </row>
    <row r="46" spans="1:31" s="1527" customFormat="1" ht="45">
      <c r="A46" s="1521" t="s">
        <v>240</v>
      </c>
      <c r="B46" s="1522" t="s">
        <v>239</v>
      </c>
      <c r="C46" s="1514">
        <f t="shared" si="11"/>
        <v>14687897.600000001</v>
      </c>
      <c r="D46" s="1523">
        <f>'[4]HF-HC '!D55</f>
        <v>14687897.600000001</v>
      </c>
      <c r="E46" s="1524"/>
      <c r="F46" s="1514"/>
      <c r="G46" s="1524"/>
      <c r="H46" s="1524"/>
      <c r="I46" s="1524"/>
      <c r="J46" s="1524"/>
      <c r="K46" s="1524"/>
      <c r="L46" s="1524"/>
      <c r="M46" s="1514"/>
      <c r="N46" s="1524"/>
      <c r="O46" s="1524"/>
      <c r="P46" s="1514"/>
      <c r="Q46" s="1514">
        <f>C46+F46+J46+M46+P46</f>
        <v>14687897.600000001</v>
      </c>
      <c r="R46" s="1525"/>
      <c r="S46" s="1525"/>
      <c r="T46" s="1525"/>
      <c r="U46" s="1525"/>
      <c r="V46" s="1525"/>
      <c r="W46" s="1525"/>
      <c r="X46" s="1525"/>
      <c r="Y46" s="1525"/>
      <c r="Z46" s="1525"/>
      <c r="AA46" s="1525"/>
      <c r="AB46" s="1525"/>
      <c r="AC46" s="1525"/>
      <c r="AD46" s="1525"/>
      <c r="AE46" s="1525"/>
    </row>
    <row r="47" spans="1:31" s="1527" customFormat="1" ht="33.75">
      <c r="A47" s="1521" t="s">
        <v>249</v>
      </c>
      <c r="B47" s="1522" t="s">
        <v>250</v>
      </c>
      <c r="C47" s="1514"/>
      <c r="D47" s="1523"/>
      <c r="E47" s="1524"/>
      <c r="F47" s="1514">
        <f>I47+G47+H47</f>
        <v>4554185</v>
      </c>
      <c r="G47" s="1524">
        <f>'Афн премии'!U29</f>
        <v>4554185</v>
      </c>
      <c r="H47" s="1524"/>
      <c r="I47" s="1524"/>
      <c r="J47" s="1524"/>
      <c r="K47" s="1524"/>
      <c r="L47" s="1524"/>
      <c r="M47" s="1514"/>
      <c r="N47" s="1524"/>
      <c r="O47" s="1524"/>
      <c r="P47" s="1514"/>
      <c r="Q47" s="1514">
        <f>C47+F47+J47+M47+P47</f>
        <v>4554185</v>
      </c>
      <c r="R47" s="1525"/>
      <c r="S47" s="1525"/>
      <c r="T47" s="1525"/>
      <c r="U47" s="1525"/>
      <c r="V47" s="1525"/>
      <c r="W47" s="1525"/>
      <c r="X47" s="1525"/>
      <c r="Y47" s="1525"/>
      <c r="Z47" s="1525"/>
      <c r="AA47" s="1525"/>
      <c r="AB47" s="1525"/>
      <c r="AC47" s="1525"/>
      <c r="AD47" s="1525"/>
      <c r="AE47" s="1525"/>
    </row>
    <row r="48" spans="1:31" s="1518" customFormat="1">
      <c r="A48" s="1513" t="s">
        <v>2776</v>
      </c>
      <c r="B48" s="1513" t="s">
        <v>2777</v>
      </c>
      <c r="C48" s="1514">
        <f t="shared" si="11"/>
        <v>49625151.149798296</v>
      </c>
      <c r="D48" s="1515">
        <f>'HF-HC '!D98+'HF-HC '!D97+'HF-HC '!D91+'HF-HC '!D83+'HF-HC '!D82+'HF-HC '!D68</f>
        <v>49625151.149798296</v>
      </c>
      <c r="E48" s="1514"/>
      <c r="F48" s="1514"/>
      <c r="G48" s="1514"/>
      <c r="H48" s="1514"/>
      <c r="I48" s="1514"/>
      <c r="J48" s="1514"/>
      <c r="K48" s="1514"/>
      <c r="L48" s="1514"/>
      <c r="M48" s="1514">
        <f>'HF-HC '!AH68+'HF-HC '!AG82+'HF-HC '!AH88+'HF-HC '!AG98+'HF-HC '!AG62</f>
        <v>2101028.6947090235</v>
      </c>
      <c r="N48" s="1514"/>
      <c r="O48" s="1514"/>
      <c r="P48" s="1514"/>
      <c r="Q48" s="1514">
        <f>C48+F48+J48+M48+P48</f>
        <v>51726179.844507322</v>
      </c>
      <c r="R48" s="1516"/>
      <c r="S48" s="1516"/>
      <c r="T48" s="1516"/>
      <c r="U48" s="1516"/>
      <c r="V48" s="1516"/>
      <c r="W48" s="1516"/>
      <c r="X48" s="1516"/>
      <c r="Y48" s="1516"/>
      <c r="Z48" s="1516"/>
      <c r="AA48" s="1516"/>
      <c r="AB48" s="1516"/>
      <c r="AC48" s="1516"/>
      <c r="AD48" s="1516"/>
      <c r="AE48" s="1516"/>
    </row>
    <row r="49" spans="1:31" s="1518" customFormat="1">
      <c r="A49" s="1664" t="s">
        <v>1211</v>
      </c>
      <c r="B49" s="1665"/>
      <c r="C49" s="1514">
        <f t="shared" si="11"/>
        <v>641979938.76774383</v>
      </c>
      <c r="D49" s="1535">
        <f>D5+D6+D23+D28+D32+D38+D45+D48</f>
        <v>641979938.76774383</v>
      </c>
      <c r="E49" s="1514"/>
      <c r="F49" s="1514">
        <f>F5+F6+F23+F28+F32+F38+F45+F48</f>
        <v>28612445</v>
      </c>
      <c r="G49" s="1514">
        <f>G5+G6+G23+G28+G32+G38+G45+G48</f>
        <v>14770958</v>
      </c>
      <c r="H49" s="1514"/>
      <c r="I49" s="1514">
        <f>I5+I6+I23+I28+I32+I38+I45+I48</f>
        <v>13841487</v>
      </c>
      <c r="J49" s="1514">
        <f>J5+J6+J23+J28+J32+J38+J45+J48</f>
        <v>265752910.40600002</v>
      </c>
      <c r="K49" s="1514"/>
      <c r="L49" s="1514"/>
      <c r="M49" s="1514">
        <f>M48+M38+M45+M32+M28+M23+M6+M5</f>
        <v>2295817.3812768655</v>
      </c>
      <c r="N49" s="1514"/>
      <c r="O49" s="1514"/>
      <c r="P49" s="1514"/>
      <c r="Q49" s="1514">
        <f>C49+F49+J49+M49+P49</f>
        <v>938641111.55502069</v>
      </c>
      <c r="R49" s="1516"/>
      <c r="S49" s="1516"/>
      <c r="T49" s="1516"/>
      <c r="U49" s="1516"/>
      <c r="V49" s="1516"/>
      <c r="W49" s="1516"/>
      <c r="X49" s="1516"/>
      <c r="Y49" s="1516"/>
      <c r="Z49" s="1516"/>
      <c r="AA49" s="1516"/>
      <c r="AB49" s="1516"/>
      <c r="AC49" s="1516"/>
      <c r="AD49" s="1516"/>
      <c r="AE49" s="1516"/>
    </row>
    <row r="50" spans="1:31">
      <c r="C50" s="1539"/>
      <c r="D50" s="1492"/>
      <c r="E50" s="1492"/>
      <c r="F50" s="1492"/>
      <c r="G50" s="1492"/>
      <c r="H50" s="1492"/>
      <c r="I50" s="1492"/>
      <c r="J50" s="1539"/>
      <c r="K50" s="1539"/>
      <c r="L50" s="1539"/>
      <c r="M50" s="1492"/>
      <c r="N50" s="1492"/>
      <c r="O50" s="1492"/>
      <c r="P50" s="1492"/>
      <c r="Q50" s="1540"/>
    </row>
    <row r="51" spans="1:31">
      <c r="D51" s="1492"/>
      <c r="J51" s="1494"/>
      <c r="Q51" s="1541"/>
      <c r="AD51" s="1501"/>
      <c r="AE51" s="1501"/>
    </row>
    <row r="52" spans="1:31">
      <c r="D52" s="1494"/>
      <c r="J52" s="1492"/>
    </row>
    <row r="53" spans="1:31">
      <c r="D53" s="1494"/>
      <c r="J53" s="1494"/>
      <c r="Q53" s="1541"/>
      <c r="AE53" s="1501"/>
    </row>
    <row r="54" spans="1:31">
      <c r="D54" s="1492"/>
      <c r="E54" s="1492"/>
      <c r="J54" s="1494"/>
      <c r="Q54" s="1543"/>
      <c r="AE54" s="1501"/>
    </row>
    <row r="55" spans="1:31">
      <c r="D55" s="1492"/>
      <c r="E55" s="1492"/>
      <c r="J55" s="1494"/>
      <c r="Q55" s="1541"/>
      <c r="AE55" s="1501"/>
    </row>
    <row r="56" spans="1:31">
      <c r="D56" s="1492"/>
      <c r="E56" s="1492"/>
      <c r="J56" s="1494"/>
      <c r="Q56" s="1543"/>
      <c r="AE56" s="1501"/>
    </row>
    <row r="57" spans="1:31">
      <c r="A57" s="1501"/>
      <c r="B57" s="1501"/>
      <c r="C57" s="1501"/>
      <c r="D57" s="1492"/>
      <c r="E57" s="1492"/>
      <c r="J57" s="1494"/>
      <c r="Q57" s="1544"/>
      <c r="AE57" s="1501"/>
    </row>
    <row r="58" spans="1:31">
      <c r="A58" s="1501"/>
      <c r="B58" s="1501"/>
      <c r="C58" s="1501"/>
      <c r="D58" s="1492"/>
      <c r="E58" s="1492"/>
      <c r="J58" s="1494"/>
      <c r="Q58" s="1543"/>
      <c r="S58" s="1545"/>
      <c r="AE58" s="1501"/>
    </row>
    <row r="59" spans="1:31">
      <c r="A59" s="1501"/>
      <c r="B59" s="1501"/>
      <c r="C59" s="1546"/>
      <c r="D59" s="1492"/>
      <c r="E59" s="1492"/>
      <c r="J59" s="1494"/>
      <c r="Q59" s="1500"/>
      <c r="AE59" s="1501"/>
    </row>
    <row r="60" spans="1:31">
      <c r="A60" s="1501"/>
      <c r="B60" s="1501"/>
      <c r="C60" s="1501"/>
      <c r="D60" s="1494"/>
      <c r="J60" s="1494"/>
      <c r="Q60" s="1500"/>
      <c r="AE60" s="1501"/>
    </row>
    <row r="61" spans="1:31">
      <c r="A61" s="1501"/>
      <c r="B61" s="1501"/>
      <c r="C61" s="1501"/>
      <c r="D61" s="1494"/>
      <c r="J61" s="1494"/>
      <c r="Q61" s="1500"/>
      <c r="AE61" s="1501"/>
    </row>
    <row r="62" spans="1:31">
      <c r="D62" s="1494"/>
      <c r="J62" s="1494"/>
    </row>
    <row r="63" spans="1:31">
      <c r="D63" s="1494"/>
      <c r="J63" s="1494"/>
    </row>
    <row r="64" spans="1:31">
      <c r="D64" s="1494"/>
      <c r="J64" s="1494"/>
    </row>
    <row r="65" spans="4:10">
      <c r="D65" s="1494"/>
      <c r="J65" s="1494"/>
    </row>
    <row r="66" spans="4:10">
      <c r="D66" s="1494"/>
      <c r="J66" s="1494"/>
    </row>
    <row r="67" spans="4:10">
      <c r="D67" s="1494"/>
      <c r="J67" s="1494"/>
    </row>
    <row r="68" spans="4:10">
      <c r="D68" s="1494"/>
      <c r="J68" s="1494"/>
    </row>
    <row r="69" spans="4:10">
      <c r="D69" s="1494"/>
      <c r="J69" s="1494"/>
    </row>
    <row r="70" spans="4:10">
      <c r="D70" s="1494"/>
      <c r="J70" s="1494"/>
    </row>
    <row r="71" spans="4:10">
      <c r="D71" s="1494"/>
      <c r="J71" s="1494"/>
    </row>
    <row r="72" spans="4:10">
      <c r="D72" s="1494"/>
      <c r="J72" s="1494"/>
    </row>
    <row r="73" spans="4:10">
      <c r="D73" s="1494"/>
      <c r="J73" s="1494"/>
    </row>
    <row r="74" spans="4:10">
      <c r="D74" s="1494"/>
      <c r="J74" s="1494"/>
    </row>
    <row r="75" spans="4:10">
      <c r="D75" s="1494"/>
      <c r="J75" s="1494"/>
    </row>
    <row r="76" spans="4:10">
      <c r="D76" s="1494"/>
      <c r="J76" s="1494"/>
    </row>
    <row r="77" spans="4:10">
      <c r="D77" s="1494"/>
      <c r="J77" s="1494"/>
    </row>
    <row r="78" spans="4:10">
      <c r="D78" s="1494"/>
      <c r="J78" s="1494"/>
    </row>
    <row r="79" spans="4:10">
      <c r="D79" s="1494"/>
    </row>
    <row r="80" spans="4:10">
      <c r="D80" s="1494"/>
    </row>
    <row r="81" spans="4:4">
      <c r="D81" s="1494"/>
    </row>
    <row r="82" spans="4:4">
      <c r="D82" s="1494"/>
    </row>
    <row r="83" spans="4:4">
      <c r="D83" s="1494"/>
    </row>
    <row r="84" spans="4:4">
      <c r="D84" s="1494"/>
    </row>
    <row r="85" spans="4:4">
      <c r="D85" s="1494"/>
    </row>
    <row r="86" spans="4:4">
      <c r="D86" s="1494"/>
    </row>
    <row r="87" spans="4:4">
      <c r="D87" s="1494"/>
    </row>
    <row r="88" spans="4:4">
      <c r="D88" s="1494"/>
    </row>
    <row r="89" spans="4:4">
      <c r="D89" s="1494"/>
    </row>
    <row r="90" spans="4:4">
      <c r="D90" s="1494"/>
    </row>
    <row r="91" spans="4:4">
      <c r="D91" s="1494"/>
    </row>
    <row r="92" spans="4:4">
      <c r="D92" s="1494"/>
    </row>
    <row r="93" spans="4:4">
      <c r="D93" s="1494"/>
    </row>
    <row r="94" spans="4:4">
      <c r="D94" s="1494"/>
    </row>
    <row r="95" spans="4:4">
      <c r="D95" s="1494"/>
    </row>
    <row r="96" spans="4:4">
      <c r="D96" s="1494"/>
    </row>
    <row r="97" spans="4:4">
      <c r="D97" s="1494"/>
    </row>
    <row r="98" spans="4:4">
      <c r="D98" s="1494"/>
    </row>
    <row r="99" spans="4:4">
      <c r="D99" s="1494"/>
    </row>
    <row r="100" spans="4:4">
      <c r="D100" s="1494"/>
    </row>
    <row r="101" spans="4:4">
      <c r="D101" s="1494"/>
    </row>
    <row r="102" spans="4:4">
      <c r="D102" s="1494"/>
    </row>
    <row r="103" spans="4:4">
      <c r="D103" s="1494"/>
    </row>
    <row r="104" spans="4:4">
      <c r="D104" s="1494"/>
    </row>
    <row r="105" spans="4:4">
      <c r="D105" s="1494"/>
    </row>
    <row r="106" spans="4:4">
      <c r="D106" s="1494"/>
    </row>
    <row r="107" spans="4:4">
      <c r="D107" s="1494"/>
    </row>
    <row r="108" spans="4:4">
      <c r="D108" s="1494"/>
    </row>
    <row r="109" spans="4:4">
      <c r="D109" s="1494"/>
    </row>
    <row r="110" spans="4:4">
      <c r="D110" s="1494"/>
    </row>
    <row r="111" spans="4:4">
      <c r="D111" s="1494"/>
    </row>
    <row r="112" spans="4:4">
      <c r="D112" s="1494"/>
    </row>
    <row r="113" spans="4:4">
      <c r="D113" s="1494"/>
    </row>
    <row r="114" spans="4:4">
      <c r="D114" s="1494"/>
    </row>
    <row r="115" spans="4:4">
      <c r="D115" s="1494"/>
    </row>
    <row r="116" spans="4:4">
      <c r="D116" s="1494"/>
    </row>
    <row r="117" spans="4:4">
      <c r="D117" s="1494"/>
    </row>
    <row r="118" spans="4:4">
      <c r="D118" s="1494"/>
    </row>
    <row r="119" spans="4:4">
      <c r="D119" s="1494"/>
    </row>
    <row r="120" spans="4:4">
      <c r="D120" s="1494"/>
    </row>
    <row r="121" spans="4:4">
      <c r="D121" s="1494"/>
    </row>
    <row r="122" spans="4:4">
      <c r="D122" s="1494"/>
    </row>
    <row r="123" spans="4:4">
      <c r="D123" s="1494"/>
    </row>
    <row r="124" spans="4:4">
      <c r="D124" s="1494"/>
    </row>
    <row r="125" spans="4:4">
      <c r="D125" s="1494"/>
    </row>
    <row r="126" spans="4:4">
      <c r="D126" s="1494"/>
    </row>
    <row r="127" spans="4:4">
      <c r="D127" s="1494"/>
    </row>
    <row r="128" spans="4:4">
      <c r="D128" s="1494"/>
    </row>
    <row r="129" spans="4:4">
      <c r="D129" s="1494"/>
    </row>
    <row r="130" spans="4:4">
      <c r="D130" s="1494"/>
    </row>
    <row r="131" spans="4:4">
      <c r="D131" s="1494"/>
    </row>
    <row r="132" spans="4:4">
      <c r="D132" s="1494"/>
    </row>
    <row r="133" spans="4:4">
      <c r="D133" s="1494"/>
    </row>
    <row r="134" spans="4:4">
      <c r="D134" s="1494"/>
    </row>
    <row r="135" spans="4:4">
      <c r="D135" s="1494"/>
    </row>
    <row r="136" spans="4:4">
      <c r="D136" s="1494"/>
    </row>
    <row r="137" spans="4:4">
      <c r="D137" s="1494"/>
    </row>
    <row r="138" spans="4:4">
      <c r="D138" s="1494"/>
    </row>
    <row r="139" spans="4:4">
      <c r="D139" s="1494"/>
    </row>
    <row r="140" spans="4:4">
      <c r="D140" s="1494"/>
    </row>
    <row r="141" spans="4:4">
      <c r="D141" s="1494"/>
    </row>
    <row r="142" spans="4:4">
      <c r="D142" s="1494"/>
    </row>
    <row r="143" spans="4:4">
      <c r="D143" s="1494"/>
    </row>
    <row r="144" spans="4:4">
      <c r="D144" s="1494"/>
    </row>
    <row r="145" spans="4:4">
      <c r="D145" s="1494"/>
    </row>
    <row r="146" spans="4:4">
      <c r="D146" s="1494"/>
    </row>
    <row r="147" spans="4:4">
      <c r="D147" s="1494"/>
    </row>
    <row r="148" spans="4:4">
      <c r="D148" s="1494"/>
    </row>
    <row r="149" spans="4:4">
      <c r="D149" s="1494"/>
    </row>
    <row r="150" spans="4:4">
      <c r="D150" s="1494"/>
    </row>
    <row r="151" spans="4:4">
      <c r="D151" s="1494"/>
    </row>
    <row r="152" spans="4:4">
      <c r="D152" s="1494"/>
    </row>
    <row r="153" spans="4:4">
      <c r="D153" s="1494"/>
    </row>
    <row r="154" spans="4:4">
      <c r="D154" s="1494"/>
    </row>
    <row r="155" spans="4:4">
      <c r="D155" s="1494"/>
    </row>
    <row r="156" spans="4:4">
      <c r="D156" s="1494"/>
    </row>
    <row r="157" spans="4:4">
      <c r="D157" s="1494"/>
    </row>
    <row r="158" spans="4:4">
      <c r="D158" s="1494"/>
    </row>
    <row r="159" spans="4:4">
      <c r="D159" s="1494"/>
    </row>
    <row r="160" spans="4:4">
      <c r="D160" s="1494"/>
    </row>
    <row r="161" spans="4:4">
      <c r="D161" s="1494"/>
    </row>
    <row r="162" spans="4:4">
      <c r="D162" s="1494"/>
    </row>
    <row r="163" spans="4:4">
      <c r="D163" s="1494"/>
    </row>
    <row r="164" spans="4:4">
      <c r="D164" s="1494"/>
    </row>
    <row r="165" spans="4:4">
      <c r="D165" s="1494"/>
    </row>
    <row r="166" spans="4:4">
      <c r="D166" s="1494"/>
    </row>
    <row r="167" spans="4:4">
      <c r="D167" s="1494"/>
    </row>
    <row r="168" spans="4:4">
      <c r="D168" s="1494"/>
    </row>
    <row r="169" spans="4:4">
      <c r="D169" s="1494"/>
    </row>
    <row r="170" spans="4:4">
      <c r="D170" s="1494"/>
    </row>
    <row r="171" spans="4:4">
      <c r="D171" s="1494"/>
    </row>
    <row r="172" spans="4:4">
      <c r="D172" s="1494"/>
    </row>
    <row r="173" spans="4:4">
      <c r="D173" s="1494"/>
    </row>
    <row r="174" spans="4:4">
      <c r="D174" s="1494"/>
    </row>
    <row r="175" spans="4:4">
      <c r="D175" s="1494"/>
    </row>
    <row r="176" spans="4:4">
      <c r="D176" s="1494"/>
    </row>
    <row r="177" spans="4:4">
      <c r="D177" s="1494"/>
    </row>
    <row r="178" spans="4:4">
      <c r="D178" s="1494"/>
    </row>
    <row r="179" spans="4:4">
      <c r="D179" s="1494"/>
    </row>
    <row r="180" spans="4:4">
      <c r="D180" s="1494"/>
    </row>
    <row r="181" spans="4:4">
      <c r="D181" s="1494"/>
    </row>
    <row r="182" spans="4:4">
      <c r="D182" s="1494"/>
    </row>
    <row r="183" spans="4:4">
      <c r="D183" s="1494"/>
    </row>
    <row r="184" spans="4:4">
      <c r="D184" s="1494"/>
    </row>
    <row r="185" spans="4:4">
      <c r="D185" s="1494"/>
    </row>
    <row r="186" spans="4:4">
      <c r="D186" s="1494"/>
    </row>
    <row r="187" spans="4:4">
      <c r="D187" s="1494"/>
    </row>
    <row r="188" spans="4:4">
      <c r="D188" s="1494"/>
    </row>
    <row r="189" spans="4:4">
      <c r="D189" s="1494"/>
    </row>
    <row r="190" spans="4:4">
      <c r="D190" s="1494"/>
    </row>
    <row r="191" spans="4:4">
      <c r="D191" s="1494"/>
    </row>
    <row r="192" spans="4:4">
      <c r="D192" s="1494"/>
    </row>
    <row r="193" spans="4:4">
      <c r="D193" s="1494"/>
    </row>
    <row r="194" spans="4:4">
      <c r="D194" s="1494"/>
    </row>
    <row r="195" spans="4:4">
      <c r="D195" s="1494"/>
    </row>
    <row r="196" spans="4:4">
      <c r="D196" s="1494"/>
    </row>
    <row r="197" spans="4:4">
      <c r="D197" s="1494"/>
    </row>
    <row r="198" spans="4:4">
      <c r="D198" s="1494"/>
    </row>
    <row r="199" spans="4:4">
      <c r="D199" s="1494"/>
    </row>
    <row r="200" spans="4:4">
      <c r="D200" s="1494"/>
    </row>
    <row r="201" spans="4:4">
      <c r="D201" s="1494"/>
    </row>
    <row r="202" spans="4:4">
      <c r="D202" s="1494"/>
    </row>
    <row r="203" spans="4:4">
      <c r="D203" s="1494"/>
    </row>
    <row r="204" spans="4:4">
      <c r="D204" s="1494"/>
    </row>
    <row r="205" spans="4:4">
      <c r="D205" s="1494"/>
    </row>
    <row r="206" spans="4:4">
      <c r="D206" s="1494"/>
    </row>
    <row r="207" spans="4:4">
      <c r="D207" s="1494"/>
    </row>
    <row r="208" spans="4:4">
      <c r="D208" s="1494"/>
    </row>
    <row r="209" spans="4:4">
      <c r="D209" s="1494"/>
    </row>
    <row r="210" spans="4:4">
      <c r="D210" s="1494"/>
    </row>
    <row r="211" spans="4:4">
      <c r="D211" s="1494"/>
    </row>
    <row r="212" spans="4:4">
      <c r="D212" s="1494"/>
    </row>
    <row r="213" spans="4:4">
      <c r="D213" s="1494"/>
    </row>
    <row r="214" spans="4:4">
      <c r="D214" s="1494"/>
    </row>
    <row r="215" spans="4:4">
      <c r="D215" s="1494"/>
    </row>
    <row r="216" spans="4:4">
      <c r="D216" s="1494"/>
    </row>
    <row r="217" spans="4:4">
      <c r="D217" s="1494"/>
    </row>
    <row r="218" spans="4:4">
      <c r="D218" s="1494"/>
    </row>
    <row r="219" spans="4:4">
      <c r="D219" s="1494"/>
    </row>
    <row r="220" spans="4:4">
      <c r="D220" s="1494"/>
    </row>
    <row r="221" spans="4:4">
      <c r="D221" s="1494"/>
    </row>
    <row r="222" spans="4:4">
      <c r="D222" s="1494"/>
    </row>
    <row r="223" spans="4:4">
      <c r="D223" s="1494"/>
    </row>
    <row r="224" spans="4:4">
      <c r="D224" s="1494"/>
    </row>
    <row r="225" spans="4:4">
      <c r="D225" s="1494"/>
    </row>
    <row r="226" spans="4:4">
      <c r="D226" s="1494"/>
    </row>
    <row r="227" spans="4:4">
      <c r="D227" s="1494"/>
    </row>
    <row r="228" spans="4:4">
      <c r="D228" s="1494"/>
    </row>
    <row r="229" spans="4:4">
      <c r="D229" s="1494"/>
    </row>
    <row r="230" spans="4:4">
      <c r="D230" s="1494"/>
    </row>
    <row r="231" spans="4:4">
      <c r="D231" s="1494"/>
    </row>
    <row r="232" spans="4:4">
      <c r="D232" s="1494"/>
    </row>
    <row r="233" spans="4:4">
      <c r="D233" s="1494"/>
    </row>
    <row r="234" spans="4:4">
      <c r="D234" s="1494"/>
    </row>
    <row r="235" spans="4:4">
      <c r="D235" s="1494"/>
    </row>
    <row r="236" spans="4:4">
      <c r="D236" s="1494"/>
    </row>
    <row r="237" spans="4:4">
      <c r="D237" s="1494"/>
    </row>
    <row r="238" spans="4:4">
      <c r="D238" s="1494"/>
    </row>
    <row r="239" spans="4:4">
      <c r="D239" s="1494"/>
    </row>
    <row r="240" spans="4:4">
      <c r="D240" s="1494"/>
    </row>
    <row r="241" spans="4:4">
      <c r="D241" s="1494"/>
    </row>
    <row r="242" spans="4:4">
      <c r="D242" s="1494"/>
    </row>
    <row r="243" spans="4:4">
      <c r="D243" s="1494"/>
    </row>
    <row r="244" spans="4:4">
      <c r="D244" s="1494"/>
    </row>
    <row r="245" spans="4:4">
      <c r="D245" s="1494"/>
    </row>
    <row r="246" spans="4:4">
      <c r="D246" s="1494"/>
    </row>
    <row r="247" spans="4:4">
      <c r="D247" s="1494"/>
    </row>
    <row r="248" spans="4:4">
      <c r="D248" s="1494"/>
    </row>
    <row r="249" spans="4:4">
      <c r="D249" s="1494"/>
    </row>
    <row r="250" spans="4:4">
      <c r="D250" s="1494"/>
    </row>
    <row r="251" spans="4:4">
      <c r="D251" s="1494"/>
    </row>
    <row r="252" spans="4:4">
      <c r="D252" s="1494"/>
    </row>
    <row r="253" spans="4:4">
      <c r="D253" s="1494"/>
    </row>
    <row r="254" spans="4:4">
      <c r="D254" s="1494"/>
    </row>
    <row r="255" spans="4:4">
      <c r="D255" s="1494"/>
    </row>
    <row r="256" spans="4:4">
      <c r="D256" s="1494"/>
    </row>
    <row r="257" spans="4:4">
      <c r="D257" s="1494"/>
    </row>
    <row r="258" spans="4:4">
      <c r="D258" s="1494"/>
    </row>
    <row r="259" spans="4:4">
      <c r="D259" s="1494"/>
    </row>
    <row r="260" spans="4:4">
      <c r="D260" s="1494"/>
    </row>
    <row r="261" spans="4:4">
      <c r="D261" s="1494"/>
    </row>
    <row r="262" spans="4:4">
      <c r="D262" s="1494"/>
    </row>
    <row r="263" spans="4:4">
      <c r="D263" s="1494"/>
    </row>
    <row r="264" spans="4:4">
      <c r="D264" s="1494"/>
    </row>
    <row r="265" spans="4:4">
      <c r="D265" s="1494"/>
    </row>
    <row r="266" spans="4:4">
      <c r="D266" s="1494"/>
    </row>
    <row r="267" spans="4:4">
      <c r="D267" s="1494"/>
    </row>
    <row r="268" spans="4:4">
      <c r="D268" s="1494"/>
    </row>
    <row r="269" spans="4:4">
      <c r="D269" s="1494"/>
    </row>
    <row r="270" spans="4:4">
      <c r="D270" s="1494"/>
    </row>
    <row r="271" spans="4:4">
      <c r="D271" s="1494"/>
    </row>
    <row r="272" spans="4:4">
      <c r="D272" s="1494"/>
    </row>
    <row r="273" spans="4:4">
      <c r="D273" s="1494"/>
    </row>
    <row r="274" spans="4:4">
      <c r="D274" s="1494"/>
    </row>
    <row r="275" spans="4:4">
      <c r="D275" s="1494"/>
    </row>
    <row r="276" spans="4:4">
      <c r="D276" s="1494"/>
    </row>
    <row r="277" spans="4:4">
      <c r="D277" s="1494"/>
    </row>
    <row r="278" spans="4:4">
      <c r="D278" s="1494"/>
    </row>
    <row r="279" spans="4:4">
      <c r="D279" s="1494"/>
    </row>
    <row r="280" spans="4:4">
      <c r="D280" s="1494"/>
    </row>
    <row r="281" spans="4:4">
      <c r="D281" s="1494"/>
    </row>
    <row r="282" spans="4:4">
      <c r="D282" s="1494"/>
    </row>
    <row r="283" spans="4:4">
      <c r="D283" s="1494"/>
    </row>
    <row r="284" spans="4:4">
      <c r="D284" s="1494"/>
    </row>
    <row r="285" spans="4:4">
      <c r="D285" s="1494"/>
    </row>
    <row r="286" spans="4:4">
      <c r="D286" s="1494"/>
    </row>
    <row r="287" spans="4:4">
      <c r="D287" s="1494"/>
    </row>
    <row r="288" spans="4:4">
      <c r="D288" s="1494"/>
    </row>
    <row r="289" spans="4:4">
      <c r="D289" s="1494"/>
    </row>
    <row r="290" spans="4:4">
      <c r="D290" s="1494"/>
    </row>
    <row r="291" spans="4:4">
      <c r="D291" s="1494"/>
    </row>
    <row r="292" spans="4:4">
      <c r="D292" s="1494"/>
    </row>
    <row r="293" spans="4:4">
      <c r="D293" s="1494"/>
    </row>
    <row r="294" spans="4:4">
      <c r="D294" s="1494"/>
    </row>
    <row r="295" spans="4:4">
      <c r="D295" s="1494"/>
    </row>
    <row r="296" spans="4:4">
      <c r="D296" s="1494"/>
    </row>
    <row r="297" spans="4:4">
      <c r="D297" s="1494"/>
    </row>
    <row r="298" spans="4:4">
      <c r="D298" s="1494"/>
    </row>
    <row r="299" spans="4:4">
      <c r="D299" s="1494"/>
    </row>
    <row r="300" spans="4:4">
      <c r="D300" s="1494"/>
    </row>
    <row r="301" spans="4:4">
      <c r="D301" s="1494"/>
    </row>
    <row r="302" spans="4:4">
      <c r="D302" s="1494"/>
    </row>
    <row r="303" spans="4:4">
      <c r="D303" s="1494"/>
    </row>
    <row r="304" spans="4:4">
      <c r="D304" s="1494"/>
    </row>
    <row r="305" spans="4:4">
      <c r="D305" s="1494"/>
    </row>
    <row r="306" spans="4:4">
      <c r="D306" s="1494"/>
    </row>
    <row r="307" spans="4:4">
      <c r="D307" s="1494"/>
    </row>
    <row r="308" spans="4:4">
      <c r="D308" s="1494"/>
    </row>
    <row r="309" spans="4:4">
      <c r="D309" s="1494"/>
    </row>
    <row r="310" spans="4:4">
      <c r="D310" s="1494"/>
    </row>
    <row r="311" spans="4:4">
      <c r="D311" s="1494"/>
    </row>
    <row r="312" spans="4:4">
      <c r="D312" s="1494"/>
    </row>
    <row r="313" spans="4:4">
      <c r="D313" s="1494"/>
    </row>
    <row r="314" spans="4:4">
      <c r="D314" s="1494"/>
    </row>
    <row r="315" spans="4:4">
      <c r="D315" s="1494"/>
    </row>
    <row r="316" spans="4:4">
      <c r="D316" s="1494"/>
    </row>
    <row r="317" spans="4:4">
      <c r="D317" s="1494"/>
    </row>
    <row r="318" spans="4:4">
      <c r="D318" s="1494"/>
    </row>
    <row r="319" spans="4:4">
      <c r="D319" s="1494"/>
    </row>
    <row r="320" spans="4:4">
      <c r="D320" s="1494"/>
    </row>
    <row r="321" spans="4:4">
      <c r="D321" s="1494"/>
    </row>
    <row r="322" spans="4:4">
      <c r="D322" s="1494"/>
    </row>
    <row r="323" spans="4:4">
      <c r="D323" s="1494"/>
    </row>
    <row r="324" spans="4:4">
      <c r="D324" s="1494"/>
    </row>
    <row r="325" spans="4:4">
      <c r="D325" s="1494"/>
    </row>
    <row r="326" spans="4:4">
      <c r="D326" s="1494"/>
    </row>
    <row r="327" spans="4:4">
      <c r="D327" s="1494"/>
    </row>
    <row r="328" spans="4:4">
      <c r="D328" s="1494"/>
    </row>
    <row r="329" spans="4:4">
      <c r="D329" s="1494"/>
    </row>
    <row r="330" spans="4:4">
      <c r="D330" s="1494"/>
    </row>
    <row r="331" spans="4:4">
      <c r="D331" s="1494"/>
    </row>
    <row r="332" spans="4:4">
      <c r="D332" s="1494"/>
    </row>
    <row r="333" spans="4:4">
      <c r="D333" s="1494"/>
    </row>
    <row r="334" spans="4:4">
      <c r="D334" s="1494"/>
    </row>
    <row r="335" spans="4:4">
      <c r="D335" s="1494"/>
    </row>
    <row r="336" spans="4:4">
      <c r="D336" s="1494"/>
    </row>
    <row r="337" spans="4:4">
      <c r="D337" s="1494"/>
    </row>
    <row r="338" spans="4:4">
      <c r="D338" s="1494"/>
    </row>
    <row r="339" spans="4:4">
      <c r="D339" s="1494"/>
    </row>
    <row r="340" spans="4:4">
      <c r="D340" s="1494"/>
    </row>
    <row r="341" spans="4:4">
      <c r="D341" s="1494"/>
    </row>
    <row r="342" spans="4:4">
      <c r="D342" s="1494"/>
    </row>
    <row r="343" spans="4:4">
      <c r="D343" s="1494"/>
    </row>
    <row r="344" spans="4:4">
      <c r="D344" s="1494"/>
    </row>
    <row r="345" spans="4:4">
      <c r="D345" s="1494"/>
    </row>
    <row r="346" spans="4:4">
      <c r="D346" s="1494"/>
    </row>
    <row r="347" spans="4:4">
      <c r="D347" s="1494"/>
    </row>
    <row r="348" spans="4:4">
      <c r="D348" s="1494"/>
    </row>
    <row r="349" spans="4:4">
      <c r="D349" s="1494"/>
    </row>
    <row r="350" spans="4:4">
      <c r="D350" s="1494"/>
    </row>
    <row r="351" spans="4:4">
      <c r="D351" s="1494"/>
    </row>
    <row r="352" spans="4:4">
      <c r="D352" s="1494"/>
    </row>
    <row r="353" spans="4:4">
      <c r="D353" s="1494"/>
    </row>
    <row r="354" spans="4:4">
      <c r="D354" s="1494"/>
    </row>
    <row r="355" spans="4:4">
      <c r="D355" s="1494"/>
    </row>
    <row r="356" spans="4:4">
      <c r="D356" s="1494"/>
    </row>
    <row r="357" spans="4:4">
      <c r="D357" s="1494"/>
    </row>
    <row r="358" spans="4:4">
      <c r="D358" s="1494"/>
    </row>
    <row r="359" spans="4:4">
      <c r="D359" s="1494"/>
    </row>
    <row r="360" spans="4:4">
      <c r="D360" s="1494"/>
    </row>
    <row r="361" spans="4:4">
      <c r="D361" s="1494"/>
    </row>
    <row r="362" spans="4:4">
      <c r="D362" s="1494"/>
    </row>
    <row r="363" spans="4:4">
      <c r="D363" s="1494"/>
    </row>
    <row r="364" spans="4:4">
      <c r="D364" s="1494"/>
    </row>
    <row r="365" spans="4:4">
      <c r="D365" s="1494"/>
    </row>
    <row r="366" spans="4:4">
      <c r="D366" s="1494"/>
    </row>
    <row r="367" spans="4:4">
      <c r="D367" s="1494"/>
    </row>
    <row r="368" spans="4:4">
      <c r="D368" s="1494"/>
    </row>
    <row r="369" spans="4:4">
      <c r="D369" s="1494"/>
    </row>
    <row r="370" spans="4:4">
      <c r="D370" s="1494"/>
    </row>
    <row r="371" spans="4:4">
      <c r="D371" s="1494"/>
    </row>
    <row r="372" spans="4:4">
      <c r="D372" s="1494"/>
    </row>
    <row r="373" spans="4:4">
      <c r="D373" s="1494"/>
    </row>
    <row r="374" spans="4:4">
      <c r="D374" s="1494"/>
    </row>
    <row r="375" spans="4:4">
      <c r="D375" s="1494"/>
    </row>
    <row r="376" spans="4:4">
      <c r="D376" s="1494"/>
    </row>
    <row r="377" spans="4:4">
      <c r="D377" s="1494"/>
    </row>
    <row r="378" spans="4:4">
      <c r="D378" s="1494"/>
    </row>
    <row r="379" spans="4:4">
      <c r="D379" s="1494"/>
    </row>
    <row r="380" spans="4:4">
      <c r="D380" s="1494"/>
    </row>
    <row r="381" spans="4:4">
      <c r="D381" s="1494"/>
    </row>
    <row r="382" spans="4:4">
      <c r="D382" s="1494"/>
    </row>
    <row r="383" spans="4:4">
      <c r="D383" s="1494"/>
    </row>
    <row r="384" spans="4:4">
      <c r="D384" s="1494"/>
    </row>
    <row r="385" spans="4:4">
      <c r="D385" s="1494"/>
    </row>
    <row r="386" spans="4:4">
      <c r="D386" s="1494"/>
    </row>
    <row r="387" spans="4:4">
      <c r="D387" s="1494"/>
    </row>
    <row r="388" spans="4:4">
      <c r="D388" s="1494"/>
    </row>
    <row r="389" spans="4:4">
      <c r="D389" s="1494"/>
    </row>
    <row r="390" spans="4:4">
      <c r="D390" s="1494"/>
    </row>
    <row r="391" spans="4:4">
      <c r="D391" s="1494"/>
    </row>
    <row r="392" spans="4:4">
      <c r="D392" s="1494"/>
    </row>
    <row r="393" spans="4:4">
      <c r="D393" s="1494"/>
    </row>
    <row r="394" spans="4:4">
      <c r="D394" s="1494"/>
    </row>
    <row r="395" spans="4:4">
      <c r="D395" s="1494"/>
    </row>
    <row r="396" spans="4:4">
      <c r="D396" s="1494"/>
    </row>
    <row r="397" spans="4:4">
      <c r="D397" s="1494"/>
    </row>
    <row r="398" spans="4:4">
      <c r="D398" s="1494"/>
    </row>
    <row r="399" spans="4:4">
      <c r="D399" s="1494"/>
    </row>
    <row r="400" spans="4:4">
      <c r="D400" s="1494"/>
    </row>
    <row r="401" spans="4:4">
      <c r="D401" s="1494"/>
    </row>
    <row r="402" spans="4:4">
      <c r="D402" s="1494"/>
    </row>
    <row r="403" spans="4:4">
      <c r="D403" s="1494"/>
    </row>
    <row r="404" spans="4:4">
      <c r="D404" s="1494"/>
    </row>
    <row r="405" spans="4:4">
      <c r="D405" s="1494"/>
    </row>
    <row r="406" spans="4:4">
      <c r="D406" s="1494"/>
    </row>
    <row r="407" spans="4:4">
      <c r="D407" s="1494"/>
    </row>
    <row r="408" spans="4:4">
      <c r="D408" s="1494"/>
    </row>
    <row r="409" spans="4:4">
      <c r="D409" s="1494"/>
    </row>
    <row r="410" spans="4:4">
      <c r="D410" s="1494"/>
    </row>
    <row r="411" spans="4:4">
      <c r="D411" s="1494"/>
    </row>
    <row r="412" spans="4:4">
      <c r="D412" s="1494"/>
    </row>
    <row r="413" spans="4:4">
      <c r="D413" s="1494"/>
    </row>
    <row r="414" spans="4:4">
      <c r="D414" s="1494"/>
    </row>
    <row r="415" spans="4:4">
      <c r="D415" s="1494"/>
    </row>
    <row r="416" spans="4:4">
      <c r="D416" s="1494"/>
    </row>
    <row r="417" spans="4:4">
      <c r="D417" s="1494"/>
    </row>
    <row r="418" spans="4:4">
      <c r="D418" s="1494"/>
    </row>
    <row r="419" spans="4:4">
      <c r="D419" s="1494"/>
    </row>
    <row r="420" spans="4:4">
      <c r="D420" s="1494"/>
    </row>
    <row r="421" spans="4:4">
      <c r="D421" s="1494"/>
    </row>
    <row r="422" spans="4:4">
      <c r="D422" s="1494"/>
    </row>
    <row r="423" spans="4:4">
      <c r="D423" s="1494"/>
    </row>
    <row r="424" spans="4:4">
      <c r="D424" s="1494"/>
    </row>
    <row r="425" spans="4:4">
      <c r="D425" s="1494"/>
    </row>
    <row r="426" spans="4:4">
      <c r="D426" s="1494"/>
    </row>
    <row r="427" spans="4:4">
      <c r="D427" s="1494"/>
    </row>
    <row r="428" spans="4:4">
      <c r="D428" s="1494"/>
    </row>
    <row r="429" spans="4:4">
      <c r="D429" s="1494"/>
    </row>
    <row r="430" spans="4:4">
      <c r="D430" s="1494"/>
    </row>
    <row r="431" spans="4:4">
      <c r="D431" s="1494"/>
    </row>
    <row r="432" spans="4:4">
      <c r="D432" s="1494"/>
    </row>
    <row r="433" spans="4:4">
      <c r="D433" s="1494"/>
    </row>
    <row r="434" spans="4:4">
      <c r="D434" s="1494"/>
    </row>
    <row r="435" spans="4:4">
      <c r="D435" s="1494"/>
    </row>
    <row r="436" spans="4:4">
      <c r="D436" s="1494"/>
    </row>
    <row r="437" spans="4:4">
      <c r="D437" s="1494"/>
    </row>
    <row r="438" spans="4:4">
      <c r="D438" s="1494"/>
    </row>
    <row r="439" spans="4:4">
      <c r="D439" s="1494"/>
    </row>
    <row r="440" spans="4:4">
      <c r="D440" s="1494"/>
    </row>
    <row r="441" spans="4:4">
      <c r="D441" s="1494"/>
    </row>
    <row r="442" spans="4:4">
      <c r="D442" s="1494"/>
    </row>
    <row r="443" spans="4:4">
      <c r="D443" s="1494"/>
    </row>
    <row r="444" spans="4:4">
      <c r="D444" s="1494"/>
    </row>
    <row r="445" spans="4:4">
      <c r="D445" s="1494"/>
    </row>
    <row r="446" spans="4:4">
      <c r="D446" s="1494"/>
    </row>
    <row r="447" spans="4:4">
      <c r="D447" s="1494"/>
    </row>
    <row r="448" spans="4:4">
      <c r="D448" s="1494"/>
    </row>
    <row r="449" spans="4:4">
      <c r="D449" s="1494"/>
    </row>
    <row r="450" spans="4:4">
      <c r="D450" s="1494"/>
    </row>
    <row r="451" spans="4:4">
      <c r="D451" s="1494"/>
    </row>
    <row r="452" spans="4:4">
      <c r="D452" s="1494"/>
    </row>
    <row r="453" spans="4:4">
      <c r="D453" s="1494"/>
    </row>
    <row r="454" spans="4:4">
      <c r="D454" s="1494"/>
    </row>
    <row r="455" spans="4:4">
      <c r="D455" s="1494"/>
    </row>
    <row r="456" spans="4:4">
      <c r="D456" s="1494"/>
    </row>
    <row r="457" spans="4:4">
      <c r="D457" s="1494"/>
    </row>
    <row r="458" spans="4:4">
      <c r="D458" s="1494"/>
    </row>
    <row r="459" spans="4:4">
      <c r="D459" s="1494"/>
    </row>
    <row r="460" spans="4:4">
      <c r="D460" s="1494"/>
    </row>
    <row r="461" spans="4:4">
      <c r="D461" s="1494"/>
    </row>
    <row r="462" spans="4:4">
      <c r="D462" s="1494"/>
    </row>
    <row r="463" spans="4:4">
      <c r="D463" s="1494"/>
    </row>
    <row r="464" spans="4:4">
      <c r="D464" s="1494"/>
    </row>
    <row r="465" spans="4:4">
      <c r="D465" s="1494"/>
    </row>
    <row r="466" spans="4:4">
      <c r="D466" s="1494"/>
    </row>
    <row r="467" spans="4:4">
      <c r="D467" s="1494"/>
    </row>
    <row r="468" spans="4:4">
      <c r="D468" s="1494"/>
    </row>
    <row r="469" spans="4:4">
      <c r="D469" s="1494"/>
    </row>
    <row r="470" spans="4:4">
      <c r="D470" s="1494"/>
    </row>
    <row r="471" spans="4:4">
      <c r="D471" s="1494"/>
    </row>
    <row r="472" spans="4:4">
      <c r="D472" s="1494"/>
    </row>
    <row r="473" spans="4:4">
      <c r="D473" s="1494"/>
    </row>
    <row r="474" spans="4:4">
      <c r="D474" s="1494"/>
    </row>
    <row r="475" spans="4:4">
      <c r="D475" s="1494"/>
    </row>
    <row r="476" spans="4:4">
      <c r="D476" s="1494"/>
    </row>
    <row r="477" spans="4:4">
      <c r="D477" s="1494"/>
    </row>
    <row r="478" spans="4:4">
      <c r="D478" s="1494"/>
    </row>
    <row r="479" spans="4:4">
      <c r="D479" s="1494"/>
    </row>
    <row r="480" spans="4:4">
      <c r="D480" s="1494"/>
    </row>
    <row r="481" spans="4:4">
      <c r="D481" s="1494"/>
    </row>
    <row r="482" spans="4:4">
      <c r="D482" s="1494"/>
    </row>
    <row r="483" spans="4:4">
      <c r="D483" s="1494"/>
    </row>
    <row r="484" spans="4:4">
      <c r="D484" s="1494"/>
    </row>
    <row r="485" spans="4:4">
      <c r="D485" s="1494"/>
    </row>
    <row r="486" spans="4:4">
      <c r="D486" s="1494"/>
    </row>
    <row r="487" spans="4:4">
      <c r="D487" s="1494"/>
    </row>
    <row r="488" spans="4:4">
      <c r="D488" s="1494"/>
    </row>
    <row r="489" spans="4:4">
      <c r="D489" s="1494"/>
    </row>
    <row r="490" spans="4:4">
      <c r="D490" s="1494"/>
    </row>
    <row r="491" spans="4:4">
      <c r="D491" s="1494"/>
    </row>
    <row r="492" spans="4:4">
      <c r="D492" s="1494"/>
    </row>
    <row r="493" spans="4:4">
      <c r="D493" s="1494"/>
    </row>
    <row r="494" spans="4:4">
      <c r="D494" s="1494"/>
    </row>
    <row r="495" spans="4:4">
      <c r="D495" s="1494"/>
    </row>
    <row r="496" spans="4:4">
      <c r="D496" s="1494"/>
    </row>
    <row r="497" spans="4:4">
      <c r="D497" s="1494"/>
    </row>
    <row r="498" spans="4:4">
      <c r="D498" s="1494"/>
    </row>
    <row r="499" spans="4:4">
      <c r="D499" s="1494"/>
    </row>
    <row r="500" spans="4:4">
      <c r="D500" s="1494"/>
    </row>
    <row r="501" spans="4:4">
      <c r="D501" s="1494"/>
    </row>
    <row r="502" spans="4:4">
      <c r="D502" s="1494"/>
    </row>
    <row r="503" spans="4:4">
      <c r="D503" s="1494"/>
    </row>
    <row r="504" spans="4:4">
      <c r="D504" s="1494"/>
    </row>
    <row r="505" spans="4:4">
      <c r="D505" s="1494"/>
    </row>
    <row r="506" spans="4:4">
      <c r="D506" s="1494"/>
    </row>
    <row r="507" spans="4:4">
      <c r="D507" s="1494"/>
    </row>
    <row r="508" spans="4:4">
      <c r="D508" s="1494"/>
    </row>
    <row r="509" spans="4:4">
      <c r="D509" s="1494"/>
    </row>
    <row r="510" spans="4:4">
      <c r="D510" s="1494"/>
    </row>
    <row r="511" spans="4:4">
      <c r="D511" s="1494"/>
    </row>
    <row r="512" spans="4:4">
      <c r="D512" s="1494"/>
    </row>
    <row r="513" spans="4:4">
      <c r="D513" s="1494"/>
    </row>
    <row r="514" spans="4:4">
      <c r="D514" s="1494"/>
    </row>
    <row r="515" spans="4:4">
      <c r="D515" s="1494"/>
    </row>
    <row r="516" spans="4:4">
      <c r="D516" s="1494"/>
    </row>
    <row r="517" spans="4:4">
      <c r="D517" s="1494"/>
    </row>
    <row r="518" spans="4:4">
      <c r="D518" s="1494"/>
    </row>
    <row r="519" spans="4:4">
      <c r="D519" s="1494"/>
    </row>
    <row r="520" spans="4:4">
      <c r="D520" s="1494"/>
    </row>
    <row r="521" spans="4:4">
      <c r="D521" s="1494"/>
    </row>
    <row r="522" spans="4:4">
      <c r="D522" s="1494"/>
    </row>
    <row r="523" spans="4:4">
      <c r="D523" s="1494"/>
    </row>
    <row r="524" spans="4:4">
      <c r="D524" s="1494"/>
    </row>
    <row r="525" spans="4:4">
      <c r="D525" s="1494"/>
    </row>
    <row r="526" spans="4:4">
      <c r="D526" s="1494"/>
    </row>
    <row r="527" spans="4:4">
      <c r="D527" s="1494"/>
    </row>
    <row r="528" spans="4:4">
      <c r="D528" s="1494"/>
    </row>
    <row r="529" spans="4:4">
      <c r="D529" s="1494"/>
    </row>
    <row r="530" spans="4:4">
      <c r="D530" s="1494"/>
    </row>
    <row r="531" spans="4:4">
      <c r="D531" s="1494"/>
    </row>
    <row r="532" spans="4:4">
      <c r="D532" s="1494"/>
    </row>
    <row r="533" spans="4:4">
      <c r="D533" s="1494"/>
    </row>
    <row r="534" spans="4:4">
      <c r="D534" s="1494"/>
    </row>
    <row r="535" spans="4:4">
      <c r="D535" s="1494"/>
    </row>
    <row r="536" spans="4:4">
      <c r="D536" s="1494"/>
    </row>
    <row r="537" spans="4:4">
      <c r="D537" s="1494"/>
    </row>
    <row r="538" spans="4:4">
      <c r="D538" s="1494"/>
    </row>
    <row r="539" spans="4:4">
      <c r="D539" s="1494"/>
    </row>
    <row r="540" spans="4:4">
      <c r="D540" s="1494"/>
    </row>
    <row r="541" spans="4:4">
      <c r="D541" s="1494"/>
    </row>
    <row r="542" spans="4:4">
      <c r="D542" s="1494"/>
    </row>
    <row r="543" spans="4:4">
      <c r="D543" s="1494"/>
    </row>
    <row r="544" spans="4:4">
      <c r="D544" s="1494"/>
    </row>
    <row r="545" spans="4:4">
      <c r="D545" s="1494"/>
    </row>
    <row r="546" spans="4:4">
      <c r="D546" s="1494"/>
    </row>
    <row r="547" spans="4:4">
      <c r="D547" s="1494"/>
    </row>
    <row r="548" spans="4:4">
      <c r="D548" s="1494"/>
    </row>
    <row r="549" spans="4:4">
      <c r="D549" s="1494"/>
    </row>
    <row r="550" spans="4:4">
      <c r="D550" s="1494"/>
    </row>
    <row r="551" spans="4:4">
      <c r="D551" s="1494"/>
    </row>
    <row r="552" spans="4:4">
      <c r="D552" s="1494"/>
    </row>
    <row r="553" spans="4:4">
      <c r="D553" s="1494"/>
    </row>
    <row r="554" spans="4:4">
      <c r="D554" s="1494"/>
    </row>
    <row r="555" spans="4:4">
      <c r="D555" s="1494"/>
    </row>
    <row r="556" spans="4:4">
      <c r="D556" s="1494"/>
    </row>
    <row r="557" spans="4:4">
      <c r="D557" s="1494"/>
    </row>
    <row r="558" spans="4:4">
      <c r="D558" s="1494"/>
    </row>
    <row r="559" spans="4:4">
      <c r="D559" s="1494"/>
    </row>
    <row r="560" spans="4:4">
      <c r="D560" s="1494"/>
    </row>
    <row r="561" spans="4:4">
      <c r="D561" s="1494"/>
    </row>
    <row r="562" spans="4:4">
      <c r="D562" s="1494"/>
    </row>
    <row r="563" spans="4:4">
      <c r="D563" s="1494"/>
    </row>
    <row r="564" spans="4:4">
      <c r="D564" s="1494"/>
    </row>
    <row r="565" spans="4:4">
      <c r="D565" s="1494"/>
    </row>
    <row r="566" spans="4:4">
      <c r="D566" s="1494"/>
    </row>
    <row r="567" spans="4:4">
      <c r="D567" s="1494"/>
    </row>
    <row r="568" spans="4:4">
      <c r="D568" s="1494"/>
    </row>
    <row r="569" spans="4:4">
      <c r="D569" s="1494"/>
    </row>
    <row r="570" spans="4:4">
      <c r="D570" s="1494"/>
    </row>
    <row r="571" spans="4:4">
      <c r="D571" s="1494"/>
    </row>
    <row r="572" spans="4:4">
      <c r="D572" s="1494"/>
    </row>
    <row r="573" spans="4:4">
      <c r="D573" s="1494"/>
    </row>
    <row r="574" spans="4:4">
      <c r="D574" s="1494"/>
    </row>
    <row r="575" spans="4:4">
      <c r="D575" s="1494"/>
    </row>
    <row r="576" spans="4:4">
      <c r="D576" s="1494"/>
    </row>
    <row r="577" spans="4:4">
      <c r="D577" s="1494"/>
    </row>
    <row r="578" spans="4:4">
      <c r="D578" s="1494"/>
    </row>
    <row r="579" spans="4:4">
      <c r="D579" s="1494"/>
    </row>
    <row r="580" spans="4:4">
      <c r="D580" s="1494"/>
    </row>
    <row r="581" spans="4:4">
      <c r="D581" s="1494"/>
    </row>
    <row r="582" spans="4:4">
      <c r="D582" s="1494"/>
    </row>
    <row r="583" spans="4:4">
      <c r="D583" s="1494"/>
    </row>
    <row r="584" spans="4:4">
      <c r="D584" s="1494"/>
    </row>
    <row r="585" spans="4:4">
      <c r="D585" s="1494"/>
    </row>
    <row r="586" spans="4:4">
      <c r="D586" s="1494"/>
    </row>
    <row r="587" spans="4:4">
      <c r="D587" s="1494"/>
    </row>
    <row r="588" spans="4:4">
      <c r="D588" s="1494"/>
    </row>
    <row r="589" spans="4:4">
      <c r="D589" s="1494"/>
    </row>
    <row r="590" spans="4:4">
      <c r="D590" s="1494"/>
    </row>
    <row r="591" spans="4:4">
      <c r="D591" s="1494"/>
    </row>
    <row r="592" spans="4:4">
      <c r="D592" s="1494"/>
    </row>
    <row r="593" spans="4:4">
      <c r="D593" s="1494"/>
    </row>
    <row r="594" spans="4:4">
      <c r="D594" s="1494"/>
    </row>
    <row r="595" spans="4:4">
      <c r="D595" s="1494"/>
    </row>
    <row r="596" spans="4:4">
      <c r="D596" s="1494"/>
    </row>
    <row r="597" spans="4:4">
      <c r="D597" s="1494"/>
    </row>
    <row r="598" spans="4:4">
      <c r="D598" s="1494"/>
    </row>
    <row r="599" spans="4:4">
      <c r="D599" s="1494"/>
    </row>
    <row r="600" spans="4:4">
      <c r="D600" s="1494"/>
    </row>
    <row r="601" spans="4:4">
      <c r="D601" s="1494"/>
    </row>
    <row r="602" spans="4:4">
      <c r="D602" s="1494"/>
    </row>
    <row r="603" spans="4:4">
      <c r="D603" s="1494"/>
    </row>
    <row r="604" spans="4:4">
      <c r="D604" s="1494"/>
    </row>
    <row r="605" spans="4:4">
      <c r="D605" s="1494"/>
    </row>
    <row r="606" spans="4:4">
      <c r="D606" s="1494"/>
    </row>
    <row r="607" spans="4:4">
      <c r="D607" s="1494"/>
    </row>
    <row r="608" spans="4:4">
      <c r="D608" s="1494"/>
    </row>
    <row r="609" spans="4:4">
      <c r="D609" s="1494"/>
    </row>
    <row r="610" spans="4:4">
      <c r="D610" s="1494"/>
    </row>
    <row r="611" spans="4:4">
      <c r="D611" s="1494"/>
    </row>
    <row r="612" spans="4:4">
      <c r="D612" s="1494"/>
    </row>
    <row r="613" spans="4:4">
      <c r="D613" s="1494"/>
    </row>
    <row r="614" spans="4:4">
      <c r="D614" s="1494"/>
    </row>
    <row r="615" spans="4:4">
      <c r="D615" s="1494"/>
    </row>
    <row r="616" spans="4:4">
      <c r="D616" s="1494"/>
    </row>
    <row r="617" spans="4:4">
      <c r="D617" s="1494"/>
    </row>
    <row r="618" spans="4:4">
      <c r="D618" s="1494"/>
    </row>
    <row r="619" spans="4:4">
      <c r="D619" s="1494"/>
    </row>
    <row r="620" spans="4:4">
      <c r="D620" s="1494"/>
    </row>
    <row r="621" spans="4:4">
      <c r="D621" s="1494"/>
    </row>
    <row r="622" spans="4:4">
      <c r="D622" s="1494"/>
    </row>
    <row r="623" spans="4:4">
      <c r="D623" s="1494"/>
    </row>
    <row r="624" spans="4:4">
      <c r="D624" s="1494"/>
    </row>
    <row r="625" spans="4:4">
      <c r="D625" s="1494"/>
    </row>
    <row r="626" spans="4:4">
      <c r="D626" s="1494"/>
    </row>
    <row r="627" spans="4:4">
      <c r="D627" s="1494"/>
    </row>
    <row r="628" spans="4:4">
      <c r="D628" s="1494"/>
    </row>
    <row r="629" spans="4:4">
      <c r="D629" s="1494"/>
    </row>
    <row r="630" spans="4:4">
      <c r="D630" s="1494"/>
    </row>
    <row r="631" spans="4:4">
      <c r="D631" s="1494"/>
    </row>
    <row r="632" spans="4:4">
      <c r="D632" s="1494"/>
    </row>
    <row r="633" spans="4:4">
      <c r="D633" s="1494"/>
    </row>
    <row r="634" spans="4:4">
      <c r="D634" s="1494"/>
    </row>
    <row r="635" spans="4:4">
      <c r="D635" s="1494"/>
    </row>
    <row r="636" spans="4:4">
      <c r="D636" s="1494"/>
    </row>
    <row r="637" spans="4:4">
      <c r="D637" s="1494"/>
    </row>
    <row r="638" spans="4:4">
      <c r="D638" s="1494"/>
    </row>
    <row r="639" spans="4:4">
      <c r="D639" s="1494"/>
    </row>
    <row r="640" spans="4:4">
      <c r="D640" s="1494"/>
    </row>
    <row r="641" spans="4:4">
      <c r="D641" s="1494"/>
    </row>
    <row r="642" spans="4:4">
      <c r="D642" s="1494"/>
    </row>
    <row r="643" spans="4:4">
      <c r="D643" s="1494"/>
    </row>
    <row r="644" spans="4:4">
      <c r="D644" s="1494"/>
    </row>
    <row r="645" spans="4:4">
      <c r="D645" s="1494"/>
    </row>
    <row r="646" spans="4:4">
      <c r="D646" s="1494"/>
    </row>
    <row r="647" spans="4:4">
      <c r="D647" s="1494"/>
    </row>
    <row r="648" spans="4:4">
      <c r="D648" s="1494"/>
    </row>
    <row r="649" spans="4:4">
      <c r="D649" s="1494"/>
    </row>
    <row r="650" spans="4:4">
      <c r="D650" s="1494"/>
    </row>
    <row r="651" spans="4:4">
      <c r="D651" s="1494"/>
    </row>
    <row r="652" spans="4:4">
      <c r="D652" s="1494"/>
    </row>
    <row r="653" spans="4:4">
      <c r="D653" s="1494"/>
    </row>
    <row r="654" spans="4:4">
      <c r="D654" s="1494"/>
    </row>
    <row r="655" spans="4:4">
      <c r="D655" s="1494"/>
    </row>
    <row r="656" spans="4:4">
      <c r="D656" s="1494"/>
    </row>
    <row r="657" spans="4:4">
      <c r="D657" s="1494"/>
    </row>
    <row r="658" spans="4:4">
      <c r="D658" s="1494"/>
    </row>
    <row r="659" spans="4:4">
      <c r="D659" s="1494"/>
    </row>
    <row r="660" spans="4:4">
      <c r="D660" s="1494"/>
    </row>
    <row r="661" spans="4:4">
      <c r="D661" s="1494"/>
    </row>
    <row r="662" spans="4:4">
      <c r="D662" s="1494"/>
    </row>
    <row r="663" spans="4:4">
      <c r="D663" s="1494"/>
    </row>
    <row r="664" spans="4:4">
      <c r="D664" s="1494"/>
    </row>
    <row r="665" spans="4:4">
      <c r="D665" s="1494"/>
    </row>
    <row r="666" spans="4:4">
      <c r="D666" s="1494"/>
    </row>
    <row r="667" spans="4:4">
      <c r="D667" s="1494"/>
    </row>
    <row r="668" spans="4:4">
      <c r="D668" s="1494"/>
    </row>
    <row r="669" spans="4:4">
      <c r="D669" s="1494"/>
    </row>
    <row r="670" spans="4:4">
      <c r="D670" s="1494"/>
    </row>
    <row r="671" spans="4:4">
      <c r="D671" s="1494"/>
    </row>
    <row r="672" spans="4:4">
      <c r="D672" s="1494"/>
    </row>
    <row r="673" spans="4:4">
      <c r="D673" s="1494"/>
    </row>
    <row r="674" spans="4:4">
      <c r="D674" s="1494"/>
    </row>
    <row r="675" spans="4:4">
      <c r="D675" s="1494"/>
    </row>
    <row r="676" spans="4:4">
      <c r="D676" s="1494"/>
    </row>
    <row r="677" spans="4:4">
      <c r="D677" s="1494"/>
    </row>
    <row r="678" spans="4:4">
      <c r="D678" s="1494"/>
    </row>
    <row r="679" spans="4:4">
      <c r="D679" s="1494"/>
    </row>
    <row r="680" spans="4:4">
      <c r="D680" s="1494"/>
    </row>
    <row r="681" spans="4:4">
      <c r="D681" s="1494"/>
    </row>
    <row r="682" spans="4:4">
      <c r="D682" s="1494"/>
    </row>
    <row r="683" spans="4:4">
      <c r="D683" s="1494"/>
    </row>
    <row r="684" spans="4:4">
      <c r="D684" s="1494"/>
    </row>
    <row r="685" spans="4:4">
      <c r="D685" s="1494"/>
    </row>
    <row r="686" spans="4:4">
      <c r="D686" s="1494"/>
    </row>
    <row r="687" spans="4:4">
      <c r="D687" s="1494"/>
    </row>
    <row r="688" spans="4:4">
      <c r="D688" s="1494"/>
    </row>
    <row r="689" spans="4:4">
      <c r="D689" s="1494"/>
    </row>
    <row r="690" spans="4:4">
      <c r="D690" s="1494"/>
    </row>
    <row r="691" spans="4:4">
      <c r="D691" s="1494"/>
    </row>
    <row r="692" spans="4:4">
      <c r="D692" s="1494"/>
    </row>
    <row r="693" spans="4:4">
      <c r="D693" s="1494"/>
    </row>
    <row r="694" spans="4:4">
      <c r="D694" s="1494"/>
    </row>
    <row r="695" spans="4:4">
      <c r="D695" s="1494"/>
    </row>
    <row r="696" spans="4:4">
      <c r="D696" s="1494"/>
    </row>
    <row r="697" spans="4:4">
      <c r="D697" s="1494"/>
    </row>
    <row r="698" spans="4:4">
      <c r="D698" s="1494"/>
    </row>
    <row r="699" spans="4:4">
      <c r="D699" s="1494"/>
    </row>
    <row r="700" spans="4:4">
      <c r="D700" s="1494"/>
    </row>
    <row r="701" spans="4:4">
      <c r="D701" s="1494"/>
    </row>
    <row r="702" spans="4:4">
      <c r="D702" s="1494"/>
    </row>
    <row r="703" spans="4:4">
      <c r="D703" s="1494"/>
    </row>
    <row r="704" spans="4:4">
      <c r="D704" s="1494"/>
    </row>
    <row r="705" spans="4:4">
      <c r="D705" s="1494"/>
    </row>
    <row r="706" spans="4:4">
      <c r="D706" s="1494"/>
    </row>
    <row r="707" spans="4:4">
      <c r="D707" s="1494"/>
    </row>
    <row r="708" spans="4:4">
      <c r="D708" s="1494"/>
    </row>
    <row r="709" spans="4:4">
      <c r="D709" s="1494"/>
    </row>
    <row r="710" spans="4:4">
      <c r="D710" s="1494"/>
    </row>
    <row r="711" spans="4:4">
      <c r="D711" s="1494"/>
    </row>
    <row r="712" spans="4:4">
      <c r="D712" s="1494"/>
    </row>
    <row r="713" spans="4:4">
      <c r="D713" s="1494"/>
    </row>
    <row r="714" spans="4:4">
      <c r="D714" s="1494"/>
    </row>
    <row r="715" spans="4:4">
      <c r="D715" s="1494"/>
    </row>
    <row r="716" spans="4:4">
      <c r="D716" s="1494"/>
    </row>
    <row r="717" spans="4:4">
      <c r="D717" s="1494"/>
    </row>
    <row r="718" spans="4:4">
      <c r="D718" s="1494"/>
    </row>
    <row r="719" spans="4:4">
      <c r="D719" s="1494"/>
    </row>
    <row r="720" spans="4:4">
      <c r="D720" s="1494"/>
    </row>
    <row r="721" spans="4:4">
      <c r="D721" s="1494"/>
    </row>
    <row r="722" spans="4:4">
      <c r="D722" s="1494"/>
    </row>
    <row r="723" spans="4:4">
      <c r="D723" s="1494"/>
    </row>
    <row r="724" spans="4:4">
      <c r="D724" s="1494"/>
    </row>
    <row r="725" spans="4:4">
      <c r="D725" s="1494"/>
    </row>
    <row r="726" spans="4:4">
      <c r="D726" s="1494"/>
    </row>
    <row r="727" spans="4:4">
      <c r="D727" s="1494"/>
    </row>
    <row r="728" spans="4:4">
      <c r="D728" s="1494"/>
    </row>
    <row r="729" spans="4:4">
      <c r="D729" s="1494"/>
    </row>
    <row r="730" spans="4:4">
      <c r="D730" s="1494"/>
    </row>
    <row r="731" spans="4:4">
      <c r="D731" s="1494"/>
    </row>
    <row r="732" spans="4:4">
      <c r="D732" s="1494"/>
    </row>
    <row r="733" spans="4:4">
      <c r="D733" s="1494"/>
    </row>
    <row r="734" spans="4:4">
      <c r="D734" s="1494"/>
    </row>
    <row r="735" spans="4:4">
      <c r="D735" s="1494"/>
    </row>
    <row r="736" spans="4:4">
      <c r="D736" s="1494"/>
    </row>
    <row r="737" spans="4:4">
      <c r="D737" s="1494"/>
    </row>
    <row r="738" spans="4:4">
      <c r="D738" s="1494"/>
    </row>
    <row r="739" spans="4:4">
      <c r="D739" s="1494"/>
    </row>
    <row r="740" spans="4:4">
      <c r="D740" s="1494"/>
    </row>
    <row r="741" spans="4:4">
      <c r="D741" s="1494"/>
    </row>
    <row r="742" spans="4:4">
      <c r="D742" s="1494"/>
    </row>
    <row r="743" spans="4:4">
      <c r="D743" s="1494"/>
    </row>
    <row r="744" spans="4:4">
      <c r="D744" s="1494"/>
    </row>
    <row r="745" spans="4:4">
      <c r="D745" s="1494"/>
    </row>
    <row r="746" spans="4:4">
      <c r="D746" s="1494"/>
    </row>
    <row r="747" spans="4:4">
      <c r="D747" s="1494"/>
    </row>
    <row r="748" spans="4:4">
      <c r="D748" s="1494"/>
    </row>
    <row r="749" spans="4:4">
      <c r="D749" s="1494"/>
    </row>
    <row r="750" spans="4:4">
      <c r="D750" s="1494"/>
    </row>
    <row r="751" spans="4:4">
      <c r="D751" s="1494"/>
    </row>
    <row r="752" spans="4:4">
      <c r="D752" s="1494"/>
    </row>
    <row r="753" spans="4:4">
      <c r="D753" s="1494"/>
    </row>
    <row r="754" spans="4:4">
      <c r="D754" s="1494"/>
    </row>
    <row r="755" spans="4:4">
      <c r="D755" s="1494"/>
    </row>
    <row r="756" spans="4:4">
      <c r="D756" s="1494"/>
    </row>
    <row r="757" spans="4:4">
      <c r="D757" s="1494"/>
    </row>
    <row r="758" spans="4:4">
      <c r="D758" s="1494"/>
    </row>
    <row r="759" spans="4:4">
      <c r="D759" s="1494"/>
    </row>
    <row r="760" spans="4:4">
      <c r="D760" s="1494"/>
    </row>
    <row r="761" spans="4:4">
      <c r="D761" s="1494"/>
    </row>
    <row r="762" spans="4:4">
      <c r="D762" s="1494"/>
    </row>
    <row r="763" spans="4:4">
      <c r="D763" s="1494"/>
    </row>
    <row r="764" spans="4:4">
      <c r="D764" s="1494"/>
    </row>
    <row r="765" spans="4:4">
      <c r="D765" s="1494"/>
    </row>
    <row r="766" spans="4:4">
      <c r="D766" s="1494"/>
    </row>
    <row r="767" spans="4:4">
      <c r="D767" s="1494"/>
    </row>
    <row r="768" spans="4:4">
      <c r="D768" s="1494"/>
    </row>
    <row r="769" spans="4:4">
      <c r="D769" s="1494"/>
    </row>
    <row r="770" spans="4:4">
      <c r="D770" s="1494"/>
    </row>
    <row r="771" spans="4:4">
      <c r="D771" s="1494"/>
    </row>
    <row r="772" spans="4:4">
      <c r="D772" s="1494"/>
    </row>
    <row r="773" spans="4:4">
      <c r="D773" s="1494"/>
    </row>
    <row r="774" spans="4:4">
      <c r="D774" s="1494"/>
    </row>
    <row r="775" spans="4:4">
      <c r="D775" s="1494"/>
    </row>
    <row r="776" spans="4:4">
      <c r="D776" s="1494"/>
    </row>
    <row r="777" spans="4:4">
      <c r="D777" s="1494"/>
    </row>
    <row r="778" spans="4:4">
      <c r="D778" s="1494"/>
    </row>
    <row r="779" spans="4:4">
      <c r="D779" s="1494"/>
    </row>
    <row r="780" spans="4:4">
      <c r="D780" s="1494"/>
    </row>
    <row r="781" spans="4:4">
      <c r="D781" s="1494"/>
    </row>
    <row r="782" spans="4:4">
      <c r="D782" s="1494"/>
    </row>
    <row r="783" spans="4:4">
      <c r="D783" s="1494"/>
    </row>
    <row r="784" spans="4:4">
      <c r="D784" s="1494"/>
    </row>
    <row r="785" spans="4:4">
      <c r="D785" s="1494"/>
    </row>
    <row r="786" spans="4:4">
      <c r="D786" s="1494"/>
    </row>
    <row r="787" spans="4:4">
      <c r="D787" s="1494"/>
    </row>
    <row r="788" spans="4:4">
      <c r="D788" s="1494"/>
    </row>
    <row r="789" spans="4:4">
      <c r="D789" s="1494"/>
    </row>
    <row r="790" spans="4:4">
      <c r="D790" s="1494"/>
    </row>
    <row r="791" spans="4:4">
      <c r="D791" s="1494"/>
    </row>
    <row r="792" spans="4:4">
      <c r="D792" s="1494"/>
    </row>
    <row r="793" spans="4:4">
      <c r="D793" s="1494"/>
    </row>
    <row r="794" spans="4:4">
      <c r="D794" s="1494"/>
    </row>
    <row r="795" spans="4:4">
      <c r="D795" s="1494"/>
    </row>
    <row r="796" spans="4:4">
      <c r="D796" s="1494"/>
    </row>
    <row r="797" spans="4:4">
      <c r="D797" s="1494"/>
    </row>
    <row r="798" spans="4:4">
      <c r="D798" s="1494"/>
    </row>
    <row r="799" spans="4:4">
      <c r="D799" s="1494"/>
    </row>
    <row r="800" spans="4:4">
      <c r="D800" s="1494"/>
    </row>
    <row r="801" spans="4:4">
      <c r="D801" s="1494"/>
    </row>
    <row r="802" spans="4:4">
      <c r="D802" s="1494"/>
    </row>
    <row r="803" spans="4:4">
      <c r="D803" s="1494"/>
    </row>
    <row r="804" spans="4:4">
      <c r="D804" s="1494"/>
    </row>
    <row r="805" spans="4:4">
      <c r="D805" s="1494"/>
    </row>
    <row r="806" spans="4:4">
      <c r="D806" s="1494"/>
    </row>
    <row r="807" spans="4:4">
      <c r="D807" s="1494"/>
    </row>
    <row r="808" spans="4:4">
      <c r="D808" s="1494"/>
    </row>
    <row r="809" spans="4:4">
      <c r="D809" s="1494"/>
    </row>
    <row r="810" spans="4:4">
      <c r="D810" s="1494"/>
    </row>
    <row r="811" spans="4:4">
      <c r="D811" s="1494"/>
    </row>
    <row r="812" spans="4:4">
      <c r="D812" s="1494"/>
    </row>
    <row r="813" spans="4:4">
      <c r="D813" s="1494"/>
    </row>
    <row r="814" spans="4:4">
      <c r="D814" s="1494"/>
    </row>
    <row r="815" spans="4:4">
      <c r="D815" s="1494"/>
    </row>
    <row r="816" spans="4:4">
      <c r="D816" s="1494"/>
    </row>
    <row r="817" spans="4:4">
      <c r="D817" s="1494"/>
    </row>
    <row r="818" spans="4:4">
      <c r="D818" s="1494"/>
    </row>
    <row r="819" spans="4:4">
      <c r="D819" s="1494"/>
    </row>
    <row r="820" spans="4:4">
      <c r="D820" s="1494"/>
    </row>
    <row r="821" spans="4:4">
      <c r="D821" s="1494"/>
    </row>
    <row r="822" spans="4:4">
      <c r="D822" s="1494"/>
    </row>
    <row r="823" spans="4:4">
      <c r="D823" s="1494"/>
    </row>
    <row r="824" spans="4:4">
      <c r="D824" s="1494"/>
    </row>
    <row r="825" spans="4:4">
      <c r="D825" s="1494"/>
    </row>
    <row r="826" spans="4:4">
      <c r="D826" s="1494"/>
    </row>
    <row r="827" spans="4:4">
      <c r="D827" s="1494"/>
    </row>
    <row r="828" spans="4:4">
      <c r="D828" s="1494"/>
    </row>
    <row r="829" spans="4:4">
      <c r="D829" s="1494"/>
    </row>
    <row r="830" spans="4:4">
      <c r="D830" s="1494"/>
    </row>
    <row r="831" spans="4:4">
      <c r="D831" s="1494"/>
    </row>
    <row r="832" spans="4:4">
      <c r="D832" s="1494"/>
    </row>
    <row r="833" spans="4:4">
      <c r="D833" s="1494"/>
    </row>
    <row r="834" spans="4:4">
      <c r="D834" s="1494"/>
    </row>
    <row r="835" spans="4:4">
      <c r="D835" s="1494"/>
    </row>
    <row r="836" spans="4:4">
      <c r="D836" s="1494"/>
    </row>
    <row r="837" spans="4:4">
      <c r="D837" s="1494"/>
    </row>
    <row r="838" spans="4:4">
      <c r="D838" s="1494"/>
    </row>
    <row r="839" spans="4:4">
      <c r="D839" s="1494"/>
    </row>
    <row r="840" spans="4:4">
      <c r="D840" s="1494"/>
    </row>
    <row r="841" spans="4:4">
      <c r="D841" s="1494"/>
    </row>
    <row r="842" spans="4:4">
      <c r="D842" s="1494"/>
    </row>
    <row r="843" spans="4:4">
      <c r="D843" s="1494"/>
    </row>
    <row r="844" spans="4:4">
      <c r="D844" s="1494"/>
    </row>
    <row r="845" spans="4:4">
      <c r="D845" s="1494"/>
    </row>
    <row r="846" spans="4:4">
      <c r="D846" s="1494"/>
    </row>
    <row r="847" spans="4:4">
      <c r="D847" s="1494"/>
    </row>
    <row r="848" spans="4:4">
      <c r="D848" s="1494"/>
    </row>
    <row r="849" spans="4:4">
      <c r="D849" s="1494"/>
    </row>
    <row r="850" spans="4:4">
      <c r="D850" s="1494"/>
    </row>
    <row r="851" spans="4:4">
      <c r="D851" s="1494"/>
    </row>
    <row r="852" spans="4:4">
      <c r="D852" s="1494"/>
    </row>
    <row r="853" spans="4:4">
      <c r="D853" s="1494"/>
    </row>
    <row r="854" spans="4:4">
      <c r="D854" s="1494"/>
    </row>
    <row r="855" spans="4:4">
      <c r="D855" s="1494"/>
    </row>
    <row r="856" spans="4:4">
      <c r="D856" s="1494"/>
    </row>
    <row r="857" spans="4:4">
      <c r="D857" s="1494"/>
    </row>
    <row r="858" spans="4:4">
      <c r="D858" s="1494"/>
    </row>
    <row r="859" spans="4:4">
      <c r="D859" s="1494"/>
    </row>
    <row r="860" spans="4:4">
      <c r="D860" s="1494"/>
    </row>
    <row r="861" spans="4:4">
      <c r="D861" s="1494"/>
    </row>
    <row r="862" spans="4:4">
      <c r="D862" s="1494"/>
    </row>
    <row r="863" spans="4:4">
      <c r="D863" s="1494"/>
    </row>
    <row r="864" spans="4:4">
      <c r="D864" s="1494"/>
    </row>
    <row r="865" spans="4:4">
      <c r="D865" s="1494"/>
    </row>
    <row r="866" spans="4:4">
      <c r="D866" s="1494"/>
    </row>
    <row r="867" spans="4:4">
      <c r="D867" s="1494"/>
    </row>
    <row r="868" spans="4:4">
      <c r="D868" s="1494"/>
    </row>
    <row r="869" spans="4:4">
      <c r="D869" s="1494"/>
    </row>
    <row r="870" spans="4:4">
      <c r="D870" s="1494"/>
    </row>
    <row r="871" spans="4:4">
      <c r="D871" s="1494"/>
    </row>
    <row r="872" spans="4:4">
      <c r="D872" s="1494"/>
    </row>
    <row r="873" spans="4:4">
      <c r="D873" s="1494"/>
    </row>
    <row r="874" spans="4:4">
      <c r="D874" s="1494"/>
    </row>
    <row r="875" spans="4:4">
      <c r="D875" s="1494"/>
    </row>
    <row r="876" spans="4:4">
      <c r="D876" s="1494"/>
    </row>
    <row r="877" spans="4:4">
      <c r="D877" s="1494"/>
    </row>
    <row r="878" spans="4:4">
      <c r="D878" s="1494"/>
    </row>
    <row r="879" spans="4:4">
      <c r="D879" s="1494"/>
    </row>
    <row r="880" spans="4:4">
      <c r="D880" s="1494"/>
    </row>
    <row r="881" spans="4:4">
      <c r="D881" s="1494"/>
    </row>
    <row r="882" spans="4:4">
      <c r="D882" s="1494"/>
    </row>
    <row r="883" spans="4:4">
      <c r="D883" s="1494"/>
    </row>
    <row r="884" spans="4:4">
      <c r="D884" s="1494"/>
    </row>
    <row r="885" spans="4:4">
      <c r="D885" s="1494"/>
    </row>
    <row r="886" spans="4:4">
      <c r="D886" s="1494"/>
    </row>
    <row r="887" spans="4:4">
      <c r="D887" s="1494"/>
    </row>
    <row r="888" spans="4:4">
      <c r="D888" s="1494"/>
    </row>
    <row r="889" spans="4:4">
      <c r="D889" s="1494"/>
    </row>
    <row r="890" spans="4:4">
      <c r="D890" s="1494"/>
    </row>
    <row r="891" spans="4:4">
      <c r="D891" s="1494"/>
    </row>
    <row r="892" spans="4:4">
      <c r="D892" s="1494"/>
    </row>
    <row r="893" spans="4:4">
      <c r="D893" s="1494"/>
    </row>
    <row r="894" spans="4:4">
      <c r="D894" s="1494"/>
    </row>
    <row r="895" spans="4:4">
      <c r="D895" s="1494"/>
    </row>
    <row r="896" spans="4:4">
      <c r="D896" s="1494"/>
    </row>
    <row r="897" spans="4:4">
      <c r="D897" s="1494"/>
    </row>
    <row r="898" spans="4:4">
      <c r="D898" s="1494"/>
    </row>
    <row r="899" spans="4:4">
      <c r="D899" s="1494"/>
    </row>
    <row r="900" spans="4:4">
      <c r="D900" s="1494"/>
    </row>
    <row r="901" spans="4:4">
      <c r="D901" s="1494"/>
    </row>
    <row r="902" spans="4:4">
      <c r="D902" s="1494"/>
    </row>
    <row r="903" spans="4:4">
      <c r="D903" s="1494"/>
    </row>
    <row r="904" spans="4:4">
      <c r="D904" s="1494"/>
    </row>
    <row r="905" spans="4:4">
      <c r="D905" s="1494"/>
    </row>
    <row r="906" spans="4:4">
      <c r="D906" s="1494"/>
    </row>
    <row r="907" spans="4:4">
      <c r="D907" s="1494"/>
    </row>
    <row r="908" spans="4:4">
      <c r="D908" s="1494"/>
    </row>
    <row r="909" spans="4:4">
      <c r="D909" s="1494"/>
    </row>
    <row r="910" spans="4:4">
      <c r="D910" s="1494"/>
    </row>
    <row r="911" spans="4:4">
      <c r="D911" s="1494"/>
    </row>
    <row r="912" spans="4:4">
      <c r="D912" s="1494"/>
    </row>
    <row r="913" spans="4:4">
      <c r="D913" s="1494"/>
    </row>
    <row r="914" spans="4:4">
      <c r="D914" s="1494"/>
    </row>
    <row r="915" spans="4:4">
      <c r="D915" s="1494"/>
    </row>
    <row r="916" spans="4:4">
      <c r="D916" s="1494"/>
    </row>
    <row r="917" spans="4:4">
      <c r="D917" s="1494"/>
    </row>
    <row r="918" spans="4:4">
      <c r="D918" s="1494"/>
    </row>
    <row r="919" spans="4:4">
      <c r="D919" s="1494"/>
    </row>
    <row r="920" spans="4:4">
      <c r="D920" s="1494"/>
    </row>
    <row r="921" spans="4:4">
      <c r="D921" s="1494"/>
    </row>
    <row r="922" spans="4:4">
      <c r="D922" s="1494"/>
    </row>
    <row r="923" spans="4:4">
      <c r="D923" s="1494"/>
    </row>
    <row r="924" spans="4:4">
      <c r="D924" s="1494"/>
    </row>
    <row r="925" spans="4:4">
      <c r="D925" s="1494"/>
    </row>
    <row r="926" spans="4:4">
      <c r="D926" s="1494"/>
    </row>
    <row r="927" spans="4:4">
      <c r="D927" s="1494"/>
    </row>
    <row r="928" spans="4:4">
      <c r="D928" s="1494"/>
    </row>
    <row r="929" spans="4:4">
      <c r="D929" s="1494"/>
    </row>
    <row r="930" spans="4:4">
      <c r="D930" s="1494"/>
    </row>
    <row r="931" spans="4:4">
      <c r="D931" s="1494"/>
    </row>
    <row r="932" spans="4:4">
      <c r="D932" s="1494"/>
    </row>
    <row r="933" spans="4:4">
      <c r="D933" s="1494"/>
    </row>
    <row r="934" spans="4:4">
      <c r="D934" s="1494"/>
    </row>
    <row r="935" spans="4:4">
      <c r="D935" s="1494"/>
    </row>
    <row r="936" spans="4:4">
      <c r="D936" s="1494"/>
    </row>
    <row r="937" spans="4:4">
      <c r="D937" s="1494"/>
    </row>
    <row r="938" spans="4:4">
      <c r="D938" s="1494"/>
    </row>
    <row r="939" spans="4:4">
      <c r="D939" s="1494"/>
    </row>
    <row r="940" spans="4:4">
      <c r="D940" s="1494"/>
    </row>
    <row r="941" spans="4:4">
      <c r="D941" s="1494"/>
    </row>
    <row r="942" spans="4:4">
      <c r="D942" s="1494"/>
    </row>
    <row r="943" spans="4:4">
      <c r="D943" s="1494"/>
    </row>
    <row r="944" spans="4:4">
      <c r="D944" s="1494"/>
    </row>
    <row r="945" spans="4:4">
      <c r="D945" s="1494"/>
    </row>
    <row r="946" spans="4:4">
      <c r="D946" s="1494"/>
    </row>
    <row r="947" spans="4:4">
      <c r="D947" s="1494"/>
    </row>
    <row r="948" spans="4:4">
      <c r="D948" s="1494"/>
    </row>
    <row r="949" spans="4:4">
      <c r="D949" s="1494"/>
    </row>
    <row r="950" spans="4:4">
      <c r="D950" s="1494"/>
    </row>
    <row r="951" spans="4:4">
      <c r="D951" s="1494"/>
    </row>
    <row r="952" spans="4:4">
      <c r="D952" s="1494"/>
    </row>
    <row r="953" spans="4:4">
      <c r="D953" s="1494"/>
    </row>
    <row r="954" spans="4:4">
      <c r="D954" s="1494"/>
    </row>
    <row r="955" spans="4:4">
      <c r="D955" s="1494"/>
    </row>
    <row r="956" spans="4:4">
      <c r="D956" s="1494"/>
    </row>
    <row r="957" spans="4:4">
      <c r="D957" s="1494"/>
    </row>
    <row r="958" spans="4:4">
      <c r="D958" s="1494"/>
    </row>
    <row r="959" spans="4:4">
      <c r="D959" s="1494"/>
    </row>
    <row r="960" spans="4:4">
      <c r="D960" s="1494"/>
    </row>
    <row r="961" spans="4:4">
      <c r="D961" s="1494"/>
    </row>
    <row r="962" spans="4:4">
      <c r="D962" s="1494"/>
    </row>
    <row r="963" spans="4:4">
      <c r="D963" s="1494"/>
    </row>
    <row r="964" spans="4:4">
      <c r="D964" s="1494"/>
    </row>
    <row r="965" spans="4:4">
      <c r="D965" s="1494"/>
    </row>
    <row r="966" spans="4:4">
      <c r="D966" s="1494"/>
    </row>
    <row r="967" spans="4:4">
      <c r="D967" s="1494"/>
    </row>
    <row r="968" spans="4:4">
      <c r="D968" s="1494"/>
    </row>
    <row r="969" spans="4:4">
      <c r="D969" s="1494"/>
    </row>
    <row r="970" spans="4:4">
      <c r="D970" s="1494"/>
    </row>
    <row r="971" spans="4:4">
      <c r="D971" s="1494"/>
    </row>
    <row r="972" spans="4:4">
      <c r="D972" s="1494"/>
    </row>
    <row r="973" spans="4:4">
      <c r="D973" s="1494"/>
    </row>
    <row r="974" spans="4:4">
      <c r="D974" s="1494"/>
    </row>
    <row r="975" spans="4:4">
      <c r="D975" s="1494"/>
    </row>
    <row r="976" spans="4:4">
      <c r="D976" s="1494"/>
    </row>
    <row r="977" spans="4:4">
      <c r="D977" s="1494"/>
    </row>
    <row r="978" spans="4:4">
      <c r="D978" s="1494"/>
    </row>
    <row r="979" spans="4:4">
      <c r="D979" s="1494"/>
    </row>
    <row r="980" spans="4:4">
      <c r="D980" s="1494"/>
    </row>
    <row r="981" spans="4:4">
      <c r="D981" s="1494"/>
    </row>
    <row r="982" spans="4:4">
      <c r="D982" s="1494"/>
    </row>
    <row r="983" spans="4:4">
      <c r="D983" s="1494"/>
    </row>
    <row r="984" spans="4:4">
      <c r="D984" s="1494"/>
    </row>
    <row r="985" spans="4:4">
      <c r="D985" s="1494"/>
    </row>
    <row r="986" spans="4:4">
      <c r="D986" s="1494"/>
    </row>
    <row r="987" spans="4:4">
      <c r="D987" s="1494"/>
    </row>
    <row r="988" spans="4:4">
      <c r="D988" s="1494"/>
    </row>
    <row r="989" spans="4:4">
      <c r="D989" s="1494"/>
    </row>
    <row r="990" spans="4:4">
      <c r="D990" s="1494"/>
    </row>
    <row r="991" spans="4:4">
      <c r="D991" s="1494"/>
    </row>
    <row r="992" spans="4:4">
      <c r="D992" s="1494"/>
    </row>
    <row r="993" spans="4:4">
      <c r="D993" s="1494"/>
    </row>
    <row r="994" spans="4:4">
      <c r="D994" s="1494"/>
    </row>
    <row r="995" spans="4:4">
      <c r="D995" s="1494"/>
    </row>
    <row r="996" spans="4:4">
      <c r="D996" s="1494"/>
    </row>
    <row r="997" spans="4:4">
      <c r="D997" s="1494"/>
    </row>
    <row r="998" spans="4:4">
      <c r="D998" s="1494"/>
    </row>
    <row r="999" spans="4:4">
      <c r="D999" s="1494"/>
    </row>
    <row r="1000" spans="4:4">
      <c r="D1000" s="1494"/>
    </row>
    <row r="1001" spans="4:4">
      <c r="D1001" s="1494"/>
    </row>
    <row r="1002" spans="4:4">
      <c r="D1002" s="1494"/>
    </row>
    <row r="1003" spans="4:4">
      <c r="D1003" s="1494"/>
    </row>
    <row r="1004" spans="4:4">
      <c r="D1004" s="1494"/>
    </row>
    <row r="1005" spans="4:4">
      <c r="D1005" s="1494"/>
    </row>
    <row r="1006" spans="4:4">
      <c r="D1006" s="1494"/>
    </row>
    <row r="1007" spans="4:4">
      <c r="D1007" s="1494"/>
    </row>
    <row r="1008" spans="4:4">
      <c r="D1008" s="1494"/>
    </row>
  </sheetData>
  <sheetProtection selectLockedCells="1" selectUnlockedCells="1"/>
  <mergeCells count="7">
    <mergeCell ref="P1:P2"/>
    <mergeCell ref="Q1:Q3"/>
    <mergeCell ref="A49:B49"/>
    <mergeCell ref="A1:B3"/>
    <mergeCell ref="C1:E1"/>
    <mergeCell ref="F1:L1"/>
    <mergeCell ref="M1:O1"/>
  </mergeCells>
  <printOptions horizontalCentered="1"/>
  <pageMargins left="0.11811023622047245" right="0.11811023622047245" top="1.1417322834645669" bottom="0.15748031496062992" header="0.51181102362204722" footer="0.11811023622047245"/>
  <pageSetup paperSize="9" scale="21" firstPageNumber="112" orientation="landscape" useFirstPageNumber="1" r:id="rId1"/>
  <headerFooter scaleWithDoc="0">
    <oddHeader>&amp;R
Приложение 1</oddHeader>
    <oddFooter>&amp;C&amp;P</oddFooter>
  </headerFooter>
  <rowBreaks count="1" manualBreakCount="1">
    <brk id="44" max="2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5">
    <tabColor rgb="FF92D050"/>
    <pageSetUpPr fitToPage="1"/>
  </sheetPr>
  <dimension ref="A1:CK148"/>
  <sheetViews>
    <sheetView zoomScale="60" zoomScaleNormal="60" zoomScaleSheetLayoutView="55" workbookViewId="0">
      <pane xSplit="2" ySplit="3" topLeftCell="C66" activePane="bottomRight" state="frozen"/>
      <selection activeCell="BV105" sqref="BV105"/>
      <selection pane="topRight" activeCell="BV105" sqref="BV105"/>
      <selection pane="bottomLeft" activeCell="BV105" sqref="BV105"/>
      <selection pane="bottomRight" activeCell="F106" sqref="F106"/>
    </sheetView>
  </sheetViews>
  <sheetFormatPr defaultColWidth="18.85546875" defaultRowHeight="18.75"/>
  <cols>
    <col min="1" max="1" width="18.85546875" style="1018"/>
    <col min="2" max="2" width="28.28515625" style="1019" customWidth="1"/>
    <col min="3" max="3" width="20.7109375" style="813" customWidth="1"/>
    <col min="4" max="4" width="27.42578125" style="814" customWidth="1"/>
    <col min="5" max="5" width="21.140625" style="1358" bestFit="1" customWidth="1"/>
    <col min="6" max="6" width="20.140625" style="815" customWidth="1"/>
    <col min="7" max="10" width="18.85546875" style="816"/>
    <col min="11" max="13" width="0" style="817" hidden="1" customWidth="1"/>
    <col min="14" max="14" width="18.85546875" style="814"/>
    <col min="15" max="15" width="18.85546875" style="816"/>
    <col min="16" max="16" width="21.140625" style="1349" bestFit="1" customWidth="1"/>
    <col min="17" max="17" width="22.140625" style="816" customWidth="1"/>
    <col min="18" max="18" width="18.85546875" style="816"/>
    <col min="19" max="19" width="18.85546875" style="814"/>
    <col min="20" max="20" width="18.85546875" style="816"/>
    <col min="21" max="21" width="18.85546875" style="813"/>
    <col min="22" max="22" width="18.85546875" style="814"/>
    <col min="23" max="23" width="18.85546875" style="818"/>
    <col min="24" max="24" width="25" style="1363" customWidth="1"/>
    <col min="25" max="25" width="19" style="813" customWidth="1"/>
    <col min="26" max="26" width="19.5703125" style="819" bestFit="1" customWidth="1"/>
    <col min="27" max="27" width="19.85546875" style="819" bestFit="1" customWidth="1"/>
    <col min="28" max="28" width="20.42578125" style="1363" customWidth="1"/>
    <col min="29" max="32" width="18.85546875" style="819"/>
    <col min="33" max="33" width="18.85546875" style="1363"/>
    <col min="34" max="38" width="18.85546875" style="819"/>
    <col min="39" max="39" width="23.7109375" style="838" customWidth="1"/>
    <col min="40" max="89" width="18.85546875" style="834"/>
    <col min="90" max="16384" width="18.85546875" style="838"/>
  </cols>
  <sheetData>
    <row r="1" spans="1:89" s="977" customFormat="1" ht="47.25" customHeight="1">
      <c r="A1" s="1669"/>
      <c r="B1" s="1669"/>
      <c r="C1" s="1670" t="s">
        <v>817</v>
      </c>
      <c r="D1" s="1670"/>
      <c r="E1" s="1670"/>
      <c r="F1" s="1670"/>
      <c r="G1" s="1670"/>
      <c r="H1" s="1670"/>
      <c r="I1" s="1670"/>
      <c r="J1" s="1670"/>
      <c r="K1" s="1670"/>
      <c r="L1" s="1670"/>
      <c r="M1" s="1670"/>
      <c r="N1" s="1670"/>
      <c r="O1" s="1670"/>
      <c r="P1" s="1670"/>
      <c r="Q1" s="1670"/>
      <c r="R1" s="1670"/>
      <c r="S1" s="1670"/>
      <c r="T1" s="1670"/>
      <c r="U1" s="1670"/>
      <c r="V1" s="1670"/>
      <c r="X1" s="1671" t="s">
        <v>818</v>
      </c>
      <c r="Y1" s="1672"/>
      <c r="Z1" s="1672"/>
      <c r="AA1" s="1673"/>
      <c r="AB1" s="1367"/>
      <c r="AG1" s="1367"/>
    </row>
    <row r="2" spans="1:89" s="977" customFormat="1" ht="15.75">
      <c r="A2" s="1669"/>
      <c r="B2" s="1669"/>
      <c r="C2" s="925" t="s">
        <v>44</v>
      </c>
      <c r="D2" s="982" t="s">
        <v>47</v>
      </c>
      <c r="E2" s="1354" t="s">
        <v>51</v>
      </c>
      <c r="F2" s="978" t="s">
        <v>54</v>
      </c>
      <c r="G2" s="978" t="s">
        <v>56</v>
      </c>
      <c r="H2" s="978" t="s">
        <v>58</v>
      </c>
      <c r="I2" s="978" t="s">
        <v>60</v>
      </c>
      <c r="J2" s="978" t="s">
        <v>62</v>
      </c>
      <c r="K2" s="978" t="s">
        <v>64</v>
      </c>
      <c r="L2" s="978" t="s">
        <v>66</v>
      </c>
      <c r="M2" s="978" t="s">
        <v>68</v>
      </c>
      <c r="N2" s="978" t="s">
        <v>70</v>
      </c>
      <c r="O2" s="978" t="s">
        <v>2637</v>
      </c>
      <c r="P2" s="1345" t="s">
        <v>73</v>
      </c>
      <c r="Q2" s="978" t="s">
        <v>76</v>
      </c>
      <c r="R2" s="978" t="s">
        <v>78</v>
      </c>
      <c r="S2" s="978" t="s">
        <v>80</v>
      </c>
      <c r="T2" s="978" t="s">
        <v>82</v>
      </c>
      <c r="U2" s="978" t="s">
        <v>84</v>
      </c>
      <c r="V2" s="978" t="s">
        <v>86</v>
      </c>
      <c r="W2" s="978" t="s">
        <v>88</v>
      </c>
      <c r="X2" s="1361" t="s">
        <v>93</v>
      </c>
      <c r="Y2" s="982" t="s">
        <v>97</v>
      </c>
      <c r="Z2" s="982" t="s">
        <v>106</v>
      </c>
      <c r="AA2" s="983" t="s">
        <v>107</v>
      </c>
      <c r="AB2" s="1361" t="s">
        <v>112</v>
      </c>
      <c r="AC2" s="982" t="s">
        <v>114</v>
      </c>
      <c r="AD2" s="982" t="s">
        <v>117</v>
      </c>
      <c r="AE2" s="926" t="s">
        <v>119</v>
      </c>
      <c r="AF2" s="926" t="s">
        <v>120</v>
      </c>
      <c r="AG2" s="1361" t="s">
        <v>122</v>
      </c>
      <c r="AH2" s="982" t="s">
        <v>127</v>
      </c>
      <c r="AI2" s="983" t="s">
        <v>128</v>
      </c>
      <c r="AJ2" s="983" t="s">
        <v>129</v>
      </c>
      <c r="AK2" s="928" t="s">
        <v>130</v>
      </c>
      <c r="AL2" s="928" t="s">
        <v>134</v>
      </c>
    </row>
    <row r="3" spans="1:89" s="986" customFormat="1" ht="119.25" customHeight="1">
      <c r="A3" s="1669"/>
      <c r="B3" s="1669"/>
      <c r="C3" s="925" t="s">
        <v>795</v>
      </c>
      <c r="D3" s="925" t="s">
        <v>48</v>
      </c>
      <c r="E3" s="1346" t="s">
        <v>796</v>
      </c>
      <c r="F3" s="984" t="s">
        <v>55</v>
      </c>
      <c r="G3" s="984" t="s">
        <v>57</v>
      </c>
      <c r="H3" s="984" t="s">
        <v>59</v>
      </c>
      <c r="I3" s="984" t="s">
        <v>61</v>
      </c>
      <c r="J3" s="984" t="s">
        <v>63</v>
      </c>
      <c r="K3" s="984" t="s">
        <v>65</v>
      </c>
      <c r="L3" s="984" t="s">
        <v>67</v>
      </c>
      <c r="M3" s="984" t="s">
        <v>69</v>
      </c>
      <c r="N3" s="984" t="s">
        <v>71</v>
      </c>
      <c r="O3" s="984" t="s">
        <v>72</v>
      </c>
      <c r="P3" s="1346" t="s">
        <v>797</v>
      </c>
      <c r="Q3" s="979" t="s">
        <v>77</v>
      </c>
      <c r="R3" s="979" t="s">
        <v>79</v>
      </c>
      <c r="S3" s="979" t="s">
        <v>81</v>
      </c>
      <c r="T3" s="979" t="s">
        <v>83</v>
      </c>
      <c r="U3" s="979" t="s">
        <v>85</v>
      </c>
      <c r="V3" s="979" t="s">
        <v>87</v>
      </c>
      <c r="W3" s="979" t="s">
        <v>89</v>
      </c>
      <c r="X3" s="1361" t="s">
        <v>94</v>
      </c>
      <c r="Y3" s="925" t="s">
        <v>98</v>
      </c>
      <c r="Z3" s="925" t="s">
        <v>798</v>
      </c>
      <c r="AA3" s="927" t="s">
        <v>799</v>
      </c>
      <c r="AB3" s="1361" t="s">
        <v>113</v>
      </c>
      <c r="AC3" s="925" t="s">
        <v>800</v>
      </c>
      <c r="AD3" s="925" t="s">
        <v>118</v>
      </c>
      <c r="AE3" s="927" t="s">
        <v>801</v>
      </c>
      <c r="AF3" s="927" t="s">
        <v>121</v>
      </c>
      <c r="AG3" s="1361" t="s">
        <v>802</v>
      </c>
      <c r="AH3" s="985" t="s">
        <v>2640</v>
      </c>
      <c r="AI3" s="927" t="s">
        <v>806</v>
      </c>
      <c r="AJ3" s="927" t="s">
        <v>807</v>
      </c>
      <c r="AK3" s="927" t="s">
        <v>131</v>
      </c>
      <c r="AL3" s="927" t="s">
        <v>135</v>
      </c>
      <c r="AM3" s="980" t="s">
        <v>1211</v>
      </c>
    </row>
    <row r="4" spans="1:89" s="824" customFormat="1" ht="19.5">
      <c r="A4" s="883" t="s">
        <v>136</v>
      </c>
      <c r="B4" s="883" t="s">
        <v>137</v>
      </c>
      <c r="C4" s="987"/>
      <c r="D4" s="987">
        <f>E4+P4</f>
        <v>478905275.02464592</v>
      </c>
      <c r="E4" s="1355">
        <f>F4+G4+H4+I4+J4+N4+O4</f>
        <v>244020575.52464592</v>
      </c>
      <c r="F4" s="824">
        <f t="shared" ref="F4:O4" si="0">F5+F8+F11</f>
        <v>233228946.52464592</v>
      </c>
      <c r="G4" s="824">
        <f t="shared" si="0"/>
        <v>2206107</v>
      </c>
      <c r="H4" s="824">
        <f t="shared" si="0"/>
        <v>0</v>
      </c>
      <c r="I4" s="824">
        <f t="shared" si="0"/>
        <v>3999890</v>
      </c>
      <c r="J4" s="824">
        <f t="shared" si="0"/>
        <v>4585632</v>
      </c>
      <c r="K4" s="824">
        <f t="shared" si="0"/>
        <v>0</v>
      </c>
      <c r="L4" s="824">
        <f t="shared" si="0"/>
        <v>0</v>
      </c>
      <c r="M4" s="824">
        <f t="shared" si="0"/>
        <v>0</v>
      </c>
      <c r="N4" s="824">
        <f t="shared" si="0"/>
        <v>0</v>
      </c>
      <c r="O4" s="824">
        <f t="shared" si="0"/>
        <v>0</v>
      </c>
      <c r="P4" s="1347">
        <f>Q4</f>
        <v>234884699.50000003</v>
      </c>
      <c r="Q4" s="989">
        <f>Q5+Q8+Q11</f>
        <v>234884699.50000003</v>
      </c>
      <c r="R4" s="989"/>
      <c r="S4" s="988"/>
      <c r="T4" s="988"/>
      <c r="U4" s="988"/>
      <c r="V4" s="988"/>
      <c r="W4" s="988"/>
      <c r="X4" s="1362">
        <f>Y4+Z4</f>
        <v>0</v>
      </c>
      <c r="Y4" s="988"/>
      <c r="Z4" s="818"/>
      <c r="AA4" s="818">
        <f>AA5+AA11</f>
        <v>27090042</v>
      </c>
      <c r="AB4" s="1368"/>
      <c r="AC4" s="818"/>
      <c r="AD4" s="818"/>
      <c r="AE4" s="818"/>
      <c r="AF4" s="818"/>
      <c r="AG4" s="1363">
        <f>AH4+AH6</f>
        <v>330922.41200673999</v>
      </c>
      <c r="AH4" s="818">
        <f>AI4</f>
        <v>308791.41200673999</v>
      </c>
      <c r="AI4" s="818">
        <f>AJ4</f>
        <v>308791.41200673999</v>
      </c>
      <c r="AJ4" s="818">
        <f>AK4</f>
        <v>308791.41200673999</v>
      </c>
      <c r="AK4" s="818">
        <v>308791.41200673999</v>
      </c>
      <c r="AL4" s="818"/>
      <c r="AM4" s="823">
        <f t="shared" ref="AM4:AM35" si="1">SUM(C4:AL4)</f>
        <v>1465371955.1339722</v>
      </c>
      <c r="AN4" s="834"/>
      <c r="AO4" s="834"/>
      <c r="AP4" s="834"/>
      <c r="AQ4" s="834"/>
      <c r="AR4" s="834"/>
      <c r="AS4" s="834"/>
      <c r="AT4" s="834"/>
      <c r="AU4" s="834"/>
      <c r="AV4" s="834"/>
      <c r="AW4" s="834"/>
      <c r="AX4" s="834"/>
      <c r="AY4" s="834"/>
      <c r="AZ4" s="834"/>
      <c r="BA4" s="834"/>
      <c r="BB4" s="834"/>
      <c r="BC4" s="834"/>
      <c r="BD4" s="834"/>
      <c r="BE4" s="834"/>
      <c r="BF4" s="834"/>
      <c r="BG4" s="834"/>
      <c r="BH4" s="834"/>
      <c r="BI4" s="834"/>
      <c r="BJ4" s="834"/>
      <c r="BK4" s="834"/>
      <c r="BL4" s="834"/>
      <c r="BM4" s="834"/>
      <c r="BN4" s="834"/>
      <c r="BO4" s="834"/>
      <c r="BP4" s="834"/>
      <c r="BQ4" s="834"/>
      <c r="BR4" s="834"/>
      <c r="BS4" s="834"/>
      <c r="BT4" s="834"/>
      <c r="BU4" s="834"/>
      <c r="BV4" s="834"/>
      <c r="BW4" s="834"/>
      <c r="BX4" s="834"/>
      <c r="BY4" s="834"/>
      <c r="BZ4" s="834"/>
      <c r="CA4" s="834"/>
      <c r="CB4" s="834"/>
      <c r="CC4" s="834"/>
      <c r="CD4" s="834"/>
      <c r="CE4" s="834"/>
      <c r="CF4" s="834"/>
      <c r="CG4" s="834"/>
      <c r="CH4" s="834"/>
      <c r="CI4" s="834"/>
      <c r="CJ4" s="834"/>
      <c r="CK4" s="834"/>
    </row>
    <row r="5" spans="1:89" s="805" customFormat="1" ht="31.5">
      <c r="A5" s="884" t="s">
        <v>138</v>
      </c>
      <c r="B5" s="884" t="s">
        <v>139</v>
      </c>
      <c r="C5" s="990"/>
      <c r="D5" s="990">
        <f>E5+P5</f>
        <v>313585957.33487129</v>
      </c>
      <c r="E5" s="1356">
        <f>F5+G5+I5+J5</f>
        <v>223434416.6348713</v>
      </c>
      <c r="F5" s="991">
        <f>F6+F7</f>
        <v>212642787.6348713</v>
      </c>
      <c r="G5" s="991">
        <f>G6+G7</f>
        <v>2206107</v>
      </c>
      <c r="H5" s="991">
        <f>H6+H7</f>
        <v>0</v>
      </c>
      <c r="I5" s="991">
        <f>I6+I7</f>
        <v>3999890</v>
      </c>
      <c r="J5" s="992">
        <f>Отчет!J81</f>
        <v>4585632</v>
      </c>
      <c r="K5" s="992"/>
      <c r="L5" s="992"/>
      <c r="M5" s="992"/>
      <c r="N5" s="992"/>
      <c r="O5" s="992"/>
      <c r="P5" s="1347">
        <f>Q5</f>
        <v>90151540.700000018</v>
      </c>
      <c r="Q5" s="993">
        <f>Отчет!J107+'009'!F7+Отчет!J122+Отчет!J133+Q6</f>
        <v>90151540.700000018</v>
      </c>
      <c r="R5" s="993"/>
      <c r="S5" s="992"/>
      <c r="T5" s="992"/>
      <c r="U5" s="992"/>
      <c r="V5" s="992"/>
      <c r="W5" s="992"/>
      <c r="X5" s="1362"/>
      <c r="Y5" s="992"/>
      <c r="Z5" s="813">
        <f>Z6+Z7</f>
        <v>7616713</v>
      </c>
      <c r="AA5" s="805">
        <f>AA6+AA7</f>
        <v>7616713</v>
      </c>
      <c r="AB5" s="1368"/>
      <c r="AC5" s="813"/>
      <c r="AD5" s="813"/>
      <c r="AE5" s="813"/>
      <c r="AF5" s="813"/>
      <c r="AG5" s="1363">
        <f>AG6+AG7</f>
        <v>22131</v>
      </c>
      <c r="AH5" s="813"/>
      <c r="AI5" s="813"/>
      <c r="AJ5" s="813"/>
      <c r="AK5" s="813"/>
      <c r="AL5" s="813"/>
      <c r="AM5" s="823">
        <f t="shared" si="1"/>
        <v>956013429.00461388</v>
      </c>
      <c r="AN5" s="834"/>
      <c r="AO5" s="834"/>
      <c r="AP5" s="834"/>
      <c r="AQ5" s="834"/>
      <c r="AR5" s="834"/>
      <c r="AS5" s="834"/>
      <c r="AT5" s="834"/>
      <c r="AU5" s="834"/>
      <c r="AV5" s="834"/>
      <c r="AW5" s="834"/>
      <c r="AX5" s="834"/>
      <c r="AY5" s="834"/>
      <c r="AZ5" s="834"/>
      <c r="BA5" s="834"/>
      <c r="BB5" s="834"/>
      <c r="BC5" s="834"/>
      <c r="BD5" s="834"/>
      <c r="BE5" s="834"/>
      <c r="BF5" s="834"/>
      <c r="BG5" s="834"/>
      <c r="BH5" s="834"/>
      <c r="BI5" s="834"/>
      <c r="BJ5" s="834"/>
      <c r="BK5" s="834"/>
      <c r="BL5" s="834"/>
      <c r="BM5" s="834"/>
      <c r="BN5" s="834"/>
      <c r="BO5" s="834"/>
      <c r="BP5" s="834"/>
      <c r="BQ5" s="834"/>
      <c r="BR5" s="834"/>
      <c r="BS5" s="834"/>
      <c r="BT5" s="834"/>
      <c r="BU5" s="834"/>
      <c r="BV5" s="834"/>
      <c r="BW5" s="834"/>
      <c r="BX5" s="834"/>
      <c r="BY5" s="834"/>
      <c r="BZ5" s="834"/>
      <c r="CA5" s="834"/>
      <c r="CB5" s="834"/>
      <c r="CC5" s="834"/>
      <c r="CD5" s="834"/>
      <c r="CE5" s="834"/>
      <c r="CF5" s="834"/>
      <c r="CG5" s="834"/>
      <c r="CH5" s="834"/>
      <c r="CI5" s="834"/>
      <c r="CJ5" s="834"/>
      <c r="CK5" s="834"/>
    </row>
    <row r="6" spans="1:89" s="806" customFormat="1" ht="31.5">
      <c r="A6" s="884" t="s">
        <v>140</v>
      </c>
      <c r="B6" s="884" t="s">
        <v>141</v>
      </c>
      <c r="C6" s="994"/>
      <c r="D6" s="994">
        <f>E6+P6</f>
        <v>238563592.63608658</v>
      </c>
      <c r="E6" s="1355">
        <f>F6+G6+H6+I6+J6+N6+O6</f>
        <v>175483909.6932461</v>
      </c>
      <c r="F6" s="996">
        <f>'036 гобм'!P6+304096.7+Дэф!C3</f>
        <v>169277912.6932461</v>
      </c>
      <c r="G6" s="995">
        <f>Отчет!J33</f>
        <v>2206107</v>
      </c>
      <c r="H6" s="995"/>
      <c r="I6" s="995">
        <f>Отчет!J35</f>
        <v>3999890</v>
      </c>
      <c r="K6" s="995"/>
      <c r="L6" s="995"/>
      <c r="M6" s="995"/>
      <c r="N6" s="995"/>
      <c r="O6" s="995"/>
      <c r="P6" s="1347">
        <f>Q6+R6+S6+T6+U6+V6+W6</f>
        <v>63079682.942840487</v>
      </c>
      <c r="Q6" s="997">
        <f>Отчет!J37+Отчет!J41+Отчет!J114+'009'!F11-'009'!F7-4882387</f>
        <v>63079682.942840487</v>
      </c>
      <c r="R6" s="997"/>
      <c r="S6" s="995"/>
      <c r="T6" s="995"/>
      <c r="U6" s="995"/>
      <c r="V6" s="995"/>
      <c r="W6" s="995"/>
      <c r="X6" s="1362"/>
      <c r="Y6" s="995"/>
      <c r="Z6" s="814">
        <f>AA6</f>
        <v>7616713</v>
      </c>
      <c r="AA6" s="814">
        <f>'HF-HP2'!AA5</f>
        <v>7616713</v>
      </c>
      <c r="AB6" s="1437"/>
      <c r="AC6" s="814"/>
      <c r="AD6" s="814"/>
      <c r="AE6" s="814"/>
      <c r="AF6" s="814"/>
      <c r="AG6" s="1363">
        <f>AH6</f>
        <v>22131</v>
      </c>
      <c r="AH6" s="814">
        <f>'Соцфин 2.1'!D18</f>
        <v>22131</v>
      </c>
      <c r="AI6" s="814"/>
      <c r="AJ6" s="814"/>
      <c r="AK6" s="814"/>
      <c r="AL6" s="814"/>
      <c r="AM6" s="823">
        <f t="shared" si="1"/>
        <v>730968465.90825975</v>
      </c>
      <c r="AN6" s="834"/>
      <c r="AO6" s="834"/>
      <c r="AP6" s="834"/>
      <c r="AQ6" s="834"/>
      <c r="AR6" s="834"/>
      <c r="AS6" s="834"/>
      <c r="AT6" s="834"/>
      <c r="AU6" s="834"/>
      <c r="AV6" s="834"/>
      <c r="AW6" s="834"/>
      <c r="AX6" s="834"/>
      <c r="AY6" s="834"/>
      <c r="AZ6" s="834"/>
      <c r="BA6" s="834"/>
      <c r="BB6" s="834"/>
      <c r="BC6" s="834"/>
      <c r="BD6" s="834"/>
      <c r="BE6" s="834"/>
      <c r="BF6" s="834"/>
      <c r="BG6" s="834"/>
      <c r="BH6" s="834"/>
      <c r="BI6" s="834"/>
      <c r="BJ6" s="834"/>
      <c r="BK6" s="834"/>
      <c r="BL6" s="834"/>
      <c r="BM6" s="834"/>
      <c r="BN6" s="834"/>
      <c r="BO6" s="834"/>
      <c r="BP6" s="834"/>
      <c r="BQ6" s="834"/>
      <c r="BR6" s="834"/>
      <c r="BS6" s="834"/>
      <c r="BT6" s="834"/>
      <c r="BU6" s="834"/>
      <c r="BV6" s="834"/>
      <c r="BW6" s="834"/>
      <c r="BX6" s="834"/>
      <c r="BY6" s="834"/>
      <c r="BZ6" s="834"/>
      <c r="CA6" s="834"/>
      <c r="CB6" s="834"/>
      <c r="CC6" s="834"/>
      <c r="CD6" s="834"/>
      <c r="CE6" s="834"/>
      <c r="CF6" s="834"/>
      <c r="CG6" s="834"/>
      <c r="CH6" s="834"/>
      <c r="CI6" s="834"/>
      <c r="CJ6" s="834"/>
      <c r="CK6" s="834"/>
    </row>
    <row r="7" spans="1:89" s="806" customFormat="1" ht="63">
      <c r="A7" s="884" t="s">
        <v>142</v>
      </c>
      <c r="B7" s="884" t="s">
        <v>143</v>
      </c>
      <c r="C7" s="994"/>
      <c r="D7" s="994">
        <f>E7+P7</f>
        <v>43364874.941625193</v>
      </c>
      <c r="E7" s="1356">
        <f>F7+G7+H7+I7+J7+N7+O7</f>
        <v>43364874.941625193</v>
      </c>
      <c r="F7" s="996">
        <f>'036 гобм'!P7</f>
        <v>43364874.941625193</v>
      </c>
      <c r="G7" s="995"/>
      <c r="H7" s="995"/>
      <c r="I7" s="995"/>
      <c r="J7" s="995"/>
      <c r="K7" s="995"/>
      <c r="L7" s="995"/>
      <c r="M7" s="995"/>
      <c r="N7" s="995"/>
      <c r="O7" s="995"/>
      <c r="P7" s="1347"/>
      <c r="Q7" s="997"/>
      <c r="R7" s="997"/>
      <c r="S7" s="995"/>
      <c r="T7" s="995"/>
      <c r="U7" s="995"/>
      <c r="V7" s="995"/>
      <c r="W7" s="995"/>
      <c r="X7" s="1362"/>
      <c r="Y7" s="995"/>
      <c r="Z7" s="814"/>
      <c r="AA7" s="814"/>
      <c r="AB7" s="1363"/>
      <c r="AC7" s="814"/>
      <c r="AD7" s="814"/>
      <c r="AE7" s="814"/>
      <c r="AF7" s="814"/>
      <c r="AG7" s="1363"/>
      <c r="AH7" s="814"/>
      <c r="AI7" s="814"/>
      <c r="AJ7" s="814"/>
      <c r="AK7" s="814"/>
      <c r="AL7" s="814"/>
      <c r="AM7" s="823">
        <f t="shared" si="1"/>
        <v>130094624.82487558</v>
      </c>
      <c r="AN7" s="834"/>
      <c r="AO7" s="834"/>
      <c r="AP7" s="834"/>
      <c r="AQ7" s="834"/>
      <c r="AR7" s="834"/>
      <c r="AS7" s="834"/>
      <c r="AT7" s="834"/>
      <c r="AU7" s="834"/>
      <c r="AV7" s="834"/>
      <c r="AW7" s="834"/>
      <c r="AX7" s="834"/>
      <c r="AY7" s="834"/>
      <c r="AZ7" s="834"/>
      <c r="BA7" s="834"/>
      <c r="BB7" s="834"/>
      <c r="BC7" s="834"/>
      <c r="BD7" s="834"/>
      <c r="BE7" s="834"/>
      <c r="BF7" s="834"/>
      <c r="BG7" s="834"/>
      <c r="BH7" s="834"/>
      <c r="BI7" s="834"/>
      <c r="BJ7" s="834"/>
      <c r="BK7" s="834"/>
      <c r="BL7" s="834"/>
      <c r="BM7" s="834"/>
      <c r="BN7" s="834"/>
      <c r="BO7" s="834"/>
      <c r="BP7" s="834"/>
      <c r="BQ7" s="834"/>
      <c r="BR7" s="834"/>
      <c r="BS7" s="834"/>
      <c r="BT7" s="834"/>
      <c r="BU7" s="834"/>
      <c r="BV7" s="834"/>
      <c r="BW7" s="834"/>
      <c r="BX7" s="834"/>
      <c r="BY7" s="834"/>
      <c r="BZ7" s="834"/>
      <c r="CA7" s="834"/>
      <c r="CB7" s="834"/>
      <c r="CC7" s="834"/>
      <c r="CD7" s="834"/>
      <c r="CE7" s="834"/>
      <c r="CF7" s="834"/>
      <c r="CG7" s="834"/>
      <c r="CH7" s="834"/>
      <c r="CI7" s="834"/>
      <c r="CJ7" s="834"/>
      <c r="CK7" s="834"/>
    </row>
    <row r="8" spans="1:89" s="806" customFormat="1" ht="31.5">
      <c r="A8" s="884" t="s">
        <v>144</v>
      </c>
      <c r="B8" s="884" t="s">
        <v>145</v>
      </c>
      <c r="C8" s="994"/>
      <c r="D8" s="994">
        <f>E8+Q8</f>
        <v>20586158.889774613</v>
      </c>
      <c r="E8" s="1356">
        <f>E9+E10+F8</f>
        <v>20586158.889774613</v>
      </c>
      <c r="F8" s="996">
        <f>'036 гобм'!P8+F9+F10</f>
        <v>20586158.889774613</v>
      </c>
      <c r="G8" s="995"/>
      <c r="H8" s="995"/>
      <c r="I8" s="995"/>
      <c r="J8" s="995"/>
      <c r="K8" s="995"/>
      <c r="L8" s="995"/>
      <c r="M8" s="995"/>
      <c r="N8" s="995"/>
      <c r="O8" s="995"/>
      <c r="P8" s="1347"/>
      <c r="Q8" s="997"/>
      <c r="R8" s="997"/>
      <c r="S8" s="995"/>
      <c r="T8" s="995"/>
      <c r="U8" s="995"/>
      <c r="V8" s="995"/>
      <c r="W8" s="995"/>
      <c r="X8" s="1362"/>
      <c r="Y8" s="995"/>
      <c r="Z8" s="814"/>
      <c r="AA8" s="814"/>
      <c r="AB8" s="1363"/>
      <c r="AC8" s="814"/>
      <c r="AD8" s="814"/>
      <c r="AE8" s="814"/>
      <c r="AF8" s="814"/>
      <c r="AG8" s="1363"/>
      <c r="AH8" s="814"/>
      <c r="AI8" s="814"/>
      <c r="AJ8" s="814"/>
      <c r="AK8" s="814"/>
      <c r="AL8" s="814"/>
      <c r="AM8" s="823">
        <f t="shared" si="1"/>
        <v>61758476.669323839</v>
      </c>
      <c r="AN8" s="834"/>
      <c r="AO8" s="834"/>
      <c r="AP8" s="834"/>
      <c r="AQ8" s="834"/>
      <c r="AR8" s="834"/>
      <c r="AS8" s="834"/>
      <c r="AT8" s="834"/>
      <c r="AU8" s="834"/>
      <c r="AV8" s="834"/>
      <c r="AW8" s="834"/>
      <c r="AX8" s="834"/>
      <c r="AY8" s="834"/>
      <c r="AZ8" s="834"/>
      <c r="BA8" s="834"/>
      <c r="BB8" s="834"/>
      <c r="BC8" s="834"/>
      <c r="BD8" s="834"/>
      <c r="BE8" s="834"/>
      <c r="BF8" s="834"/>
      <c r="BG8" s="834"/>
      <c r="BH8" s="834"/>
      <c r="BI8" s="834"/>
      <c r="BJ8" s="834"/>
      <c r="BK8" s="834"/>
      <c r="BL8" s="834"/>
      <c r="BM8" s="834"/>
      <c r="BN8" s="834"/>
      <c r="BO8" s="834"/>
      <c r="BP8" s="834"/>
      <c r="BQ8" s="834"/>
      <c r="BR8" s="834"/>
      <c r="BS8" s="834"/>
      <c r="BT8" s="834"/>
      <c r="BU8" s="834"/>
      <c r="BV8" s="834"/>
      <c r="BW8" s="834"/>
      <c r="BX8" s="834"/>
      <c r="BY8" s="834"/>
      <c r="BZ8" s="834"/>
      <c r="CA8" s="834"/>
      <c r="CB8" s="834"/>
      <c r="CC8" s="834"/>
      <c r="CD8" s="834"/>
      <c r="CE8" s="834"/>
      <c r="CF8" s="834"/>
      <c r="CG8" s="834"/>
      <c r="CH8" s="834"/>
      <c r="CI8" s="834"/>
      <c r="CJ8" s="834"/>
      <c r="CK8" s="834"/>
    </row>
    <row r="9" spans="1:89" s="805" customFormat="1" ht="31.5">
      <c r="A9" s="884" t="s">
        <v>146</v>
      </c>
      <c r="B9" s="884" t="s">
        <v>147</v>
      </c>
      <c r="C9" s="990"/>
      <c r="D9" s="990"/>
      <c r="E9" s="1356">
        <f>F9+G9+H9+I9+J9+N9+O9</f>
        <v>0</v>
      </c>
      <c r="F9" s="991"/>
      <c r="G9" s="992"/>
      <c r="H9" s="992"/>
      <c r="I9" s="992"/>
      <c r="J9" s="992"/>
      <c r="K9" s="992"/>
      <c r="L9" s="992"/>
      <c r="M9" s="992"/>
      <c r="N9" s="992"/>
      <c r="O9" s="992"/>
      <c r="P9" s="1347"/>
      <c r="Q9" s="993"/>
      <c r="R9" s="993"/>
      <c r="S9" s="992"/>
      <c r="T9" s="992"/>
      <c r="U9" s="992"/>
      <c r="V9" s="992"/>
      <c r="W9" s="992"/>
      <c r="X9" s="1362"/>
      <c r="Y9" s="992"/>
      <c r="Z9" s="813"/>
      <c r="AA9" s="813"/>
      <c r="AB9" s="1363"/>
      <c r="AC9" s="813"/>
      <c r="AD9" s="813"/>
      <c r="AE9" s="813"/>
      <c r="AF9" s="813"/>
      <c r="AG9" s="1363"/>
      <c r="AH9" s="813"/>
      <c r="AI9" s="813"/>
      <c r="AJ9" s="813"/>
      <c r="AK9" s="813"/>
      <c r="AL9" s="813"/>
      <c r="AM9" s="823">
        <f t="shared" si="1"/>
        <v>0</v>
      </c>
      <c r="AN9" s="834"/>
      <c r="AO9" s="834"/>
      <c r="AP9" s="834"/>
      <c r="AQ9" s="834"/>
      <c r="AR9" s="834"/>
      <c r="AS9" s="834"/>
      <c r="AT9" s="834"/>
      <c r="AU9" s="834"/>
      <c r="AV9" s="834"/>
      <c r="AW9" s="834"/>
      <c r="AX9" s="834"/>
      <c r="AY9" s="834"/>
      <c r="AZ9" s="834"/>
      <c r="BA9" s="834"/>
      <c r="BB9" s="834"/>
      <c r="BC9" s="834"/>
      <c r="BD9" s="834"/>
      <c r="BE9" s="834"/>
      <c r="BF9" s="834"/>
      <c r="BG9" s="834"/>
      <c r="BH9" s="834"/>
      <c r="BI9" s="834"/>
      <c r="BJ9" s="834"/>
      <c r="BK9" s="834"/>
      <c r="BL9" s="834"/>
      <c r="BM9" s="834"/>
      <c r="BN9" s="834"/>
      <c r="BO9" s="834"/>
      <c r="BP9" s="834"/>
      <c r="BQ9" s="834"/>
      <c r="BR9" s="834"/>
      <c r="BS9" s="834"/>
      <c r="BT9" s="834"/>
      <c r="BU9" s="834"/>
      <c r="BV9" s="834"/>
      <c r="BW9" s="834"/>
      <c r="BX9" s="834"/>
      <c r="BY9" s="834"/>
      <c r="BZ9" s="834"/>
      <c r="CA9" s="834"/>
      <c r="CB9" s="834"/>
      <c r="CC9" s="834"/>
      <c r="CD9" s="834"/>
      <c r="CE9" s="834"/>
      <c r="CF9" s="834"/>
      <c r="CG9" s="834"/>
      <c r="CH9" s="834"/>
      <c r="CI9" s="834"/>
      <c r="CJ9" s="834"/>
      <c r="CK9" s="834"/>
    </row>
    <row r="10" spans="1:89" s="806" customFormat="1" ht="47.25">
      <c r="A10" s="884" t="s">
        <v>148</v>
      </c>
      <c r="B10" s="884" t="s">
        <v>149</v>
      </c>
      <c r="C10" s="994"/>
      <c r="D10" s="994"/>
      <c r="E10" s="1356">
        <f>F10+G10+H10+I10+J10+N10+O10</f>
        <v>0</v>
      </c>
      <c r="F10" s="996"/>
      <c r="G10" s="995"/>
      <c r="H10" s="995"/>
      <c r="I10" s="995"/>
      <c r="J10" s="995"/>
      <c r="K10" s="995"/>
      <c r="L10" s="995"/>
      <c r="M10" s="995"/>
      <c r="N10" s="995"/>
      <c r="O10" s="995"/>
      <c r="P10" s="1347"/>
      <c r="Q10" s="997"/>
      <c r="R10" s="997"/>
      <c r="S10" s="995"/>
      <c r="T10" s="998"/>
      <c r="U10" s="995"/>
      <c r="V10" s="995"/>
      <c r="W10" s="995"/>
      <c r="X10" s="1362"/>
      <c r="Y10" s="995"/>
      <c r="Z10" s="814"/>
      <c r="AB10" s="1363"/>
      <c r="AC10" s="814"/>
      <c r="AD10" s="814"/>
      <c r="AE10" s="814"/>
      <c r="AF10" s="814"/>
      <c r="AG10" s="1363"/>
      <c r="AH10" s="814"/>
      <c r="AI10" s="814"/>
      <c r="AJ10" s="814"/>
      <c r="AK10" s="814"/>
      <c r="AL10" s="814"/>
      <c r="AM10" s="823">
        <f t="shared" si="1"/>
        <v>0</v>
      </c>
      <c r="AN10" s="834"/>
      <c r="AO10" s="834"/>
      <c r="AP10" s="834"/>
      <c r="AQ10" s="834"/>
      <c r="AR10" s="834"/>
      <c r="AS10" s="834"/>
      <c r="AT10" s="834"/>
      <c r="AU10" s="834"/>
      <c r="AV10" s="834"/>
      <c r="AW10" s="834"/>
      <c r="AX10" s="834"/>
      <c r="AY10" s="834"/>
      <c r="AZ10" s="834"/>
      <c r="BA10" s="834"/>
      <c r="BB10" s="834"/>
      <c r="BC10" s="834"/>
      <c r="BD10" s="834"/>
      <c r="BE10" s="834"/>
      <c r="BF10" s="834"/>
      <c r="BG10" s="834"/>
      <c r="BH10" s="834"/>
      <c r="BI10" s="834"/>
      <c r="BJ10" s="834"/>
      <c r="BK10" s="834"/>
      <c r="BL10" s="834"/>
      <c r="BM10" s="834"/>
      <c r="BN10" s="834"/>
      <c r="BO10" s="834"/>
      <c r="BP10" s="834"/>
      <c r="BQ10" s="834"/>
      <c r="BR10" s="834"/>
      <c r="BS10" s="834"/>
      <c r="BT10" s="834"/>
      <c r="BU10" s="834"/>
      <c r="BV10" s="834"/>
      <c r="BW10" s="834"/>
      <c r="BX10" s="834"/>
      <c r="BY10" s="834"/>
      <c r="BZ10" s="834"/>
      <c r="CA10" s="834"/>
      <c r="CB10" s="834"/>
      <c r="CC10" s="834"/>
      <c r="CD10" s="834"/>
      <c r="CE10" s="834"/>
      <c r="CF10" s="834"/>
      <c r="CG10" s="834"/>
      <c r="CH10" s="834"/>
      <c r="CI10" s="834"/>
      <c r="CJ10" s="834"/>
      <c r="CK10" s="834"/>
    </row>
    <row r="11" spans="1:89" s="806" customFormat="1" ht="19.5">
      <c r="A11" s="884" t="s">
        <v>150</v>
      </c>
      <c r="B11" s="884" t="s">
        <v>151</v>
      </c>
      <c r="C11" s="994"/>
      <c r="D11" s="994">
        <f>E11+Q11</f>
        <v>144733158.80000001</v>
      </c>
      <c r="E11" s="1356">
        <f>E12+E13+E14+E15+E16+E1</f>
        <v>0</v>
      </c>
      <c r="F11" s="806">
        <f>F12+F13+F14+F15+F16</f>
        <v>0</v>
      </c>
      <c r="G11" s="995"/>
      <c r="H11" s="995"/>
      <c r="I11" s="995"/>
      <c r="J11" s="995"/>
      <c r="K11" s="995"/>
      <c r="L11" s="995"/>
      <c r="M11" s="995"/>
      <c r="N11" s="995"/>
      <c r="O11" s="995"/>
      <c r="P11" s="1347">
        <f>P12+P13+P14+P15+P16</f>
        <v>144733158.80000001</v>
      </c>
      <c r="Q11" s="997">
        <f>Q12+Q13+Q14+Q15+Q16</f>
        <v>144733158.80000001</v>
      </c>
      <c r="R11" s="997"/>
      <c r="S11" s="995"/>
      <c r="T11" s="998"/>
      <c r="U11" s="995"/>
      <c r="V11" s="995"/>
      <c r="W11" s="995"/>
      <c r="X11" s="1362"/>
      <c r="Y11" s="995"/>
      <c r="Z11" s="814">
        <f>AA11</f>
        <v>19473329</v>
      </c>
      <c r="AA11" s="806">
        <f>AA12+AA13+AA14+AA15</f>
        <v>19473329</v>
      </c>
      <c r="AB11" s="1363"/>
      <c r="AC11" s="814"/>
      <c r="AD11" s="814"/>
      <c r="AE11" s="814"/>
      <c r="AF11" s="814"/>
      <c r="AG11" s="1363"/>
      <c r="AH11" s="814"/>
      <c r="AI11" s="814"/>
      <c r="AJ11" s="814"/>
      <c r="AK11" s="814"/>
      <c r="AL11" s="814"/>
      <c r="AM11" s="823">
        <f t="shared" si="1"/>
        <v>473146134.40000004</v>
      </c>
      <c r="AN11" s="834"/>
      <c r="AO11" s="834"/>
      <c r="AP11" s="834"/>
      <c r="AQ11" s="834"/>
      <c r="AR11" s="834"/>
      <c r="AS11" s="834"/>
      <c r="AT11" s="834"/>
      <c r="AU11" s="834"/>
      <c r="AV11" s="834"/>
      <c r="AW11" s="834"/>
      <c r="AX11" s="834"/>
      <c r="AY11" s="834"/>
      <c r="AZ11" s="834"/>
      <c r="BA11" s="834"/>
      <c r="BB11" s="834"/>
      <c r="BC11" s="834"/>
      <c r="BD11" s="834"/>
      <c r="BE11" s="834"/>
      <c r="BF11" s="834"/>
      <c r="BG11" s="834"/>
      <c r="BH11" s="834"/>
      <c r="BI11" s="834"/>
      <c r="BJ11" s="834"/>
      <c r="BK11" s="834"/>
      <c r="BL11" s="834"/>
      <c r="BM11" s="834"/>
      <c r="BN11" s="834"/>
      <c r="BO11" s="834"/>
      <c r="BP11" s="834"/>
      <c r="BQ11" s="834"/>
      <c r="BR11" s="834"/>
      <c r="BS11" s="834"/>
      <c r="BT11" s="834"/>
      <c r="BU11" s="834"/>
      <c r="BV11" s="834"/>
      <c r="BW11" s="834"/>
      <c r="BX11" s="834"/>
      <c r="BY11" s="834"/>
      <c r="BZ11" s="834"/>
      <c r="CA11" s="834"/>
      <c r="CB11" s="834"/>
      <c r="CC11" s="834"/>
      <c r="CD11" s="834"/>
      <c r="CE11" s="834"/>
      <c r="CF11" s="834"/>
      <c r="CG11" s="834"/>
      <c r="CH11" s="834"/>
      <c r="CI11" s="834"/>
      <c r="CJ11" s="834"/>
      <c r="CK11" s="834"/>
    </row>
    <row r="12" spans="1:89" s="805" customFormat="1" ht="47.25">
      <c r="A12" s="884" t="s">
        <v>152</v>
      </c>
      <c r="B12" s="884" t="s">
        <v>153</v>
      </c>
      <c r="C12" s="990"/>
      <c r="D12" s="990">
        <f>E12+P12</f>
        <v>144733158.80000001</v>
      </c>
      <c r="E12" s="1355"/>
      <c r="F12" s="991"/>
      <c r="G12" s="992"/>
      <c r="H12" s="992"/>
      <c r="I12" s="992"/>
      <c r="J12" s="992"/>
      <c r="K12" s="992"/>
      <c r="L12" s="992"/>
      <c r="M12" s="992"/>
      <c r="N12" s="992"/>
      <c r="O12" s="992"/>
      <c r="P12" s="1347">
        <f>Q12</f>
        <v>144733158.80000001</v>
      </c>
      <c r="Q12" s="993">
        <f>Отчет!J141+Отчет!J153</f>
        <v>144733158.80000001</v>
      </c>
      <c r="R12" s="993"/>
      <c r="S12" s="992"/>
      <c r="T12" s="992"/>
      <c r="U12" s="992"/>
      <c r="V12" s="992"/>
      <c r="W12" s="992"/>
      <c r="X12" s="1362"/>
      <c r="Y12" s="992"/>
      <c r="Z12" s="813"/>
      <c r="AA12" s="813">
        <f>'HF-HP2'!AA30</f>
        <v>14363297</v>
      </c>
      <c r="AB12" s="1363"/>
      <c r="AC12" s="813"/>
      <c r="AD12" s="813"/>
      <c r="AE12" s="813"/>
      <c r="AF12" s="813"/>
      <c r="AG12" s="1363"/>
      <c r="AH12" s="813"/>
      <c r="AI12" s="813"/>
      <c r="AJ12" s="813"/>
      <c r="AK12" s="813"/>
      <c r="AL12" s="813"/>
      <c r="AM12" s="823">
        <f t="shared" si="1"/>
        <v>448562773.40000004</v>
      </c>
      <c r="AN12" s="834"/>
      <c r="AO12" s="834"/>
      <c r="AP12" s="834"/>
      <c r="AQ12" s="834"/>
      <c r="AR12" s="834"/>
      <c r="AS12" s="834"/>
      <c r="AT12" s="834"/>
      <c r="AU12" s="834"/>
      <c r="AV12" s="834"/>
      <c r="AW12" s="834"/>
      <c r="AX12" s="834"/>
      <c r="AY12" s="834"/>
      <c r="AZ12" s="834"/>
      <c r="BA12" s="834"/>
      <c r="BB12" s="834"/>
      <c r="BC12" s="834"/>
      <c r="BD12" s="834"/>
      <c r="BE12" s="834"/>
      <c r="BF12" s="834"/>
      <c r="BG12" s="834"/>
      <c r="BH12" s="834"/>
      <c r="BI12" s="834"/>
      <c r="BJ12" s="834"/>
      <c r="BK12" s="834"/>
      <c r="BL12" s="834"/>
      <c r="BM12" s="834"/>
      <c r="BN12" s="834"/>
      <c r="BO12" s="834"/>
      <c r="BP12" s="834"/>
      <c r="BQ12" s="834"/>
      <c r="BR12" s="834"/>
      <c r="BS12" s="834"/>
      <c r="BT12" s="834"/>
      <c r="BU12" s="834"/>
      <c r="BV12" s="834"/>
      <c r="BW12" s="834"/>
      <c r="BX12" s="834"/>
      <c r="BY12" s="834"/>
      <c r="BZ12" s="834"/>
      <c r="CA12" s="834"/>
      <c r="CB12" s="834"/>
      <c r="CC12" s="834"/>
      <c r="CD12" s="834"/>
      <c r="CE12" s="834"/>
      <c r="CF12" s="834"/>
      <c r="CG12" s="834"/>
      <c r="CH12" s="834"/>
      <c r="CI12" s="834"/>
      <c r="CJ12" s="834"/>
      <c r="CK12" s="834"/>
    </row>
    <row r="13" spans="1:89" s="806" customFormat="1" ht="47.25">
      <c r="A13" s="884" t="s">
        <v>154</v>
      </c>
      <c r="B13" s="884" t="s">
        <v>155</v>
      </c>
      <c r="C13" s="994"/>
      <c r="D13" s="994"/>
      <c r="E13" s="1347"/>
      <c r="F13" s="996"/>
      <c r="G13" s="995"/>
      <c r="H13" s="995"/>
      <c r="I13" s="995"/>
      <c r="J13" s="995"/>
      <c r="K13" s="995"/>
      <c r="L13" s="995"/>
      <c r="M13" s="995"/>
      <c r="N13" s="995"/>
      <c r="O13" s="995"/>
      <c r="P13" s="1347"/>
      <c r="Q13" s="997"/>
      <c r="R13" s="997"/>
      <c r="S13" s="995"/>
      <c r="T13" s="996"/>
      <c r="U13" s="995"/>
      <c r="V13" s="995"/>
      <c r="W13" s="995"/>
      <c r="X13" s="1362"/>
      <c r="Y13" s="995"/>
      <c r="Z13" s="814"/>
      <c r="AA13" s="814">
        <f>'HF-HP2'!AA35</f>
        <v>1814689</v>
      </c>
      <c r="AB13" s="1363"/>
      <c r="AC13" s="814"/>
      <c r="AD13" s="814"/>
      <c r="AE13" s="814"/>
      <c r="AF13" s="814"/>
      <c r="AG13" s="1363"/>
      <c r="AH13" s="814"/>
      <c r="AI13" s="814"/>
      <c r="AJ13" s="814"/>
      <c r="AK13" s="814"/>
      <c r="AL13" s="814"/>
      <c r="AM13" s="823">
        <f t="shared" si="1"/>
        <v>1814689</v>
      </c>
      <c r="AN13" s="834"/>
      <c r="AO13" s="834"/>
      <c r="AP13" s="834"/>
      <c r="AQ13" s="834"/>
      <c r="AR13" s="834"/>
      <c r="AS13" s="834"/>
      <c r="AT13" s="834"/>
      <c r="AU13" s="834"/>
      <c r="AV13" s="834"/>
      <c r="AW13" s="834"/>
      <c r="AX13" s="834"/>
      <c r="AY13" s="834"/>
      <c r="AZ13" s="834"/>
      <c r="BA13" s="834"/>
      <c r="BB13" s="834"/>
      <c r="BC13" s="834"/>
      <c r="BD13" s="834"/>
      <c r="BE13" s="834"/>
      <c r="BF13" s="834"/>
      <c r="BG13" s="834"/>
      <c r="BH13" s="834"/>
      <c r="BI13" s="834"/>
      <c r="BJ13" s="834"/>
      <c r="BK13" s="834"/>
      <c r="BL13" s="834"/>
      <c r="BM13" s="834"/>
      <c r="BN13" s="834"/>
      <c r="BO13" s="834"/>
      <c r="BP13" s="834"/>
      <c r="BQ13" s="834"/>
      <c r="BR13" s="834"/>
      <c r="BS13" s="834"/>
      <c r="BT13" s="834"/>
      <c r="BU13" s="834"/>
      <c r="BV13" s="834"/>
      <c r="BW13" s="834"/>
      <c r="BX13" s="834"/>
      <c r="BY13" s="834"/>
      <c r="BZ13" s="834"/>
      <c r="CA13" s="834"/>
      <c r="CB13" s="834"/>
      <c r="CC13" s="834"/>
      <c r="CD13" s="834"/>
      <c r="CE13" s="834"/>
      <c r="CF13" s="834"/>
      <c r="CG13" s="834"/>
      <c r="CH13" s="834"/>
      <c r="CI13" s="834"/>
      <c r="CJ13" s="834"/>
      <c r="CK13" s="834"/>
    </row>
    <row r="14" spans="1:89" s="806" customFormat="1" ht="31.5">
      <c r="A14" s="884" t="s">
        <v>156</v>
      </c>
      <c r="B14" s="884" t="s">
        <v>157</v>
      </c>
      <c r="C14" s="994"/>
      <c r="D14" s="994"/>
      <c r="E14" s="1356"/>
      <c r="F14" s="996"/>
      <c r="G14" s="995"/>
      <c r="H14" s="995"/>
      <c r="I14" s="995"/>
      <c r="J14" s="995"/>
      <c r="K14" s="995"/>
      <c r="L14" s="995"/>
      <c r="M14" s="995"/>
      <c r="N14" s="995"/>
      <c r="O14" s="995"/>
      <c r="P14" s="1347"/>
      <c r="Q14" s="997"/>
      <c r="R14" s="997"/>
      <c r="S14" s="995"/>
      <c r="T14" s="995"/>
      <c r="U14" s="995"/>
      <c r="V14" s="995"/>
      <c r="W14" s="995"/>
      <c r="X14" s="1362"/>
      <c r="Y14" s="995"/>
      <c r="Z14" s="814"/>
      <c r="AB14" s="1363"/>
      <c r="AC14" s="814"/>
      <c r="AD14" s="814"/>
      <c r="AE14" s="814"/>
      <c r="AF14" s="814"/>
      <c r="AG14" s="1363"/>
      <c r="AH14" s="814"/>
      <c r="AI14" s="814"/>
      <c r="AJ14" s="814"/>
      <c r="AK14" s="814"/>
      <c r="AL14" s="814"/>
      <c r="AM14" s="823">
        <f t="shared" si="1"/>
        <v>0</v>
      </c>
      <c r="AN14" s="834"/>
      <c r="AO14" s="834"/>
      <c r="AP14" s="834"/>
      <c r="AQ14" s="834"/>
      <c r="AR14" s="834"/>
      <c r="AS14" s="834"/>
      <c r="AT14" s="834"/>
      <c r="AU14" s="834"/>
      <c r="AV14" s="834"/>
      <c r="AW14" s="834"/>
      <c r="AX14" s="834"/>
      <c r="AY14" s="834"/>
      <c r="AZ14" s="834"/>
      <c r="BA14" s="834"/>
      <c r="BB14" s="834"/>
      <c r="BC14" s="834"/>
      <c r="BD14" s="834"/>
      <c r="BE14" s="834"/>
      <c r="BF14" s="834"/>
      <c r="BG14" s="834"/>
      <c r="BH14" s="834"/>
      <c r="BI14" s="834"/>
      <c r="BJ14" s="834"/>
      <c r="BK14" s="834"/>
      <c r="BL14" s="834"/>
      <c r="BM14" s="834"/>
      <c r="BN14" s="834"/>
      <c r="BO14" s="834"/>
      <c r="BP14" s="834"/>
      <c r="BQ14" s="834"/>
      <c r="BR14" s="834"/>
      <c r="BS14" s="834"/>
      <c r="BT14" s="834"/>
      <c r="BU14" s="834"/>
      <c r="BV14" s="834"/>
      <c r="BW14" s="834"/>
      <c r="BX14" s="834"/>
      <c r="BY14" s="834"/>
      <c r="BZ14" s="834"/>
      <c r="CA14" s="834"/>
      <c r="CB14" s="834"/>
      <c r="CC14" s="834"/>
      <c r="CD14" s="834"/>
      <c r="CE14" s="834"/>
      <c r="CF14" s="834"/>
      <c r="CG14" s="834"/>
      <c r="CH14" s="834"/>
      <c r="CI14" s="834"/>
      <c r="CJ14" s="834"/>
      <c r="CK14" s="834"/>
    </row>
    <row r="15" spans="1:89" s="806" customFormat="1" ht="31.5">
      <c r="A15" s="885" t="s">
        <v>158</v>
      </c>
      <c r="B15" s="885" t="s">
        <v>159</v>
      </c>
      <c r="C15" s="994"/>
      <c r="D15" s="994"/>
      <c r="E15" s="1356"/>
      <c r="F15" s="996"/>
      <c r="G15" s="995"/>
      <c r="H15" s="995"/>
      <c r="I15" s="995"/>
      <c r="J15" s="995"/>
      <c r="K15" s="995"/>
      <c r="L15" s="995"/>
      <c r="M15" s="995"/>
      <c r="N15" s="995"/>
      <c r="O15" s="995"/>
      <c r="P15" s="1347"/>
      <c r="Q15" s="997"/>
      <c r="R15" s="997"/>
      <c r="S15" s="995"/>
      <c r="T15" s="995"/>
      <c r="U15" s="995"/>
      <c r="V15" s="995"/>
      <c r="W15" s="995"/>
      <c r="X15" s="1362"/>
      <c r="Y15" s="995"/>
      <c r="Z15" s="814"/>
      <c r="AA15" s="814">
        <f>'HF-HP2'!AA36</f>
        <v>3295343</v>
      </c>
      <c r="AB15" s="1363"/>
      <c r="AC15" s="814"/>
      <c r="AD15" s="814"/>
      <c r="AE15" s="814"/>
      <c r="AF15" s="814"/>
      <c r="AG15" s="1363"/>
      <c r="AH15" s="814"/>
      <c r="AI15" s="814"/>
      <c r="AJ15" s="814"/>
      <c r="AK15" s="814"/>
      <c r="AL15" s="814"/>
      <c r="AM15" s="823">
        <f t="shared" si="1"/>
        <v>3295343</v>
      </c>
      <c r="AN15" s="834"/>
      <c r="AO15" s="834"/>
      <c r="AP15" s="834"/>
      <c r="AQ15" s="834"/>
      <c r="AR15" s="834"/>
      <c r="AS15" s="834"/>
      <c r="AT15" s="834"/>
      <c r="AU15" s="834"/>
      <c r="AV15" s="834"/>
      <c r="AW15" s="834"/>
      <c r="AX15" s="834"/>
      <c r="AY15" s="834"/>
      <c r="AZ15" s="834"/>
      <c r="BA15" s="834"/>
      <c r="BB15" s="834"/>
      <c r="BC15" s="834"/>
      <c r="BD15" s="834"/>
      <c r="BE15" s="834"/>
      <c r="BF15" s="834"/>
      <c r="BG15" s="834"/>
      <c r="BH15" s="834"/>
      <c r="BI15" s="834"/>
      <c r="BJ15" s="834"/>
      <c r="BK15" s="834"/>
      <c r="BL15" s="834"/>
      <c r="BM15" s="834"/>
      <c r="BN15" s="834"/>
      <c r="BO15" s="834"/>
      <c r="BP15" s="834"/>
      <c r="BQ15" s="834"/>
      <c r="BR15" s="834"/>
      <c r="BS15" s="834"/>
      <c r="BT15" s="834"/>
      <c r="BU15" s="834"/>
      <c r="BV15" s="834"/>
      <c r="BW15" s="834"/>
      <c r="BX15" s="834"/>
      <c r="BY15" s="834"/>
      <c r="BZ15" s="834"/>
      <c r="CA15" s="834"/>
      <c r="CB15" s="834"/>
      <c r="CC15" s="834"/>
      <c r="CD15" s="834"/>
      <c r="CE15" s="834"/>
      <c r="CF15" s="834"/>
      <c r="CG15" s="834"/>
      <c r="CH15" s="834"/>
      <c r="CI15" s="834"/>
      <c r="CJ15" s="834"/>
      <c r="CK15" s="834"/>
    </row>
    <row r="16" spans="1:89" s="806" customFormat="1" ht="31.5">
      <c r="A16" s="884" t="s">
        <v>160</v>
      </c>
      <c r="B16" s="884" t="s">
        <v>161</v>
      </c>
      <c r="C16" s="994"/>
      <c r="D16" s="994"/>
      <c r="E16" s="1356"/>
      <c r="F16" s="996"/>
      <c r="G16" s="995"/>
      <c r="H16" s="995"/>
      <c r="I16" s="995"/>
      <c r="J16" s="995"/>
      <c r="K16" s="995"/>
      <c r="L16" s="995"/>
      <c r="M16" s="995"/>
      <c r="N16" s="995"/>
      <c r="O16" s="995"/>
      <c r="P16" s="1347"/>
      <c r="Q16" s="997"/>
      <c r="R16" s="997"/>
      <c r="S16" s="995"/>
      <c r="T16" s="995"/>
      <c r="U16" s="995"/>
      <c r="V16" s="995"/>
      <c r="W16" s="995"/>
      <c r="X16" s="1362"/>
      <c r="Y16" s="995"/>
      <c r="Z16" s="814"/>
      <c r="AA16" s="814"/>
      <c r="AB16" s="1363"/>
      <c r="AC16" s="814"/>
      <c r="AD16" s="814"/>
      <c r="AE16" s="814"/>
      <c r="AF16" s="814"/>
      <c r="AG16" s="1363"/>
      <c r="AH16" s="814"/>
      <c r="AI16" s="814"/>
      <c r="AJ16" s="814"/>
      <c r="AK16" s="814"/>
      <c r="AL16" s="814"/>
      <c r="AM16" s="823">
        <f t="shared" si="1"/>
        <v>0</v>
      </c>
      <c r="AN16" s="834"/>
      <c r="AO16" s="834"/>
      <c r="AP16" s="834"/>
      <c r="AQ16" s="834"/>
      <c r="AR16" s="834"/>
      <c r="AS16" s="834"/>
      <c r="AT16" s="834"/>
      <c r="AU16" s="834"/>
      <c r="AV16" s="834"/>
      <c r="AW16" s="834"/>
      <c r="AX16" s="834"/>
      <c r="AY16" s="834"/>
      <c r="AZ16" s="834"/>
      <c r="BA16" s="834"/>
      <c r="BB16" s="834"/>
      <c r="BC16" s="834"/>
      <c r="BD16" s="834"/>
      <c r="BE16" s="834"/>
      <c r="BF16" s="834"/>
      <c r="BG16" s="834"/>
      <c r="BH16" s="834"/>
      <c r="BI16" s="834"/>
      <c r="BJ16" s="834"/>
      <c r="BK16" s="834"/>
      <c r="BL16" s="834"/>
      <c r="BM16" s="834"/>
      <c r="BN16" s="834"/>
      <c r="BO16" s="834"/>
      <c r="BP16" s="834"/>
      <c r="BQ16" s="834"/>
      <c r="BR16" s="834"/>
      <c r="BS16" s="834"/>
      <c r="BT16" s="834"/>
      <c r="BU16" s="834"/>
      <c r="BV16" s="834"/>
      <c r="BW16" s="834"/>
      <c r="BX16" s="834"/>
      <c r="BY16" s="834"/>
      <c r="BZ16" s="834"/>
      <c r="CA16" s="834"/>
      <c r="CB16" s="834"/>
      <c r="CC16" s="834"/>
      <c r="CD16" s="834"/>
      <c r="CE16" s="834"/>
      <c r="CF16" s="834"/>
      <c r="CG16" s="834"/>
      <c r="CH16" s="834"/>
      <c r="CI16" s="834"/>
      <c r="CJ16" s="834"/>
      <c r="CK16" s="834"/>
    </row>
    <row r="17" spans="1:89" s="806" customFormat="1" ht="31.5">
      <c r="A17" s="883" t="s">
        <v>162</v>
      </c>
      <c r="B17" s="883" t="s">
        <v>163</v>
      </c>
      <c r="C17" s="994"/>
      <c r="D17" s="994">
        <f>D22+D21+D20+D19+D18</f>
        <v>5307875</v>
      </c>
      <c r="E17" s="1356">
        <f>E18+E19+E20+E21+E22</f>
        <v>425488</v>
      </c>
      <c r="F17" s="996"/>
      <c r="G17" s="995"/>
      <c r="H17" s="995"/>
      <c r="I17" s="995"/>
      <c r="J17" s="995"/>
      <c r="K17" s="995"/>
      <c r="L17" s="995"/>
      <c r="M17" s="995"/>
      <c r="N17" s="995"/>
      <c r="O17" s="995"/>
      <c r="P17" s="1347">
        <f>P18+P19+P20+P21+P22</f>
        <v>4882387</v>
      </c>
      <c r="Q17" s="997"/>
      <c r="R17" s="997"/>
      <c r="S17" s="995"/>
      <c r="T17" s="995"/>
      <c r="U17" s="995"/>
      <c r="V17" s="995"/>
      <c r="W17" s="995"/>
      <c r="X17" s="1362"/>
      <c r="Y17" s="995"/>
      <c r="Z17" s="814"/>
      <c r="AA17" s="814"/>
      <c r="AB17" s="1363"/>
      <c r="AC17" s="814"/>
      <c r="AD17" s="814"/>
      <c r="AE17" s="814"/>
      <c r="AF17" s="814"/>
      <c r="AG17" s="1363"/>
      <c r="AH17" s="814"/>
      <c r="AI17" s="814"/>
      <c r="AJ17" s="814"/>
      <c r="AK17" s="814"/>
      <c r="AL17" s="814"/>
      <c r="AM17" s="823">
        <f t="shared" si="1"/>
        <v>10615750</v>
      </c>
      <c r="AN17" s="834"/>
      <c r="AO17" s="834"/>
      <c r="AP17" s="834"/>
      <c r="AQ17" s="834"/>
      <c r="AR17" s="834"/>
      <c r="AS17" s="834"/>
      <c r="AT17" s="834"/>
      <c r="AU17" s="834"/>
      <c r="AV17" s="834"/>
      <c r="AW17" s="834"/>
      <c r="AX17" s="834"/>
      <c r="AY17" s="834"/>
      <c r="AZ17" s="834"/>
      <c r="BA17" s="834"/>
      <c r="BB17" s="834"/>
      <c r="BC17" s="834"/>
      <c r="BD17" s="834"/>
      <c r="BE17" s="834"/>
      <c r="BF17" s="834"/>
      <c r="BG17" s="834"/>
      <c r="BH17" s="834"/>
      <c r="BI17" s="834"/>
      <c r="BJ17" s="834"/>
      <c r="BK17" s="834"/>
      <c r="BL17" s="834"/>
      <c r="BM17" s="834"/>
      <c r="BN17" s="834"/>
      <c r="BO17" s="834"/>
      <c r="BP17" s="834"/>
      <c r="BQ17" s="834"/>
      <c r="BR17" s="834"/>
      <c r="BS17" s="834"/>
      <c r="BT17" s="834"/>
      <c r="BU17" s="834"/>
      <c r="BV17" s="834"/>
      <c r="BW17" s="834"/>
      <c r="BX17" s="834"/>
      <c r="BY17" s="834"/>
      <c r="BZ17" s="834"/>
      <c r="CA17" s="834"/>
      <c r="CB17" s="834"/>
      <c r="CC17" s="834"/>
      <c r="CD17" s="834"/>
      <c r="CE17" s="834"/>
      <c r="CF17" s="834"/>
      <c r="CG17" s="834"/>
      <c r="CH17" s="834"/>
      <c r="CI17" s="834"/>
      <c r="CJ17" s="834"/>
      <c r="CK17" s="834"/>
    </row>
    <row r="18" spans="1:89" s="806" customFormat="1" ht="31.5">
      <c r="A18" s="884" t="s">
        <v>164</v>
      </c>
      <c r="B18" s="884" t="s">
        <v>165</v>
      </c>
      <c r="C18" s="994"/>
      <c r="D18" s="994">
        <f t="shared" ref="D18:D23" si="2">E18+P18</f>
        <v>0</v>
      </c>
      <c r="E18" s="1357">
        <f>F18+G18+H18+I18++J18+N18+O18</f>
        <v>0</v>
      </c>
      <c r="F18" s="996"/>
      <c r="G18" s="995"/>
      <c r="H18" s="995"/>
      <c r="I18" s="995"/>
      <c r="J18" s="995"/>
      <c r="K18" s="995"/>
      <c r="L18" s="995"/>
      <c r="M18" s="995"/>
      <c r="N18" s="995"/>
      <c r="O18" s="995"/>
      <c r="P18" s="1347">
        <f>Q18+R18+S18+T18+U18+V18+W18</f>
        <v>0</v>
      </c>
      <c r="Q18" s="997"/>
      <c r="R18" s="997"/>
      <c r="S18" s="995"/>
      <c r="T18" s="995"/>
      <c r="U18" s="995"/>
      <c r="V18" s="995"/>
      <c r="W18" s="995"/>
      <c r="X18" s="1362"/>
      <c r="Y18" s="995"/>
      <c r="Z18" s="814"/>
      <c r="AA18" s="814"/>
      <c r="AB18" s="1363"/>
      <c r="AC18" s="814"/>
      <c r="AD18" s="814"/>
      <c r="AE18" s="814"/>
      <c r="AF18" s="814"/>
      <c r="AG18" s="1363"/>
      <c r="AH18" s="814"/>
      <c r="AI18" s="814"/>
      <c r="AJ18" s="814"/>
      <c r="AK18" s="814"/>
      <c r="AL18" s="814"/>
      <c r="AM18" s="823">
        <f t="shared" si="1"/>
        <v>0</v>
      </c>
      <c r="AN18" s="834"/>
      <c r="AO18" s="834"/>
      <c r="AP18" s="834"/>
      <c r="AQ18" s="834"/>
      <c r="AR18" s="834"/>
      <c r="AS18" s="834"/>
      <c r="AT18" s="834"/>
      <c r="AU18" s="834"/>
      <c r="AV18" s="834"/>
      <c r="AW18" s="834"/>
      <c r="AX18" s="834"/>
      <c r="AY18" s="834"/>
      <c r="AZ18" s="834"/>
      <c r="BA18" s="834"/>
      <c r="BB18" s="834"/>
      <c r="BC18" s="834"/>
      <c r="BD18" s="834"/>
      <c r="BE18" s="834"/>
      <c r="BF18" s="834"/>
      <c r="BG18" s="834"/>
      <c r="BH18" s="834"/>
      <c r="BI18" s="834"/>
      <c r="BJ18" s="834"/>
      <c r="BK18" s="834"/>
      <c r="BL18" s="834"/>
      <c r="BM18" s="834"/>
      <c r="BN18" s="834"/>
      <c r="BO18" s="834"/>
      <c r="BP18" s="834"/>
      <c r="BQ18" s="834"/>
      <c r="BR18" s="834"/>
      <c r="BS18" s="834"/>
      <c r="BT18" s="834"/>
      <c r="BU18" s="834"/>
      <c r="BV18" s="834"/>
      <c r="BW18" s="834"/>
      <c r="BX18" s="834"/>
      <c r="BY18" s="834"/>
      <c r="BZ18" s="834"/>
      <c r="CA18" s="834"/>
      <c r="CB18" s="834"/>
      <c r="CC18" s="834"/>
      <c r="CD18" s="834"/>
      <c r="CE18" s="834"/>
      <c r="CF18" s="834"/>
      <c r="CG18" s="834"/>
      <c r="CH18" s="834"/>
      <c r="CI18" s="834"/>
      <c r="CJ18" s="834"/>
      <c r="CK18" s="834"/>
    </row>
    <row r="19" spans="1:89" s="806" customFormat="1" ht="47.25">
      <c r="A19" s="884" t="s">
        <v>166</v>
      </c>
      <c r="B19" s="884" t="s">
        <v>167</v>
      </c>
      <c r="C19" s="994"/>
      <c r="D19" s="994">
        <f t="shared" si="2"/>
        <v>0</v>
      </c>
      <c r="E19" s="1357">
        <f>F19+G19+H19+I19++J19+N19+O19</f>
        <v>0</v>
      </c>
      <c r="F19" s="996"/>
      <c r="G19" s="995"/>
      <c r="H19" s="995"/>
      <c r="I19" s="995"/>
      <c r="J19" s="995"/>
      <c r="K19" s="995"/>
      <c r="L19" s="995"/>
      <c r="M19" s="995"/>
      <c r="N19" s="995"/>
      <c r="O19" s="995"/>
      <c r="P19" s="1347">
        <f>Q19+R19+S19+T19+U19+V19+W19</f>
        <v>0</v>
      </c>
      <c r="Q19" s="997"/>
      <c r="R19" s="997"/>
      <c r="S19" s="995"/>
      <c r="T19" s="995"/>
      <c r="U19" s="995"/>
      <c r="V19" s="995"/>
      <c r="W19" s="995"/>
      <c r="X19" s="1362"/>
      <c r="Y19" s="995"/>
      <c r="Z19" s="814"/>
      <c r="AA19" s="814"/>
      <c r="AB19" s="1363"/>
      <c r="AC19" s="814"/>
      <c r="AD19" s="814"/>
      <c r="AE19" s="814"/>
      <c r="AF19" s="814"/>
      <c r="AG19" s="1363"/>
      <c r="AH19" s="814"/>
      <c r="AI19" s="814"/>
      <c r="AJ19" s="814"/>
      <c r="AK19" s="814"/>
      <c r="AL19" s="814"/>
      <c r="AM19" s="823">
        <f t="shared" si="1"/>
        <v>0</v>
      </c>
      <c r="AN19" s="834"/>
      <c r="AO19" s="834"/>
      <c r="AP19" s="834"/>
      <c r="AQ19" s="834"/>
      <c r="AR19" s="834"/>
      <c r="AS19" s="834"/>
      <c r="AT19" s="834"/>
      <c r="AU19" s="834"/>
      <c r="AV19" s="834"/>
      <c r="AW19" s="834"/>
      <c r="AX19" s="834"/>
      <c r="AY19" s="834"/>
      <c r="AZ19" s="834"/>
      <c r="BA19" s="834"/>
      <c r="BB19" s="834"/>
      <c r="BC19" s="834"/>
      <c r="BD19" s="834"/>
      <c r="BE19" s="834"/>
      <c r="BF19" s="834"/>
      <c r="BG19" s="834"/>
      <c r="BH19" s="834"/>
      <c r="BI19" s="834"/>
      <c r="BJ19" s="834"/>
      <c r="BK19" s="834"/>
      <c r="BL19" s="834"/>
      <c r="BM19" s="834"/>
      <c r="BN19" s="834"/>
      <c r="BO19" s="834"/>
      <c r="BP19" s="834"/>
      <c r="BQ19" s="834"/>
      <c r="BR19" s="834"/>
      <c r="BS19" s="834"/>
      <c r="BT19" s="834"/>
      <c r="BU19" s="834"/>
      <c r="BV19" s="834"/>
      <c r="BW19" s="834"/>
      <c r="BX19" s="834"/>
      <c r="BY19" s="834"/>
      <c r="BZ19" s="834"/>
      <c r="CA19" s="834"/>
      <c r="CB19" s="834"/>
      <c r="CC19" s="834"/>
      <c r="CD19" s="834"/>
      <c r="CE19" s="834"/>
      <c r="CF19" s="834"/>
      <c r="CG19" s="834"/>
      <c r="CH19" s="834"/>
      <c r="CI19" s="834"/>
      <c r="CJ19" s="834"/>
      <c r="CK19" s="834"/>
    </row>
    <row r="20" spans="1:89" s="806" customFormat="1" ht="31.5">
      <c r="A20" s="884" t="s">
        <v>168</v>
      </c>
      <c r="B20" s="884" t="s">
        <v>169</v>
      </c>
      <c r="C20" s="994"/>
      <c r="D20" s="994">
        <f t="shared" si="2"/>
        <v>0</v>
      </c>
      <c r="E20" s="1357">
        <f>F20+G20+H20+I20++J20+N20+O20</f>
        <v>0</v>
      </c>
      <c r="F20" s="996"/>
      <c r="G20" s="995"/>
      <c r="H20" s="995"/>
      <c r="I20" s="995"/>
      <c r="J20" s="995"/>
      <c r="K20" s="995"/>
      <c r="L20" s="995"/>
      <c r="M20" s="995"/>
      <c r="N20" s="995"/>
      <c r="O20" s="995"/>
      <c r="P20" s="1347">
        <f>Q20+R20+S20+T20+U20+V20+W20</f>
        <v>0</v>
      </c>
      <c r="Q20" s="997"/>
      <c r="R20" s="997"/>
      <c r="S20" s="995"/>
      <c r="T20" s="995"/>
      <c r="U20" s="995"/>
      <c r="V20" s="995"/>
      <c r="W20" s="995"/>
      <c r="X20" s="1362"/>
      <c r="Y20" s="995"/>
      <c r="Z20" s="814"/>
      <c r="AA20" s="814"/>
      <c r="AB20" s="1363"/>
      <c r="AC20" s="814"/>
      <c r="AD20" s="814"/>
      <c r="AE20" s="814"/>
      <c r="AF20" s="814"/>
      <c r="AG20" s="1363"/>
      <c r="AH20" s="814"/>
      <c r="AI20" s="814"/>
      <c r="AJ20" s="814"/>
      <c r="AK20" s="814"/>
      <c r="AL20" s="814"/>
      <c r="AM20" s="823">
        <f t="shared" si="1"/>
        <v>0</v>
      </c>
      <c r="AN20" s="834"/>
      <c r="AO20" s="834"/>
      <c r="AP20" s="834"/>
      <c r="AQ20" s="834"/>
      <c r="AR20" s="834"/>
      <c r="AS20" s="834"/>
      <c r="AT20" s="834"/>
      <c r="AU20" s="834"/>
      <c r="AV20" s="834"/>
      <c r="AW20" s="834"/>
      <c r="AX20" s="834"/>
      <c r="AY20" s="834"/>
      <c r="AZ20" s="834"/>
      <c r="BA20" s="834"/>
      <c r="BB20" s="834"/>
      <c r="BC20" s="834"/>
      <c r="BD20" s="834"/>
      <c r="BE20" s="834"/>
      <c r="BF20" s="834"/>
      <c r="BG20" s="834"/>
      <c r="BH20" s="834"/>
      <c r="BI20" s="834"/>
      <c r="BJ20" s="834"/>
      <c r="BK20" s="834"/>
      <c r="BL20" s="834"/>
      <c r="BM20" s="834"/>
      <c r="BN20" s="834"/>
      <c r="BO20" s="834"/>
      <c r="BP20" s="834"/>
      <c r="BQ20" s="834"/>
      <c r="BR20" s="834"/>
      <c r="BS20" s="834"/>
      <c r="BT20" s="834"/>
      <c r="BU20" s="834"/>
      <c r="BV20" s="834"/>
      <c r="BW20" s="834"/>
      <c r="BX20" s="834"/>
      <c r="BY20" s="834"/>
      <c r="BZ20" s="834"/>
      <c r="CA20" s="834"/>
      <c r="CB20" s="834"/>
      <c r="CC20" s="834"/>
      <c r="CD20" s="834"/>
      <c r="CE20" s="834"/>
      <c r="CF20" s="834"/>
      <c r="CG20" s="834"/>
      <c r="CH20" s="834"/>
      <c r="CI20" s="834"/>
      <c r="CJ20" s="834"/>
      <c r="CK20" s="834"/>
    </row>
    <row r="21" spans="1:89" s="806" customFormat="1" ht="31.5">
      <c r="A21" s="884" t="s">
        <v>170</v>
      </c>
      <c r="B21" s="884" t="s">
        <v>171</v>
      </c>
      <c r="C21" s="994"/>
      <c r="D21" s="994">
        <f t="shared" si="2"/>
        <v>0</v>
      </c>
      <c r="E21" s="1357">
        <f>F21+G21+H21+I21++J21+N21+O21</f>
        <v>0</v>
      </c>
      <c r="F21" s="996"/>
      <c r="G21" s="995"/>
      <c r="H21" s="995"/>
      <c r="I21" s="995"/>
      <c r="J21" s="995"/>
      <c r="K21" s="995"/>
      <c r="L21" s="995"/>
      <c r="M21" s="995"/>
      <c r="N21" s="995"/>
      <c r="O21" s="995"/>
      <c r="P21" s="1347">
        <f>Q21+R21+S21+T21+U21+V21+W21</f>
        <v>0</v>
      </c>
      <c r="Q21" s="997"/>
      <c r="R21" s="997"/>
      <c r="S21" s="995"/>
      <c r="T21" s="995"/>
      <c r="U21" s="995"/>
      <c r="V21" s="995"/>
      <c r="W21" s="995"/>
      <c r="X21" s="1362"/>
      <c r="Y21" s="995"/>
      <c r="Z21" s="814"/>
      <c r="AA21" s="814"/>
      <c r="AB21" s="1363"/>
      <c r="AC21" s="814"/>
      <c r="AD21" s="814"/>
      <c r="AE21" s="814"/>
      <c r="AF21" s="814"/>
      <c r="AG21" s="1363"/>
      <c r="AH21" s="814"/>
      <c r="AI21" s="814"/>
      <c r="AJ21" s="814"/>
      <c r="AK21" s="814"/>
      <c r="AL21" s="814"/>
      <c r="AM21" s="823">
        <f t="shared" si="1"/>
        <v>0</v>
      </c>
      <c r="AN21" s="834"/>
      <c r="AO21" s="834"/>
      <c r="AP21" s="834"/>
      <c r="AQ21" s="834"/>
      <c r="AR21" s="834"/>
      <c r="AS21" s="834"/>
      <c r="AT21" s="834"/>
      <c r="AU21" s="834"/>
      <c r="AV21" s="834"/>
      <c r="AW21" s="834"/>
      <c r="AX21" s="834"/>
      <c r="AY21" s="834"/>
      <c r="AZ21" s="834"/>
      <c r="BA21" s="834"/>
      <c r="BB21" s="834"/>
      <c r="BC21" s="834"/>
      <c r="BD21" s="834"/>
      <c r="BE21" s="834"/>
      <c r="BF21" s="834"/>
      <c r="BG21" s="834"/>
      <c r="BH21" s="834"/>
      <c r="BI21" s="834"/>
      <c r="BJ21" s="834"/>
      <c r="BK21" s="834"/>
      <c r="BL21" s="834"/>
      <c r="BM21" s="834"/>
      <c r="BN21" s="834"/>
      <c r="BO21" s="834"/>
      <c r="BP21" s="834"/>
      <c r="BQ21" s="834"/>
      <c r="BR21" s="834"/>
      <c r="BS21" s="834"/>
      <c r="BT21" s="834"/>
      <c r="BU21" s="834"/>
      <c r="BV21" s="834"/>
      <c r="BW21" s="834"/>
      <c r="BX21" s="834"/>
      <c r="BY21" s="834"/>
      <c r="BZ21" s="834"/>
      <c r="CA21" s="834"/>
      <c r="CB21" s="834"/>
      <c r="CC21" s="834"/>
      <c r="CD21" s="834"/>
      <c r="CE21" s="834"/>
      <c r="CF21" s="834"/>
      <c r="CG21" s="834"/>
      <c r="CH21" s="834"/>
      <c r="CI21" s="834"/>
      <c r="CJ21" s="834"/>
      <c r="CK21" s="834"/>
    </row>
    <row r="22" spans="1:89" s="806" customFormat="1" ht="63">
      <c r="A22" s="884" t="s">
        <v>1050</v>
      </c>
      <c r="B22" s="884" t="s">
        <v>2354</v>
      </c>
      <c r="C22" s="994"/>
      <c r="D22" s="994">
        <f t="shared" si="2"/>
        <v>5307875</v>
      </c>
      <c r="E22" s="1357">
        <f>F22+G22+H22+I22++J22+N22+O22</f>
        <v>425488</v>
      </c>
      <c r="G22" s="995"/>
      <c r="H22" s="995">
        <v>425488</v>
      </c>
      <c r="I22" s="995"/>
      <c r="J22" s="995"/>
      <c r="K22" s="995"/>
      <c r="L22" s="995"/>
      <c r="M22" s="995"/>
      <c r="N22" s="995"/>
      <c r="O22" s="995"/>
      <c r="P22" s="1347">
        <f>Q22+R22+S22+T22+U22+V22+W22</f>
        <v>4882387</v>
      </c>
      <c r="Q22" s="997">
        <f>4882387</f>
        <v>4882387</v>
      </c>
      <c r="R22" s="997"/>
      <c r="S22" s="995"/>
      <c r="T22" s="995"/>
      <c r="U22" s="995"/>
      <c r="V22" s="995"/>
      <c r="W22" s="995"/>
      <c r="X22" s="1362"/>
      <c r="Y22" s="995"/>
      <c r="Z22" s="814"/>
      <c r="AA22" s="814"/>
      <c r="AB22" s="1363"/>
      <c r="AC22" s="814"/>
      <c r="AD22" s="814"/>
      <c r="AE22" s="814"/>
      <c r="AF22" s="814"/>
      <c r="AG22" s="1363"/>
      <c r="AH22" s="814"/>
      <c r="AI22" s="814"/>
      <c r="AJ22" s="814"/>
      <c r="AK22" s="814"/>
      <c r="AL22" s="814"/>
      <c r="AM22" s="823">
        <f t="shared" si="1"/>
        <v>15923625</v>
      </c>
      <c r="AN22" s="834"/>
      <c r="AO22" s="834"/>
      <c r="AP22" s="834"/>
      <c r="AQ22" s="834"/>
      <c r="AR22" s="834"/>
      <c r="AS22" s="834"/>
      <c r="AT22" s="834"/>
      <c r="AU22" s="834"/>
      <c r="AV22" s="834"/>
      <c r="AW22" s="834"/>
      <c r="AX22" s="834"/>
      <c r="AY22" s="834"/>
      <c r="AZ22" s="834"/>
      <c r="BA22" s="834"/>
      <c r="BB22" s="834"/>
      <c r="BC22" s="834"/>
      <c r="BD22" s="834"/>
      <c r="BE22" s="834"/>
      <c r="BF22" s="834"/>
      <c r="BG22" s="834"/>
      <c r="BH22" s="834"/>
      <c r="BI22" s="834"/>
      <c r="BJ22" s="834"/>
      <c r="BK22" s="834"/>
      <c r="BL22" s="834"/>
      <c r="BM22" s="834"/>
      <c r="BN22" s="834"/>
      <c r="BO22" s="834"/>
      <c r="BP22" s="834"/>
      <c r="BQ22" s="834"/>
      <c r="BR22" s="834"/>
      <c r="BS22" s="834"/>
      <c r="BT22" s="834"/>
      <c r="BU22" s="834"/>
      <c r="BV22" s="834"/>
      <c r="BW22" s="834"/>
      <c r="BX22" s="834"/>
      <c r="BY22" s="834"/>
      <c r="BZ22" s="834"/>
      <c r="CA22" s="834"/>
      <c r="CB22" s="834"/>
      <c r="CC22" s="834"/>
      <c r="CD22" s="834"/>
      <c r="CE22" s="834"/>
      <c r="CF22" s="834"/>
      <c r="CG22" s="834"/>
      <c r="CH22" s="834"/>
      <c r="CI22" s="834"/>
      <c r="CJ22" s="834"/>
      <c r="CK22" s="834"/>
    </row>
    <row r="23" spans="1:89" s="824" customFormat="1" ht="31.5">
      <c r="A23" s="883" t="s">
        <v>172</v>
      </c>
      <c r="B23" s="883" t="s">
        <v>173</v>
      </c>
      <c r="C23" s="999"/>
      <c r="D23" s="999">
        <f t="shared" si="2"/>
        <v>0</v>
      </c>
      <c r="E23" s="1356">
        <f>E24+E25+E26+E27</f>
        <v>0</v>
      </c>
      <c r="F23" s="1000"/>
      <c r="G23" s="988"/>
      <c r="H23" s="988"/>
      <c r="I23" s="988"/>
      <c r="J23" s="988"/>
      <c r="K23" s="988"/>
      <c r="L23" s="988"/>
      <c r="M23" s="988"/>
      <c r="N23" s="988"/>
      <c r="O23" s="988"/>
      <c r="P23" s="1347">
        <f>P24+P25+P26+P27</f>
        <v>0</v>
      </c>
      <c r="Q23" s="989"/>
      <c r="R23" s="989"/>
      <c r="S23" s="988"/>
      <c r="T23" s="988"/>
      <c r="U23" s="988"/>
      <c r="V23" s="988"/>
      <c r="W23" s="988"/>
      <c r="X23" s="1362"/>
      <c r="Y23" s="988"/>
      <c r="Z23" s="818"/>
      <c r="AA23" s="818"/>
      <c r="AB23" s="1363"/>
      <c r="AC23" s="818"/>
      <c r="AD23" s="818"/>
      <c r="AE23" s="818"/>
      <c r="AF23" s="818"/>
      <c r="AG23" s="1363"/>
      <c r="AH23" s="818"/>
      <c r="AI23" s="818"/>
      <c r="AJ23" s="818"/>
      <c r="AK23" s="818"/>
      <c r="AL23" s="818"/>
      <c r="AM23" s="823">
        <f t="shared" si="1"/>
        <v>0</v>
      </c>
      <c r="AN23" s="834"/>
      <c r="AO23" s="834"/>
      <c r="AP23" s="834"/>
      <c r="AQ23" s="834"/>
      <c r="AR23" s="834"/>
      <c r="AS23" s="834"/>
      <c r="AT23" s="834"/>
      <c r="AU23" s="834"/>
      <c r="AV23" s="834"/>
      <c r="AW23" s="834"/>
      <c r="AX23" s="834"/>
      <c r="AY23" s="834"/>
      <c r="AZ23" s="834"/>
      <c r="BA23" s="834"/>
      <c r="BB23" s="834"/>
      <c r="BC23" s="834"/>
      <c r="BD23" s="834"/>
      <c r="BE23" s="834"/>
      <c r="BF23" s="834"/>
      <c r="BG23" s="834"/>
      <c r="BH23" s="834"/>
      <c r="BI23" s="834"/>
      <c r="BJ23" s="834"/>
      <c r="BK23" s="834"/>
      <c r="BL23" s="834"/>
      <c r="BM23" s="834"/>
      <c r="BN23" s="834"/>
      <c r="BO23" s="834"/>
      <c r="BP23" s="834"/>
      <c r="BQ23" s="834"/>
      <c r="BR23" s="834"/>
      <c r="BS23" s="834"/>
      <c r="BT23" s="834"/>
      <c r="BU23" s="834"/>
      <c r="BV23" s="834"/>
      <c r="BW23" s="834"/>
      <c r="BX23" s="834"/>
      <c r="BY23" s="834"/>
      <c r="BZ23" s="834"/>
      <c r="CA23" s="834"/>
      <c r="CB23" s="834"/>
      <c r="CC23" s="834"/>
      <c r="CD23" s="834"/>
      <c r="CE23" s="834"/>
      <c r="CF23" s="834"/>
      <c r="CG23" s="834"/>
      <c r="CH23" s="834"/>
      <c r="CI23" s="834"/>
      <c r="CJ23" s="834"/>
      <c r="CK23" s="834"/>
    </row>
    <row r="24" spans="1:89" s="805" customFormat="1" ht="31.5">
      <c r="A24" s="884" t="s">
        <v>174</v>
      </c>
      <c r="B24" s="884" t="s">
        <v>175</v>
      </c>
      <c r="C24" s="990"/>
      <c r="D24" s="990"/>
      <c r="E24" s="1356"/>
      <c r="F24" s="991"/>
      <c r="G24" s="992"/>
      <c r="H24" s="992"/>
      <c r="I24" s="992"/>
      <c r="J24" s="992"/>
      <c r="K24" s="992"/>
      <c r="L24" s="992"/>
      <c r="M24" s="992"/>
      <c r="N24" s="992"/>
      <c r="O24" s="992"/>
      <c r="P24" s="1347"/>
      <c r="Q24" s="993"/>
      <c r="R24" s="993"/>
      <c r="S24" s="992"/>
      <c r="T24" s="992"/>
      <c r="U24" s="992"/>
      <c r="V24" s="992"/>
      <c r="W24" s="992"/>
      <c r="X24" s="1362"/>
      <c r="Y24" s="992"/>
      <c r="Z24" s="813"/>
      <c r="AA24" s="813"/>
      <c r="AB24" s="1363"/>
      <c r="AC24" s="813"/>
      <c r="AD24" s="813"/>
      <c r="AE24" s="813"/>
      <c r="AF24" s="813"/>
      <c r="AG24" s="1363"/>
      <c r="AH24" s="813"/>
      <c r="AI24" s="813"/>
      <c r="AJ24" s="813"/>
      <c r="AK24" s="813"/>
      <c r="AL24" s="813"/>
      <c r="AM24" s="823">
        <f t="shared" si="1"/>
        <v>0</v>
      </c>
      <c r="AN24" s="834"/>
      <c r="AO24" s="834"/>
      <c r="AP24" s="834"/>
      <c r="AQ24" s="834"/>
      <c r="AR24" s="834"/>
      <c r="AS24" s="834"/>
      <c r="AT24" s="834"/>
      <c r="AU24" s="834"/>
      <c r="AV24" s="834"/>
      <c r="AW24" s="834"/>
      <c r="AX24" s="834"/>
      <c r="AY24" s="834"/>
      <c r="AZ24" s="834"/>
      <c r="BA24" s="834"/>
      <c r="BB24" s="834"/>
      <c r="BC24" s="834"/>
      <c r="BD24" s="834"/>
      <c r="BE24" s="834"/>
      <c r="BF24" s="834"/>
      <c r="BG24" s="834"/>
      <c r="BH24" s="834"/>
      <c r="BI24" s="834"/>
      <c r="BJ24" s="834"/>
      <c r="BK24" s="834"/>
      <c r="BL24" s="834"/>
      <c r="BM24" s="834"/>
      <c r="BN24" s="834"/>
      <c r="BO24" s="834"/>
      <c r="BP24" s="834"/>
      <c r="BQ24" s="834"/>
      <c r="BR24" s="834"/>
      <c r="BS24" s="834"/>
      <c r="BT24" s="834"/>
      <c r="BU24" s="834"/>
      <c r="BV24" s="834"/>
      <c r="BW24" s="834"/>
      <c r="BX24" s="834"/>
      <c r="BY24" s="834"/>
      <c r="BZ24" s="834"/>
      <c r="CA24" s="834"/>
      <c r="CB24" s="834"/>
      <c r="CC24" s="834"/>
      <c r="CD24" s="834"/>
      <c r="CE24" s="834"/>
      <c r="CF24" s="834"/>
      <c r="CG24" s="834"/>
      <c r="CH24" s="834"/>
      <c r="CI24" s="834"/>
      <c r="CJ24" s="834"/>
      <c r="CK24" s="834"/>
    </row>
    <row r="25" spans="1:89" s="806" customFormat="1" ht="31.5">
      <c r="A25" s="884" t="s">
        <v>176</v>
      </c>
      <c r="B25" s="884" t="s">
        <v>177</v>
      </c>
      <c r="C25" s="994"/>
      <c r="D25" s="994"/>
      <c r="E25" s="1356"/>
      <c r="F25" s="996"/>
      <c r="G25" s="995"/>
      <c r="H25" s="995"/>
      <c r="I25" s="995"/>
      <c r="J25" s="995"/>
      <c r="K25" s="995"/>
      <c r="L25" s="995"/>
      <c r="M25" s="995"/>
      <c r="N25" s="995"/>
      <c r="O25" s="995"/>
      <c r="P25" s="1347"/>
      <c r="Q25" s="997"/>
      <c r="R25" s="997"/>
      <c r="S25" s="995"/>
      <c r="T25" s="995"/>
      <c r="U25" s="995"/>
      <c r="V25" s="995"/>
      <c r="W25" s="995"/>
      <c r="X25" s="1362"/>
      <c r="Y25" s="995"/>
      <c r="Z25" s="814"/>
      <c r="AA25" s="814"/>
      <c r="AB25" s="1363"/>
      <c r="AC25" s="814"/>
      <c r="AD25" s="814"/>
      <c r="AE25" s="814"/>
      <c r="AF25" s="814"/>
      <c r="AG25" s="1363"/>
      <c r="AH25" s="814"/>
      <c r="AI25" s="814"/>
      <c r="AJ25" s="814"/>
      <c r="AK25" s="814"/>
      <c r="AL25" s="814"/>
      <c r="AM25" s="823">
        <f t="shared" si="1"/>
        <v>0</v>
      </c>
      <c r="AN25" s="834"/>
      <c r="AO25" s="834"/>
      <c r="AP25" s="834"/>
      <c r="AQ25" s="834"/>
      <c r="AR25" s="834"/>
      <c r="AS25" s="834"/>
      <c r="AT25" s="834"/>
      <c r="AU25" s="834"/>
      <c r="AV25" s="834"/>
      <c r="AW25" s="834"/>
      <c r="AX25" s="834"/>
      <c r="AY25" s="834"/>
      <c r="AZ25" s="834"/>
      <c r="BA25" s="834"/>
      <c r="BB25" s="834"/>
      <c r="BC25" s="834"/>
      <c r="BD25" s="834"/>
      <c r="BE25" s="834"/>
      <c r="BF25" s="834"/>
      <c r="BG25" s="834"/>
      <c r="BH25" s="834"/>
      <c r="BI25" s="834"/>
      <c r="BJ25" s="834"/>
      <c r="BK25" s="834"/>
      <c r="BL25" s="834"/>
      <c r="BM25" s="834"/>
      <c r="BN25" s="834"/>
      <c r="BO25" s="834"/>
      <c r="BP25" s="834"/>
      <c r="BQ25" s="834"/>
      <c r="BR25" s="834"/>
      <c r="BS25" s="834"/>
      <c r="BT25" s="834"/>
      <c r="BU25" s="834"/>
      <c r="BV25" s="834"/>
      <c r="BW25" s="834"/>
      <c r="BX25" s="834"/>
      <c r="BY25" s="834"/>
      <c r="BZ25" s="834"/>
      <c r="CA25" s="834"/>
      <c r="CB25" s="834"/>
      <c r="CC25" s="834"/>
      <c r="CD25" s="834"/>
      <c r="CE25" s="834"/>
      <c r="CF25" s="834"/>
      <c r="CG25" s="834"/>
      <c r="CH25" s="834"/>
      <c r="CI25" s="834"/>
      <c r="CJ25" s="834"/>
      <c r="CK25" s="834"/>
    </row>
    <row r="26" spans="1:89" s="806" customFormat="1" ht="31.5">
      <c r="A26" s="884" t="s">
        <v>178</v>
      </c>
      <c r="B26" s="884" t="s">
        <v>179</v>
      </c>
      <c r="C26" s="994"/>
      <c r="D26" s="994"/>
      <c r="E26" s="1356"/>
      <c r="F26" s="996"/>
      <c r="G26" s="995"/>
      <c r="H26" s="995"/>
      <c r="I26" s="995"/>
      <c r="J26" s="995"/>
      <c r="K26" s="995"/>
      <c r="L26" s="995"/>
      <c r="M26" s="995"/>
      <c r="N26" s="995"/>
      <c r="O26" s="995"/>
      <c r="P26" s="1347"/>
      <c r="Q26" s="997"/>
      <c r="R26" s="997"/>
      <c r="S26" s="995"/>
      <c r="T26" s="995"/>
      <c r="U26" s="995"/>
      <c r="V26" s="995"/>
      <c r="W26" s="995"/>
      <c r="X26" s="1362"/>
      <c r="Y26" s="995"/>
      <c r="Z26" s="814"/>
      <c r="AB26" s="1363"/>
      <c r="AC26" s="814"/>
      <c r="AD26" s="814"/>
      <c r="AE26" s="814"/>
      <c r="AF26" s="814"/>
      <c r="AG26" s="1363"/>
      <c r="AH26" s="814"/>
      <c r="AI26" s="814"/>
      <c r="AJ26" s="814"/>
      <c r="AK26" s="814"/>
      <c r="AL26" s="814"/>
      <c r="AM26" s="823">
        <f t="shared" si="1"/>
        <v>0</v>
      </c>
      <c r="AN26" s="834"/>
      <c r="AO26" s="834"/>
      <c r="AP26" s="834"/>
      <c r="AQ26" s="834"/>
      <c r="AR26" s="834"/>
      <c r="AS26" s="834"/>
      <c r="AT26" s="834"/>
      <c r="AU26" s="834"/>
      <c r="AV26" s="834"/>
      <c r="AW26" s="834"/>
      <c r="AX26" s="834"/>
      <c r="AY26" s="834"/>
      <c r="AZ26" s="834"/>
      <c r="BA26" s="834"/>
      <c r="BB26" s="834"/>
      <c r="BC26" s="834"/>
      <c r="BD26" s="834"/>
      <c r="BE26" s="834"/>
      <c r="BF26" s="834"/>
      <c r="BG26" s="834"/>
      <c r="BH26" s="834"/>
      <c r="BI26" s="834"/>
      <c r="BJ26" s="834"/>
      <c r="BK26" s="834"/>
      <c r="BL26" s="834"/>
      <c r="BM26" s="834"/>
      <c r="BN26" s="834"/>
      <c r="BO26" s="834"/>
      <c r="BP26" s="834"/>
      <c r="BQ26" s="834"/>
      <c r="BR26" s="834"/>
      <c r="BS26" s="834"/>
      <c r="BT26" s="834"/>
      <c r="BU26" s="834"/>
      <c r="BV26" s="834"/>
      <c r="BW26" s="834"/>
      <c r="BX26" s="834"/>
      <c r="BY26" s="834"/>
      <c r="BZ26" s="834"/>
      <c r="CA26" s="834"/>
      <c r="CB26" s="834"/>
      <c r="CC26" s="834"/>
      <c r="CD26" s="834"/>
      <c r="CE26" s="834"/>
      <c r="CF26" s="834"/>
      <c r="CG26" s="834"/>
      <c r="CH26" s="834"/>
      <c r="CI26" s="834"/>
      <c r="CJ26" s="834"/>
      <c r="CK26" s="834"/>
    </row>
    <row r="27" spans="1:89" s="805" customFormat="1" ht="31.5">
      <c r="A27" s="884" t="s">
        <v>180</v>
      </c>
      <c r="B27" s="884" t="s">
        <v>181</v>
      </c>
      <c r="C27" s="990"/>
      <c r="D27" s="990"/>
      <c r="E27" s="1356"/>
      <c r="F27" s="991"/>
      <c r="G27" s="992"/>
      <c r="H27" s="992"/>
      <c r="I27" s="992"/>
      <c r="J27" s="992"/>
      <c r="K27" s="992"/>
      <c r="L27" s="992"/>
      <c r="M27" s="992"/>
      <c r="N27" s="992"/>
      <c r="O27" s="992"/>
      <c r="P27" s="1347"/>
      <c r="Q27" s="993"/>
      <c r="R27" s="993"/>
      <c r="S27" s="992"/>
      <c r="T27" s="992"/>
      <c r="U27" s="992"/>
      <c r="V27" s="992"/>
      <c r="W27" s="992"/>
      <c r="X27" s="1362"/>
      <c r="Y27" s="992"/>
      <c r="Z27" s="813"/>
      <c r="AA27" s="813"/>
      <c r="AB27" s="1363"/>
      <c r="AC27" s="813"/>
      <c r="AD27" s="813"/>
      <c r="AE27" s="813"/>
      <c r="AF27" s="813"/>
      <c r="AG27" s="1363"/>
      <c r="AH27" s="813"/>
      <c r="AI27" s="813"/>
      <c r="AJ27" s="813"/>
      <c r="AK27" s="813"/>
      <c r="AL27" s="813"/>
      <c r="AM27" s="823">
        <f t="shared" si="1"/>
        <v>0</v>
      </c>
      <c r="AN27" s="834"/>
      <c r="AO27" s="834"/>
      <c r="AP27" s="834"/>
      <c r="AQ27" s="834"/>
      <c r="AR27" s="834"/>
      <c r="AS27" s="834"/>
      <c r="AT27" s="834"/>
      <c r="AU27" s="834"/>
      <c r="AV27" s="834"/>
      <c r="AW27" s="834"/>
      <c r="AX27" s="834"/>
      <c r="AY27" s="834"/>
      <c r="AZ27" s="834"/>
      <c r="BA27" s="834"/>
      <c r="BB27" s="834"/>
      <c r="BC27" s="834"/>
      <c r="BD27" s="834"/>
      <c r="BE27" s="834"/>
      <c r="BF27" s="834"/>
      <c r="BG27" s="834"/>
      <c r="BH27" s="834"/>
      <c r="BI27" s="834"/>
      <c r="BJ27" s="834"/>
      <c r="BK27" s="834"/>
      <c r="BL27" s="834"/>
      <c r="BM27" s="834"/>
      <c r="BN27" s="834"/>
      <c r="BO27" s="834"/>
      <c r="BP27" s="834"/>
      <c r="BQ27" s="834"/>
      <c r="BR27" s="834"/>
      <c r="BS27" s="834"/>
      <c r="BT27" s="834"/>
      <c r="BU27" s="834"/>
      <c r="BV27" s="834"/>
      <c r="BW27" s="834"/>
      <c r="BX27" s="834"/>
      <c r="BY27" s="834"/>
      <c r="BZ27" s="834"/>
      <c r="CA27" s="834"/>
      <c r="CB27" s="834"/>
      <c r="CC27" s="834"/>
      <c r="CD27" s="834"/>
      <c r="CE27" s="834"/>
      <c r="CF27" s="834"/>
      <c r="CG27" s="834"/>
      <c r="CH27" s="834"/>
      <c r="CI27" s="834"/>
      <c r="CJ27" s="834"/>
      <c r="CK27" s="834"/>
    </row>
    <row r="28" spans="1:89" s="805" customFormat="1" ht="31.5">
      <c r="A28" s="883" t="s">
        <v>182</v>
      </c>
      <c r="B28" s="883" t="s">
        <v>183</v>
      </c>
      <c r="C28" s="990"/>
      <c r="D28" s="990">
        <f>E28+P28</f>
        <v>36364385.493299603</v>
      </c>
      <c r="E28" s="1356">
        <f>E29+E30+E31+E32+E33+E34</f>
        <v>4865933.6932996064</v>
      </c>
      <c r="F28" s="991"/>
      <c r="G28" s="992"/>
      <c r="H28" s="992"/>
      <c r="I28" s="992"/>
      <c r="J28" s="992"/>
      <c r="K28" s="992"/>
      <c r="L28" s="992"/>
      <c r="M28" s="992"/>
      <c r="N28" s="992"/>
      <c r="O28" s="992"/>
      <c r="P28" s="1347">
        <f>P29+P30+P31+P32+P33+P34</f>
        <v>31498451.800000001</v>
      </c>
      <c r="Q28" s="993"/>
      <c r="R28" s="993"/>
      <c r="S28" s="992"/>
      <c r="T28" s="992"/>
      <c r="U28" s="992"/>
      <c r="V28" s="992"/>
      <c r="W28" s="992"/>
      <c r="X28" s="1362"/>
      <c r="Y28" s="992"/>
      <c r="Z28" s="813"/>
      <c r="AA28" s="813"/>
      <c r="AB28" s="1363"/>
      <c r="AC28" s="813"/>
      <c r="AD28" s="813"/>
      <c r="AE28" s="813"/>
      <c r="AF28" s="813"/>
      <c r="AG28" s="1363"/>
      <c r="AH28" s="813"/>
      <c r="AI28" s="813"/>
      <c r="AJ28" s="813"/>
      <c r="AK28" s="813"/>
      <c r="AL28" s="813"/>
      <c r="AM28" s="823">
        <f t="shared" si="1"/>
        <v>72728770.986599207</v>
      </c>
      <c r="AN28" s="834"/>
      <c r="AO28" s="834"/>
      <c r="AP28" s="834"/>
      <c r="AQ28" s="834"/>
      <c r="AR28" s="834"/>
      <c r="AS28" s="834"/>
      <c r="AT28" s="834"/>
      <c r="AU28" s="834"/>
      <c r="AV28" s="834"/>
      <c r="AW28" s="834"/>
      <c r="AX28" s="834"/>
      <c r="AY28" s="834"/>
      <c r="AZ28" s="834"/>
      <c r="BA28" s="834"/>
      <c r="BB28" s="834"/>
      <c r="BC28" s="834"/>
      <c r="BD28" s="834"/>
      <c r="BE28" s="834"/>
      <c r="BF28" s="834"/>
      <c r="BG28" s="834"/>
      <c r="BH28" s="834"/>
      <c r="BI28" s="834"/>
      <c r="BJ28" s="834"/>
      <c r="BK28" s="834"/>
      <c r="BL28" s="834"/>
      <c r="BM28" s="834"/>
      <c r="BN28" s="834"/>
      <c r="BO28" s="834"/>
      <c r="BP28" s="834"/>
      <c r="BQ28" s="834"/>
      <c r="BR28" s="834"/>
      <c r="BS28" s="834"/>
      <c r="BT28" s="834"/>
      <c r="BU28" s="834"/>
      <c r="BV28" s="834"/>
      <c r="BW28" s="834"/>
      <c r="BX28" s="834"/>
      <c r="BY28" s="834"/>
      <c r="BZ28" s="834"/>
      <c r="CA28" s="834"/>
      <c r="CB28" s="834"/>
      <c r="CC28" s="834"/>
      <c r="CD28" s="834"/>
      <c r="CE28" s="834"/>
      <c r="CF28" s="834"/>
      <c r="CG28" s="834"/>
      <c r="CH28" s="834"/>
      <c r="CI28" s="834"/>
      <c r="CJ28" s="834"/>
      <c r="CK28" s="834"/>
    </row>
    <row r="29" spans="1:89" s="805" customFormat="1" ht="19.5">
      <c r="A29" s="884" t="s">
        <v>184</v>
      </c>
      <c r="B29" s="884" t="s">
        <v>185</v>
      </c>
      <c r="C29" s="990"/>
      <c r="D29" s="990">
        <f t="shared" ref="D29:D34" si="3">E29+P29</f>
        <v>0</v>
      </c>
      <c r="E29" s="1356">
        <f t="shared" ref="E29:E34" si="4">F29+G29+H29+I29+J29+N29+O29</f>
        <v>0</v>
      </c>
      <c r="F29" s="991"/>
      <c r="G29" s="992"/>
      <c r="H29" s="992"/>
      <c r="I29" s="992"/>
      <c r="J29" s="992"/>
      <c r="K29" s="992"/>
      <c r="L29" s="992"/>
      <c r="M29" s="992"/>
      <c r="N29" s="992"/>
      <c r="O29" s="992"/>
      <c r="P29" s="1347">
        <f t="shared" ref="P29:P34" si="5">Q29+R29+S29+T29+U29+V29+W29</f>
        <v>0</v>
      </c>
      <c r="Q29" s="993"/>
      <c r="R29" s="993"/>
      <c r="S29" s="992"/>
      <c r="T29" s="992"/>
      <c r="U29" s="992"/>
      <c r="V29" s="992"/>
      <c r="W29" s="992"/>
      <c r="X29" s="1362"/>
      <c r="Y29" s="992"/>
      <c r="Z29" s="813"/>
      <c r="AA29" s="813"/>
      <c r="AB29" s="1363"/>
      <c r="AC29" s="813"/>
      <c r="AD29" s="813"/>
      <c r="AE29" s="813"/>
      <c r="AF29" s="813"/>
      <c r="AG29" s="1363"/>
      <c r="AH29" s="813"/>
      <c r="AI29" s="813"/>
      <c r="AJ29" s="813"/>
      <c r="AK29" s="813"/>
      <c r="AL29" s="813"/>
      <c r="AM29" s="823">
        <f t="shared" si="1"/>
        <v>0</v>
      </c>
      <c r="AN29" s="834"/>
      <c r="AO29" s="834"/>
      <c r="AP29" s="834"/>
      <c r="AQ29" s="834"/>
      <c r="AR29" s="834"/>
      <c r="AS29" s="834"/>
      <c r="AT29" s="834"/>
      <c r="AU29" s="834"/>
      <c r="AV29" s="834"/>
      <c r="AW29" s="834"/>
      <c r="AX29" s="834"/>
      <c r="AY29" s="834"/>
      <c r="AZ29" s="834"/>
      <c r="BA29" s="834"/>
      <c r="BB29" s="834"/>
      <c r="BC29" s="834"/>
      <c r="BD29" s="834"/>
      <c r="BE29" s="834"/>
      <c r="BF29" s="834"/>
      <c r="BG29" s="834"/>
      <c r="BH29" s="834"/>
      <c r="BI29" s="834"/>
      <c r="BJ29" s="834"/>
      <c r="BK29" s="834"/>
      <c r="BL29" s="834"/>
      <c r="BM29" s="834"/>
      <c r="BN29" s="834"/>
      <c r="BO29" s="834"/>
      <c r="BP29" s="834"/>
      <c r="BQ29" s="834"/>
      <c r="BR29" s="834"/>
      <c r="BS29" s="834"/>
      <c r="BT29" s="834"/>
      <c r="BU29" s="834"/>
      <c r="BV29" s="834"/>
      <c r="BW29" s="834"/>
      <c r="BX29" s="834"/>
      <c r="BY29" s="834"/>
      <c r="BZ29" s="834"/>
      <c r="CA29" s="834"/>
      <c r="CB29" s="834"/>
      <c r="CC29" s="834"/>
      <c r="CD29" s="834"/>
      <c r="CE29" s="834"/>
      <c r="CF29" s="834"/>
      <c r="CG29" s="834"/>
      <c r="CH29" s="834"/>
      <c r="CI29" s="834"/>
      <c r="CJ29" s="834"/>
      <c r="CK29" s="834"/>
    </row>
    <row r="30" spans="1:89" s="806" customFormat="1" ht="19.5">
      <c r="A30" s="884" t="s">
        <v>186</v>
      </c>
      <c r="B30" s="884" t="s">
        <v>187</v>
      </c>
      <c r="C30" s="994"/>
      <c r="D30" s="990">
        <f t="shared" si="3"/>
        <v>0</v>
      </c>
      <c r="E30" s="1356">
        <f t="shared" si="4"/>
        <v>0</v>
      </c>
      <c r="F30" s="996"/>
      <c r="G30" s="995"/>
      <c r="H30" s="995"/>
      <c r="I30" s="995"/>
      <c r="J30" s="995"/>
      <c r="K30" s="995"/>
      <c r="L30" s="995"/>
      <c r="M30" s="995"/>
      <c r="N30" s="995"/>
      <c r="O30" s="995"/>
      <c r="P30" s="1347">
        <f t="shared" si="5"/>
        <v>0</v>
      </c>
      <c r="Q30" s="997"/>
      <c r="R30" s="997"/>
      <c r="S30" s="995"/>
      <c r="T30" s="995"/>
      <c r="U30" s="995"/>
      <c r="V30" s="995"/>
      <c r="W30" s="995"/>
      <c r="X30" s="1362"/>
      <c r="Y30" s="995"/>
      <c r="Z30" s="814"/>
      <c r="AA30" s="814"/>
      <c r="AB30" s="1363"/>
      <c r="AC30" s="814"/>
      <c r="AD30" s="814"/>
      <c r="AE30" s="814"/>
      <c r="AF30" s="814"/>
      <c r="AG30" s="1363"/>
      <c r="AH30" s="814"/>
      <c r="AI30" s="814"/>
      <c r="AJ30" s="814"/>
      <c r="AK30" s="814"/>
      <c r="AL30" s="814"/>
      <c r="AM30" s="823">
        <f t="shared" si="1"/>
        <v>0</v>
      </c>
      <c r="AN30" s="834"/>
      <c r="AO30" s="834"/>
      <c r="AP30" s="834"/>
      <c r="AQ30" s="834"/>
      <c r="AR30" s="834"/>
      <c r="AS30" s="834"/>
      <c r="AT30" s="834"/>
      <c r="AU30" s="834"/>
      <c r="AV30" s="834"/>
      <c r="AW30" s="834"/>
      <c r="AX30" s="834"/>
      <c r="AY30" s="834"/>
      <c r="AZ30" s="834"/>
      <c r="BA30" s="834"/>
      <c r="BB30" s="834"/>
      <c r="BC30" s="834"/>
      <c r="BD30" s="834"/>
      <c r="BE30" s="834"/>
      <c r="BF30" s="834"/>
      <c r="BG30" s="834"/>
      <c r="BH30" s="834"/>
      <c r="BI30" s="834"/>
      <c r="BJ30" s="834"/>
      <c r="BK30" s="834"/>
      <c r="BL30" s="834"/>
      <c r="BM30" s="834"/>
      <c r="BN30" s="834"/>
      <c r="BO30" s="834"/>
      <c r="BP30" s="834"/>
      <c r="BQ30" s="834"/>
      <c r="BR30" s="834"/>
      <c r="BS30" s="834"/>
      <c r="BT30" s="834"/>
      <c r="BU30" s="834"/>
      <c r="BV30" s="834"/>
      <c r="BW30" s="834"/>
      <c r="BX30" s="834"/>
      <c r="BY30" s="834"/>
      <c r="BZ30" s="834"/>
      <c r="CA30" s="834"/>
      <c r="CB30" s="834"/>
      <c r="CC30" s="834"/>
      <c r="CD30" s="834"/>
      <c r="CE30" s="834"/>
      <c r="CF30" s="834"/>
      <c r="CG30" s="834"/>
      <c r="CH30" s="834"/>
      <c r="CI30" s="834"/>
      <c r="CJ30" s="834"/>
      <c r="CK30" s="834"/>
    </row>
    <row r="31" spans="1:89" s="824" customFormat="1" ht="31.5">
      <c r="A31" s="884" t="s">
        <v>188</v>
      </c>
      <c r="B31" s="884" t="s">
        <v>189</v>
      </c>
      <c r="C31" s="999"/>
      <c r="D31" s="990">
        <f>E31+P31</f>
        <v>26491571.493299607</v>
      </c>
      <c r="E31" s="1356">
        <f t="shared" si="4"/>
        <v>1884532.6932996064</v>
      </c>
      <c r="F31" s="1000">
        <f>'036 гобм'!P10</f>
        <v>1884532.6932996064</v>
      </c>
      <c r="G31" s="988"/>
      <c r="H31" s="988"/>
      <c r="I31" s="988"/>
      <c r="J31" s="988"/>
      <c r="K31" s="988"/>
      <c r="L31" s="988"/>
      <c r="M31" s="988"/>
      <c r="N31" s="988"/>
      <c r="O31" s="988"/>
      <c r="P31" s="1347">
        <f t="shared" si="5"/>
        <v>24607038.800000001</v>
      </c>
      <c r="Q31" s="989">
        <f>Отчет!J168+Отчет!J207+Отчет!J235+Отчет!J164+Отчет!J173</f>
        <v>24607038.800000001</v>
      </c>
      <c r="R31" s="989"/>
      <c r="S31" s="988"/>
      <c r="T31" s="988"/>
      <c r="U31" s="988"/>
      <c r="V31" s="988"/>
      <c r="W31" s="988"/>
      <c r="X31" s="1362"/>
      <c r="Y31" s="988"/>
      <c r="Z31" s="818"/>
      <c r="AA31" s="818"/>
      <c r="AB31" s="1363"/>
      <c r="AC31" s="818"/>
      <c r="AD31" s="818"/>
      <c r="AE31" s="818"/>
      <c r="AF31" s="818"/>
      <c r="AG31" s="1363"/>
      <c r="AH31" s="818"/>
      <c r="AI31" s="818"/>
      <c r="AJ31" s="818"/>
      <c r="AK31" s="818"/>
      <c r="AL31" s="818"/>
      <c r="AM31" s="823">
        <f t="shared" si="1"/>
        <v>79474714.479898825</v>
      </c>
      <c r="AN31" s="834"/>
      <c r="AO31" s="834"/>
      <c r="AP31" s="834"/>
      <c r="AQ31" s="834"/>
      <c r="AR31" s="834"/>
      <c r="AS31" s="834"/>
      <c r="AT31" s="834"/>
      <c r="AU31" s="834"/>
      <c r="AV31" s="834"/>
      <c r="AW31" s="834"/>
      <c r="AX31" s="834"/>
      <c r="AY31" s="834"/>
      <c r="AZ31" s="834"/>
      <c r="BA31" s="834"/>
      <c r="BB31" s="834"/>
      <c r="BC31" s="834"/>
      <c r="BD31" s="834"/>
      <c r="BE31" s="834"/>
      <c r="BF31" s="834"/>
      <c r="BG31" s="834"/>
      <c r="BH31" s="834"/>
      <c r="BI31" s="834"/>
      <c r="BJ31" s="834"/>
      <c r="BK31" s="834"/>
      <c r="BL31" s="834"/>
      <c r="BM31" s="834"/>
      <c r="BN31" s="834"/>
      <c r="BO31" s="834"/>
      <c r="BP31" s="834"/>
      <c r="BQ31" s="834"/>
      <c r="BR31" s="834"/>
      <c r="BS31" s="834"/>
      <c r="BT31" s="834"/>
      <c r="BU31" s="834"/>
      <c r="BV31" s="834"/>
      <c r="BW31" s="834"/>
      <c r="BX31" s="834"/>
      <c r="BY31" s="834"/>
      <c r="BZ31" s="834"/>
      <c r="CA31" s="834"/>
      <c r="CB31" s="834"/>
      <c r="CC31" s="834"/>
      <c r="CD31" s="834"/>
      <c r="CE31" s="834"/>
      <c r="CF31" s="834"/>
      <c r="CG31" s="834"/>
      <c r="CH31" s="834"/>
      <c r="CI31" s="834"/>
      <c r="CJ31" s="834"/>
      <c r="CK31" s="834"/>
    </row>
    <row r="32" spans="1:89" s="805" customFormat="1" ht="31.5">
      <c r="A32" s="885" t="s">
        <v>190</v>
      </c>
      <c r="B32" s="885" t="s">
        <v>191</v>
      </c>
      <c r="C32" s="990"/>
      <c r="D32" s="990">
        <f t="shared" si="3"/>
        <v>0</v>
      </c>
      <c r="E32" s="1356">
        <f t="shared" si="4"/>
        <v>0</v>
      </c>
      <c r="F32" s="991"/>
      <c r="G32" s="992"/>
      <c r="H32" s="992"/>
      <c r="I32" s="992"/>
      <c r="J32" s="992"/>
      <c r="K32" s="992"/>
      <c r="L32" s="992"/>
      <c r="M32" s="992"/>
      <c r="N32" s="992"/>
      <c r="O32" s="992"/>
      <c r="P32" s="1347">
        <f t="shared" si="5"/>
        <v>0</v>
      </c>
      <c r="Q32" s="993"/>
      <c r="R32" s="993"/>
      <c r="S32" s="992"/>
      <c r="T32" s="992"/>
      <c r="U32" s="992"/>
      <c r="V32" s="992"/>
      <c r="W32" s="992"/>
      <c r="X32" s="1362"/>
      <c r="Y32" s="992"/>
      <c r="Z32" s="813"/>
      <c r="AA32" s="813"/>
      <c r="AB32" s="1363"/>
      <c r="AC32" s="813"/>
      <c r="AD32" s="813"/>
      <c r="AE32" s="813"/>
      <c r="AF32" s="813"/>
      <c r="AG32" s="1363"/>
      <c r="AH32" s="813"/>
      <c r="AI32" s="813"/>
      <c r="AJ32" s="813"/>
      <c r="AK32" s="813"/>
      <c r="AL32" s="813"/>
      <c r="AM32" s="823">
        <f t="shared" si="1"/>
        <v>0</v>
      </c>
      <c r="AN32" s="834"/>
      <c r="AO32" s="834"/>
      <c r="AP32" s="834"/>
      <c r="AQ32" s="834"/>
      <c r="AR32" s="834"/>
      <c r="AS32" s="834"/>
      <c r="AT32" s="834"/>
      <c r="AU32" s="834"/>
      <c r="AV32" s="834"/>
      <c r="AW32" s="834"/>
      <c r="AX32" s="834"/>
      <c r="AY32" s="834"/>
      <c r="AZ32" s="834"/>
      <c r="BA32" s="834"/>
      <c r="BB32" s="834"/>
      <c r="BC32" s="834"/>
      <c r="BD32" s="834"/>
      <c r="BE32" s="834"/>
      <c r="BF32" s="834"/>
      <c r="BG32" s="834"/>
      <c r="BH32" s="834"/>
      <c r="BI32" s="834"/>
      <c r="BJ32" s="834"/>
      <c r="BK32" s="834"/>
      <c r="BL32" s="834"/>
      <c r="BM32" s="834"/>
      <c r="BN32" s="834"/>
      <c r="BO32" s="834"/>
      <c r="BP32" s="834"/>
      <c r="BQ32" s="834"/>
      <c r="BR32" s="834"/>
      <c r="BS32" s="834"/>
      <c r="BT32" s="834"/>
      <c r="BU32" s="834"/>
      <c r="BV32" s="834"/>
      <c r="BW32" s="834"/>
      <c r="BX32" s="834"/>
      <c r="BY32" s="834"/>
      <c r="BZ32" s="834"/>
      <c r="CA32" s="834"/>
      <c r="CB32" s="834"/>
      <c r="CC32" s="834"/>
      <c r="CD32" s="834"/>
      <c r="CE32" s="834"/>
      <c r="CF32" s="834"/>
      <c r="CG32" s="834"/>
      <c r="CH32" s="834"/>
      <c r="CI32" s="834"/>
      <c r="CJ32" s="834"/>
      <c r="CK32" s="834"/>
    </row>
    <row r="33" spans="1:89" s="805" customFormat="1" ht="47.25">
      <c r="A33" s="885" t="s">
        <v>192</v>
      </c>
      <c r="B33" s="885" t="s">
        <v>193</v>
      </c>
      <c r="C33" s="990"/>
      <c r="D33" s="990">
        <f t="shared" si="3"/>
        <v>9872814</v>
      </c>
      <c r="E33" s="1356">
        <f t="shared" si="4"/>
        <v>2981401</v>
      </c>
      <c r="F33" s="991">
        <f>Дэф!C7+Дэф!C5</f>
        <v>2981401</v>
      </c>
      <c r="G33" s="992"/>
      <c r="H33" s="992"/>
      <c r="I33" s="992"/>
      <c r="J33" s="992"/>
      <c r="K33" s="992"/>
      <c r="L33" s="992"/>
      <c r="M33" s="992"/>
      <c r="N33" s="992"/>
      <c r="O33" s="992"/>
      <c r="P33" s="1347">
        <f t="shared" si="5"/>
        <v>6891413</v>
      </c>
      <c r="Q33" s="993">
        <f>Отчет!J54+Отчет!J64</f>
        <v>6891413</v>
      </c>
      <c r="R33" s="993"/>
      <c r="S33" s="992"/>
      <c r="T33" s="992"/>
      <c r="U33" s="992"/>
      <c r="V33" s="992"/>
      <c r="W33" s="992"/>
      <c r="X33" s="1362"/>
      <c r="Y33" s="992"/>
      <c r="Z33" s="813"/>
      <c r="AA33" s="813"/>
      <c r="AB33" s="1363"/>
      <c r="AC33" s="813"/>
      <c r="AD33" s="813"/>
      <c r="AE33" s="813"/>
      <c r="AF33" s="813"/>
      <c r="AG33" s="1363"/>
      <c r="AH33" s="813"/>
      <c r="AI33" s="813"/>
      <c r="AJ33" s="813"/>
      <c r="AK33" s="813"/>
      <c r="AL33" s="813"/>
      <c r="AM33" s="823">
        <f t="shared" si="1"/>
        <v>29618442</v>
      </c>
      <c r="AN33" s="834"/>
      <c r="AO33" s="834"/>
      <c r="AP33" s="834"/>
      <c r="AQ33" s="834"/>
      <c r="AR33" s="834"/>
      <c r="AS33" s="834"/>
      <c r="AT33" s="834"/>
      <c r="AU33" s="834"/>
      <c r="AV33" s="834"/>
      <c r="AW33" s="834"/>
      <c r="AX33" s="834"/>
      <c r="AY33" s="834"/>
      <c r="AZ33" s="834"/>
      <c r="BA33" s="834"/>
      <c r="BB33" s="834"/>
      <c r="BC33" s="834"/>
      <c r="BD33" s="834"/>
      <c r="BE33" s="834"/>
      <c r="BF33" s="834"/>
      <c r="BG33" s="834"/>
      <c r="BH33" s="834"/>
      <c r="BI33" s="834"/>
      <c r="BJ33" s="834"/>
      <c r="BK33" s="834"/>
      <c r="BL33" s="834"/>
      <c r="BM33" s="834"/>
      <c r="BN33" s="834"/>
      <c r="BO33" s="834"/>
      <c r="BP33" s="834"/>
      <c r="BQ33" s="834"/>
      <c r="BR33" s="834"/>
      <c r="BS33" s="834"/>
      <c r="BT33" s="834"/>
      <c r="BU33" s="834"/>
      <c r="BV33" s="834"/>
      <c r="BW33" s="834"/>
      <c r="BX33" s="834"/>
      <c r="BY33" s="834"/>
      <c r="BZ33" s="834"/>
      <c r="CA33" s="834"/>
      <c r="CB33" s="834"/>
      <c r="CC33" s="834"/>
      <c r="CD33" s="834"/>
      <c r="CE33" s="834"/>
      <c r="CF33" s="834"/>
      <c r="CG33" s="834"/>
      <c r="CH33" s="834"/>
      <c r="CI33" s="834"/>
      <c r="CJ33" s="834"/>
      <c r="CK33" s="834"/>
    </row>
    <row r="34" spans="1:89" s="805" customFormat="1" ht="31.5">
      <c r="A34" s="885" t="s">
        <v>194</v>
      </c>
      <c r="B34" s="885" t="s">
        <v>195</v>
      </c>
      <c r="C34" s="990"/>
      <c r="D34" s="990">
        <f t="shared" si="3"/>
        <v>0</v>
      </c>
      <c r="E34" s="1356">
        <f t="shared" si="4"/>
        <v>0</v>
      </c>
      <c r="F34" s="991"/>
      <c r="G34" s="992"/>
      <c r="H34" s="992"/>
      <c r="I34" s="992"/>
      <c r="J34" s="992"/>
      <c r="K34" s="992"/>
      <c r="L34" s="992"/>
      <c r="M34" s="992"/>
      <c r="N34" s="992"/>
      <c r="O34" s="992"/>
      <c r="P34" s="1347">
        <f t="shared" si="5"/>
        <v>0</v>
      </c>
      <c r="Q34" s="993"/>
      <c r="R34" s="993"/>
      <c r="S34" s="992"/>
      <c r="T34" s="992"/>
      <c r="U34" s="992"/>
      <c r="V34" s="992"/>
      <c r="W34" s="992"/>
      <c r="X34" s="1362"/>
      <c r="Y34" s="992"/>
      <c r="Z34" s="813"/>
      <c r="AA34" s="813"/>
      <c r="AB34" s="1363"/>
      <c r="AC34" s="813"/>
      <c r="AD34" s="813"/>
      <c r="AE34" s="813"/>
      <c r="AF34" s="813"/>
      <c r="AG34" s="1363"/>
      <c r="AH34" s="813"/>
      <c r="AI34" s="813"/>
      <c r="AJ34" s="813"/>
      <c r="AK34" s="813"/>
      <c r="AL34" s="813"/>
      <c r="AM34" s="823">
        <f t="shared" si="1"/>
        <v>0</v>
      </c>
      <c r="AN34" s="834"/>
      <c r="AO34" s="834"/>
      <c r="AP34" s="834"/>
      <c r="AQ34" s="834"/>
      <c r="AR34" s="834"/>
      <c r="AS34" s="834"/>
      <c r="AT34" s="834"/>
      <c r="AU34" s="834"/>
      <c r="AV34" s="834"/>
      <c r="AW34" s="834"/>
      <c r="AX34" s="834"/>
      <c r="AY34" s="834"/>
      <c r="AZ34" s="834"/>
      <c r="BA34" s="834"/>
      <c r="BB34" s="834"/>
      <c r="BC34" s="834"/>
      <c r="BD34" s="834"/>
      <c r="BE34" s="834"/>
      <c r="BF34" s="834"/>
      <c r="BG34" s="834"/>
      <c r="BH34" s="834"/>
      <c r="BI34" s="834"/>
      <c r="BJ34" s="834"/>
      <c r="BK34" s="834"/>
      <c r="BL34" s="834"/>
      <c r="BM34" s="834"/>
      <c r="BN34" s="834"/>
      <c r="BO34" s="834"/>
      <c r="BP34" s="834"/>
      <c r="BQ34" s="834"/>
      <c r="BR34" s="834"/>
      <c r="BS34" s="834"/>
      <c r="BT34" s="834"/>
      <c r="BU34" s="834"/>
      <c r="BV34" s="834"/>
      <c r="BW34" s="834"/>
      <c r="BX34" s="834"/>
      <c r="BY34" s="834"/>
      <c r="BZ34" s="834"/>
      <c r="CA34" s="834"/>
      <c r="CB34" s="834"/>
      <c r="CC34" s="834"/>
      <c r="CD34" s="834"/>
      <c r="CE34" s="834"/>
      <c r="CF34" s="834"/>
      <c r="CG34" s="834"/>
      <c r="CH34" s="834"/>
      <c r="CI34" s="834"/>
      <c r="CJ34" s="834"/>
      <c r="CK34" s="834"/>
    </row>
    <row r="35" spans="1:89" s="805" customFormat="1" ht="31.5">
      <c r="A35" s="883" t="s">
        <v>196</v>
      </c>
      <c r="B35" s="883" t="s">
        <v>197</v>
      </c>
      <c r="C35" s="990"/>
      <c r="D35" s="990">
        <f>E35+P35</f>
        <v>42122496</v>
      </c>
      <c r="E35" s="1356">
        <f>E36+E40</f>
        <v>0</v>
      </c>
      <c r="F35" s="991"/>
      <c r="G35" s="992"/>
      <c r="H35" s="992"/>
      <c r="I35" s="992"/>
      <c r="J35" s="992"/>
      <c r="K35" s="992"/>
      <c r="L35" s="992"/>
      <c r="M35" s="992"/>
      <c r="N35" s="992"/>
      <c r="O35" s="992"/>
      <c r="P35" s="1347">
        <f>P36+P40</f>
        <v>42122496</v>
      </c>
      <c r="R35" s="993"/>
      <c r="S35" s="992"/>
      <c r="T35" s="992"/>
      <c r="U35" s="992"/>
      <c r="V35" s="992"/>
      <c r="W35" s="992"/>
      <c r="X35" s="1362"/>
      <c r="Y35" s="992"/>
      <c r="Z35" s="813"/>
      <c r="AA35" s="813"/>
      <c r="AB35" s="1368"/>
      <c r="AC35" s="813"/>
      <c r="AD35" s="813"/>
      <c r="AE35" s="813"/>
      <c r="AF35" s="813"/>
      <c r="AG35" s="1363"/>
      <c r="AH35" s="813"/>
      <c r="AI35" s="813"/>
      <c r="AJ35" s="813"/>
      <c r="AK35" s="813"/>
      <c r="AL35" s="813"/>
      <c r="AM35" s="823">
        <f t="shared" si="1"/>
        <v>84244992</v>
      </c>
      <c r="AN35" s="834"/>
      <c r="AO35" s="834"/>
      <c r="AP35" s="834"/>
      <c r="AQ35" s="834"/>
      <c r="AR35" s="834"/>
      <c r="AS35" s="834"/>
      <c r="AT35" s="834"/>
      <c r="AU35" s="834"/>
      <c r="AV35" s="834"/>
      <c r="AW35" s="834"/>
      <c r="AX35" s="834"/>
      <c r="AY35" s="834"/>
      <c r="AZ35" s="834"/>
      <c r="BA35" s="834"/>
      <c r="BB35" s="834"/>
      <c r="BC35" s="834"/>
      <c r="BD35" s="834"/>
      <c r="BE35" s="834"/>
      <c r="BF35" s="834"/>
      <c r="BG35" s="834"/>
      <c r="BH35" s="834"/>
      <c r="BI35" s="834"/>
      <c r="BJ35" s="834"/>
      <c r="BK35" s="834"/>
      <c r="BL35" s="834"/>
      <c r="BM35" s="834"/>
      <c r="BN35" s="834"/>
      <c r="BO35" s="834"/>
      <c r="BP35" s="834"/>
      <c r="BQ35" s="834"/>
      <c r="BR35" s="834"/>
      <c r="BS35" s="834"/>
      <c r="BT35" s="834"/>
      <c r="BU35" s="834"/>
      <c r="BV35" s="834"/>
      <c r="BW35" s="834"/>
      <c r="BX35" s="834"/>
      <c r="BY35" s="834"/>
      <c r="BZ35" s="834"/>
      <c r="CA35" s="834"/>
      <c r="CB35" s="834"/>
      <c r="CC35" s="834"/>
      <c r="CD35" s="834"/>
      <c r="CE35" s="834"/>
      <c r="CF35" s="834"/>
      <c r="CG35" s="834"/>
      <c r="CH35" s="834"/>
      <c r="CI35" s="834"/>
      <c r="CJ35" s="834"/>
      <c r="CK35" s="834"/>
    </row>
    <row r="36" spans="1:89" s="806" customFormat="1" ht="63">
      <c r="A36" s="884" t="s">
        <v>198</v>
      </c>
      <c r="B36" s="884" t="s">
        <v>199</v>
      </c>
      <c r="C36" s="994"/>
      <c r="D36" s="990">
        <f t="shared" ref="D36:D45" si="6">E36+P36</f>
        <v>42122496</v>
      </c>
      <c r="E36" s="1356">
        <f>F36+G36+H36+I36+J36+N36+O36</f>
        <v>0</v>
      </c>
      <c r="F36" s="996"/>
      <c r="G36" s="995"/>
      <c r="H36" s="995"/>
      <c r="I36" s="995"/>
      <c r="J36" s="995"/>
      <c r="K36" s="995"/>
      <c r="L36" s="995"/>
      <c r="M36" s="995"/>
      <c r="N36" s="995"/>
      <c r="O36" s="995"/>
      <c r="P36" s="1347">
        <f>Q36+R36+S36+T36+U36+V36+W36</f>
        <v>42122496</v>
      </c>
      <c r="Q36" s="997">
        <f>+Отчет!J90+Отчет!J96+Отчет!J99+Отчет!J105+Отчет!J119+Отчет!J123+Отчет!J126+Отчет!J149+Отчет!J159+Отчет!J156+Отчет!J87+Отчет!J93+Отчет!K144+Отчет!J121+Отчет!J123-272421</f>
        <v>42122496</v>
      </c>
      <c r="R36" s="997"/>
      <c r="S36" s="995"/>
      <c r="T36" s="995"/>
      <c r="U36" s="995"/>
      <c r="V36" s="995"/>
      <c r="W36" s="995"/>
      <c r="X36" s="1362"/>
      <c r="Y36" s="995"/>
      <c r="Z36" s="814"/>
      <c r="AA36" s="814"/>
      <c r="AB36" s="1363"/>
      <c r="AC36" s="814"/>
      <c r="AD36" s="814"/>
      <c r="AE36" s="814"/>
      <c r="AF36" s="814"/>
      <c r="AG36" s="1363"/>
      <c r="AH36" s="814"/>
      <c r="AI36" s="814"/>
      <c r="AJ36" s="814"/>
      <c r="AK36" s="814"/>
      <c r="AL36" s="814"/>
      <c r="AM36" s="823">
        <f t="shared" ref="AM36:AM60" si="7">SUM(C36:AL36)</f>
        <v>126367488</v>
      </c>
      <c r="AN36" s="834"/>
      <c r="AO36" s="834"/>
      <c r="AP36" s="834"/>
      <c r="AQ36" s="834"/>
      <c r="AR36" s="834"/>
      <c r="AS36" s="834"/>
      <c r="AT36" s="834"/>
      <c r="AU36" s="834"/>
      <c r="AV36" s="834"/>
      <c r="AW36" s="834"/>
      <c r="AX36" s="834"/>
      <c r="AY36" s="834"/>
      <c r="AZ36" s="834"/>
      <c r="BA36" s="834"/>
      <c r="BB36" s="834"/>
      <c r="BC36" s="834"/>
      <c r="BD36" s="834"/>
      <c r="BE36" s="834"/>
      <c r="BF36" s="834"/>
      <c r="BG36" s="834"/>
      <c r="BH36" s="834"/>
      <c r="BI36" s="834"/>
      <c r="BJ36" s="834"/>
      <c r="BK36" s="834"/>
      <c r="BL36" s="834"/>
      <c r="BM36" s="834"/>
      <c r="BN36" s="834"/>
      <c r="BO36" s="834"/>
      <c r="BP36" s="834"/>
      <c r="BQ36" s="834"/>
      <c r="BR36" s="834"/>
      <c r="BS36" s="834"/>
      <c r="BT36" s="834"/>
      <c r="BU36" s="834"/>
      <c r="BV36" s="834"/>
      <c r="BW36" s="834"/>
      <c r="BX36" s="834"/>
      <c r="BY36" s="834"/>
      <c r="BZ36" s="834"/>
      <c r="CA36" s="834"/>
      <c r="CB36" s="834"/>
      <c r="CC36" s="834"/>
      <c r="CD36" s="834"/>
      <c r="CE36" s="834"/>
      <c r="CF36" s="834"/>
      <c r="CG36" s="834"/>
      <c r="CH36" s="834"/>
      <c r="CI36" s="834"/>
      <c r="CJ36" s="834"/>
      <c r="CK36" s="834"/>
    </row>
    <row r="37" spans="1:89" s="806" customFormat="1" ht="31.5">
      <c r="A37" s="884" t="s">
        <v>200</v>
      </c>
      <c r="B37" s="884" t="s">
        <v>201</v>
      </c>
      <c r="C37" s="994"/>
      <c r="D37" s="990">
        <f t="shared" si="6"/>
        <v>0</v>
      </c>
      <c r="E37" s="1356">
        <f>F37+G37+H37+I37+J37+N37+O37</f>
        <v>0</v>
      </c>
      <c r="F37" s="996"/>
      <c r="G37" s="995"/>
      <c r="H37" s="995"/>
      <c r="I37" s="995"/>
      <c r="J37" s="995"/>
      <c r="K37" s="995"/>
      <c r="L37" s="995"/>
      <c r="M37" s="995"/>
      <c r="N37" s="995"/>
      <c r="O37" s="995"/>
      <c r="P37" s="1347">
        <f t="shared" ref="P37:P45" si="8">Q37+R37+S37+T37+U37+V37+W37</f>
        <v>0</v>
      </c>
      <c r="Q37" s="997"/>
      <c r="R37" s="997"/>
      <c r="S37" s="995"/>
      <c r="T37" s="995"/>
      <c r="U37" s="995"/>
      <c r="V37" s="995"/>
      <c r="W37" s="995"/>
      <c r="X37" s="1362"/>
      <c r="Y37" s="995"/>
      <c r="Z37" s="814"/>
      <c r="AA37" s="814"/>
      <c r="AB37" s="1363"/>
      <c r="AC37" s="814"/>
      <c r="AD37" s="814"/>
      <c r="AE37" s="814"/>
      <c r="AF37" s="814"/>
      <c r="AG37" s="1363"/>
      <c r="AH37" s="814"/>
      <c r="AI37" s="814"/>
      <c r="AJ37" s="814"/>
      <c r="AK37" s="814"/>
      <c r="AL37" s="814"/>
      <c r="AM37" s="823">
        <f t="shared" si="7"/>
        <v>0</v>
      </c>
      <c r="AN37" s="834"/>
      <c r="AO37" s="834"/>
      <c r="AP37" s="834"/>
      <c r="AQ37" s="834"/>
      <c r="AR37" s="834"/>
      <c r="AS37" s="834"/>
      <c r="AT37" s="834"/>
      <c r="AU37" s="834"/>
      <c r="AV37" s="834"/>
      <c r="AW37" s="834"/>
      <c r="AX37" s="834"/>
      <c r="AY37" s="834"/>
      <c r="AZ37" s="834"/>
      <c r="BA37" s="834"/>
      <c r="BB37" s="834"/>
      <c r="BC37" s="834"/>
      <c r="BD37" s="834"/>
      <c r="BE37" s="834"/>
      <c r="BF37" s="834"/>
      <c r="BG37" s="834"/>
      <c r="BH37" s="834"/>
      <c r="BI37" s="834"/>
      <c r="BJ37" s="834"/>
      <c r="BK37" s="834"/>
      <c r="BL37" s="834"/>
      <c r="BM37" s="834"/>
      <c r="BN37" s="834"/>
      <c r="BO37" s="834"/>
      <c r="BP37" s="834"/>
      <c r="BQ37" s="834"/>
      <c r="BR37" s="834"/>
      <c r="BS37" s="834"/>
      <c r="BT37" s="834"/>
      <c r="BU37" s="834"/>
      <c r="BV37" s="834"/>
      <c r="BW37" s="834"/>
      <c r="BX37" s="834"/>
      <c r="BY37" s="834"/>
      <c r="BZ37" s="834"/>
      <c r="CA37" s="834"/>
      <c r="CB37" s="834"/>
      <c r="CC37" s="834"/>
      <c r="CD37" s="834"/>
      <c r="CE37" s="834"/>
      <c r="CF37" s="834"/>
      <c r="CG37" s="834"/>
      <c r="CH37" s="834"/>
      <c r="CI37" s="834"/>
      <c r="CJ37" s="834"/>
      <c r="CK37" s="834"/>
    </row>
    <row r="38" spans="1:89" s="806" customFormat="1" ht="31.5">
      <c r="A38" s="884" t="s">
        <v>202</v>
      </c>
      <c r="B38" s="884" t="s">
        <v>203</v>
      </c>
      <c r="C38" s="994"/>
      <c r="D38" s="990">
        <f t="shared" si="6"/>
        <v>0</v>
      </c>
      <c r="E38" s="1356">
        <f t="shared" ref="E38:E45" si="9">F38+G38+H38+I38+J38+N38+O38</f>
        <v>0</v>
      </c>
      <c r="F38" s="996"/>
      <c r="G38" s="995"/>
      <c r="H38" s="995"/>
      <c r="I38" s="995"/>
      <c r="J38" s="995"/>
      <c r="K38" s="995"/>
      <c r="L38" s="995"/>
      <c r="M38" s="995"/>
      <c r="N38" s="995"/>
      <c r="O38" s="995"/>
      <c r="P38" s="1347">
        <f t="shared" si="8"/>
        <v>0</v>
      </c>
      <c r="Q38" s="997"/>
      <c r="R38" s="997"/>
      <c r="S38" s="995"/>
      <c r="T38" s="995"/>
      <c r="U38" s="995"/>
      <c r="V38" s="995"/>
      <c r="W38" s="995"/>
      <c r="X38" s="1362"/>
      <c r="Y38" s="995"/>
      <c r="Z38" s="814"/>
      <c r="AA38" s="814"/>
      <c r="AB38" s="1363"/>
      <c r="AC38" s="814"/>
      <c r="AD38" s="814"/>
      <c r="AE38" s="814"/>
      <c r="AF38" s="814"/>
      <c r="AG38" s="1363"/>
      <c r="AH38" s="814"/>
      <c r="AI38" s="814"/>
      <c r="AJ38" s="814"/>
      <c r="AK38" s="814"/>
      <c r="AL38" s="814"/>
      <c r="AM38" s="823">
        <f t="shared" si="7"/>
        <v>0</v>
      </c>
      <c r="AN38" s="834"/>
      <c r="AO38" s="834"/>
      <c r="AP38" s="834"/>
      <c r="AQ38" s="834"/>
      <c r="AR38" s="834"/>
      <c r="AS38" s="834"/>
      <c r="AT38" s="834"/>
      <c r="AU38" s="834"/>
      <c r="AV38" s="834"/>
      <c r="AW38" s="834"/>
      <c r="AX38" s="834"/>
      <c r="AY38" s="834"/>
      <c r="AZ38" s="834"/>
      <c r="BA38" s="834"/>
      <c r="BB38" s="834"/>
      <c r="BC38" s="834"/>
      <c r="BD38" s="834"/>
      <c r="BE38" s="834"/>
      <c r="BF38" s="834"/>
      <c r="BG38" s="834"/>
      <c r="BH38" s="834"/>
      <c r="BI38" s="834"/>
      <c r="BJ38" s="834"/>
      <c r="BK38" s="834"/>
      <c r="BL38" s="834"/>
      <c r="BM38" s="834"/>
      <c r="BN38" s="834"/>
      <c r="BO38" s="834"/>
      <c r="BP38" s="834"/>
      <c r="BQ38" s="834"/>
      <c r="BR38" s="834"/>
      <c r="BS38" s="834"/>
      <c r="BT38" s="834"/>
      <c r="BU38" s="834"/>
      <c r="BV38" s="834"/>
      <c r="BW38" s="834"/>
      <c r="BX38" s="834"/>
      <c r="BY38" s="834"/>
      <c r="BZ38" s="834"/>
      <c r="CA38" s="834"/>
      <c r="CB38" s="834"/>
      <c r="CC38" s="834"/>
      <c r="CD38" s="834"/>
      <c r="CE38" s="834"/>
      <c r="CF38" s="834"/>
      <c r="CG38" s="834"/>
      <c r="CH38" s="834"/>
      <c r="CI38" s="834"/>
      <c r="CJ38" s="834"/>
      <c r="CK38" s="834"/>
    </row>
    <row r="39" spans="1:89" s="806" customFormat="1" ht="47.25">
      <c r="A39" s="884" t="s">
        <v>204</v>
      </c>
      <c r="B39" s="884" t="s">
        <v>205</v>
      </c>
      <c r="C39" s="994"/>
      <c r="D39" s="990">
        <f t="shared" si="6"/>
        <v>0</v>
      </c>
      <c r="E39" s="1356">
        <f t="shared" si="9"/>
        <v>0</v>
      </c>
      <c r="F39" s="997"/>
      <c r="G39" s="995"/>
      <c r="H39" s="995"/>
      <c r="I39" s="995"/>
      <c r="J39" s="995"/>
      <c r="K39" s="995"/>
      <c r="L39" s="995"/>
      <c r="M39" s="995"/>
      <c r="N39" s="995"/>
      <c r="O39" s="995"/>
      <c r="P39" s="1347">
        <f t="shared" si="8"/>
        <v>0</v>
      </c>
      <c r="Q39" s="997"/>
      <c r="R39" s="997"/>
      <c r="S39" s="995"/>
      <c r="T39" s="995"/>
      <c r="U39" s="995"/>
      <c r="V39" s="995"/>
      <c r="W39" s="995"/>
      <c r="X39" s="1362"/>
      <c r="Y39" s="995"/>
      <c r="Z39" s="814"/>
      <c r="AA39" s="814"/>
      <c r="AB39" s="1363"/>
      <c r="AC39" s="814"/>
      <c r="AD39" s="814"/>
      <c r="AE39" s="814"/>
      <c r="AF39" s="814"/>
      <c r="AG39" s="1363"/>
      <c r="AH39" s="814"/>
      <c r="AI39" s="814"/>
      <c r="AJ39" s="814"/>
      <c r="AK39" s="814"/>
      <c r="AL39" s="814"/>
      <c r="AM39" s="823">
        <f t="shared" si="7"/>
        <v>0</v>
      </c>
      <c r="AN39" s="834"/>
      <c r="AO39" s="834"/>
      <c r="AP39" s="834"/>
      <c r="AQ39" s="834"/>
      <c r="AR39" s="834"/>
      <c r="AS39" s="834"/>
      <c r="AT39" s="834"/>
      <c r="AU39" s="834"/>
      <c r="AV39" s="834"/>
      <c r="AW39" s="834"/>
      <c r="AX39" s="834"/>
      <c r="AY39" s="834"/>
      <c r="AZ39" s="834"/>
      <c r="BA39" s="834"/>
      <c r="BB39" s="834"/>
      <c r="BC39" s="834"/>
      <c r="BD39" s="834"/>
      <c r="BE39" s="834"/>
      <c r="BF39" s="834"/>
      <c r="BG39" s="834"/>
      <c r="BH39" s="834"/>
      <c r="BI39" s="834"/>
      <c r="BJ39" s="834"/>
      <c r="BK39" s="834"/>
      <c r="BL39" s="834"/>
      <c r="BM39" s="834"/>
      <c r="BN39" s="834"/>
      <c r="BO39" s="834"/>
      <c r="BP39" s="834"/>
      <c r="BQ39" s="834"/>
      <c r="BR39" s="834"/>
      <c r="BS39" s="834"/>
      <c r="BT39" s="834"/>
      <c r="BU39" s="834"/>
      <c r="BV39" s="834"/>
      <c r="BW39" s="834"/>
      <c r="BX39" s="834"/>
      <c r="BY39" s="834"/>
      <c r="BZ39" s="834"/>
      <c r="CA39" s="834"/>
      <c r="CB39" s="834"/>
      <c r="CC39" s="834"/>
      <c r="CD39" s="834"/>
      <c r="CE39" s="834"/>
      <c r="CF39" s="834"/>
      <c r="CG39" s="834"/>
      <c r="CH39" s="834"/>
      <c r="CI39" s="834"/>
      <c r="CJ39" s="834"/>
      <c r="CK39" s="834"/>
    </row>
    <row r="40" spans="1:89" s="806" customFormat="1" ht="63">
      <c r="A40" s="884" t="s">
        <v>206</v>
      </c>
      <c r="B40" s="884" t="s">
        <v>207</v>
      </c>
      <c r="C40" s="994"/>
      <c r="D40" s="990">
        <f t="shared" si="6"/>
        <v>0</v>
      </c>
      <c r="E40" s="1356">
        <f t="shared" si="9"/>
        <v>0</v>
      </c>
      <c r="F40" s="996"/>
      <c r="G40" s="995"/>
      <c r="H40" s="995"/>
      <c r="I40" s="995"/>
      <c r="J40" s="995"/>
      <c r="K40" s="995"/>
      <c r="L40" s="995"/>
      <c r="M40" s="995"/>
      <c r="N40" s="995"/>
      <c r="O40" s="995"/>
      <c r="P40" s="1347">
        <f t="shared" si="8"/>
        <v>0</v>
      </c>
      <c r="Q40" s="997"/>
      <c r="R40" s="997"/>
      <c r="S40" s="995"/>
      <c r="T40" s="995"/>
      <c r="U40" s="995"/>
      <c r="V40" s="995"/>
      <c r="W40" s="995"/>
      <c r="X40" s="1362"/>
      <c r="Y40" s="995"/>
      <c r="Z40" s="814"/>
      <c r="AA40" s="814"/>
      <c r="AB40" s="1363"/>
      <c r="AC40" s="814"/>
      <c r="AD40" s="814"/>
      <c r="AE40" s="814"/>
      <c r="AF40" s="814"/>
      <c r="AG40" s="1363"/>
      <c r="AH40" s="814"/>
      <c r="AI40" s="814"/>
      <c r="AJ40" s="814"/>
      <c r="AK40" s="814"/>
      <c r="AL40" s="814"/>
      <c r="AM40" s="823">
        <f t="shared" si="7"/>
        <v>0</v>
      </c>
      <c r="AN40" s="834"/>
      <c r="AO40" s="834"/>
      <c r="AP40" s="834"/>
      <c r="AQ40" s="834"/>
      <c r="AR40" s="834"/>
      <c r="AS40" s="834"/>
      <c r="AT40" s="834"/>
      <c r="AU40" s="834"/>
      <c r="AV40" s="834"/>
      <c r="AW40" s="834"/>
      <c r="AX40" s="834"/>
      <c r="AY40" s="834"/>
      <c r="AZ40" s="834"/>
      <c r="BA40" s="834"/>
      <c r="BB40" s="834"/>
      <c r="BC40" s="834"/>
      <c r="BD40" s="834"/>
      <c r="BE40" s="834"/>
      <c r="BF40" s="834"/>
      <c r="BG40" s="834"/>
      <c r="BH40" s="834"/>
      <c r="BI40" s="834"/>
      <c r="BJ40" s="834"/>
      <c r="BK40" s="834"/>
      <c r="BL40" s="834"/>
      <c r="BM40" s="834"/>
      <c r="BN40" s="834"/>
      <c r="BO40" s="834"/>
      <c r="BP40" s="834"/>
      <c r="BQ40" s="834"/>
      <c r="BR40" s="834"/>
      <c r="BS40" s="834"/>
      <c r="BT40" s="834"/>
      <c r="BU40" s="834"/>
      <c r="BV40" s="834"/>
      <c r="BW40" s="834"/>
      <c r="BX40" s="834"/>
      <c r="BY40" s="834"/>
      <c r="BZ40" s="834"/>
      <c r="CA40" s="834"/>
      <c r="CB40" s="834"/>
      <c r="CC40" s="834"/>
      <c r="CD40" s="834"/>
      <c r="CE40" s="834"/>
      <c r="CF40" s="834"/>
      <c r="CG40" s="834"/>
      <c r="CH40" s="834"/>
      <c r="CI40" s="834"/>
      <c r="CJ40" s="834"/>
      <c r="CK40" s="834"/>
    </row>
    <row r="41" spans="1:89" s="832" customFormat="1" ht="47.25">
      <c r="A41" s="884" t="s">
        <v>208</v>
      </c>
      <c r="B41" s="884" t="s">
        <v>209</v>
      </c>
      <c r="C41" s="1001"/>
      <c r="D41" s="990">
        <f t="shared" si="6"/>
        <v>0</v>
      </c>
      <c r="E41" s="1356">
        <f t="shared" si="9"/>
        <v>0</v>
      </c>
      <c r="F41" s="1002"/>
      <c r="G41" s="1003"/>
      <c r="H41" s="1003"/>
      <c r="I41" s="1003"/>
      <c r="J41" s="1003"/>
      <c r="K41" s="1003"/>
      <c r="L41" s="1003"/>
      <c r="M41" s="1003"/>
      <c r="N41" s="1003"/>
      <c r="O41" s="1003"/>
      <c r="P41" s="1347">
        <f t="shared" si="8"/>
        <v>0</v>
      </c>
      <c r="Q41" s="1004"/>
      <c r="R41" s="1004"/>
      <c r="S41" s="1003"/>
      <c r="T41" s="1005"/>
      <c r="U41" s="1003"/>
      <c r="V41" s="1003"/>
      <c r="W41" s="1003"/>
      <c r="X41" s="1362"/>
      <c r="Y41" s="1003"/>
      <c r="Z41" s="816"/>
      <c r="AA41" s="816"/>
      <c r="AB41" s="1363"/>
      <c r="AC41" s="816"/>
      <c r="AD41" s="816"/>
      <c r="AE41" s="816"/>
      <c r="AF41" s="816"/>
      <c r="AG41" s="1363"/>
      <c r="AH41" s="816"/>
      <c r="AI41" s="816"/>
      <c r="AJ41" s="816"/>
      <c r="AK41" s="816"/>
      <c r="AL41" s="816"/>
      <c r="AM41" s="823">
        <f t="shared" si="7"/>
        <v>0</v>
      </c>
      <c r="AN41" s="834"/>
      <c r="AO41" s="834"/>
      <c r="AP41" s="834"/>
      <c r="AQ41" s="834"/>
      <c r="AR41" s="834"/>
      <c r="AS41" s="834"/>
      <c r="AT41" s="834"/>
      <c r="AU41" s="834"/>
      <c r="AV41" s="834"/>
      <c r="AW41" s="834"/>
      <c r="AX41" s="834"/>
      <c r="AY41" s="834"/>
      <c r="AZ41" s="834"/>
      <c r="BA41" s="834"/>
      <c r="BB41" s="834"/>
      <c r="BC41" s="834"/>
      <c r="BD41" s="834"/>
      <c r="BE41" s="834"/>
      <c r="BF41" s="834"/>
      <c r="BG41" s="834"/>
      <c r="BH41" s="834"/>
      <c r="BI41" s="834"/>
      <c r="BJ41" s="834"/>
      <c r="BK41" s="834"/>
      <c r="BL41" s="834"/>
      <c r="BM41" s="834"/>
      <c r="BN41" s="834"/>
      <c r="BO41" s="834"/>
      <c r="BP41" s="834"/>
      <c r="BQ41" s="834"/>
      <c r="BR41" s="834"/>
      <c r="BS41" s="834"/>
      <c r="BT41" s="834"/>
      <c r="BU41" s="834"/>
      <c r="BV41" s="834"/>
      <c r="BW41" s="834"/>
      <c r="BX41" s="834"/>
      <c r="BY41" s="834"/>
      <c r="BZ41" s="834"/>
      <c r="CA41" s="834"/>
      <c r="CB41" s="834"/>
      <c r="CC41" s="834"/>
      <c r="CD41" s="834"/>
      <c r="CE41" s="834"/>
      <c r="CF41" s="834"/>
      <c r="CG41" s="834"/>
      <c r="CH41" s="834"/>
      <c r="CI41" s="834"/>
      <c r="CJ41" s="834"/>
      <c r="CK41" s="834"/>
    </row>
    <row r="42" spans="1:89" s="806" customFormat="1" ht="19.5">
      <c r="A42" s="884" t="s">
        <v>210</v>
      </c>
      <c r="B42" s="884" t="s">
        <v>211</v>
      </c>
      <c r="C42" s="994"/>
      <c r="D42" s="990">
        <f t="shared" si="6"/>
        <v>0</v>
      </c>
      <c r="E42" s="1356">
        <f t="shared" si="9"/>
        <v>0</v>
      </c>
      <c r="F42" s="996"/>
      <c r="G42" s="995"/>
      <c r="H42" s="995"/>
      <c r="I42" s="995"/>
      <c r="J42" s="995"/>
      <c r="K42" s="995"/>
      <c r="L42" s="995"/>
      <c r="M42" s="995"/>
      <c r="N42" s="995"/>
      <c r="O42" s="995"/>
      <c r="P42" s="1347">
        <f t="shared" si="8"/>
        <v>0</v>
      </c>
      <c r="Q42" s="997"/>
      <c r="R42" s="997"/>
      <c r="S42" s="995"/>
      <c r="T42" s="995"/>
      <c r="U42" s="995"/>
      <c r="V42" s="995"/>
      <c r="W42" s="995"/>
      <c r="X42" s="1362"/>
      <c r="Y42" s="995"/>
      <c r="Z42" s="814"/>
      <c r="AA42" s="814"/>
      <c r="AB42" s="1363"/>
      <c r="AC42" s="814"/>
      <c r="AD42" s="814"/>
      <c r="AE42" s="814"/>
      <c r="AF42" s="814"/>
      <c r="AG42" s="1363"/>
      <c r="AH42" s="814"/>
      <c r="AI42" s="814"/>
      <c r="AJ42" s="814"/>
      <c r="AK42" s="814"/>
      <c r="AL42" s="814"/>
      <c r="AM42" s="823">
        <f t="shared" si="7"/>
        <v>0</v>
      </c>
      <c r="AN42" s="834"/>
      <c r="AO42" s="834"/>
      <c r="AP42" s="834"/>
      <c r="AQ42" s="834"/>
      <c r="AR42" s="834"/>
      <c r="AS42" s="834"/>
      <c r="AT42" s="834"/>
      <c r="AU42" s="834"/>
      <c r="AV42" s="834"/>
      <c r="AW42" s="834"/>
      <c r="AX42" s="834"/>
      <c r="AY42" s="834"/>
      <c r="AZ42" s="834"/>
      <c r="BA42" s="834"/>
      <c r="BB42" s="834"/>
      <c r="BC42" s="834"/>
      <c r="BD42" s="834"/>
      <c r="BE42" s="834"/>
      <c r="BF42" s="834"/>
      <c r="BG42" s="834"/>
      <c r="BH42" s="834"/>
      <c r="BI42" s="834"/>
      <c r="BJ42" s="834"/>
      <c r="BK42" s="834"/>
      <c r="BL42" s="834"/>
      <c r="BM42" s="834"/>
      <c r="BN42" s="834"/>
      <c r="BO42" s="834"/>
      <c r="BP42" s="834"/>
      <c r="BQ42" s="834"/>
      <c r="BR42" s="834"/>
      <c r="BS42" s="834"/>
      <c r="BT42" s="834"/>
      <c r="BU42" s="834"/>
      <c r="BV42" s="834"/>
      <c r="BW42" s="834"/>
      <c r="BX42" s="834"/>
      <c r="BY42" s="834"/>
      <c r="BZ42" s="834"/>
      <c r="CA42" s="834"/>
      <c r="CB42" s="834"/>
      <c r="CC42" s="834"/>
      <c r="CD42" s="834"/>
      <c r="CE42" s="834"/>
      <c r="CF42" s="834"/>
      <c r="CG42" s="834"/>
      <c r="CH42" s="834"/>
      <c r="CI42" s="834"/>
      <c r="CJ42" s="834"/>
      <c r="CK42" s="834"/>
    </row>
    <row r="43" spans="1:89" s="832" customFormat="1" ht="31.5">
      <c r="A43" s="884" t="s">
        <v>212</v>
      </c>
      <c r="B43" s="884" t="s">
        <v>213</v>
      </c>
      <c r="C43" s="1001"/>
      <c r="D43" s="990">
        <f t="shared" si="6"/>
        <v>0</v>
      </c>
      <c r="E43" s="1356">
        <f t="shared" si="9"/>
        <v>0</v>
      </c>
      <c r="F43" s="1002"/>
      <c r="G43" s="1003"/>
      <c r="H43" s="1003"/>
      <c r="I43" s="1003"/>
      <c r="J43" s="1003"/>
      <c r="K43" s="1003"/>
      <c r="L43" s="1003"/>
      <c r="M43" s="1003"/>
      <c r="N43" s="1003"/>
      <c r="O43" s="1003"/>
      <c r="P43" s="1347">
        <f t="shared" si="8"/>
        <v>0</v>
      </c>
      <c r="Q43" s="1004"/>
      <c r="R43" s="1004"/>
      <c r="S43" s="1003"/>
      <c r="T43" s="1003"/>
      <c r="U43" s="1003"/>
      <c r="V43" s="1003"/>
      <c r="W43" s="1003"/>
      <c r="X43" s="1362"/>
      <c r="Y43" s="1003"/>
      <c r="Z43" s="816"/>
      <c r="AA43" s="816"/>
      <c r="AB43" s="1363"/>
      <c r="AC43" s="816"/>
      <c r="AD43" s="816"/>
      <c r="AE43" s="816"/>
      <c r="AF43" s="816"/>
      <c r="AG43" s="1363"/>
      <c r="AH43" s="816"/>
      <c r="AI43" s="816"/>
      <c r="AJ43" s="816"/>
      <c r="AK43" s="816"/>
      <c r="AL43" s="816"/>
      <c r="AM43" s="823">
        <f t="shared" si="7"/>
        <v>0</v>
      </c>
      <c r="AN43" s="834"/>
      <c r="AO43" s="834"/>
      <c r="AP43" s="834"/>
      <c r="AQ43" s="834"/>
      <c r="AR43" s="834"/>
      <c r="AS43" s="834"/>
      <c r="AT43" s="834"/>
      <c r="AU43" s="834"/>
      <c r="AV43" s="834"/>
      <c r="AW43" s="834"/>
      <c r="AX43" s="834"/>
      <c r="AY43" s="834"/>
      <c r="AZ43" s="834"/>
      <c r="BA43" s="834"/>
      <c r="BB43" s="834"/>
      <c r="BC43" s="834"/>
      <c r="BD43" s="834"/>
      <c r="BE43" s="834"/>
      <c r="BF43" s="834"/>
      <c r="BG43" s="834"/>
      <c r="BH43" s="834"/>
      <c r="BI43" s="834"/>
      <c r="BJ43" s="834"/>
      <c r="BK43" s="834"/>
      <c r="BL43" s="834"/>
      <c r="BM43" s="834"/>
      <c r="BN43" s="834"/>
      <c r="BO43" s="834"/>
      <c r="BP43" s="834"/>
      <c r="BQ43" s="834"/>
      <c r="BR43" s="834"/>
      <c r="BS43" s="834"/>
      <c r="BT43" s="834"/>
      <c r="BU43" s="834"/>
      <c r="BV43" s="834"/>
      <c r="BW43" s="834"/>
      <c r="BX43" s="834"/>
      <c r="BY43" s="834"/>
      <c r="BZ43" s="834"/>
      <c r="CA43" s="834"/>
      <c r="CB43" s="834"/>
      <c r="CC43" s="834"/>
      <c r="CD43" s="834"/>
      <c r="CE43" s="834"/>
      <c r="CF43" s="834"/>
      <c r="CG43" s="834"/>
      <c r="CH43" s="834"/>
      <c r="CI43" s="834"/>
      <c r="CJ43" s="834"/>
      <c r="CK43" s="834"/>
    </row>
    <row r="44" spans="1:89" s="805" customFormat="1" ht="110.25">
      <c r="A44" s="884" t="s">
        <v>214</v>
      </c>
      <c r="B44" s="884" t="s">
        <v>215</v>
      </c>
      <c r="C44" s="990"/>
      <c r="D44" s="990">
        <f t="shared" si="6"/>
        <v>0</v>
      </c>
      <c r="E44" s="1356">
        <f t="shared" si="9"/>
        <v>0</v>
      </c>
      <c r="F44" s="991"/>
      <c r="G44" s="992"/>
      <c r="H44" s="992"/>
      <c r="I44" s="992"/>
      <c r="J44" s="992"/>
      <c r="K44" s="992"/>
      <c r="L44" s="992"/>
      <c r="M44" s="992"/>
      <c r="N44" s="992"/>
      <c r="O44" s="992"/>
      <c r="P44" s="1347">
        <f t="shared" si="8"/>
        <v>0</v>
      </c>
      <c r="Q44" s="993"/>
      <c r="R44" s="993"/>
      <c r="S44" s="992"/>
      <c r="T44" s="992"/>
      <c r="U44" s="992"/>
      <c r="V44" s="992"/>
      <c r="W44" s="992"/>
      <c r="X44" s="1362"/>
      <c r="Y44" s="992"/>
      <c r="Z44" s="813"/>
      <c r="AA44" s="813"/>
      <c r="AB44" s="1363"/>
      <c r="AC44" s="813"/>
      <c r="AD44" s="813"/>
      <c r="AE44" s="813"/>
      <c r="AF44" s="813"/>
      <c r="AG44" s="1363"/>
      <c r="AH44" s="813"/>
      <c r="AI44" s="813"/>
      <c r="AJ44" s="813"/>
      <c r="AK44" s="813"/>
      <c r="AL44" s="813"/>
      <c r="AM44" s="823">
        <f t="shared" si="7"/>
        <v>0</v>
      </c>
      <c r="AN44" s="834"/>
      <c r="AO44" s="834"/>
      <c r="AP44" s="834"/>
      <c r="AQ44" s="834"/>
      <c r="AR44" s="834"/>
      <c r="AS44" s="834"/>
      <c r="AT44" s="834"/>
      <c r="AU44" s="834"/>
      <c r="AV44" s="834"/>
      <c r="AW44" s="834"/>
      <c r="AX44" s="834"/>
      <c r="AY44" s="834"/>
      <c r="AZ44" s="834"/>
      <c r="BA44" s="834"/>
      <c r="BB44" s="834"/>
      <c r="BC44" s="834"/>
      <c r="BD44" s="834"/>
      <c r="BE44" s="834"/>
      <c r="BF44" s="834"/>
      <c r="BG44" s="834"/>
      <c r="BH44" s="834"/>
      <c r="BI44" s="834"/>
      <c r="BJ44" s="834"/>
      <c r="BK44" s="834"/>
      <c r="BL44" s="834"/>
      <c r="BM44" s="834"/>
      <c r="BN44" s="834"/>
      <c r="BO44" s="834"/>
      <c r="BP44" s="834"/>
      <c r="BQ44" s="834"/>
      <c r="BR44" s="834"/>
      <c r="BS44" s="834"/>
      <c r="BT44" s="834"/>
      <c r="BU44" s="834"/>
      <c r="BV44" s="834"/>
      <c r="BW44" s="834"/>
      <c r="BX44" s="834"/>
      <c r="BY44" s="834"/>
      <c r="BZ44" s="834"/>
      <c r="CA44" s="834"/>
      <c r="CB44" s="834"/>
      <c r="CC44" s="834"/>
      <c r="CD44" s="834"/>
      <c r="CE44" s="834"/>
      <c r="CF44" s="834"/>
      <c r="CG44" s="834"/>
      <c r="CH44" s="834"/>
      <c r="CI44" s="834"/>
      <c r="CJ44" s="834"/>
      <c r="CK44" s="834"/>
    </row>
    <row r="45" spans="1:89" s="806" customFormat="1" ht="31.5">
      <c r="A45" s="885" t="s">
        <v>216</v>
      </c>
      <c r="B45" s="885" t="s">
        <v>217</v>
      </c>
      <c r="C45" s="994"/>
      <c r="D45" s="990">
        <f t="shared" si="6"/>
        <v>0</v>
      </c>
      <c r="E45" s="1356">
        <f t="shared" si="9"/>
        <v>0</v>
      </c>
      <c r="F45" s="996"/>
      <c r="G45" s="995"/>
      <c r="H45" s="995"/>
      <c r="I45" s="995"/>
      <c r="J45" s="995"/>
      <c r="K45" s="995"/>
      <c r="L45" s="995"/>
      <c r="M45" s="995"/>
      <c r="N45" s="995"/>
      <c r="O45" s="995"/>
      <c r="P45" s="1347">
        <f t="shared" si="8"/>
        <v>0</v>
      </c>
      <c r="Q45" s="997"/>
      <c r="R45" s="997"/>
      <c r="S45" s="995"/>
      <c r="T45" s="995"/>
      <c r="U45" s="995"/>
      <c r="V45" s="995"/>
      <c r="W45" s="995"/>
      <c r="X45" s="1362"/>
      <c r="Y45" s="995"/>
      <c r="Z45" s="814"/>
      <c r="AA45" s="814"/>
      <c r="AB45" s="1363"/>
      <c r="AC45" s="814"/>
      <c r="AD45" s="814"/>
      <c r="AE45" s="814"/>
      <c r="AF45" s="814"/>
      <c r="AG45" s="1363"/>
      <c r="AH45" s="814"/>
      <c r="AI45" s="814"/>
      <c r="AJ45" s="814"/>
      <c r="AK45" s="814"/>
      <c r="AL45" s="814"/>
      <c r="AM45" s="823">
        <f t="shared" si="7"/>
        <v>0</v>
      </c>
      <c r="AN45" s="834"/>
      <c r="AO45" s="834"/>
      <c r="AP45" s="834"/>
      <c r="AQ45" s="834"/>
      <c r="AR45" s="834"/>
      <c r="AS45" s="834"/>
      <c r="AT45" s="834"/>
      <c r="AU45" s="834"/>
      <c r="AV45" s="834"/>
      <c r="AW45" s="834"/>
      <c r="AX45" s="834"/>
      <c r="AY45" s="834"/>
      <c r="AZ45" s="834"/>
      <c r="BA45" s="834"/>
      <c r="BB45" s="834"/>
      <c r="BC45" s="834"/>
      <c r="BD45" s="834"/>
      <c r="BE45" s="834"/>
      <c r="BF45" s="834"/>
      <c r="BG45" s="834"/>
      <c r="BH45" s="834"/>
      <c r="BI45" s="834"/>
      <c r="BJ45" s="834"/>
      <c r="BK45" s="834"/>
      <c r="BL45" s="834"/>
      <c r="BM45" s="834"/>
      <c r="BN45" s="834"/>
      <c r="BO45" s="834"/>
      <c r="BP45" s="834"/>
      <c r="BQ45" s="834"/>
      <c r="BR45" s="834"/>
      <c r="BS45" s="834"/>
      <c r="BT45" s="834"/>
      <c r="BU45" s="834"/>
      <c r="BV45" s="834"/>
      <c r="BW45" s="834"/>
      <c r="BX45" s="834"/>
      <c r="BY45" s="834"/>
      <c r="BZ45" s="834"/>
      <c r="CA45" s="834"/>
      <c r="CB45" s="834"/>
      <c r="CC45" s="834"/>
      <c r="CD45" s="834"/>
      <c r="CE45" s="834"/>
      <c r="CF45" s="834"/>
      <c r="CG45" s="834"/>
      <c r="CH45" s="834"/>
      <c r="CI45" s="834"/>
      <c r="CJ45" s="834"/>
      <c r="CK45" s="834"/>
    </row>
    <row r="46" spans="1:89" s="806" customFormat="1" ht="31.5">
      <c r="A46" s="883" t="s">
        <v>218</v>
      </c>
      <c r="B46" s="883" t="s">
        <v>219</v>
      </c>
      <c r="C46" s="994"/>
      <c r="D46" s="994">
        <f>E46+P46</f>
        <v>13310330.5</v>
      </c>
      <c r="E46" s="1356">
        <f>E47+E48+E49+E50+E51+E52+E53+E54</f>
        <v>0</v>
      </c>
      <c r="F46" s="996"/>
      <c r="G46" s="995"/>
      <c r="H46" s="995"/>
      <c r="I46" s="995"/>
      <c r="J46" s="995"/>
      <c r="K46" s="995"/>
      <c r="L46" s="995"/>
      <c r="M46" s="995"/>
      <c r="N46" s="995"/>
      <c r="O46" s="995"/>
      <c r="P46" s="1347">
        <f>P47+P48+P49+P50+P51+P52+P53+P54</f>
        <v>13310330.5</v>
      </c>
      <c r="Q46" s="997"/>
      <c r="R46" s="997"/>
      <c r="S46" s="995"/>
      <c r="T46" s="995"/>
      <c r="U46" s="995"/>
      <c r="V46" s="995"/>
      <c r="W46" s="995"/>
      <c r="X46" s="1362"/>
      <c r="Y46" s="995"/>
      <c r="Z46" s="814"/>
      <c r="AA46" s="814"/>
      <c r="AB46" s="1363"/>
      <c r="AC46" s="814"/>
      <c r="AD46" s="814"/>
      <c r="AE46" s="814"/>
      <c r="AF46" s="814"/>
      <c r="AG46" s="1363">
        <f>AH46+AG48</f>
        <v>1296437.9183430779</v>
      </c>
      <c r="AH46" s="814">
        <f>AI46+AJ46</f>
        <v>344.05044960000004</v>
      </c>
      <c r="AI46" s="814"/>
      <c r="AJ46" s="814">
        <f>AK46</f>
        <v>344.05044960000004</v>
      </c>
      <c r="AK46" s="814">
        <f>AL46</f>
        <v>344.05044960000004</v>
      </c>
      <c r="AL46" s="814">
        <v>344.05044960000004</v>
      </c>
      <c r="AM46" s="823">
        <f t="shared" si="7"/>
        <v>27918475.120141473</v>
      </c>
      <c r="AN46" s="834"/>
      <c r="AO46" s="834"/>
      <c r="AP46" s="834"/>
      <c r="AQ46" s="834"/>
      <c r="AR46" s="834"/>
      <c r="AS46" s="834"/>
      <c r="AT46" s="834"/>
      <c r="AU46" s="834"/>
      <c r="AV46" s="834"/>
      <c r="AW46" s="834"/>
      <c r="AX46" s="834"/>
      <c r="AY46" s="834"/>
      <c r="AZ46" s="834"/>
      <c r="BA46" s="834"/>
      <c r="BB46" s="834"/>
      <c r="BC46" s="834"/>
      <c r="BD46" s="834"/>
      <c r="BE46" s="834"/>
      <c r="BF46" s="834"/>
      <c r="BG46" s="834"/>
      <c r="BH46" s="834"/>
      <c r="BI46" s="834"/>
      <c r="BJ46" s="834"/>
      <c r="BK46" s="834"/>
      <c r="BL46" s="834"/>
      <c r="BM46" s="834"/>
      <c r="BN46" s="834"/>
      <c r="BO46" s="834"/>
      <c r="BP46" s="834"/>
      <c r="BQ46" s="834"/>
      <c r="BR46" s="834"/>
      <c r="BS46" s="834"/>
      <c r="BT46" s="834"/>
      <c r="BU46" s="834"/>
      <c r="BV46" s="834"/>
      <c r="BW46" s="834"/>
      <c r="BX46" s="834"/>
      <c r="BY46" s="834"/>
      <c r="BZ46" s="834"/>
      <c r="CA46" s="834"/>
      <c r="CB46" s="834"/>
      <c r="CC46" s="834"/>
      <c r="CD46" s="834"/>
      <c r="CE46" s="834"/>
      <c r="CF46" s="834"/>
      <c r="CG46" s="834"/>
      <c r="CH46" s="834"/>
      <c r="CI46" s="834"/>
      <c r="CJ46" s="834"/>
      <c r="CK46" s="834"/>
    </row>
    <row r="47" spans="1:89" s="806" customFormat="1" ht="63">
      <c r="A47" s="884" t="s">
        <v>220</v>
      </c>
      <c r="B47" s="884" t="s">
        <v>221</v>
      </c>
      <c r="C47" s="994"/>
      <c r="D47" s="994">
        <f>E47+P47</f>
        <v>2096863</v>
      </c>
      <c r="E47" s="1356">
        <f>F47+G47+H47+I47+J47+N47+O47</f>
        <v>0</v>
      </c>
      <c r="F47" s="996"/>
      <c r="G47" s="995"/>
      <c r="H47" s="995"/>
      <c r="I47" s="995"/>
      <c r="J47" s="995"/>
      <c r="K47" s="995"/>
      <c r="L47" s="995"/>
      <c r="M47" s="995"/>
      <c r="N47" s="995"/>
      <c r="O47" s="995"/>
      <c r="P47" s="1347">
        <f>Q47+R47+S47++T47+U47+V47+W47</f>
        <v>2096863</v>
      </c>
      <c r="Q47" s="997">
        <f>Отчет!J59+Отчет!J69+Отчет!J58+Отчет!J68</f>
        <v>2096863</v>
      </c>
      <c r="R47" s="997"/>
      <c r="S47" s="995"/>
      <c r="T47" s="995"/>
      <c r="U47" s="995"/>
      <c r="V47" s="995"/>
      <c r="W47" s="995"/>
      <c r="X47" s="1362"/>
      <c r="Y47" s="995"/>
      <c r="Z47" s="814"/>
      <c r="AA47" s="814"/>
      <c r="AB47" s="1363"/>
      <c r="AC47" s="814"/>
      <c r="AD47" s="814"/>
      <c r="AE47" s="814"/>
      <c r="AF47" s="814"/>
      <c r="AG47" s="1363"/>
      <c r="AH47" s="814"/>
      <c r="AI47" s="814"/>
      <c r="AJ47" s="814"/>
      <c r="AK47" s="814"/>
      <c r="AL47" s="814"/>
      <c r="AM47" s="823">
        <f t="shared" si="7"/>
        <v>6290589</v>
      </c>
      <c r="AN47" s="834"/>
      <c r="AO47" s="834"/>
      <c r="AP47" s="834"/>
      <c r="AQ47" s="834"/>
      <c r="AR47" s="834"/>
      <c r="AS47" s="834"/>
      <c r="AT47" s="834"/>
      <c r="AU47" s="834"/>
      <c r="AV47" s="834"/>
      <c r="AW47" s="834"/>
      <c r="AX47" s="834"/>
      <c r="AY47" s="834"/>
      <c r="AZ47" s="834"/>
      <c r="BA47" s="834"/>
      <c r="BB47" s="834"/>
      <c r="BC47" s="834"/>
      <c r="BD47" s="834"/>
      <c r="BE47" s="834"/>
      <c r="BF47" s="834"/>
      <c r="BG47" s="834"/>
      <c r="BH47" s="834"/>
      <c r="BI47" s="834"/>
      <c r="BJ47" s="834"/>
      <c r="BK47" s="834"/>
      <c r="BL47" s="834"/>
      <c r="BM47" s="834"/>
      <c r="BN47" s="834"/>
      <c r="BO47" s="834"/>
      <c r="BP47" s="834"/>
      <c r="BQ47" s="834"/>
      <c r="BR47" s="834"/>
      <c r="BS47" s="834"/>
      <c r="BT47" s="834"/>
      <c r="BU47" s="834"/>
      <c r="BV47" s="834"/>
      <c r="BW47" s="834"/>
      <c r="BX47" s="834"/>
      <c r="BY47" s="834"/>
      <c r="BZ47" s="834"/>
      <c r="CA47" s="834"/>
      <c r="CB47" s="834"/>
      <c r="CC47" s="834"/>
      <c r="CD47" s="834"/>
      <c r="CE47" s="834"/>
      <c r="CF47" s="834"/>
      <c r="CG47" s="834"/>
      <c r="CH47" s="834"/>
      <c r="CI47" s="834"/>
      <c r="CJ47" s="834"/>
      <c r="CK47" s="834"/>
    </row>
    <row r="48" spans="1:89" s="806" customFormat="1" ht="19.5">
      <c r="A48" s="884" t="s">
        <v>222</v>
      </c>
      <c r="B48" s="884" t="s">
        <v>223</v>
      </c>
      <c r="C48" s="994"/>
      <c r="D48" s="994">
        <f t="shared" ref="D48:D53" si="10">E48+P48</f>
        <v>11213467.5</v>
      </c>
      <c r="E48" s="1356">
        <f t="shared" ref="E48:E54" si="11">F48+G48+H48+I48+J48+N48+O48</f>
        <v>0</v>
      </c>
      <c r="F48" s="996"/>
      <c r="G48" s="995"/>
      <c r="H48" s="995"/>
      <c r="I48" s="995"/>
      <c r="J48" s="995"/>
      <c r="K48" s="995"/>
      <c r="L48" s="995"/>
      <c r="M48" s="995"/>
      <c r="N48" s="995"/>
      <c r="O48" s="995"/>
      <c r="P48" s="1347">
        <f t="shared" ref="P48:P54" si="12">Q48+R48+S48++T48+U48+V48+W48</f>
        <v>11213467.5</v>
      </c>
      <c r="Q48" s="997">
        <f>Отчет!J104+Отчет!J130+Отчет!J103+Отчет!J129</f>
        <v>11213467.5</v>
      </c>
      <c r="R48" s="997"/>
      <c r="S48" s="995"/>
      <c r="T48" s="995"/>
      <c r="U48" s="995"/>
      <c r="V48" s="995"/>
      <c r="W48" s="995"/>
      <c r="X48" s="1362"/>
      <c r="Y48" s="995"/>
      <c r="Z48" s="814"/>
      <c r="AA48" s="814"/>
      <c r="AB48" s="1363"/>
      <c r="AC48" s="814"/>
      <c r="AD48" s="814"/>
      <c r="AE48" s="814"/>
      <c r="AF48" s="814"/>
      <c r="AG48" s="1363">
        <f>AK48+AL48</f>
        <v>1296093.8678934779</v>
      </c>
      <c r="AH48" s="814"/>
      <c r="AI48" s="814"/>
      <c r="AJ48" s="814"/>
      <c r="AK48" s="814">
        <v>81561.302100179804</v>
      </c>
      <c r="AL48" s="814">
        <v>1214532.5657932982</v>
      </c>
      <c r="AM48" s="823">
        <f t="shared" si="7"/>
        <v>36232590.23578696</v>
      </c>
      <c r="AN48" s="834"/>
      <c r="AO48" s="834"/>
      <c r="AP48" s="834"/>
      <c r="AQ48" s="834"/>
      <c r="AR48" s="834"/>
      <c r="AS48" s="834"/>
      <c r="AT48" s="834"/>
      <c r="AU48" s="834"/>
      <c r="AV48" s="834"/>
      <c r="AW48" s="834"/>
      <c r="AX48" s="834"/>
      <c r="AY48" s="834"/>
      <c r="AZ48" s="834"/>
      <c r="BA48" s="834"/>
      <c r="BB48" s="834"/>
      <c r="BC48" s="834"/>
      <c r="BD48" s="834"/>
      <c r="BE48" s="834"/>
      <c r="BF48" s="834"/>
      <c r="BG48" s="834"/>
      <c r="BH48" s="834"/>
      <c r="BI48" s="834"/>
      <c r="BJ48" s="834"/>
      <c r="BK48" s="834"/>
      <c r="BL48" s="834"/>
      <c r="BM48" s="834"/>
      <c r="BN48" s="834"/>
      <c r="BO48" s="834"/>
      <c r="BP48" s="834"/>
      <c r="BQ48" s="834"/>
      <c r="BR48" s="834"/>
      <c r="BS48" s="834"/>
      <c r="BT48" s="834"/>
      <c r="BU48" s="834"/>
      <c r="BV48" s="834"/>
      <c r="BW48" s="834"/>
      <c r="BX48" s="834"/>
      <c r="BY48" s="834"/>
      <c r="BZ48" s="834"/>
      <c r="CA48" s="834"/>
      <c r="CB48" s="834"/>
      <c r="CC48" s="834"/>
      <c r="CD48" s="834"/>
      <c r="CE48" s="834"/>
      <c r="CF48" s="834"/>
      <c r="CG48" s="834"/>
      <c r="CH48" s="834"/>
      <c r="CI48" s="834"/>
      <c r="CJ48" s="834"/>
      <c r="CK48" s="834"/>
    </row>
    <row r="49" spans="1:89" s="824" customFormat="1" ht="47.25">
      <c r="A49" s="884" t="s">
        <v>224</v>
      </c>
      <c r="B49" s="884" t="s">
        <v>226</v>
      </c>
      <c r="C49" s="999"/>
      <c r="D49" s="994">
        <f t="shared" si="10"/>
        <v>0</v>
      </c>
      <c r="E49" s="1356">
        <f t="shared" si="11"/>
        <v>0</v>
      </c>
      <c r="F49" s="1000"/>
      <c r="G49" s="988"/>
      <c r="H49" s="988"/>
      <c r="I49" s="988"/>
      <c r="J49" s="988"/>
      <c r="K49" s="988"/>
      <c r="L49" s="988"/>
      <c r="M49" s="988"/>
      <c r="N49" s="988"/>
      <c r="O49" s="988"/>
      <c r="P49" s="1347">
        <f t="shared" si="12"/>
        <v>0</v>
      </c>
      <c r="Q49" s="989"/>
      <c r="R49" s="989"/>
      <c r="S49" s="988"/>
      <c r="T49" s="988"/>
      <c r="U49" s="988"/>
      <c r="V49" s="988"/>
      <c r="W49" s="988"/>
      <c r="X49" s="1362"/>
      <c r="Y49" s="988"/>
      <c r="Z49" s="818"/>
      <c r="AA49" s="818"/>
      <c r="AB49" s="1363"/>
      <c r="AC49" s="818"/>
      <c r="AD49" s="818"/>
      <c r="AE49" s="818"/>
      <c r="AF49" s="818"/>
      <c r="AG49" s="1363"/>
      <c r="AH49" s="818"/>
      <c r="AI49" s="818"/>
      <c r="AJ49" s="818"/>
      <c r="AK49" s="818"/>
      <c r="AL49" s="818"/>
      <c r="AM49" s="823">
        <f t="shared" si="7"/>
        <v>0</v>
      </c>
      <c r="AN49" s="834"/>
      <c r="AO49" s="834"/>
      <c r="AP49" s="834"/>
      <c r="AQ49" s="834"/>
      <c r="AR49" s="834"/>
      <c r="AS49" s="834"/>
      <c r="AT49" s="834"/>
      <c r="AU49" s="834"/>
      <c r="AV49" s="834"/>
      <c r="AW49" s="834"/>
      <c r="AX49" s="834"/>
      <c r="AY49" s="834"/>
      <c r="AZ49" s="834"/>
      <c r="BA49" s="834"/>
      <c r="BB49" s="834"/>
      <c r="BC49" s="834"/>
      <c r="BD49" s="834"/>
      <c r="BE49" s="834"/>
      <c r="BF49" s="834"/>
      <c r="BG49" s="834"/>
      <c r="BH49" s="834"/>
      <c r="BI49" s="834"/>
      <c r="BJ49" s="834"/>
      <c r="BK49" s="834"/>
      <c r="BL49" s="834"/>
      <c r="BM49" s="834"/>
      <c r="BN49" s="834"/>
      <c r="BO49" s="834"/>
      <c r="BP49" s="834"/>
      <c r="BQ49" s="834"/>
      <c r="BR49" s="834"/>
      <c r="BS49" s="834"/>
      <c r="BT49" s="834"/>
      <c r="BU49" s="834"/>
      <c r="BV49" s="834"/>
      <c r="BW49" s="834"/>
      <c r="BX49" s="834"/>
      <c r="BY49" s="834"/>
      <c r="BZ49" s="834"/>
      <c r="CA49" s="834"/>
      <c r="CB49" s="834"/>
      <c r="CC49" s="834"/>
      <c r="CD49" s="834"/>
      <c r="CE49" s="834"/>
      <c r="CF49" s="834"/>
      <c r="CG49" s="834"/>
      <c r="CH49" s="834"/>
      <c r="CI49" s="834"/>
      <c r="CJ49" s="834"/>
      <c r="CK49" s="834"/>
    </row>
    <row r="50" spans="1:89" s="805" customFormat="1" ht="31.5">
      <c r="A50" s="884" t="s">
        <v>227</v>
      </c>
      <c r="B50" s="884" t="s">
        <v>229</v>
      </c>
      <c r="C50" s="990"/>
      <c r="D50" s="994">
        <f t="shared" si="10"/>
        <v>0</v>
      </c>
      <c r="E50" s="1356">
        <f t="shared" si="11"/>
        <v>0</v>
      </c>
      <c r="F50" s="991"/>
      <c r="G50" s="992"/>
      <c r="H50" s="992"/>
      <c r="I50" s="992"/>
      <c r="J50" s="992"/>
      <c r="K50" s="992"/>
      <c r="L50" s="992"/>
      <c r="M50" s="992"/>
      <c r="N50" s="992"/>
      <c r="O50" s="992"/>
      <c r="P50" s="1347">
        <f t="shared" si="12"/>
        <v>0</v>
      </c>
      <c r="Q50" s="993"/>
      <c r="R50" s="993"/>
      <c r="S50" s="992"/>
      <c r="T50" s="992"/>
      <c r="U50" s="992"/>
      <c r="V50" s="992"/>
      <c r="W50" s="992"/>
      <c r="X50" s="1362"/>
      <c r="Y50" s="992"/>
      <c r="Z50" s="813"/>
      <c r="AA50" s="813"/>
      <c r="AB50" s="1363"/>
      <c r="AC50" s="813"/>
      <c r="AD50" s="813"/>
      <c r="AE50" s="813"/>
      <c r="AF50" s="813"/>
      <c r="AG50" s="1363"/>
      <c r="AH50" s="813"/>
      <c r="AI50" s="813"/>
      <c r="AJ50" s="813"/>
      <c r="AK50" s="813"/>
      <c r="AL50" s="813"/>
      <c r="AM50" s="823">
        <f t="shared" si="7"/>
        <v>0</v>
      </c>
      <c r="AN50" s="834"/>
      <c r="AO50" s="834"/>
      <c r="AP50" s="834"/>
      <c r="AQ50" s="834"/>
      <c r="AR50" s="834"/>
      <c r="AS50" s="834"/>
      <c r="AT50" s="834"/>
      <c r="AU50" s="834"/>
      <c r="AV50" s="834"/>
      <c r="AW50" s="834"/>
      <c r="AX50" s="834"/>
      <c r="AY50" s="834"/>
      <c r="AZ50" s="834"/>
      <c r="BA50" s="834"/>
      <c r="BB50" s="834"/>
      <c r="BC50" s="834"/>
      <c r="BD50" s="834"/>
      <c r="BE50" s="834"/>
      <c r="BF50" s="834"/>
      <c r="BG50" s="834"/>
      <c r="BH50" s="834"/>
      <c r="BI50" s="834"/>
      <c r="BJ50" s="834"/>
      <c r="BK50" s="834"/>
      <c r="BL50" s="834"/>
      <c r="BM50" s="834"/>
      <c r="BN50" s="834"/>
      <c r="BO50" s="834"/>
      <c r="BP50" s="834"/>
      <c r="BQ50" s="834"/>
      <c r="BR50" s="834"/>
      <c r="BS50" s="834"/>
      <c r="BT50" s="834"/>
      <c r="BU50" s="834"/>
      <c r="BV50" s="834"/>
      <c r="BW50" s="834"/>
      <c r="BX50" s="834"/>
      <c r="BY50" s="834"/>
      <c r="BZ50" s="834"/>
      <c r="CA50" s="834"/>
      <c r="CB50" s="834"/>
      <c r="CC50" s="834"/>
      <c r="CD50" s="834"/>
      <c r="CE50" s="834"/>
      <c r="CF50" s="834"/>
      <c r="CG50" s="834"/>
      <c r="CH50" s="834"/>
      <c r="CI50" s="834"/>
      <c r="CJ50" s="834"/>
      <c r="CK50" s="834"/>
    </row>
    <row r="51" spans="1:89" s="806" customFormat="1" ht="94.5">
      <c r="A51" s="884" t="s">
        <v>230</v>
      </c>
      <c r="B51" s="884" t="s">
        <v>231</v>
      </c>
      <c r="C51" s="994"/>
      <c r="D51" s="994">
        <f t="shared" si="10"/>
        <v>0</v>
      </c>
      <c r="E51" s="1356">
        <f t="shared" si="11"/>
        <v>0</v>
      </c>
      <c r="F51" s="996"/>
      <c r="G51" s="995"/>
      <c r="H51" s="995"/>
      <c r="I51" s="995"/>
      <c r="J51" s="995"/>
      <c r="K51" s="995"/>
      <c r="L51" s="995"/>
      <c r="M51" s="995"/>
      <c r="N51" s="995"/>
      <c r="O51" s="995"/>
      <c r="P51" s="1347">
        <f t="shared" si="12"/>
        <v>0</v>
      </c>
      <c r="Q51" s="997"/>
      <c r="R51" s="997"/>
      <c r="S51" s="995"/>
      <c r="T51" s="995"/>
      <c r="U51" s="995"/>
      <c r="V51" s="995"/>
      <c r="W51" s="995"/>
      <c r="X51" s="1362"/>
      <c r="Y51" s="995"/>
      <c r="Z51" s="814"/>
      <c r="AA51" s="814"/>
      <c r="AB51" s="1363"/>
      <c r="AC51" s="814"/>
      <c r="AD51" s="814"/>
      <c r="AE51" s="814"/>
      <c r="AF51" s="814"/>
      <c r="AG51" s="1363"/>
      <c r="AH51" s="814"/>
      <c r="AI51" s="814"/>
      <c r="AJ51" s="814"/>
      <c r="AK51" s="814"/>
      <c r="AL51" s="814"/>
      <c r="AM51" s="823">
        <f t="shared" si="7"/>
        <v>0</v>
      </c>
      <c r="AN51" s="834"/>
      <c r="AO51" s="834"/>
      <c r="AP51" s="834"/>
      <c r="AQ51" s="834"/>
      <c r="AR51" s="834"/>
      <c r="AS51" s="834"/>
      <c r="AT51" s="834"/>
      <c r="AU51" s="834"/>
      <c r="AV51" s="834"/>
      <c r="AW51" s="834"/>
      <c r="AX51" s="834"/>
      <c r="AY51" s="834"/>
      <c r="AZ51" s="834"/>
      <c r="BA51" s="834"/>
      <c r="BB51" s="834"/>
      <c r="BC51" s="834"/>
      <c r="BD51" s="834"/>
      <c r="BE51" s="834"/>
      <c r="BF51" s="834"/>
      <c r="BG51" s="834"/>
      <c r="BH51" s="834"/>
      <c r="BI51" s="834"/>
      <c r="BJ51" s="834"/>
      <c r="BK51" s="834"/>
      <c r="BL51" s="834"/>
      <c r="BM51" s="834"/>
      <c r="BN51" s="834"/>
      <c r="BO51" s="834"/>
      <c r="BP51" s="834"/>
      <c r="BQ51" s="834"/>
      <c r="BR51" s="834"/>
      <c r="BS51" s="834"/>
      <c r="BT51" s="834"/>
      <c r="BU51" s="834"/>
      <c r="BV51" s="834"/>
      <c r="BW51" s="834"/>
      <c r="BX51" s="834"/>
      <c r="BY51" s="834"/>
      <c r="BZ51" s="834"/>
      <c r="CA51" s="834"/>
      <c r="CB51" s="834"/>
      <c r="CC51" s="834"/>
      <c r="CD51" s="834"/>
      <c r="CE51" s="834"/>
      <c r="CF51" s="834"/>
      <c r="CG51" s="834"/>
      <c r="CH51" s="834"/>
      <c r="CI51" s="834"/>
      <c r="CJ51" s="834"/>
      <c r="CK51" s="834"/>
    </row>
    <row r="52" spans="1:89" s="805" customFormat="1" ht="47.25">
      <c r="A52" s="884" t="s">
        <v>233</v>
      </c>
      <c r="B52" s="884" t="s">
        <v>234</v>
      </c>
      <c r="C52" s="990"/>
      <c r="D52" s="994">
        <f t="shared" si="10"/>
        <v>0</v>
      </c>
      <c r="E52" s="1356">
        <f t="shared" si="11"/>
        <v>0</v>
      </c>
      <c r="F52" s="991"/>
      <c r="G52" s="992"/>
      <c r="H52" s="992"/>
      <c r="I52" s="992"/>
      <c r="J52" s="992"/>
      <c r="K52" s="992"/>
      <c r="L52" s="992"/>
      <c r="M52" s="992"/>
      <c r="N52" s="992"/>
      <c r="O52" s="992"/>
      <c r="P52" s="1347">
        <f t="shared" si="12"/>
        <v>0</v>
      </c>
      <c r="Q52" s="993"/>
      <c r="R52" s="993"/>
      <c r="S52" s="992"/>
      <c r="T52" s="992"/>
      <c r="U52" s="992"/>
      <c r="V52" s="992"/>
      <c r="W52" s="992"/>
      <c r="X52" s="1362"/>
      <c r="Y52" s="992"/>
      <c r="Z52" s="813"/>
      <c r="AA52" s="813"/>
      <c r="AB52" s="1363"/>
      <c r="AC52" s="813"/>
      <c r="AD52" s="813"/>
      <c r="AE52" s="813"/>
      <c r="AF52" s="813"/>
      <c r="AG52" s="1363"/>
      <c r="AH52" s="813"/>
      <c r="AI52" s="813"/>
      <c r="AJ52" s="813"/>
      <c r="AK52" s="813"/>
      <c r="AL52" s="813"/>
      <c r="AM52" s="823">
        <f t="shared" si="7"/>
        <v>0</v>
      </c>
      <c r="AN52" s="834"/>
      <c r="AO52" s="834"/>
      <c r="AP52" s="834"/>
      <c r="AQ52" s="834"/>
      <c r="AR52" s="834"/>
      <c r="AS52" s="834"/>
      <c r="AT52" s="834"/>
      <c r="AU52" s="834"/>
      <c r="AV52" s="834"/>
      <c r="AW52" s="834"/>
      <c r="AX52" s="834"/>
      <c r="AY52" s="834"/>
      <c r="AZ52" s="834"/>
      <c r="BA52" s="834"/>
      <c r="BB52" s="834"/>
      <c r="BC52" s="834"/>
      <c r="BD52" s="834"/>
      <c r="BE52" s="834"/>
      <c r="BF52" s="834"/>
      <c r="BG52" s="834"/>
      <c r="BH52" s="834"/>
      <c r="BI52" s="834"/>
      <c r="BJ52" s="834"/>
      <c r="BK52" s="834"/>
      <c r="BL52" s="834"/>
      <c r="BM52" s="834"/>
      <c r="BN52" s="834"/>
      <c r="BO52" s="834"/>
      <c r="BP52" s="834"/>
      <c r="BQ52" s="834"/>
      <c r="BR52" s="834"/>
      <c r="BS52" s="834"/>
      <c r="BT52" s="834"/>
      <c r="BU52" s="834"/>
      <c r="BV52" s="834"/>
      <c r="BW52" s="834"/>
      <c r="BX52" s="834"/>
      <c r="BY52" s="834"/>
      <c r="BZ52" s="834"/>
      <c r="CA52" s="834"/>
      <c r="CB52" s="834"/>
      <c r="CC52" s="834"/>
      <c r="CD52" s="834"/>
      <c r="CE52" s="834"/>
      <c r="CF52" s="834"/>
      <c r="CG52" s="834"/>
      <c r="CH52" s="834"/>
      <c r="CI52" s="834"/>
      <c r="CJ52" s="834"/>
      <c r="CK52" s="834"/>
    </row>
    <row r="53" spans="1:89" s="806" customFormat="1" ht="19.5">
      <c r="A53" s="885" t="s">
        <v>235</v>
      </c>
      <c r="B53" s="884"/>
      <c r="C53" s="994"/>
      <c r="D53" s="994">
        <f t="shared" si="10"/>
        <v>0</v>
      </c>
      <c r="E53" s="1356">
        <f t="shared" si="11"/>
        <v>0</v>
      </c>
      <c r="F53" s="996"/>
      <c r="G53" s="995"/>
      <c r="H53" s="995"/>
      <c r="I53" s="995"/>
      <c r="J53" s="995"/>
      <c r="K53" s="995"/>
      <c r="L53" s="995"/>
      <c r="M53" s="995"/>
      <c r="N53" s="995"/>
      <c r="O53" s="995"/>
      <c r="P53" s="1347">
        <f t="shared" si="12"/>
        <v>0</v>
      </c>
      <c r="Q53" s="997"/>
      <c r="R53" s="997"/>
      <c r="S53" s="995"/>
      <c r="T53" s="995"/>
      <c r="U53" s="995"/>
      <c r="V53" s="995"/>
      <c r="W53" s="995"/>
      <c r="X53" s="1362"/>
      <c r="Y53" s="995"/>
      <c r="Z53" s="814"/>
      <c r="AA53" s="814"/>
      <c r="AB53" s="1363"/>
      <c r="AC53" s="814"/>
      <c r="AD53" s="814"/>
      <c r="AE53" s="814"/>
      <c r="AF53" s="814"/>
      <c r="AG53" s="1363"/>
      <c r="AH53" s="814"/>
      <c r="AI53" s="814"/>
      <c r="AJ53" s="814"/>
      <c r="AK53" s="814"/>
      <c r="AL53" s="814"/>
      <c r="AM53" s="823">
        <f t="shared" si="7"/>
        <v>0</v>
      </c>
      <c r="AN53" s="834"/>
      <c r="AO53" s="834"/>
      <c r="AP53" s="834"/>
      <c r="AQ53" s="834"/>
      <c r="AR53" s="834"/>
      <c r="AS53" s="834"/>
      <c r="AT53" s="834"/>
      <c r="AU53" s="834"/>
      <c r="AV53" s="834"/>
      <c r="AW53" s="834"/>
      <c r="AX53" s="834"/>
      <c r="AY53" s="834"/>
      <c r="AZ53" s="834"/>
      <c r="BA53" s="834"/>
      <c r="BB53" s="834"/>
      <c r="BC53" s="834"/>
      <c r="BD53" s="834"/>
      <c r="BE53" s="834"/>
      <c r="BF53" s="834"/>
      <c r="BG53" s="834"/>
      <c r="BH53" s="834"/>
      <c r="BI53" s="834"/>
      <c r="BJ53" s="834"/>
      <c r="BK53" s="834"/>
      <c r="BL53" s="834"/>
      <c r="BM53" s="834"/>
      <c r="BN53" s="834"/>
      <c r="BO53" s="834"/>
      <c r="BP53" s="834"/>
      <c r="BQ53" s="834"/>
      <c r="BR53" s="834"/>
      <c r="BS53" s="834"/>
      <c r="BT53" s="834"/>
      <c r="BU53" s="834"/>
      <c r="BV53" s="834"/>
      <c r="BW53" s="834"/>
      <c r="BX53" s="834"/>
      <c r="BY53" s="834"/>
      <c r="BZ53" s="834"/>
      <c r="CA53" s="834"/>
      <c r="CB53" s="834"/>
      <c r="CC53" s="834"/>
      <c r="CD53" s="834"/>
      <c r="CE53" s="834"/>
      <c r="CF53" s="834"/>
      <c r="CG53" s="834"/>
      <c r="CH53" s="834"/>
      <c r="CI53" s="834"/>
      <c r="CJ53" s="834"/>
      <c r="CK53" s="834"/>
    </row>
    <row r="54" spans="1:89" s="806" customFormat="1" ht="31.5">
      <c r="A54" s="885" t="s">
        <v>236</v>
      </c>
      <c r="B54" s="885" t="s">
        <v>237</v>
      </c>
      <c r="C54" s="994"/>
      <c r="D54" s="994"/>
      <c r="E54" s="1356">
        <f t="shared" si="11"/>
        <v>0</v>
      </c>
      <c r="F54" s="996"/>
      <c r="G54" s="995"/>
      <c r="H54" s="995"/>
      <c r="I54" s="995"/>
      <c r="J54" s="995"/>
      <c r="K54" s="995"/>
      <c r="L54" s="995"/>
      <c r="M54" s="995"/>
      <c r="N54" s="995"/>
      <c r="O54" s="995"/>
      <c r="P54" s="1347">
        <f t="shared" si="12"/>
        <v>0</v>
      </c>
      <c r="Q54" s="997"/>
      <c r="R54" s="997"/>
      <c r="S54" s="995"/>
      <c r="T54" s="995"/>
      <c r="U54" s="995"/>
      <c r="V54" s="995"/>
      <c r="W54" s="995"/>
      <c r="X54" s="1362"/>
      <c r="Y54" s="995"/>
      <c r="Z54" s="814"/>
      <c r="AA54" s="814"/>
      <c r="AB54" s="1363"/>
      <c r="AC54" s="814"/>
      <c r="AD54" s="814"/>
      <c r="AE54" s="814"/>
      <c r="AF54" s="814"/>
      <c r="AG54" s="1363"/>
      <c r="AH54" s="814"/>
      <c r="AI54" s="814"/>
      <c r="AJ54" s="814"/>
      <c r="AK54" s="814"/>
      <c r="AL54" s="814"/>
      <c r="AM54" s="823">
        <f t="shared" si="7"/>
        <v>0</v>
      </c>
      <c r="AN54" s="834"/>
      <c r="AO54" s="834"/>
      <c r="AP54" s="834"/>
      <c r="AQ54" s="834"/>
      <c r="AR54" s="834"/>
      <c r="AS54" s="834"/>
      <c r="AT54" s="834"/>
      <c r="AU54" s="834"/>
      <c r="AV54" s="834"/>
      <c r="AW54" s="834"/>
      <c r="AX54" s="834"/>
      <c r="AY54" s="834"/>
      <c r="AZ54" s="834"/>
      <c r="BA54" s="834"/>
      <c r="BB54" s="834"/>
      <c r="BC54" s="834"/>
      <c r="BD54" s="834"/>
      <c r="BE54" s="834"/>
      <c r="BF54" s="834"/>
      <c r="BG54" s="834"/>
      <c r="BH54" s="834"/>
      <c r="BI54" s="834"/>
      <c r="BJ54" s="834"/>
      <c r="BK54" s="834"/>
      <c r="BL54" s="834"/>
      <c r="BM54" s="834"/>
      <c r="BN54" s="834"/>
      <c r="BO54" s="834"/>
      <c r="BP54" s="834"/>
      <c r="BQ54" s="834"/>
      <c r="BR54" s="834"/>
      <c r="BS54" s="834"/>
      <c r="BT54" s="834"/>
      <c r="BU54" s="834"/>
      <c r="BV54" s="834"/>
      <c r="BW54" s="834"/>
      <c r="BX54" s="834"/>
      <c r="BY54" s="834"/>
      <c r="BZ54" s="834"/>
      <c r="CA54" s="834"/>
      <c r="CB54" s="834"/>
      <c r="CC54" s="834"/>
      <c r="CD54" s="834"/>
      <c r="CE54" s="834"/>
      <c r="CF54" s="834"/>
      <c r="CG54" s="834"/>
      <c r="CH54" s="834"/>
      <c r="CI54" s="834"/>
      <c r="CJ54" s="834"/>
      <c r="CK54" s="834"/>
    </row>
    <row r="55" spans="1:89" s="805" customFormat="1" ht="63">
      <c r="A55" s="883" t="s">
        <v>238</v>
      </c>
      <c r="B55" s="883" t="s">
        <v>239</v>
      </c>
      <c r="C55" s="990"/>
      <c r="D55" s="990">
        <f>E55+P55</f>
        <v>16193908.800000001</v>
      </c>
      <c r="E55" s="1356">
        <f>F55+E56+E61</f>
        <v>14475012.600000001</v>
      </c>
      <c r="F55" s="991">
        <f>Отчет!J180+Отчет!J195++Отчет!J196</f>
        <v>11917793.600000001</v>
      </c>
      <c r="G55" s="992"/>
      <c r="H55" s="992"/>
      <c r="I55" s="992"/>
      <c r="J55" s="992"/>
      <c r="K55" s="992"/>
      <c r="L55" s="992"/>
      <c r="M55" s="992"/>
      <c r="N55" s="992"/>
      <c r="O55" s="992"/>
      <c r="P55" s="1347">
        <f>Q55+P56+P61</f>
        <v>1718896.2</v>
      </c>
      <c r="Q55" s="993">
        <f>Отчет!J201+Отчет!J230+Отчет!J214+Отчет!J217</f>
        <v>1718896.2</v>
      </c>
      <c r="R55" s="993"/>
      <c r="S55" s="992"/>
      <c r="T55" s="992"/>
      <c r="U55" s="992"/>
      <c r="V55" s="992"/>
      <c r="W55" s="992"/>
      <c r="X55" s="1362">
        <f>Y61+Z56</f>
        <v>10216773</v>
      </c>
      <c r="Y55" s="992"/>
      <c r="Z55" s="813"/>
      <c r="AA55" s="813"/>
      <c r="AB55" s="1363"/>
      <c r="AC55" s="813"/>
      <c r="AD55" s="813"/>
      <c r="AE55" s="813"/>
      <c r="AF55" s="813"/>
      <c r="AG55" s="1363">
        <f>AH55</f>
        <v>151667.56432784203</v>
      </c>
      <c r="AH55" s="813">
        <f>AK55+AL55</f>
        <v>151667.56432784203</v>
      </c>
      <c r="AI55" s="813">
        <f>'HP-HC2'!BM56</f>
        <v>-10216773</v>
      </c>
      <c r="AJ55" s="813"/>
      <c r="AK55" s="813">
        <v>99940.85799784206</v>
      </c>
      <c r="AL55" s="813">
        <v>51726.706329999965</v>
      </c>
      <c r="AM55" s="823">
        <f t="shared" si="7"/>
        <v>46479510.092983536</v>
      </c>
      <c r="AN55" s="834"/>
      <c r="AO55" s="834"/>
      <c r="AP55" s="834"/>
      <c r="AQ55" s="834"/>
      <c r="AR55" s="834"/>
      <c r="AS55" s="834"/>
      <c r="AT55" s="834"/>
      <c r="AU55" s="834"/>
      <c r="AV55" s="834"/>
      <c r="AW55" s="834"/>
      <c r="AX55" s="834"/>
      <c r="AY55" s="834"/>
      <c r="AZ55" s="834"/>
      <c r="BA55" s="834"/>
      <c r="BB55" s="834"/>
      <c r="BC55" s="834"/>
      <c r="BD55" s="834"/>
      <c r="BE55" s="834"/>
      <c r="BF55" s="834"/>
      <c r="BG55" s="834"/>
      <c r="BH55" s="834"/>
      <c r="BI55" s="834"/>
      <c r="BJ55" s="834"/>
      <c r="BK55" s="834"/>
      <c r="BL55" s="834"/>
      <c r="BM55" s="834"/>
      <c r="BN55" s="834"/>
      <c r="BO55" s="834"/>
      <c r="BP55" s="834"/>
      <c r="BQ55" s="834"/>
      <c r="BR55" s="834"/>
      <c r="BS55" s="834"/>
      <c r="BT55" s="834"/>
      <c r="BU55" s="834"/>
      <c r="BV55" s="834"/>
      <c r="BW55" s="834"/>
      <c r="BX55" s="834"/>
      <c r="BY55" s="834"/>
      <c r="BZ55" s="834"/>
      <c r="CA55" s="834"/>
      <c r="CB55" s="834"/>
      <c r="CC55" s="834"/>
      <c r="CD55" s="834"/>
      <c r="CE55" s="834"/>
      <c r="CF55" s="834"/>
      <c r="CG55" s="834"/>
      <c r="CH55" s="834"/>
      <c r="CI55" s="834"/>
      <c r="CJ55" s="834"/>
      <c r="CK55" s="834"/>
    </row>
    <row r="56" spans="1:89" s="805" customFormat="1" ht="63">
      <c r="A56" s="884" t="s">
        <v>240</v>
      </c>
      <c r="B56" s="884" t="s">
        <v>239</v>
      </c>
      <c r="C56" s="990"/>
      <c r="D56" s="990">
        <f t="shared" ref="D56:D61" si="13">E56+P56</f>
        <v>2557219</v>
      </c>
      <c r="E56" s="1356">
        <f>E57+E58+E59+E60</f>
        <v>2557219</v>
      </c>
      <c r="F56" s="991"/>
      <c r="G56" s="992"/>
      <c r="H56" s="992"/>
      <c r="I56" s="992"/>
      <c r="J56" s="992"/>
      <c r="K56" s="992"/>
      <c r="L56" s="992"/>
      <c r="M56" s="992"/>
      <c r="N56" s="992"/>
      <c r="O56" s="992"/>
      <c r="P56" s="1347"/>
      <c r="Q56" s="993"/>
      <c r="R56" s="993"/>
      <c r="S56" s="992"/>
      <c r="T56" s="992"/>
      <c r="U56" s="992"/>
      <c r="V56" s="992"/>
      <c r="W56" s="992"/>
      <c r="X56" s="1362"/>
      <c r="Y56" s="992"/>
      <c r="Z56" s="813">
        <f>'HP-HC2'!BM57</f>
        <v>0</v>
      </c>
      <c r="AA56" s="813"/>
      <c r="AB56" s="1363"/>
      <c r="AC56" s="813"/>
      <c r="AD56" s="813"/>
      <c r="AE56" s="813"/>
      <c r="AF56" s="813"/>
      <c r="AG56" s="1363"/>
      <c r="AH56" s="813"/>
      <c r="AI56" s="813"/>
      <c r="AJ56" s="813"/>
      <c r="AK56" s="813"/>
      <c r="AL56" s="813"/>
      <c r="AM56" s="823">
        <f t="shared" si="7"/>
        <v>5114438</v>
      </c>
      <c r="AN56" s="834"/>
      <c r="AO56" s="834"/>
      <c r="AP56" s="834"/>
      <c r="AQ56" s="834"/>
      <c r="AR56" s="834"/>
      <c r="AS56" s="834"/>
      <c r="AT56" s="834"/>
      <c r="AU56" s="834"/>
      <c r="AV56" s="834"/>
      <c r="AW56" s="834"/>
      <c r="AX56" s="834"/>
      <c r="AY56" s="834"/>
      <c r="AZ56" s="834"/>
      <c r="BA56" s="834"/>
      <c r="BB56" s="834"/>
      <c r="BC56" s="834"/>
      <c r="BD56" s="834"/>
      <c r="BE56" s="834"/>
      <c r="BF56" s="834"/>
      <c r="BG56" s="834"/>
      <c r="BH56" s="834"/>
      <c r="BI56" s="834"/>
      <c r="BJ56" s="834"/>
      <c r="BK56" s="834"/>
      <c r="BL56" s="834"/>
      <c r="BM56" s="834"/>
      <c r="BN56" s="834"/>
      <c r="BO56" s="834"/>
      <c r="BP56" s="834"/>
      <c r="BQ56" s="834"/>
      <c r="BR56" s="834"/>
      <c r="BS56" s="834"/>
      <c r="BT56" s="834"/>
      <c r="BU56" s="834"/>
      <c r="BV56" s="834"/>
      <c r="BW56" s="834"/>
      <c r="BX56" s="834"/>
      <c r="BY56" s="834"/>
      <c r="BZ56" s="834"/>
      <c r="CA56" s="834"/>
      <c r="CB56" s="834"/>
      <c r="CC56" s="834"/>
      <c r="CD56" s="834"/>
      <c r="CE56" s="834"/>
      <c r="CF56" s="834"/>
      <c r="CG56" s="834"/>
      <c r="CH56" s="834"/>
      <c r="CI56" s="834"/>
      <c r="CJ56" s="834"/>
      <c r="CK56" s="834"/>
    </row>
    <row r="57" spans="1:89" s="806" customFormat="1" ht="63">
      <c r="A57" s="885" t="s">
        <v>241</v>
      </c>
      <c r="B57" s="885" t="s">
        <v>242</v>
      </c>
      <c r="C57" s="994"/>
      <c r="D57" s="990">
        <f t="shared" si="13"/>
        <v>0</v>
      </c>
      <c r="E57" s="1356">
        <f>F57+G57+H57+I57+J57+N57+O57</f>
        <v>0</v>
      </c>
      <c r="F57" s="996"/>
      <c r="G57" s="995"/>
      <c r="H57" s="995"/>
      <c r="I57" s="995"/>
      <c r="J57" s="995"/>
      <c r="K57" s="995"/>
      <c r="L57" s="995"/>
      <c r="M57" s="995"/>
      <c r="N57" s="995"/>
      <c r="O57" s="995"/>
      <c r="P57" s="1347"/>
      <c r="Q57" s="997"/>
      <c r="R57" s="997"/>
      <c r="S57" s="995"/>
      <c r="T57" s="995"/>
      <c r="U57" s="995"/>
      <c r="V57" s="995"/>
      <c r="W57" s="995"/>
      <c r="X57" s="1362"/>
      <c r="Y57" s="995"/>
      <c r="Z57" s="814"/>
      <c r="AA57" s="814"/>
      <c r="AB57" s="1363"/>
      <c r="AC57" s="814"/>
      <c r="AD57" s="814"/>
      <c r="AE57" s="814"/>
      <c r="AF57" s="814"/>
      <c r="AG57" s="1363"/>
      <c r="AH57" s="814"/>
      <c r="AI57" s="814"/>
      <c r="AJ57" s="814"/>
      <c r="AK57" s="814"/>
      <c r="AL57" s="814"/>
      <c r="AM57" s="823">
        <f t="shared" si="7"/>
        <v>0</v>
      </c>
      <c r="AN57" s="834"/>
      <c r="AO57" s="834"/>
      <c r="AP57" s="834"/>
      <c r="AQ57" s="834"/>
      <c r="AR57" s="834"/>
      <c r="AS57" s="834"/>
      <c r="AT57" s="834"/>
      <c r="AU57" s="834"/>
      <c r="AV57" s="834"/>
      <c r="AW57" s="834"/>
      <c r="AX57" s="834"/>
      <c r="AY57" s="834"/>
      <c r="AZ57" s="834"/>
      <c r="BA57" s="834"/>
      <c r="BB57" s="834"/>
      <c r="BC57" s="834"/>
      <c r="BD57" s="834"/>
      <c r="BE57" s="834"/>
      <c r="BF57" s="834"/>
      <c r="BG57" s="834"/>
      <c r="BH57" s="834"/>
      <c r="BI57" s="834"/>
      <c r="BJ57" s="834"/>
      <c r="BK57" s="834"/>
      <c r="BL57" s="834"/>
      <c r="BM57" s="834"/>
      <c r="BN57" s="834"/>
      <c r="BO57" s="834"/>
      <c r="BP57" s="834"/>
      <c r="BQ57" s="834"/>
      <c r="BR57" s="834"/>
      <c r="BS57" s="834"/>
      <c r="BT57" s="834"/>
      <c r="BU57" s="834"/>
      <c r="BV57" s="834"/>
      <c r="BW57" s="834"/>
      <c r="BX57" s="834"/>
      <c r="BY57" s="834"/>
      <c r="BZ57" s="834"/>
      <c r="CA57" s="834"/>
      <c r="CB57" s="834"/>
      <c r="CC57" s="834"/>
      <c r="CD57" s="834"/>
      <c r="CE57" s="834"/>
      <c r="CF57" s="834"/>
      <c r="CG57" s="834"/>
      <c r="CH57" s="834"/>
      <c r="CI57" s="834"/>
      <c r="CJ57" s="834"/>
      <c r="CK57" s="834"/>
    </row>
    <row r="58" spans="1:89" s="805" customFormat="1" ht="63">
      <c r="A58" s="885" t="s">
        <v>243</v>
      </c>
      <c r="B58" s="885" t="s">
        <v>244</v>
      </c>
      <c r="C58" s="990"/>
      <c r="D58" s="990">
        <f t="shared" si="13"/>
        <v>0</v>
      </c>
      <c r="E58" s="1356">
        <f>F58+G58+H58+I58+J58+N58+O58</f>
        <v>0</v>
      </c>
      <c r="G58" s="992"/>
      <c r="H58" s="992"/>
      <c r="I58" s="992"/>
      <c r="J58" s="992"/>
      <c r="K58" s="992"/>
      <c r="L58" s="992"/>
      <c r="M58" s="992"/>
      <c r="N58" s="992"/>
      <c r="O58" s="992"/>
      <c r="P58" s="1347"/>
      <c r="Q58" s="993"/>
      <c r="R58" s="993"/>
      <c r="S58" s="992"/>
      <c r="T58" s="992"/>
      <c r="U58" s="992"/>
      <c r="V58" s="992"/>
      <c r="W58" s="992"/>
      <c r="X58" s="1362"/>
      <c r="Y58" s="992"/>
      <c r="Z58" s="813"/>
      <c r="AA58" s="813"/>
      <c r="AB58" s="1363"/>
      <c r="AC58" s="813"/>
      <c r="AD58" s="813"/>
      <c r="AE58" s="813"/>
      <c r="AF58" s="813"/>
      <c r="AG58" s="1363"/>
      <c r="AH58" s="813"/>
      <c r="AI58" s="813"/>
      <c r="AJ58" s="813"/>
      <c r="AK58" s="813"/>
      <c r="AL58" s="813"/>
      <c r="AM58" s="823">
        <f t="shared" si="7"/>
        <v>0</v>
      </c>
      <c r="AN58" s="834"/>
      <c r="AO58" s="834"/>
      <c r="AP58" s="834"/>
      <c r="AQ58" s="834"/>
      <c r="AR58" s="834"/>
      <c r="AS58" s="834"/>
      <c r="AT58" s="834"/>
      <c r="AU58" s="834"/>
      <c r="AV58" s="834"/>
      <c r="AW58" s="834"/>
      <c r="AX58" s="834"/>
      <c r="AY58" s="834"/>
      <c r="AZ58" s="834"/>
      <c r="BA58" s="834"/>
      <c r="BB58" s="834"/>
      <c r="BC58" s="834"/>
      <c r="BD58" s="834"/>
      <c r="BE58" s="834"/>
      <c r="BF58" s="834"/>
      <c r="BG58" s="834"/>
      <c r="BH58" s="834"/>
      <c r="BI58" s="834"/>
      <c r="BJ58" s="834"/>
      <c r="BK58" s="834"/>
      <c r="BL58" s="834"/>
      <c r="BM58" s="834"/>
      <c r="BN58" s="834"/>
      <c r="BO58" s="834"/>
      <c r="BP58" s="834"/>
      <c r="BQ58" s="834"/>
      <c r="BR58" s="834"/>
      <c r="BS58" s="834"/>
      <c r="BT58" s="834"/>
      <c r="BU58" s="834"/>
      <c r="BV58" s="834"/>
      <c r="BW58" s="834"/>
      <c r="BX58" s="834"/>
      <c r="BY58" s="834"/>
      <c r="BZ58" s="834"/>
      <c r="CA58" s="834"/>
      <c r="CB58" s="834"/>
      <c r="CC58" s="834"/>
      <c r="CD58" s="834"/>
      <c r="CE58" s="834"/>
      <c r="CF58" s="834"/>
      <c r="CG58" s="834"/>
      <c r="CH58" s="834"/>
      <c r="CI58" s="834"/>
      <c r="CJ58" s="834"/>
      <c r="CK58" s="834"/>
    </row>
    <row r="59" spans="1:89" s="824" customFormat="1" ht="63">
      <c r="A59" s="885" t="s">
        <v>245</v>
      </c>
      <c r="B59" s="885" t="s">
        <v>246</v>
      </c>
      <c r="C59" s="999"/>
      <c r="D59" s="990">
        <f t="shared" si="13"/>
        <v>0</v>
      </c>
      <c r="E59" s="1356">
        <f>F59+G59+H59+I59+J59+N59+O59</f>
        <v>0</v>
      </c>
      <c r="G59" s="988"/>
      <c r="H59" s="988"/>
      <c r="I59" s="988"/>
      <c r="J59" s="988"/>
      <c r="K59" s="988"/>
      <c r="L59" s="988"/>
      <c r="M59" s="988"/>
      <c r="N59" s="988"/>
      <c r="O59" s="988"/>
      <c r="P59" s="1347"/>
      <c r="Q59" s="989"/>
      <c r="R59" s="989"/>
      <c r="S59" s="988"/>
      <c r="T59" s="988"/>
      <c r="U59" s="988"/>
      <c r="V59" s="988"/>
      <c r="W59" s="988"/>
      <c r="X59" s="1362"/>
      <c r="Y59" s="988"/>
      <c r="Z59" s="818"/>
      <c r="AA59" s="818"/>
      <c r="AB59" s="1363"/>
      <c r="AC59" s="818"/>
      <c r="AD59" s="818"/>
      <c r="AE59" s="818"/>
      <c r="AF59" s="818"/>
      <c r="AG59" s="1363"/>
      <c r="AH59" s="818"/>
      <c r="AI59" s="818"/>
      <c r="AJ59" s="818"/>
      <c r="AK59" s="818"/>
      <c r="AL59" s="818"/>
      <c r="AM59" s="823">
        <f t="shared" si="7"/>
        <v>0</v>
      </c>
      <c r="AN59" s="834"/>
      <c r="AO59" s="834"/>
      <c r="AP59" s="834"/>
      <c r="AQ59" s="834"/>
      <c r="AR59" s="834"/>
      <c r="AS59" s="834"/>
      <c r="AT59" s="834"/>
      <c r="AU59" s="834"/>
      <c r="AV59" s="834"/>
      <c r="AW59" s="834"/>
      <c r="AX59" s="834"/>
      <c r="AY59" s="834"/>
      <c r="AZ59" s="834"/>
      <c r="BA59" s="834"/>
      <c r="BB59" s="834"/>
      <c r="BC59" s="834"/>
      <c r="BD59" s="834"/>
      <c r="BE59" s="834"/>
      <c r="BF59" s="834"/>
      <c r="BG59" s="834"/>
      <c r="BH59" s="834"/>
      <c r="BI59" s="834"/>
      <c r="BJ59" s="834"/>
      <c r="BK59" s="834"/>
      <c r="BL59" s="834"/>
      <c r="BM59" s="834"/>
      <c r="BN59" s="834"/>
      <c r="BO59" s="834"/>
      <c r="BP59" s="834"/>
      <c r="BQ59" s="834"/>
      <c r="BR59" s="834"/>
      <c r="BS59" s="834"/>
      <c r="BT59" s="834"/>
      <c r="BU59" s="834"/>
      <c r="BV59" s="834"/>
      <c r="BW59" s="834"/>
      <c r="BX59" s="834"/>
      <c r="BY59" s="834"/>
      <c r="BZ59" s="834"/>
      <c r="CA59" s="834"/>
      <c r="CB59" s="834"/>
      <c r="CC59" s="834"/>
      <c r="CD59" s="834"/>
      <c r="CE59" s="834"/>
      <c r="CF59" s="834"/>
      <c r="CG59" s="834"/>
      <c r="CH59" s="834"/>
      <c r="CI59" s="834"/>
      <c r="CJ59" s="834"/>
      <c r="CK59" s="834"/>
    </row>
    <row r="60" spans="1:89" s="824" customFormat="1" ht="47.25">
      <c r="A60" s="885" t="s">
        <v>247</v>
      </c>
      <c r="B60" s="885" t="s">
        <v>248</v>
      </c>
      <c r="C60" s="999"/>
      <c r="D60" s="990">
        <f t="shared" si="13"/>
        <v>2557219</v>
      </c>
      <c r="E60" s="1356">
        <f>F60+G60+H60+I60+J60+N60+O60</f>
        <v>2557219</v>
      </c>
      <c r="F60" s="988">
        <f>2557219</f>
        <v>2557219</v>
      </c>
      <c r="G60" s="988"/>
      <c r="H60" s="988"/>
      <c r="I60" s="988"/>
      <c r="J60" s="988"/>
      <c r="K60" s="988"/>
      <c r="L60" s="988"/>
      <c r="M60" s="988"/>
      <c r="N60" s="988"/>
      <c r="O60" s="988"/>
      <c r="P60" s="1347"/>
      <c r="Q60" s="989"/>
      <c r="R60" s="989"/>
      <c r="S60" s="988"/>
      <c r="T60" s="988"/>
      <c r="U60" s="988"/>
      <c r="V60" s="988"/>
      <c r="W60" s="988"/>
      <c r="X60" s="1362"/>
      <c r="Y60" s="988"/>
      <c r="Z60" s="818"/>
      <c r="AA60" s="818"/>
      <c r="AB60" s="1363"/>
      <c r="AC60" s="818"/>
      <c r="AD60" s="818"/>
      <c r="AE60" s="818"/>
      <c r="AF60" s="818"/>
      <c r="AG60" s="1363"/>
      <c r="AH60" s="818"/>
      <c r="AI60" s="818"/>
      <c r="AJ60" s="818"/>
      <c r="AK60" s="818"/>
      <c r="AL60" s="818"/>
      <c r="AM60" s="823">
        <f t="shared" si="7"/>
        <v>7671657</v>
      </c>
      <c r="AN60" s="834"/>
      <c r="AO60" s="834"/>
      <c r="AP60" s="834"/>
      <c r="AQ60" s="834"/>
      <c r="AR60" s="834"/>
      <c r="AS60" s="834"/>
      <c r="AT60" s="834"/>
      <c r="AU60" s="834"/>
      <c r="AV60" s="834"/>
      <c r="AW60" s="834"/>
      <c r="AX60" s="834"/>
      <c r="AY60" s="834"/>
      <c r="AZ60" s="834"/>
      <c r="BA60" s="834"/>
      <c r="BB60" s="834"/>
      <c r="BC60" s="834"/>
      <c r="BD60" s="834"/>
      <c r="BE60" s="834"/>
      <c r="BF60" s="834"/>
      <c r="BG60" s="834"/>
      <c r="BH60" s="834"/>
      <c r="BI60" s="834"/>
      <c r="BJ60" s="834"/>
      <c r="BK60" s="834"/>
      <c r="BL60" s="834"/>
      <c r="BM60" s="834"/>
      <c r="BN60" s="834"/>
      <c r="BO60" s="834"/>
      <c r="BP60" s="834"/>
      <c r="BQ60" s="834"/>
      <c r="BR60" s="834"/>
      <c r="BS60" s="834"/>
      <c r="BT60" s="834"/>
      <c r="BU60" s="834"/>
      <c r="BV60" s="834"/>
      <c r="BW60" s="834"/>
      <c r="BX60" s="834"/>
      <c r="BY60" s="834"/>
      <c r="BZ60" s="834"/>
      <c r="CA60" s="834"/>
      <c r="CB60" s="834"/>
      <c r="CC60" s="834"/>
      <c r="CD60" s="834"/>
      <c r="CE60" s="834"/>
      <c r="CF60" s="834"/>
      <c r="CG60" s="834"/>
      <c r="CH60" s="834"/>
      <c r="CI60" s="834"/>
      <c r="CJ60" s="834"/>
      <c r="CK60" s="834"/>
    </row>
    <row r="61" spans="1:89" s="835" customFormat="1" ht="47.25">
      <c r="A61" s="884" t="s">
        <v>249</v>
      </c>
      <c r="B61" s="884" t="s">
        <v>250</v>
      </c>
      <c r="C61" s="990"/>
      <c r="D61" s="990">
        <f t="shared" si="13"/>
        <v>0</v>
      </c>
      <c r="E61" s="1356">
        <f>F61+G61+H61+I61+J61+N61+O61</f>
        <v>0</v>
      </c>
      <c r="F61" s="991"/>
      <c r="G61" s="992"/>
      <c r="H61" s="992"/>
      <c r="I61" s="992"/>
      <c r="J61" s="992"/>
      <c r="K61" s="992"/>
      <c r="L61" s="992"/>
      <c r="M61" s="992"/>
      <c r="N61" s="992"/>
      <c r="O61" s="992"/>
      <c r="P61" s="1348"/>
      <c r="Q61" s="1006"/>
      <c r="R61" s="1006"/>
      <c r="S61" s="992"/>
      <c r="T61" s="992"/>
      <c r="U61" s="992"/>
      <c r="V61" s="992"/>
      <c r="W61" s="992"/>
      <c r="X61" s="1362"/>
      <c r="Y61" s="1007">
        <f>'АФН страх'!T24</f>
        <v>10216773</v>
      </c>
      <c r="Z61" s="1007"/>
      <c r="AA61" s="1007"/>
      <c r="AB61" s="1369"/>
      <c r="AC61" s="1007"/>
      <c r="AD61" s="1007"/>
      <c r="AE61" s="1007"/>
      <c r="AF61" s="1007"/>
      <c r="AG61" s="1369"/>
      <c r="AH61" s="1007"/>
      <c r="AJ61" s="1007"/>
      <c r="AK61" s="1007"/>
      <c r="AL61" s="1007"/>
      <c r="AM61" s="823">
        <v>0</v>
      </c>
      <c r="AN61" s="981"/>
      <c r="AO61" s="981"/>
      <c r="AP61" s="981"/>
      <c r="AQ61" s="981"/>
      <c r="AR61" s="981"/>
      <c r="AS61" s="981"/>
      <c r="AT61" s="981"/>
      <c r="AU61" s="981"/>
      <c r="AV61" s="981"/>
      <c r="AW61" s="981"/>
      <c r="AX61" s="981"/>
      <c r="AY61" s="981"/>
      <c r="AZ61" s="981"/>
      <c r="BA61" s="981"/>
      <c r="BB61" s="981"/>
      <c r="BC61" s="981"/>
      <c r="BD61" s="981"/>
      <c r="BE61" s="981"/>
      <c r="BF61" s="981"/>
      <c r="BG61" s="981"/>
      <c r="BH61" s="981"/>
      <c r="BI61" s="981"/>
      <c r="BJ61" s="981"/>
      <c r="BK61" s="981"/>
      <c r="BL61" s="981"/>
      <c r="BM61" s="981"/>
      <c r="BN61" s="981"/>
      <c r="BO61" s="981"/>
      <c r="BP61" s="981"/>
      <c r="BQ61" s="981"/>
      <c r="BR61" s="981"/>
      <c r="BS61" s="981"/>
      <c r="BT61" s="981"/>
      <c r="BU61" s="981"/>
      <c r="BV61" s="981"/>
      <c r="BW61" s="981"/>
      <c r="BX61" s="981"/>
      <c r="BY61" s="981"/>
      <c r="BZ61" s="981"/>
      <c r="CA61" s="981"/>
      <c r="CB61" s="981"/>
      <c r="CC61" s="981"/>
      <c r="CD61" s="981"/>
      <c r="CE61" s="981"/>
      <c r="CF61" s="981"/>
      <c r="CG61" s="981"/>
      <c r="CH61" s="981"/>
      <c r="CI61" s="981"/>
      <c r="CJ61" s="981"/>
      <c r="CK61" s="981"/>
    </row>
    <row r="62" spans="1:89" s="806" customFormat="1" ht="63">
      <c r="A62" s="883" t="s">
        <v>252</v>
      </c>
      <c r="B62" s="883" t="s">
        <v>253</v>
      </c>
      <c r="C62" s="994"/>
      <c r="D62" s="994"/>
      <c r="E62" s="1356"/>
      <c r="F62" s="996"/>
      <c r="G62" s="995"/>
      <c r="H62" s="995"/>
      <c r="I62" s="995"/>
      <c r="J62" s="995"/>
      <c r="K62" s="995"/>
      <c r="L62" s="995"/>
      <c r="M62" s="995"/>
      <c r="N62" s="995"/>
      <c r="O62" s="995"/>
      <c r="P62" s="1347"/>
      <c r="Q62" s="997"/>
      <c r="R62" s="997"/>
      <c r="S62" s="995"/>
      <c r="T62" s="995"/>
      <c r="U62" s="995"/>
      <c r="V62" s="995"/>
      <c r="W62" s="995"/>
      <c r="X62" s="1362"/>
      <c r="Y62" s="995"/>
      <c r="Z62" s="814"/>
      <c r="AA62" s="814"/>
      <c r="AB62" s="1363"/>
      <c r="AC62" s="814"/>
      <c r="AD62" s="814"/>
      <c r="AE62" s="814"/>
      <c r="AF62" s="814"/>
      <c r="AG62" s="1363">
        <f>AH62</f>
        <v>67335.011789500015</v>
      </c>
      <c r="AH62" s="814">
        <f>AK62+AL62</f>
        <v>67335.011789500015</v>
      </c>
      <c r="AI62" s="814"/>
      <c r="AJ62" s="814"/>
      <c r="AK62" s="814">
        <v>37865.888060000005</v>
      </c>
      <c r="AL62" s="814">
        <v>29469.123729500003</v>
      </c>
      <c r="AM62" s="823">
        <f t="shared" ref="AM62:AM68" si="14">SUM(C62:AL62)</f>
        <v>202005.03536850004</v>
      </c>
      <c r="AN62" s="834"/>
      <c r="AO62" s="834"/>
      <c r="AP62" s="834"/>
      <c r="AQ62" s="834"/>
      <c r="AR62" s="834"/>
      <c r="AS62" s="834"/>
      <c r="AT62" s="834"/>
      <c r="AU62" s="834"/>
      <c r="AV62" s="834"/>
      <c r="AW62" s="834"/>
      <c r="AX62" s="834"/>
      <c r="AY62" s="834"/>
      <c r="AZ62" s="834"/>
      <c r="BA62" s="834"/>
      <c r="BB62" s="834"/>
      <c r="BC62" s="834"/>
      <c r="BD62" s="834"/>
      <c r="BE62" s="834"/>
      <c r="BF62" s="834"/>
      <c r="BG62" s="834"/>
      <c r="BH62" s="834"/>
      <c r="BI62" s="834"/>
      <c r="BJ62" s="834"/>
      <c r="BK62" s="834"/>
      <c r="BL62" s="834"/>
      <c r="BM62" s="834"/>
      <c r="BN62" s="834"/>
      <c r="BO62" s="834"/>
      <c r="BP62" s="834"/>
      <c r="BQ62" s="834"/>
      <c r="BR62" s="834"/>
      <c r="BS62" s="834"/>
      <c r="BT62" s="834"/>
      <c r="BU62" s="834"/>
      <c r="BV62" s="834"/>
      <c r="BW62" s="834"/>
      <c r="BX62" s="834"/>
      <c r="BY62" s="834"/>
      <c r="BZ62" s="834"/>
      <c r="CA62" s="834"/>
      <c r="CB62" s="834"/>
      <c r="CC62" s="834"/>
      <c r="CD62" s="834"/>
      <c r="CE62" s="834"/>
      <c r="CF62" s="834"/>
      <c r="CG62" s="834"/>
      <c r="CH62" s="834"/>
      <c r="CI62" s="834"/>
      <c r="CJ62" s="834"/>
      <c r="CK62" s="834"/>
    </row>
    <row r="63" spans="1:89" s="806" customFormat="1" ht="47.25">
      <c r="A63" s="883" t="s">
        <v>254</v>
      </c>
      <c r="B63" s="883" t="s">
        <v>255</v>
      </c>
      <c r="C63" s="994"/>
      <c r="D63" s="994"/>
      <c r="E63" s="1356"/>
      <c r="F63" s="996"/>
      <c r="G63" s="995"/>
      <c r="H63" s="995"/>
      <c r="I63" s="995"/>
      <c r="J63" s="995"/>
      <c r="K63" s="995"/>
      <c r="L63" s="995"/>
      <c r="M63" s="995"/>
      <c r="N63" s="995"/>
      <c r="O63" s="995"/>
      <c r="P63" s="1347"/>
      <c r="Q63" s="997"/>
      <c r="R63" s="997"/>
      <c r="S63" s="995"/>
      <c r="T63" s="995"/>
      <c r="U63" s="995"/>
      <c r="V63" s="995"/>
      <c r="W63" s="995"/>
      <c r="X63" s="1362"/>
      <c r="Y63" s="995"/>
      <c r="Z63" s="814"/>
      <c r="AA63" s="814"/>
      <c r="AB63" s="1363"/>
      <c r="AC63" s="814"/>
      <c r="AD63" s="814"/>
      <c r="AE63" s="814"/>
      <c r="AF63" s="814"/>
      <c r="AG63" s="1363"/>
      <c r="AH63" s="814"/>
      <c r="AI63" s="814"/>
      <c r="AJ63" s="814"/>
      <c r="AK63" s="814"/>
      <c r="AL63" s="814"/>
      <c r="AM63" s="823">
        <f t="shared" si="14"/>
        <v>0</v>
      </c>
      <c r="AN63" s="834"/>
      <c r="AO63" s="834">
        <f>AG62+AH68+AG82+AH88+AG98</f>
        <v>2101028.6947090235</v>
      </c>
      <c r="AP63" s="834"/>
      <c r="AQ63" s="834"/>
      <c r="AR63" s="834"/>
      <c r="AS63" s="834"/>
      <c r="AT63" s="834"/>
      <c r="AU63" s="834"/>
      <c r="AV63" s="834"/>
      <c r="AW63" s="834"/>
      <c r="AX63" s="834"/>
      <c r="AY63" s="834"/>
      <c r="AZ63" s="834"/>
      <c r="BA63" s="834"/>
      <c r="BB63" s="834"/>
      <c r="BC63" s="834"/>
      <c r="BD63" s="834"/>
      <c r="BE63" s="834"/>
      <c r="BF63" s="834"/>
      <c r="BG63" s="834"/>
      <c r="BH63" s="834"/>
      <c r="BI63" s="834"/>
      <c r="BJ63" s="834"/>
      <c r="BK63" s="834"/>
      <c r="BL63" s="834"/>
      <c r="BM63" s="834"/>
      <c r="BN63" s="834"/>
      <c r="BO63" s="834"/>
      <c r="BP63" s="834"/>
      <c r="BQ63" s="834"/>
      <c r="BR63" s="834"/>
      <c r="BS63" s="834"/>
      <c r="BT63" s="834"/>
      <c r="BU63" s="834"/>
      <c r="BV63" s="834"/>
      <c r="BW63" s="834"/>
      <c r="BX63" s="834"/>
      <c r="BY63" s="834"/>
      <c r="BZ63" s="834"/>
      <c r="CA63" s="834"/>
      <c r="CB63" s="834"/>
      <c r="CC63" s="834"/>
      <c r="CD63" s="834"/>
      <c r="CE63" s="834"/>
      <c r="CF63" s="834"/>
      <c r="CG63" s="834"/>
      <c r="CH63" s="834"/>
      <c r="CI63" s="834"/>
      <c r="CJ63" s="834"/>
      <c r="CK63" s="834"/>
    </row>
    <row r="64" spans="1:89" s="835" customFormat="1" ht="63">
      <c r="A64" s="883" t="s">
        <v>256</v>
      </c>
      <c r="B64" s="883" t="s">
        <v>257</v>
      </c>
      <c r="C64" s="990"/>
      <c r="D64" s="990"/>
      <c r="E64" s="1356"/>
      <c r="F64" s="991"/>
      <c r="G64" s="992"/>
      <c r="H64" s="992"/>
      <c r="I64" s="992"/>
      <c r="J64" s="992"/>
      <c r="K64" s="992"/>
      <c r="L64" s="992"/>
      <c r="M64" s="992"/>
      <c r="N64" s="992"/>
      <c r="O64" s="992"/>
      <c r="P64" s="1348"/>
      <c r="Q64" s="1006"/>
      <c r="R64" s="1006"/>
      <c r="S64" s="992"/>
      <c r="T64" s="992"/>
      <c r="U64" s="992"/>
      <c r="V64" s="992"/>
      <c r="W64" s="992"/>
      <c r="X64" s="1362"/>
      <c r="Y64" s="992"/>
      <c r="Z64" s="1007"/>
      <c r="AA64" s="1007"/>
      <c r="AB64" s="1369"/>
      <c r="AC64" s="1007"/>
      <c r="AD64" s="1007"/>
      <c r="AE64" s="1007"/>
      <c r="AF64" s="1007"/>
      <c r="AG64" s="1369"/>
      <c r="AH64" s="1007"/>
      <c r="AI64" s="1007"/>
      <c r="AJ64" s="1007"/>
      <c r="AK64" s="1007"/>
      <c r="AL64" s="1007"/>
      <c r="AM64" s="823">
        <f t="shared" si="14"/>
        <v>0</v>
      </c>
      <c r="AN64" s="981"/>
      <c r="AO64" s="981"/>
      <c r="AP64" s="981"/>
      <c r="AQ64" s="981"/>
      <c r="AR64" s="981"/>
      <c r="AS64" s="981"/>
      <c r="AT64" s="981"/>
      <c r="AU64" s="981"/>
      <c r="AV64" s="981"/>
      <c r="AW64" s="981"/>
      <c r="AX64" s="981"/>
      <c r="AY64" s="981"/>
      <c r="AZ64" s="981"/>
      <c r="BA64" s="981"/>
      <c r="BB64" s="981"/>
      <c r="BC64" s="981"/>
      <c r="BD64" s="981"/>
      <c r="BE64" s="981"/>
      <c r="BF64" s="981"/>
      <c r="BG64" s="981"/>
      <c r="BH64" s="981"/>
      <c r="BI64" s="981"/>
      <c r="BJ64" s="981"/>
      <c r="BK64" s="981"/>
      <c r="BL64" s="981"/>
      <c r="BM64" s="981"/>
      <c r="BN64" s="981"/>
      <c r="BO64" s="981"/>
      <c r="BP64" s="981"/>
      <c r="BQ64" s="981"/>
      <c r="BR64" s="981"/>
      <c r="BS64" s="981"/>
      <c r="BT64" s="981"/>
      <c r="BU64" s="981"/>
      <c r="BV64" s="981"/>
      <c r="BW64" s="981"/>
      <c r="BX64" s="981"/>
      <c r="BY64" s="981"/>
      <c r="BZ64" s="981"/>
      <c r="CA64" s="981"/>
      <c r="CB64" s="981"/>
      <c r="CC64" s="981"/>
      <c r="CD64" s="981"/>
      <c r="CE64" s="981"/>
      <c r="CF64" s="981"/>
      <c r="CG64" s="981"/>
      <c r="CH64" s="981"/>
      <c r="CI64" s="981"/>
      <c r="CJ64" s="981"/>
      <c r="CK64" s="981"/>
    </row>
    <row r="65" spans="1:89" s="835" customFormat="1" ht="19.5">
      <c r="A65" s="884" t="s">
        <v>258</v>
      </c>
      <c r="B65" s="884" t="s">
        <v>259</v>
      </c>
      <c r="C65" s="990"/>
      <c r="D65" s="990"/>
      <c r="E65" s="1356"/>
      <c r="F65" s="991"/>
      <c r="G65" s="992"/>
      <c r="H65" s="992"/>
      <c r="I65" s="992"/>
      <c r="J65" s="992"/>
      <c r="K65" s="992"/>
      <c r="L65" s="992"/>
      <c r="M65" s="992"/>
      <c r="N65" s="992"/>
      <c r="O65" s="992"/>
      <c r="P65" s="1348"/>
      <c r="Q65" s="1006"/>
      <c r="R65" s="1006"/>
      <c r="S65" s="992"/>
      <c r="T65" s="992"/>
      <c r="U65" s="992"/>
      <c r="V65" s="992"/>
      <c r="W65" s="992"/>
      <c r="X65" s="1362"/>
      <c r="Y65" s="992"/>
      <c r="Z65" s="1007"/>
      <c r="AA65" s="1007"/>
      <c r="AB65" s="1369"/>
      <c r="AC65" s="1007"/>
      <c r="AD65" s="1007"/>
      <c r="AE65" s="1007"/>
      <c r="AF65" s="1007"/>
      <c r="AG65" s="1369"/>
      <c r="AH65" s="1007"/>
      <c r="AI65" s="1007"/>
      <c r="AJ65" s="1007"/>
      <c r="AK65" s="1007"/>
      <c r="AL65" s="1007"/>
      <c r="AM65" s="823">
        <f t="shared" si="14"/>
        <v>0</v>
      </c>
      <c r="AN65" s="981"/>
      <c r="AO65" s="981"/>
      <c r="AP65" s="981"/>
      <c r="AQ65" s="981"/>
      <c r="AR65" s="981"/>
      <c r="AS65" s="981"/>
      <c r="AT65" s="981"/>
      <c r="AU65" s="981"/>
      <c r="AV65" s="981"/>
      <c r="AW65" s="981"/>
      <c r="AX65" s="981"/>
      <c r="AY65" s="981"/>
      <c r="AZ65" s="981"/>
      <c r="BA65" s="981"/>
      <c r="BB65" s="981"/>
      <c r="BC65" s="981"/>
      <c r="BD65" s="981"/>
      <c r="BE65" s="981"/>
      <c r="BF65" s="981"/>
      <c r="BG65" s="981"/>
      <c r="BH65" s="981"/>
      <c r="BI65" s="981"/>
      <c r="BJ65" s="981"/>
      <c r="BK65" s="981"/>
      <c r="BL65" s="981"/>
      <c r="BM65" s="981"/>
      <c r="BN65" s="981"/>
      <c r="BO65" s="981"/>
      <c r="BP65" s="981"/>
      <c r="BQ65" s="981"/>
      <c r="BR65" s="981"/>
      <c r="BS65" s="981"/>
      <c r="BT65" s="981"/>
      <c r="BU65" s="981"/>
      <c r="BV65" s="981"/>
      <c r="BW65" s="981"/>
      <c r="BX65" s="981"/>
      <c r="BY65" s="981"/>
      <c r="BZ65" s="981"/>
      <c r="CA65" s="981"/>
      <c r="CB65" s="981"/>
      <c r="CC65" s="981"/>
      <c r="CD65" s="981"/>
      <c r="CE65" s="981"/>
      <c r="CF65" s="981"/>
      <c r="CG65" s="981"/>
      <c r="CH65" s="981"/>
      <c r="CI65" s="981"/>
      <c r="CJ65" s="981"/>
      <c r="CK65" s="981"/>
    </row>
    <row r="66" spans="1:89" s="835" customFormat="1" ht="19.5">
      <c r="A66" s="884" t="s">
        <v>260</v>
      </c>
      <c r="B66" s="884" t="s">
        <v>261</v>
      </c>
      <c r="C66" s="990"/>
      <c r="D66" s="990"/>
      <c r="E66" s="1356"/>
      <c r="F66" s="991"/>
      <c r="G66" s="992"/>
      <c r="H66" s="992"/>
      <c r="I66" s="992"/>
      <c r="J66" s="992"/>
      <c r="K66" s="992"/>
      <c r="L66" s="992"/>
      <c r="M66" s="992"/>
      <c r="N66" s="992"/>
      <c r="O66" s="992"/>
      <c r="P66" s="1348"/>
      <c r="Q66" s="1006"/>
      <c r="R66" s="1006"/>
      <c r="S66" s="992"/>
      <c r="T66" s="992"/>
      <c r="U66" s="992"/>
      <c r="V66" s="992"/>
      <c r="W66" s="992"/>
      <c r="X66" s="1362"/>
      <c r="Y66" s="992"/>
      <c r="Z66" s="1007"/>
      <c r="AA66" s="1007"/>
      <c r="AB66" s="1369"/>
      <c r="AC66" s="1007"/>
      <c r="AD66" s="1007"/>
      <c r="AE66" s="1007"/>
      <c r="AF66" s="1007"/>
      <c r="AG66" s="1369"/>
      <c r="AH66" s="1007"/>
      <c r="AI66" s="1007"/>
      <c r="AJ66" s="1007"/>
      <c r="AK66" s="1007"/>
      <c r="AL66" s="1007"/>
      <c r="AM66" s="823">
        <f t="shared" si="14"/>
        <v>0</v>
      </c>
      <c r="AN66" s="981"/>
      <c r="AO66" s="981"/>
      <c r="AP66" s="981"/>
      <c r="AQ66" s="981"/>
      <c r="AR66" s="981"/>
      <c r="AS66" s="981"/>
      <c r="AT66" s="981"/>
      <c r="AU66" s="981"/>
      <c r="AV66" s="981"/>
      <c r="AW66" s="981"/>
      <c r="AX66" s="981"/>
      <c r="AY66" s="981"/>
      <c r="AZ66" s="981"/>
      <c r="BA66" s="981"/>
      <c r="BB66" s="981"/>
      <c r="BC66" s="981"/>
      <c r="BD66" s="981"/>
      <c r="BE66" s="981"/>
      <c r="BF66" s="981"/>
      <c r="BG66" s="981"/>
      <c r="BH66" s="981"/>
      <c r="BI66" s="981"/>
      <c r="BJ66" s="981"/>
      <c r="BK66" s="981"/>
      <c r="BL66" s="981"/>
      <c r="BM66" s="981"/>
      <c r="BN66" s="981"/>
      <c r="BO66" s="981"/>
      <c r="BP66" s="981"/>
      <c r="BQ66" s="981"/>
      <c r="BR66" s="981"/>
      <c r="BS66" s="981"/>
      <c r="BT66" s="981"/>
      <c r="BU66" s="981"/>
      <c r="BV66" s="981"/>
      <c r="BW66" s="981"/>
      <c r="BX66" s="981"/>
      <c r="BY66" s="981"/>
      <c r="BZ66" s="981"/>
      <c r="CA66" s="981"/>
      <c r="CB66" s="981"/>
      <c r="CC66" s="981"/>
      <c r="CD66" s="981"/>
      <c r="CE66" s="981"/>
      <c r="CF66" s="981"/>
      <c r="CG66" s="981"/>
      <c r="CH66" s="981"/>
      <c r="CI66" s="981"/>
      <c r="CJ66" s="981"/>
      <c r="CK66" s="981"/>
    </row>
    <row r="67" spans="1:89" s="806" customFormat="1" ht="19.5">
      <c r="A67" s="884" t="s">
        <v>262</v>
      </c>
      <c r="B67" s="884" t="s">
        <v>263</v>
      </c>
      <c r="C67" s="994"/>
      <c r="D67" s="994"/>
      <c r="E67" s="1356"/>
      <c r="F67" s="996"/>
      <c r="G67" s="995"/>
      <c r="H67" s="995"/>
      <c r="I67" s="995"/>
      <c r="J67" s="995"/>
      <c r="K67" s="995"/>
      <c r="L67" s="995"/>
      <c r="M67" s="995"/>
      <c r="N67" s="995"/>
      <c r="O67" s="995"/>
      <c r="P67" s="1347"/>
      <c r="Q67" s="997"/>
      <c r="R67" s="997"/>
      <c r="S67" s="995"/>
      <c r="T67" s="995"/>
      <c r="U67" s="995"/>
      <c r="V67" s="995"/>
      <c r="W67" s="995"/>
      <c r="X67" s="1362"/>
      <c r="Y67" s="995"/>
      <c r="Z67" s="814"/>
      <c r="AA67" s="814"/>
      <c r="AB67" s="1363"/>
      <c r="AC67" s="814"/>
      <c r="AD67" s="814"/>
      <c r="AE67" s="814"/>
      <c r="AF67" s="814"/>
      <c r="AG67" s="1363"/>
      <c r="AH67" s="814"/>
      <c r="AI67" s="814"/>
      <c r="AJ67" s="814"/>
      <c r="AK67" s="814"/>
      <c r="AL67" s="814"/>
      <c r="AM67" s="823">
        <f t="shared" si="14"/>
        <v>0</v>
      </c>
      <c r="AN67" s="834"/>
      <c r="AO67" s="834"/>
      <c r="AP67" s="834"/>
      <c r="AQ67" s="834"/>
      <c r="AR67" s="834"/>
      <c r="AS67" s="834"/>
      <c r="AT67" s="834"/>
      <c r="AU67" s="834"/>
      <c r="AV67" s="834"/>
      <c r="AW67" s="834"/>
      <c r="AX67" s="834"/>
      <c r="AY67" s="834"/>
      <c r="AZ67" s="834"/>
      <c r="BA67" s="834"/>
      <c r="BB67" s="834"/>
      <c r="BC67" s="834"/>
      <c r="BD67" s="834"/>
      <c r="BE67" s="834"/>
      <c r="BF67" s="834"/>
      <c r="BG67" s="834"/>
      <c r="BH67" s="834"/>
      <c r="BI67" s="834"/>
      <c r="BJ67" s="834"/>
      <c r="BK67" s="834"/>
      <c r="BL67" s="834"/>
      <c r="BM67" s="834"/>
      <c r="BN67" s="834"/>
      <c r="BO67" s="834"/>
      <c r="BP67" s="834"/>
      <c r="BQ67" s="834"/>
      <c r="BR67" s="834"/>
      <c r="BS67" s="834"/>
      <c r="BT67" s="834"/>
      <c r="BU67" s="834"/>
      <c r="BV67" s="834"/>
      <c r="BW67" s="834"/>
      <c r="BX67" s="834"/>
      <c r="BY67" s="834"/>
      <c r="BZ67" s="834"/>
      <c r="CA67" s="834"/>
      <c r="CB67" s="834"/>
      <c r="CC67" s="834"/>
      <c r="CD67" s="834"/>
      <c r="CE67" s="834"/>
      <c r="CF67" s="834"/>
      <c r="CG67" s="834"/>
      <c r="CH67" s="834"/>
      <c r="CI67" s="834"/>
      <c r="CJ67" s="834"/>
      <c r="CK67" s="834"/>
    </row>
    <row r="68" spans="1:89" s="806" customFormat="1" ht="63">
      <c r="A68" s="883" t="s">
        <v>264</v>
      </c>
      <c r="B68" s="883" t="s">
        <v>265</v>
      </c>
      <c r="C68" s="994"/>
      <c r="D68" s="994">
        <f>E68+P68</f>
        <v>6186480</v>
      </c>
      <c r="E68" s="1356">
        <f>E69+E70+E71+E72+E73+E74</f>
        <v>224878</v>
      </c>
      <c r="F68" s="996"/>
      <c r="G68" s="995"/>
      <c r="H68" s="995"/>
      <c r="I68" s="814"/>
      <c r="J68" s="995"/>
      <c r="K68" s="995"/>
      <c r="L68" s="995"/>
      <c r="M68" s="995"/>
      <c r="N68" s="995"/>
      <c r="O68" s="995"/>
      <c r="P68" s="1347">
        <f>P69+P70+P71+P72+P73+P74</f>
        <v>5961602</v>
      </c>
      <c r="Q68" s="997"/>
      <c r="R68" s="997"/>
      <c r="S68" s="995"/>
      <c r="T68" s="995"/>
      <c r="U68" s="995"/>
      <c r="V68" s="995"/>
      <c r="W68" s="995"/>
      <c r="X68" s="1362"/>
      <c r="Y68" s="995"/>
      <c r="Z68" s="814"/>
      <c r="AA68" s="814"/>
      <c r="AB68" s="1363"/>
      <c r="AC68" s="814"/>
      <c r="AD68" s="814"/>
      <c r="AE68" s="814"/>
      <c r="AF68" s="814"/>
      <c r="AG68" s="1363"/>
      <c r="AH68" s="814">
        <f>AH69+AH71+AH72+AH75</f>
        <v>1992072.9677284837</v>
      </c>
      <c r="AI68" s="814"/>
      <c r="AJ68" s="814"/>
      <c r="AK68" s="814"/>
      <c r="AL68" s="814"/>
      <c r="AM68" s="823">
        <f t="shared" si="14"/>
        <v>14365032.967728484</v>
      </c>
      <c r="AN68" s="834"/>
      <c r="AO68" s="834"/>
      <c r="AP68" s="834"/>
      <c r="AQ68" s="834"/>
      <c r="AR68" s="834"/>
      <c r="AS68" s="834"/>
      <c r="AT68" s="834"/>
      <c r="AU68" s="834"/>
      <c r="AV68" s="834"/>
      <c r="AW68" s="834"/>
      <c r="AX68" s="834"/>
      <c r="AY68" s="834"/>
      <c r="AZ68" s="834"/>
      <c r="BA68" s="834"/>
      <c r="BB68" s="834"/>
      <c r="BC68" s="834"/>
      <c r="BD68" s="834"/>
      <c r="BE68" s="834"/>
      <c r="BF68" s="834"/>
      <c r="BG68" s="834"/>
      <c r="BH68" s="834"/>
      <c r="BI68" s="834"/>
      <c r="BJ68" s="834"/>
      <c r="BK68" s="834"/>
      <c r="BL68" s="834"/>
      <c r="BM68" s="834"/>
      <c r="BN68" s="834"/>
      <c r="BO68" s="834"/>
      <c r="BP68" s="834"/>
      <c r="BQ68" s="834"/>
      <c r="BR68" s="834"/>
      <c r="BS68" s="834"/>
      <c r="BT68" s="834"/>
      <c r="BU68" s="834"/>
      <c r="BV68" s="834"/>
      <c r="BW68" s="834"/>
      <c r="BX68" s="834"/>
      <c r="BY68" s="834"/>
      <c r="BZ68" s="834"/>
      <c r="CA68" s="834"/>
      <c r="CB68" s="834"/>
      <c r="CC68" s="834"/>
      <c r="CD68" s="834"/>
      <c r="CE68" s="834"/>
      <c r="CF68" s="834"/>
      <c r="CG68" s="834"/>
      <c r="CH68" s="834"/>
      <c r="CI68" s="834"/>
      <c r="CJ68" s="834"/>
      <c r="CK68" s="834"/>
    </row>
    <row r="69" spans="1:89" s="824" customFormat="1" ht="63">
      <c r="A69" s="884" t="s">
        <v>266</v>
      </c>
      <c r="B69" s="886" t="s">
        <v>267</v>
      </c>
      <c r="C69" s="999"/>
      <c r="D69" s="994">
        <f>E69+P69</f>
        <v>3307099</v>
      </c>
      <c r="E69" s="1356">
        <f t="shared" ref="E69:E74" si="15">F69+G69+H69+I69+J69+N69+O69</f>
        <v>0</v>
      </c>
      <c r="F69" s="1000"/>
      <c r="G69" s="988"/>
      <c r="H69" s="988"/>
      <c r="I69" s="988"/>
      <c r="J69" s="988"/>
      <c r="K69" s="988"/>
      <c r="L69" s="988"/>
      <c r="M69" s="988"/>
      <c r="N69" s="988"/>
      <c r="O69" s="988"/>
      <c r="P69" s="1347">
        <f t="shared" ref="P69:P74" si="16">Q69+R69++S69+T69+U69+V69+W69</f>
        <v>3307099</v>
      </c>
      <c r="Q69" s="989">
        <f>Отчет!J56+Отчет!J66</f>
        <v>3307099</v>
      </c>
      <c r="R69" s="989"/>
      <c r="S69" s="988"/>
      <c r="T69" s="988"/>
      <c r="U69" s="988"/>
      <c r="V69" s="988"/>
      <c r="W69" s="988"/>
      <c r="X69" s="1362"/>
      <c r="Y69" s="988"/>
      <c r="Z69" s="818"/>
      <c r="AA69" s="818"/>
      <c r="AB69" s="1363"/>
      <c r="AC69" s="818"/>
      <c r="AD69" s="818"/>
      <c r="AE69" s="818"/>
      <c r="AF69" s="818"/>
      <c r="AG69" s="1363"/>
      <c r="AH69" s="818">
        <f>AK69+AL69</f>
        <v>85893.742981285221</v>
      </c>
      <c r="AI69" s="818"/>
      <c r="AJ69" s="818"/>
      <c r="AK69" s="818">
        <v>57381.227001285282</v>
      </c>
      <c r="AL69" s="818">
        <v>28512.515979999938</v>
      </c>
      <c r="AM69" s="823">
        <f t="shared" ref="AM69:AM99" si="17">SUM(C69:AL69)</f>
        <v>10093084.48596257</v>
      </c>
      <c r="AN69" s="834"/>
      <c r="AO69" s="834"/>
      <c r="AP69" s="834"/>
      <c r="AQ69" s="834"/>
      <c r="AR69" s="834"/>
      <c r="AS69" s="834"/>
      <c r="AT69" s="834"/>
      <c r="AU69" s="834"/>
      <c r="AV69" s="834"/>
      <c r="AW69" s="834"/>
      <c r="AX69" s="834"/>
      <c r="AY69" s="834"/>
      <c r="AZ69" s="834"/>
      <c r="BA69" s="834"/>
      <c r="BB69" s="834"/>
      <c r="BC69" s="834"/>
      <c r="BD69" s="834"/>
      <c r="BE69" s="834"/>
      <c r="BF69" s="834"/>
      <c r="BG69" s="834"/>
      <c r="BH69" s="834"/>
      <c r="BI69" s="834"/>
      <c r="BJ69" s="834"/>
      <c r="BK69" s="834"/>
      <c r="BL69" s="834"/>
      <c r="BM69" s="834"/>
      <c r="BN69" s="834"/>
      <c r="BO69" s="834"/>
      <c r="BP69" s="834"/>
      <c r="BQ69" s="834"/>
      <c r="BR69" s="834"/>
      <c r="BS69" s="834"/>
      <c r="BT69" s="834"/>
      <c r="BU69" s="834"/>
      <c r="BV69" s="834"/>
      <c r="BW69" s="834"/>
      <c r="BX69" s="834"/>
      <c r="BY69" s="834"/>
      <c r="BZ69" s="834"/>
      <c r="CA69" s="834"/>
      <c r="CB69" s="834"/>
      <c r="CC69" s="834"/>
      <c r="CD69" s="834"/>
      <c r="CE69" s="834"/>
      <c r="CF69" s="834"/>
      <c r="CG69" s="834"/>
      <c r="CH69" s="834"/>
      <c r="CI69" s="834"/>
      <c r="CJ69" s="834"/>
      <c r="CK69" s="834"/>
    </row>
    <row r="70" spans="1:89" s="835" customFormat="1" ht="31.5">
      <c r="A70" s="884" t="s">
        <v>268</v>
      </c>
      <c r="B70" s="886" t="s">
        <v>269</v>
      </c>
      <c r="C70" s="990"/>
      <c r="D70" s="994">
        <f t="shared" ref="D70:D73" si="18">E70+P70</f>
        <v>0</v>
      </c>
      <c r="E70" s="1356">
        <f t="shared" si="15"/>
        <v>0</v>
      </c>
      <c r="F70" s="991"/>
      <c r="G70" s="992"/>
      <c r="H70" s="992"/>
      <c r="I70" s="992"/>
      <c r="J70" s="992"/>
      <c r="K70" s="992"/>
      <c r="L70" s="992"/>
      <c r="M70" s="992"/>
      <c r="N70" s="992"/>
      <c r="O70" s="992"/>
      <c r="P70" s="1347">
        <f t="shared" si="16"/>
        <v>0</v>
      </c>
      <c r="Q70" s="1006"/>
      <c r="R70" s="1006"/>
      <c r="S70" s="992"/>
      <c r="T70" s="992"/>
      <c r="U70" s="992"/>
      <c r="V70" s="992"/>
      <c r="W70" s="992"/>
      <c r="X70" s="1362"/>
      <c r="Y70" s="992"/>
      <c r="Z70" s="1007"/>
      <c r="AA70" s="1007"/>
      <c r="AB70" s="1369"/>
      <c r="AC70" s="1007"/>
      <c r="AD70" s="1007"/>
      <c r="AE70" s="1007"/>
      <c r="AF70" s="1007"/>
      <c r="AG70" s="1369"/>
      <c r="AH70" s="1007"/>
      <c r="AI70" s="1007"/>
      <c r="AJ70" s="1007"/>
      <c r="AK70" s="1007"/>
      <c r="AL70" s="1007"/>
      <c r="AM70" s="823">
        <f t="shared" si="17"/>
        <v>0</v>
      </c>
      <c r="AN70" s="981"/>
      <c r="AO70" s="981"/>
      <c r="AP70" s="981"/>
      <c r="AQ70" s="981"/>
      <c r="AR70" s="981"/>
      <c r="AS70" s="981"/>
      <c r="AT70" s="981"/>
      <c r="AU70" s="981"/>
      <c r="AV70" s="981"/>
      <c r="AW70" s="981"/>
      <c r="AX70" s="981"/>
      <c r="AY70" s="981"/>
      <c r="AZ70" s="981"/>
      <c r="BA70" s="981"/>
      <c r="BB70" s="981"/>
      <c r="BC70" s="981"/>
      <c r="BD70" s="981"/>
      <c r="BE70" s="981"/>
      <c r="BF70" s="981"/>
      <c r="BG70" s="981"/>
      <c r="BH70" s="981"/>
      <c r="BI70" s="981"/>
      <c r="BJ70" s="981"/>
      <c r="BK70" s="981"/>
      <c r="BL70" s="981"/>
      <c r="BM70" s="981"/>
      <c r="BN70" s="981"/>
      <c r="BO70" s="981"/>
      <c r="BP70" s="981"/>
      <c r="BQ70" s="981"/>
      <c r="BR70" s="981"/>
      <c r="BS70" s="981"/>
      <c r="BT70" s="981"/>
      <c r="BU70" s="981"/>
      <c r="BV70" s="981"/>
      <c r="BW70" s="981"/>
      <c r="BX70" s="981"/>
      <c r="BY70" s="981"/>
      <c r="BZ70" s="981"/>
      <c r="CA70" s="981"/>
      <c r="CB70" s="981"/>
      <c r="CC70" s="981"/>
      <c r="CD70" s="981"/>
      <c r="CE70" s="981"/>
      <c r="CF70" s="981"/>
      <c r="CG70" s="981"/>
      <c r="CH70" s="981"/>
      <c r="CI70" s="981"/>
      <c r="CJ70" s="981"/>
      <c r="CK70" s="981"/>
    </row>
    <row r="71" spans="1:89" s="835" customFormat="1" ht="47.25">
      <c r="A71" s="884" t="s">
        <v>270</v>
      </c>
      <c r="B71" s="886" t="s">
        <v>225</v>
      </c>
      <c r="C71" s="990"/>
      <c r="D71" s="994">
        <f>E71+P71</f>
        <v>2839447</v>
      </c>
      <c r="E71" s="1356">
        <f t="shared" si="15"/>
        <v>184944</v>
      </c>
      <c r="F71" s="991">
        <f>Дэф!C4</f>
        <v>184944</v>
      </c>
      <c r="G71" s="992"/>
      <c r="H71" s="992"/>
      <c r="I71" s="992"/>
      <c r="J71" s="992"/>
      <c r="K71" s="992"/>
      <c r="L71" s="992"/>
      <c r="M71" s="992"/>
      <c r="N71" s="992"/>
      <c r="O71" s="992"/>
      <c r="P71" s="1347">
        <f t="shared" si="16"/>
        <v>2654503</v>
      </c>
      <c r="Q71" s="1006">
        <f>Отчет!J202+Отчет!J231+Отчет!J60+Отчет!J70+Отчет!J62+Отчет!J72</f>
        <v>2654503</v>
      </c>
      <c r="R71" s="1006"/>
      <c r="S71" s="992"/>
      <c r="T71" s="992"/>
      <c r="U71" s="992"/>
      <c r="V71" s="992"/>
      <c r="W71" s="992"/>
      <c r="X71" s="1362"/>
      <c r="Y71" s="992"/>
      <c r="Z71" s="1007"/>
      <c r="AA71" s="1007"/>
      <c r="AB71" s="1369"/>
      <c r="AC71" s="1007"/>
      <c r="AD71" s="1007"/>
      <c r="AE71" s="1007"/>
      <c r="AF71" s="1007"/>
      <c r="AG71" s="1369"/>
      <c r="AH71" s="1007">
        <f>+AK71</f>
        <v>13629.548659999999</v>
      </c>
      <c r="AI71" s="1007"/>
      <c r="AJ71" s="1007"/>
      <c r="AK71" s="1007">
        <v>13629.548659999999</v>
      </c>
      <c r="AL71" s="1007"/>
      <c r="AM71" s="823">
        <f t="shared" si="17"/>
        <v>8545600.0973200016</v>
      </c>
      <c r="AN71" s="981"/>
      <c r="AO71" s="981"/>
      <c r="AP71" s="981"/>
      <c r="AQ71" s="981"/>
      <c r="AR71" s="981"/>
      <c r="AS71" s="981"/>
      <c r="AT71" s="981"/>
      <c r="AU71" s="981"/>
      <c r="AV71" s="981"/>
      <c r="AW71" s="981"/>
      <c r="AX71" s="981"/>
      <c r="AY71" s="981"/>
      <c r="AZ71" s="981"/>
      <c r="BA71" s="981"/>
      <c r="BB71" s="981"/>
      <c r="BC71" s="981"/>
      <c r="BD71" s="981"/>
      <c r="BE71" s="981"/>
      <c r="BF71" s="981"/>
      <c r="BG71" s="981"/>
      <c r="BH71" s="981"/>
      <c r="BI71" s="981"/>
      <c r="BJ71" s="981"/>
      <c r="BK71" s="981"/>
      <c r="BL71" s="981"/>
      <c r="BM71" s="981"/>
      <c r="BN71" s="981"/>
      <c r="BO71" s="981"/>
      <c r="BP71" s="981"/>
      <c r="BQ71" s="981"/>
      <c r="BR71" s="981"/>
      <c r="BS71" s="981"/>
      <c r="BT71" s="981"/>
      <c r="BU71" s="981"/>
      <c r="BV71" s="981"/>
      <c r="BW71" s="981"/>
      <c r="BX71" s="981"/>
      <c r="BY71" s="981"/>
      <c r="BZ71" s="981"/>
      <c r="CA71" s="981"/>
      <c r="CB71" s="981"/>
      <c r="CC71" s="981"/>
      <c r="CD71" s="981"/>
      <c r="CE71" s="981"/>
      <c r="CF71" s="981"/>
      <c r="CG71" s="981"/>
      <c r="CH71" s="981"/>
      <c r="CI71" s="981"/>
      <c r="CJ71" s="981"/>
      <c r="CK71" s="981"/>
    </row>
    <row r="72" spans="1:89" s="835" customFormat="1" ht="47.25">
      <c r="A72" s="884" t="s">
        <v>271</v>
      </c>
      <c r="B72" s="886" t="s">
        <v>228</v>
      </c>
      <c r="C72" s="990"/>
      <c r="D72" s="994">
        <f t="shared" si="18"/>
        <v>0</v>
      </c>
      <c r="E72" s="1356">
        <f t="shared" si="15"/>
        <v>0</v>
      </c>
      <c r="F72" s="991"/>
      <c r="G72" s="992"/>
      <c r="H72" s="992"/>
      <c r="I72" s="992"/>
      <c r="J72" s="992"/>
      <c r="K72" s="992"/>
      <c r="L72" s="992"/>
      <c r="M72" s="992"/>
      <c r="N72" s="992"/>
      <c r="O72" s="992"/>
      <c r="P72" s="1347">
        <f t="shared" si="16"/>
        <v>0</v>
      </c>
      <c r="Q72" s="1006"/>
      <c r="R72" s="1006"/>
      <c r="S72" s="992"/>
      <c r="T72" s="992"/>
      <c r="U72" s="992"/>
      <c r="V72" s="992"/>
      <c r="W72" s="992"/>
      <c r="X72" s="1362"/>
      <c r="Y72" s="992"/>
      <c r="Z72" s="1007"/>
      <c r="AA72" s="1007"/>
      <c r="AB72" s="1369"/>
      <c r="AC72" s="1007"/>
      <c r="AD72" s="1007"/>
      <c r="AE72" s="1007"/>
      <c r="AF72" s="1007"/>
      <c r="AG72" s="1369"/>
      <c r="AH72" s="1007">
        <f>AK72+AL72</f>
        <v>1892549.6760871985</v>
      </c>
      <c r="AI72" s="1007"/>
      <c r="AJ72" s="1007"/>
      <c r="AK72" s="1007">
        <v>397423.70608719974</v>
      </c>
      <c r="AL72" s="1007">
        <v>1495125.9699999988</v>
      </c>
      <c r="AM72" s="823">
        <f t="shared" si="17"/>
        <v>3785099.3521743971</v>
      </c>
      <c r="AN72" s="981"/>
      <c r="AO72" s="981"/>
      <c r="AP72" s="981"/>
      <c r="AQ72" s="981"/>
      <c r="AR72" s="981"/>
      <c r="AS72" s="981"/>
      <c r="AT72" s="981"/>
      <c r="AU72" s="981"/>
      <c r="AV72" s="981"/>
      <c r="AW72" s="981"/>
      <c r="AX72" s="981"/>
      <c r="AY72" s="981"/>
      <c r="AZ72" s="981"/>
      <c r="BA72" s="981"/>
      <c r="BB72" s="981"/>
      <c r="BC72" s="981"/>
      <c r="BD72" s="981"/>
      <c r="BE72" s="981"/>
      <c r="BF72" s="981"/>
      <c r="BG72" s="981"/>
      <c r="BH72" s="981"/>
      <c r="BI72" s="981"/>
      <c r="BJ72" s="981"/>
      <c r="BK72" s="981"/>
      <c r="BL72" s="981"/>
      <c r="BM72" s="981"/>
      <c r="BN72" s="981"/>
      <c r="BO72" s="981"/>
      <c r="BP72" s="981"/>
      <c r="BQ72" s="981"/>
      <c r="BR72" s="981"/>
      <c r="BS72" s="981"/>
      <c r="BT72" s="981"/>
      <c r="BU72" s="981"/>
      <c r="BV72" s="981"/>
      <c r="BW72" s="981"/>
      <c r="BX72" s="981"/>
      <c r="BY72" s="981"/>
      <c r="BZ72" s="981"/>
      <c r="CA72" s="981"/>
      <c r="CB72" s="981"/>
      <c r="CC72" s="981"/>
      <c r="CD72" s="981"/>
      <c r="CE72" s="981"/>
      <c r="CF72" s="981"/>
      <c r="CG72" s="981"/>
      <c r="CH72" s="981"/>
      <c r="CI72" s="981"/>
      <c r="CJ72" s="981"/>
      <c r="CK72" s="981"/>
    </row>
    <row r="73" spans="1:89" s="806" customFormat="1" ht="31.5">
      <c r="A73" s="884" t="s">
        <v>272</v>
      </c>
      <c r="B73" s="886" t="s">
        <v>232</v>
      </c>
      <c r="C73" s="818"/>
      <c r="D73" s="994">
        <f t="shared" si="18"/>
        <v>0</v>
      </c>
      <c r="E73" s="1356">
        <f t="shared" si="15"/>
        <v>0</v>
      </c>
      <c r="F73" s="818"/>
      <c r="G73" s="818"/>
      <c r="H73" s="818"/>
      <c r="I73" s="818"/>
      <c r="J73" s="818"/>
      <c r="K73" s="818"/>
      <c r="L73" s="818"/>
      <c r="M73" s="818"/>
      <c r="N73" s="818"/>
      <c r="O73" s="818"/>
      <c r="P73" s="1347">
        <f t="shared" si="16"/>
        <v>0</v>
      </c>
      <c r="Q73" s="818"/>
      <c r="R73" s="818"/>
      <c r="S73" s="818"/>
      <c r="T73" s="818"/>
      <c r="U73" s="818"/>
      <c r="V73" s="818"/>
      <c r="W73" s="818"/>
      <c r="X73" s="1363"/>
      <c r="Y73" s="818"/>
      <c r="Z73" s="818"/>
      <c r="AA73" s="818"/>
      <c r="AB73" s="1363"/>
      <c r="AC73" s="818"/>
      <c r="AD73" s="818"/>
      <c r="AE73" s="818"/>
      <c r="AF73" s="818"/>
      <c r="AG73" s="1363"/>
      <c r="AH73" s="818"/>
      <c r="AI73" s="818"/>
      <c r="AJ73" s="818"/>
      <c r="AK73" s="818"/>
      <c r="AL73" s="818"/>
      <c r="AM73" s="823">
        <f t="shared" si="17"/>
        <v>0</v>
      </c>
      <c r="AN73" s="834"/>
      <c r="AO73" s="834"/>
      <c r="AP73" s="834"/>
      <c r="AQ73" s="834"/>
      <c r="AR73" s="834"/>
      <c r="AS73" s="834"/>
      <c r="AT73" s="834"/>
      <c r="AU73" s="834"/>
      <c r="AV73" s="834"/>
      <c r="AW73" s="834"/>
      <c r="AX73" s="834"/>
      <c r="AY73" s="834"/>
      <c r="AZ73" s="834"/>
      <c r="BA73" s="834"/>
      <c r="BB73" s="834"/>
      <c r="BC73" s="834"/>
      <c r="BD73" s="834"/>
      <c r="BE73" s="834"/>
      <c r="BF73" s="834"/>
      <c r="BG73" s="834"/>
      <c r="BH73" s="834"/>
      <c r="BI73" s="834"/>
      <c r="BJ73" s="834"/>
      <c r="BK73" s="834"/>
      <c r="BL73" s="834"/>
      <c r="BM73" s="834"/>
      <c r="BN73" s="834"/>
      <c r="BO73" s="834"/>
      <c r="BP73" s="834"/>
      <c r="BQ73" s="834"/>
      <c r="BR73" s="834"/>
      <c r="BS73" s="834"/>
      <c r="BT73" s="834"/>
      <c r="BU73" s="834"/>
      <c r="BV73" s="834"/>
      <c r="BW73" s="834"/>
      <c r="BX73" s="834"/>
      <c r="BY73" s="834"/>
      <c r="BZ73" s="834"/>
      <c r="CA73" s="834"/>
      <c r="CB73" s="834"/>
      <c r="CC73" s="834"/>
      <c r="CD73" s="834"/>
      <c r="CE73" s="834"/>
      <c r="CF73" s="834"/>
      <c r="CG73" s="834"/>
      <c r="CH73" s="834"/>
      <c r="CI73" s="834"/>
      <c r="CJ73" s="834"/>
      <c r="CK73" s="834"/>
    </row>
    <row r="74" spans="1:89" s="824" customFormat="1" ht="31.5">
      <c r="A74" s="884" t="s">
        <v>273</v>
      </c>
      <c r="B74" s="886" t="s">
        <v>274</v>
      </c>
      <c r="C74" s="999"/>
      <c r="D74" s="994">
        <f>E74+P74</f>
        <v>39934</v>
      </c>
      <c r="E74" s="1356">
        <f t="shared" si="15"/>
        <v>39934</v>
      </c>
      <c r="F74" s="1000">
        <f>Отчет!J197</f>
        <v>39934</v>
      </c>
      <c r="G74" s="988"/>
      <c r="H74" s="988"/>
      <c r="I74" s="988"/>
      <c r="J74" s="988"/>
      <c r="K74" s="988"/>
      <c r="L74" s="988"/>
      <c r="M74" s="988"/>
      <c r="N74" s="988"/>
      <c r="O74" s="988"/>
      <c r="P74" s="1347">
        <f t="shared" si="16"/>
        <v>0</v>
      </c>
      <c r="Q74" s="989"/>
      <c r="R74" s="989"/>
      <c r="S74" s="988"/>
      <c r="T74" s="988"/>
      <c r="U74" s="988"/>
      <c r="V74" s="988"/>
      <c r="W74" s="988"/>
      <c r="X74" s="1362"/>
      <c r="Y74" s="988"/>
      <c r="Z74" s="818"/>
      <c r="AA74" s="818"/>
      <c r="AB74" s="1363"/>
      <c r="AC74" s="818"/>
      <c r="AD74" s="818"/>
      <c r="AE74" s="818"/>
      <c r="AF74" s="818"/>
      <c r="AG74" s="1363"/>
      <c r="AH74" s="818"/>
      <c r="AI74" s="818"/>
      <c r="AJ74" s="818"/>
      <c r="AK74" s="818"/>
      <c r="AL74" s="818"/>
      <c r="AM74" s="823">
        <f t="shared" si="17"/>
        <v>119802</v>
      </c>
      <c r="AN74" s="834"/>
      <c r="AO74" s="834"/>
      <c r="AP74" s="834"/>
      <c r="AQ74" s="834"/>
      <c r="AR74" s="834"/>
      <c r="AS74" s="834"/>
      <c r="AT74" s="834"/>
      <c r="AU74" s="834"/>
      <c r="AV74" s="834"/>
      <c r="AW74" s="834"/>
      <c r="AX74" s="834"/>
      <c r="AY74" s="834"/>
      <c r="AZ74" s="834"/>
      <c r="BA74" s="834"/>
      <c r="BB74" s="834"/>
      <c r="BC74" s="834"/>
      <c r="BD74" s="834"/>
      <c r="BE74" s="834"/>
      <c r="BF74" s="834"/>
      <c r="BG74" s="834"/>
      <c r="BH74" s="834"/>
      <c r="BI74" s="834"/>
      <c r="BJ74" s="834"/>
      <c r="BK74" s="834"/>
      <c r="BL74" s="834"/>
      <c r="BM74" s="834"/>
      <c r="BN74" s="834"/>
      <c r="BO74" s="834"/>
      <c r="BP74" s="834"/>
      <c r="BQ74" s="834"/>
      <c r="BR74" s="834"/>
      <c r="BS74" s="834"/>
      <c r="BT74" s="834"/>
      <c r="BU74" s="834"/>
      <c r="BV74" s="834"/>
      <c r="BW74" s="834"/>
      <c r="BX74" s="834"/>
      <c r="BY74" s="834"/>
      <c r="BZ74" s="834"/>
      <c r="CA74" s="834"/>
      <c r="CB74" s="834"/>
      <c r="CC74" s="834"/>
      <c r="CD74" s="834"/>
      <c r="CE74" s="834"/>
      <c r="CF74" s="834"/>
      <c r="CG74" s="834"/>
      <c r="CH74" s="834"/>
      <c r="CI74" s="834"/>
      <c r="CJ74" s="834"/>
      <c r="CK74" s="834"/>
    </row>
    <row r="75" spans="1:89" s="835" customFormat="1" ht="31.5">
      <c r="A75" s="883" t="s">
        <v>275</v>
      </c>
      <c r="B75" s="1008" t="s">
        <v>276</v>
      </c>
      <c r="C75" s="990"/>
      <c r="D75" s="990"/>
      <c r="E75" s="1356"/>
      <c r="F75" s="991"/>
      <c r="G75" s="992"/>
      <c r="H75" s="992"/>
      <c r="I75" s="992"/>
      <c r="J75" s="992"/>
      <c r="K75" s="992"/>
      <c r="L75" s="992"/>
      <c r="M75" s="992"/>
      <c r="N75" s="992"/>
      <c r="O75" s="992"/>
      <c r="P75" s="1348"/>
      <c r="Q75" s="1006"/>
      <c r="R75" s="1006"/>
      <c r="S75" s="992"/>
      <c r="T75" s="992"/>
      <c r="U75" s="992"/>
      <c r="V75" s="992"/>
      <c r="W75" s="992"/>
      <c r="X75" s="1362"/>
      <c r="Y75" s="992"/>
      <c r="Z75" s="1007"/>
      <c r="AA75" s="1007"/>
      <c r="AB75" s="1369"/>
      <c r="AC75" s="1007"/>
      <c r="AD75" s="1007"/>
      <c r="AE75" s="1007"/>
      <c r="AF75" s="1007"/>
      <c r="AG75" s="1369"/>
      <c r="AH75" s="1007"/>
      <c r="AI75" s="1007"/>
      <c r="AJ75" s="1007"/>
      <c r="AK75" s="1007"/>
      <c r="AL75" s="1007"/>
      <c r="AM75" s="823"/>
      <c r="AN75" s="981"/>
      <c r="AO75" s="981"/>
      <c r="AP75" s="981"/>
      <c r="AQ75" s="981"/>
      <c r="AR75" s="981"/>
      <c r="AS75" s="981"/>
      <c r="AT75" s="981"/>
      <c r="AU75" s="981"/>
      <c r="AV75" s="981"/>
      <c r="AW75" s="981"/>
      <c r="AX75" s="981"/>
      <c r="AY75" s="981"/>
      <c r="AZ75" s="981"/>
      <c r="BA75" s="981"/>
      <c r="BB75" s="981"/>
      <c r="BC75" s="981"/>
      <c r="BD75" s="981"/>
      <c r="BE75" s="981"/>
      <c r="BF75" s="981"/>
      <c r="BG75" s="981"/>
      <c r="BH75" s="981"/>
      <c r="BI75" s="981"/>
      <c r="BJ75" s="981"/>
      <c r="BK75" s="981"/>
      <c r="BL75" s="981"/>
      <c r="BM75" s="981"/>
      <c r="BN75" s="981"/>
      <c r="BO75" s="981"/>
      <c r="BP75" s="981"/>
      <c r="BQ75" s="981"/>
      <c r="BR75" s="981"/>
      <c r="BS75" s="981"/>
      <c r="BT75" s="981"/>
      <c r="BU75" s="981"/>
      <c r="BV75" s="981"/>
      <c r="BW75" s="981"/>
      <c r="BX75" s="981"/>
      <c r="BY75" s="981"/>
      <c r="BZ75" s="981"/>
      <c r="CA75" s="981"/>
      <c r="CB75" s="981"/>
      <c r="CC75" s="981"/>
      <c r="CD75" s="981"/>
      <c r="CE75" s="981"/>
      <c r="CF75" s="981"/>
      <c r="CG75" s="981"/>
      <c r="CH75" s="981"/>
      <c r="CI75" s="981"/>
      <c r="CJ75" s="981"/>
      <c r="CK75" s="981"/>
    </row>
    <row r="76" spans="1:89" s="835" customFormat="1" ht="63">
      <c r="A76" s="884" t="s">
        <v>277</v>
      </c>
      <c r="B76" s="1009" t="s">
        <v>278</v>
      </c>
      <c r="C76" s="990"/>
      <c r="D76" s="990"/>
      <c r="E76" s="1356"/>
      <c r="F76" s="991"/>
      <c r="G76" s="992"/>
      <c r="H76" s="992"/>
      <c r="I76" s="992"/>
      <c r="J76" s="992"/>
      <c r="K76" s="992"/>
      <c r="L76" s="992"/>
      <c r="M76" s="992"/>
      <c r="N76" s="992"/>
      <c r="O76" s="992"/>
      <c r="P76" s="1348"/>
      <c r="Q76" s="993"/>
      <c r="R76" s="1006"/>
      <c r="S76" s="992"/>
      <c r="T76" s="992"/>
      <c r="U76" s="992"/>
      <c r="V76" s="992"/>
      <c r="W76" s="992"/>
      <c r="X76" s="1362"/>
      <c r="Y76" s="992"/>
      <c r="Z76" s="1007"/>
      <c r="AA76" s="1007"/>
      <c r="AB76" s="1369"/>
      <c r="AC76" s="1007"/>
      <c r="AD76" s="1007"/>
      <c r="AE76" s="1007"/>
      <c r="AF76" s="1007"/>
      <c r="AG76" s="1369"/>
      <c r="AH76" s="1007"/>
      <c r="AI76" s="1007"/>
      <c r="AJ76" s="1007"/>
      <c r="AK76" s="1007"/>
      <c r="AL76" s="1007"/>
      <c r="AM76" s="823"/>
      <c r="AN76" s="981"/>
      <c r="AO76" s="981"/>
      <c r="AP76" s="981"/>
      <c r="AQ76" s="981"/>
      <c r="AR76" s="981"/>
      <c r="AS76" s="981"/>
      <c r="AT76" s="981"/>
      <c r="AU76" s="981"/>
      <c r="AV76" s="981"/>
      <c r="AW76" s="981"/>
      <c r="AX76" s="981"/>
      <c r="AY76" s="981"/>
      <c r="AZ76" s="981"/>
      <c r="BA76" s="981"/>
      <c r="BB76" s="981"/>
      <c r="BC76" s="981"/>
      <c r="BD76" s="981"/>
      <c r="BE76" s="981"/>
      <c r="BF76" s="981"/>
      <c r="BG76" s="981"/>
      <c r="BH76" s="981"/>
      <c r="BI76" s="981"/>
      <c r="BJ76" s="981"/>
      <c r="BK76" s="981"/>
      <c r="BL76" s="981"/>
      <c r="BM76" s="981"/>
      <c r="BN76" s="981"/>
      <c r="BO76" s="981"/>
      <c r="BP76" s="981"/>
      <c r="BQ76" s="981"/>
      <c r="BR76" s="981"/>
      <c r="BS76" s="981"/>
      <c r="BT76" s="981"/>
      <c r="BU76" s="981"/>
      <c r="BV76" s="981"/>
      <c r="BW76" s="981"/>
      <c r="BX76" s="981"/>
      <c r="BY76" s="981"/>
      <c r="BZ76" s="981"/>
      <c r="CA76" s="981"/>
      <c r="CB76" s="981"/>
      <c r="CC76" s="981"/>
      <c r="CD76" s="981"/>
      <c r="CE76" s="981"/>
      <c r="CF76" s="981"/>
      <c r="CG76" s="981"/>
      <c r="CH76" s="981"/>
      <c r="CI76" s="981"/>
      <c r="CJ76" s="981"/>
      <c r="CK76" s="981"/>
    </row>
    <row r="77" spans="1:89" s="806" customFormat="1" ht="94.5">
      <c r="A77" s="884" t="s">
        <v>279</v>
      </c>
      <c r="B77" s="1009" t="s">
        <v>280</v>
      </c>
      <c r="C77" s="994"/>
      <c r="D77" s="990"/>
      <c r="E77" s="1356"/>
      <c r="F77" s="996"/>
      <c r="G77" s="995"/>
      <c r="H77" s="995"/>
      <c r="I77" s="995"/>
      <c r="J77" s="995"/>
      <c r="K77" s="995"/>
      <c r="L77" s="995"/>
      <c r="M77" s="995"/>
      <c r="N77" s="995"/>
      <c r="O77" s="995"/>
      <c r="P77" s="1348"/>
      <c r="Q77" s="997"/>
      <c r="R77" s="997"/>
      <c r="S77" s="995"/>
      <c r="T77" s="995"/>
      <c r="U77" s="995"/>
      <c r="V77" s="995"/>
      <c r="W77" s="995"/>
      <c r="X77" s="1362"/>
      <c r="Y77" s="995"/>
      <c r="Z77" s="814"/>
      <c r="AA77" s="814"/>
      <c r="AB77" s="1363"/>
      <c r="AC77" s="814"/>
      <c r="AD77" s="814"/>
      <c r="AE77" s="814"/>
      <c r="AF77" s="814"/>
      <c r="AG77" s="1363"/>
      <c r="AH77" s="814"/>
      <c r="AI77" s="814"/>
      <c r="AJ77" s="814"/>
      <c r="AK77" s="814"/>
      <c r="AL77" s="814"/>
      <c r="AM77" s="823"/>
      <c r="AN77" s="834"/>
      <c r="AO77" s="834"/>
      <c r="AP77" s="834"/>
      <c r="AQ77" s="834"/>
      <c r="AR77" s="834"/>
      <c r="AS77" s="834"/>
      <c r="AT77" s="834"/>
      <c r="AU77" s="834"/>
      <c r="AV77" s="834"/>
      <c r="AW77" s="834"/>
      <c r="AX77" s="834"/>
      <c r="AY77" s="834"/>
      <c r="AZ77" s="834"/>
      <c r="BA77" s="834"/>
      <c r="BB77" s="834"/>
      <c r="BC77" s="834"/>
      <c r="BD77" s="834"/>
      <c r="BE77" s="834"/>
      <c r="BF77" s="834"/>
      <c r="BG77" s="834"/>
      <c r="BH77" s="834"/>
      <c r="BI77" s="834"/>
      <c r="BJ77" s="834"/>
      <c r="BK77" s="834"/>
      <c r="BL77" s="834"/>
      <c r="BM77" s="834"/>
      <c r="BN77" s="834"/>
      <c r="BO77" s="834"/>
      <c r="BP77" s="834"/>
      <c r="BQ77" s="834"/>
      <c r="BR77" s="834"/>
      <c r="BS77" s="834"/>
      <c r="BT77" s="834"/>
      <c r="BU77" s="834"/>
      <c r="BV77" s="834"/>
      <c r="BW77" s="834"/>
      <c r="BX77" s="834"/>
      <c r="BY77" s="834"/>
      <c r="BZ77" s="834"/>
      <c r="CA77" s="834"/>
      <c r="CB77" s="834"/>
      <c r="CC77" s="834"/>
      <c r="CD77" s="834"/>
      <c r="CE77" s="834"/>
      <c r="CF77" s="834"/>
      <c r="CG77" s="834"/>
      <c r="CH77" s="834"/>
      <c r="CI77" s="834"/>
      <c r="CJ77" s="834"/>
      <c r="CK77" s="834"/>
    </row>
    <row r="78" spans="1:89" s="806" customFormat="1" ht="47.25">
      <c r="A78" s="884" t="s">
        <v>281</v>
      </c>
      <c r="B78" s="1009" t="s">
        <v>282</v>
      </c>
      <c r="C78" s="994"/>
      <c r="D78" s="990"/>
      <c r="E78" s="1356"/>
      <c r="F78" s="996"/>
      <c r="G78" s="995"/>
      <c r="H78" s="995"/>
      <c r="I78" s="995"/>
      <c r="J78" s="995"/>
      <c r="K78" s="995"/>
      <c r="L78" s="995"/>
      <c r="M78" s="995"/>
      <c r="N78" s="995"/>
      <c r="O78" s="995"/>
      <c r="P78" s="1348"/>
      <c r="Q78" s="997"/>
      <c r="R78" s="997"/>
      <c r="S78" s="995"/>
      <c r="T78" s="995"/>
      <c r="U78" s="995"/>
      <c r="V78" s="995"/>
      <c r="W78" s="995"/>
      <c r="X78" s="1362"/>
      <c r="Y78" s="995"/>
      <c r="Z78" s="814"/>
      <c r="AA78" s="814"/>
      <c r="AB78" s="1363"/>
      <c r="AC78" s="814"/>
      <c r="AD78" s="814"/>
      <c r="AE78" s="814"/>
      <c r="AF78" s="814"/>
      <c r="AG78" s="1363"/>
      <c r="AH78" s="814"/>
      <c r="AI78" s="814"/>
      <c r="AJ78" s="814"/>
      <c r="AK78" s="814"/>
      <c r="AL78" s="814"/>
      <c r="AM78" s="823"/>
      <c r="AN78" s="834"/>
      <c r="AO78" s="834"/>
      <c r="AP78" s="834"/>
      <c r="AQ78" s="834"/>
      <c r="AR78" s="834"/>
      <c r="AS78" s="834"/>
      <c r="AT78" s="834"/>
      <c r="AU78" s="834"/>
      <c r="AV78" s="834"/>
      <c r="AW78" s="834"/>
      <c r="AX78" s="834"/>
      <c r="AY78" s="834"/>
      <c r="AZ78" s="834"/>
      <c r="BA78" s="834"/>
      <c r="BB78" s="834"/>
      <c r="BC78" s="834"/>
      <c r="BD78" s="834"/>
      <c r="BE78" s="834"/>
      <c r="BF78" s="834"/>
      <c r="BG78" s="834"/>
      <c r="BH78" s="834"/>
      <c r="BI78" s="834"/>
      <c r="BJ78" s="834"/>
      <c r="BK78" s="834"/>
      <c r="BL78" s="834"/>
      <c r="BM78" s="834"/>
      <c r="BN78" s="834"/>
      <c r="BO78" s="834"/>
      <c r="BP78" s="834"/>
      <c r="BQ78" s="834"/>
      <c r="BR78" s="834"/>
      <c r="BS78" s="834"/>
      <c r="BT78" s="834"/>
      <c r="BU78" s="834"/>
      <c r="BV78" s="834"/>
      <c r="BW78" s="834"/>
      <c r="BX78" s="834"/>
      <c r="BY78" s="834"/>
      <c r="BZ78" s="834"/>
      <c r="CA78" s="834"/>
      <c r="CB78" s="834"/>
      <c r="CC78" s="834"/>
      <c r="CD78" s="834"/>
      <c r="CE78" s="834"/>
      <c r="CF78" s="834"/>
      <c r="CG78" s="834"/>
      <c r="CH78" s="834"/>
      <c r="CI78" s="834"/>
      <c r="CJ78" s="834"/>
      <c r="CK78" s="834"/>
    </row>
    <row r="79" spans="1:89" s="806" customFormat="1" ht="78.75">
      <c r="A79" s="884" t="s">
        <v>283</v>
      </c>
      <c r="B79" s="1009" t="s">
        <v>284</v>
      </c>
      <c r="C79" s="994"/>
      <c r="D79" s="990"/>
      <c r="E79" s="1356"/>
      <c r="F79" s="814"/>
      <c r="G79" s="995"/>
      <c r="H79" s="995"/>
      <c r="I79" s="995"/>
      <c r="J79" s="995"/>
      <c r="K79" s="995"/>
      <c r="L79" s="995"/>
      <c r="M79" s="995"/>
      <c r="N79" s="995"/>
      <c r="O79" s="995"/>
      <c r="P79" s="1348"/>
      <c r="R79" s="997"/>
      <c r="S79" s="995"/>
      <c r="T79" s="995"/>
      <c r="U79" s="995"/>
      <c r="V79" s="995"/>
      <c r="W79" s="995"/>
      <c r="X79" s="1362"/>
      <c r="Y79" s="995"/>
      <c r="Z79" s="814"/>
      <c r="AA79" s="814"/>
      <c r="AB79" s="1363"/>
      <c r="AC79" s="814"/>
      <c r="AD79" s="814"/>
      <c r="AE79" s="814"/>
      <c r="AF79" s="814"/>
      <c r="AG79" s="1363"/>
      <c r="AH79" s="814"/>
      <c r="AI79" s="814"/>
      <c r="AJ79" s="814"/>
      <c r="AK79" s="814"/>
      <c r="AL79" s="814"/>
      <c r="AM79" s="823"/>
      <c r="AN79" s="834"/>
      <c r="AO79" s="834"/>
      <c r="AP79" s="834"/>
      <c r="AQ79" s="834"/>
      <c r="AR79" s="834"/>
      <c r="AS79" s="834"/>
      <c r="AT79" s="834"/>
      <c r="AU79" s="834"/>
      <c r="AV79" s="834"/>
      <c r="AW79" s="834"/>
      <c r="AX79" s="834"/>
      <c r="AY79" s="834"/>
      <c r="AZ79" s="834"/>
      <c r="BA79" s="834"/>
      <c r="BB79" s="834"/>
      <c r="BC79" s="834"/>
      <c r="BD79" s="834"/>
      <c r="BE79" s="834"/>
      <c r="BF79" s="834"/>
      <c r="BG79" s="834"/>
      <c r="BH79" s="834"/>
      <c r="BI79" s="834"/>
      <c r="BJ79" s="834"/>
      <c r="BK79" s="834"/>
      <c r="BL79" s="834"/>
      <c r="BM79" s="834"/>
      <c r="BN79" s="834"/>
      <c r="BO79" s="834"/>
      <c r="BP79" s="834"/>
      <c r="BQ79" s="834"/>
      <c r="BR79" s="834"/>
      <c r="BS79" s="834"/>
      <c r="BT79" s="834"/>
      <c r="BU79" s="834"/>
      <c r="BV79" s="834"/>
      <c r="BW79" s="834"/>
      <c r="BX79" s="834"/>
      <c r="BY79" s="834"/>
      <c r="BZ79" s="834"/>
      <c r="CA79" s="834"/>
      <c r="CB79" s="834"/>
      <c r="CC79" s="834"/>
      <c r="CD79" s="834"/>
      <c r="CE79" s="834"/>
      <c r="CF79" s="834"/>
      <c r="CG79" s="834"/>
      <c r="CH79" s="834"/>
      <c r="CI79" s="834"/>
      <c r="CJ79" s="834"/>
      <c r="CK79" s="834"/>
    </row>
    <row r="80" spans="1:89" s="805" customFormat="1" ht="31.5">
      <c r="A80" s="884" t="s">
        <v>285</v>
      </c>
      <c r="B80" s="1009" t="s">
        <v>286</v>
      </c>
      <c r="C80" s="990"/>
      <c r="D80" s="990"/>
      <c r="E80" s="1356"/>
      <c r="F80" s="991"/>
      <c r="G80" s="992"/>
      <c r="H80" s="992"/>
      <c r="I80" s="992"/>
      <c r="J80" s="992"/>
      <c r="K80" s="992"/>
      <c r="L80" s="992"/>
      <c r="M80" s="992"/>
      <c r="N80" s="992"/>
      <c r="O80" s="992"/>
      <c r="P80" s="1348"/>
      <c r="Q80" s="993"/>
      <c r="R80" s="993"/>
      <c r="S80" s="992"/>
      <c r="T80" s="992"/>
      <c r="U80" s="992"/>
      <c r="V80" s="992"/>
      <c r="W80" s="992"/>
      <c r="X80" s="1362"/>
      <c r="Y80" s="992"/>
      <c r="Z80" s="813"/>
      <c r="AA80" s="813"/>
      <c r="AB80" s="1363"/>
      <c r="AC80" s="813"/>
      <c r="AD80" s="813"/>
      <c r="AE80" s="813"/>
      <c r="AF80" s="813"/>
      <c r="AG80" s="1363"/>
      <c r="AH80" s="813"/>
      <c r="AI80" s="813"/>
      <c r="AJ80" s="813"/>
      <c r="AK80" s="813"/>
      <c r="AL80" s="813"/>
      <c r="AM80" s="823"/>
      <c r="AN80" s="834"/>
      <c r="AO80" s="834"/>
      <c r="AP80" s="834"/>
      <c r="AQ80" s="834"/>
      <c r="AR80" s="834"/>
      <c r="AS80" s="834"/>
      <c r="AT80" s="834"/>
      <c r="AU80" s="834"/>
      <c r="AV80" s="834"/>
      <c r="AW80" s="834"/>
      <c r="AX80" s="834"/>
      <c r="AY80" s="834"/>
      <c r="AZ80" s="834"/>
      <c r="BA80" s="834"/>
      <c r="BB80" s="834"/>
      <c r="BC80" s="834"/>
      <c r="BD80" s="834"/>
      <c r="BE80" s="834"/>
      <c r="BF80" s="834"/>
      <c r="BG80" s="834"/>
      <c r="BH80" s="834"/>
      <c r="BI80" s="834"/>
      <c r="BJ80" s="834"/>
      <c r="BK80" s="834"/>
      <c r="BL80" s="834"/>
      <c r="BM80" s="834"/>
      <c r="BN80" s="834"/>
      <c r="BO80" s="834"/>
      <c r="BP80" s="834"/>
      <c r="BQ80" s="834"/>
      <c r="BR80" s="834"/>
      <c r="BS80" s="834"/>
      <c r="BT80" s="834"/>
      <c r="BU80" s="834"/>
      <c r="BV80" s="834"/>
      <c r="BW80" s="834"/>
      <c r="BX80" s="834"/>
      <c r="BY80" s="834"/>
      <c r="BZ80" s="834"/>
      <c r="CA80" s="834"/>
      <c r="CB80" s="834"/>
      <c r="CC80" s="834"/>
      <c r="CD80" s="834"/>
      <c r="CE80" s="834"/>
      <c r="CF80" s="834"/>
      <c r="CG80" s="834"/>
      <c r="CH80" s="834"/>
      <c r="CI80" s="834"/>
      <c r="CJ80" s="834"/>
      <c r="CK80" s="834"/>
    </row>
    <row r="81" spans="1:89" s="1429" customFormat="1" ht="63">
      <c r="A81" s="1444" t="s">
        <v>287</v>
      </c>
      <c r="B81" s="1445" t="s">
        <v>288</v>
      </c>
      <c r="C81" s="1350"/>
      <c r="D81" s="1350"/>
      <c r="E81" s="1350"/>
      <c r="F81" s="1350"/>
      <c r="G81" s="1350"/>
      <c r="H81" s="1350"/>
      <c r="I81" s="1350"/>
      <c r="J81" s="1350"/>
      <c r="K81" s="1350"/>
      <c r="L81" s="1350"/>
      <c r="M81" s="1350"/>
      <c r="N81" s="1355"/>
      <c r="O81" s="1350"/>
      <c r="P81" s="1350"/>
      <c r="Q81" s="1350"/>
      <c r="R81" s="1350"/>
      <c r="S81" s="1350"/>
      <c r="T81" s="1350"/>
      <c r="U81" s="1350"/>
      <c r="V81" s="1350"/>
      <c r="W81" s="1350"/>
      <c r="X81" s="1350"/>
      <c r="Y81" s="1350"/>
      <c r="Z81" s="1349"/>
      <c r="AA81" s="1349"/>
      <c r="AB81" s="1349"/>
      <c r="AC81" s="1349"/>
      <c r="AD81" s="1349"/>
      <c r="AE81" s="1349"/>
      <c r="AF81" s="1349"/>
      <c r="AG81" s="1349"/>
      <c r="AH81" s="1349"/>
      <c r="AI81" s="1349"/>
      <c r="AJ81" s="1349"/>
      <c r="AK81" s="1349"/>
      <c r="AL81" s="1349"/>
      <c r="AM81" s="1446"/>
    </row>
    <row r="82" spans="1:89" s="1429" customFormat="1" ht="47.25">
      <c r="A82" s="1444" t="s">
        <v>289</v>
      </c>
      <c r="B82" s="1447" t="s">
        <v>290</v>
      </c>
      <c r="C82" s="1349"/>
      <c r="D82" s="1349">
        <f>E82+P82</f>
        <v>1702892</v>
      </c>
      <c r="E82" s="1358">
        <f>F82</f>
        <v>1702892</v>
      </c>
      <c r="F82" s="1358">
        <f>Отчет!J184</f>
        <v>1702892</v>
      </c>
      <c r="G82" s="1349"/>
      <c r="H82" s="1349"/>
      <c r="I82" s="1349"/>
      <c r="J82" s="1349"/>
      <c r="K82" s="1448"/>
      <c r="L82" s="1448"/>
      <c r="M82" s="1448"/>
      <c r="N82" s="1349"/>
      <c r="O82" s="1349"/>
      <c r="P82" s="1349"/>
      <c r="Q82" s="1349"/>
      <c r="R82" s="1349"/>
      <c r="S82" s="1349"/>
      <c r="T82" s="1349"/>
      <c r="U82" s="1349"/>
      <c r="V82" s="1349"/>
      <c r="W82" s="1349"/>
      <c r="X82" s="1349"/>
      <c r="Y82" s="1349"/>
      <c r="Z82" s="1349"/>
      <c r="AA82" s="1349"/>
      <c r="AB82" s="1349"/>
      <c r="AC82" s="1349"/>
      <c r="AD82" s="1349"/>
      <c r="AE82" s="1349"/>
      <c r="AF82" s="1349"/>
      <c r="AG82" s="1349">
        <f>AK82</f>
        <v>1276.6798200000003</v>
      </c>
      <c r="AH82" s="1349"/>
      <c r="AI82" s="1349"/>
      <c r="AJ82" s="1349"/>
      <c r="AK82" s="1349">
        <v>1276.6798200000003</v>
      </c>
      <c r="AL82" s="1349"/>
      <c r="AM82" s="1446">
        <f t="shared" si="17"/>
        <v>5111229.3596400004</v>
      </c>
    </row>
    <row r="83" spans="1:89" s="1429" customFormat="1" ht="47.25">
      <c r="A83" s="1444" t="s">
        <v>291</v>
      </c>
      <c r="B83" s="1445" t="s">
        <v>292</v>
      </c>
      <c r="C83" s="1349"/>
      <c r="D83" s="1349">
        <f>E83</f>
        <v>10954122</v>
      </c>
      <c r="E83" s="1358">
        <f>F83+J83</f>
        <v>10954122</v>
      </c>
      <c r="F83" s="1358">
        <f>Отчет!J48</f>
        <v>10833032</v>
      </c>
      <c r="G83" s="1349"/>
      <c r="H83" s="1349"/>
      <c r="I83" s="1349"/>
      <c r="J83" s="1349">
        <f>Отчет!J80</f>
        <v>121090</v>
      </c>
      <c r="K83" s="1448"/>
      <c r="L83" s="1448"/>
      <c r="M83" s="1448"/>
      <c r="N83" s="1349"/>
      <c r="O83" s="1349"/>
      <c r="P83" s="1349"/>
      <c r="Q83" s="1349"/>
      <c r="R83" s="1349"/>
      <c r="S83" s="1349"/>
      <c r="T83" s="1349"/>
      <c r="U83" s="1349"/>
      <c r="V83" s="1349"/>
      <c r="W83" s="1349"/>
      <c r="X83" s="1349"/>
      <c r="Y83" s="1349"/>
      <c r="Z83" s="1349"/>
      <c r="AA83" s="1349"/>
      <c r="AB83" s="1349"/>
      <c r="AC83" s="1349"/>
      <c r="AD83" s="1349"/>
      <c r="AE83" s="1349"/>
      <c r="AF83" s="1349"/>
      <c r="AG83" s="1349"/>
      <c r="AH83" s="1349"/>
      <c r="AI83" s="1349"/>
      <c r="AJ83" s="1349"/>
      <c r="AK83" s="1349"/>
      <c r="AL83" s="1349"/>
      <c r="AM83" s="1446">
        <f t="shared" si="17"/>
        <v>32862366</v>
      </c>
    </row>
    <row r="84" spans="1:89" s="806" customFormat="1" ht="47.25">
      <c r="A84" s="884" t="s">
        <v>293</v>
      </c>
      <c r="B84" s="1014" t="s">
        <v>294</v>
      </c>
      <c r="C84" s="818"/>
      <c r="D84" s="818"/>
      <c r="E84" s="1358"/>
      <c r="F84" s="1012"/>
      <c r="G84" s="818"/>
      <c r="H84" s="818"/>
      <c r="I84" s="818"/>
      <c r="J84" s="818"/>
      <c r="K84" s="1013"/>
      <c r="L84" s="1013"/>
      <c r="M84" s="1013"/>
      <c r="N84" s="818"/>
      <c r="O84" s="818"/>
      <c r="P84" s="1349"/>
      <c r="Q84" s="818"/>
      <c r="R84" s="818"/>
      <c r="S84" s="818"/>
      <c r="T84" s="818"/>
      <c r="U84" s="818"/>
      <c r="V84" s="818"/>
      <c r="W84" s="818"/>
      <c r="X84" s="1363"/>
      <c r="Y84" s="818"/>
      <c r="Z84" s="818"/>
      <c r="AA84" s="818"/>
      <c r="AB84" s="1363"/>
      <c r="AC84" s="818"/>
      <c r="AD84" s="818"/>
      <c r="AE84" s="818"/>
      <c r="AF84" s="818"/>
      <c r="AG84" s="1363"/>
      <c r="AH84" s="818"/>
      <c r="AI84" s="818"/>
      <c r="AJ84" s="818"/>
      <c r="AK84" s="818"/>
      <c r="AL84" s="818"/>
      <c r="AM84" s="823">
        <f t="shared" si="17"/>
        <v>0</v>
      </c>
      <c r="AN84" s="834"/>
      <c r="AO84" s="834"/>
      <c r="AP84" s="834"/>
      <c r="AQ84" s="834"/>
      <c r="AR84" s="834"/>
      <c r="AS84" s="834"/>
      <c r="AT84" s="834"/>
      <c r="AU84" s="834"/>
      <c r="AV84" s="834"/>
      <c r="AW84" s="834"/>
      <c r="AX84" s="834"/>
      <c r="AY84" s="834"/>
      <c r="AZ84" s="834"/>
      <c r="BA84" s="834"/>
      <c r="BB84" s="834"/>
      <c r="BC84" s="834"/>
      <c r="BD84" s="834"/>
      <c r="BE84" s="834"/>
      <c r="BF84" s="834"/>
      <c r="BG84" s="834"/>
      <c r="BH84" s="834"/>
      <c r="BI84" s="834"/>
      <c r="BJ84" s="834"/>
      <c r="BK84" s="834"/>
      <c r="BL84" s="834"/>
      <c r="BM84" s="834"/>
      <c r="BN84" s="834"/>
      <c r="BO84" s="834"/>
      <c r="BP84" s="834"/>
      <c r="BQ84" s="834"/>
      <c r="BR84" s="834"/>
      <c r="BS84" s="834"/>
      <c r="BT84" s="834"/>
      <c r="BU84" s="834"/>
      <c r="BV84" s="834"/>
      <c r="BW84" s="834"/>
      <c r="BX84" s="834"/>
      <c r="BY84" s="834"/>
      <c r="BZ84" s="834"/>
      <c r="CA84" s="834"/>
      <c r="CB84" s="834"/>
      <c r="CC84" s="834"/>
      <c r="CD84" s="834"/>
      <c r="CE84" s="834"/>
      <c r="CF84" s="834"/>
      <c r="CG84" s="834"/>
      <c r="CH84" s="834"/>
      <c r="CI84" s="834"/>
      <c r="CJ84" s="834"/>
      <c r="CK84" s="834"/>
    </row>
    <row r="85" spans="1:89" s="806" customFormat="1" ht="47.25">
      <c r="A85" s="884" t="s">
        <v>295</v>
      </c>
      <c r="B85" s="1014" t="s">
        <v>296</v>
      </c>
      <c r="C85" s="818"/>
      <c r="D85" s="818"/>
      <c r="E85" s="1358"/>
      <c r="F85" s="818"/>
      <c r="G85" s="818"/>
      <c r="H85" s="818"/>
      <c r="I85" s="818"/>
      <c r="J85" s="818"/>
      <c r="K85" s="1013"/>
      <c r="L85" s="1013"/>
      <c r="M85" s="1013"/>
      <c r="N85" s="818"/>
      <c r="O85" s="818"/>
      <c r="P85" s="1349"/>
      <c r="Q85" s="824"/>
      <c r="R85" s="818"/>
      <c r="S85" s="818"/>
      <c r="T85" s="818"/>
      <c r="U85" s="818"/>
      <c r="V85" s="818"/>
      <c r="W85" s="818"/>
      <c r="X85" s="1363"/>
      <c r="Y85" s="818"/>
      <c r="Z85" s="818"/>
      <c r="AA85" s="818"/>
      <c r="AB85" s="1363"/>
      <c r="AC85" s="818"/>
      <c r="AD85" s="818"/>
      <c r="AE85" s="818"/>
      <c r="AF85" s="818"/>
      <c r="AG85" s="1363"/>
      <c r="AH85" s="818"/>
      <c r="AI85" s="818"/>
      <c r="AJ85" s="818"/>
      <c r="AK85" s="818"/>
      <c r="AL85" s="818"/>
      <c r="AM85" s="823">
        <f t="shared" si="17"/>
        <v>0</v>
      </c>
      <c r="AN85" s="834"/>
      <c r="AO85" s="834"/>
      <c r="AP85" s="834"/>
      <c r="AQ85" s="834"/>
      <c r="AR85" s="834"/>
      <c r="AS85" s="834"/>
      <c r="AT85" s="834"/>
      <c r="AU85" s="834"/>
      <c r="AV85" s="834"/>
      <c r="AW85" s="834"/>
      <c r="AX85" s="834"/>
      <c r="AY85" s="834"/>
      <c r="AZ85" s="834"/>
      <c r="BA85" s="834"/>
      <c r="BB85" s="834"/>
      <c r="BC85" s="834"/>
      <c r="BD85" s="834"/>
      <c r="BE85" s="834"/>
      <c r="BF85" s="834"/>
      <c r="BG85" s="834"/>
      <c r="BH85" s="834"/>
      <c r="BI85" s="834"/>
      <c r="BJ85" s="834"/>
      <c r="BK85" s="834"/>
      <c r="BL85" s="834"/>
      <c r="BM85" s="834"/>
      <c r="BN85" s="834"/>
      <c r="BO85" s="834"/>
      <c r="BP85" s="834"/>
      <c r="BQ85" s="834"/>
      <c r="BR85" s="834"/>
      <c r="BS85" s="834"/>
      <c r="BT85" s="834"/>
      <c r="BU85" s="834"/>
      <c r="BV85" s="834"/>
      <c r="BW85" s="834"/>
      <c r="BX85" s="834"/>
      <c r="BY85" s="834"/>
      <c r="BZ85" s="834"/>
      <c r="CA85" s="834"/>
      <c r="CB85" s="834"/>
      <c r="CC85" s="834"/>
      <c r="CD85" s="834"/>
      <c r="CE85" s="834"/>
      <c r="CF85" s="834"/>
      <c r="CG85" s="834"/>
      <c r="CH85" s="834"/>
      <c r="CI85" s="834"/>
      <c r="CJ85" s="834"/>
      <c r="CK85" s="834"/>
    </row>
    <row r="86" spans="1:89" s="806" customFormat="1" ht="63">
      <c r="A86" s="884" t="s">
        <v>297</v>
      </c>
      <c r="B86" s="1014" t="s">
        <v>298</v>
      </c>
      <c r="C86" s="818"/>
      <c r="D86" s="818"/>
      <c r="E86" s="1358"/>
      <c r="F86" s="1012"/>
      <c r="G86" s="818"/>
      <c r="H86" s="818"/>
      <c r="I86" s="818"/>
      <c r="J86" s="818"/>
      <c r="K86" s="1013"/>
      <c r="L86" s="1013"/>
      <c r="M86" s="1013"/>
      <c r="N86" s="818"/>
      <c r="O86" s="818"/>
      <c r="P86" s="1349"/>
      <c r="Q86" s="818"/>
      <c r="R86" s="818"/>
      <c r="S86" s="818"/>
      <c r="T86" s="818"/>
      <c r="U86" s="818"/>
      <c r="V86" s="818"/>
      <c r="W86" s="818"/>
      <c r="X86" s="1363"/>
      <c r="Y86" s="818"/>
      <c r="Z86" s="818"/>
      <c r="AA86" s="818"/>
      <c r="AB86" s="1363"/>
      <c r="AC86" s="818"/>
      <c r="AD86" s="818"/>
      <c r="AE86" s="818"/>
      <c r="AF86" s="818"/>
      <c r="AG86" s="1363"/>
      <c r="AH86" s="818"/>
      <c r="AI86" s="818"/>
      <c r="AJ86" s="818"/>
      <c r="AK86" s="818"/>
      <c r="AL86" s="818"/>
      <c r="AM86" s="823">
        <f t="shared" si="17"/>
        <v>0</v>
      </c>
      <c r="AN86" s="834"/>
      <c r="AO86" s="834"/>
      <c r="AP86" s="834"/>
      <c r="AQ86" s="834"/>
      <c r="AR86" s="834"/>
      <c r="AS86" s="834"/>
      <c r="AT86" s="834"/>
      <c r="AU86" s="834"/>
      <c r="AV86" s="834"/>
      <c r="AW86" s="834"/>
      <c r="AX86" s="834"/>
      <c r="AY86" s="834"/>
      <c r="AZ86" s="834"/>
      <c r="BA86" s="834"/>
      <c r="BB86" s="834"/>
      <c r="BC86" s="834"/>
      <c r="BD86" s="834"/>
      <c r="BE86" s="834"/>
      <c r="BF86" s="834"/>
      <c r="BG86" s="834"/>
      <c r="BH86" s="834"/>
      <c r="BI86" s="834"/>
      <c r="BJ86" s="834"/>
      <c r="BK86" s="834"/>
      <c r="BL86" s="834"/>
      <c r="BM86" s="834"/>
      <c r="BN86" s="834"/>
      <c r="BO86" s="834"/>
      <c r="BP86" s="834"/>
      <c r="BQ86" s="834"/>
      <c r="BR86" s="834"/>
      <c r="BS86" s="834"/>
      <c r="BT86" s="834"/>
      <c r="BU86" s="834"/>
      <c r="BV86" s="834"/>
      <c r="BW86" s="834"/>
      <c r="BX86" s="834"/>
      <c r="BY86" s="834"/>
      <c r="BZ86" s="834"/>
      <c r="CA86" s="834"/>
      <c r="CB86" s="834"/>
      <c r="CC86" s="834"/>
      <c r="CD86" s="834"/>
      <c r="CE86" s="834"/>
      <c r="CF86" s="834"/>
      <c r="CG86" s="834"/>
      <c r="CH86" s="834"/>
      <c r="CI86" s="834"/>
      <c r="CJ86" s="834"/>
      <c r="CK86" s="834"/>
    </row>
    <row r="87" spans="1:89" s="806" customFormat="1" ht="110.25">
      <c r="A87" s="884" t="s">
        <v>299</v>
      </c>
      <c r="B87" s="1014" t="s">
        <v>300</v>
      </c>
      <c r="C87" s="818"/>
      <c r="D87" s="818"/>
      <c r="E87" s="1358"/>
      <c r="F87" s="1012"/>
      <c r="G87" s="818"/>
      <c r="H87" s="818"/>
      <c r="I87" s="818"/>
      <c r="J87" s="818"/>
      <c r="K87" s="1013"/>
      <c r="L87" s="1013"/>
      <c r="M87" s="1013"/>
      <c r="N87" s="818"/>
      <c r="O87" s="818"/>
      <c r="P87" s="1349"/>
      <c r="Q87" s="824"/>
      <c r="R87" s="818"/>
      <c r="S87" s="818"/>
      <c r="T87" s="818"/>
      <c r="U87" s="818"/>
      <c r="V87" s="818"/>
      <c r="W87" s="818"/>
      <c r="X87" s="1363"/>
      <c r="Y87" s="818"/>
      <c r="Z87" s="818"/>
      <c r="AA87" s="818"/>
      <c r="AB87" s="1363"/>
      <c r="AC87" s="818"/>
      <c r="AD87" s="818"/>
      <c r="AE87" s="818"/>
      <c r="AF87" s="818"/>
      <c r="AG87" s="1363"/>
      <c r="AH87" s="818"/>
      <c r="AI87" s="818"/>
      <c r="AJ87" s="818"/>
      <c r="AK87" s="818"/>
      <c r="AL87" s="818"/>
      <c r="AM87" s="823">
        <f t="shared" si="17"/>
        <v>0</v>
      </c>
      <c r="AN87" s="834"/>
      <c r="AO87" s="834"/>
      <c r="AP87" s="834"/>
      <c r="AQ87" s="834"/>
      <c r="AR87" s="834"/>
      <c r="AS87" s="834"/>
      <c r="AT87" s="834"/>
      <c r="AU87" s="834"/>
      <c r="AV87" s="834"/>
      <c r="AW87" s="834"/>
      <c r="AX87" s="834"/>
      <c r="AY87" s="834"/>
      <c r="AZ87" s="834"/>
      <c r="BA87" s="834"/>
      <c r="BB87" s="834"/>
      <c r="BC87" s="834"/>
      <c r="BD87" s="834"/>
      <c r="BE87" s="834"/>
      <c r="BF87" s="834"/>
      <c r="BG87" s="834"/>
      <c r="BH87" s="834"/>
      <c r="BI87" s="834"/>
      <c r="BJ87" s="834"/>
      <c r="BK87" s="834"/>
      <c r="BL87" s="834"/>
      <c r="BM87" s="834"/>
      <c r="BN87" s="834"/>
      <c r="BO87" s="834"/>
      <c r="BP87" s="834"/>
      <c r="BQ87" s="834"/>
      <c r="BR87" s="834"/>
      <c r="BS87" s="834"/>
      <c r="BT87" s="834"/>
      <c r="BU87" s="834"/>
      <c r="BV87" s="834"/>
      <c r="BW87" s="834"/>
      <c r="BX87" s="834"/>
      <c r="BY87" s="834"/>
      <c r="BZ87" s="834"/>
      <c r="CA87" s="834"/>
      <c r="CB87" s="834"/>
      <c r="CC87" s="834"/>
      <c r="CD87" s="834"/>
      <c r="CE87" s="834"/>
      <c r="CF87" s="834"/>
      <c r="CG87" s="834"/>
      <c r="CH87" s="834"/>
      <c r="CI87" s="834"/>
      <c r="CJ87" s="834"/>
      <c r="CK87" s="834"/>
    </row>
    <row r="88" spans="1:89" s="806" customFormat="1" ht="19.5">
      <c r="A88" s="883" t="s">
        <v>301</v>
      </c>
      <c r="B88" s="1011" t="s">
        <v>302</v>
      </c>
      <c r="C88" s="818"/>
      <c r="D88" s="818"/>
      <c r="E88" s="1358"/>
      <c r="F88" s="1012"/>
      <c r="G88" s="818"/>
      <c r="H88" s="818"/>
      <c r="I88" s="818"/>
      <c r="J88" s="818"/>
      <c r="K88" s="1013"/>
      <c r="L88" s="1013"/>
      <c r="M88" s="1013"/>
      <c r="N88" s="818"/>
      <c r="O88" s="818"/>
      <c r="P88" s="1349"/>
      <c r="Q88" s="818"/>
      <c r="R88" s="818"/>
      <c r="S88" s="818"/>
      <c r="T88" s="818"/>
      <c r="U88" s="818"/>
      <c r="V88" s="818"/>
      <c r="W88" s="818"/>
      <c r="X88" s="1363"/>
      <c r="Y88" s="818"/>
      <c r="Z88" s="818"/>
      <c r="AA88" s="818"/>
      <c r="AB88" s="1363"/>
      <c r="AC88" s="818"/>
      <c r="AD88" s="818"/>
      <c r="AE88" s="818"/>
      <c r="AF88" s="818"/>
      <c r="AG88" s="1363"/>
      <c r="AH88" s="818">
        <f>AK88</f>
        <v>8628.0353710395102</v>
      </c>
      <c r="AI88" s="818"/>
      <c r="AJ88" s="818"/>
      <c r="AK88" s="818">
        <v>8628.0353710395102</v>
      </c>
      <c r="AL88" s="818"/>
      <c r="AM88" s="823">
        <f t="shared" si="17"/>
        <v>17256.07074207902</v>
      </c>
      <c r="AN88" s="834"/>
      <c r="AO88" s="834"/>
      <c r="AP88" s="834"/>
      <c r="AQ88" s="834"/>
      <c r="AR88" s="834"/>
      <c r="AS88" s="834"/>
      <c r="AT88" s="834"/>
      <c r="AU88" s="834"/>
      <c r="AV88" s="834"/>
      <c r="AW88" s="834"/>
      <c r="AX88" s="834"/>
      <c r="AY88" s="834"/>
      <c r="AZ88" s="834"/>
      <c r="BA88" s="834"/>
      <c r="BB88" s="834"/>
      <c r="BC88" s="834"/>
      <c r="BD88" s="834"/>
      <c r="BE88" s="834"/>
      <c r="BF88" s="834"/>
      <c r="BG88" s="834"/>
      <c r="BH88" s="834"/>
      <c r="BI88" s="834"/>
      <c r="BJ88" s="834"/>
      <c r="BK88" s="834"/>
      <c r="BL88" s="834"/>
      <c r="BM88" s="834"/>
      <c r="BN88" s="834"/>
      <c r="BO88" s="834"/>
      <c r="BP88" s="834"/>
      <c r="BQ88" s="834"/>
      <c r="BR88" s="834"/>
      <c r="BS88" s="834"/>
      <c r="BT88" s="834"/>
      <c r="BU88" s="834"/>
      <c r="BV88" s="834"/>
      <c r="BW88" s="834"/>
      <c r="BX88" s="834"/>
      <c r="BY88" s="834"/>
      <c r="BZ88" s="834"/>
      <c r="CA88" s="834"/>
      <c r="CB88" s="834"/>
      <c r="CC88" s="834"/>
      <c r="CD88" s="834"/>
      <c r="CE88" s="834"/>
      <c r="CF88" s="834"/>
      <c r="CG88" s="834"/>
      <c r="CH88" s="834"/>
      <c r="CI88" s="834"/>
      <c r="CJ88" s="834"/>
      <c r="CK88" s="834"/>
    </row>
    <row r="89" spans="1:89" s="806" customFormat="1" ht="31.5">
      <c r="A89" s="884" t="s">
        <v>303</v>
      </c>
      <c r="B89" s="1014" t="s">
        <v>304</v>
      </c>
      <c r="C89" s="818"/>
      <c r="D89" s="818"/>
      <c r="E89" s="1358"/>
      <c r="F89" s="1012"/>
      <c r="G89" s="818"/>
      <c r="H89" s="818"/>
      <c r="I89" s="818"/>
      <c r="J89" s="818"/>
      <c r="K89" s="1013"/>
      <c r="L89" s="1013"/>
      <c r="M89" s="1013"/>
      <c r="N89" s="818"/>
      <c r="O89" s="818"/>
      <c r="P89" s="1349"/>
      <c r="Q89" s="818"/>
      <c r="R89" s="818"/>
      <c r="S89" s="818"/>
      <c r="T89" s="818"/>
      <c r="U89" s="818"/>
      <c r="V89" s="818"/>
      <c r="W89" s="818"/>
      <c r="X89" s="1363"/>
      <c r="Y89" s="818"/>
      <c r="Z89" s="818"/>
      <c r="AA89" s="818"/>
      <c r="AB89" s="1363"/>
      <c r="AC89" s="818"/>
      <c r="AD89" s="818"/>
      <c r="AE89" s="818"/>
      <c r="AF89" s="818"/>
      <c r="AG89" s="1363"/>
      <c r="AH89" s="818"/>
      <c r="AI89" s="818"/>
      <c r="AJ89" s="818"/>
      <c r="AK89" s="818"/>
      <c r="AL89" s="818"/>
      <c r="AM89" s="823">
        <f t="shared" si="17"/>
        <v>0</v>
      </c>
      <c r="AN89" s="834"/>
      <c r="AO89" s="834"/>
      <c r="AP89" s="834"/>
      <c r="AQ89" s="834"/>
      <c r="AR89" s="834"/>
      <c r="AS89" s="834"/>
      <c r="AT89" s="834"/>
      <c r="AU89" s="834"/>
      <c r="AV89" s="834"/>
      <c r="AW89" s="834"/>
      <c r="AX89" s="834"/>
      <c r="AY89" s="834"/>
      <c r="AZ89" s="834"/>
      <c r="BA89" s="834"/>
      <c r="BB89" s="834"/>
      <c r="BC89" s="834"/>
      <c r="BD89" s="834"/>
      <c r="BE89" s="834"/>
      <c r="BF89" s="834"/>
      <c r="BG89" s="834"/>
      <c r="BH89" s="834"/>
      <c r="BI89" s="834"/>
      <c r="BJ89" s="834"/>
      <c r="BK89" s="834"/>
      <c r="BL89" s="834"/>
      <c r="BM89" s="834"/>
      <c r="BN89" s="834"/>
      <c r="BO89" s="834"/>
      <c r="BP89" s="834"/>
      <c r="BQ89" s="834"/>
      <c r="BR89" s="834"/>
      <c r="BS89" s="834"/>
      <c r="BT89" s="834"/>
      <c r="BU89" s="834"/>
      <c r="BV89" s="834"/>
      <c r="BW89" s="834"/>
      <c r="BX89" s="834"/>
      <c r="BY89" s="834"/>
      <c r="BZ89" s="834"/>
      <c r="CA89" s="834"/>
      <c r="CB89" s="834"/>
      <c r="CC89" s="834"/>
      <c r="CD89" s="834"/>
      <c r="CE89" s="834"/>
      <c r="CF89" s="834"/>
      <c r="CG89" s="834"/>
      <c r="CH89" s="834"/>
      <c r="CI89" s="834"/>
      <c r="CJ89" s="834"/>
      <c r="CK89" s="834"/>
    </row>
    <row r="90" spans="1:89" s="806" customFormat="1" ht="78.75">
      <c r="A90" s="884" t="s">
        <v>305</v>
      </c>
      <c r="B90" s="884" t="s">
        <v>306</v>
      </c>
      <c r="C90" s="818"/>
      <c r="D90" s="818"/>
      <c r="E90" s="1358"/>
      <c r="F90" s="1012"/>
      <c r="G90" s="818"/>
      <c r="H90" s="818"/>
      <c r="I90" s="818"/>
      <c r="J90" s="818"/>
      <c r="K90" s="1013"/>
      <c r="L90" s="1013"/>
      <c r="M90" s="1013"/>
      <c r="N90" s="818"/>
      <c r="O90" s="818"/>
      <c r="P90" s="1349"/>
      <c r="Q90" s="818"/>
      <c r="R90" s="818"/>
      <c r="S90" s="818"/>
      <c r="T90" s="818"/>
      <c r="U90" s="818"/>
      <c r="V90" s="818"/>
      <c r="W90" s="818"/>
      <c r="X90" s="1363"/>
      <c r="Y90" s="818"/>
      <c r="Z90" s="818"/>
      <c r="AA90" s="818"/>
      <c r="AB90" s="1363"/>
      <c r="AC90" s="818"/>
      <c r="AD90" s="818"/>
      <c r="AE90" s="818"/>
      <c r="AF90" s="818"/>
      <c r="AG90" s="1363"/>
      <c r="AH90" s="818"/>
      <c r="AI90" s="818"/>
      <c r="AJ90" s="818"/>
      <c r="AK90" s="818"/>
      <c r="AL90" s="818"/>
      <c r="AM90" s="823">
        <f t="shared" si="17"/>
        <v>0</v>
      </c>
      <c r="AN90" s="834"/>
      <c r="AO90" s="834"/>
      <c r="AP90" s="834"/>
      <c r="AQ90" s="834"/>
      <c r="AR90" s="834"/>
      <c r="AS90" s="834"/>
      <c r="AT90" s="834"/>
      <c r="AU90" s="834"/>
      <c r="AV90" s="834"/>
      <c r="AW90" s="834"/>
      <c r="AX90" s="834"/>
      <c r="AY90" s="834"/>
      <c r="AZ90" s="834"/>
      <c r="BA90" s="834"/>
      <c r="BB90" s="834"/>
      <c r="BC90" s="834"/>
      <c r="BD90" s="834"/>
      <c r="BE90" s="834"/>
      <c r="BF90" s="834"/>
      <c r="BG90" s="834"/>
      <c r="BH90" s="834"/>
      <c r="BI90" s="834"/>
      <c r="BJ90" s="834"/>
      <c r="BK90" s="834"/>
      <c r="BL90" s="834"/>
      <c r="BM90" s="834"/>
      <c r="BN90" s="834"/>
      <c r="BO90" s="834"/>
      <c r="BP90" s="834"/>
      <c r="BQ90" s="834"/>
      <c r="BR90" s="834"/>
      <c r="BS90" s="834"/>
      <c r="BT90" s="834"/>
      <c r="BU90" s="834"/>
      <c r="BV90" s="834"/>
      <c r="BW90" s="834"/>
      <c r="BX90" s="834"/>
      <c r="BY90" s="834"/>
      <c r="BZ90" s="834"/>
      <c r="CA90" s="834"/>
      <c r="CB90" s="834"/>
      <c r="CC90" s="834"/>
      <c r="CD90" s="834"/>
      <c r="CE90" s="834"/>
      <c r="CF90" s="834"/>
      <c r="CG90" s="834"/>
      <c r="CH90" s="834"/>
      <c r="CI90" s="834"/>
      <c r="CJ90" s="834"/>
      <c r="CK90" s="834"/>
    </row>
    <row r="91" spans="1:89" s="1429" customFormat="1" ht="31.5">
      <c r="A91" s="1444" t="s">
        <v>307</v>
      </c>
      <c r="B91" s="1445" t="s">
        <v>308</v>
      </c>
      <c r="C91" s="1349"/>
      <c r="D91" s="1349">
        <v>29462256</v>
      </c>
      <c r="E91" s="1358">
        <f>E92+E93+E94+E95+E96</f>
        <v>30193533.5</v>
      </c>
      <c r="F91" s="1358"/>
      <c r="G91" s="1349"/>
      <c r="H91" s="1349"/>
      <c r="I91" s="1349"/>
      <c r="J91" s="1349"/>
      <c r="K91" s="1448"/>
      <c r="L91" s="1448"/>
      <c r="M91" s="1448"/>
      <c r="N91" s="1349"/>
      <c r="O91" s="1349"/>
      <c r="P91" s="1349">
        <f>P94+P96</f>
        <v>601429.5</v>
      </c>
      <c r="Q91" s="1349"/>
      <c r="R91" s="1349"/>
      <c r="S91" s="1349"/>
      <c r="T91" s="1349"/>
      <c r="U91" s="1349"/>
      <c r="V91" s="1349"/>
      <c r="W91" s="1349"/>
      <c r="X91" s="1349"/>
      <c r="Y91" s="1349"/>
      <c r="Z91" s="1349"/>
      <c r="AA91" s="1349"/>
      <c r="AB91" s="1349"/>
      <c r="AC91" s="1349"/>
      <c r="AD91" s="1349"/>
      <c r="AE91" s="1349"/>
      <c r="AF91" s="1349"/>
      <c r="AG91" s="1349"/>
      <c r="AH91" s="1349"/>
      <c r="AI91" s="1349"/>
      <c r="AJ91" s="1349"/>
      <c r="AK91" s="1349"/>
      <c r="AL91" s="1349"/>
      <c r="AM91" s="1446">
        <f t="shared" si="17"/>
        <v>60257219</v>
      </c>
    </row>
    <row r="92" spans="1:89" s="824" customFormat="1" ht="31.5">
      <c r="A92" s="884" t="s">
        <v>309</v>
      </c>
      <c r="B92" s="1009" t="s">
        <v>310</v>
      </c>
      <c r="C92" s="814"/>
      <c r="D92" s="814"/>
      <c r="E92" s="1358">
        <f>F92+G9</f>
        <v>2146492</v>
      </c>
      <c r="F92" s="1015">
        <f>Отчет!J187</f>
        <v>2146492</v>
      </c>
      <c r="G92" s="814"/>
      <c r="H92" s="814"/>
      <c r="I92" s="814"/>
      <c r="J92" s="814"/>
      <c r="K92" s="1016"/>
      <c r="L92" s="1016"/>
      <c r="M92" s="1016"/>
      <c r="N92" s="814"/>
      <c r="O92" s="814"/>
      <c r="P92" s="1349">
        <f t="shared" ref="P92:P98" si="19">Q92</f>
        <v>0</v>
      </c>
      <c r="Q92" s="814"/>
      <c r="R92" s="814"/>
      <c r="S92" s="814"/>
      <c r="T92" s="814"/>
      <c r="U92" s="814"/>
      <c r="V92" s="814"/>
      <c r="W92" s="814"/>
      <c r="X92" s="1363"/>
      <c r="Y92" s="814"/>
      <c r="Z92" s="814"/>
      <c r="AA92" s="814"/>
      <c r="AB92" s="1363"/>
      <c r="AC92" s="814"/>
      <c r="AD92" s="814"/>
      <c r="AE92" s="814"/>
      <c r="AF92" s="814"/>
      <c r="AG92" s="1363"/>
      <c r="AH92" s="814"/>
      <c r="AI92" s="814"/>
      <c r="AJ92" s="814"/>
      <c r="AK92" s="814"/>
      <c r="AL92" s="814"/>
      <c r="AM92" s="823">
        <f t="shared" si="17"/>
        <v>4292984</v>
      </c>
      <c r="AN92" s="834"/>
      <c r="AO92" s="834"/>
      <c r="AP92" s="834"/>
      <c r="AQ92" s="834"/>
      <c r="AR92" s="834"/>
      <c r="AS92" s="834"/>
      <c r="AT92" s="834"/>
      <c r="AU92" s="834"/>
      <c r="AV92" s="834"/>
      <c r="AW92" s="834"/>
      <c r="AX92" s="834"/>
      <c r="AY92" s="834"/>
      <c r="AZ92" s="834"/>
      <c r="BA92" s="834"/>
      <c r="BB92" s="834"/>
      <c r="BC92" s="834"/>
      <c r="BD92" s="834"/>
      <c r="BE92" s="834"/>
      <c r="BF92" s="834"/>
      <c r="BG92" s="834"/>
      <c r="BH92" s="834"/>
      <c r="BI92" s="834"/>
      <c r="BJ92" s="834"/>
      <c r="BK92" s="834"/>
      <c r="BL92" s="834"/>
      <c r="BM92" s="834"/>
      <c r="BN92" s="834"/>
      <c r="BO92" s="834"/>
      <c r="BP92" s="834"/>
      <c r="BQ92" s="834"/>
      <c r="BR92" s="834"/>
      <c r="BS92" s="834"/>
      <c r="BT92" s="834"/>
      <c r="BU92" s="834"/>
      <c r="BV92" s="834"/>
      <c r="BW92" s="834"/>
      <c r="BX92" s="834"/>
      <c r="BY92" s="834"/>
      <c r="BZ92" s="834"/>
      <c r="CA92" s="834"/>
      <c r="CB92" s="834"/>
      <c r="CC92" s="834"/>
      <c r="CD92" s="834"/>
      <c r="CE92" s="834"/>
      <c r="CF92" s="834"/>
      <c r="CG92" s="834"/>
      <c r="CH92" s="834"/>
      <c r="CI92" s="834"/>
      <c r="CJ92" s="834"/>
      <c r="CK92" s="834"/>
    </row>
    <row r="93" spans="1:89" s="824" customFormat="1" ht="47.25">
      <c r="A93" s="884" t="s">
        <v>311</v>
      </c>
      <c r="B93" s="1009" t="s">
        <v>312</v>
      </c>
      <c r="C93" s="814"/>
      <c r="D93" s="814"/>
      <c r="E93" s="1358">
        <f>F93+G10</f>
        <v>1148758.8999999999</v>
      </c>
      <c r="F93" s="1015">
        <f>Отчет!J188+Отчет!J182+Отчет!J285</f>
        <v>1148758.8999999999</v>
      </c>
      <c r="G93" s="814"/>
      <c r="H93" s="814"/>
      <c r="I93" s="814"/>
      <c r="J93" s="814"/>
      <c r="K93" s="1016"/>
      <c r="L93" s="1016"/>
      <c r="M93" s="1016"/>
      <c r="N93" s="814"/>
      <c r="O93" s="814"/>
      <c r="P93" s="1349">
        <f t="shared" si="19"/>
        <v>0</v>
      </c>
      <c r="Q93" s="814"/>
      <c r="R93" s="814"/>
      <c r="S93" s="814"/>
      <c r="T93" s="814"/>
      <c r="U93" s="814"/>
      <c r="V93" s="814"/>
      <c r="W93" s="814"/>
      <c r="X93" s="1363"/>
      <c r="Y93" s="814"/>
      <c r="Z93" s="814"/>
      <c r="AA93" s="814"/>
      <c r="AB93" s="1363"/>
      <c r="AC93" s="814"/>
      <c r="AD93" s="814"/>
      <c r="AE93" s="814"/>
      <c r="AF93" s="814"/>
      <c r="AG93" s="1363"/>
      <c r="AH93" s="814"/>
      <c r="AI93" s="814"/>
      <c r="AJ93" s="814"/>
      <c r="AK93" s="814"/>
      <c r="AL93" s="814"/>
      <c r="AM93" s="823">
        <f t="shared" si="17"/>
        <v>2297517.7999999998</v>
      </c>
      <c r="AN93" s="834"/>
      <c r="AO93" s="834"/>
      <c r="AP93" s="834"/>
      <c r="AQ93" s="834"/>
      <c r="AR93" s="834"/>
      <c r="AS93" s="834"/>
      <c r="AT93" s="834"/>
      <c r="AU93" s="834"/>
      <c r="AV93" s="834"/>
      <c r="AW93" s="834"/>
      <c r="AX93" s="834"/>
      <c r="AY93" s="834"/>
      <c r="AZ93" s="834"/>
      <c r="BA93" s="834"/>
      <c r="BB93" s="834"/>
      <c r="BC93" s="834"/>
      <c r="BD93" s="834"/>
      <c r="BE93" s="834"/>
      <c r="BF93" s="834"/>
      <c r="BG93" s="834"/>
      <c r="BH93" s="834"/>
      <c r="BI93" s="834"/>
      <c r="BJ93" s="834"/>
      <c r="BK93" s="834"/>
      <c r="BL93" s="834"/>
      <c r="BM93" s="834"/>
      <c r="BN93" s="834"/>
      <c r="BO93" s="834"/>
      <c r="BP93" s="834"/>
      <c r="BQ93" s="834"/>
      <c r="BR93" s="834"/>
      <c r="BS93" s="834"/>
      <c r="BT93" s="834"/>
      <c r="BU93" s="834"/>
      <c r="BV93" s="834"/>
      <c r="BW93" s="834"/>
      <c r="BX93" s="834"/>
      <c r="BY93" s="834"/>
      <c r="BZ93" s="834"/>
      <c r="CA93" s="834"/>
      <c r="CB93" s="834"/>
      <c r="CC93" s="834"/>
      <c r="CD93" s="834"/>
      <c r="CE93" s="834"/>
      <c r="CF93" s="834"/>
      <c r="CG93" s="834"/>
      <c r="CH93" s="834"/>
      <c r="CI93" s="834"/>
      <c r="CJ93" s="834"/>
      <c r="CK93" s="834"/>
    </row>
    <row r="94" spans="1:89" s="824" customFormat="1" ht="63">
      <c r="A94" s="884" t="s">
        <v>313</v>
      </c>
      <c r="B94" s="1009" t="s">
        <v>314</v>
      </c>
      <c r="C94" s="814"/>
      <c r="D94" s="814"/>
      <c r="E94" s="1358">
        <f>F94+J94</f>
        <v>1796275</v>
      </c>
      <c r="F94" s="1015">
        <f>Отчет!J189</f>
        <v>1680389</v>
      </c>
      <c r="G94" s="814"/>
      <c r="H94" s="814"/>
      <c r="I94" s="814"/>
      <c r="J94" s="814">
        <f>Отчет!J257+Отчет!J255</f>
        <v>115886</v>
      </c>
      <c r="K94" s="814"/>
      <c r="L94" s="1016"/>
      <c r="M94" s="1016"/>
      <c r="N94" s="814"/>
      <c r="O94" s="814"/>
      <c r="P94" s="1349">
        <f t="shared" si="19"/>
        <v>105997.5</v>
      </c>
      <c r="Q94" s="814">
        <f>Отчет!J206+Отчет!J236</f>
        <v>105997.5</v>
      </c>
      <c r="R94" s="814"/>
      <c r="S94" s="814"/>
      <c r="T94" s="814"/>
      <c r="U94" s="814"/>
      <c r="V94" s="814"/>
      <c r="W94" s="814"/>
      <c r="X94" s="1363"/>
      <c r="Y94" s="814"/>
      <c r="Z94" s="814"/>
      <c r="AA94" s="814"/>
      <c r="AB94" s="1363"/>
      <c r="AC94" s="814"/>
      <c r="AD94" s="814"/>
      <c r="AE94" s="814"/>
      <c r="AF94" s="814"/>
      <c r="AG94" s="1363"/>
      <c r="AH94" s="814"/>
      <c r="AI94" s="814"/>
      <c r="AJ94" s="814"/>
      <c r="AK94" s="814"/>
      <c r="AL94" s="814"/>
      <c r="AM94" s="823">
        <f t="shared" si="17"/>
        <v>3804545</v>
      </c>
      <c r="AN94" s="834"/>
      <c r="AO94" s="834"/>
      <c r="AP94" s="834"/>
      <c r="AQ94" s="834"/>
      <c r="AR94" s="834"/>
      <c r="AS94" s="834"/>
      <c r="AT94" s="834"/>
      <c r="AU94" s="834"/>
      <c r="AV94" s="834"/>
      <c r="AW94" s="834"/>
      <c r="AX94" s="834"/>
      <c r="AY94" s="834"/>
      <c r="AZ94" s="834"/>
      <c r="BA94" s="834"/>
      <c r="BB94" s="834"/>
      <c r="BC94" s="834"/>
      <c r="BD94" s="834"/>
      <c r="BE94" s="834"/>
      <c r="BF94" s="834"/>
      <c r="BG94" s="834"/>
      <c r="BH94" s="834"/>
      <c r="BI94" s="834"/>
      <c r="BJ94" s="834"/>
      <c r="BK94" s="834"/>
      <c r="BL94" s="834"/>
      <c r="BM94" s="834"/>
      <c r="BN94" s="834"/>
      <c r="BO94" s="834"/>
      <c r="BP94" s="834"/>
      <c r="BQ94" s="834"/>
      <c r="BR94" s="834"/>
      <c r="BS94" s="834"/>
      <c r="BT94" s="834"/>
      <c r="BU94" s="834"/>
      <c r="BV94" s="834"/>
      <c r="BW94" s="834"/>
      <c r="BX94" s="834"/>
      <c r="BY94" s="834"/>
      <c r="BZ94" s="834"/>
      <c r="CA94" s="834"/>
      <c r="CB94" s="834"/>
      <c r="CC94" s="834"/>
      <c r="CD94" s="834"/>
      <c r="CE94" s="834"/>
      <c r="CF94" s="834"/>
      <c r="CG94" s="834"/>
      <c r="CH94" s="834"/>
      <c r="CI94" s="834"/>
      <c r="CJ94" s="834"/>
      <c r="CK94" s="834"/>
    </row>
    <row r="95" spans="1:89" ht="31.5">
      <c r="A95" s="1017" t="s">
        <v>315</v>
      </c>
      <c r="B95" s="1009" t="s">
        <v>316</v>
      </c>
      <c r="C95" s="814"/>
      <c r="E95" s="1358">
        <f>F95+N95+O95</f>
        <v>24747814</v>
      </c>
      <c r="F95" s="1015">
        <f>Отчет!J52+Отчет!J191+Отчет!J194</f>
        <v>7749502</v>
      </c>
      <c r="G95" s="814"/>
      <c r="H95" s="814"/>
      <c r="I95" s="814"/>
      <c r="J95" s="814"/>
      <c r="K95" s="1016"/>
      <c r="L95" s="1016"/>
      <c r="M95" s="1016"/>
      <c r="N95" s="814">
        <f>Отчет!J278</f>
        <v>11472</v>
      </c>
      <c r="O95" s="814">
        <v>16986840</v>
      </c>
      <c r="P95" s="1349">
        <f t="shared" si="19"/>
        <v>0</v>
      </c>
      <c r="Q95" s="814"/>
      <c r="R95" s="814"/>
      <c r="T95" s="814"/>
      <c r="U95" s="814"/>
      <c r="W95" s="814"/>
      <c r="Y95" s="814"/>
      <c r="Z95" s="814"/>
      <c r="AA95" s="814"/>
      <c r="AC95" s="814"/>
      <c r="AD95" s="814"/>
      <c r="AE95" s="814"/>
      <c r="AF95" s="814"/>
      <c r="AH95" s="814"/>
      <c r="AI95" s="814"/>
      <c r="AJ95" s="814"/>
      <c r="AK95" s="814"/>
      <c r="AL95" s="814"/>
      <c r="AM95" s="823">
        <f t="shared" si="17"/>
        <v>49495628</v>
      </c>
    </row>
    <row r="96" spans="1:89" ht="63">
      <c r="A96" s="1017" t="s">
        <v>2607</v>
      </c>
      <c r="B96" s="1009" t="s">
        <v>2608</v>
      </c>
      <c r="C96" s="814"/>
      <c r="E96" s="1358">
        <f>F96</f>
        <v>354193.6</v>
      </c>
      <c r="F96" s="1015">
        <f>Отчет!J181</f>
        <v>354193.6</v>
      </c>
      <c r="G96" s="814"/>
      <c r="H96" s="814"/>
      <c r="I96" s="814"/>
      <c r="J96" s="814"/>
      <c r="K96" s="1016"/>
      <c r="L96" s="1016"/>
      <c r="M96" s="1016"/>
      <c r="O96" s="814"/>
      <c r="P96" s="1349">
        <f t="shared" si="19"/>
        <v>495432</v>
      </c>
      <c r="Q96" s="814">
        <f>Отчет!J208</f>
        <v>495432</v>
      </c>
      <c r="R96" s="814"/>
      <c r="T96" s="814"/>
      <c r="U96" s="814"/>
      <c r="W96" s="814"/>
      <c r="Y96" s="814"/>
      <c r="Z96" s="814"/>
      <c r="AA96" s="814"/>
      <c r="AC96" s="814"/>
      <c r="AD96" s="814"/>
      <c r="AE96" s="814"/>
      <c r="AF96" s="814"/>
      <c r="AH96" s="814"/>
      <c r="AI96" s="814"/>
      <c r="AJ96" s="814"/>
      <c r="AK96" s="814"/>
      <c r="AL96" s="814"/>
      <c r="AM96" s="823">
        <f t="shared" si="17"/>
        <v>1699251.2</v>
      </c>
    </row>
    <row r="97" spans="1:89" s="1429" customFormat="1" ht="47.25">
      <c r="A97" s="1444" t="s">
        <v>317</v>
      </c>
      <c r="B97" s="1449" t="s">
        <v>318</v>
      </c>
      <c r="C97" s="1349"/>
      <c r="D97" s="1349">
        <f>E97+P97</f>
        <v>655615.80000000005</v>
      </c>
      <c r="E97" s="1358">
        <f>F97</f>
        <v>68519.8</v>
      </c>
      <c r="F97" s="1358">
        <f>Отчет!J49+Отчет!J199</f>
        <v>68519.8</v>
      </c>
      <c r="G97" s="1349"/>
      <c r="H97" s="1349"/>
      <c r="I97" s="1349"/>
      <c r="J97" s="1349"/>
      <c r="K97" s="1448"/>
      <c r="L97" s="1448"/>
      <c r="M97" s="1448"/>
      <c r="N97" s="1349"/>
      <c r="O97" s="1349"/>
      <c r="P97" s="1349">
        <f t="shared" si="19"/>
        <v>587096</v>
      </c>
      <c r="Q97" s="1349">
        <f>Отчет!J215+Отчет!J170+Отчет!J166</f>
        <v>587096</v>
      </c>
      <c r="R97" s="1349"/>
      <c r="S97" s="1349"/>
      <c r="T97" s="1349"/>
      <c r="U97" s="1349"/>
      <c r="V97" s="1349"/>
      <c r="W97" s="1349"/>
      <c r="X97" s="1349"/>
      <c r="Y97" s="1349"/>
      <c r="Z97" s="1349"/>
      <c r="AA97" s="1349"/>
      <c r="AB97" s="1349"/>
      <c r="AC97" s="1349"/>
      <c r="AD97" s="1349"/>
      <c r="AE97" s="1349"/>
      <c r="AF97" s="1349"/>
      <c r="AG97" s="1349"/>
      <c r="AH97" s="1349"/>
      <c r="AI97" s="1349"/>
      <c r="AJ97" s="1349"/>
      <c r="AK97" s="1349"/>
      <c r="AL97" s="1349"/>
      <c r="AM97" s="1446">
        <f t="shared" si="17"/>
        <v>1966847.4000000001</v>
      </c>
    </row>
    <row r="98" spans="1:89" s="1429" customFormat="1" ht="19.5">
      <c r="A98" s="1444" t="s">
        <v>319</v>
      </c>
      <c r="B98" s="1449" t="s">
        <v>320</v>
      </c>
      <c r="C98" s="1349"/>
      <c r="D98" s="1349">
        <f>E98+P98</f>
        <v>663785.34979829541</v>
      </c>
      <c r="E98" s="1358">
        <f>F98</f>
        <v>523242.44979829539</v>
      </c>
      <c r="F98" s="1358">
        <f>Отчет!J198+'036 гобм'!P9+'036 гобм'!AL9</f>
        <v>523242.44979829539</v>
      </c>
      <c r="G98" s="1349"/>
      <c r="H98" s="1349"/>
      <c r="I98" s="1349"/>
      <c r="K98" s="1448"/>
      <c r="L98" s="1448"/>
      <c r="M98" s="1448"/>
      <c r="N98" s="1349"/>
      <c r="O98" s="1349"/>
      <c r="P98" s="1349">
        <f t="shared" si="19"/>
        <v>140542.9</v>
      </c>
      <c r="Q98" s="1349">
        <f>Отчет!J209+Отчет!J216</f>
        <v>140542.9</v>
      </c>
      <c r="R98" s="1349"/>
      <c r="S98" s="1349"/>
      <c r="T98" s="1349"/>
      <c r="U98" s="1349"/>
      <c r="V98" s="1349"/>
      <c r="W98" s="1349"/>
      <c r="X98" s="1349">
        <f>AA98</f>
        <v>8793121</v>
      </c>
      <c r="Y98" s="1349"/>
      <c r="Z98" s="1349"/>
      <c r="AA98" s="1349">
        <f>'HF-HP2'!AA73</f>
        <v>8793121</v>
      </c>
      <c r="AB98" s="1349"/>
      <c r="AC98" s="1349"/>
      <c r="AD98" s="1349"/>
      <c r="AE98" s="1349"/>
      <c r="AF98" s="1349"/>
      <c r="AG98" s="1349">
        <f>AH98</f>
        <v>31716</v>
      </c>
      <c r="AH98" s="1349">
        <f>'Соцфин 2.1'!H18</f>
        <v>31716</v>
      </c>
      <c r="AI98" s="1349"/>
      <c r="AJ98" s="1349"/>
      <c r="AK98" s="1349"/>
      <c r="AL98" s="1349"/>
      <c r="AM98" s="1446">
        <f t="shared" si="17"/>
        <v>19641030.049394887</v>
      </c>
    </row>
    <row r="99" spans="1:89" s="1429" customFormat="1" ht="19.5">
      <c r="A99" s="1444" t="s">
        <v>321</v>
      </c>
      <c r="B99" s="1449" t="s">
        <v>322</v>
      </c>
      <c r="C99" s="1349"/>
      <c r="D99" s="1349"/>
      <c r="E99" s="1358"/>
      <c r="F99" s="1358"/>
      <c r="G99" s="1349"/>
      <c r="H99" s="1349"/>
      <c r="I99" s="1349"/>
      <c r="J99" s="1349"/>
      <c r="K99" s="1448"/>
      <c r="L99" s="1448"/>
      <c r="M99" s="1448"/>
      <c r="N99" s="1349"/>
      <c r="O99" s="1349"/>
      <c r="P99" s="1349"/>
      <c r="Q99" s="1349"/>
      <c r="R99" s="1349"/>
      <c r="S99" s="1349"/>
      <c r="T99" s="1349"/>
      <c r="U99" s="1349"/>
      <c r="V99" s="1349"/>
      <c r="W99" s="1349"/>
      <c r="X99" s="1349"/>
      <c r="Y99" s="1349"/>
      <c r="Z99" s="1349"/>
      <c r="AA99" s="1349"/>
      <c r="AB99" s="1349"/>
      <c r="AC99" s="1349"/>
      <c r="AD99" s="1349"/>
      <c r="AE99" s="1349"/>
      <c r="AF99" s="1349"/>
      <c r="AG99" s="1349"/>
      <c r="AH99" s="1349"/>
      <c r="AI99" s="1349"/>
      <c r="AJ99" s="1349"/>
      <c r="AK99" s="1349"/>
      <c r="AL99" s="1349"/>
      <c r="AM99" s="1446">
        <f t="shared" si="17"/>
        <v>0</v>
      </c>
    </row>
    <row r="100" spans="1:89" s="1117" customFormat="1" ht="19.5">
      <c r="A100" s="1018"/>
      <c r="B100" s="1019"/>
      <c r="C100" s="1020">
        <f>SUM(C4:C99)</f>
        <v>0</v>
      </c>
      <c r="D100" s="1020">
        <f>SUM(D4:D99)</f>
        <v>1655802328.3634007</v>
      </c>
      <c r="E100" s="1351">
        <f>SUM(E4:E99)</f>
        <v>811147828.92056072</v>
      </c>
      <c r="F100" s="1020">
        <f>SUM(F5:F99)</f>
        <v>491644580.20261508</v>
      </c>
      <c r="G100" s="1020">
        <f>SUM(G4:G99)</f>
        <v>6618321</v>
      </c>
      <c r="H100" s="1020">
        <f>SUM(H4:H99)</f>
        <v>425488</v>
      </c>
      <c r="I100" s="1020">
        <f>SUM(I4:I99)</f>
        <v>11999670</v>
      </c>
      <c r="J100" s="1020">
        <f>SUM(J5:J99)</f>
        <v>4822608</v>
      </c>
      <c r="K100" s="1020">
        <f t="shared" ref="K100:R100" si="20">SUM(K4:K99)</f>
        <v>0</v>
      </c>
      <c r="L100" s="1020">
        <f t="shared" si="20"/>
        <v>0</v>
      </c>
      <c r="M100" s="1020">
        <f t="shared" si="20"/>
        <v>0</v>
      </c>
      <c r="N100" s="1020">
        <f t="shared" si="20"/>
        <v>11472</v>
      </c>
      <c r="O100" s="1020">
        <f t="shared" si="20"/>
        <v>16986840</v>
      </c>
      <c r="P100" s="1351">
        <f t="shared" si="20"/>
        <v>876782169.44284046</v>
      </c>
      <c r="Q100" s="1020">
        <f t="shared" si="20"/>
        <v>778405472.6428405</v>
      </c>
      <c r="R100" s="1020">
        <f t="shared" si="20"/>
        <v>0</v>
      </c>
      <c r="S100" s="1020">
        <v>150000</v>
      </c>
      <c r="T100" s="1020">
        <f>SUM(T4:T99)</f>
        <v>0</v>
      </c>
      <c r="U100" s="1020"/>
      <c r="V100" s="1020">
        <f>SUM(V4:V99)</f>
        <v>0</v>
      </c>
      <c r="W100" s="1020">
        <f>SUM(W4:W99)</f>
        <v>0</v>
      </c>
      <c r="X100" s="1364">
        <f>SUM(X4:X99)</f>
        <v>19009894</v>
      </c>
      <c r="Y100" s="1020">
        <v>0</v>
      </c>
      <c r="Z100" s="1020">
        <f>SUM(Z4:Z99)</f>
        <v>34706755</v>
      </c>
      <c r="AA100" s="1020">
        <f>SUM(AA4:AA99)</f>
        <v>90063247</v>
      </c>
      <c r="AB100" s="1364">
        <f>SUM(AB5:AB99)</f>
        <v>0</v>
      </c>
      <c r="AC100" s="1020">
        <f t="shared" ref="AC100:AL100" si="21">SUM(AC4:AC99)</f>
        <v>0</v>
      </c>
      <c r="AD100" s="1020">
        <f t="shared" si="21"/>
        <v>0</v>
      </c>
      <c r="AE100" s="1020">
        <f t="shared" si="21"/>
        <v>0</v>
      </c>
      <c r="AF100" s="1020">
        <f t="shared" si="21"/>
        <v>0</v>
      </c>
      <c r="AG100" s="1364">
        <f t="shared" si="21"/>
        <v>3219711.4541806383</v>
      </c>
      <c r="AH100" s="1020">
        <f t="shared" si="21"/>
        <v>4574759.0094016884</v>
      </c>
      <c r="AI100" s="1020">
        <f t="shared" si="21"/>
        <v>-9907981.5879932605</v>
      </c>
      <c r="AJ100" s="1020">
        <f t="shared" si="21"/>
        <v>309135.46245633997</v>
      </c>
      <c r="AK100" s="1020">
        <f t="shared" si="21"/>
        <v>1006842.7075538863</v>
      </c>
      <c r="AL100" s="1020">
        <f t="shared" si="21"/>
        <v>2819710.9322823966</v>
      </c>
      <c r="AM100" s="823">
        <f>SUM(AM4:AM99)</f>
        <v>5038263431.0747852</v>
      </c>
      <c r="AN100" s="1116"/>
      <c r="AO100" s="1116"/>
      <c r="AP100" s="1116"/>
      <c r="AQ100" s="1116"/>
      <c r="AR100" s="1116"/>
      <c r="AS100" s="1116"/>
      <c r="AT100" s="1116"/>
      <c r="AU100" s="1116"/>
      <c r="AV100" s="1116"/>
      <c r="AW100" s="1116"/>
      <c r="AX100" s="1116"/>
      <c r="AY100" s="1116"/>
      <c r="AZ100" s="1116"/>
      <c r="BA100" s="1116"/>
      <c r="BB100" s="1116"/>
      <c r="BC100" s="1116"/>
      <c r="BD100" s="1116"/>
      <c r="BE100" s="1116"/>
      <c r="BF100" s="1116"/>
      <c r="BG100" s="1116"/>
      <c r="BH100" s="1116"/>
      <c r="BI100" s="1116"/>
      <c r="BJ100" s="1116"/>
      <c r="BK100" s="1116"/>
      <c r="BL100" s="1116"/>
      <c r="BM100" s="1116"/>
      <c r="BN100" s="1116"/>
      <c r="BO100" s="1116"/>
      <c r="BP100" s="1116"/>
      <c r="BQ100" s="1116"/>
      <c r="BR100" s="1116"/>
      <c r="BS100" s="1116"/>
      <c r="BT100" s="1116"/>
      <c r="BU100" s="1116"/>
      <c r="BV100" s="1116"/>
      <c r="BW100" s="1116"/>
      <c r="BX100" s="1116"/>
      <c r="BY100" s="1116"/>
      <c r="BZ100" s="1116"/>
      <c r="CA100" s="1116"/>
      <c r="CB100" s="1116"/>
      <c r="CC100" s="1116"/>
      <c r="CD100" s="1116"/>
      <c r="CE100" s="1116"/>
      <c r="CF100" s="1116"/>
      <c r="CG100" s="1116"/>
      <c r="CH100" s="1116"/>
      <c r="CI100" s="1116"/>
      <c r="CJ100" s="1116"/>
      <c r="CK100" s="1116"/>
    </row>
    <row r="101" spans="1:89" s="1134" customFormat="1">
      <c r="A101" s="1129"/>
      <c r="B101" s="1130"/>
      <c r="C101" s="1131"/>
      <c r="D101" s="1131">
        <f>D98+D97+D91+D83+D82+D68</f>
        <v>49625151.149798296</v>
      </c>
      <c r="E101" s="1359"/>
      <c r="F101" s="1132"/>
      <c r="G101" s="1131"/>
      <c r="H101" s="1131"/>
      <c r="I101" s="1131"/>
      <c r="J101" s="1131"/>
      <c r="K101" s="1133"/>
      <c r="L101" s="1133"/>
      <c r="M101" s="1133"/>
      <c r="N101" s="1131"/>
      <c r="O101" s="1131"/>
      <c r="P101" s="1352"/>
      <c r="Q101" s="1131"/>
      <c r="R101" s="1131"/>
      <c r="S101" s="1131"/>
      <c r="T101" s="1131"/>
      <c r="U101" s="1131"/>
      <c r="V101" s="1131"/>
      <c r="W101" s="1131"/>
      <c r="X101" s="1365"/>
      <c r="Y101" s="1131"/>
      <c r="Z101" s="1131"/>
      <c r="AA101" s="1131"/>
      <c r="AB101" s="1365"/>
      <c r="AC101" s="1131"/>
      <c r="AD101" s="1131"/>
      <c r="AE101" s="1131"/>
      <c r="AF101" s="1131"/>
      <c r="AG101" s="1365"/>
      <c r="AH101" s="1131"/>
      <c r="AI101" s="1131"/>
      <c r="AJ101" s="1131"/>
      <c r="AK101" s="1131"/>
      <c r="AL101" s="1131"/>
    </row>
    <row r="102" spans="1:89" s="1134" customFormat="1">
      <c r="A102" s="1129"/>
      <c r="B102" s="1130"/>
      <c r="C102" s="1131"/>
      <c r="D102" s="1131"/>
      <c r="E102" s="1359"/>
      <c r="F102" s="1132"/>
      <c r="G102" s="1131"/>
      <c r="H102" s="1131"/>
      <c r="I102" s="1131"/>
      <c r="J102" s="1131"/>
      <c r="K102" s="1133"/>
      <c r="L102" s="1133"/>
      <c r="M102" s="1133"/>
      <c r="N102" s="1131"/>
      <c r="O102" s="1131"/>
      <c r="P102" s="1352"/>
      <c r="Q102" s="1131"/>
      <c r="R102" s="1131"/>
      <c r="S102" s="1131"/>
      <c r="T102" s="1131"/>
      <c r="U102" s="1131"/>
      <c r="V102" s="1131"/>
      <c r="W102" s="1131"/>
      <c r="X102" s="1365"/>
      <c r="Y102" s="1131"/>
      <c r="Z102" s="1131"/>
      <c r="AA102" s="1131"/>
      <c r="AB102" s="1365"/>
      <c r="AC102" s="1131"/>
      <c r="AD102" s="1131"/>
      <c r="AE102" s="1131"/>
      <c r="AF102" s="1131"/>
      <c r="AG102" s="1365"/>
      <c r="AH102" s="1131"/>
      <c r="AI102" s="1131"/>
      <c r="AJ102" s="1131"/>
      <c r="AK102" s="1131"/>
      <c r="AL102" s="1131"/>
    </row>
    <row r="103" spans="1:89" s="1134" customFormat="1">
      <c r="A103" s="1129"/>
      <c r="B103" s="1130"/>
      <c r="C103" s="1131"/>
      <c r="D103" s="1131">
        <f>D98+D97+D83+D82+D68</f>
        <v>20162895.149798296</v>
      </c>
      <c r="E103" s="1359">
        <v>49625151</v>
      </c>
      <c r="F103" s="1132"/>
      <c r="G103" s="1131"/>
      <c r="H103" s="1131"/>
      <c r="I103" s="1131"/>
      <c r="J103" s="1131"/>
      <c r="K103" s="1133"/>
      <c r="L103" s="1133"/>
      <c r="M103" s="1133"/>
      <c r="N103" s="1131"/>
      <c r="O103" s="1131"/>
      <c r="P103" s="1352"/>
      <c r="Q103" s="1131"/>
      <c r="R103" s="1131"/>
      <c r="S103" s="1131"/>
      <c r="T103" s="1131"/>
      <c r="U103" s="1131"/>
      <c r="V103" s="1131"/>
      <c r="W103" s="1131"/>
      <c r="X103" s="1365"/>
      <c r="Y103" s="1131"/>
      <c r="Z103" s="1131"/>
      <c r="AA103" s="1131"/>
      <c r="AB103" s="1365"/>
      <c r="AC103" s="1131"/>
      <c r="AD103" s="1131"/>
      <c r="AE103" s="1131"/>
      <c r="AF103" s="1131"/>
      <c r="AG103" s="1365"/>
      <c r="AH103" s="1131"/>
      <c r="AI103" s="1131"/>
      <c r="AJ103" s="1131"/>
      <c r="AK103" s="1131"/>
      <c r="AL103" s="1131"/>
    </row>
    <row r="104" spans="1:89" s="1134" customFormat="1">
      <c r="A104" s="1129"/>
      <c r="B104" s="1130"/>
      <c r="C104" s="1131"/>
      <c r="D104" s="1131"/>
      <c r="E104" s="1359">
        <f>E103-D103</f>
        <v>29462255.850201704</v>
      </c>
      <c r="F104" s="1132"/>
      <c r="G104" s="1131"/>
      <c r="H104" s="1131"/>
      <c r="I104" s="1131"/>
      <c r="J104" s="1131"/>
      <c r="K104" s="1133"/>
      <c r="L104" s="1133"/>
      <c r="M104" s="1133"/>
      <c r="N104" s="1131"/>
      <c r="O104" s="1131"/>
      <c r="P104" s="1352"/>
      <c r="Q104" s="1131"/>
      <c r="R104" s="1131"/>
      <c r="S104" s="1131"/>
      <c r="T104" s="1131"/>
      <c r="U104" s="1131"/>
      <c r="V104" s="1131"/>
      <c r="W104" s="1131"/>
      <c r="X104" s="1365"/>
      <c r="Y104" s="1131"/>
      <c r="Z104" s="1131"/>
      <c r="AA104" s="1131"/>
      <c r="AB104" s="1365"/>
      <c r="AC104" s="1131"/>
      <c r="AD104" s="1131"/>
      <c r="AE104" s="1131"/>
      <c r="AF104" s="1131"/>
      <c r="AG104" s="1365"/>
      <c r="AH104" s="1131"/>
      <c r="AI104" s="1131"/>
      <c r="AJ104" s="1131"/>
      <c r="AK104" s="1131"/>
      <c r="AL104" s="1131"/>
    </row>
    <row r="105" spans="1:89" s="1134" customFormat="1">
      <c r="A105" s="1129"/>
      <c r="B105" s="1130"/>
      <c r="C105" s="1131"/>
      <c r="D105" s="1131"/>
      <c r="E105" s="1359"/>
      <c r="F105" s="1132"/>
      <c r="G105" s="1131"/>
      <c r="H105" s="1131"/>
      <c r="I105" s="1131"/>
      <c r="J105" s="1131"/>
      <c r="K105" s="1133"/>
      <c r="L105" s="1133"/>
      <c r="M105" s="1133"/>
      <c r="N105" s="1131"/>
      <c r="O105" s="1131"/>
      <c r="P105" s="1352"/>
      <c r="Q105" s="1131"/>
      <c r="R105" s="1131"/>
      <c r="S105" s="1131"/>
      <c r="T105" s="1131"/>
      <c r="U105" s="1131"/>
      <c r="V105" s="1131"/>
      <c r="W105" s="1131"/>
      <c r="X105" s="1365"/>
      <c r="Y105" s="1131"/>
      <c r="Z105" s="1131"/>
      <c r="AA105" s="1131"/>
      <c r="AB105" s="1365"/>
      <c r="AC105" s="1131"/>
      <c r="AD105" s="1131"/>
      <c r="AE105" s="1131"/>
      <c r="AF105" s="1131"/>
      <c r="AG105" s="1365"/>
      <c r="AH105" s="1131"/>
      <c r="AI105" s="1131"/>
      <c r="AJ105" s="1131"/>
      <c r="AK105" s="1131"/>
      <c r="AL105" s="1131"/>
    </row>
    <row r="106" spans="1:89" s="1134" customFormat="1">
      <c r="A106" s="1129"/>
      <c r="B106" s="1130"/>
      <c r="C106" s="1131"/>
      <c r="D106" s="1131"/>
      <c r="E106" s="1359"/>
      <c r="F106" s="1132"/>
      <c r="G106" s="1131"/>
      <c r="H106" s="1131"/>
      <c r="I106" s="1131"/>
      <c r="J106" s="1131"/>
      <c r="K106" s="1133"/>
      <c r="L106" s="1133"/>
      <c r="M106" s="1133"/>
      <c r="N106" s="1131"/>
      <c r="O106" s="1131"/>
      <c r="P106" s="1352"/>
      <c r="Q106" s="1131"/>
      <c r="R106" s="1131"/>
      <c r="S106" s="1131"/>
      <c r="T106" s="1131"/>
      <c r="U106" s="1131"/>
      <c r="V106" s="1131"/>
      <c r="W106" s="1131"/>
      <c r="X106" s="1365"/>
      <c r="Y106" s="1131"/>
      <c r="Z106" s="1131"/>
      <c r="AA106" s="1131"/>
      <c r="AB106" s="1365"/>
      <c r="AC106" s="1131"/>
      <c r="AD106" s="1131"/>
      <c r="AE106" s="1131"/>
      <c r="AF106" s="1131"/>
      <c r="AG106" s="1365"/>
      <c r="AH106" s="1131"/>
      <c r="AI106" s="1131"/>
      <c r="AJ106" s="1131"/>
      <c r="AK106" s="1131"/>
      <c r="AL106" s="1131"/>
    </row>
    <row r="107" spans="1:89" s="1134" customFormat="1">
      <c r="A107" s="1129"/>
      <c r="B107" s="1130"/>
      <c r="C107" s="1131"/>
      <c r="D107" s="1131"/>
      <c r="E107" s="1359"/>
      <c r="F107" s="1132"/>
      <c r="G107" s="1131"/>
      <c r="H107" s="1131"/>
      <c r="I107" s="1131"/>
      <c r="J107" s="1131"/>
      <c r="K107" s="1133"/>
      <c r="L107" s="1133"/>
      <c r="M107" s="1133"/>
      <c r="N107" s="1131"/>
      <c r="O107" s="1131"/>
      <c r="P107" s="1352"/>
      <c r="Q107" s="1131"/>
      <c r="R107" s="1131"/>
      <c r="S107" s="1131"/>
      <c r="T107" s="1131"/>
      <c r="U107" s="1131"/>
      <c r="V107" s="1131"/>
      <c r="W107" s="1131"/>
      <c r="X107" s="1365"/>
      <c r="Y107" s="1131"/>
      <c r="Z107" s="1131"/>
      <c r="AA107" s="1131"/>
      <c r="AB107" s="1365"/>
      <c r="AC107" s="1131"/>
      <c r="AD107" s="1131"/>
      <c r="AE107" s="1131"/>
      <c r="AF107" s="1131"/>
      <c r="AG107" s="1365"/>
      <c r="AH107" s="1131"/>
      <c r="AI107" s="1131"/>
      <c r="AJ107" s="1131"/>
      <c r="AK107" s="1131"/>
      <c r="AL107" s="1131"/>
    </row>
    <row r="108" spans="1:89" s="1134" customFormat="1">
      <c r="A108" s="1129"/>
      <c r="B108" s="1130"/>
      <c r="C108" s="1131"/>
      <c r="D108" s="1131"/>
      <c r="E108" s="1359"/>
      <c r="F108" s="1132"/>
      <c r="G108" s="1131"/>
      <c r="H108" s="1131"/>
      <c r="I108" s="1131"/>
      <c r="J108" s="1131"/>
      <c r="K108" s="1133"/>
      <c r="L108" s="1133"/>
      <c r="M108" s="1133"/>
      <c r="N108" s="1131"/>
      <c r="O108" s="1131"/>
      <c r="P108" s="1352"/>
      <c r="Q108" s="1131"/>
      <c r="R108" s="1131"/>
      <c r="S108" s="1131"/>
      <c r="T108" s="1131"/>
      <c r="U108" s="1131"/>
      <c r="V108" s="1131"/>
      <c r="W108" s="1131"/>
      <c r="X108" s="1365"/>
      <c r="Y108" s="1131"/>
      <c r="Z108" s="1131"/>
      <c r="AA108" s="1131"/>
      <c r="AB108" s="1365"/>
      <c r="AC108" s="1131"/>
      <c r="AD108" s="1131"/>
      <c r="AE108" s="1131"/>
      <c r="AF108" s="1131"/>
      <c r="AG108" s="1365"/>
      <c r="AH108" s="1131"/>
      <c r="AI108" s="1131"/>
      <c r="AJ108" s="1131"/>
      <c r="AK108" s="1131"/>
      <c r="AL108" s="1131"/>
    </row>
    <row r="109" spans="1:89" s="1134" customFormat="1">
      <c r="A109" s="1129"/>
      <c r="B109" s="1130"/>
      <c r="C109" s="1131"/>
      <c r="D109" s="1131"/>
      <c r="E109" s="1359"/>
      <c r="F109" s="1132"/>
      <c r="G109" s="1131"/>
      <c r="H109" s="1131"/>
      <c r="I109" s="1131"/>
      <c r="J109" s="1131"/>
      <c r="K109" s="1133"/>
      <c r="L109" s="1133"/>
      <c r="M109" s="1133"/>
      <c r="N109" s="1131"/>
      <c r="O109" s="1131"/>
      <c r="P109" s="1352"/>
      <c r="Q109" s="1131"/>
      <c r="R109" s="1131"/>
      <c r="S109" s="1131"/>
      <c r="T109" s="1131"/>
      <c r="U109" s="1131"/>
      <c r="V109" s="1131"/>
      <c r="W109" s="1131"/>
      <c r="X109" s="1365"/>
      <c r="Y109" s="1131"/>
      <c r="Z109" s="1131"/>
      <c r="AA109" s="1131"/>
      <c r="AB109" s="1365"/>
      <c r="AC109" s="1131"/>
      <c r="AD109" s="1131"/>
      <c r="AE109" s="1131"/>
      <c r="AF109" s="1131"/>
      <c r="AG109" s="1365"/>
      <c r="AH109" s="1131"/>
      <c r="AI109" s="1131"/>
      <c r="AJ109" s="1131"/>
      <c r="AK109" s="1131"/>
      <c r="AL109" s="1131"/>
    </row>
    <row r="110" spans="1:89" s="1134" customFormat="1">
      <c r="A110" s="1129"/>
      <c r="B110" s="1130"/>
      <c r="C110" s="1131"/>
      <c r="D110" s="1131"/>
      <c r="E110" s="1359"/>
      <c r="F110" s="1132"/>
      <c r="G110" s="1131"/>
      <c r="H110" s="1131"/>
      <c r="I110" s="1131"/>
      <c r="J110" s="1131"/>
      <c r="K110" s="1133"/>
      <c r="L110" s="1133"/>
      <c r="M110" s="1133"/>
      <c r="N110" s="1131"/>
      <c r="O110" s="1131"/>
      <c r="P110" s="1352"/>
      <c r="Q110" s="1131"/>
      <c r="R110" s="1131"/>
      <c r="S110" s="1131"/>
      <c r="T110" s="1131"/>
      <c r="U110" s="1131"/>
      <c r="V110" s="1131"/>
      <c r="W110" s="1131"/>
      <c r="X110" s="1365"/>
      <c r="Y110" s="1131"/>
      <c r="Z110" s="1131"/>
      <c r="AA110" s="1131"/>
      <c r="AB110" s="1365"/>
      <c r="AC110" s="1131"/>
      <c r="AD110" s="1131"/>
      <c r="AE110" s="1131"/>
      <c r="AF110" s="1131"/>
      <c r="AG110" s="1365"/>
      <c r="AH110" s="1131"/>
      <c r="AI110" s="1131"/>
      <c r="AJ110" s="1131"/>
      <c r="AK110" s="1131"/>
      <c r="AL110" s="1131"/>
    </row>
    <row r="111" spans="1:89" s="1134" customFormat="1">
      <c r="A111" s="1129"/>
      <c r="B111" s="1130"/>
      <c r="C111" s="1131"/>
      <c r="D111" s="1131"/>
      <c r="E111" s="1359"/>
      <c r="F111" s="1132"/>
      <c r="G111" s="1131"/>
      <c r="H111" s="1131"/>
      <c r="I111" s="1131"/>
      <c r="J111" s="1131"/>
      <c r="K111" s="1133"/>
      <c r="L111" s="1133"/>
      <c r="M111" s="1133"/>
      <c r="N111" s="1131"/>
      <c r="O111" s="1131"/>
      <c r="P111" s="1352"/>
      <c r="Q111" s="1131"/>
      <c r="R111" s="1131"/>
      <c r="S111" s="1131"/>
      <c r="T111" s="1131"/>
      <c r="U111" s="1131"/>
      <c r="V111" s="1131"/>
      <c r="W111" s="1131"/>
      <c r="X111" s="1365"/>
      <c r="Y111" s="1131"/>
      <c r="Z111" s="1131"/>
      <c r="AA111" s="1131"/>
      <c r="AB111" s="1365"/>
      <c r="AC111" s="1131"/>
      <c r="AD111" s="1131"/>
      <c r="AE111" s="1131"/>
      <c r="AF111" s="1131"/>
      <c r="AG111" s="1365"/>
      <c r="AH111" s="1131"/>
      <c r="AI111" s="1131"/>
      <c r="AJ111" s="1131"/>
      <c r="AK111" s="1131"/>
      <c r="AL111" s="1131"/>
    </row>
    <row r="112" spans="1:89" s="1134" customFormat="1">
      <c r="A112" s="1129"/>
      <c r="B112" s="1130"/>
      <c r="C112" s="1131"/>
      <c r="D112" s="1131"/>
      <c r="E112" s="1359"/>
      <c r="F112" s="1132"/>
      <c r="G112" s="1131"/>
      <c r="H112" s="1131"/>
      <c r="I112" s="1131"/>
      <c r="J112" s="1131"/>
      <c r="K112" s="1133"/>
      <c r="L112" s="1133"/>
      <c r="M112" s="1133"/>
      <c r="N112" s="1131"/>
      <c r="O112" s="1131"/>
      <c r="P112" s="1352"/>
      <c r="Q112" s="1131"/>
      <c r="R112" s="1131"/>
      <c r="S112" s="1131"/>
      <c r="T112" s="1131"/>
      <c r="U112" s="1131"/>
      <c r="V112" s="1131"/>
      <c r="W112" s="1131"/>
      <c r="X112" s="1365"/>
      <c r="Y112" s="1131"/>
      <c r="Z112" s="1131"/>
      <c r="AA112" s="1131"/>
      <c r="AB112" s="1365"/>
      <c r="AC112" s="1131"/>
      <c r="AD112" s="1131"/>
      <c r="AE112" s="1131"/>
      <c r="AF112" s="1131"/>
      <c r="AG112" s="1365"/>
      <c r="AH112" s="1131"/>
      <c r="AI112" s="1131"/>
      <c r="AJ112" s="1131"/>
      <c r="AK112" s="1131"/>
      <c r="AL112" s="1131"/>
    </row>
    <row r="113" spans="1:38" s="1134" customFormat="1">
      <c r="A113" s="1129"/>
      <c r="B113" s="1130"/>
      <c r="C113" s="1131"/>
      <c r="D113" s="1131"/>
      <c r="E113" s="1359"/>
      <c r="F113" s="1132"/>
      <c r="G113" s="1131"/>
      <c r="H113" s="1131"/>
      <c r="I113" s="1131"/>
      <c r="J113" s="1131"/>
      <c r="K113" s="1133"/>
      <c r="L113" s="1133"/>
      <c r="M113" s="1133"/>
      <c r="N113" s="1131"/>
      <c r="O113" s="1131"/>
      <c r="P113" s="1352"/>
      <c r="Q113" s="1131"/>
      <c r="R113" s="1131"/>
      <c r="S113" s="1131"/>
      <c r="T113" s="1131"/>
      <c r="U113" s="1131"/>
      <c r="V113" s="1131"/>
      <c r="W113" s="1131"/>
      <c r="X113" s="1365"/>
      <c r="Y113" s="1131"/>
      <c r="Z113" s="1131"/>
      <c r="AA113" s="1131"/>
      <c r="AB113" s="1365"/>
      <c r="AC113" s="1131"/>
      <c r="AD113" s="1131"/>
      <c r="AE113" s="1131"/>
      <c r="AF113" s="1131"/>
      <c r="AG113" s="1365"/>
      <c r="AH113" s="1131"/>
      <c r="AI113" s="1131"/>
      <c r="AJ113" s="1131"/>
      <c r="AK113" s="1131"/>
      <c r="AL113" s="1131"/>
    </row>
    <row r="114" spans="1:38" s="1134" customFormat="1">
      <c r="A114" s="1129"/>
      <c r="B114" s="1130"/>
      <c r="C114" s="1131"/>
      <c r="D114" s="1131"/>
      <c r="E114" s="1359"/>
      <c r="F114" s="1132"/>
      <c r="G114" s="1131"/>
      <c r="H114" s="1131"/>
      <c r="I114" s="1131"/>
      <c r="J114" s="1131"/>
      <c r="K114" s="1133"/>
      <c r="L114" s="1133"/>
      <c r="M114" s="1133"/>
      <c r="N114" s="1131"/>
      <c r="O114" s="1131"/>
      <c r="P114" s="1352"/>
      <c r="Q114" s="1131"/>
      <c r="R114" s="1131"/>
      <c r="S114" s="1131"/>
      <c r="T114" s="1131"/>
      <c r="U114" s="1131"/>
      <c r="V114" s="1131"/>
      <c r="W114" s="1131"/>
      <c r="X114" s="1365"/>
      <c r="Y114" s="1131"/>
      <c r="Z114" s="1131"/>
      <c r="AA114" s="1131"/>
      <c r="AB114" s="1365"/>
      <c r="AC114" s="1131"/>
      <c r="AD114" s="1131"/>
      <c r="AE114" s="1131"/>
      <c r="AF114" s="1131"/>
      <c r="AG114" s="1365"/>
      <c r="AH114" s="1131"/>
      <c r="AI114" s="1131"/>
      <c r="AJ114" s="1131"/>
      <c r="AK114" s="1131"/>
      <c r="AL114" s="1131"/>
    </row>
    <row r="115" spans="1:38" s="1134" customFormat="1">
      <c r="A115" s="1129"/>
      <c r="B115" s="1130"/>
      <c r="C115" s="1131"/>
      <c r="D115" s="1131"/>
      <c r="E115" s="1359"/>
      <c r="F115" s="1132"/>
      <c r="G115" s="1131"/>
      <c r="H115" s="1131"/>
      <c r="I115" s="1131"/>
      <c r="J115" s="1131"/>
      <c r="K115" s="1133"/>
      <c r="L115" s="1133"/>
      <c r="M115" s="1133"/>
      <c r="N115" s="1131"/>
      <c r="O115" s="1131"/>
      <c r="P115" s="1352"/>
      <c r="Q115" s="1131"/>
      <c r="R115" s="1131"/>
      <c r="S115" s="1131"/>
      <c r="T115" s="1131"/>
      <c r="U115" s="1131"/>
      <c r="V115" s="1131"/>
      <c r="W115" s="1131"/>
      <c r="X115" s="1365"/>
      <c r="Y115" s="1131"/>
      <c r="Z115" s="1131"/>
      <c r="AA115" s="1131"/>
      <c r="AB115" s="1365"/>
      <c r="AC115" s="1131"/>
      <c r="AD115" s="1131"/>
      <c r="AE115" s="1131"/>
      <c r="AF115" s="1131"/>
      <c r="AG115" s="1365"/>
      <c r="AH115" s="1131"/>
      <c r="AI115" s="1131"/>
      <c r="AJ115" s="1131"/>
      <c r="AK115" s="1131"/>
      <c r="AL115" s="1131"/>
    </row>
    <row r="116" spans="1:38" s="1134" customFormat="1">
      <c r="A116" s="1129"/>
      <c r="B116" s="1130"/>
      <c r="C116" s="1131"/>
      <c r="D116" s="1131"/>
      <c r="E116" s="1359"/>
      <c r="F116" s="1132"/>
      <c r="G116" s="1131"/>
      <c r="H116" s="1131"/>
      <c r="I116" s="1131"/>
      <c r="J116" s="1131"/>
      <c r="K116" s="1133"/>
      <c r="L116" s="1133"/>
      <c r="M116" s="1133"/>
      <c r="N116" s="1131"/>
      <c r="O116" s="1131"/>
      <c r="P116" s="1352"/>
      <c r="Q116" s="1131"/>
      <c r="R116" s="1131"/>
      <c r="S116" s="1131"/>
      <c r="T116" s="1131"/>
      <c r="U116" s="1131"/>
      <c r="V116" s="1131"/>
      <c r="W116" s="1131"/>
      <c r="X116" s="1365"/>
      <c r="Y116" s="1131"/>
      <c r="Z116" s="1131"/>
      <c r="AA116" s="1131"/>
      <c r="AB116" s="1365"/>
      <c r="AC116" s="1131"/>
      <c r="AD116" s="1131"/>
      <c r="AE116" s="1131"/>
      <c r="AF116" s="1131"/>
      <c r="AG116" s="1365"/>
      <c r="AH116" s="1131"/>
      <c r="AI116" s="1131"/>
      <c r="AJ116" s="1131"/>
      <c r="AK116" s="1131"/>
      <c r="AL116" s="1131"/>
    </row>
    <row r="117" spans="1:38" s="1134" customFormat="1">
      <c r="A117" s="1129"/>
      <c r="B117" s="1130"/>
      <c r="C117" s="1131"/>
      <c r="D117" s="1131"/>
      <c r="E117" s="1359"/>
      <c r="F117" s="1132"/>
      <c r="G117" s="1131"/>
      <c r="H117" s="1131"/>
      <c r="I117" s="1131"/>
      <c r="J117" s="1131"/>
      <c r="K117" s="1133"/>
      <c r="L117" s="1133"/>
      <c r="M117" s="1133"/>
      <c r="N117" s="1131"/>
      <c r="O117" s="1131"/>
      <c r="P117" s="1352"/>
      <c r="Q117" s="1131"/>
      <c r="R117" s="1131"/>
      <c r="S117" s="1131"/>
      <c r="T117" s="1131"/>
      <c r="U117" s="1131"/>
      <c r="V117" s="1131"/>
      <c r="W117" s="1131"/>
      <c r="X117" s="1365"/>
      <c r="Y117" s="1131"/>
      <c r="Z117" s="1131"/>
      <c r="AA117" s="1131"/>
      <c r="AB117" s="1365"/>
      <c r="AC117" s="1131"/>
      <c r="AD117" s="1131"/>
      <c r="AE117" s="1131"/>
      <c r="AF117" s="1131"/>
      <c r="AG117" s="1365"/>
      <c r="AH117" s="1131"/>
      <c r="AI117" s="1131"/>
      <c r="AJ117" s="1131"/>
      <c r="AK117" s="1131"/>
      <c r="AL117" s="1131"/>
    </row>
    <row r="118" spans="1:38" s="1134" customFormat="1">
      <c r="A118" s="1129"/>
      <c r="B118" s="1130"/>
      <c r="C118" s="1131"/>
      <c r="D118" s="1131"/>
      <c r="E118" s="1359"/>
      <c r="F118" s="1132"/>
      <c r="G118" s="1131"/>
      <c r="H118" s="1131"/>
      <c r="I118" s="1131"/>
      <c r="J118" s="1131"/>
      <c r="K118" s="1133"/>
      <c r="L118" s="1133"/>
      <c r="M118" s="1133"/>
      <c r="N118" s="1131"/>
      <c r="O118" s="1131"/>
      <c r="P118" s="1352"/>
      <c r="Q118" s="1131"/>
      <c r="R118" s="1131"/>
      <c r="S118" s="1131"/>
      <c r="T118" s="1131"/>
      <c r="U118" s="1131"/>
      <c r="V118" s="1131"/>
      <c r="W118" s="1131"/>
      <c r="X118" s="1365"/>
      <c r="Y118" s="1131"/>
      <c r="Z118" s="1131"/>
      <c r="AA118" s="1131"/>
      <c r="AB118" s="1365"/>
      <c r="AC118" s="1131"/>
      <c r="AD118" s="1131"/>
      <c r="AE118" s="1131"/>
      <c r="AF118" s="1131"/>
      <c r="AG118" s="1365"/>
      <c r="AH118" s="1131"/>
      <c r="AI118" s="1131"/>
      <c r="AJ118" s="1131"/>
      <c r="AK118" s="1131"/>
      <c r="AL118" s="1131"/>
    </row>
    <row r="119" spans="1:38" s="1134" customFormat="1">
      <c r="A119" s="1129"/>
      <c r="B119" s="1130"/>
      <c r="C119" s="1131"/>
      <c r="D119" s="1131"/>
      <c r="E119" s="1359"/>
      <c r="F119" s="1132"/>
      <c r="G119" s="1131"/>
      <c r="H119" s="1131"/>
      <c r="I119" s="1131"/>
      <c r="J119" s="1131"/>
      <c r="K119" s="1133"/>
      <c r="L119" s="1133"/>
      <c r="M119" s="1133"/>
      <c r="N119" s="1131"/>
      <c r="O119" s="1131"/>
      <c r="P119" s="1352"/>
      <c r="Q119" s="1131"/>
      <c r="R119" s="1131"/>
      <c r="S119" s="1131"/>
      <c r="T119" s="1131"/>
      <c r="U119" s="1131"/>
      <c r="V119" s="1131"/>
      <c r="W119" s="1131"/>
      <c r="X119" s="1365"/>
      <c r="Y119" s="1131"/>
      <c r="Z119" s="1131"/>
      <c r="AA119" s="1131"/>
      <c r="AB119" s="1365"/>
      <c r="AC119" s="1131"/>
      <c r="AD119" s="1131"/>
      <c r="AE119" s="1131"/>
      <c r="AF119" s="1131"/>
      <c r="AG119" s="1365"/>
      <c r="AH119" s="1131"/>
      <c r="AI119" s="1131"/>
      <c r="AJ119" s="1131"/>
      <c r="AK119" s="1131"/>
      <c r="AL119" s="1131"/>
    </row>
    <row r="120" spans="1:38" s="1134" customFormat="1">
      <c r="A120" s="1129"/>
      <c r="B120" s="1130"/>
      <c r="C120" s="1131"/>
      <c r="D120" s="1131"/>
      <c r="E120" s="1359"/>
      <c r="F120" s="1132"/>
      <c r="G120" s="1131"/>
      <c r="H120" s="1131"/>
      <c r="I120" s="1131"/>
      <c r="J120" s="1131"/>
      <c r="K120" s="1133"/>
      <c r="L120" s="1133"/>
      <c r="M120" s="1133"/>
      <c r="N120" s="1131"/>
      <c r="O120" s="1131"/>
      <c r="P120" s="1352"/>
      <c r="Q120" s="1131"/>
      <c r="R120" s="1131"/>
      <c r="S120" s="1131"/>
      <c r="T120" s="1131"/>
      <c r="U120" s="1131"/>
      <c r="V120" s="1131"/>
      <c r="W120" s="1131"/>
      <c r="X120" s="1365"/>
      <c r="Y120" s="1131"/>
      <c r="Z120" s="1131"/>
      <c r="AA120" s="1131"/>
      <c r="AB120" s="1365"/>
      <c r="AC120" s="1131"/>
      <c r="AD120" s="1131"/>
      <c r="AE120" s="1131"/>
      <c r="AF120" s="1131"/>
      <c r="AG120" s="1365"/>
      <c r="AH120" s="1131"/>
      <c r="AI120" s="1131"/>
      <c r="AJ120" s="1131"/>
      <c r="AK120" s="1131"/>
      <c r="AL120" s="1131"/>
    </row>
    <row r="121" spans="1:38" s="1134" customFormat="1">
      <c r="A121" s="1129"/>
      <c r="B121" s="1130"/>
      <c r="C121" s="1131"/>
      <c r="D121" s="1131"/>
      <c r="E121" s="1359"/>
      <c r="F121" s="1132"/>
      <c r="G121" s="1131"/>
      <c r="H121" s="1131"/>
      <c r="I121" s="1131"/>
      <c r="J121" s="1131"/>
      <c r="K121" s="1133"/>
      <c r="L121" s="1133"/>
      <c r="M121" s="1133"/>
      <c r="N121" s="1131"/>
      <c r="O121" s="1131"/>
      <c r="P121" s="1352"/>
      <c r="Q121" s="1131"/>
      <c r="R121" s="1131"/>
      <c r="S121" s="1131"/>
      <c r="T121" s="1131"/>
      <c r="U121" s="1131"/>
      <c r="V121" s="1131"/>
      <c r="W121" s="1131"/>
      <c r="X121" s="1365"/>
      <c r="Y121" s="1131"/>
      <c r="Z121" s="1131"/>
      <c r="AA121" s="1131"/>
      <c r="AB121" s="1365"/>
      <c r="AC121" s="1131"/>
      <c r="AD121" s="1131"/>
      <c r="AE121" s="1131"/>
      <c r="AF121" s="1131"/>
      <c r="AG121" s="1365"/>
      <c r="AH121" s="1131"/>
      <c r="AI121" s="1131"/>
      <c r="AJ121" s="1131"/>
      <c r="AK121" s="1131"/>
      <c r="AL121" s="1131"/>
    </row>
    <row r="122" spans="1:38" s="1134" customFormat="1">
      <c r="A122" s="1129"/>
      <c r="B122" s="1130"/>
      <c r="C122" s="1131"/>
      <c r="D122" s="1131"/>
      <c r="E122" s="1359"/>
      <c r="F122" s="1132"/>
      <c r="G122" s="1131"/>
      <c r="H122" s="1131"/>
      <c r="I122" s="1131"/>
      <c r="J122" s="1131"/>
      <c r="K122" s="1133"/>
      <c r="L122" s="1133"/>
      <c r="M122" s="1133"/>
      <c r="N122" s="1131"/>
      <c r="O122" s="1131"/>
      <c r="P122" s="1352"/>
      <c r="Q122" s="1131"/>
      <c r="R122" s="1131"/>
      <c r="S122" s="1131"/>
      <c r="T122" s="1131"/>
      <c r="U122" s="1131"/>
      <c r="V122" s="1131"/>
      <c r="W122" s="1131"/>
      <c r="X122" s="1365"/>
      <c r="Y122" s="1131"/>
      <c r="Z122" s="1131"/>
      <c r="AA122" s="1131"/>
      <c r="AB122" s="1365"/>
      <c r="AC122" s="1131"/>
      <c r="AD122" s="1131"/>
      <c r="AE122" s="1131"/>
      <c r="AF122" s="1131"/>
      <c r="AG122" s="1365"/>
      <c r="AH122" s="1131"/>
      <c r="AI122" s="1131"/>
      <c r="AJ122" s="1131"/>
      <c r="AK122" s="1131"/>
      <c r="AL122" s="1131"/>
    </row>
    <row r="123" spans="1:38" s="1134" customFormat="1">
      <c r="A123" s="1129"/>
      <c r="B123" s="1130"/>
      <c r="C123" s="1131"/>
      <c r="D123" s="1131"/>
      <c r="E123" s="1359"/>
      <c r="F123" s="1132"/>
      <c r="G123" s="1131"/>
      <c r="H123" s="1131"/>
      <c r="I123" s="1131"/>
      <c r="J123" s="1131"/>
      <c r="K123" s="1133"/>
      <c r="L123" s="1133"/>
      <c r="M123" s="1133"/>
      <c r="N123" s="1131"/>
      <c r="O123" s="1131"/>
      <c r="P123" s="1352"/>
      <c r="Q123" s="1131"/>
      <c r="R123" s="1131"/>
      <c r="S123" s="1131"/>
      <c r="T123" s="1131"/>
      <c r="U123" s="1131"/>
      <c r="V123" s="1131"/>
      <c r="W123" s="1131"/>
      <c r="X123" s="1365"/>
      <c r="Y123" s="1131"/>
      <c r="Z123" s="1131"/>
      <c r="AA123" s="1131"/>
      <c r="AB123" s="1365"/>
      <c r="AC123" s="1131"/>
      <c r="AD123" s="1131"/>
      <c r="AE123" s="1131"/>
      <c r="AF123" s="1131"/>
      <c r="AG123" s="1365"/>
      <c r="AH123" s="1131"/>
      <c r="AI123" s="1131"/>
      <c r="AJ123" s="1131"/>
      <c r="AK123" s="1131"/>
      <c r="AL123" s="1131"/>
    </row>
    <row r="124" spans="1:38" s="1134" customFormat="1">
      <c r="A124" s="1129"/>
      <c r="B124" s="1130"/>
      <c r="C124" s="1131"/>
      <c r="D124" s="1131"/>
      <c r="E124" s="1359"/>
      <c r="F124" s="1132"/>
      <c r="G124" s="1131"/>
      <c r="H124" s="1131"/>
      <c r="I124" s="1131"/>
      <c r="J124" s="1131"/>
      <c r="K124" s="1133"/>
      <c r="L124" s="1133"/>
      <c r="M124" s="1133"/>
      <c r="N124" s="1131"/>
      <c r="O124" s="1131"/>
      <c r="P124" s="1352"/>
      <c r="Q124" s="1131"/>
      <c r="R124" s="1131"/>
      <c r="S124" s="1131"/>
      <c r="T124" s="1131"/>
      <c r="U124" s="1131"/>
      <c r="V124" s="1131"/>
      <c r="W124" s="1131"/>
      <c r="X124" s="1365"/>
      <c r="Y124" s="1131"/>
      <c r="Z124" s="1131"/>
      <c r="AA124" s="1131"/>
      <c r="AB124" s="1365"/>
      <c r="AC124" s="1131"/>
      <c r="AD124" s="1131"/>
      <c r="AE124" s="1131"/>
      <c r="AF124" s="1131"/>
      <c r="AG124" s="1365"/>
      <c r="AH124" s="1131"/>
      <c r="AI124" s="1131"/>
      <c r="AJ124" s="1131"/>
      <c r="AK124" s="1131"/>
      <c r="AL124" s="1131"/>
    </row>
    <row r="125" spans="1:38" s="1134" customFormat="1">
      <c r="A125" s="1129"/>
      <c r="B125" s="1130"/>
      <c r="C125" s="1131"/>
      <c r="D125" s="1131"/>
      <c r="E125" s="1359"/>
      <c r="F125" s="1132"/>
      <c r="G125" s="1131"/>
      <c r="H125" s="1131"/>
      <c r="I125" s="1131"/>
      <c r="J125" s="1131"/>
      <c r="K125" s="1133"/>
      <c r="L125" s="1133"/>
      <c r="M125" s="1133"/>
      <c r="N125" s="1131"/>
      <c r="O125" s="1131"/>
      <c r="P125" s="1352"/>
      <c r="Q125" s="1131"/>
      <c r="R125" s="1131"/>
      <c r="S125" s="1131"/>
      <c r="T125" s="1131"/>
      <c r="U125" s="1131"/>
      <c r="V125" s="1131"/>
      <c r="W125" s="1131"/>
      <c r="X125" s="1365"/>
      <c r="Y125" s="1131"/>
      <c r="Z125" s="1131"/>
      <c r="AA125" s="1131"/>
      <c r="AB125" s="1365"/>
      <c r="AC125" s="1131"/>
      <c r="AD125" s="1131"/>
      <c r="AE125" s="1131"/>
      <c r="AF125" s="1131"/>
      <c r="AG125" s="1365"/>
      <c r="AH125" s="1131"/>
      <c r="AI125" s="1131"/>
      <c r="AJ125" s="1131"/>
      <c r="AK125" s="1131"/>
      <c r="AL125" s="1131"/>
    </row>
    <row r="126" spans="1:38" s="1134" customFormat="1">
      <c r="A126" s="1129"/>
      <c r="B126" s="1130"/>
      <c r="C126" s="1131"/>
      <c r="D126" s="1131"/>
      <c r="E126" s="1359"/>
      <c r="F126" s="1132"/>
      <c r="G126" s="1131"/>
      <c r="H126" s="1131"/>
      <c r="I126" s="1131"/>
      <c r="J126" s="1131"/>
      <c r="K126" s="1133"/>
      <c r="L126" s="1133"/>
      <c r="M126" s="1133"/>
      <c r="N126" s="1131"/>
      <c r="O126" s="1131"/>
      <c r="P126" s="1352"/>
      <c r="Q126" s="1131"/>
      <c r="R126" s="1131"/>
      <c r="S126" s="1131"/>
      <c r="T126" s="1131"/>
      <c r="U126" s="1131"/>
      <c r="V126" s="1131"/>
      <c r="W126" s="1131"/>
      <c r="X126" s="1365"/>
      <c r="Y126" s="1131"/>
      <c r="Z126" s="1131"/>
      <c r="AA126" s="1131"/>
      <c r="AB126" s="1365"/>
      <c r="AC126" s="1131"/>
      <c r="AD126" s="1131"/>
      <c r="AE126" s="1131"/>
      <c r="AF126" s="1131"/>
      <c r="AG126" s="1365"/>
      <c r="AH126" s="1131"/>
      <c r="AI126" s="1131"/>
      <c r="AJ126" s="1131"/>
      <c r="AK126" s="1131"/>
      <c r="AL126" s="1131"/>
    </row>
    <row r="127" spans="1:38" s="1134" customFormat="1">
      <c r="A127" s="1129"/>
      <c r="B127" s="1130"/>
      <c r="C127" s="1131"/>
      <c r="D127" s="1131"/>
      <c r="E127" s="1359"/>
      <c r="F127" s="1132"/>
      <c r="G127" s="1131"/>
      <c r="H127" s="1131"/>
      <c r="I127" s="1131"/>
      <c r="J127" s="1131"/>
      <c r="K127" s="1133"/>
      <c r="L127" s="1133"/>
      <c r="M127" s="1133"/>
      <c r="N127" s="1131"/>
      <c r="O127" s="1131"/>
      <c r="P127" s="1352"/>
      <c r="Q127" s="1131"/>
      <c r="R127" s="1131"/>
      <c r="S127" s="1131"/>
      <c r="T127" s="1131"/>
      <c r="U127" s="1131"/>
      <c r="V127" s="1131"/>
      <c r="W127" s="1131"/>
      <c r="X127" s="1365"/>
      <c r="Y127" s="1131"/>
      <c r="Z127" s="1131"/>
      <c r="AA127" s="1131"/>
      <c r="AB127" s="1365"/>
      <c r="AC127" s="1131"/>
      <c r="AD127" s="1131"/>
      <c r="AE127" s="1131"/>
      <c r="AF127" s="1131"/>
      <c r="AG127" s="1365"/>
      <c r="AH127" s="1131"/>
      <c r="AI127" s="1131"/>
      <c r="AJ127" s="1131"/>
      <c r="AK127" s="1131"/>
      <c r="AL127" s="1131"/>
    </row>
    <row r="128" spans="1:38" s="1134" customFormat="1">
      <c r="A128" s="1129"/>
      <c r="B128" s="1130"/>
      <c r="C128" s="1131"/>
      <c r="D128" s="1131"/>
      <c r="E128" s="1359"/>
      <c r="F128" s="1132"/>
      <c r="G128" s="1131"/>
      <c r="H128" s="1131"/>
      <c r="I128" s="1131"/>
      <c r="J128" s="1131"/>
      <c r="K128" s="1133"/>
      <c r="L128" s="1133"/>
      <c r="M128" s="1133"/>
      <c r="N128" s="1131"/>
      <c r="O128" s="1131"/>
      <c r="P128" s="1352"/>
      <c r="Q128" s="1131"/>
      <c r="R128" s="1131"/>
      <c r="S128" s="1131"/>
      <c r="T128" s="1131"/>
      <c r="U128" s="1131"/>
      <c r="V128" s="1131"/>
      <c r="W128" s="1131"/>
      <c r="X128" s="1365"/>
      <c r="Y128" s="1131"/>
      <c r="Z128" s="1131"/>
      <c r="AA128" s="1131"/>
      <c r="AB128" s="1365"/>
      <c r="AC128" s="1131"/>
      <c r="AD128" s="1131"/>
      <c r="AE128" s="1131"/>
      <c r="AF128" s="1131"/>
      <c r="AG128" s="1365"/>
      <c r="AH128" s="1131"/>
      <c r="AI128" s="1131"/>
      <c r="AJ128" s="1131"/>
      <c r="AK128" s="1131"/>
      <c r="AL128" s="1131"/>
    </row>
    <row r="129" spans="1:38" s="1134" customFormat="1">
      <c r="A129" s="1129"/>
      <c r="B129" s="1130"/>
      <c r="C129" s="1131"/>
      <c r="D129" s="1131"/>
      <c r="E129" s="1359"/>
      <c r="F129" s="1132"/>
      <c r="G129" s="1131"/>
      <c r="H129" s="1131"/>
      <c r="I129" s="1131"/>
      <c r="J129" s="1131"/>
      <c r="K129" s="1133"/>
      <c r="L129" s="1133"/>
      <c r="M129" s="1133"/>
      <c r="N129" s="1131"/>
      <c r="O129" s="1131"/>
      <c r="P129" s="1352"/>
      <c r="Q129" s="1131"/>
      <c r="R129" s="1131"/>
      <c r="S129" s="1131"/>
      <c r="T129" s="1131"/>
      <c r="U129" s="1131"/>
      <c r="V129" s="1131"/>
      <c r="W129" s="1131"/>
      <c r="X129" s="1365"/>
      <c r="Y129" s="1131"/>
      <c r="Z129" s="1131"/>
      <c r="AA129" s="1131"/>
      <c r="AB129" s="1365"/>
      <c r="AC129" s="1131"/>
      <c r="AD129" s="1131"/>
      <c r="AE129" s="1131"/>
      <c r="AF129" s="1131"/>
      <c r="AG129" s="1365"/>
      <c r="AH129" s="1131"/>
      <c r="AI129" s="1131"/>
      <c r="AJ129" s="1131"/>
      <c r="AK129" s="1131"/>
      <c r="AL129" s="1131"/>
    </row>
    <row r="130" spans="1:38" s="1134" customFormat="1">
      <c r="A130" s="1129"/>
      <c r="B130" s="1130"/>
      <c r="C130" s="1131"/>
      <c r="D130" s="1131"/>
      <c r="E130" s="1359"/>
      <c r="F130" s="1132"/>
      <c r="G130" s="1131"/>
      <c r="H130" s="1131"/>
      <c r="I130" s="1131"/>
      <c r="J130" s="1131"/>
      <c r="K130" s="1133"/>
      <c r="L130" s="1133"/>
      <c r="M130" s="1133"/>
      <c r="N130" s="1131"/>
      <c r="O130" s="1131"/>
      <c r="P130" s="1352"/>
      <c r="Q130" s="1131"/>
      <c r="R130" s="1131"/>
      <c r="S130" s="1131"/>
      <c r="T130" s="1131"/>
      <c r="U130" s="1131"/>
      <c r="V130" s="1131"/>
      <c r="W130" s="1131"/>
      <c r="X130" s="1365"/>
      <c r="Y130" s="1131"/>
      <c r="Z130" s="1131"/>
      <c r="AA130" s="1131"/>
      <c r="AB130" s="1365"/>
      <c r="AC130" s="1131"/>
      <c r="AD130" s="1131"/>
      <c r="AE130" s="1131"/>
      <c r="AF130" s="1131"/>
      <c r="AG130" s="1365"/>
      <c r="AH130" s="1131"/>
      <c r="AI130" s="1131"/>
      <c r="AJ130" s="1131"/>
      <c r="AK130" s="1131"/>
      <c r="AL130" s="1131"/>
    </row>
    <row r="131" spans="1:38" s="1134" customFormat="1">
      <c r="A131" s="1129"/>
      <c r="B131" s="1130"/>
      <c r="C131" s="1131"/>
      <c r="D131" s="1131"/>
      <c r="E131" s="1359"/>
      <c r="F131" s="1132"/>
      <c r="G131" s="1131"/>
      <c r="H131" s="1131"/>
      <c r="I131" s="1131"/>
      <c r="J131" s="1131"/>
      <c r="K131" s="1133"/>
      <c r="L131" s="1133"/>
      <c r="M131" s="1133"/>
      <c r="N131" s="1131"/>
      <c r="O131" s="1131"/>
      <c r="P131" s="1352"/>
      <c r="Q131" s="1131"/>
      <c r="R131" s="1131"/>
      <c r="S131" s="1131"/>
      <c r="T131" s="1131"/>
      <c r="U131" s="1131"/>
      <c r="V131" s="1131"/>
      <c r="W131" s="1131"/>
      <c r="X131" s="1365"/>
      <c r="Y131" s="1131"/>
      <c r="Z131" s="1131"/>
      <c r="AA131" s="1131"/>
      <c r="AB131" s="1365"/>
      <c r="AC131" s="1131"/>
      <c r="AD131" s="1131"/>
      <c r="AE131" s="1131"/>
      <c r="AF131" s="1131"/>
      <c r="AG131" s="1365"/>
      <c r="AH131" s="1131"/>
      <c r="AI131" s="1131"/>
      <c r="AJ131" s="1131"/>
      <c r="AK131" s="1131"/>
      <c r="AL131" s="1131"/>
    </row>
    <row r="132" spans="1:38" s="1134" customFormat="1">
      <c r="A132" s="1129"/>
      <c r="B132" s="1130"/>
      <c r="C132" s="1131"/>
      <c r="D132" s="1131"/>
      <c r="E132" s="1359"/>
      <c r="F132" s="1132"/>
      <c r="G132" s="1131"/>
      <c r="H132" s="1131"/>
      <c r="I132" s="1131"/>
      <c r="J132" s="1131"/>
      <c r="K132" s="1133"/>
      <c r="L132" s="1133"/>
      <c r="M132" s="1133"/>
      <c r="N132" s="1131"/>
      <c r="O132" s="1131"/>
      <c r="P132" s="1352"/>
      <c r="Q132" s="1131"/>
      <c r="R132" s="1131"/>
      <c r="S132" s="1131"/>
      <c r="T132" s="1131"/>
      <c r="U132" s="1131"/>
      <c r="V132" s="1131"/>
      <c r="W132" s="1131"/>
      <c r="X132" s="1365"/>
      <c r="Y132" s="1131"/>
      <c r="Z132" s="1131"/>
      <c r="AA132" s="1131"/>
      <c r="AB132" s="1365"/>
      <c r="AC132" s="1131"/>
      <c r="AD132" s="1131"/>
      <c r="AE132" s="1131"/>
      <c r="AF132" s="1131"/>
      <c r="AG132" s="1365"/>
      <c r="AH132" s="1131"/>
      <c r="AI132" s="1131"/>
      <c r="AJ132" s="1131"/>
      <c r="AK132" s="1131"/>
      <c r="AL132" s="1131"/>
    </row>
    <row r="133" spans="1:38" s="1134" customFormat="1">
      <c r="A133" s="1129"/>
      <c r="B133" s="1130"/>
      <c r="C133" s="1131"/>
      <c r="D133" s="1131"/>
      <c r="E133" s="1359"/>
      <c r="F133" s="1132"/>
      <c r="G133" s="1131"/>
      <c r="H133" s="1131"/>
      <c r="I133" s="1131"/>
      <c r="J133" s="1131"/>
      <c r="K133" s="1133"/>
      <c r="L133" s="1133"/>
      <c r="M133" s="1133"/>
      <c r="N133" s="1131"/>
      <c r="O133" s="1131"/>
      <c r="P133" s="1352"/>
      <c r="Q133" s="1131"/>
      <c r="R133" s="1131"/>
      <c r="S133" s="1131"/>
      <c r="T133" s="1131"/>
      <c r="U133" s="1131"/>
      <c r="V133" s="1131"/>
      <c r="W133" s="1131"/>
      <c r="X133" s="1365"/>
      <c r="Y133" s="1131"/>
      <c r="Z133" s="1131"/>
      <c r="AA133" s="1131"/>
      <c r="AB133" s="1365"/>
      <c r="AC133" s="1131"/>
      <c r="AD133" s="1131"/>
      <c r="AE133" s="1131"/>
      <c r="AF133" s="1131"/>
      <c r="AG133" s="1365"/>
      <c r="AH133" s="1131"/>
      <c r="AI133" s="1131"/>
      <c r="AJ133" s="1131"/>
      <c r="AK133" s="1131"/>
      <c r="AL133" s="1131"/>
    </row>
    <row r="134" spans="1:38" s="1134" customFormat="1">
      <c r="A134" s="1129"/>
      <c r="B134" s="1130"/>
      <c r="C134" s="1131"/>
      <c r="D134" s="1131"/>
      <c r="E134" s="1359"/>
      <c r="F134" s="1132"/>
      <c r="G134" s="1131"/>
      <c r="H134" s="1131"/>
      <c r="I134" s="1131"/>
      <c r="J134" s="1131"/>
      <c r="K134" s="1133"/>
      <c r="L134" s="1133"/>
      <c r="M134" s="1133"/>
      <c r="N134" s="1131"/>
      <c r="O134" s="1131"/>
      <c r="P134" s="1352"/>
      <c r="Q134" s="1131"/>
      <c r="R134" s="1131"/>
      <c r="S134" s="1131"/>
      <c r="T134" s="1131"/>
      <c r="U134" s="1131"/>
      <c r="V134" s="1131"/>
      <c r="W134" s="1131"/>
      <c r="X134" s="1365"/>
      <c r="Y134" s="1131"/>
      <c r="Z134" s="1131"/>
      <c r="AA134" s="1131"/>
      <c r="AB134" s="1365"/>
      <c r="AC134" s="1131"/>
      <c r="AD134" s="1131"/>
      <c r="AE134" s="1131"/>
      <c r="AF134" s="1131"/>
      <c r="AG134" s="1365"/>
      <c r="AH134" s="1131"/>
      <c r="AI134" s="1131"/>
      <c r="AJ134" s="1131"/>
      <c r="AK134" s="1131"/>
      <c r="AL134" s="1131"/>
    </row>
    <row r="135" spans="1:38" s="1134" customFormat="1">
      <c r="A135" s="1129"/>
      <c r="B135" s="1130"/>
      <c r="C135" s="1131"/>
      <c r="D135" s="1131"/>
      <c r="E135" s="1359"/>
      <c r="F135" s="1132"/>
      <c r="G135" s="1131"/>
      <c r="H135" s="1131"/>
      <c r="I135" s="1131"/>
      <c r="J135" s="1131"/>
      <c r="K135" s="1133"/>
      <c r="L135" s="1133"/>
      <c r="M135" s="1133"/>
      <c r="N135" s="1131"/>
      <c r="O135" s="1131"/>
      <c r="P135" s="1352"/>
      <c r="Q135" s="1131"/>
      <c r="R135" s="1131"/>
      <c r="S135" s="1131"/>
      <c r="T135" s="1131"/>
      <c r="U135" s="1131"/>
      <c r="V135" s="1131"/>
      <c r="W135" s="1131"/>
      <c r="X135" s="1365"/>
      <c r="Y135" s="1131"/>
      <c r="Z135" s="1131"/>
      <c r="AA135" s="1131"/>
      <c r="AB135" s="1365"/>
      <c r="AC135" s="1131"/>
      <c r="AD135" s="1131"/>
      <c r="AE135" s="1131"/>
      <c r="AF135" s="1131"/>
      <c r="AG135" s="1365"/>
      <c r="AH135" s="1131"/>
      <c r="AI135" s="1131"/>
      <c r="AJ135" s="1131"/>
      <c r="AK135" s="1131"/>
      <c r="AL135" s="1131"/>
    </row>
    <row r="136" spans="1:38" s="1134" customFormat="1">
      <c r="A136" s="1129"/>
      <c r="B136" s="1130"/>
      <c r="C136" s="1131"/>
      <c r="D136" s="1131"/>
      <c r="E136" s="1359"/>
      <c r="F136" s="1132"/>
      <c r="G136" s="1131"/>
      <c r="H136" s="1131"/>
      <c r="I136" s="1131"/>
      <c r="J136" s="1131"/>
      <c r="K136" s="1133"/>
      <c r="L136" s="1133"/>
      <c r="M136" s="1133"/>
      <c r="N136" s="1131"/>
      <c r="O136" s="1131"/>
      <c r="P136" s="1352"/>
      <c r="Q136" s="1131"/>
      <c r="R136" s="1131"/>
      <c r="S136" s="1131"/>
      <c r="T136" s="1131"/>
      <c r="U136" s="1131"/>
      <c r="V136" s="1131"/>
      <c r="W136" s="1131"/>
      <c r="X136" s="1365"/>
      <c r="Y136" s="1131"/>
      <c r="Z136" s="1131"/>
      <c r="AA136" s="1131"/>
      <c r="AB136" s="1365"/>
      <c r="AC136" s="1131"/>
      <c r="AD136" s="1131"/>
      <c r="AE136" s="1131"/>
      <c r="AF136" s="1131"/>
      <c r="AG136" s="1365"/>
      <c r="AH136" s="1131"/>
      <c r="AI136" s="1131"/>
      <c r="AJ136" s="1131"/>
      <c r="AK136" s="1131"/>
      <c r="AL136" s="1131"/>
    </row>
    <row r="137" spans="1:38" s="1134" customFormat="1">
      <c r="A137" s="1129"/>
      <c r="B137" s="1130"/>
      <c r="C137" s="1131"/>
      <c r="D137" s="1131"/>
      <c r="E137" s="1359"/>
      <c r="F137" s="1132"/>
      <c r="G137" s="1131"/>
      <c r="H137" s="1131"/>
      <c r="I137" s="1131"/>
      <c r="J137" s="1131"/>
      <c r="K137" s="1133"/>
      <c r="L137" s="1133"/>
      <c r="M137" s="1133"/>
      <c r="N137" s="1131"/>
      <c r="O137" s="1131"/>
      <c r="P137" s="1352"/>
      <c r="Q137" s="1131"/>
      <c r="R137" s="1131"/>
      <c r="S137" s="1131"/>
      <c r="T137" s="1131"/>
      <c r="U137" s="1131"/>
      <c r="V137" s="1131"/>
      <c r="W137" s="1131"/>
      <c r="X137" s="1365"/>
      <c r="Y137" s="1131"/>
      <c r="Z137" s="1131"/>
      <c r="AA137" s="1131"/>
      <c r="AB137" s="1365"/>
      <c r="AC137" s="1131"/>
      <c r="AD137" s="1131"/>
      <c r="AE137" s="1131"/>
      <c r="AF137" s="1131"/>
      <c r="AG137" s="1365"/>
      <c r="AH137" s="1131"/>
      <c r="AI137" s="1131"/>
      <c r="AJ137" s="1131"/>
      <c r="AK137" s="1131"/>
      <c r="AL137" s="1131"/>
    </row>
    <row r="138" spans="1:38" s="1134" customFormat="1">
      <c r="A138" s="1129"/>
      <c r="B138" s="1130"/>
      <c r="C138" s="1131"/>
      <c r="D138" s="1131"/>
      <c r="E138" s="1359"/>
      <c r="F138" s="1132"/>
      <c r="G138" s="1131"/>
      <c r="H138" s="1131"/>
      <c r="I138" s="1131"/>
      <c r="J138" s="1131"/>
      <c r="K138" s="1133"/>
      <c r="L138" s="1133"/>
      <c r="M138" s="1133"/>
      <c r="N138" s="1131"/>
      <c r="O138" s="1131"/>
      <c r="P138" s="1352"/>
      <c r="Q138" s="1131"/>
      <c r="R138" s="1131"/>
      <c r="S138" s="1131"/>
      <c r="T138" s="1131"/>
      <c r="U138" s="1131"/>
      <c r="V138" s="1131"/>
      <c r="W138" s="1131"/>
      <c r="X138" s="1365"/>
      <c r="Y138" s="1131"/>
      <c r="Z138" s="1131"/>
      <c r="AA138" s="1131"/>
      <c r="AB138" s="1365"/>
      <c r="AC138" s="1131"/>
      <c r="AD138" s="1131"/>
      <c r="AE138" s="1131"/>
      <c r="AF138" s="1131"/>
      <c r="AG138" s="1365"/>
      <c r="AH138" s="1131"/>
      <c r="AI138" s="1131"/>
      <c r="AJ138" s="1131"/>
      <c r="AK138" s="1131"/>
      <c r="AL138" s="1131"/>
    </row>
    <row r="139" spans="1:38" s="1134" customFormat="1">
      <c r="A139" s="1129"/>
      <c r="B139" s="1130"/>
      <c r="C139" s="1131"/>
      <c r="D139" s="1131"/>
      <c r="E139" s="1359"/>
      <c r="F139" s="1132"/>
      <c r="G139" s="1131"/>
      <c r="H139" s="1131"/>
      <c r="I139" s="1131"/>
      <c r="J139" s="1131"/>
      <c r="K139" s="1133"/>
      <c r="L139" s="1133"/>
      <c r="M139" s="1133"/>
      <c r="N139" s="1131"/>
      <c r="O139" s="1131"/>
      <c r="P139" s="1352"/>
      <c r="Q139" s="1131"/>
      <c r="R139" s="1131"/>
      <c r="S139" s="1131"/>
      <c r="T139" s="1131"/>
      <c r="U139" s="1131"/>
      <c r="V139" s="1131"/>
      <c r="W139" s="1131"/>
      <c r="X139" s="1365"/>
      <c r="Y139" s="1131"/>
      <c r="Z139" s="1131"/>
      <c r="AA139" s="1131"/>
      <c r="AB139" s="1365"/>
      <c r="AC139" s="1131"/>
      <c r="AD139" s="1131"/>
      <c r="AE139" s="1131"/>
      <c r="AF139" s="1131"/>
      <c r="AG139" s="1365"/>
      <c r="AH139" s="1131"/>
      <c r="AI139" s="1131"/>
      <c r="AJ139" s="1131"/>
      <c r="AK139" s="1131"/>
      <c r="AL139" s="1131"/>
    </row>
    <row r="140" spans="1:38" s="1134" customFormat="1">
      <c r="A140" s="1129"/>
      <c r="B140" s="1130"/>
      <c r="C140" s="1131"/>
      <c r="D140" s="1131"/>
      <c r="E140" s="1359"/>
      <c r="F140" s="1132"/>
      <c r="G140" s="1131"/>
      <c r="H140" s="1131"/>
      <c r="I140" s="1131"/>
      <c r="J140" s="1131"/>
      <c r="K140" s="1133"/>
      <c r="L140" s="1133"/>
      <c r="M140" s="1133"/>
      <c r="N140" s="1131"/>
      <c r="O140" s="1131"/>
      <c r="P140" s="1352"/>
      <c r="Q140" s="1131"/>
      <c r="R140" s="1131"/>
      <c r="S140" s="1131"/>
      <c r="T140" s="1131"/>
      <c r="U140" s="1131"/>
      <c r="V140" s="1131"/>
      <c r="W140" s="1131"/>
      <c r="X140" s="1365"/>
      <c r="Y140" s="1131"/>
      <c r="Z140" s="1131"/>
      <c r="AA140" s="1131"/>
      <c r="AB140" s="1365"/>
      <c r="AC140" s="1131"/>
      <c r="AD140" s="1131"/>
      <c r="AE140" s="1131"/>
      <c r="AF140" s="1131"/>
      <c r="AG140" s="1365"/>
      <c r="AH140" s="1131"/>
      <c r="AI140" s="1131"/>
      <c r="AJ140" s="1131"/>
      <c r="AK140" s="1131"/>
      <c r="AL140" s="1131"/>
    </row>
    <row r="141" spans="1:38" s="1134" customFormat="1">
      <c r="A141" s="1129"/>
      <c r="B141" s="1130"/>
      <c r="C141" s="1131"/>
      <c r="D141" s="1131"/>
      <c r="E141" s="1359"/>
      <c r="F141" s="1132"/>
      <c r="G141" s="1131"/>
      <c r="H141" s="1131"/>
      <c r="I141" s="1131"/>
      <c r="J141" s="1131"/>
      <c r="K141" s="1133"/>
      <c r="L141" s="1133"/>
      <c r="M141" s="1133"/>
      <c r="N141" s="1131"/>
      <c r="O141" s="1131"/>
      <c r="P141" s="1352"/>
      <c r="Q141" s="1131"/>
      <c r="R141" s="1131"/>
      <c r="S141" s="1131"/>
      <c r="T141" s="1131"/>
      <c r="U141" s="1131"/>
      <c r="V141" s="1131"/>
      <c r="W141" s="1131"/>
      <c r="X141" s="1365"/>
      <c r="Y141" s="1131"/>
      <c r="Z141" s="1131"/>
      <c r="AA141" s="1131"/>
      <c r="AB141" s="1365"/>
      <c r="AC141" s="1131"/>
      <c r="AD141" s="1131"/>
      <c r="AE141" s="1131"/>
      <c r="AF141" s="1131"/>
      <c r="AG141" s="1365"/>
      <c r="AH141" s="1131"/>
      <c r="AI141" s="1131"/>
      <c r="AJ141" s="1131"/>
      <c r="AK141" s="1131"/>
      <c r="AL141" s="1131"/>
    </row>
    <row r="142" spans="1:38" s="1134" customFormat="1">
      <c r="A142" s="1129"/>
      <c r="B142" s="1130"/>
      <c r="C142" s="1131"/>
      <c r="D142" s="1131"/>
      <c r="E142" s="1359"/>
      <c r="F142" s="1132"/>
      <c r="G142" s="1131"/>
      <c r="H142" s="1131"/>
      <c r="I142" s="1131"/>
      <c r="J142" s="1131"/>
      <c r="K142" s="1133"/>
      <c r="L142" s="1133"/>
      <c r="M142" s="1133"/>
      <c r="N142" s="1131"/>
      <c r="O142" s="1131"/>
      <c r="P142" s="1352"/>
      <c r="Q142" s="1131"/>
      <c r="R142" s="1131"/>
      <c r="S142" s="1131"/>
      <c r="T142" s="1131"/>
      <c r="U142" s="1131"/>
      <c r="V142" s="1131"/>
      <c r="W142" s="1131"/>
      <c r="X142" s="1365"/>
      <c r="Y142" s="1131"/>
      <c r="Z142" s="1131"/>
      <c r="AA142" s="1131"/>
      <c r="AB142" s="1365"/>
      <c r="AC142" s="1131"/>
      <c r="AD142" s="1131"/>
      <c r="AE142" s="1131"/>
      <c r="AF142" s="1131"/>
      <c r="AG142" s="1365"/>
      <c r="AH142" s="1131"/>
      <c r="AI142" s="1131"/>
      <c r="AJ142" s="1131"/>
      <c r="AK142" s="1131"/>
      <c r="AL142" s="1131"/>
    </row>
    <row r="143" spans="1:38" s="1134" customFormat="1">
      <c r="A143" s="1129"/>
      <c r="B143" s="1130"/>
      <c r="C143" s="1131"/>
      <c r="D143" s="1131"/>
      <c r="E143" s="1359"/>
      <c r="F143" s="1132"/>
      <c r="G143" s="1131"/>
      <c r="H143" s="1131"/>
      <c r="I143" s="1131"/>
      <c r="J143" s="1131"/>
      <c r="K143" s="1133"/>
      <c r="L143" s="1133"/>
      <c r="M143" s="1133"/>
      <c r="N143" s="1131"/>
      <c r="O143" s="1131"/>
      <c r="P143" s="1352"/>
      <c r="Q143" s="1131"/>
      <c r="R143" s="1131"/>
      <c r="S143" s="1131"/>
      <c r="T143" s="1131"/>
      <c r="U143" s="1131"/>
      <c r="V143" s="1131"/>
      <c r="W143" s="1131"/>
      <c r="X143" s="1365"/>
      <c r="Y143" s="1131"/>
      <c r="Z143" s="1131"/>
      <c r="AA143" s="1131"/>
      <c r="AB143" s="1365"/>
      <c r="AC143" s="1131"/>
      <c r="AD143" s="1131"/>
      <c r="AE143" s="1131"/>
      <c r="AF143" s="1131"/>
      <c r="AG143" s="1365"/>
      <c r="AH143" s="1131"/>
      <c r="AI143" s="1131"/>
      <c r="AJ143" s="1131"/>
      <c r="AK143" s="1131"/>
      <c r="AL143" s="1131"/>
    </row>
    <row r="144" spans="1:38" s="1134" customFormat="1">
      <c r="A144" s="1129"/>
      <c r="B144" s="1130"/>
      <c r="C144" s="1131"/>
      <c r="D144" s="1131"/>
      <c r="E144" s="1359"/>
      <c r="F144" s="1132"/>
      <c r="G144" s="1131"/>
      <c r="H144" s="1131"/>
      <c r="I144" s="1131"/>
      <c r="J144" s="1131"/>
      <c r="K144" s="1133"/>
      <c r="L144" s="1133"/>
      <c r="M144" s="1133"/>
      <c r="N144" s="1131"/>
      <c r="O144" s="1131"/>
      <c r="P144" s="1352"/>
      <c r="Q144" s="1131"/>
      <c r="R144" s="1131"/>
      <c r="S144" s="1131"/>
      <c r="T144" s="1131"/>
      <c r="U144" s="1131"/>
      <c r="V144" s="1131"/>
      <c r="W144" s="1131"/>
      <c r="X144" s="1365"/>
      <c r="Y144" s="1131"/>
      <c r="Z144" s="1131"/>
      <c r="AA144" s="1131"/>
      <c r="AB144" s="1365"/>
      <c r="AC144" s="1131"/>
      <c r="AD144" s="1131"/>
      <c r="AE144" s="1131"/>
      <c r="AF144" s="1131"/>
      <c r="AG144" s="1365"/>
      <c r="AH144" s="1131"/>
      <c r="AI144" s="1131"/>
      <c r="AJ144" s="1131"/>
      <c r="AK144" s="1131"/>
      <c r="AL144" s="1131"/>
    </row>
    <row r="145" spans="1:89" s="1134" customFormat="1">
      <c r="A145" s="1129"/>
      <c r="B145" s="1130"/>
      <c r="C145" s="1131"/>
      <c r="D145" s="1131"/>
      <c r="E145" s="1359"/>
      <c r="F145" s="1132"/>
      <c r="G145" s="1131"/>
      <c r="H145" s="1131"/>
      <c r="I145" s="1131"/>
      <c r="J145" s="1131"/>
      <c r="K145" s="1133"/>
      <c r="L145" s="1133"/>
      <c r="M145" s="1133"/>
      <c r="N145" s="1131"/>
      <c r="O145" s="1131"/>
      <c r="P145" s="1352"/>
      <c r="Q145" s="1131"/>
      <c r="R145" s="1131"/>
      <c r="S145" s="1131"/>
      <c r="T145" s="1131"/>
      <c r="U145" s="1131"/>
      <c r="V145" s="1131"/>
      <c r="W145" s="1131"/>
      <c r="X145" s="1365"/>
      <c r="Y145" s="1131"/>
      <c r="Z145" s="1131"/>
      <c r="AA145" s="1131"/>
      <c r="AB145" s="1365"/>
      <c r="AC145" s="1131"/>
      <c r="AD145" s="1131"/>
      <c r="AE145" s="1131"/>
      <c r="AF145" s="1131"/>
      <c r="AG145" s="1365"/>
      <c r="AH145" s="1131"/>
      <c r="AI145" s="1131"/>
      <c r="AJ145" s="1131"/>
      <c r="AK145" s="1131"/>
      <c r="AL145" s="1131"/>
    </row>
    <row r="146" spans="1:89" s="1134" customFormat="1">
      <c r="A146" s="1129"/>
      <c r="B146" s="1130"/>
      <c r="C146" s="1131"/>
      <c r="D146" s="1131"/>
      <c r="E146" s="1359"/>
      <c r="F146" s="1132"/>
      <c r="G146" s="1131"/>
      <c r="H146" s="1131"/>
      <c r="I146" s="1131"/>
      <c r="J146" s="1131"/>
      <c r="K146" s="1133"/>
      <c r="L146" s="1133"/>
      <c r="M146" s="1133"/>
      <c r="N146" s="1131"/>
      <c r="O146" s="1131"/>
      <c r="P146" s="1352"/>
      <c r="Q146" s="1131"/>
      <c r="R146" s="1131"/>
      <c r="S146" s="1131"/>
      <c r="T146" s="1131"/>
      <c r="U146" s="1131"/>
      <c r="V146" s="1131"/>
      <c r="W146" s="1131"/>
      <c r="X146" s="1365"/>
      <c r="Y146" s="1131"/>
      <c r="Z146" s="1131"/>
      <c r="AA146" s="1131"/>
      <c r="AB146" s="1365"/>
      <c r="AC146" s="1131"/>
      <c r="AD146" s="1131"/>
      <c r="AE146" s="1131"/>
      <c r="AF146" s="1131"/>
      <c r="AG146" s="1365"/>
      <c r="AH146" s="1131"/>
      <c r="AI146" s="1131"/>
      <c r="AJ146" s="1131"/>
      <c r="AK146" s="1131"/>
      <c r="AL146" s="1131"/>
    </row>
    <row r="147" spans="1:89" s="1134" customFormat="1">
      <c r="A147" s="1129"/>
      <c r="B147" s="1130"/>
      <c r="C147" s="1131"/>
      <c r="D147" s="1131"/>
      <c r="E147" s="1359"/>
      <c r="F147" s="1132"/>
      <c r="G147" s="1131"/>
      <c r="H147" s="1131"/>
      <c r="I147" s="1131"/>
      <c r="J147" s="1131"/>
      <c r="K147" s="1133"/>
      <c r="L147" s="1133"/>
      <c r="M147" s="1133"/>
      <c r="N147" s="1131"/>
      <c r="O147" s="1131"/>
      <c r="P147" s="1352"/>
      <c r="Q147" s="1131"/>
      <c r="R147" s="1131"/>
      <c r="S147" s="1131"/>
      <c r="T147" s="1131"/>
      <c r="U147" s="1131"/>
      <c r="V147" s="1131"/>
      <c r="W147" s="1131"/>
      <c r="X147" s="1365"/>
      <c r="Y147" s="1131"/>
      <c r="Z147" s="1131"/>
      <c r="AA147" s="1131"/>
      <c r="AB147" s="1365"/>
      <c r="AC147" s="1131"/>
      <c r="AD147" s="1131"/>
      <c r="AE147" s="1131"/>
      <c r="AF147" s="1131"/>
      <c r="AG147" s="1365"/>
      <c r="AH147" s="1131"/>
      <c r="AI147" s="1131"/>
      <c r="AJ147" s="1131"/>
      <c r="AK147" s="1131"/>
      <c r="AL147" s="1131"/>
    </row>
    <row r="148" spans="1:89" s="1127" customFormat="1">
      <c r="A148" s="1118"/>
      <c r="B148" s="1119"/>
      <c r="C148" s="1120"/>
      <c r="D148" s="1121"/>
      <c r="E148" s="1360"/>
      <c r="F148" s="1122"/>
      <c r="G148" s="1123"/>
      <c r="H148" s="1123"/>
      <c r="I148" s="1123"/>
      <c r="J148" s="1123"/>
      <c r="K148" s="1124"/>
      <c r="L148" s="1124"/>
      <c r="M148" s="1124"/>
      <c r="N148" s="1121"/>
      <c r="O148" s="1123"/>
      <c r="P148" s="1353"/>
      <c r="Q148" s="1123"/>
      <c r="R148" s="1123"/>
      <c r="S148" s="1121"/>
      <c r="T148" s="1123"/>
      <c r="U148" s="1120"/>
      <c r="V148" s="1121"/>
      <c r="W148" s="1125"/>
      <c r="X148" s="1366"/>
      <c r="Y148" s="1120"/>
      <c r="Z148" s="1126"/>
      <c r="AA148" s="1126"/>
      <c r="AB148" s="1366"/>
      <c r="AC148" s="1126"/>
      <c r="AD148" s="1126"/>
      <c r="AE148" s="1126"/>
      <c r="AF148" s="1126"/>
      <c r="AG148" s="1366"/>
      <c r="AH148" s="1126"/>
      <c r="AI148" s="1126"/>
      <c r="AJ148" s="1126"/>
      <c r="AK148" s="1126"/>
      <c r="AL148" s="1126"/>
      <c r="AN148" s="1128"/>
      <c r="AO148" s="1128"/>
      <c r="AP148" s="1128"/>
      <c r="AQ148" s="1128"/>
      <c r="AR148" s="1128"/>
      <c r="AS148" s="1128"/>
      <c r="AT148" s="1128"/>
      <c r="AU148" s="1128"/>
      <c r="AV148" s="1128"/>
      <c r="AW148" s="1128"/>
      <c r="AX148" s="1128"/>
      <c r="AY148" s="1128"/>
      <c r="AZ148" s="1128"/>
      <c r="BA148" s="1128"/>
      <c r="BB148" s="1128"/>
      <c r="BC148" s="1128"/>
      <c r="BD148" s="1128"/>
      <c r="BE148" s="1128"/>
      <c r="BF148" s="1128"/>
      <c r="BG148" s="1128"/>
      <c r="BH148" s="1128"/>
      <c r="BI148" s="1128"/>
      <c r="BJ148" s="1128"/>
      <c r="BK148" s="1128"/>
      <c r="BL148" s="1128"/>
      <c r="BM148" s="1128"/>
      <c r="BN148" s="1128"/>
      <c r="BO148" s="1128"/>
      <c r="BP148" s="1128"/>
      <c r="BQ148" s="1128"/>
      <c r="BR148" s="1128"/>
      <c r="BS148" s="1128"/>
      <c r="BT148" s="1128"/>
      <c r="BU148" s="1128"/>
      <c r="BV148" s="1128"/>
      <c r="BW148" s="1128"/>
      <c r="BX148" s="1128"/>
      <c r="BY148" s="1128"/>
      <c r="BZ148" s="1128"/>
      <c r="CA148" s="1128"/>
      <c r="CB148" s="1128"/>
      <c r="CC148" s="1128"/>
      <c r="CD148" s="1128"/>
      <c r="CE148" s="1128"/>
      <c r="CF148" s="1128"/>
      <c r="CG148" s="1128"/>
      <c r="CH148" s="1128"/>
      <c r="CI148" s="1128"/>
      <c r="CJ148" s="1128"/>
      <c r="CK148" s="1128"/>
    </row>
  </sheetData>
  <mergeCells count="3">
    <mergeCell ref="A1:B3"/>
    <mergeCell ref="C1:V1"/>
    <mergeCell ref="X1:AA1"/>
  </mergeCells>
  <conditionalFormatting sqref="C73:AL73 C4:E4 C11:E11 R35:Z35 C35:P35 AC35:AL35 C99:AL99 G79:O79 AA7:AA9 C6:I6 AB5:AL5 AA15:AA25 AA27:AA59 AB7:AL34 AI62:AI78 AI60 K6:AL6 R79:Z79 K98:Z98 G59:Z59 K4:AA4 AA79:AL98 AC4:AL4 AB36:AL59 AJ60:AL78 G11:Z11 AA12:AA13 C7:Z10 C5:Z5 C12:Z34 C36:Z55 F57:Z58 E57:E61 E56:Z56 C56:D61 F60:AH76 F80:O80 Q80:Z80 F77:O78 Q77:AH78 P77:P80 C62:E80 C81:Z97 C98:I98">
    <cfRule type="duplicateValues" dxfId="11" priority="111"/>
  </conditionalFormatting>
  <conditionalFormatting sqref="C73:AL73 AC35:AL35 C11:E11 R35:Z35 C35:P35 C99:AL99 G79:O79 AA7:AA9 C6:I6 AA15:AA25 AA27:AA59 AI62:AI78 AI60 K6:AA6 R79:Z79 K98:Z98 G59:Z59 AA79:AL98 AB4:AL34 AB36:AL59 AJ60:AL78 G11:Z11 AA12:AA13 C7:Z10 C4:AA4 C5:Z5 C12:Z34 C36:Z55 F57:Z58 E57:E61 E56:Z56 C56:D61 F60:AH76 F80:O80 Q80:Z80 F77:O78 Q77:AH78 P77:P80 C62:E80 C81:Z97 C98:I98">
    <cfRule type="duplicateValues" dxfId="10" priority="155"/>
  </conditionalFormatting>
  <pageMargins left="0.23622047244094491" right="0.23622047244094491" top="0.74803149606299213" bottom="0.74803149606299213" header="0.31496062992125984" footer="0.31496062992125984"/>
  <pageSetup paperSize="9" scale="57" fitToWidth="4" fitToHeight="2" orientation="portrait" horizontalDpi="4294967293" verticalDpi="300" r:id="rId1"/>
  <rowBreaks count="1" manualBreakCount="1">
    <brk id="25" max="16383" man="1"/>
  </rowBreaks>
  <colBreaks count="2" manualBreakCount="2">
    <brk id="20" max="103" man="1"/>
    <brk id="28" max="103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53"/>
  <sheetViews>
    <sheetView tabSelected="1" zoomScale="80" zoomScaleNormal="80" zoomScaleSheetLayoutView="50" workbookViewId="0">
      <pane xSplit="2" ySplit="2" topLeftCell="C27" activePane="bottomRight" state="frozen"/>
      <selection activeCell="V29" sqref="V29"/>
      <selection pane="topRight" activeCell="V29" sqref="V29"/>
      <selection pane="bottomLeft" activeCell="V29" sqref="V29"/>
      <selection pane="bottomRight" activeCell="H52" sqref="H52"/>
    </sheetView>
  </sheetViews>
  <sheetFormatPr defaultRowHeight="11.25"/>
  <cols>
    <col min="1" max="1" width="9.28515625" style="1494" customWidth="1"/>
    <col min="2" max="2" width="19.7109375" style="1499" customWidth="1"/>
    <col min="3" max="6" width="11.85546875" style="1494" customWidth="1"/>
    <col min="7" max="7" width="11.85546875" style="1497" customWidth="1"/>
    <col min="8" max="9" width="6.85546875" style="1494" customWidth="1"/>
    <col min="10" max="10" width="11.85546875" style="1494" customWidth="1"/>
    <col min="11" max="11" width="11.85546875" style="1497" customWidth="1"/>
    <col min="12" max="16" width="11.85546875" style="1494" customWidth="1"/>
    <col min="17" max="17" width="11.85546875" style="1497" customWidth="1"/>
    <col min="18" max="18" width="11.85546875" style="1494" customWidth="1"/>
    <col min="19" max="19" width="6" style="1494" customWidth="1"/>
    <col min="20" max="20" width="11.85546875" style="1494" customWidth="1"/>
    <col min="21" max="21" width="11.85546875" style="1497" customWidth="1"/>
    <col min="22" max="23" width="11.85546875" style="1494" customWidth="1"/>
    <col min="24" max="24" width="7" style="1494" customWidth="1"/>
    <col min="25" max="26" width="11.85546875" style="1497" customWidth="1"/>
    <col min="27" max="30" width="11.85546875" style="1494" customWidth="1"/>
    <col min="31" max="31" width="11.85546875" style="1497" customWidth="1"/>
    <col min="32" max="34" width="11.85546875" style="1494" customWidth="1"/>
    <col min="35" max="37" width="11.85546875" style="1497" customWidth="1"/>
    <col min="38" max="38" width="19.7109375" style="1498" customWidth="1"/>
    <col min="39" max="39" width="21.7109375" style="1498" customWidth="1"/>
    <col min="40" max="97" width="9.140625" style="1498" customWidth="1"/>
    <col min="98" max="16384" width="9.140625" style="1491"/>
  </cols>
  <sheetData>
    <row r="1" spans="1:97" s="1460" customFormat="1">
      <c r="A1" s="1454"/>
      <c r="B1" s="1455"/>
      <c r="C1" s="1456" t="s">
        <v>334</v>
      </c>
      <c r="D1" s="1457" t="s">
        <v>337</v>
      </c>
      <c r="E1" s="1457" t="s">
        <v>346</v>
      </c>
      <c r="F1" s="1457" t="s">
        <v>353</v>
      </c>
      <c r="G1" s="1456" t="s">
        <v>379</v>
      </c>
      <c r="H1" s="1457" t="s">
        <v>629</v>
      </c>
      <c r="I1" s="1457" t="s">
        <v>635</v>
      </c>
      <c r="J1" s="1457" t="s">
        <v>396</v>
      </c>
      <c r="K1" s="1456" t="s">
        <v>402</v>
      </c>
      <c r="L1" s="1457" t="s">
        <v>404</v>
      </c>
      <c r="M1" s="1457" t="s">
        <v>415</v>
      </c>
      <c r="N1" s="1457" t="s">
        <v>418</v>
      </c>
      <c r="O1" s="1457" t="s">
        <v>421</v>
      </c>
      <c r="P1" s="1457" t="s">
        <v>689</v>
      </c>
      <c r="Q1" s="1456" t="s">
        <v>446</v>
      </c>
      <c r="R1" s="1457" t="s">
        <v>449</v>
      </c>
      <c r="S1" s="1457" t="s">
        <v>467</v>
      </c>
      <c r="T1" s="1457" t="s">
        <v>455</v>
      </c>
      <c r="U1" s="1456" t="s">
        <v>458</v>
      </c>
      <c r="V1" s="1457" t="s">
        <v>460</v>
      </c>
      <c r="W1" s="1457" t="s">
        <v>464</v>
      </c>
      <c r="X1" s="1457" t="s">
        <v>2737</v>
      </c>
      <c r="Y1" s="1456" t="s">
        <v>480</v>
      </c>
      <c r="Z1" s="1456" t="s">
        <v>483</v>
      </c>
      <c r="AA1" s="1457" t="s">
        <v>488</v>
      </c>
      <c r="AB1" s="1457" t="s">
        <v>522</v>
      </c>
      <c r="AC1" s="1457" t="s">
        <v>502</v>
      </c>
      <c r="AD1" s="1457" t="s">
        <v>530</v>
      </c>
      <c r="AE1" s="1456" t="s">
        <v>516</v>
      </c>
      <c r="AF1" s="1457" t="s">
        <v>540</v>
      </c>
      <c r="AG1" s="1457" t="s">
        <v>527</v>
      </c>
      <c r="AH1" s="1457" t="s">
        <v>535</v>
      </c>
      <c r="AI1" s="1456" t="s">
        <v>568</v>
      </c>
      <c r="AJ1" s="1458" t="s">
        <v>2742</v>
      </c>
      <c r="AK1" s="1674" t="s">
        <v>1211</v>
      </c>
      <c r="AL1" s="1459"/>
      <c r="AM1" s="1459"/>
      <c r="AN1" s="1459"/>
      <c r="AO1" s="1459"/>
      <c r="AP1" s="1459"/>
      <c r="AQ1" s="1459"/>
      <c r="AR1" s="1459"/>
      <c r="AS1" s="1459"/>
      <c r="AT1" s="1459"/>
      <c r="AU1" s="1459"/>
      <c r="AV1" s="1459"/>
      <c r="AW1" s="1459"/>
      <c r="AX1" s="1459"/>
      <c r="AY1" s="1459"/>
      <c r="AZ1" s="1459"/>
      <c r="BA1" s="1459"/>
      <c r="BB1" s="1459"/>
      <c r="BC1" s="1459"/>
      <c r="BD1" s="1459"/>
      <c r="BE1" s="1459"/>
      <c r="BF1" s="1459"/>
      <c r="BG1" s="1459"/>
      <c r="BH1" s="1459"/>
      <c r="BI1" s="1459"/>
      <c r="BJ1" s="1459"/>
      <c r="BK1" s="1459"/>
      <c r="BL1" s="1459"/>
      <c r="BM1" s="1459"/>
      <c r="BN1" s="1459"/>
      <c r="BO1" s="1459"/>
      <c r="BP1" s="1459"/>
      <c r="BQ1" s="1459"/>
      <c r="BR1" s="1459"/>
      <c r="BS1" s="1459"/>
      <c r="BT1" s="1459"/>
      <c r="BU1" s="1459"/>
      <c r="BV1" s="1459"/>
      <c r="BW1" s="1459"/>
      <c r="BX1" s="1459"/>
      <c r="BY1" s="1459"/>
      <c r="BZ1" s="1459"/>
      <c r="CA1" s="1459"/>
      <c r="CB1" s="1459"/>
      <c r="CC1" s="1459"/>
      <c r="CD1" s="1459"/>
      <c r="CE1" s="1459"/>
      <c r="CF1" s="1459"/>
      <c r="CG1" s="1459"/>
      <c r="CH1" s="1459"/>
      <c r="CI1" s="1459"/>
      <c r="CJ1" s="1459"/>
      <c r="CK1" s="1459"/>
      <c r="CL1" s="1459"/>
      <c r="CM1" s="1459"/>
      <c r="CN1" s="1459"/>
      <c r="CO1" s="1459"/>
      <c r="CP1" s="1459"/>
      <c r="CQ1" s="1459"/>
      <c r="CR1" s="1459"/>
      <c r="CS1" s="1459"/>
    </row>
    <row r="2" spans="1:97" s="1460" customFormat="1" ht="191.25">
      <c r="A2" s="1454"/>
      <c r="B2" s="1455"/>
      <c r="C2" s="1461" t="s">
        <v>336</v>
      </c>
      <c r="D2" s="1462" t="s">
        <v>339</v>
      </c>
      <c r="E2" s="1462" t="s">
        <v>348</v>
      </c>
      <c r="F2" s="1462" t="s">
        <v>354</v>
      </c>
      <c r="G2" s="1456" t="s">
        <v>381</v>
      </c>
      <c r="H2" s="1462" t="s">
        <v>385</v>
      </c>
      <c r="I2" s="1462" t="s">
        <v>2734</v>
      </c>
      <c r="J2" s="1462" t="s">
        <v>398</v>
      </c>
      <c r="K2" s="1456" t="s">
        <v>812</v>
      </c>
      <c r="L2" s="1462" t="s">
        <v>811</v>
      </c>
      <c r="M2" s="1462" t="s">
        <v>417</v>
      </c>
      <c r="N2" s="1462" t="s">
        <v>420</v>
      </c>
      <c r="O2" s="1462" t="s">
        <v>422</v>
      </c>
      <c r="P2" s="1462" t="s">
        <v>2735</v>
      </c>
      <c r="Q2" s="1461" t="s">
        <v>448</v>
      </c>
      <c r="R2" s="1462" t="s">
        <v>451</v>
      </c>
      <c r="S2" s="1462" t="s">
        <v>454</v>
      </c>
      <c r="T2" s="1462" t="s">
        <v>457</v>
      </c>
      <c r="U2" s="1461" t="s">
        <v>813</v>
      </c>
      <c r="V2" s="1462" t="s">
        <v>462</v>
      </c>
      <c r="W2" s="1462" t="s">
        <v>466</v>
      </c>
      <c r="X2" s="1462" t="s">
        <v>2738</v>
      </c>
      <c r="Y2" s="1461" t="s">
        <v>482</v>
      </c>
      <c r="Z2" s="1461" t="s">
        <v>485</v>
      </c>
      <c r="AA2" s="1462" t="s">
        <v>490</v>
      </c>
      <c r="AB2" s="1462" t="s">
        <v>2739</v>
      </c>
      <c r="AC2" s="1462" t="s">
        <v>504</v>
      </c>
      <c r="AD2" s="1462" t="s">
        <v>2778</v>
      </c>
      <c r="AE2" s="1461" t="s">
        <v>517</v>
      </c>
      <c r="AF2" s="1462" t="s">
        <v>2741</v>
      </c>
      <c r="AG2" s="1462" t="s">
        <v>529</v>
      </c>
      <c r="AH2" s="1462" t="s">
        <v>536</v>
      </c>
      <c r="AI2" s="1461" t="s">
        <v>40</v>
      </c>
      <c r="AJ2" s="1461" t="s">
        <v>2743</v>
      </c>
      <c r="AK2" s="1674"/>
      <c r="AL2" s="1459"/>
      <c r="AM2" s="1459"/>
      <c r="AN2" s="1459"/>
      <c r="AO2" s="1459"/>
      <c r="AP2" s="1459"/>
      <c r="AQ2" s="1459"/>
      <c r="AR2" s="1459"/>
      <c r="AS2" s="1459"/>
      <c r="AT2" s="1459"/>
      <c r="AU2" s="1459"/>
      <c r="AV2" s="1459"/>
      <c r="AW2" s="1459"/>
      <c r="AX2" s="1459"/>
      <c r="AY2" s="1459"/>
      <c r="AZ2" s="1459"/>
      <c r="BA2" s="1459"/>
      <c r="BB2" s="1459"/>
      <c r="BC2" s="1459"/>
      <c r="BD2" s="1459"/>
      <c r="BE2" s="1459"/>
      <c r="BF2" s="1459"/>
      <c r="BG2" s="1459"/>
      <c r="BH2" s="1459"/>
      <c r="BI2" s="1459"/>
      <c r="BJ2" s="1459"/>
      <c r="BK2" s="1459"/>
      <c r="BL2" s="1459"/>
      <c r="BM2" s="1459"/>
      <c r="BN2" s="1459"/>
      <c r="BO2" s="1459"/>
      <c r="BP2" s="1459"/>
      <c r="BQ2" s="1459"/>
      <c r="BR2" s="1459"/>
      <c r="BS2" s="1459"/>
      <c r="BT2" s="1459"/>
      <c r="BU2" s="1459"/>
      <c r="BV2" s="1459"/>
      <c r="BW2" s="1459"/>
      <c r="BX2" s="1459"/>
      <c r="BY2" s="1459"/>
      <c r="BZ2" s="1459"/>
      <c r="CA2" s="1459"/>
      <c r="CB2" s="1459"/>
      <c r="CC2" s="1459"/>
      <c r="CD2" s="1459"/>
      <c r="CE2" s="1459"/>
      <c r="CF2" s="1459"/>
      <c r="CG2" s="1459"/>
      <c r="CH2" s="1459"/>
      <c r="CI2" s="1459"/>
      <c r="CJ2" s="1459"/>
      <c r="CK2" s="1459"/>
      <c r="CL2" s="1459"/>
      <c r="CM2" s="1459"/>
      <c r="CN2" s="1459"/>
      <c r="CO2" s="1459"/>
      <c r="CP2" s="1459"/>
      <c r="CQ2" s="1459"/>
      <c r="CR2" s="1459"/>
      <c r="CS2" s="1459"/>
    </row>
    <row r="3" spans="1:97" s="1460" customFormat="1" ht="33.75">
      <c r="A3" s="1463" t="s">
        <v>2745</v>
      </c>
      <c r="B3" s="1464" t="s">
        <v>2746</v>
      </c>
      <c r="C3" s="1465">
        <f>C4+C5</f>
        <v>379493288.05720574</v>
      </c>
      <c r="D3" s="1466">
        <f>D4+D5</f>
        <v>212801708.63738582</v>
      </c>
      <c r="E3" s="1466">
        <f>E4+E5</f>
        <v>33485373.706259012</v>
      </c>
      <c r="F3" s="1466">
        <f>F4+F5</f>
        <v>133206205.71356091</v>
      </c>
      <c r="G3" s="1465"/>
      <c r="H3" s="1466"/>
      <c r="I3" s="1466"/>
      <c r="J3" s="1466"/>
      <c r="K3" s="1465">
        <f>K4+K5</f>
        <v>225231620.63565022</v>
      </c>
      <c r="L3" s="1466">
        <f>L4+L5</f>
        <v>163417163.42965597</v>
      </c>
      <c r="M3" s="1466">
        <f>M4+M5</f>
        <v>2013123</v>
      </c>
      <c r="N3" s="1466">
        <f>N4+N5</f>
        <v>55472740.230788425</v>
      </c>
      <c r="O3" s="1466">
        <f>O4+O5</f>
        <v>4328593.9752058452</v>
      </c>
      <c r="P3" s="1466"/>
      <c r="Q3" s="1465">
        <f>Q4+Q5</f>
        <v>32179038.609999999</v>
      </c>
      <c r="R3" s="1466"/>
      <c r="S3" s="1466"/>
      <c r="T3" s="1466">
        <f>T4+T5</f>
        <v>32179038.609999999</v>
      </c>
      <c r="U3" s="1466"/>
      <c r="V3" s="1466"/>
      <c r="W3" s="1466"/>
      <c r="X3" s="1466"/>
      <c r="Y3" s="1466"/>
      <c r="Z3" s="1465"/>
      <c r="AA3" s="1466"/>
      <c r="AB3" s="1466"/>
      <c r="AC3" s="1466"/>
      <c r="AD3" s="1466"/>
      <c r="AE3" s="1466">
        <f>AE4+AE5</f>
        <v>2377735.7866617059</v>
      </c>
      <c r="AF3" s="1466"/>
      <c r="AG3" s="1466">
        <f>AG4+AG5</f>
        <v>2377735.7866617059</v>
      </c>
      <c r="AH3" s="1466"/>
      <c r="AI3" s="1465">
        <f>AI4+AI5</f>
        <v>22131</v>
      </c>
      <c r="AJ3" s="1465"/>
      <c r="AK3" s="1465">
        <f>AK4+AK5</f>
        <v>639303814.08951771</v>
      </c>
      <c r="AL3" s="1459"/>
      <c r="AM3" s="1459"/>
      <c r="AN3" s="1459"/>
      <c r="AO3" s="1459"/>
      <c r="AP3" s="1459"/>
      <c r="AQ3" s="1459"/>
      <c r="AR3" s="1459"/>
      <c r="AS3" s="1459"/>
      <c r="AT3" s="1459"/>
      <c r="AU3" s="1459"/>
      <c r="AV3" s="1459"/>
      <c r="AW3" s="1459"/>
      <c r="AX3" s="1459"/>
      <c r="AY3" s="1459"/>
      <c r="AZ3" s="1459"/>
      <c r="BA3" s="1459"/>
      <c r="BB3" s="1459"/>
      <c r="BC3" s="1459"/>
      <c r="BD3" s="1459"/>
      <c r="BE3" s="1459"/>
      <c r="BF3" s="1459"/>
      <c r="BG3" s="1459"/>
      <c r="BH3" s="1459"/>
      <c r="BI3" s="1459"/>
      <c r="BJ3" s="1459"/>
      <c r="BK3" s="1459"/>
      <c r="BL3" s="1459"/>
      <c r="BM3" s="1459"/>
      <c r="BN3" s="1459"/>
      <c r="BO3" s="1459"/>
      <c r="BP3" s="1459"/>
      <c r="BQ3" s="1459"/>
      <c r="BR3" s="1459"/>
      <c r="BS3" s="1459"/>
      <c r="BT3" s="1459"/>
      <c r="BU3" s="1459"/>
      <c r="BV3" s="1459"/>
      <c r="BW3" s="1459"/>
      <c r="BX3" s="1459"/>
      <c r="BY3" s="1459"/>
      <c r="BZ3" s="1459"/>
      <c r="CA3" s="1459"/>
      <c r="CB3" s="1459"/>
      <c r="CC3" s="1459"/>
      <c r="CD3" s="1459"/>
      <c r="CE3" s="1459"/>
      <c r="CF3" s="1459"/>
      <c r="CG3" s="1459"/>
      <c r="CH3" s="1459"/>
      <c r="CI3" s="1459"/>
      <c r="CJ3" s="1459"/>
      <c r="CK3" s="1459"/>
      <c r="CL3" s="1459"/>
      <c r="CM3" s="1459"/>
      <c r="CN3" s="1459"/>
      <c r="CO3" s="1459"/>
      <c r="CP3" s="1459"/>
      <c r="CQ3" s="1459"/>
      <c r="CR3" s="1459"/>
      <c r="CS3" s="1459"/>
    </row>
    <row r="4" spans="1:97" s="1460" customFormat="1">
      <c r="A4" s="1467" t="s">
        <v>136</v>
      </c>
      <c r="B4" s="1467" t="s">
        <v>137</v>
      </c>
      <c r="C4" s="1468">
        <f>D4+E4+F4</f>
        <v>379493288.05720574</v>
      </c>
      <c r="D4" s="1468">
        <f>D7+D10+D13+D20</f>
        <v>212801708.63738582</v>
      </c>
      <c r="E4" s="1468">
        <f>E7+E10+E13+E20</f>
        <v>33485373.706259012</v>
      </c>
      <c r="F4" s="1468">
        <f>F7+F10+F13+F20</f>
        <v>133206205.71356091</v>
      </c>
      <c r="G4" s="1468"/>
      <c r="H4" s="1468"/>
      <c r="I4" s="1468"/>
      <c r="J4" s="1468"/>
      <c r="K4" s="1468">
        <f>L4+M4+N4+O4+P4</f>
        <v>225231620.63565022</v>
      </c>
      <c r="L4" s="1468">
        <f>L7+L10+L13+L20+L8</f>
        <v>163417163.42965597</v>
      </c>
      <c r="M4" s="1468">
        <f>M7+M10+M13+M20</f>
        <v>2013123</v>
      </c>
      <c r="N4" s="1468">
        <f>N7+N10+N13+N20</f>
        <v>55472740.230788425</v>
      </c>
      <c r="O4" s="1468">
        <f>O7+O10+O13+O20</f>
        <v>4328593.9752058452</v>
      </c>
      <c r="P4" s="1468"/>
      <c r="Q4" s="1468">
        <f>R4+T4+S4</f>
        <v>32179038.609999999</v>
      </c>
      <c r="R4" s="1468"/>
      <c r="S4" s="1468"/>
      <c r="T4" s="1468">
        <f>T7+T10+T13+T20</f>
        <v>32179038.609999999</v>
      </c>
      <c r="U4" s="1468"/>
      <c r="V4" s="1468"/>
      <c r="W4" s="1468"/>
      <c r="X4" s="1468"/>
      <c r="Y4" s="1468"/>
      <c r="Z4" s="1468"/>
      <c r="AA4" s="1468"/>
      <c r="AB4" s="1468"/>
      <c r="AC4" s="1468"/>
      <c r="AD4" s="1468"/>
      <c r="AE4" s="1468">
        <f>AG4+AH4+AF4</f>
        <v>2377735.7866617059</v>
      </c>
      <c r="AF4" s="1468"/>
      <c r="AG4" s="1468">
        <f>AG7+AG10+AG13+AG20</f>
        <v>2377735.7866617059</v>
      </c>
      <c r="AH4" s="1468"/>
      <c r="AI4" s="1468">
        <f>AI7+AI10+AI13+AI20</f>
        <v>22131</v>
      </c>
      <c r="AJ4" s="1469"/>
      <c r="AK4" s="1469">
        <f>C4+G4+K4+Q4+U4+Y4+Z4+AE4+AI4+AJ4</f>
        <v>639303814.08951771</v>
      </c>
      <c r="AL4" s="1470"/>
      <c r="AM4" s="1471"/>
      <c r="AN4" s="1459"/>
      <c r="AO4" s="1459"/>
      <c r="AP4" s="1459"/>
      <c r="AQ4" s="1459"/>
      <c r="AR4" s="1459"/>
      <c r="AS4" s="1459"/>
      <c r="AT4" s="1459"/>
      <c r="AU4" s="1459"/>
      <c r="AV4" s="1459"/>
      <c r="AW4" s="1459"/>
      <c r="AX4" s="1459"/>
      <c r="AY4" s="1459"/>
      <c r="AZ4" s="1459"/>
      <c r="BA4" s="1459"/>
      <c r="BB4" s="1459"/>
      <c r="BC4" s="1459"/>
      <c r="BD4" s="1459"/>
      <c r="BE4" s="1459"/>
      <c r="BF4" s="1459"/>
      <c r="BG4" s="1459"/>
      <c r="BH4" s="1459"/>
      <c r="BI4" s="1459"/>
      <c r="BJ4" s="1459"/>
      <c r="BK4" s="1459"/>
      <c r="BL4" s="1459"/>
      <c r="BM4" s="1459"/>
      <c r="BN4" s="1459"/>
      <c r="BO4" s="1459"/>
      <c r="BP4" s="1459"/>
      <c r="BQ4" s="1459"/>
      <c r="BR4" s="1459"/>
      <c r="BS4" s="1459"/>
      <c r="BT4" s="1459"/>
      <c r="BU4" s="1459"/>
      <c r="BV4" s="1459"/>
      <c r="BW4" s="1459"/>
      <c r="BX4" s="1459"/>
      <c r="BY4" s="1459"/>
      <c r="BZ4" s="1459"/>
      <c r="CA4" s="1459"/>
      <c r="CB4" s="1459"/>
      <c r="CC4" s="1459"/>
      <c r="CD4" s="1459"/>
      <c r="CE4" s="1459"/>
      <c r="CF4" s="1459"/>
      <c r="CG4" s="1459"/>
      <c r="CH4" s="1459"/>
      <c r="CI4" s="1459"/>
      <c r="CJ4" s="1459"/>
      <c r="CK4" s="1459"/>
      <c r="CL4" s="1459"/>
      <c r="CM4" s="1459"/>
      <c r="CN4" s="1459"/>
      <c r="CO4" s="1459"/>
      <c r="CP4" s="1459"/>
      <c r="CQ4" s="1459"/>
      <c r="CR4" s="1459"/>
      <c r="CS4" s="1459"/>
    </row>
    <row r="5" spans="1:97" s="1460" customFormat="1" ht="22.5">
      <c r="A5" s="1467" t="s">
        <v>162</v>
      </c>
      <c r="B5" s="1467" t="s">
        <v>163</v>
      </c>
      <c r="C5" s="1468">
        <f>D5+E5+F5</f>
        <v>0</v>
      </c>
      <c r="D5" s="1468"/>
      <c r="E5" s="1468"/>
      <c r="F5" s="1468"/>
      <c r="G5" s="1468"/>
      <c r="H5" s="1468"/>
      <c r="I5" s="1468"/>
      <c r="J5" s="1468"/>
      <c r="K5" s="1468"/>
      <c r="L5" s="1468"/>
      <c r="M5" s="1468"/>
      <c r="N5" s="1468"/>
      <c r="O5" s="1468"/>
      <c r="P5" s="1468"/>
      <c r="Q5" s="1468"/>
      <c r="R5" s="1468"/>
      <c r="S5" s="1468"/>
      <c r="T5" s="1468"/>
      <c r="U5" s="1468"/>
      <c r="V5" s="1468"/>
      <c r="W5" s="1468"/>
      <c r="X5" s="1468"/>
      <c r="Y5" s="1468"/>
      <c r="Z5" s="1468"/>
      <c r="AA5" s="1468"/>
      <c r="AB5" s="1468"/>
      <c r="AC5" s="1468"/>
      <c r="AD5" s="1468"/>
      <c r="AE5" s="1468"/>
      <c r="AF5" s="1468"/>
      <c r="AG5" s="1468"/>
      <c r="AH5" s="1468"/>
      <c r="AI5" s="1468"/>
      <c r="AJ5" s="1469"/>
      <c r="AK5" s="1469">
        <f>C5+G5+K5+Q5+U5+Y5+Z5+AE5+AI5+AJ5</f>
        <v>0</v>
      </c>
      <c r="AL5" s="1470"/>
      <c r="AM5" s="1471"/>
      <c r="AN5" s="1459"/>
      <c r="AO5" s="1459"/>
      <c r="AP5" s="1459"/>
      <c r="AQ5" s="1459"/>
      <c r="AR5" s="1459"/>
      <c r="AS5" s="1459"/>
      <c r="AT5" s="1459"/>
      <c r="AU5" s="1459"/>
      <c r="AV5" s="1459"/>
      <c r="AW5" s="1459"/>
      <c r="AX5" s="1459"/>
      <c r="AY5" s="1459"/>
      <c r="AZ5" s="1459"/>
      <c r="BA5" s="1459"/>
      <c r="BB5" s="1459"/>
      <c r="BC5" s="1459"/>
      <c r="BD5" s="1459"/>
      <c r="BE5" s="1459"/>
      <c r="BF5" s="1459"/>
      <c r="BG5" s="1459"/>
      <c r="BH5" s="1459"/>
      <c r="BI5" s="1459"/>
      <c r="BJ5" s="1459"/>
      <c r="BK5" s="1459"/>
      <c r="BL5" s="1459"/>
      <c r="BM5" s="1459"/>
      <c r="BN5" s="1459"/>
      <c r="BO5" s="1459"/>
      <c r="BP5" s="1459"/>
      <c r="BQ5" s="1459"/>
      <c r="BR5" s="1459"/>
      <c r="BS5" s="1459"/>
      <c r="BT5" s="1459"/>
      <c r="BU5" s="1459"/>
      <c r="BV5" s="1459"/>
      <c r="BW5" s="1459"/>
      <c r="BX5" s="1459"/>
      <c r="BY5" s="1459"/>
      <c r="BZ5" s="1459"/>
      <c r="CA5" s="1459"/>
      <c r="CB5" s="1459"/>
      <c r="CC5" s="1459"/>
      <c r="CD5" s="1459"/>
      <c r="CE5" s="1459"/>
      <c r="CF5" s="1459"/>
      <c r="CG5" s="1459"/>
      <c r="CH5" s="1459"/>
      <c r="CI5" s="1459"/>
      <c r="CJ5" s="1459"/>
      <c r="CK5" s="1459"/>
      <c r="CL5" s="1459"/>
      <c r="CM5" s="1459"/>
      <c r="CN5" s="1459"/>
      <c r="CO5" s="1459"/>
      <c r="CP5" s="1459"/>
      <c r="CQ5" s="1459"/>
      <c r="CR5" s="1459"/>
      <c r="CS5" s="1459"/>
    </row>
    <row r="6" spans="1:97" s="1460" customFormat="1" ht="45">
      <c r="A6" s="1472" t="s">
        <v>2747</v>
      </c>
      <c r="B6" s="1464" t="s">
        <v>2748</v>
      </c>
      <c r="C6" s="1465">
        <f>C7+C8</f>
        <v>372263603.33568966</v>
      </c>
      <c r="D6" s="1466">
        <f>D7+D8</f>
        <v>224605076.9799656</v>
      </c>
      <c r="E6" s="1466">
        <f>E7+E8</f>
        <v>16742686.853129506</v>
      </c>
      <c r="F6" s="1466">
        <f>F7+F8</f>
        <v>130915839.50259456</v>
      </c>
      <c r="G6" s="1465"/>
      <c r="H6" s="1466"/>
      <c r="I6" s="1466"/>
      <c r="J6" s="1466"/>
      <c r="K6" s="1465">
        <f>K7+K8</f>
        <v>539936.61517562834</v>
      </c>
      <c r="L6" s="1466">
        <f>L7+L8</f>
        <v>76323</v>
      </c>
      <c r="M6" s="1466">
        <f>M7</f>
        <v>12793</v>
      </c>
      <c r="N6" s="1466"/>
      <c r="O6" s="1466">
        <f>O7+O8</f>
        <v>450820.61517562834</v>
      </c>
      <c r="P6" s="1466"/>
      <c r="Q6" s="1465"/>
      <c r="R6" s="1466"/>
      <c r="S6" s="1466"/>
      <c r="T6" s="1466"/>
      <c r="U6" s="1466"/>
      <c r="V6" s="1466"/>
      <c r="W6" s="1466"/>
      <c r="X6" s="1466"/>
      <c r="Y6" s="1465"/>
      <c r="Z6" s="1465"/>
      <c r="AA6" s="1466"/>
      <c r="AB6" s="1466"/>
      <c r="AC6" s="1466"/>
      <c r="AD6" s="1466"/>
      <c r="AE6" s="1465">
        <f>AE7+AE8</f>
        <v>2354214.4524152181</v>
      </c>
      <c r="AF6" s="1466"/>
      <c r="AG6" s="1466">
        <f>AG7+AG8</f>
        <v>2354214.4524152181</v>
      </c>
      <c r="AH6" s="1466"/>
      <c r="AI6" s="1465">
        <f>AI7+AI8</f>
        <v>22131</v>
      </c>
      <c r="AJ6" s="1465"/>
      <c r="AK6" s="1465">
        <f>AK7+AK8</f>
        <v>375179885.4032805</v>
      </c>
      <c r="AL6" s="1470"/>
      <c r="AM6" s="1471"/>
      <c r="AN6" s="1459"/>
      <c r="AO6" s="1459"/>
      <c r="AP6" s="1459"/>
      <c r="AQ6" s="1459"/>
      <c r="AR6" s="1459"/>
      <c r="AS6" s="1459"/>
      <c r="AT6" s="1459"/>
      <c r="AU6" s="1459"/>
      <c r="AV6" s="1459"/>
      <c r="AW6" s="1459"/>
      <c r="AX6" s="1459"/>
      <c r="AY6" s="1459"/>
      <c r="AZ6" s="1459"/>
      <c r="BA6" s="1459"/>
      <c r="BB6" s="1459"/>
      <c r="BC6" s="1459"/>
      <c r="BD6" s="1459"/>
      <c r="BE6" s="1459"/>
      <c r="BF6" s="1459"/>
      <c r="BG6" s="1459"/>
      <c r="BH6" s="1459"/>
      <c r="BI6" s="1459"/>
      <c r="BJ6" s="1459"/>
      <c r="BK6" s="1459"/>
      <c r="BL6" s="1459"/>
      <c r="BM6" s="1459"/>
      <c r="BN6" s="1459"/>
      <c r="BO6" s="1459"/>
      <c r="BP6" s="1459"/>
      <c r="BQ6" s="1459"/>
      <c r="BR6" s="1459"/>
      <c r="BS6" s="1459"/>
      <c r="BT6" s="1459"/>
      <c r="BU6" s="1459"/>
      <c r="BV6" s="1459"/>
      <c r="BW6" s="1459"/>
      <c r="BX6" s="1459"/>
      <c r="BY6" s="1459"/>
      <c r="BZ6" s="1459"/>
      <c r="CA6" s="1459"/>
      <c r="CB6" s="1459"/>
      <c r="CC6" s="1459"/>
      <c r="CD6" s="1459"/>
      <c r="CE6" s="1459"/>
      <c r="CF6" s="1459"/>
      <c r="CG6" s="1459"/>
      <c r="CH6" s="1459"/>
      <c r="CI6" s="1459"/>
      <c r="CJ6" s="1459"/>
      <c r="CK6" s="1459"/>
      <c r="CL6" s="1459"/>
      <c r="CM6" s="1459"/>
      <c r="CN6" s="1459"/>
      <c r="CO6" s="1459"/>
      <c r="CP6" s="1459"/>
      <c r="CQ6" s="1459"/>
      <c r="CR6" s="1459"/>
      <c r="CS6" s="1459"/>
    </row>
    <row r="7" spans="1:97" s="1460" customFormat="1" ht="22.5">
      <c r="A7" s="1473" t="s">
        <v>138</v>
      </c>
      <c r="B7" s="1474" t="s">
        <v>139</v>
      </c>
      <c r="C7" s="1469">
        <f>D7+E7+F7</f>
        <v>345583389.33568966</v>
      </c>
      <c r="D7" s="1475">
        <f>'HP-HC2'!D4+ОУ2012!H6+(ОДХ!C11/1000)</f>
        <v>197924862.9799656</v>
      </c>
      <c r="E7" s="1475">
        <f>'HP-HC2'!H4</f>
        <v>16742686.853129506</v>
      </c>
      <c r="F7" s="1475">
        <f>'HP-HC2'!K4</f>
        <v>130915839.50259456</v>
      </c>
      <c r="G7" s="1468"/>
      <c r="H7" s="1475"/>
      <c r="I7" s="1475"/>
      <c r="J7" s="1475"/>
      <c r="K7" s="1468">
        <f>L7+M7+N7+O7+P7+L8</f>
        <v>539936.61517562834</v>
      </c>
      <c r="L7" s="1475">
        <f>'HP-HC2'!AG4+ОУ2012!I6</f>
        <v>76323</v>
      </c>
      <c r="M7" s="1475">
        <f>'HP-HC2'!AK4+ОУ2012!K6</f>
        <v>12793</v>
      </c>
      <c r="N7" s="1475"/>
      <c r="O7" s="1475">
        <f>'HP-HC2'!AM4+ОУ2012!J6</f>
        <v>450820.61517562834</v>
      </c>
      <c r="P7" s="1475"/>
      <c r="Q7" s="1468"/>
      <c r="R7" s="1475"/>
      <c r="S7" s="1475"/>
      <c r="T7" s="1475"/>
      <c r="U7" s="1476"/>
      <c r="V7" s="1475"/>
      <c r="W7" s="1475"/>
      <c r="X7" s="1475"/>
      <c r="Y7" s="1468"/>
      <c r="Z7" s="1468"/>
      <c r="AA7" s="1475"/>
      <c r="AB7" s="1475"/>
      <c r="AC7" s="1475"/>
      <c r="AD7" s="1475"/>
      <c r="AE7" s="1468">
        <f>AG7+AH7+AF7</f>
        <v>2354214.4524152181</v>
      </c>
      <c r="AF7" s="1475"/>
      <c r="AG7" s="1475">
        <f>'HP-HC2'!BU4</f>
        <v>2354214.4524152181</v>
      </c>
      <c r="AH7" s="1475"/>
      <c r="AI7" s="1468">
        <f>'HP-HC2'!BX5</f>
        <v>22131</v>
      </c>
      <c r="AJ7" s="1469"/>
      <c r="AK7" s="1469">
        <f>C7+G7+K7+Q7+U7+Y7+Z7+AE7+AI7+AJ7</f>
        <v>348499671.4032805</v>
      </c>
      <c r="AL7" s="1470"/>
      <c r="AM7" s="1471"/>
      <c r="AN7" s="1459"/>
      <c r="AO7" s="1459"/>
      <c r="AP7" s="1459"/>
      <c r="AQ7" s="1459"/>
      <c r="AR7" s="1459"/>
      <c r="AS7" s="1459"/>
      <c r="AT7" s="1459"/>
      <c r="AU7" s="1459"/>
      <c r="AV7" s="1459"/>
      <c r="AW7" s="1459"/>
      <c r="AX7" s="1459"/>
      <c r="AY7" s="1459"/>
      <c r="AZ7" s="1459"/>
      <c r="BA7" s="1459"/>
      <c r="BB7" s="1459"/>
      <c r="BC7" s="1459"/>
      <c r="BD7" s="1459"/>
      <c r="BE7" s="1459"/>
      <c r="BF7" s="1459"/>
      <c r="BG7" s="1459"/>
      <c r="BH7" s="1459"/>
      <c r="BI7" s="1459"/>
      <c r="BJ7" s="1459"/>
      <c r="BK7" s="1459"/>
      <c r="BL7" s="1459"/>
      <c r="BM7" s="1459"/>
      <c r="BN7" s="1459"/>
      <c r="BO7" s="1459"/>
      <c r="BP7" s="1459"/>
      <c r="BQ7" s="1459"/>
      <c r="BR7" s="1459"/>
      <c r="BS7" s="1459"/>
      <c r="BT7" s="1459"/>
      <c r="BU7" s="1459"/>
      <c r="BV7" s="1459"/>
      <c r="BW7" s="1459"/>
      <c r="BX7" s="1459"/>
      <c r="BY7" s="1459"/>
      <c r="BZ7" s="1459"/>
      <c r="CA7" s="1459"/>
      <c r="CB7" s="1459"/>
      <c r="CC7" s="1459"/>
      <c r="CD7" s="1459"/>
      <c r="CE7" s="1459"/>
      <c r="CF7" s="1459"/>
      <c r="CG7" s="1459"/>
      <c r="CH7" s="1459"/>
      <c r="CI7" s="1459"/>
      <c r="CJ7" s="1459"/>
      <c r="CK7" s="1459"/>
      <c r="CL7" s="1459"/>
      <c r="CM7" s="1459"/>
      <c r="CN7" s="1459"/>
      <c r="CO7" s="1459"/>
      <c r="CP7" s="1459"/>
      <c r="CQ7" s="1459"/>
      <c r="CR7" s="1459"/>
      <c r="CS7" s="1459"/>
    </row>
    <row r="8" spans="1:97" s="1460" customFormat="1" ht="22.5">
      <c r="A8" s="1473" t="s">
        <v>164</v>
      </c>
      <c r="B8" s="1474" t="s">
        <v>165</v>
      </c>
      <c r="C8" s="1469">
        <f>D8+E8+F8</f>
        <v>26680214</v>
      </c>
      <c r="D8" s="1475">
        <f>Отчет!J46+ОУ2012!H6+ОУ2012!L6</f>
        <v>26680214</v>
      </c>
      <c r="E8" s="1475"/>
      <c r="F8" s="1475"/>
      <c r="G8" s="1468"/>
      <c r="H8" s="1475"/>
      <c r="I8" s="1475"/>
      <c r="J8" s="1475"/>
      <c r="K8" s="1468"/>
      <c r="L8" s="1475">
        <f>'HP-HC2'!AF19</f>
        <v>0</v>
      </c>
      <c r="M8" s="1475"/>
      <c r="N8" s="1475"/>
      <c r="O8" s="1475"/>
      <c r="P8" s="1475"/>
      <c r="Q8" s="1468"/>
      <c r="R8" s="1475"/>
      <c r="S8" s="1475"/>
      <c r="T8" s="1475"/>
      <c r="U8" s="1476"/>
      <c r="V8" s="1475"/>
      <c r="W8" s="1475"/>
      <c r="X8" s="1475"/>
      <c r="Y8" s="1468"/>
      <c r="Z8" s="1468"/>
      <c r="AA8" s="1475"/>
      <c r="AB8" s="1475"/>
      <c r="AC8" s="1475"/>
      <c r="AD8" s="1475"/>
      <c r="AE8" s="1468"/>
      <c r="AF8" s="1475"/>
      <c r="AG8" s="1475"/>
      <c r="AH8" s="1475"/>
      <c r="AI8" s="1468"/>
      <c r="AJ8" s="1469"/>
      <c r="AK8" s="1469">
        <f>C8+G8+K8+Q8+U8+Y8+Z8+AE8+AI8+AJ8</f>
        <v>26680214</v>
      </c>
      <c r="AL8" s="1470"/>
      <c r="AM8" s="1471"/>
      <c r="AN8" s="1459"/>
      <c r="AO8" s="1459"/>
      <c r="AP8" s="1459"/>
      <c r="AQ8" s="1459"/>
      <c r="AR8" s="1459"/>
      <c r="AS8" s="1459"/>
      <c r="AT8" s="1459"/>
      <c r="AU8" s="1459"/>
      <c r="AV8" s="1459"/>
      <c r="AW8" s="1459"/>
      <c r="AX8" s="1459"/>
      <c r="AY8" s="1459"/>
      <c r="AZ8" s="1459"/>
      <c r="BA8" s="1459"/>
      <c r="BB8" s="1459"/>
      <c r="BC8" s="1459"/>
      <c r="BD8" s="1459"/>
      <c r="BE8" s="1459"/>
      <c r="BF8" s="1459"/>
      <c r="BG8" s="1459"/>
      <c r="BH8" s="1459"/>
      <c r="BI8" s="1459"/>
      <c r="BJ8" s="1459"/>
      <c r="BK8" s="1459"/>
      <c r="BL8" s="1459"/>
      <c r="BM8" s="1459"/>
      <c r="BN8" s="1459"/>
      <c r="BO8" s="1459"/>
      <c r="BP8" s="1459"/>
      <c r="BQ8" s="1459"/>
      <c r="BR8" s="1459"/>
      <c r="BS8" s="1459"/>
      <c r="BT8" s="1459"/>
      <c r="BU8" s="1459"/>
      <c r="BV8" s="1459"/>
      <c r="BW8" s="1459"/>
      <c r="BX8" s="1459"/>
      <c r="BY8" s="1459"/>
      <c r="BZ8" s="1459"/>
      <c r="CA8" s="1459"/>
      <c r="CB8" s="1459"/>
      <c r="CC8" s="1459"/>
      <c r="CD8" s="1459"/>
      <c r="CE8" s="1459"/>
      <c r="CF8" s="1459"/>
      <c r="CG8" s="1459"/>
      <c r="CH8" s="1459"/>
      <c r="CI8" s="1459"/>
      <c r="CJ8" s="1459"/>
      <c r="CK8" s="1459"/>
      <c r="CL8" s="1459"/>
      <c r="CM8" s="1459"/>
      <c r="CN8" s="1459"/>
      <c r="CO8" s="1459"/>
      <c r="CP8" s="1459"/>
      <c r="CQ8" s="1459"/>
      <c r="CR8" s="1459"/>
      <c r="CS8" s="1459"/>
    </row>
    <row r="9" spans="1:97" s="1460" customFormat="1" ht="45">
      <c r="A9" s="1472" t="s">
        <v>2749</v>
      </c>
      <c r="B9" s="1464" t="s">
        <v>2750</v>
      </c>
      <c r="C9" s="1465">
        <f>C10+C11</f>
        <v>31977352.721516069</v>
      </c>
      <c r="D9" s="1466">
        <f>D10+D11</f>
        <v>12944299.657420222</v>
      </c>
      <c r="E9" s="1466">
        <f>E10</f>
        <v>16742686.853129506</v>
      </c>
      <c r="F9" s="1466">
        <f>F10+F11</f>
        <v>2290366.2109663421</v>
      </c>
      <c r="G9" s="1465"/>
      <c r="H9" s="1466"/>
      <c r="I9" s="1466"/>
      <c r="J9" s="1466"/>
      <c r="K9" s="1465">
        <f>K10+K11</f>
        <v>5246354.989686165</v>
      </c>
      <c r="L9" s="1466">
        <f>L10+L11</f>
        <v>5042585.6296559479</v>
      </c>
      <c r="M9" s="1466"/>
      <c r="N9" s="1466"/>
      <c r="O9" s="1466">
        <f>O10+O11</f>
        <v>203769.36003021701</v>
      </c>
      <c r="P9" s="1466"/>
      <c r="Q9" s="1465"/>
      <c r="R9" s="1466"/>
      <c r="S9" s="1466"/>
      <c r="T9" s="1466"/>
      <c r="U9" s="1466"/>
      <c r="V9" s="1466"/>
      <c r="W9" s="1466"/>
      <c r="X9" s="1466"/>
      <c r="Y9" s="1465"/>
      <c r="Z9" s="1465"/>
      <c r="AA9" s="1466"/>
      <c r="AB9" s="1466"/>
      <c r="AC9" s="1466"/>
      <c r="AD9" s="1466"/>
      <c r="AE9" s="1465">
        <f>AE10+AE11</f>
        <v>23521.334246487724</v>
      </c>
      <c r="AF9" s="1466"/>
      <c r="AG9" s="1466">
        <f>AG10+AG11</f>
        <v>23521.334246487724</v>
      </c>
      <c r="AH9" s="1466"/>
      <c r="AI9" s="1465"/>
      <c r="AJ9" s="1465"/>
      <c r="AK9" s="1465">
        <f>AK10+AK11</f>
        <v>37247229.04544872</v>
      </c>
      <c r="AL9" s="1470"/>
      <c r="AM9" s="1471"/>
      <c r="AN9" s="1459"/>
      <c r="AO9" s="1459"/>
      <c r="AP9" s="1459"/>
      <c r="AQ9" s="1459"/>
      <c r="AR9" s="1459"/>
      <c r="AS9" s="1459"/>
      <c r="AT9" s="1459"/>
      <c r="AU9" s="1459"/>
      <c r="AV9" s="1459"/>
      <c r="AW9" s="1459"/>
      <c r="AX9" s="1459"/>
      <c r="AY9" s="1459"/>
      <c r="AZ9" s="1459"/>
      <c r="BA9" s="1459"/>
      <c r="BB9" s="1459"/>
      <c r="BC9" s="1459"/>
      <c r="BD9" s="1459"/>
      <c r="BE9" s="1459"/>
      <c r="BF9" s="1459"/>
      <c r="BG9" s="1459"/>
      <c r="BH9" s="1459"/>
      <c r="BI9" s="1459"/>
      <c r="BJ9" s="1459"/>
      <c r="BK9" s="1459"/>
      <c r="BL9" s="1459"/>
      <c r="BM9" s="1459"/>
      <c r="BN9" s="1459"/>
      <c r="BO9" s="1459"/>
      <c r="BP9" s="1459"/>
      <c r="BQ9" s="1459"/>
      <c r="BR9" s="1459"/>
      <c r="BS9" s="1459"/>
      <c r="BT9" s="1459"/>
      <c r="BU9" s="1459"/>
      <c r="BV9" s="1459"/>
      <c r="BW9" s="1459"/>
      <c r="BX9" s="1459"/>
      <c r="BY9" s="1459"/>
      <c r="BZ9" s="1459"/>
      <c r="CA9" s="1459"/>
      <c r="CB9" s="1459"/>
      <c r="CC9" s="1459"/>
      <c r="CD9" s="1459"/>
      <c r="CE9" s="1459"/>
      <c r="CF9" s="1459"/>
      <c r="CG9" s="1459"/>
      <c r="CH9" s="1459"/>
      <c r="CI9" s="1459"/>
      <c r="CJ9" s="1459"/>
      <c r="CK9" s="1459"/>
      <c r="CL9" s="1459"/>
      <c r="CM9" s="1459"/>
      <c r="CN9" s="1459"/>
      <c r="CO9" s="1459"/>
      <c r="CP9" s="1459"/>
      <c r="CQ9" s="1459"/>
      <c r="CR9" s="1459"/>
      <c r="CS9" s="1459"/>
    </row>
    <row r="10" spans="1:97" s="1460" customFormat="1" ht="22.5">
      <c r="A10" s="1473" t="s">
        <v>144</v>
      </c>
      <c r="B10" s="1474" t="s">
        <v>145</v>
      </c>
      <c r="C10" s="1469">
        <f>D10+E10+F10</f>
        <v>31977352.721516069</v>
      </c>
      <c r="D10" s="1477">
        <f>'[4]HP-HC2'!E7</f>
        <v>12944299.657420222</v>
      </c>
      <c r="E10" s="1477">
        <f>'HP-HC2'!H4</f>
        <v>16742686.853129506</v>
      </c>
      <c r="F10" s="1477">
        <f>'HP-HC2'!K7</f>
        <v>2290366.2109663421</v>
      </c>
      <c r="G10" s="1469"/>
      <c r="H10" s="1477"/>
      <c r="I10" s="1477"/>
      <c r="J10" s="1477"/>
      <c r="K10" s="1469">
        <f>L10+N10+M10+O10</f>
        <v>5246354.989686165</v>
      </c>
      <c r="L10" s="1477">
        <f>'HP-HC2'!AF7</f>
        <v>5042585.6296559479</v>
      </c>
      <c r="M10" s="1477"/>
      <c r="N10" s="1477"/>
      <c r="O10" s="1477">
        <f>'HP-HC2'!AM7</f>
        <v>203769.36003021701</v>
      </c>
      <c r="P10" s="1477"/>
      <c r="Q10" s="1469"/>
      <c r="R10" s="1477"/>
      <c r="S10" s="1477"/>
      <c r="T10" s="1477"/>
      <c r="U10" s="1478"/>
      <c r="V10" s="1477"/>
      <c r="W10" s="1477"/>
      <c r="X10" s="1477"/>
      <c r="Y10" s="1469"/>
      <c r="Z10" s="1469"/>
      <c r="AA10" s="1477"/>
      <c r="AB10" s="1477"/>
      <c r="AC10" s="1477"/>
      <c r="AD10" s="1477"/>
      <c r="AE10" s="1469">
        <f>AG10+AH10+AF10</f>
        <v>23521.334246487724</v>
      </c>
      <c r="AF10" s="1477"/>
      <c r="AG10" s="1477">
        <f>'HP-HC2'!BU7</f>
        <v>23521.334246487724</v>
      </c>
      <c r="AH10" s="1477"/>
      <c r="AI10" s="1469"/>
      <c r="AJ10" s="1469"/>
      <c r="AK10" s="1469">
        <f>C10+G10+K10+Q10+U10+Y10+Z10+AE10+AI10+AJ10</f>
        <v>37247229.04544872</v>
      </c>
      <c r="AL10" s="1470"/>
      <c r="AM10" s="1471"/>
      <c r="AN10" s="1459"/>
      <c r="AO10" s="1459"/>
      <c r="AP10" s="1459"/>
      <c r="AQ10" s="1459"/>
      <c r="AR10" s="1459"/>
      <c r="AS10" s="1459"/>
      <c r="AT10" s="1459"/>
      <c r="AU10" s="1459"/>
      <c r="AV10" s="1459"/>
      <c r="AW10" s="1459"/>
      <c r="AX10" s="1459"/>
      <c r="AY10" s="1459"/>
      <c r="AZ10" s="1459"/>
      <c r="BA10" s="1459"/>
      <c r="BB10" s="1459"/>
      <c r="BC10" s="1459"/>
      <c r="BD10" s="1459"/>
      <c r="BE10" s="1459"/>
      <c r="BF10" s="1459"/>
      <c r="BG10" s="1459"/>
      <c r="BH10" s="1459"/>
      <c r="BI10" s="1459"/>
      <c r="BJ10" s="1459"/>
      <c r="BK10" s="1459"/>
      <c r="BL10" s="1459"/>
      <c r="BM10" s="1459"/>
      <c r="BN10" s="1459"/>
      <c r="BO10" s="1459"/>
      <c r="BP10" s="1459"/>
      <c r="BQ10" s="1459"/>
      <c r="BR10" s="1459"/>
      <c r="BS10" s="1459"/>
      <c r="BT10" s="1459"/>
      <c r="BU10" s="1459"/>
      <c r="BV10" s="1459"/>
      <c r="BW10" s="1459"/>
      <c r="BX10" s="1459"/>
      <c r="BY10" s="1459"/>
      <c r="BZ10" s="1459"/>
      <c r="CA10" s="1459"/>
      <c r="CB10" s="1459"/>
      <c r="CC10" s="1459"/>
      <c r="CD10" s="1459"/>
      <c r="CE10" s="1459"/>
      <c r="CF10" s="1459"/>
      <c r="CG10" s="1459"/>
      <c r="CH10" s="1459"/>
      <c r="CI10" s="1459"/>
      <c r="CJ10" s="1459"/>
      <c r="CK10" s="1459"/>
      <c r="CL10" s="1459"/>
      <c r="CM10" s="1459"/>
      <c r="CN10" s="1459"/>
      <c r="CO10" s="1459"/>
      <c r="CP10" s="1459"/>
      <c r="CQ10" s="1459"/>
      <c r="CR10" s="1459"/>
      <c r="CS10" s="1459"/>
    </row>
    <row r="11" spans="1:97" s="1460" customFormat="1" ht="33.75">
      <c r="A11" s="1473" t="s">
        <v>166</v>
      </c>
      <c r="B11" s="1479" t="s">
        <v>2751</v>
      </c>
      <c r="C11" s="1469"/>
      <c r="D11" s="1477"/>
      <c r="E11" s="1477"/>
      <c r="F11" s="1477"/>
      <c r="G11" s="1469"/>
      <c r="H11" s="1477"/>
      <c r="I11" s="1477"/>
      <c r="J11" s="1477"/>
      <c r="K11" s="1469"/>
      <c r="L11" s="1477"/>
      <c r="M11" s="1477"/>
      <c r="N11" s="1477"/>
      <c r="O11" s="1477"/>
      <c r="P11" s="1477"/>
      <c r="Q11" s="1469"/>
      <c r="R11" s="1477"/>
      <c r="S11" s="1477"/>
      <c r="T11" s="1477"/>
      <c r="U11" s="1478"/>
      <c r="V11" s="1477"/>
      <c r="W11" s="1477"/>
      <c r="X11" s="1477"/>
      <c r="Y11" s="1469"/>
      <c r="Z11" s="1469"/>
      <c r="AA11" s="1477"/>
      <c r="AB11" s="1477"/>
      <c r="AC11" s="1477"/>
      <c r="AD11" s="1477"/>
      <c r="AE11" s="1469"/>
      <c r="AF11" s="1477"/>
      <c r="AG11" s="1477"/>
      <c r="AH11" s="1477"/>
      <c r="AI11" s="1469"/>
      <c r="AJ11" s="1469"/>
      <c r="AK11" s="1469"/>
      <c r="AL11" s="1470"/>
      <c r="AM11" s="1471"/>
      <c r="AN11" s="1459"/>
      <c r="AO11" s="1459"/>
      <c r="AP11" s="1459"/>
      <c r="AQ11" s="1459"/>
      <c r="AR11" s="1459"/>
      <c r="AS11" s="1459"/>
      <c r="AT11" s="1459"/>
      <c r="AU11" s="1459"/>
      <c r="AV11" s="1459"/>
      <c r="AW11" s="1459"/>
      <c r="AX11" s="1459"/>
      <c r="AY11" s="1459"/>
      <c r="AZ11" s="1459"/>
      <c r="BA11" s="1459"/>
      <c r="BB11" s="1459"/>
      <c r="BC11" s="1459"/>
      <c r="BD11" s="1459"/>
      <c r="BE11" s="1459"/>
      <c r="BF11" s="1459"/>
      <c r="BG11" s="1459"/>
      <c r="BH11" s="1459"/>
      <c r="BI11" s="1459"/>
      <c r="BJ11" s="1459"/>
      <c r="BK11" s="1459"/>
      <c r="BL11" s="1459"/>
      <c r="BM11" s="1459"/>
      <c r="BN11" s="1459"/>
      <c r="BO11" s="1459"/>
      <c r="BP11" s="1459"/>
      <c r="BQ11" s="1459"/>
      <c r="BR11" s="1459"/>
      <c r="BS11" s="1459"/>
      <c r="BT11" s="1459"/>
      <c r="BU11" s="1459"/>
      <c r="BV11" s="1459"/>
      <c r="BW11" s="1459"/>
      <c r="BX11" s="1459"/>
      <c r="BY11" s="1459"/>
      <c r="BZ11" s="1459"/>
      <c r="CA11" s="1459"/>
      <c r="CB11" s="1459"/>
      <c r="CC11" s="1459"/>
      <c r="CD11" s="1459"/>
      <c r="CE11" s="1459"/>
      <c r="CF11" s="1459"/>
      <c r="CG11" s="1459"/>
      <c r="CH11" s="1459"/>
      <c r="CI11" s="1459"/>
      <c r="CJ11" s="1459"/>
      <c r="CK11" s="1459"/>
      <c r="CL11" s="1459"/>
      <c r="CM11" s="1459"/>
      <c r="CN11" s="1459"/>
      <c r="CO11" s="1459"/>
      <c r="CP11" s="1459"/>
      <c r="CQ11" s="1459"/>
      <c r="CR11" s="1459"/>
      <c r="CS11" s="1459"/>
    </row>
    <row r="12" spans="1:97" s="1460" customFormat="1" ht="33.75">
      <c r="A12" s="1472" t="s">
        <v>2752</v>
      </c>
      <c r="B12" s="1464" t="s">
        <v>2753</v>
      </c>
      <c r="C12" s="1465"/>
      <c r="D12" s="1465">
        <f>D13</f>
        <v>1932546</v>
      </c>
      <c r="E12" s="1465"/>
      <c r="F12" s="1465"/>
      <c r="G12" s="1465"/>
      <c r="H12" s="1465"/>
      <c r="I12" s="1465"/>
      <c r="J12" s="1465"/>
      <c r="K12" s="1465">
        <f>K13+K18</f>
        <v>219445329.03078842</v>
      </c>
      <c r="L12" s="1465">
        <f t="shared" ref="L12:T12" si="0">L13+L18</f>
        <v>158298254.80000001</v>
      </c>
      <c r="M12" s="1465">
        <f t="shared" si="0"/>
        <v>2000330</v>
      </c>
      <c r="N12" s="1465">
        <f>N13+N18</f>
        <v>55472740.230788425</v>
      </c>
      <c r="O12" s="1465">
        <f>O13</f>
        <v>3674004</v>
      </c>
      <c r="P12" s="1465"/>
      <c r="Q12" s="1465">
        <f t="shared" si="0"/>
        <v>32179038.609999999</v>
      </c>
      <c r="R12" s="1465"/>
      <c r="S12" s="1465"/>
      <c r="T12" s="1465">
        <f t="shared" si="0"/>
        <v>32179038.609999999</v>
      </c>
      <c r="U12" s="1465"/>
      <c r="V12" s="1465"/>
      <c r="W12" s="1465"/>
      <c r="X12" s="1465"/>
      <c r="Y12" s="1465"/>
      <c r="Z12" s="1465"/>
      <c r="AA12" s="1465"/>
      <c r="AB12" s="1465"/>
      <c r="AC12" s="1465"/>
      <c r="AD12" s="1465"/>
      <c r="AE12" s="1465"/>
      <c r="AF12" s="1465"/>
      <c r="AG12" s="1465"/>
      <c r="AH12" s="1465"/>
      <c r="AI12" s="1465"/>
      <c r="AJ12" s="1465"/>
      <c r="AK12" s="1465">
        <f>AK13+AK18</f>
        <v>253556913.64078844</v>
      </c>
      <c r="AL12" s="1470"/>
      <c r="AM12" s="1471"/>
      <c r="AN12" s="1459"/>
      <c r="AO12" s="1459"/>
      <c r="AP12" s="1459"/>
      <c r="AQ12" s="1459"/>
      <c r="AR12" s="1459"/>
      <c r="AS12" s="1459"/>
      <c r="AT12" s="1459"/>
      <c r="AU12" s="1459"/>
      <c r="AV12" s="1459"/>
      <c r="AW12" s="1459"/>
      <c r="AX12" s="1459"/>
      <c r="AY12" s="1459"/>
      <c r="AZ12" s="1459"/>
      <c r="BA12" s="1459"/>
      <c r="BB12" s="1459"/>
      <c r="BC12" s="1459"/>
      <c r="BD12" s="1459"/>
      <c r="BE12" s="1459"/>
      <c r="BF12" s="1459"/>
      <c r="BG12" s="1459"/>
      <c r="BH12" s="1459"/>
      <c r="BI12" s="1459"/>
      <c r="BJ12" s="1459"/>
      <c r="BK12" s="1459"/>
      <c r="BL12" s="1459"/>
      <c r="BM12" s="1459"/>
      <c r="BN12" s="1459"/>
      <c r="BO12" s="1459"/>
      <c r="BP12" s="1459"/>
      <c r="BQ12" s="1459"/>
      <c r="BR12" s="1459"/>
      <c r="BS12" s="1459"/>
      <c r="BT12" s="1459"/>
      <c r="BU12" s="1459"/>
      <c r="BV12" s="1459"/>
      <c r="BW12" s="1459"/>
      <c r="BX12" s="1459"/>
      <c r="BY12" s="1459"/>
      <c r="BZ12" s="1459"/>
      <c r="CA12" s="1459"/>
      <c r="CB12" s="1459"/>
      <c r="CC12" s="1459"/>
      <c r="CD12" s="1459"/>
      <c r="CE12" s="1459"/>
      <c r="CF12" s="1459"/>
      <c r="CG12" s="1459"/>
      <c r="CH12" s="1459"/>
      <c r="CI12" s="1459"/>
      <c r="CJ12" s="1459"/>
      <c r="CK12" s="1459"/>
      <c r="CL12" s="1459"/>
      <c r="CM12" s="1459"/>
      <c r="CN12" s="1459"/>
      <c r="CO12" s="1459"/>
      <c r="CP12" s="1459"/>
      <c r="CQ12" s="1459"/>
      <c r="CR12" s="1459"/>
      <c r="CS12" s="1459"/>
    </row>
    <row r="13" spans="1:97" s="1460" customFormat="1">
      <c r="A13" s="1473" t="s">
        <v>150</v>
      </c>
      <c r="B13" s="1474" t="s">
        <v>151</v>
      </c>
      <c r="C13" s="1469"/>
      <c r="D13" s="1477">
        <f>D14+D15+D16</f>
        <v>1932546</v>
      </c>
      <c r="E13" s="1477"/>
      <c r="F13" s="1477"/>
      <c r="G13" s="1469"/>
      <c r="H13" s="1477"/>
      <c r="I13" s="1477"/>
      <c r="J13" s="1477"/>
      <c r="K13" s="1469">
        <f>L13+M13+N13+O13+P13</f>
        <v>219445329.03078842</v>
      </c>
      <c r="L13" s="1477">
        <f>L14+L15+L16+L17</f>
        <v>158298254.80000001</v>
      </c>
      <c r="M13" s="1477">
        <f>M14+M15+M16+M17</f>
        <v>2000330</v>
      </c>
      <c r="N13" s="1477">
        <f>N14+N15+N16+N17</f>
        <v>55472740.230788425</v>
      </c>
      <c r="O13" s="1477">
        <f>O14+O15+O16</f>
        <v>3674004</v>
      </c>
      <c r="P13" s="1477"/>
      <c r="Q13" s="1469">
        <f>R13+T13+S13</f>
        <v>32179038.609999999</v>
      </c>
      <c r="R13" s="1477"/>
      <c r="S13" s="1477"/>
      <c r="T13" s="1477">
        <f>T14+T15+T16+T17</f>
        <v>32179038.609999999</v>
      </c>
      <c r="U13" s="1478"/>
      <c r="V13" s="1477"/>
      <c r="W13" s="1477"/>
      <c r="X13" s="1477"/>
      <c r="Y13" s="1469"/>
      <c r="Z13" s="1469"/>
      <c r="AA13" s="1477"/>
      <c r="AB13" s="1477"/>
      <c r="AC13" s="1477"/>
      <c r="AD13" s="1477"/>
      <c r="AE13" s="1469"/>
      <c r="AF13" s="1477"/>
      <c r="AG13" s="1477"/>
      <c r="AH13" s="1477"/>
      <c r="AI13" s="1469"/>
      <c r="AJ13" s="1469"/>
      <c r="AK13" s="1469">
        <f>C13+G13+K13+Q13+U13+Y13+Z13+AE13+AI13+AJ13+D13</f>
        <v>253556913.64078844</v>
      </c>
      <c r="AL13" s="1470"/>
      <c r="AM13" s="1471"/>
      <c r="AN13" s="1459"/>
      <c r="AO13" s="1459"/>
      <c r="AP13" s="1459"/>
      <c r="AQ13" s="1459"/>
      <c r="AR13" s="1459"/>
      <c r="AS13" s="1459"/>
      <c r="AT13" s="1459"/>
      <c r="AU13" s="1459"/>
      <c r="AV13" s="1459"/>
      <c r="AW13" s="1459"/>
      <c r="AX13" s="1459"/>
      <c r="AY13" s="1459"/>
      <c r="AZ13" s="1459"/>
      <c r="BA13" s="1459"/>
      <c r="BB13" s="1459"/>
      <c r="BC13" s="1459"/>
      <c r="BD13" s="1459"/>
      <c r="BE13" s="1459"/>
      <c r="BF13" s="1459"/>
      <c r="BG13" s="1459"/>
      <c r="BH13" s="1459"/>
      <c r="BI13" s="1459"/>
      <c r="BJ13" s="1459"/>
      <c r="BK13" s="1459"/>
      <c r="BL13" s="1459"/>
      <c r="BM13" s="1459"/>
      <c r="BN13" s="1459"/>
      <c r="BO13" s="1459"/>
      <c r="BP13" s="1459"/>
      <c r="BQ13" s="1459"/>
      <c r="BR13" s="1459"/>
      <c r="BS13" s="1459"/>
      <c r="BT13" s="1459"/>
      <c r="BU13" s="1459"/>
      <c r="BV13" s="1459"/>
      <c r="BW13" s="1459"/>
      <c r="BX13" s="1459"/>
      <c r="BY13" s="1459"/>
      <c r="BZ13" s="1459"/>
      <c r="CA13" s="1459"/>
      <c r="CB13" s="1459"/>
      <c r="CC13" s="1459"/>
      <c r="CD13" s="1459"/>
      <c r="CE13" s="1459"/>
      <c r="CF13" s="1459"/>
      <c r="CG13" s="1459"/>
      <c r="CH13" s="1459"/>
      <c r="CI13" s="1459"/>
      <c r="CJ13" s="1459"/>
      <c r="CK13" s="1459"/>
      <c r="CL13" s="1459"/>
      <c r="CM13" s="1459"/>
      <c r="CN13" s="1459"/>
      <c r="CO13" s="1459"/>
      <c r="CP13" s="1459"/>
      <c r="CQ13" s="1459"/>
      <c r="CR13" s="1459"/>
      <c r="CS13" s="1459"/>
    </row>
    <row r="14" spans="1:97" s="1460" customFormat="1" ht="33.75">
      <c r="A14" s="1480" t="s">
        <v>152</v>
      </c>
      <c r="B14" s="1481" t="s">
        <v>153</v>
      </c>
      <c r="C14" s="1469"/>
      <c r="D14" s="1482">
        <f>ОУ2012!H7</f>
        <v>1215168</v>
      </c>
      <c r="E14" s="1482"/>
      <c r="F14" s="1482"/>
      <c r="G14" s="1469"/>
      <c r="H14" s="1482"/>
      <c r="I14" s="1482"/>
      <c r="J14" s="1482"/>
      <c r="K14" s="1469">
        <f>L14+M14+N14+O14+P14</f>
        <v>158003981.80000001</v>
      </c>
      <c r="L14" s="1482">
        <f>'HP-HC2'!AF11+ОУ2012!I7+ОУ2012!L7</f>
        <v>157764208.80000001</v>
      </c>
      <c r="M14" s="1482">
        <f>ОУ2012!K7</f>
        <v>3297</v>
      </c>
      <c r="N14" s="1482"/>
      <c r="O14" s="1482">
        <f>ОУ2012!J7</f>
        <v>236476</v>
      </c>
      <c r="P14" s="1482"/>
      <c r="Q14" s="1469"/>
      <c r="R14" s="1482"/>
      <c r="S14" s="1482"/>
      <c r="T14" s="1482"/>
      <c r="U14" s="1478"/>
      <c r="V14" s="1482"/>
      <c r="W14" s="1482"/>
      <c r="X14" s="1482"/>
      <c r="Y14" s="1469"/>
      <c r="Z14" s="1469"/>
      <c r="AA14" s="1482"/>
      <c r="AB14" s="1482"/>
      <c r="AC14" s="1482"/>
      <c r="AD14" s="1482"/>
      <c r="AE14" s="1469"/>
      <c r="AF14" s="1482"/>
      <c r="AG14" s="1482"/>
      <c r="AH14" s="1482"/>
      <c r="AI14" s="1469"/>
      <c r="AJ14" s="1469"/>
      <c r="AK14" s="1469">
        <f t="shared" ref="AK14:AK17" si="1">C14+G14+K14+Q14+U14+Y14+Z14+AE14+AI14+AJ14</f>
        <v>158003981.80000001</v>
      </c>
      <c r="AL14" s="1470"/>
      <c r="AM14" s="1471"/>
      <c r="AN14" s="1459"/>
      <c r="AO14" s="1459"/>
      <c r="AP14" s="1459"/>
      <c r="AQ14" s="1459"/>
      <c r="AR14" s="1459"/>
      <c r="AS14" s="1459"/>
      <c r="AT14" s="1459"/>
      <c r="AU14" s="1459"/>
      <c r="AV14" s="1459"/>
      <c r="AW14" s="1459"/>
      <c r="AX14" s="1459"/>
      <c r="AY14" s="1459"/>
      <c r="AZ14" s="1459"/>
      <c r="BA14" s="1459"/>
      <c r="BB14" s="1459"/>
      <c r="BC14" s="1459"/>
      <c r="BD14" s="1459"/>
      <c r="BE14" s="1459"/>
      <c r="BF14" s="1459"/>
      <c r="BG14" s="1459"/>
      <c r="BH14" s="1459"/>
      <c r="BI14" s="1459"/>
      <c r="BJ14" s="1459"/>
      <c r="BK14" s="1459"/>
      <c r="BL14" s="1459"/>
      <c r="BM14" s="1459"/>
      <c r="BN14" s="1459"/>
      <c r="BO14" s="1459"/>
      <c r="BP14" s="1459"/>
      <c r="BQ14" s="1459"/>
      <c r="BR14" s="1459"/>
      <c r="BS14" s="1459"/>
      <c r="BT14" s="1459"/>
      <c r="BU14" s="1459"/>
      <c r="BV14" s="1459"/>
      <c r="BW14" s="1459"/>
      <c r="BX14" s="1459"/>
      <c r="BY14" s="1459"/>
      <c r="BZ14" s="1459"/>
      <c r="CA14" s="1459"/>
      <c r="CB14" s="1459"/>
      <c r="CC14" s="1459"/>
      <c r="CD14" s="1459"/>
      <c r="CE14" s="1459"/>
      <c r="CF14" s="1459"/>
      <c r="CG14" s="1459"/>
      <c r="CH14" s="1459"/>
      <c r="CI14" s="1459"/>
      <c r="CJ14" s="1459"/>
      <c r="CK14" s="1459"/>
      <c r="CL14" s="1459"/>
      <c r="CM14" s="1459"/>
      <c r="CN14" s="1459"/>
      <c r="CO14" s="1459"/>
      <c r="CP14" s="1459"/>
      <c r="CQ14" s="1459"/>
      <c r="CR14" s="1459"/>
      <c r="CS14" s="1459"/>
    </row>
    <row r="15" spans="1:97" s="1460" customFormat="1" ht="33.75">
      <c r="A15" s="1480" t="s">
        <v>154</v>
      </c>
      <c r="B15" s="1481" t="s">
        <v>155</v>
      </c>
      <c r="C15" s="1469"/>
      <c r="D15" s="1482">
        <f>ОУ2012!H9</f>
        <v>287683</v>
      </c>
      <c r="E15" s="1482"/>
      <c r="F15" s="1482"/>
      <c r="G15" s="1469"/>
      <c r="H15" s="1482"/>
      <c r="I15" s="1482"/>
      <c r="J15" s="1482"/>
      <c r="K15" s="1469">
        <f>L15+M15+N15+O15+P15</f>
        <v>1855649</v>
      </c>
      <c r="L15" s="1482">
        <f>'HP-HC2'!AG14</f>
        <v>0</v>
      </c>
      <c r="M15" s="1482">
        <f>'HP-HC2'!AK14</f>
        <v>1814689</v>
      </c>
      <c r="N15" s="1482"/>
      <c r="O15" s="1482">
        <f>ОУ2012!J9</f>
        <v>40960</v>
      </c>
      <c r="P15" s="1482"/>
      <c r="Q15" s="1469"/>
      <c r="R15" s="1482"/>
      <c r="S15" s="1482"/>
      <c r="T15" s="1482"/>
      <c r="U15" s="1478"/>
      <c r="V15" s="1482"/>
      <c r="W15" s="1482"/>
      <c r="X15" s="1482"/>
      <c r="Y15" s="1469"/>
      <c r="Z15" s="1469"/>
      <c r="AA15" s="1482"/>
      <c r="AB15" s="1482"/>
      <c r="AC15" s="1482"/>
      <c r="AD15" s="1482"/>
      <c r="AE15" s="1469"/>
      <c r="AF15" s="1482"/>
      <c r="AG15" s="1482"/>
      <c r="AH15" s="1482"/>
      <c r="AI15" s="1469"/>
      <c r="AJ15" s="1469"/>
      <c r="AK15" s="1469">
        <f t="shared" si="1"/>
        <v>1855649</v>
      </c>
      <c r="AL15" s="1470"/>
      <c r="AM15" s="1471"/>
      <c r="AN15" s="1459"/>
      <c r="AO15" s="1459"/>
      <c r="AP15" s="1459"/>
      <c r="AQ15" s="1459"/>
      <c r="AR15" s="1459"/>
      <c r="AS15" s="1459"/>
      <c r="AT15" s="1459"/>
      <c r="AU15" s="1459"/>
      <c r="AV15" s="1459"/>
      <c r="AW15" s="1459"/>
      <c r="AX15" s="1459"/>
      <c r="AY15" s="1459"/>
      <c r="AZ15" s="1459"/>
      <c r="BA15" s="1459"/>
      <c r="BB15" s="1459"/>
      <c r="BC15" s="1459"/>
      <c r="BD15" s="1459"/>
      <c r="BE15" s="1459"/>
      <c r="BF15" s="1459"/>
      <c r="BG15" s="1459"/>
      <c r="BH15" s="1459"/>
      <c r="BI15" s="1459"/>
      <c r="BJ15" s="1459"/>
      <c r="BK15" s="1459"/>
      <c r="BL15" s="1459"/>
      <c r="BM15" s="1459"/>
      <c r="BN15" s="1459"/>
      <c r="BO15" s="1459"/>
      <c r="BP15" s="1459"/>
      <c r="BQ15" s="1459"/>
      <c r="BR15" s="1459"/>
      <c r="BS15" s="1459"/>
      <c r="BT15" s="1459"/>
      <c r="BU15" s="1459"/>
      <c r="BV15" s="1459"/>
      <c r="BW15" s="1459"/>
      <c r="BX15" s="1459"/>
      <c r="BY15" s="1459"/>
      <c r="BZ15" s="1459"/>
      <c r="CA15" s="1459"/>
      <c r="CB15" s="1459"/>
      <c r="CC15" s="1459"/>
      <c r="CD15" s="1459"/>
      <c r="CE15" s="1459"/>
      <c r="CF15" s="1459"/>
      <c r="CG15" s="1459"/>
      <c r="CH15" s="1459"/>
      <c r="CI15" s="1459"/>
      <c r="CJ15" s="1459"/>
      <c r="CK15" s="1459"/>
      <c r="CL15" s="1459"/>
      <c r="CM15" s="1459"/>
      <c r="CN15" s="1459"/>
      <c r="CO15" s="1459"/>
      <c r="CP15" s="1459"/>
      <c r="CQ15" s="1459"/>
      <c r="CR15" s="1459"/>
      <c r="CS15" s="1459"/>
    </row>
    <row r="16" spans="1:97" s="1460" customFormat="1" ht="22.5">
      <c r="A16" s="1480" t="s">
        <v>156</v>
      </c>
      <c r="B16" s="1481" t="s">
        <v>157</v>
      </c>
      <c r="C16" s="1469"/>
      <c r="D16" s="1482">
        <f>ОУ2012!H8</f>
        <v>429695</v>
      </c>
      <c r="E16" s="1482"/>
      <c r="F16" s="1482"/>
      <c r="G16" s="1469"/>
      <c r="H16" s="1482"/>
      <c r="I16" s="1482"/>
      <c r="J16" s="1482"/>
      <c r="K16" s="1469">
        <f>L16+M16+N16+O16+P16</f>
        <v>9960547.0809901282</v>
      </c>
      <c r="L16" s="1482">
        <f>ОУ2012!I8</f>
        <v>534046</v>
      </c>
      <c r="M16" s="1482">
        <f>ОУ2012!K8</f>
        <v>182344</v>
      </c>
      <c r="N16" s="1482">
        <f>'[5]039 2016'!M7+'[5]предпр 16'!F19</f>
        <v>5847589.0809901292</v>
      </c>
      <c r="O16" s="1482">
        <f>ОУ2012!J8+ОУ2012!L8</f>
        <v>3396568</v>
      </c>
      <c r="P16" s="1482"/>
      <c r="Q16" s="1469"/>
      <c r="R16" s="1482"/>
      <c r="S16" s="1482"/>
      <c r="T16" s="1482"/>
      <c r="U16" s="1478"/>
      <c r="V16" s="1482"/>
      <c r="W16" s="1482"/>
      <c r="X16" s="1482"/>
      <c r="Y16" s="1469"/>
      <c r="Z16" s="1469"/>
      <c r="AA16" s="1482"/>
      <c r="AB16" s="1482"/>
      <c r="AC16" s="1482"/>
      <c r="AD16" s="1482"/>
      <c r="AE16" s="1469"/>
      <c r="AF16" s="1482"/>
      <c r="AG16" s="1482"/>
      <c r="AH16" s="1482"/>
      <c r="AI16" s="1469"/>
      <c r="AJ16" s="1469"/>
      <c r="AK16" s="1469">
        <f t="shared" si="1"/>
        <v>9960547.0809901282</v>
      </c>
      <c r="AL16" s="1470"/>
      <c r="AM16" s="1471"/>
      <c r="AN16" s="1459"/>
      <c r="AO16" s="1459"/>
      <c r="AP16" s="1459"/>
      <c r="AQ16" s="1459"/>
      <c r="AR16" s="1459"/>
      <c r="AS16" s="1459"/>
      <c r="AT16" s="1459"/>
      <c r="AU16" s="1459"/>
      <c r="AV16" s="1459"/>
      <c r="AW16" s="1459"/>
      <c r="AX16" s="1459"/>
      <c r="AY16" s="1459"/>
      <c r="AZ16" s="1459"/>
      <c r="BA16" s="1459"/>
      <c r="BB16" s="1459"/>
      <c r="BC16" s="1459"/>
      <c r="BD16" s="1459"/>
      <c r="BE16" s="1459"/>
      <c r="BF16" s="1459"/>
      <c r="BG16" s="1459"/>
      <c r="BH16" s="1459"/>
      <c r="BI16" s="1459"/>
      <c r="BJ16" s="1459"/>
      <c r="BK16" s="1459"/>
      <c r="BL16" s="1459"/>
      <c r="BM16" s="1459"/>
      <c r="BN16" s="1459"/>
      <c r="BO16" s="1459"/>
      <c r="BP16" s="1459"/>
      <c r="BQ16" s="1459"/>
      <c r="BR16" s="1459"/>
      <c r="BS16" s="1459"/>
      <c r="BT16" s="1459"/>
      <c r="BU16" s="1459"/>
      <c r="BV16" s="1459"/>
      <c r="BW16" s="1459"/>
      <c r="BX16" s="1459"/>
      <c r="BY16" s="1459"/>
      <c r="BZ16" s="1459"/>
      <c r="CA16" s="1459"/>
      <c r="CB16" s="1459"/>
      <c r="CC16" s="1459"/>
      <c r="CD16" s="1459"/>
      <c r="CE16" s="1459"/>
      <c r="CF16" s="1459"/>
      <c r="CG16" s="1459"/>
      <c r="CH16" s="1459"/>
      <c r="CI16" s="1459"/>
      <c r="CJ16" s="1459"/>
      <c r="CK16" s="1459"/>
      <c r="CL16" s="1459"/>
      <c r="CM16" s="1459"/>
      <c r="CN16" s="1459"/>
      <c r="CO16" s="1459"/>
      <c r="CP16" s="1459"/>
      <c r="CQ16" s="1459"/>
      <c r="CR16" s="1459"/>
      <c r="CS16" s="1459"/>
    </row>
    <row r="17" spans="1:97" s="1460" customFormat="1" ht="45">
      <c r="A17" s="1483" t="s">
        <v>2754</v>
      </c>
      <c r="B17" s="1484" t="s">
        <v>2755</v>
      </c>
      <c r="C17" s="1469"/>
      <c r="D17" s="1482"/>
      <c r="E17" s="1482"/>
      <c r="F17" s="1482"/>
      <c r="G17" s="1469"/>
      <c r="H17" s="1482"/>
      <c r="I17" s="1482"/>
      <c r="J17" s="1482"/>
      <c r="K17" s="1469">
        <f>L17+M17+N17+O17+P17</f>
        <v>49625151.149798296</v>
      </c>
      <c r="L17" s="1482"/>
      <c r="M17" s="1482"/>
      <c r="N17" s="1485">
        <f>'HF-HC'!D48+'HF-HC'!F48+'HF-HC'!I18</f>
        <v>49625151.149798296</v>
      </c>
      <c r="O17" s="1482"/>
      <c r="P17" s="1482"/>
      <c r="Q17" s="1469">
        <f>R17+T17+S17</f>
        <v>32179038.609999999</v>
      </c>
      <c r="R17" s="1482"/>
      <c r="S17" s="1482"/>
      <c r="T17" s="1482">
        <f>ОДХ!D8/1000</f>
        <v>32179038.609999999</v>
      </c>
      <c r="U17" s="1478"/>
      <c r="V17" s="1482"/>
      <c r="W17" s="1482"/>
      <c r="X17" s="1482"/>
      <c r="Y17" s="1469"/>
      <c r="Z17" s="1469"/>
      <c r="AA17" s="1482"/>
      <c r="AB17" s="1482"/>
      <c r="AC17" s="1482"/>
      <c r="AD17" s="1482"/>
      <c r="AE17" s="1469"/>
      <c r="AF17" s="1482"/>
      <c r="AG17" s="1482"/>
      <c r="AH17" s="1482"/>
      <c r="AI17" s="1469"/>
      <c r="AJ17" s="1469"/>
      <c r="AK17" s="1469">
        <f t="shared" si="1"/>
        <v>81804189.759798288</v>
      </c>
      <c r="AL17" s="1470"/>
      <c r="AM17" s="1471"/>
      <c r="AN17" s="1459"/>
      <c r="AO17" s="1459"/>
      <c r="AP17" s="1459"/>
      <c r="AQ17" s="1459"/>
      <c r="AR17" s="1459"/>
      <c r="AS17" s="1459"/>
      <c r="AT17" s="1459"/>
      <c r="AU17" s="1459"/>
      <c r="AV17" s="1459"/>
      <c r="AW17" s="1459"/>
      <c r="AX17" s="1459"/>
      <c r="AY17" s="1459"/>
      <c r="AZ17" s="1459"/>
      <c r="BA17" s="1459"/>
      <c r="BB17" s="1459"/>
      <c r="BC17" s="1459"/>
      <c r="BD17" s="1459"/>
      <c r="BE17" s="1459"/>
      <c r="BF17" s="1459"/>
      <c r="BG17" s="1459"/>
      <c r="BH17" s="1459"/>
      <c r="BI17" s="1459"/>
      <c r="BJ17" s="1459"/>
      <c r="BK17" s="1459"/>
      <c r="BL17" s="1459"/>
      <c r="BM17" s="1459"/>
      <c r="BN17" s="1459"/>
      <c r="BO17" s="1459"/>
      <c r="BP17" s="1459"/>
      <c r="BQ17" s="1459"/>
      <c r="BR17" s="1459"/>
      <c r="BS17" s="1459"/>
      <c r="BT17" s="1459"/>
      <c r="BU17" s="1459"/>
      <c r="BV17" s="1459"/>
      <c r="BW17" s="1459"/>
      <c r="BX17" s="1459"/>
      <c r="BY17" s="1459"/>
      <c r="BZ17" s="1459"/>
      <c r="CA17" s="1459"/>
      <c r="CB17" s="1459"/>
      <c r="CC17" s="1459"/>
      <c r="CD17" s="1459"/>
      <c r="CE17" s="1459"/>
      <c r="CF17" s="1459"/>
      <c r="CG17" s="1459"/>
      <c r="CH17" s="1459"/>
      <c r="CI17" s="1459"/>
      <c r="CJ17" s="1459"/>
      <c r="CK17" s="1459"/>
      <c r="CL17" s="1459"/>
      <c r="CM17" s="1459"/>
      <c r="CN17" s="1459"/>
      <c r="CO17" s="1459"/>
      <c r="CP17" s="1459"/>
      <c r="CQ17" s="1459"/>
      <c r="CR17" s="1459"/>
      <c r="CS17" s="1459"/>
    </row>
    <row r="18" spans="1:97" s="1460" customFormat="1" ht="33.75">
      <c r="A18" s="1486" t="s">
        <v>168</v>
      </c>
      <c r="B18" s="1479" t="s">
        <v>2756</v>
      </c>
      <c r="C18" s="1469"/>
      <c r="D18" s="1477"/>
      <c r="E18" s="1477"/>
      <c r="F18" s="1477"/>
      <c r="G18" s="1469"/>
      <c r="H18" s="1477"/>
      <c r="I18" s="1477"/>
      <c r="J18" s="1477"/>
      <c r="K18" s="1469"/>
      <c r="L18" s="1477"/>
      <c r="M18" s="1477"/>
      <c r="N18" s="1477"/>
      <c r="O18" s="1477"/>
      <c r="P18" s="1477"/>
      <c r="Q18" s="1469"/>
      <c r="R18" s="1477"/>
      <c r="S18" s="1477"/>
      <c r="T18" s="1477"/>
      <c r="U18" s="1478"/>
      <c r="V18" s="1477"/>
      <c r="W18" s="1477"/>
      <c r="X18" s="1477"/>
      <c r="Y18" s="1469"/>
      <c r="Z18" s="1469"/>
      <c r="AA18" s="1477"/>
      <c r="AB18" s="1477"/>
      <c r="AC18" s="1477"/>
      <c r="AD18" s="1477"/>
      <c r="AE18" s="1469"/>
      <c r="AF18" s="1477"/>
      <c r="AG18" s="1477"/>
      <c r="AH18" s="1477"/>
      <c r="AI18" s="1469"/>
      <c r="AJ18" s="1469"/>
      <c r="AK18" s="1469"/>
      <c r="AL18" s="1470"/>
      <c r="AM18" s="1471"/>
      <c r="AN18" s="1459"/>
      <c r="AO18" s="1459"/>
      <c r="AP18" s="1459"/>
      <c r="AQ18" s="1459"/>
      <c r="AR18" s="1459"/>
      <c r="AS18" s="1459"/>
      <c r="AT18" s="1459"/>
      <c r="AU18" s="1459"/>
      <c r="AV18" s="1459"/>
      <c r="AW18" s="1459"/>
      <c r="AX18" s="1459"/>
      <c r="AY18" s="1459"/>
      <c r="AZ18" s="1459"/>
      <c r="BA18" s="1459"/>
      <c r="BB18" s="1459"/>
      <c r="BC18" s="1459"/>
      <c r="BD18" s="1459"/>
      <c r="BE18" s="1459"/>
      <c r="BF18" s="1459"/>
      <c r="BG18" s="1459"/>
      <c r="BH18" s="1459"/>
      <c r="BI18" s="1459"/>
      <c r="BJ18" s="1459"/>
      <c r="BK18" s="1459"/>
      <c r="BL18" s="1459"/>
      <c r="BM18" s="1459"/>
      <c r="BN18" s="1459"/>
      <c r="BO18" s="1459"/>
      <c r="BP18" s="1459"/>
      <c r="BQ18" s="1459"/>
      <c r="BR18" s="1459"/>
      <c r="BS18" s="1459"/>
      <c r="BT18" s="1459"/>
      <c r="BU18" s="1459"/>
      <c r="BV18" s="1459"/>
      <c r="BW18" s="1459"/>
      <c r="BX18" s="1459"/>
      <c r="BY18" s="1459"/>
      <c r="BZ18" s="1459"/>
      <c r="CA18" s="1459"/>
      <c r="CB18" s="1459"/>
      <c r="CC18" s="1459"/>
      <c r="CD18" s="1459"/>
      <c r="CE18" s="1459"/>
      <c r="CF18" s="1459"/>
      <c r="CG18" s="1459"/>
      <c r="CH18" s="1459"/>
      <c r="CI18" s="1459"/>
      <c r="CJ18" s="1459"/>
      <c r="CK18" s="1459"/>
      <c r="CL18" s="1459"/>
      <c r="CM18" s="1459"/>
      <c r="CN18" s="1459"/>
      <c r="CO18" s="1459"/>
      <c r="CP18" s="1459"/>
      <c r="CQ18" s="1459"/>
      <c r="CR18" s="1459"/>
      <c r="CS18" s="1459"/>
    </row>
    <row r="19" spans="1:97" s="1460" customFormat="1" ht="33.75">
      <c r="A19" s="1487" t="s">
        <v>2757</v>
      </c>
      <c r="B19" s="1464" t="s">
        <v>2758</v>
      </c>
      <c r="C19" s="1465"/>
      <c r="D19" s="1465"/>
      <c r="E19" s="1465"/>
      <c r="F19" s="1465"/>
      <c r="G19" s="1465"/>
      <c r="H19" s="1465"/>
      <c r="I19" s="1465"/>
      <c r="J19" s="1465"/>
      <c r="K19" s="1465"/>
      <c r="L19" s="1465"/>
      <c r="M19" s="1465"/>
      <c r="N19" s="1465"/>
      <c r="O19" s="1465"/>
      <c r="P19" s="1465"/>
      <c r="Q19" s="1465"/>
      <c r="R19" s="1465"/>
      <c r="S19" s="1465"/>
      <c r="T19" s="1465"/>
      <c r="U19" s="1465"/>
      <c r="V19" s="1465"/>
      <c r="W19" s="1465"/>
      <c r="X19" s="1465"/>
      <c r="Y19" s="1465"/>
      <c r="Z19" s="1465"/>
      <c r="AA19" s="1465"/>
      <c r="AB19" s="1465"/>
      <c r="AC19" s="1465"/>
      <c r="AD19" s="1465"/>
      <c r="AE19" s="1465"/>
      <c r="AF19" s="1465"/>
      <c r="AG19" s="1465"/>
      <c r="AH19" s="1465"/>
      <c r="AI19" s="1465"/>
      <c r="AJ19" s="1465"/>
      <c r="AK19" s="1465"/>
      <c r="AL19" s="1470"/>
      <c r="AM19" s="1471"/>
      <c r="AN19" s="1459"/>
      <c r="AO19" s="1459"/>
      <c r="AP19" s="1459"/>
      <c r="AQ19" s="1459"/>
      <c r="AR19" s="1459"/>
      <c r="AS19" s="1459"/>
      <c r="AT19" s="1459"/>
      <c r="AU19" s="1459"/>
      <c r="AV19" s="1459"/>
      <c r="AW19" s="1459"/>
      <c r="AX19" s="1459"/>
      <c r="AY19" s="1459"/>
      <c r="AZ19" s="1459"/>
      <c r="BA19" s="1459"/>
      <c r="BB19" s="1459"/>
      <c r="BC19" s="1459"/>
      <c r="BD19" s="1459"/>
      <c r="BE19" s="1459"/>
      <c r="BF19" s="1459"/>
      <c r="BG19" s="1459"/>
      <c r="BH19" s="1459"/>
      <c r="BI19" s="1459"/>
      <c r="BJ19" s="1459"/>
      <c r="BK19" s="1459"/>
      <c r="BL19" s="1459"/>
      <c r="BM19" s="1459"/>
      <c r="BN19" s="1459"/>
      <c r="BO19" s="1459"/>
      <c r="BP19" s="1459"/>
      <c r="BQ19" s="1459"/>
      <c r="BR19" s="1459"/>
      <c r="BS19" s="1459"/>
      <c r="BT19" s="1459"/>
      <c r="BU19" s="1459"/>
      <c r="BV19" s="1459"/>
      <c r="BW19" s="1459"/>
      <c r="BX19" s="1459"/>
      <c r="BY19" s="1459"/>
      <c r="BZ19" s="1459"/>
      <c r="CA19" s="1459"/>
      <c r="CB19" s="1459"/>
      <c r="CC19" s="1459"/>
      <c r="CD19" s="1459"/>
      <c r="CE19" s="1459"/>
      <c r="CF19" s="1459"/>
      <c r="CG19" s="1459"/>
      <c r="CH19" s="1459"/>
      <c r="CI19" s="1459"/>
      <c r="CJ19" s="1459"/>
      <c r="CK19" s="1459"/>
      <c r="CL19" s="1459"/>
      <c r="CM19" s="1459"/>
      <c r="CN19" s="1459"/>
      <c r="CO19" s="1459"/>
      <c r="CP19" s="1459"/>
      <c r="CQ19" s="1459"/>
      <c r="CR19" s="1459"/>
      <c r="CS19" s="1459"/>
    </row>
    <row r="20" spans="1:97" s="1460" customFormat="1">
      <c r="A20" s="1486" t="s">
        <v>2759</v>
      </c>
      <c r="B20" s="1479" t="s">
        <v>2760</v>
      </c>
      <c r="C20" s="1469"/>
      <c r="D20" s="1477"/>
      <c r="E20" s="1477"/>
      <c r="F20" s="1477"/>
      <c r="G20" s="1469"/>
      <c r="H20" s="1477"/>
      <c r="I20" s="1477"/>
      <c r="J20" s="1477"/>
      <c r="K20" s="1469"/>
      <c r="L20" s="1477"/>
      <c r="M20" s="1477"/>
      <c r="N20" s="1477"/>
      <c r="O20" s="1477"/>
      <c r="P20" s="1477"/>
      <c r="Q20" s="1469"/>
      <c r="R20" s="1477"/>
      <c r="S20" s="1477"/>
      <c r="T20" s="1477"/>
      <c r="U20" s="1478"/>
      <c r="V20" s="1477"/>
      <c r="W20" s="1477"/>
      <c r="X20" s="1477"/>
      <c r="Y20" s="1469"/>
      <c r="Z20" s="1469"/>
      <c r="AA20" s="1477"/>
      <c r="AB20" s="1477"/>
      <c r="AC20" s="1477"/>
      <c r="AD20" s="1477"/>
      <c r="AE20" s="1469"/>
      <c r="AF20" s="1477"/>
      <c r="AG20" s="1477"/>
      <c r="AH20" s="1477"/>
      <c r="AI20" s="1469"/>
      <c r="AJ20" s="1469"/>
      <c r="AK20" s="1469"/>
      <c r="AL20" s="1470"/>
      <c r="AM20" s="1471"/>
      <c r="AN20" s="1459"/>
      <c r="AO20" s="1459"/>
      <c r="AP20" s="1459"/>
      <c r="AQ20" s="1459"/>
      <c r="AR20" s="1459"/>
      <c r="AS20" s="1459"/>
      <c r="AT20" s="1459"/>
      <c r="AU20" s="1459"/>
      <c r="AV20" s="1459"/>
      <c r="AW20" s="1459"/>
      <c r="AX20" s="1459"/>
      <c r="AY20" s="1459"/>
      <c r="AZ20" s="1459"/>
      <c r="BA20" s="1459"/>
      <c r="BB20" s="1459"/>
      <c r="BC20" s="1459"/>
      <c r="BD20" s="1459"/>
      <c r="BE20" s="1459"/>
      <c r="BF20" s="1459"/>
      <c r="BG20" s="1459"/>
      <c r="BH20" s="1459"/>
      <c r="BI20" s="1459"/>
      <c r="BJ20" s="1459"/>
      <c r="BK20" s="1459"/>
      <c r="BL20" s="1459"/>
      <c r="BM20" s="1459"/>
      <c r="BN20" s="1459"/>
      <c r="BO20" s="1459"/>
      <c r="BP20" s="1459"/>
      <c r="BQ20" s="1459"/>
      <c r="BR20" s="1459"/>
      <c r="BS20" s="1459"/>
      <c r="BT20" s="1459"/>
      <c r="BU20" s="1459"/>
      <c r="BV20" s="1459"/>
      <c r="BW20" s="1459"/>
      <c r="BX20" s="1459"/>
      <c r="BY20" s="1459"/>
      <c r="BZ20" s="1459"/>
      <c r="CA20" s="1459"/>
      <c r="CB20" s="1459"/>
      <c r="CC20" s="1459"/>
      <c r="CD20" s="1459"/>
      <c r="CE20" s="1459"/>
      <c r="CF20" s="1459"/>
      <c r="CG20" s="1459"/>
      <c r="CH20" s="1459"/>
      <c r="CI20" s="1459"/>
      <c r="CJ20" s="1459"/>
      <c r="CK20" s="1459"/>
      <c r="CL20" s="1459"/>
      <c r="CM20" s="1459"/>
      <c r="CN20" s="1459"/>
      <c r="CO20" s="1459"/>
      <c r="CP20" s="1459"/>
      <c r="CQ20" s="1459"/>
      <c r="CR20" s="1459"/>
      <c r="CS20" s="1459"/>
    </row>
    <row r="21" spans="1:97" s="1460" customFormat="1" ht="22.5">
      <c r="A21" s="1486" t="s">
        <v>170</v>
      </c>
      <c r="B21" s="1479" t="s">
        <v>2761</v>
      </c>
      <c r="C21" s="1469"/>
      <c r="D21" s="1477"/>
      <c r="E21" s="1477"/>
      <c r="F21" s="1477"/>
      <c r="G21" s="1469"/>
      <c r="H21" s="1477"/>
      <c r="I21" s="1477"/>
      <c r="J21" s="1477"/>
      <c r="K21" s="1469"/>
      <c r="L21" s="1477"/>
      <c r="M21" s="1477"/>
      <c r="N21" s="1477"/>
      <c r="O21" s="1477"/>
      <c r="P21" s="1477"/>
      <c r="Q21" s="1469"/>
      <c r="R21" s="1477"/>
      <c r="S21" s="1477"/>
      <c r="T21" s="1477"/>
      <c r="U21" s="1478"/>
      <c r="V21" s="1477"/>
      <c r="W21" s="1477"/>
      <c r="X21" s="1477"/>
      <c r="Y21" s="1469"/>
      <c r="Z21" s="1469"/>
      <c r="AA21" s="1477"/>
      <c r="AB21" s="1477"/>
      <c r="AC21" s="1477"/>
      <c r="AD21" s="1477"/>
      <c r="AE21" s="1469"/>
      <c r="AF21" s="1477"/>
      <c r="AG21" s="1477"/>
      <c r="AH21" s="1477"/>
      <c r="AI21" s="1469"/>
      <c r="AJ21" s="1469"/>
      <c r="AK21" s="1469"/>
      <c r="AL21" s="1470"/>
      <c r="AM21" s="1471"/>
      <c r="AN21" s="1459"/>
      <c r="AO21" s="1459"/>
      <c r="AP21" s="1459"/>
      <c r="AQ21" s="1459"/>
      <c r="AR21" s="1459"/>
      <c r="AS21" s="1459"/>
      <c r="AT21" s="1459"/>
      <c r="AU21" s="1459"/>
      <c r="AV21" s="1459"/>
      <c r="AW21" s="1459"/>
      <c r="AX21" s="1459"/>
      <c r="AY21" s="1459"/>
      <c r="AZ21" s="1459"/>
      <c r="BA21" s="1459"/>
      <c r="BB21" s="1459"/>
      <c r="BC21" s="1459"/>
      <c r="BD21" s="1459"/>
      <c r="BE21" s="1459"/>
      <c r="BF21" s="1459"/>
      <c r="BG21" s="1459"/>
      <c r="BH21" s="1459"/>
      <c r="BI21" s="1459"/>
      <c r="BJ21" s="1459"/>
      <c r="BK21" s="1459"/>
      <c r="BL21" s="1459"/>
      <c r="BM21" s="1459"/>
      <c r="BN21" s="1459"/>
      <c r="BO21" s="1459"/>
      <c r="BP21" s="1459"/>
      <c r="BQ21" s="1459"/>
      <c r="BR21" s="1459"/>
      <c r="BS21" s="1459"/>
      <c r="BT21" s="1459"/>
      <c r="BU21" s="1459"/>
      <c r="BV21" s="1459"/>
      <c r="BW21" s="1459"/>
      <c r="BX21" s="1459"/>
      <c r="BY21" s="1459"/>
      <c r="BZ21" s="1459"/>
      <c r="CA21" s="1459"/>
      <c r="CB21" s="1459"/>
      <c r="CC21" s="1459"/>
      <c r="CD21" s="1459"/>
      <c r="CE21" s="1459"/>
      <c r="CF21" s="1459"/>
      <c r="CG21" s="1459"/>
      <c r="CH21" s="1459"/>
      <c r="CI21" s="1459"/>
      <c r="CJ21" s="1459"/>
      <c r="CK21" s="1459"/>
      <c r="CL21" s="1459"/>
      <c r="CM21" s="1459"/>
      <c r="CN21" s="1459"/>
      <c r="CO21" s="1459"/>
      <c r="CP21" s="1459"/>
      <c r="CQ21" s="1459"/>
      <c r="CR21" s="1459"/>
      <c r="CS21" s="1459"/>
    </row>
    <row r="22" spans="1:97" s="1460" customFormat="1" ht="22.5">
      <c r="A22" s="1467" t="s">
        <v>172</v>
      </c>
      <c r="B22" s="1467" t="s">
        <v>173</v>
      </c>
      <c r="C22" s="1469"/>
      <c r="D22" s="1469">
        <f>D23</f>
        <v>0</v>
      </c>
      <c r="E22" s="1469"/>
      <c r="F22" s="1469"/>
      <c r="G22" s="1469">
        <f>H22</f>
        <v>0</v>
      </c>
      <c r="H22" s="1469">
        <f>H24+H25+H26</f>
        <v>0</v>
      </c>
      <c r="I22" s="1469"/>
      <c r="J22" s="1469"/>
      <c r="K22" s="1469"/>
      <c r="L22" s="1469">
        <f>L23</f>
        <v>88</v>
      </c>
      <c r="M22" s="1469"/>
      <c r="N22" s="1469"/>
      <c r="O22" s="1469"/>
      <c r="P22" s="1469"/>
      <c r="Q22" s="1469"/>
      <c r="R22" s="1469"/>
      <c r="S22" s="1469"/>
      <c r="T22" s="1469"/>
      <c r="U22" s="1469"/>
      <c r="V22" s="1469"/>
      <c r="W22" s="1469"/>
      <c r="X22" s="1469"/>
      <c r="Y22" s="1469"/>
      <c r="Z22" s="1469"/>
      <c r="AA22" s="1469"/>
      <c r="AB22" s="1469"/>
      <c r="AC22" s="1469"/>
      <c r="AD22" s="1469"/>
      <c r="AE22" s="1469"/>
      <c r="AF22" s="1469"/>
      <c r="AG22" s="1469"/>
      <c r="AH22" s="1469"/>
      <c r="AI22" s="1469"/>
      <c r="AJ22" s="1469"/>
      <c r="AK22" s="1469">
        <f>C22+G22+K22+Q22+U22+Y22+Z22+AE22+AI22+AJ22+D22+L22</f>
        <v>88</v>
      </c>
      <c r="AL22" s="1470"/>
      <c r="AM22" s="1471"/>
      <c r="AN22" s="1459"/>
      <c r="AO22" s="1459"/>
      <c r="AP22" s="1459"/>
      <c r="AQ22" s="1459"/>
      <c r="AR22" s="1459"/>
      <c r="AS22" s="1459"/>
      <c r="AT22" s="1459"/>
      <c r="AU22" s="1459"/>
      <c r="AV22" s="1459"/>
      <c r="AW22" s="1459"/>
      <c r="AX22" s="1459"/>
      <c r="AY22" s="1459"/>
      <c r="AZ22" s="1459"/>
      <c r="BA22" s="1459"/>
      <c r="BB22" s="1459"/>
      <c r="BC22" s="1459"/>
      <c r="BD22" s="1459"/>
      <c r="BE22" s="1459"/>
      <c r="BF22" s="1459"/>
      <c r="BG22" s="1459"/>
      <c r="BH22" s="1459"/>
      <c r="BI22" s="1459"/>
      <c r="BJ22" s="1459"/>
      <c r="BK22" s="1459"/>
      <c r="BL22" s="1459"/>
      <c r="BM22" s="1459"/>
      <c r="BN22" s="1459"/>
      <c r="BO22" s="1459"/>
      <c r="BP22" s="1459"/>
      <c r="BQ22" s="1459"/>
      <c r="BR22" s="1459"/>
      <c r="BS22" s="1459"/>
      <c r="BT22" s="1459"/>
      <c r="BU22" s="1459"/>
      <c r="BV22" s="1459"/>
      <c r="BW22" s="1459"/>
      <c r="BX22" s="1459"/>
      <c r="BY22" s="1459"/>
      <c r="BZ22" s="1459"/>
      <c r="CA22" s="1459"/>
      <c r="CB22" s="1459"/>
      <c r="CC22" s="1459"/>
      <c r="CD22" s="1459"/>
      <c r="CE22" s="1459"/>
      <c r="CF22" s="1459"/>
      <c r="CG22" s="1459"/>
      <c r="CH22" s="1459"/>
      <c r="CI22" s="1459"/>
      <c r="CJ22" s="1459"/>
      <c r="CK22" s="1459"/>
      <c r="CL22" s="1459"/>
      <c r="CM22" s="1459"/>
      <c r="CN22" s="1459"/>
      <c r="CO22" s="1459"/>
      <c r="CP22" s="1459"/>
      <c r="CQ22" s="1459"/>
      <c r="CR22" s="1459"/>
      <c r="CS22" s="1459"/>
    </row>
    <row r="23" spans="1:97" s="1460" customFormat="1" ht="33.75">
      <c r="A23" s="1473" t="s">
        <v>174</v>
      </c>
      <c r="B23" s="1479" t="s">
        <v>2762</v>
      </c>
      <c r="C23" s="1469"/>
      <c r="D23" s="1477"/>
      <c r="E23" s="1477"/>
      <c r="F23" s="1477"/>
      <c r="G23" s="1469"/>
      <c r="H23" s="1477"/>
      <c r="I23" s="1477"/>
      <c r="J23" s="1477"/>
      <c r="K23" s="1469"/>
      <c r="L23" s="1477">
        <f>ОУ2012!I17</f>
        <v>88</v>
      </c>
      <c r="M23" s="1477"/>
      <c r="N23" s="1477"/>
      <c r="O23" s="1477"/>
      <c r="P23" s="1477"/>
      <c r="Q23" s="1469"/>
      <c r="R23" s="1477"/>
      <c r="S23" s="1477"/>
      <c r="T23" s="1477"/>
      <c r="U23" s="1478"/>
      <c r="V23" s="1477"/>
      <c r="W23" s="1477"/>
      <c r="X23" s="1477"/>
      <c r="Y23" s="1469"/>
      <c r="Z23" s="1469"/>
      <c r="AA23" s="1477"/>
      <c r="AB23" s="1477"/>
      <c r="AC23" s="1477"/>
      <c r="AD23" s="1477"/>
      <c r="AE23" s="1469"/>
      <c r="AF23" s="1477"/>
      <c r="AG23" s="1477"/>
      <c r="AH23" s="1477"/>
      <c r="AI23" s="1469"/>
      <c r="AJ23" s="1469"/>
      <c r="AK23" s="1469"/>
      <c r="AL23" s="1470"/>
      <c r="AM23" s="1471"/>
      <c r="AN23" s="1459"/>
      <c r="AO23" s="1459"/>
      <c r="AP23" s="1459"/>
      <c r="AQ23" s="1459"/>
      <c r="AR23" s="1459"/>
      <c r="AS23" s="1459"/>
      <c r="AT23" s="1459"/>
      <c r="AU23" s="1459"/>
      <c r="AV23" s="1459"/>
      <c r="AW23" s="1459"/>
      <c r="AX23" s="1459"/>
      <c r="AY23" s="1459"/>
      <c r="AZ23" s="1459"/>
      <c r="BA23" s="1459"/>
      <c r="BB23" s="1459"/>
      <c r="BC23" s="1459"/>
      <c r="BD23" s="1459"/>
      <c r="BE23" s="1459"/>
      <c r="BF23" s="1459"/>
      <c r="BG23" s="1459"/>
      <c r="BH23" s="1459"/>
      <c r="BI23" s="1459"/>
      <c r="BJ23" s="1459"/>
      <c r="BK23" s="1459"/>
      <c r="BL23" s="1459"/>
      <c r="BM23" s="1459"/>
      <c r="BN23" s="1459"/>
      <c r="BO23" s="1459"/>
      <c r="BP23" s="1459"/>
      <c r="BQ23" s="1459"/>
      <c r="BR23" s="1459"/>
      <c r="BS23" s="1459"/>
      <c r="BT23" s="1459"/>
      <c r="BU23" s="1459"/>
      <c r="BV23" s="1459"/>
      <c r="BW23" s="1459"/>
      <c r="BX23" s="1459"/>
      <c r="BY23" s="1459"/>
      <c r="BZ23" s="1459"/>
      <c r="CA23" s="1459"/>
      <c r="CB23" s="1459"/>
      <c r="CC23" s="1459"/>
      <c r="CD23" s="1459"/>
      <c r="CE23" s="1459"/>
      <c r="CF23" s="1459"/>
      <c r="CG23" s="1459"/>
      <c r="CH23" s="1459"/>
      <c r="CI23" s="1459"/>
      <c r="CJ23" s="1459"/>
      <c r="CK23" s="1459"/>
      <c r="CL23" s="1459"/>
      <c r="CM23" s="1459"/>
      <c r="CN23" s="1459"/>
      <c r="CO23" s="1459"/>
      <c r="CP23" s="1459"/>
      <c r="CQ23" s="1459"/>
      <c r="CR23" s="1459"/>
      <c r="CS23" s="1459"/>
    </row>
    <row r="24" spans="1:97" s="1460" customFormat="1" ht="33.75">
      <c r="A24" s="1473" t="s">
        <v>176</v>
      </c>
      <c r="B24" s="1479" t="s">
        <v>2763</v>
      </c>
      <c r="C24" s="1469"/>
      <c r="D24" s="1477"/>
      <c r="E24" s="1477"/>
      <c r="F24" s="1477"/>
      <c r="G24" s="1469"/>
      <c r="H24" s="1477"/>
      <c r="I24" s="1477"/>
      <c r="J24" s="1477"/>
      <c r="K24" s="1469"/>
      <c r="L24" s="1477"/>
      <c r="M24" s="1477"/>
      <c r="N24" s="1477"/>
      <c r="O24" s="1477"/>
      <c r="P24" s="1477"/>
      <c r="Q24" s="1469"/>
      <c r="R24" s="1477"/>
      <c r="S24" s="1477"/>
      <c r="T24" s="1477"/>
      <c r="U24" s="1478"/>
      <c r="V24" s="1477"/>
      <c r="W24" s="1477"/>
      <c r="X24" s="1477"/>
      <c r="Y24" s="1469"/>
      <c r="Z24" s="1469"/>
      <c r="AA24" s="1477"/>
      <c r="AB24" s="1477"/>
      <c r="AC24" s="1477"/>
      <c r="AD24" s="1477"/>
      <c r="AE24" s="1469"/>
      <c r="AF24" s="1477"/>
      <c r="AG24" s="1477"/>
      <c r="AH24" s="1477"/>
      <c r="AI24" s="1469"/>
      <c r="AJ24" s="1469"/>
      <c r="AK24" s="1469"/>
      <c r="AL24" s="1470"/>
      <c r="AM24" s="1471"/>
      <c r="AN24" s="1459"/>
      <c r="AO24" s="1459"/>
      <c r="AP24" s="1459"/>
      <c r="AQ24" s="1459"/>
      <c r="AR24" s="1459"/>
      <c r="AS24" s="1459"/>
      <c r="AT24" s="1459"/>
      <c r="AU24" s="1459"/>
      <c r="AV24" s="1459"/>
      <c r="AW24" s="1459"/>
      <c r="AX24" s="1459"/>
      <c r="AY24" s="1459"/>
      <c r="AZ24" s="1459"/>
      <c r="BA24" s="1459"/>
      <c r="BB24" s="1459"/>
      <c r="BC24" s="1459"/>
      <c r="BD24" s="1459"/>
      <c r="BE24" s="1459"/>
      <c r="BF24" s="1459"/>
      <c r="BG24" s="1459"/>
      <c r="BH24" s="1459"/>
      <c r="BI24" s="1459"/>
      <c r="BJ24" s="1459"/>
      <c r="BK24" s="1459"/>
      <c r="BL24" s="1459"/>
      <c r="BM24" s="1459"/>
      <c r="BN24" s="1459"/>
      <c r="BO24" s="1459"/>
      <c r="BP24" s="1459"/>
      <c r="BQ24" s="1459"/>
      <c r="BR24" s="1459"/>
      <c r="BS24" s="1459"/>
      <c r="BT24" s="1459"/>
      <c r="BU24" s="1459"/>
      <c r="BV24" s="1459"/>
      <c r="BW24" s="1459"/>
      <c r="BX24" s="1459"/>
      <c r="BY24" s="1459"/>
      <c r="BZ24" s="1459"/>
      <c r="CA24" s="1459"/>
      <c r="CB24" s="1459"/>
      <c r="CC24" s="1459"/>
      <c r="CD24" s="1459"/>
      <c r="CE24" s="1459"/>
      <c r="CF24" s="1459"/>
      <c r="CG24" s="1459"/>
      <c r="CH24" s="1459"/>
      <c r="CI24" s="1459"/>
      <c r="CJ24" s="1459"/>
      <c r="CK24" s="1459"/>
      <c r="CL24" s="1459"/>
      <c r="CM24" s="1459"/>
      <c r="CN24" s="1459"/>
      <c r="CO24" s="1459"/>
      <c r="CP24" s="1459"/>
      <c r="CQ24" s="1459"/>
      <c r="CR24" s="1459"/>
      <c r="CS24" s="1459"/>
    </row>
    <row r="25" spans="1:97" s="1460" customFormat="1" ht="33.75">
      <c r="A25" s="1473" t="s">
        <v>178</v>
      </c>
      <c r="B25" s="1479" t="s">
        <v>2764</v>
      </c>
      <c r="C25" s="1469"/>
      <c r="D25" s="1477"/>
      <c r="E25" s="1477"/>
      <c r="F25" s="1477"/>
      <c r="G25" s="1469"/>
      <c r="H25" s="1477"/>
      <c r="I25" s="1477"/>
      <c r="J25" s="1477"/>
      <c r="K25" s="1469"/>
      <c r="L25" s="1477"/>
      <c r="M25" s="1477"/>
      <c r="N25" s="1477"/>
      <c r="O25" s="1477"/>
      <c r="P25" s="1477"/>
      <c r="Q25" s="1469"/>
      <c r="R25" s="1477"/>
      <c r="S25" s="1477"/>
      <c r="T25" s="1477"/>
      <c r="U25" s="1478"/>
      <c r="V25" s="1477"/>
      <c r="W25" s="1477"/>
      <c r="X25" s="1477"/>
      <c r="Y25" s="1469"/>
      <c r="Z25" s="1469"/>
      <c r="AA25" s="1477"/>
      <c r="AB25" s="1477"/>
      <c r="AC25" s="1477"/>
      <c r="AD25" s="1477"/>
      <c r="AE25" s="1469"/>
      <c r="AF25" s="1477"/>
      <c r="AG25" s="1477"/>
      <c r="AH25" s="1477"/>
      <c r="AI25" s="1469"/>
      <c r="AJ25" s="1469"/>
      <c r="AK25" s="1469"/>
      <c r="AL25" s="1470"/>
      <c r="AM25" s="1471"/>
      <c r="AN25" s="1459"/>
      <c r="AO25" s="1459"/>
      <c r="AP25" s="1459"/>
      <c r="AQ25" s="1459"/>
      <c r="AR25" s="1459"/>
      <c r="AS25" s="1459"/>
      <c r="AT25" s="1459"/>
      <c r="AU25" s="1459"/>
      <c r="AV25" s="1459"/>
      <c r="AW25" s="1459"/>
      <c r="AX25" s="1459"/>
      <c r="AY25" s="1459"/>
      <c r="AZ25" s="1459"/>
      <c r="BA25" s="1459"/>
      <c r="BB25" s="1459"/>
      <c r="BC25" s="1459"/>
      <c r="BD25" s="1459"/>
      <c r="BE25" s="1459"/>
      <c r="BF25" s="1459"/>
      <c r="BG25" s="1459"/>
      <c r="BH25" s="1459"/>
      <c r="BI25" s="1459"/>
      <c r="BJ25" s="1459"/>
      <c r="BK25" s="1459"/>
      <c r="BL25" s="1459"/>
      <c r="BM25" s="1459"/>
      <c r="BN25" s="1459"/>
      <c r="BO25" s="1459"/>
      <c r="BP25" s="1459"/>
      <c r="BQ25" s="1459"/>
      <c r="BR25" s="1459"/>
      <c r="BS25" s="1459"/>
      <c r="BT25" s="1459"/>
      <c r="BU25" s="1459"/>
      <c r="BV25" s="1459"/>
      <c r="BW25" s="1459"/>
      <c r="BX25" s="1459"/>
      <c r="BY25" s="1459"/>
      <c r="BZ25" s="1459"/>
      <c r="CA25" s="1459"/>
      <c r="CB25" s="1459"/>
      <c r="CC25" s="1459"/>
      <c r="CD25" s="1459"/>
      <c r="CE25" s="1459"/>
      <c r="CF25" s="1459"/>
      <c r="CG25" s="1459"/>
      <c r="CH25" s="1459"/>
      <c r="CI25" s="1459"/>
      <c r="CJ25" s="1459"/>
      <c r="CK25" s="1459"/>
      <c r="CL25" s="1459"/>
      <c r="CM25" s="1459"/>
      <c r="CN25" s="1459"/>
      <c r="CO25" s="1459"/>
      <c r="CP25" s="1459"/>
      <c r="CQ25" s="1459"/>
      <c r="CR25" s="1459"/>
      <c r="CS25" s="1459"/>
    </row>
    <row r="26" spans="1:97" s="1460" customFormat="1" ht="22.5">
      <c r="A26" s="1473" t="s">
        <v>180</v>
      </c>
      <c r="B26" s="1479" t="s">
        <v>2765</v>
      </c>
      <c r="C26" s="1469"/>
      <c r="D26" s="1477"/>
      <c r="E26" s="1477"/>
      <c r="F26" s="1477"/>
      <c r="G26" s="1469"/>
      <c r="H26" s="1477"/>
      <c r="I26" s="1477"/>
      <c r="J26" s="1477"/>
      <c r="K26" s="1469"/>
      <c r="L26" s="1477"/>
      <c r="M26" s="1477"/>
      <c r="N26" s="1477"/>
      <c r="O26" s="1477"/>
      <c r="P26" s="1477"/>
      <c r="Q26" s="1469"/>
      <c r="R26" s="1477"/>
      <c r="S26" s="1477"/>
      <c r="T26" s="1477"/>
      <c r="U26" s="1478"/>
      <c r="V26" s="1477"/>
      <c r="W26" s="1477"/>
      <c r="X26" s="1477"/>
      <c r="Y26" s="1469"/>
      <c r="Z26" s="1469"/>
      <c r="AA26" s="1477"/>
      <c r="AB26" s="1477"/>
      <c r="AC26" s="1477"/>
      <c r="AD26" s="1477"/>
      <c r="AE26" s="1469"/>
      <c r="AF26" s="1477"/>
      <c r="AG26" s="1477"/>
      <c r="AH26" s="1477"/>
      <c r="AI26" s="1469"/>
      <c r="AJ26" s="1469"/>
      <c r="AK26" s="1469"/>
      <c r="AL26" s="1470"/>
      <c r="AM26" s="1471"/>
      <c r="AN26" s="1459"/>
      <c r="AO26" s="1459"/>
      <c r="AP26" s="1459"/>
      <c r="AQ26" s="1459"/>
      <c r="AR26" s="1459"/>
      <c r="AS26" s="1459"/>
      <c r="AT26" s="1459"/>
      <c r="AU26" s="1459"/>
      <c r="AV26" s="1459"/>
      <c r="AW26" s="1459"/>
      <c r="AX26" s="1459"/>
      <c r="AY26" s="1459"/>
      <c r="AZ26" s="1459"/>
      <c r="BA26" s="1459"/>
      <c r="BB26" s="1459"/>
      <c r="BC26" s="1459"/>
      <c r="BD26" s="1459"/>
      <c r="BE26" s="1459"/>
      <c r="BF26" s="1459"/>
      <c r="BG26" s="1459"/>
      <c r="BH26" s="1459"/>
      <c r="BI26" s="1459"/>
      <c r="BJ26" s="1459"/>
      <c r="BK26" s="1459"/>
      <c r="BL26" s="1459"/>
      <c r="BM26" s="1459"/>
      <c r="BN26" s="1459"/>
      <c r="BO26" s="1459"/>
      <c r="BP26" s="1459"/>
      <c r="BQ26" s="1459"/>
      <c r="BR26" s="1459"/>
      <c r="BS26" s="1459"/>
      <c r="BT26" s="1459"/>
      <c r="BU26" s="1459"/>
      <c r="BV26" s="1459"/>
      <c r="BW26" s="1459"/>
      <c r="BX26" s="1459"/>
      <c r="BY26" s="1459"/>
      <c r="BZ26" s="1459"/>
      <c r="CA26" s="1459"/>
      <c r="CB26" s="1459"/>
      <c r="CC26" s="1459"/>
      <c r="CD26" s="1459"/>
      <c r="CE26" s="1459"/>
      <c r="CF26" s="1459"/>
      <c r="CG26" s="1459"/>
      <c r="CH26" s="1459"/>
      <c r="CI26" s="1459"/>
      <c r="CJ26" s="1459"/>
      <c r="CK26" s="1459"/>
      <c r="CL26" s="1459"/>
      <c r="CM26" s="1459"/>
      <c r="CN26" s="1459"/>
      <c r="CO26" s="1459"/>
      <c r="CP26" s="1459"/>
      <c r="CQ26" s="1459"/>
      <c r="CR26" s="1459"/>
      <c r="CS26" s="1459"/>
    </row>
    <row r="27" spans="1:97" s="1460" customFormat="1">
      <c r="A27" s="1467" t="s">
        <v>182</v>
      </c>
      <c r="B27" s="1467" t="s">
        <v>183</v>
      </c>
      <c r="C27" s="1469">
        <f>D27+E27+F27</f>
        <v>1162547</v>
      </c>
      <c r="D27" s="1469">
        <f>D29+D30+D28+ОУ2012!H10</f>
        <v>1162547</v>
      </c>
      <c r="E27" s="1469"/>
      <c r="F27" s="1469">
        <f>F29+F30+F28</f>
        <v>0</v>
      </c>
      <c r="G27" s="1469"/>
      <c r="H27" s="1469"/>
      <c r="I27" s="1469"/>
      <c r="J27" s="1469"/>
      <c r="K27" s="1469">
        <f>L27+M27+N27+O27+P27</f>
        <v>1159475</v>
      </c>
      <c r="L27" s="1469">
        <f>ОУ2012!I10</f>
        <v>258395</v>
      </c>
      <c r="M27" s="1469">
        <f>ОУ2012!K10</f>
        <v>8998</v>
      </c>
      <c r="N27" s="1469"/>
      <c r="O27" s="1469">
        <f>ОУ2012!J10</f>
        <v>892082</v>
      </c>
      <c r="P27" s="1469">
        <f>ОУ2012!L17</f>
        <v>0</v>
      </c>
      <c r="Q27" s="1469">
        <f>R27+T27+S27+ОУ2012!L10</f>
        <v>52635693.493299603</v>
      </c>
      <c r="R27" s="1469">
        <f>R29+R30+R28</f>
        <v>36364385.493299603</v>
      </c>
      <c r="S27" s="1469"/>
      <c r="T27" s="1469"/>
      <c r="U27" s="1469"/>
      <c r="V27" s="1469"/>
      <c r="W27" s="1469"/>
      <c r="X27" s="1469"/>
      <c r="Y27" s="1469"/>
      <c r="Z27" s="1469"/>
      <c r="AA27" s="1469"/>
      <c r="AB27" s="1469"/>
      <c r="AC27" s="1469"/>
      <c r="AD27" s="1469"/>
      <c r="AE27" s="1469"/>
      <c r="AF27" s="1469"/>
      <c r="AG27" s="1469"/>
      <c r="AH27" s="1469"/>
      <c r="AI27" s="1469"/>
      <c r="AJ27" s="1469"/>
      <c r="AK27" s="1469">
        <f>C27+G27+K27+Q27+U27+Y27+Z27+AE27+AI27+AJ27</f>
        <v>54957715.493299603</v>
      </c>
      <c r="AL27" s="1470"/>
      <c r="AM27" s="1471"/>
      <c r="AN27" s="1459"/>
      <c r="AO27" s="1459"/>
      <c r="AP27" s="1459"/>
      <c r="AQ27" s="1459"/>
      <c r="AR27" s="1459"/>
      <c r="AS27" s="1459"/>
      <c r="AT27" s="1459"/>
      <c r="AU27" s="1459"/>
      <c r="AV27" s="1459"/>
      <c r="AW27" s="1459"/>
      <c r="AX27" s="1459"/>
      <c r="AY27" s="1459"/>
      <c r="AZ27" s="1459"/>
      <c r="BA27" s="1459"/>
      <c r="BB27" s="1459"/>
      <c r="BC27" s="1459"/>
      <c r="BD27" s="1459"/>
      <c r="BE27" s="1459"/>
      <c r="BF27" s="1459"/>
      <c r="BG27" s="1459"/>
      <c r="BH27" s="1459"/>
      <c r="BI27" s="1459"/>
      <c r="BJ27" s="1459"/>
      <c r="BK27" s="1459"/>
      <c r="BL27" s="1459"/>
      <c r="BM27" s="1459"/>
      <c r="BN27" s="1459"/>
      <c r="BO27" s="1459"/>
      <c r="BP27" s="1459"/>
      <c r="BQ27" s="1459"/>
      <c r="BR27" s="1459"/>
      <c r="BS27" s="1459"/>
      <c r="BT27" s="1459"/>
      <c r="BU27" s="1459"/>
      <c r="BV27" s="1459"/>
      <c r="BW27" s="1459"/>
      <c r="BX27" s="1459"/>
      <c r="BY27" s="1459"/>
      <c r="BZ27" s="1459"/>
      <c r="CA27" s="1459"/>
      <c r="CB27" s="1459"/>
      <c r="CC27" s="1459"/>
      <c r="CD27" s="1459"/>
      <c r="CE27" s="1459"/>
      <c r="CF27" s="1459"/>
      <c r="CG27" s="1459"/>
      <c r="CH27" s="1459"/>
      <c r="CI27" s="1459"/>
      <c r="CJ27" s="1459"/>
      <c r="CK27" s="1459"/>
      <c r="CL27" s="1459"/>
      <c r="CM27" s="1459"/>
      <c r="CN27" s="1459"/>
      <c r="CO27" s="1459"/>
      <c r="CP27" s="1459"/>
      <c r="CQ27" s="1459"/>
      <c r="CR27" s="1459"/>
      <c r="CS27" s="1459"/>
    </row>
    <row r="28" spans="1:97" s="1460" customFormat="1">
      <c r="A28" s="1473" t="s">
        <v>184</v>
      </c>
      <c r="B28" s="1479" t="s">
        <v>185</v>
      </c>
      <c r="C28" s="1469"/>
      <c r="D28" s="1477"/>
      <c r="E28" s="1477"/>
      <c r="F28" s="1477"/>
      <c r="G28" s="1469"/>
      <c r="H28" s="1477"/>
      <c r="I28" s="1477"/>
      <c r="J28" s="1477"/>
      <c r="K28" s="1469"/>
      <c r="L28" s="1477"/>
      <c r="M28" s="1477"/>
      <c r="N28" s="1477"/>
      <c r="O28" s="1477"/>
      <c r="P28" s="1477"/>
      <c r="Q28" s="1469"/>
      <c r="R28" s="1477"/>
      <c r="S28" s="1477"/>
      <c r="T28" s="1477"/>
      <c r="U28" s="1478"/>
      <c r="V28" s="1477"/>
      <c r="W28" s="1477"/>
      <c r="X28" s="1477"/>
      <c r="Y28" s="1469"/>
      <c r="Z28" s="1469"/>
      <c r="AA28" s="1477"/>
      <c r="AB28" s="1477"/>
      <c r="AC28" s="1477"/>
      <c r="AD28" s="1477"/>
      <c r="AE28" s="1469"/>
      <c r="AF28" s="1477"/>
      <c r="AG28" s="1477"/>
      <c r="AH28" s="1477"/>
      <c r="AI28" s="1469"/>
      <c r="AJ28" s="1469"/>
      <c r="AK28" s="1469"/>
      <c r="AL28" s="1470"/>
      <c r="AM28" s="1471"/>
      <c r="AN28" s="1459"/>
      <c r="AO28" s="1459"/>
      <c r="AP28" s="1459"/>
      <c r="AQ28" s="1459"/>
      <c r="AR28" s="1459"/>
      <c r="AS28" s="1459"/>
      <c r="AT28" s="1459"/>
      <c r="AU28" s="1459"/>
      <c r="AV28" s="1459"/>
      <c r="AW28" s="1459"/>
      <c r="AX28" s="1459"/>
      <c r="AY28" s="1459"/>
      <c r="AZ28" s="1459"/>
      <c r="BA28" s="1459"/>
      <c r="BB28" s="1459"/>
      <c r="BC28" s="1459"/>
      <c r="BD28" s="1459"/>
      <c r="BE28" s="1459"/>
      <c r="BF28" s="1459"/>
      <c r="BG28" s="1459"/>
      <c r="BH28" s="1459"/>
      <c r="BI28" s="1459"/>
      <c r="BJ28" s="1459"/>
      <c r="BK28" s="1459"/>
      <c r="BL28" s="1459"/>
      <c r="BM28" s="1459"/>
      <c r="BN28" s="1459"/>
      <c r="BO28" s="1459"/>
      <c r="BP28" s="1459"/>
      <c r="BQ28" s="1459"/>
      <c r="BR28" s="1459"/>
      <c r="BS28" s="1459"/>
      <c r="BT28" s="1459"/>
      <c r="BU28" s="1459"/>
      <c r="BV28" s="1459"/>
      <c r="BW28" s="1459"/>
      <c r="BX28" s="1459"/>
      <c r="BY28" s="1459"/>
      <c r="BZ28" s="1459"/>
      <c r="CA28" s="1459"/>
      <c r="CB28" s="1459"/>
      <c r="CC28" s="1459"/>
      <c r="CD28" s="1459"/>
      <c r="CE28" s="1459"/>
      <c r="CF28" s="1459"/>
      <c r="CG28" s="1459"/>
      <c r="CH28" s="1459"/>
      <c r="CI28" s="1459"/>
      <c r="CJ28" s="1459"/>
      <c r="CK28" s="1459"/>
      <c r="CL28" s="1459"/>
      <c r="CM28" s="1459"/>
      <c r="CN28" s="1459"/>
      <c r="CO28" s="1459"/>
      <c r="CP28" s="1459"/>
      <c r="CQ28" s="1459"/>
      <c r="CR28" s="1459"/>
      <c r="CS28" s="1459"/>
    </row>
    <row r="29" spans="1:97" s="1460" customFormat="1">
      <c r="A29" s="1473" t="s">
        <v>186</v>
      </c>
      <c r="B29" s="1474" t="s">
        <v>187</v>
      </c>
      <c r="C29" s="1469">
        <f>D29+E29+F29</f>
        <v>0</v>
      </c>
      <c r="D29" s="1477"/>
      <c r="E29" s="1477"/>
      <c r="F29" s="1477">
        <f>'[5]КОМУ 2016'!Y8+'[5]КОМУ 2016'!AA8</f>
        <v>0</v>
      </c>
      <c r="G29" s="1469"/>
      <c r="H29" s="1477"/>
      <c r="I29" s="1477"/>
      <c r="J29" s="1477"/>
      <c r="K29" s="1469">
        <f>L29+M29+N29+O29+P29</f>
        <v>0</v>
      </c>
      <c r="L29" s="1477"/>
      <c r="M29" s="1477"/>
      <c r="N29" s="1477"/>
      <c r="O29" s="1477"/>
      <c r="P29" s="1477"/>
      <c r="Q29" s="1469"/>
      <c r="R29" s="1477"/>
      <c r="S29" s="1477"/>
      <c r="T29" s="1477"/>
      <c r="U29" s="1478"/>
      <c r="V29" s="1477"/>
      <c r="W29" s="1477"/>
      <c r="X29" s="1477"/>
      <c r="Y29" s="1469"/>
      <c r="Z29" s="1469"/>
      <c r="AA29" s="1477"/>
      <c r="AB29" s="1477"/>
      <c r="AC29" s="1477"/>
      <c r="AD29" s="1477"/>
      <c r="AE29" s="1469"/>
      <c r="AF29" s="1477"/>
      <c r="AG29" s="1477"/>
      <c r="AH29" s="1477"/>
      <c r="AI29" s="1469"/>
      <c r="AJ29" s="1469"/>
      <c r="AK29" s="1469">
        <f>C29+G29+K29+Q29+U29+Y29+Z29+AE29+AI29+AJ29</f>
        <v>0</v>
      </c>
      <c r="AL29" s="1470"/>
      <c r="AM29" s="1471"/>
      <c r="AN29" s="1459"/>
      <c r="AO29" s="1459"/>
      <c r="AP29" s="1459"/>
      <c r="AQ29" s="1459"/>
      <c r="AR29" s="1459"/>
      <c r="AS29" s="1459"/>
      <c r="AT29" s="1459"/>
      <c r="AU29" s="1459"/>
      <c r="AV29" s="1459"/>
      <c r="AW29" s="1459"/>
      <c r="AX29" s="1459"/>
      <c r="AY29" s="1459"/>
      <c r="AZ29" s="1459"/>
      <c r="BA29" s="1459"/>
      <c r="BB29" s="1459"/>
      <c r="BC29" s="1459"/>
      <c r="BD29" s="1459"/>
      <c r="BE29" s="1459"/>
      <c r="BF29" s="1459"/>
      <c r="BG29" s="1459"/>
      <c r="BH29" s="1459"/>
      <c r="BI29" s="1459"/>
      <c r="BJ29" s="1459"/>
      <c r="BK29" s="1459"/>
      <c r="BL29" s="1459"/>
      <c r="BM29" s="1459"/>
      <c r="BN29" s="1459"/>
      <c r="BO29" s="1459"/>
      <c r="BP29" s="1459"/>
      <c r="BQ29" s="1459"/>
      <c r="BR29" s="1459"/>
      <c r="BS29" s="1459"/>
      <c r="BT29" s="1459"/>
      <c r="BU29" s="1459"/>
      <c r="BV29" s="1459"/>
      <c r="BW29" s="1459"/>
      <c r="BX29" s="1459"/>
      <c r="BY29" s="1459"/>
      <c r="BZ29" s="1459"/>
      <c r="CA29" s="1459"/>
      <c r="CB29" s="1459"/>
      <c r="CC29" s="1459"/>
      <c r="CD29" s="1459"/>
      <c r="CE29" s="1459"/>
      <c r="CF29" s="1459"/>
      <c r="CG29" s="1459"/>
      <c r="CH29" s="1459"/>
      <c r="CI29" s="1459"/>
      <c r="CJ29" s="1459"/>
      <c r="CK29" s="1459"/>
      <c r="CL29" s="1459"/>
      <c r="CM29" s="1459"/>
      <c r="CN29" s="1459"/>
      <c r="CO29" s="1459"/>
      <c r="CP29" s="1459"/>
      <c r="CQ29" s="1459"/>
      <c r="CR29" s="1459"/>
      <c r="CS29" s="1459"/>
    </row>
    <row r="30" spans="1:97" s="1460" customFormat="1" ht="22.5">
      <c r="A30" s="1473" t="s">
        <v>188</v>
      </c>
      <c r="B30" s="1474" t="s">
        <v>189</v>
      </c>
      <c r="C30" s="1469"/>
      <c r="D30" s="1477"/>
      <c r="E30" s="1477"/>
      <c r="F30" s="1477"/>
      <c r="G30" s="1469"/>
      <c r="H30" s="1477"/>
      <c r="I30" s="1477"/>
      <c r="J30" s="1477"/>
      <c r="K30" s="1469"/>
      <c r="L30" s="1477"/>
      <c r="M30" s="1477"/>
      <c r="N30" s="1477"/>
      <c r="O30" s="1477"/>
      <c r="P30" s="1477"/>
      <c r="Q30" s="1469">
        <f>R30+T30+S30</f>
        <v>36364385.493299603</v>
      </c>
      <c r="R30" s="1477">
        <f>'HP-HC2'!AX32</f>
        <v>36364385.493299603</v>
      </c>
      <c r="S30" s="1477"/>
      <c r="T30" s="1477"/>
      <c r="U30" s="1478"/>
      <c r="V30" s="1477"/>
      <c r="W30" s="1477"/>
      <c r="X30" s="1477"/>
      <c r="Y30" s="1469"/>
      <c r="Z30" s="1469"/>
      <c r="AA30" s="1477"/>
      <c r="AB30" s="1477"/>
      <c r="AC30" s="1477"/>
      <c r="AD30" s="1477"/>
      <c r="AE30" s="1469"/>
      <c r="AF30" s="1477"/>
      <c r="AG30" s="1477"/>
      <c r="AH30" s="1477"/>
      <c r="AI30" s="1469"/>
      <c r="AJ30" s="1469"/>
      <c r="AK30" s="1469">
        <f t="shared" ref="AK30:AK39" si="2">C30+G30+K30+Q30+U30+Y30+Z30+AE30+AI30+AJ30</f>
        <v>36364385.493299603</v>
      </c>
      <c r="AL30" s="1470"/>
      <c r="AM30" s="1471"/>
      <c r="AN30" s="1459"/>
      <c r="AO30" s="1459"/>
      <c r="AP30" s="1459"/>
      <c r="AQ30" s="1459"/>
      <c r="AR30" s="1459"/>
      <c r="AS30" s="1459"/>
      <c r="AT30" s="1459"/>
      <c r="AU30" s="1459"/>
      <c r="AV30" s="1459"/>
      <c r="AW30" s="1459"/>
      <c r="AX30" s="1459"/>
      <c r="AY30" s="1459"/>
      <c r="AZ30" s="1459"/>
      <c r="BA30" s="1459"/>
      <c r="BB30" s="1459"/>
      <c r="BC30" s="1459"/>
      <c r="BD30" s="1459"/>
      <c r="BE30" s="1459"/>
      <c r="BF30" s="1459"/>
      <c r="BG30" s="1459"/>
      <c r="BH30" s="1459"/>
      <c r="BI30" s="1459"/>
      <c r="BJ30" s="1459"/>
      <c r="BK30" s="1459"/>
      <c r="BL30" s="1459"/>
      <c r="BM30" s="1459"/>
      <c r="BN30" s="1459"/>
      <c r="BO30" s="1459"/>
      <c r="BP30" s="1459"/>
      <c r="BQ30" s="1459"/>
      <c r="BR30" s="1459"/>
      <c r="BS30" s="1459"/>
      <c r="BT30" s="1459"/>
      <c r="BU30" s="1459"/>
      <c r="BV30" s="1459"/>
      <c r="BW30" s="1459"/>
      <c r="BX30" s="1459"/>
      <c r="BY30" s="1459"/>
      <c r="BZ30" s="1459"/>
      <c r="CA30" s="1459"/>
      <c r="CB30" s="1459"/>
      <c r="CC30" s="1459"/>
      <c r="CD30" s="1459"/>
      <c r="CE30" s="1459"/>
      <c r="CF30" s="1459"/>
      <c r="CG30" s="1459"/>
      <c r="CH30" s="1459"/>
      <c r="CI30" s="1459"/>
      <c r="CJ30" s="1459"/>
      <c r="CK30" s="1459"/>
      <c r="CL30" s="1459"/>
      <c r="CM30" s="1459"/>
      <c r="CN30" s="1459"/>
      <c r="CO30" s="1459"/>
      <c r="CP30" s="1459"/>
      <c r="CQ30" s="1459"/>
      <c r="CR30" s="1459"/>
      <c r="CS30" s="1459"/>
    </row>
    <row r="31" spans="1:97" s="1460" customFormat="1" ht="22.5">
      <c r="A31" s="1467" t="s">
        <v>196</v>
      </c>
      <c r="B31" s="1467" t="s">
        <v>197</v>
      </c>
      <c r="C31" s="1469">
        <f>D31+E31+F31</f>
        <v>254372.7248991477</v>
      </c>
      <c r="D31" s="1469">
        <f>D32+D36</f>
        <v>0</v>
      </c>
      <c r="E31" s="1469"/>
      <c r="F31" s="1469">
        <f>F32+F36</f>
        <v>254372.7248991477</v>
      </c>
      <c r="G31" s="1469"/>
      <c r="H31" s="1469"/>
      <c r="I31" s="1469"/>
      <c r="J31" s="1469"/>
      <c r="K31" s="1469">
        <f>L31+M31+N31+O31+P31</f>
        <v>0</v>
      </c>
      <c r="L31" s="1469">
        <f>L32+L36</f>
        <v>0</v>
      </c>
      <c r="M31" s="1469"/>
      <c r="N31" s="1469"/>
      <c r="O31" s="1469">
        <f>O32+O36</f>
        <v>0</v>
      </c>
      <c r="P31" s="1469"/>
      <c r="Q31" s="1469"/>
      <c r="R31" s="1469"/>
      <c r="S31" s="1469"/>
      <c r="T31" s="1469"/>
      <c r="U31" s="1469">
        <f>V31+W31+X31</f>
        <v>187912894</v>
      </c>
      <c r="V31" s="1469">
        <f>'Розница ЛС'!J26*1000</f>
        <v>118698700</v>
      </c>
      <c r="W31" s="1469">
        <f>W32+W36</f>
        <v>69214194</v>
      </c>
      <c r="X31" s="1469">
        <f>X32+X36</f>
        <v>0</v>
      </c>
      <c r="Y31" s="1469"/>
      <c r="Z31" s="1469"/>
      <c r="AA31" s="1469"/>
      <c r="AB31" s="1469"/>
      <c r="AC31" s="1469"/>
      <c r="AD31" s="1469"/>
      <c r="AE31" s="1469">
        <f>AG31+AH31+AF31</f>
        <v>0</v>
      </c>
      <c r="AF31" s="1469"/>
      <c r="AG31" s="1469">
        <f>AG32+AG36</f>
        <v>0</v>
      </c>
      <c r="AH31" s="1469"/>
      <c r="AI31" s="1469"/>
      <c r="AJ31" s="1469"/>
      <c r="AK31" s="1469">
        <f>C31+G31+K31+Q31+U31+Y31+Z31+AE31+AI31+AJ31</f>
        <v>188167266.72489914</v>
      </c>
      <c r="AL31" s="1470"/>
      <c r="AM31" s="1471"/>
      <c r="AN31" s="1459"/>
      <c r="AO31" s="1459"/>
      <c r="AP31" s="1459"/>
      <c r="AQ31" s="1459"/>
      <c r="AR31" s="1459"/>
      <c r="AS31" s="1459"/>
      <c r="AT31" s="1459"/>
      <c r="AU31" s="1459"/>
      <c r="AV31" s="1459"/>
      <c r="AW31" s="1459"/>
      <c r="AX31" s="1459"/>
      <c r="AY31" s="1459"/>
      <c r="AZ31" s="1459"/>
      <c r="BA31" s="1459"/>
      <c r="BB31" s="1459"/>
      <c r="BC31" s="1459"/>
      <c r="BD31" s="1459"/>
      <c r="BE31" s="1459"/>
      <c r="BF31" s="1459"/>
      <c r="BG31" s="1459"/>
      <c r="BH31" s="1459"/>
      <c r="BI31" s="1459"/>
      <c r="BJ31" s="1459"/>
      <c r="BK31" s="1459"/>
      <c r="BL31" s="1459"/>
      <c r="BM31" s="1459"/>
      <c r="BN31" s="1459"/>
      <c r="BO31" s="1459"/>
      <c r="BP31" s="1459"/>
      <c r="BQ31" s="1459"/>
      <c r="BR31" s="1459"/>
      <c r="BS31" s="1459"/>
      <c r="BT31" s="1459"/>
      <c r="BU31" s="1459"/>
      <c r="BV31" s="1459"/>
      <c r="BW31" s="1459"/>
      <c r="BX31" s="1459"/>
      <c r="BY31" s="1459"/>
      <c r="BZ31" s="1459"/>
      <c r="CA31" s="1459"/>
      <c r="CB31" s="1459"/>
      <c r="CC31" s="1459"/>
      <c r="CD31" s="1459"/>
      <c r="CE31" s="1459"/>
      <c r="CF31" s="1459"/>
      <c r="CG31" s="1459"/>
      <c r="CH31" s="1459"/>
      <c r="CI31" s="1459"/>
      <c r="CJ31" s="1459"/>
      <c r="CK31" s="1459"/>
      <c r="CL31" s="1459"/>
      <c r="CM31" s="1459"/>
      <c r="CN31" s="1459"/>
      <c r="CO31" s="1459"/>
      <c r="CP31" s="1459"/>
      <c r="CQ31" s="1459"/>
      <c r="CR31" s="1459"/>
      <c r="CS31" s="1459"/>
    </row>
    <row r="32" spans="1:97" s="1488" customFormat="1" ht="45">
      <c r="A32" s="1473" t="s">
        <v>198</v>
      </c>
      <c r="B32" s="1474" t="s">
        <v>199</v>
      </c>
      <c r="C32" s="1469"/>
      <c r="D32" s="1477"/>
      <c r="E32" s="1477"/>
      <c r="F32" s="1477"/>
      <c r="G32" s="1469"/>
      <c r="H32" s="1477"/>
      <c r="I32" s="1477"/>
      <c r="J32" s="1477"/>
      <c r="K32" s="1469"/>
      <c r="L32" s="1477"/>
      <c r="M32" s="1477"/>
      <c r="N32" s="1477"/>
      <c r="O32" s="1477"/>
      <c r="P32" s="1477"/>
      <c r="Q32" s="1469"/>
      <c r="R32" s="1477"/>
      <c r="S32" s="1477"/>
      <c r="T32" s="1477"/>
      <c r="U32" s="1478">
        <f>V32+W32+X32</f>
        <v>37086094</v>
      </c>
      <c r="V32" s="1485"/>
      <c r="W32" s="1485">
        <f>'HP-HC2'!BA37</f>
        <v>37086094</v>
      </c>
      <c r="X32" s="1477"/>
      <c r="Y32" s="1469"/>
      <c r="Z32" s="1469"/>
      <c r="AA32" s="1477"/>
      <c r="AB32" s="1477"/>
      <c r="AC32" s="1477"/>
      <c r="AD32" s="1477"/>
      <c r="AE32" s="1469"/>
      <c r="AF32" s="1477"/>
      <c r="AG32" s="1477"/>
      <c r="AH32" s="1477"/>
      <c r="AI32" s="1469"/>
      <c r="AJ32" s="1469"/>
      <c r="AK32" s="1469">
        <f t="shared" si="2"/>
        <v>37086094</v>
      </c>
      <c r="AL32" s="1470"/>
      <c r="AM32" s="1471"/>
      <c r="AN32" s="1459"/>
      <c r="AO32" s="1459"/>
      <c r="AP32" s="1459"/>
      <c r="AQ32" s="1459"/>
      <c r="AR32" s="1459"/>
      <c r="AS32" s="1459"/>
      <c r="AT32" s="1459"/>
      <c r="AU32" s="1459"/>
      <c r="AV32" s="1459"/>
      <c r="AW32" s="1459"/>
      <c r="AX32" s="1459"/>
      <c r="AY32" s="1459"/>
      <c r="AZ32" s="1459"/>
      <c r="BA32" s="1459"/>
      <c r="BB32" s="1459"/>
      <c r="BC32" s="1459"/>
      <c r="BD32" s="1459"/>
      <c r="BE32" s="1459"/>
      <c r="BF32" s="1459"/>
      <c r="BG32" s="1459"/>
      <c r="BH32" s="1459"/>
      <c r="BI32" s="1459"/>
      <c r="BJ32" s="1459"/>
      <c r="BK32" s="1459"/>
      <c r="BL32" s="1459"/>
      <c r="BM32" s="1459"/>
      <c r="BN32" s="1459"/>
      <c r="BO32" s="1459"/>
      <c r="BP32" s="1459"/>
      <c r="BQ32" s="1459"/>
      <c r="BR32" s="1459"/>
      <c r="BS32" s="1459"/>
      <c r="BT32" s="1459"/>
      <c r="BU32" s="1459"/>
      <c r="BV32" s="1459"/>
      <c r="BW32" s="1459"/>
      <c r="BX32" s="1459"/>
      <c r="BY32" s="1459"/>
      <c r="BZ32" s="1459"/>
      <c r="CA32" s="1459"/>
      <c r="CB32" s="1459"/>
      <c r="CC32" s="1459"/>
      <c r="CD32" s="1459"/>
      <c r="CE32" s="1459"/>
      <c r="CF32" s="1459"/>
      <c r="CG32" s="1459"/>
      <c r="CH32" s="1459"/>
      <c r="CI32" s="1459"/>
      <c r="CJ32" s="1459"/>
      <c r="CK32" s="1459"/>
      <c r="CL32" s="1459"/>
      <c r="CM32" s="1459"/>
      <c r="CN32" s="1459"/>
      <c r="CO32" s="1459"/>
      <c r="CP32" s="1459"/>
      <c r="CQ32" s="1459"/>
      <c r="CR32" s="1459"/>
      <c r="CS32" s="1459"/>
    </row>
    <row r="33" spans="1:97" s="1459" customFormat="1" ht="22.5">
      <c r="A33" s="1480" t="s">
        <v>2766</v>
      </c>
      <c r="B33" s="1484" t="s">
        <v>2767</v>
      </c>
      <c r="C33" s="1469"/>
      <c r="D33" s="1482"/>
      <c r="E33" s="1482"/>
      <c r="F33" s="1482"/>
      <c r="G33" s="1469"/>
      <c r="H33" s="1482"/>
      <c r="I33" s="1482"/>
      <c r="J33" s="1482"/>
      <c r="K33" s="1469"/>
      <c r="L33" s="1482"/>
      <c r="M33" s="1482"/>
      <c r="N33" s="1482"/>
      <c r="O33" s="1482"/>
      <c r="P33" s="1482"/>
      <c r="Q33" s="1469"/>
      <c r="R33" s="1482"/>
      <c r="S33" s="1482"/>
      <c r="T33" s="1482"/>
      <c r="U33" s="1478"/>
      <c r="V33" s="1482"/>
      <c r="W33" s="1482"/>
      <c r="X33" s="1482"/>
      <c r="Y33" s="1469"/>
      <c r="Z33" s="1469"/>
      <c r="AA33" s="1482"/>
      <c r="AB33" s="1482"/>
      <c r="AC33" s="1482"/>
      <c r="AD33" s="1482"/>
      <c r="AE33" s="1469"/>
      <c r="AF33" s="1482"/>
      <c r="AG33" s="1482"/>
      <c r="AH33" s="1482"/>
      <c r="AI33" s="1469"/>
      <c r="AJ33" s="1469"/>
      <c r="AK33" s="1469"/>
      <c r="AL33" s="1470"/>
      <c r="AM33" s="1471"/>
    </row>
    <row r="34" spans="1:97" s="1459" customFormat="1" ht="22.5">
      <c r="A34" s="1480" t="s">
        <v>2768</v>
      </c>
      <c r="B34" s="1484" t="s">
        <v>2769</v>
      </c>
      <c r="C34" s="1469"/>
      <c r="D34" s="1482"/>
      <c r="E34" s="1482"/>
      <c r="F34" s="1482"/>
      <c r="G34" s="1469"/>
      <c r="H34" s="1482"/>
      <c r="I34" s="1482"/>
      <c r="J34" s="1482"/>
      <c r="K34" s="1469"/>
      <c r="L34" s="1482"/>
      <c r="M34" s="1482"/>
      <c r="N34" s="1482"/>
      <c r="O34" s="1482"/>
      <c r="P34" s="1482"/>
      <c r="Q34" s="1469"/>
      <c r="R34" s="1482"/>
      <c r="S34" s="1482"/>
      <c r="T34" s="1482"/>
      <c r="U34" s="1478"/>
      <c r="V34" s="1482"/>
      <c r="W34" s="1482"/>
      <c r="X34" s="1482"/>
      <c r="Y34" s="1469"/>
      <c r="Z34" s="1469"/>
      <c r="AA34" s="1482"/>
      <c r="AB34" s="1482"/>
      <c r="AC34" s="1482"/>
      <c r="AD34" s="1482"/>
      <c r="AE34" s="1469"/>
      <c r="AF34" s="1482"/>
      <c r="AG34" s="1482"/>
      <c r="AH34" s="1482"/>
      <c r="AI34" s="1469"/>
      <c r="AJ34" s="1469"/>
      <c r="AK34" s="1469"/>
      <c r="AL34" s="1470"/>
      <c r="AM34" s="1471"/>
    </row>
    <row r="35" spans="1:97" s="1459" customFormat="1" ht="33.75">
      <c r="A35" s="1480" t="s">
        <v>2770</v>
      </c>
      <c r="B35" s="1484" t="s">
        <v>2771</v>
      </c>
      <c r="C35" s="1469"/>
      <c r="D35" s="1482"/>
      <c r="E35" s="1482"/>
      <c r="F35" s="1482"/>
      <c r="G35" s="1469"/>
      <c r="H35" s="1482"/>
      <c r="I35" s="1482"/>
      <c r="J35" s="1482"/>
      <c r="K35" s="1469"/>
      <c r="L35" s="1482"/>
      <c r="M35" s="1482"/>
      <c r="N35" s="1482"/>
      <c r="O35" s="1482"/>
      <c r="P35" s="1482"/>
      <c r="Q35" s="1469"/>
      <c r="R35" s="1482"/>
      <c r="S35" s="1482"/>
      <c r="T35" s="1482"/>
      <c r="U35" s="1478"/>
      <c r="V35" s="1482"/>
      <c r="W35" s="1482"/>
      <c r="X35" s="1482"/>
      <c r="Y35" s="1469"/>
      <c r="Z35" s="1469"/>
      <c r="AA35" s="1482"/>
      <c r="AB35" s="1482"/>
      <c r="AC35" s="1482"/>
      <c r="AD35" s="1482"/>
      <c r="AE35" s="1469"/>
      <c r="AF35" s="1482"/>
      <c r="AG35" s="1482"/>
      <c r="AH35" s="1482"/>
      <c r="AI35" s="1469"/>
      <c r="AJ35" s="1469"/>
      <c r="AK35" s="1469"/>
      <c r="AL35" s="1470"/>
      <c r="AM35" s="1471"/>
    </row>
    <row r="36" spans="1:97" s="1460" customFormat="1" ht="45">
      <c r="A36" s="1473" t="s">
        <v>206</v>
      </c>
      <c r="B36" s="1474" t="s">
        <v>207</v>
      </c>
      <c r="C36" s="1469">
        <f>D36+E36+F36</f>
        <v>254372.7248991477</v>
      </c>
      <c r="D36" s="1477"/>
      <c r="E36" s="1477"/>
      <c r="F36" s="1477">
        <f>'036 гобм'!AL9+'036 гобм'!AM9</f>
        <v>254372.7248991477</v>
      </c>
      <c r="G36" s="1469"/>
      <c r="H36" s="1477"/>
      <c r="I36" s="1477"/>
      <c r="J36" s="1477"/>
      <c r="K36" s="1469">
        <f>L36+M36+N36+O36+P36</f>
        <v>0</v>
      </c>
      <c r="L36" s="1477">
        <f>'HP-HC2'!AG41</f>
        <v>0</v>
      </c>
      <c r="M36" s="1477"/>
      <c r="N36" s="1477"/>
      <c r="O36" s="1477">
        <f>'HP-HC2'!AM41</f>
        <v>0</v>
      </c>
      <c r="P36" s="1477"/>
      <c r="Q36" s="1469"/>
      <c r="R36" s="1477"/>
      <c r="S36" s="1477"/>
      <c r="T36" s="1477"/>
      <c r="U36" s="1478">
        <f>V36+W36+X36</f>
        <v>32128100</v>
      </c>
      <c r="V36" s="1477"/>
      <c r="W36" s="1477">
        <f>'Розница ЛС'!J27*1000</f>
        <v>32128100</v>
      </c>
      <c r="X36" s="1477"/>
      <c r="Y36" s="1469"/>
      <c r="Z36" s="1469"/>
      <c r="AA36" s="1477"/>
      <c r="AB36" s="1477"/>
      <c r="AC36" s="1477"/>
      <c r="AD36" s="1477"/>
      <c r="AE36" s="1469">
        <f>AG36+AH36+AF36</f>
        <v>0</v>
      </c>
      <c r="AF36" s="1477"/>
      <c r="AG36" s="1477"/>
      <c r="AH36" s="1477"/>
      <c r="AI36" s="1469"/>
      <c r="AJ36" s="1469"/>
      <c r="AK36" s="1469">
        <f t="shared" si="2"/>
        <v>32382472.724899147</v>
      </c>
      <c r="AL36" s="1470"/>
      <c r="AM36" s="1471"/>
      <c r="AN36" s="1459"/>
      <c r="AO36" s="1459"/>
      <c r="AP36" s="1459"/>
      <c r="AQ36" s="1459"/>
      <c r="AR36" s="1459"/>
      <c r="AS36" s="1459"/>
      <c r="AT36" s="1459"/>
      <c r="AU36" s="1459"/>
      <c r="AV36" s="1459"/>
      <c r="AW36" s="1459"/>
      <c r="AX36" s="1459"/>
      <c r="AY36" s="1459"/>
      <c r="AZ36" s="1459"/>
      <c r="BA36" s="1459"/>
      <c r="BB36" s="1459"/>
      <c r="BC36" s="1459"/>
      <c r="BD36" s="1459"/>
      <c r="BE36" s="1459"/>
      <c r="BF36" s="1459"/>
      <c r="BG36" s="1459"/>
      <c r="BH36" s="1459"/>
      <c r="BI36" s="1459"/>
      <c r="BJ36" s="1459"/>
      <c r="BK36" s="1459"/>
      <c r="BL36" s="1459"/>
      <c r="BM36" s="1459"/>
      <c r="BN36" s="1459"/>
      <c r="BO36" s="1459"/>
      <c r="BP36" s="1459"/>
      <c r="BQ36" s="1459"/>
      <c r="BR36" s="1459"/>
      <c r="BS36" s="1459"/>
      <c r="BT36" s="1459"/>
      <c r="BU36" s="1459"/>
      <c r="BV36" s="1459"/>
      <c r="BW36" s="1459"/>
      <c r="BX36" s="1459"/>
      <c r="BY36" s="1459"/>
      <c r="BZ36" s="1459"/>
      <c r="CA36" s="1459"/>
      <c r="CB36" s="1459"/>
      <c r="CC36" s="1459"/>
      <c r="CD36" s="1459"/>
      <c r="CE36" s="1459"/>
      <c r="CF36" s="1459"/>
      <c r="CG36" s="1459"/>
      <c r="CH36" s="1459"/>
      <c r="CI36" s="1459"/>
      <c r="CJ36" s="1459"/>
      <c r="CK36" s="1459"/>
      <c r="CL36" s="1459"/>
      <c r="CM36" s="1459"/>
      <c r="CN36" s="1459"/>
      <c r="CO36" s="1459"/>
      <c r="CP36" s="1459"/>
      <c r="CQ36" s="1459"/>
      <c r="CR36" s="1459"/>
      <c r="CS36" s="1459"/>
    </row>
    <row r="37" spans="1:97" s="1460" customFormat="1">
      <c r="A37" s="1467" t="s">
        <v>218</v>
      </c>
      <c r="B37" s="1467" t="s">
        <v>219</v>
      </c>
      <c r="C37" s="1469"/>
      <c r="D37" s="1469"/>
      <c r="E37" s="1469"/>
      <c r="F37" s="1469"/>
      <c r="G37" s="1469">
        <f>H37+J37+I37</f>
        <v>4122580.442981285</v>
      </c>
      <c r="H37" s="1469">
        <f>H38+H39+H42+H41+H43</f>
        <v>0</v>
      </c>
      <c r="I37" s="1469">
        <f>I38+I39+I42+I41+I43</f>
        <v>0</v>
      </c>
      <c r="J37" s="1469">
        <f>J38+J39+J42+J41+J43</f>
        <v>4122580.442981285</v>
      </c>
      <c r="K37" s="1469"/>
      <c r="L37" s="1469"/>
      <c r="M37" s="1469"/>
      <c r="N37" s="1469"/>
      <c r="O37" s="1469"/>
      <c r="P37" s="1469"/>
      <c r="Q37" s="1469"/>
      <c r="R37" s="1469"/>
      <c r="S37" s="1469"/>
      <c r="T37" s="1469"/>
      <c r="U37" s="1469"/>
      <c r="V37" s="1469"/>
      <c r="W37" s="1469"/>
      <c r="X37" s="1469"/>
      <c r="Y37" s="1469">
        <f>Y38+Y39+Y42+Y41+Y43+Y40</f>
        <v>24460920.300000001</v>
      </c>
      <c r="Z37" s="1469"/>
      <c r="AA37" s="1469"/>
      <c r="AB37" s="1469"/>
      <c r="AC37" s="1469"/>
      <c r="AD37" s="1469"/>
      <c r="AE37" s="1469"/>
      <c r="AF37" s="1469"/>
      <c r="AG37" s="1469"/>
      <c r="AH37" s="1469"/>
      <c r="AI37" s="1469"/>
      <c r="AJ37" s="1469"/>
      <c r="AK37" s="1469">
        <f t="shared" si="2"/>
        <v>28583500.742981285</v>
      </c>
      <c r="AL37" s="1470"/>
      <c r="AM37" s="1471"/>
      <c r="AN37" s="1459"/>
      <c r="AO37" s="1459"/>
      <c r="AP37" s="1459"/>
      <c r="AQ37" s="1459"/>
      <c r="AR37" s="1459"/>
      <c r="AS37" s="1459"/>
      <c r="AT37" s="1459"/>
      <c r="AU37" s="1459"/>
      <c r="AV37" s="1459"/>
      <c r="AW37" s="1459"/>
      <c r="AX37" s="1459"/>
      <c r="AY37" s="1459"/>
      <c r="AZ37" s="1459"/>
      <c r="BA37" s="1459"/>
      <c r="BB37" s="1459"/>
      <c r="BC37" s="1459"/>
      <c r="BD37" s="1459"/>
      <c r="BE37" s="1459"/>
      <c r="BF37" s="1459"/>
      <c r="BG37" s="1459"/>
      <c r="BH37" s="1459"/>
      <c r="BI37" s="1459"/>
      <c r="BJ37" s="1459"/>
      <c r="BK37" s="1459"/>
      <c r="BL37" s="1459"/>
      <c r="BM37" s="1459"/>
      <c r="BN37" s="1459"/>
      <c r="BO37" s="1459"/>
      <c r="BP37" s="1459"/>
      <c r="BQ37" s="1459"/>
      <c r="BR37" s="1459"/>
      <c r="BS37" s="1459"/>
      <c r="BT37" s="1459"/>
      <c r="BU37" s="1459"/>
      <c r="BV37" s="1459"/>
      <c r="BW37" s="1459"/>
      <c r="BX37" s="1459"/>
      <c r="BY37" s="1459"/>
      <c r="BZ37" s="1459"/>
      <c r="CA37" s="1459"/>
      <c r="CB37" s="1459"/>
      <c r="CC37" s="1459"/>
      <c r="CD37" s="1459"/>
      <c r="CE37" s="1459"/>
      <c r="CF37" s="1459"/>
      <c r="CG37" s="1459"/>
      <c r="CH37" s="1459"/>
      <c r="CI37" s="1459"/>
      <c r="CJ37" s="1459"/>
      <c r="CK37" s="1459"/>
      <c r="CL37" s="1459"/>
      <c r="CM37" s="1459"/>
      <c r="CN37" s="1459"/>
      <c r="CO37" s="1459"/>
      <c r="CP37" s="1459"/>
      <c r="CQ37" s="1459"/>
      <c r="CR37" s="1459"/>
      <c r="CS37" s="1459"/>
    </row>
    <row r="38" spans="1:97" s="1460" customFormat="1" ht="45">
      <c r="A38" s="1473" t="s">
        <v>220</v>
      </c>
      <c r="B38" s="1474" t="s">
        <v>221</v>
      </c>
      <c r="C38" s="1469"/>
      <c r="D38" s="1477"/>
      <c r="E38" s="1477"/>
      <c r="F38" s="1477"/>
      <c r="G38" s="1469"/>
      <c r="H38" s="1477"/>
      <c r="I38" s="1477"/>
      <c r="J38" s="1477"/>
      <c r="K38" s="1469"/>
      <c r="L38" s="1477"/>
      <c r="M38" s="1477"/>
      <c r="N38" s="1477"/>
      <c r="O38" s="1477"/>
      <c r="P38" s="1477"/>
      <c r="Q38" s="1469"/>
      <c r="R38" s="1477"/>
      <c r="S38" s="1477"/>
      <c r="T38" s="1477"/>
      <c r="U38" s="1478"/>
      <c r="V38" s="1477"/>
      <c r="W38" s="1477"/>
      <c r="X38" s="1477"/>
      <c r="Y38" s="1469">
        <f>'HP-HC2'!BG48</f>
        <v>2096863</v>
      </c>
      <c r="Z38" s="1469"/>
      <c r="AA38" s="1477"/>
      <c r="AB38" s="1477"/>
      <c r="AC38" s="1477"/>
      <c r="AD38" s="1477"/>
      <c r="AE38" s="1469"/>
      <c r="AF38" s="1477"/>
      <c r="AG38" s="1477"/>
      <c r="AH38" s="1477"/>
      <c r="AI38" s="1469"/>
      <c r="AJ38" s="1469"/>
      <c r="AK38" s="1469">
        <f t="shared" si="2"/>
        <v>2096863</v>
      </c>
      <c r="AL38" s="1470"/>
      <c r="AM38" s="1471"/>
      <c r="AN38" s="1459"/>
      <c r="AO38" s="1459"/>
      <c r="AP38" s="1459"/>
      <c r="AQ38" s="1459"/>
      <c r="AR38" s="1459"/>
      <c r="AS38" s="1459"/>
      <c r="AT38" s="1459"/>
      <c r="AU38" s="1459"/>
      <c r="AV38" s="1459"/>
      <c r="AW38" s="1459"/>
      <c r="AX38" s="1459"/>
      <c r="AY38" s="1459"/>
      <c r="AZ38" s="1459"/>
      <c r="BA38" s="1459"/>
      <c r="BB38" s="1459"/>
      <c r="BC38" s="1459"/>
      <c r="BD38" s="1459"/>
      <c r="BE38" s="1459"/>
      <c r="BF38" s="1459"/>
      <c r="BG38" s="1459"/>
      <c r="BH38" s="1459"/>
      <c r="BI38" s="1459"/>
      <c r="BJ38" s="1459"/>
      <c r="BK38" s="1459"/>
      <c r="BL38" s="1459"/>
      <c r="BM38" s="1459"/>
      <c r="BN38" s="1459"/>
      <c r="BO38" s="1459"/>
      <c r="BP38" s="1459"/>
      <c r="BQ38" s="1459"/>
      <c r="BR38" s="1459"/>
      <c r="BS38" s="1459"/>
      <c r="BT38" s="1459"/>
      <c r="BU38" s="1459"/>
      <c r="BV38" s="1459"/>
      <c r="BW38" s="1459"/>
      <c r="BX38" s="1459"/>
      <c r="BY38" s="1459"/>
      <c r="BZ38" s="1459"/>
      <c r="CA38" s="1459"/>
      <c r="CB38" s="1459"/>
      <c r="CC38" s="1459"/>
      <c r="CD38" s="1459"/>
      <c r="CE38" s="1459"/>
      <c r="CF38" s="1459"/>
      <c r="CG38" s="1459"/>
      <c r="CH38" s="1459"/>
      <c r="CI38" s="1459"/>
      <c r="CJ38" s="1459"/>
      <c r="CK38" s="1459"/>
      <c r="CL38" s="1459"/>
      <c r="CM38" s="1459"/>
      <c r="CN38" s="1459"/>
      <c r="CO38" s="1459"/>
      <c r="CP38" s="1459"/>
      <c r="CQ38" s="1459"/>
      <c r="CR38" s="1459"/>
      <c r="CS38" s="1459"/>
    </row>
    <row r="39" spans="1:97" s="1460" customFormat="1">
      <c r="A39" s="1473" t="s">
        <v>222</v>
      </c>
      <c r="B39" s="1474" t="s">
        <v>223</v>
      </c>
      <c r="C39" s="1469"/>
      <c r="D39" s="1477"/>
      <c r="E39" s="1477"/>
      <c r="F39" s="1477"/>
      <c r="G39" s="1469"/>
      <c r="H39" s="1477"/>
      <c r="I39" s="1477"/>
      <c r="J39" s="1477"/>
      <c r="K39" s="1469"/>
      <c r="L39" s="1477"/>
      <c r="M39" s="1477"/>
      <c r="N39" s="1477"/>
      <c r="O39" s="1477"/>
      <c r="P39" s="1477"/>
      <c r="Q39" s="1469"/>
      <c r="R39" s="1477"/>
      <c r="S39" s="1477"/>
      <c r="T39" s="1477"/>
      <c r="U39" s="1478"/>
      <c r="V39" s="1477"/>
      <c r="W39" s="1477"/>
      <c r="X39" s="1477"/>
      <c r="Y39" s="1469">
        <f>Отчет!J102+Отчет!J128</f>
        <v>11213467.5</v>
      </c>
      <c r="Z39" s="1469"/>
      <c r="AA39" s="1477"/>
      <c r="AB39" s="1477"/>
      <c r="AC39" s="1477"/>
      <c r="AD39" s="1477"/>
      <c r="AE39" s="1469"/>
      <c r="AF39" s="1477"/>
      <c r="AG39" s="1477"/>
      <c r="AH39" s="1477"/>
      <c r="AI39" s="1469"/>
      <c r="AJ39" s="1469"/>
      <c r="AK39" s="1469">
        <f t="shared" si="2"/>
        <v>11213467.5</v>
      </c>
      <c r="AL39" s="1470"/>
      <c r="AM39" s="1471"/>
      <c r="AN39" s="1459"/>
      <c r="AO39" s="1459"/>
      <c r="AP39" s="1459"/>
      <c r="AQ39" s="1459"/>
      <c r="AR39" s="1459"/>
      <c r="AS39" s="1459"/>
      <c r="AT39" s="1459"/>
      <c r="AU39" s="1459"/>
      <c r="AV39" s="1459"/>
      <c r="AW39" s="1459"/>
      <c r="AX39" s="1459"/>
      <c r="AY39" s="1459"/>
      <c r="AZ39" s="1459"/>
      <c r="BA39" s="1459"/>
      <c r="BB39" s="1459"/>
      <c r="BC39" s="1459"/>
      <c r="BD39" s="1459"/>
      <c r="BE39" s="1459"/>
      <c r="BF39" s="1459"/>
      <c r="BG39" s="1459"/>
      <c r="BH39" s="1459"/>
      <c r="BI39" s="1459"/>
      <c r="BJ39" s="1459"/>
      <c r="BK39" s="1459"/>
      <c r="BL39" s="1459"/>
      <c r="BM39" s="1459"/>
      <c r="BN39" s="1459"/>
      <c r="BO39" s="1459"/>
      <c r="BP39" s="1459"/>
      <c r="BQ39" s="1459"/>
      <c r="BR39" s="1459"/>
      <c r="BS39" s="1459"/>
      <c r="BT39" s="1459"/>
      <c r="BU39" s="1459"/>
      <c r="BV39" s="1459"/>
      <c r="BW39" s="1459"/>
      <c r="BX39" s="1459"/>
      <c r="BY39" s="1459"/>
      <c r="BZ39" s="1459"/>
      <c r="CA39" s="1459"/>
      <c r="CB39" s="1459"/>
      <c r="CC39" s="1459"/>
      <c r="CD39" s="1459"/>
      <c r="CE39" s="1459"/>
      <c r="CF39" s="1459"/>
      <c r="CG39" s="1459"/>
      <c r="CH39" s="1459"/>
      <c r="CI39" s="1459"/>
      <c r="CJ39" s="1459"/>
      <c r="CK39" s="1459"/>
      <c r="CL39" s="1459"/>
      <c r="CM39" s="1459"/>
      <c r="CN39" s="1459"/>
      <c r="CO39" s="1459"/>
      <c r="CP39" s="1459"/>
      <c r="CQ39" s="1459"/>
      <c r="CR39" s="1459"/>
      <c r="CS39" s="1459"/>
    </row>
    <row r="40" spans="1:97" s="1460" customFormat="1" ht="33.75">
      <c r="A40" s="1486" t="s">
        <v>224</v>
      </c>
      <c r="B40" s="1479" t="s">
        <v>2779</v>
      </c>
      <c r="C40" s="1469"/>
      <c r="D40" s="1477"/>
      <c r="E40" s="1477"/>
      <c r="F40" s="1477"/>
      <c r="G40" s="1469"/>
      <c r="H40" s="1477"/>
      <c r="I40" s="1477"/>
      <c r="J40" s="1477"/>
      <c r="K40" s="1469"/>
      <c r="L40" s="1477"/>
      <c r="M40" s="1477"/>
      <c r="N40" s="1477"/>
      <c r="O40" s="1477"/>
      <c r="P40" s="1477"/>
      <c r="Q40" s="1469"/>
      <c r="R40" s="1477"/>
      <c r="S40" s="1477"/>
      <c r="T40" s="1477"/>
      <c r="U40" s="1478"/>
      <c r="V40" s="1477"/>
      <c r="W40" s="1477"/>
      <c r="X40" s="1477"/>
      <c r="Y40" s="1469"/>
      <c r="Z40" s="1469"/>
      <c r="AA40" s="1477"/>
      <c r="AB40" s="1477"/>
      <c r="AC40" s="1477"/>
      <c r="AD40" s="1477"/>
      <c r="AE40" s="1469"/>
      <c r="AF40" s="1477"/>
      <c r="AG40" s="1477"/>
      <c r="AH40" s="1477"/>
      <c r="AI40" s="1469"/>
      <c r="AJ40" s="1469"/>
      <c r="AK40" s="1469"/>
      <c r="AL40" s="1470"/>
      <c r="AM40" s="1471"/>
      <c r="AN40" s="1459"/>
      <c r="AO40" s="1459"/>
      <c r="AP40" s="1459"/>
      <c r="AQ40" s="1459"/>
      <c r="AR40" s="1459"/>
      <c r="AS40" s="1459"/>
      <c r="AT40" s="1459"/>
      <c r="AU40" s="1459"/>
      <c r="AV40" s="1459"/>
      <c r="AW40" s="1459"/>
      <c r="AX40" s="1459"/>
      <c r="AY40" s="1459"/>
      <c r="AZ40" s="1459"/>
      <c r="BA40" s="1459"/>
      <c r="BB40" s="1459"/>
      <c r="BC40" s="1459"/>
      <c r="BD40" s="1459"/>
      <c r="BE40" s="1459"/>
      <c r="BF40" s="1459"/>
      <c r="BG40" s="1459"/>
      <c r="BH40" s="1459"/>
      <c r="BI40" s="1459"/>
      <c r="BJ40" s="1459"/>
      <c r="BK40" s="1459"/>
      <c r="BL40" s="1459"/>
      <c r="BM40" s="1459"/>
      <c r="BN40" s="1459"/>
      <c r="BO40" s="1459"/>
      <c r="BP40" s="1459"/>
      <c r="BQ40" s="1459"/>
      <c r="BR40" s="1459"/>
      <c r="BS40" s="1459"/>
      <c r="BT40" s="1459"/>
      <c r="BU40" s="1459"/>
      <c r="BV40" s="1459"/>
      <c r="BW40" s="1459"/>
      <c r="BX40" s="1459"/>
      <c r="BY40" s="1459"/>
      <c r="BZ40" s="1459"/>
      <c r="CA40" s="1459"/>
      <c r="CB40" s="1459"/>
      <c r="CC40" s="1459"/>
      <c r="CD40" s="1459"/>
      <c r="CE40" s="1459"/>
      <c r="CF40" s="1459"/>
      <c r="CG40" s="1459"/>
      <c r="CH40" s="1459"/>
      <c r="CI40" s="1459"/>
      <c r="CJ40" s="1459"/>
      <c r="CK40" s="1459"/>
      <c r="CL40" s="1459"/>
      <c r="CM40" s="1459"/>
      <c r="CN40" s="1459"/>
      <c r="CO40" s="1459"/>
      <c r="CP40" s="1459"/>
      <c r="CQ40" s="1459"/>
      <c r="CR40" s="1459"/>
      <c r="CS40" s="1459"/>
    </row>
    <row r="41" spans="1:97" s="1460" customFormat="1" ht="22.5">
      <c r="A41" s="1486" t="s">
        <v>227</v>
      </c>
      <c r="B41" s="1479" t="s">
        <v>2773</v>
      </c>
      <c r="C41" s="1469"/>
      <c r="D41" s="1477"/>
      <c r="E41" s="1477"/>
      <c r="F41" s="1477"/>
      <c r="G41" s="1469">
        <f>H41+J41+I41</f>
        <v>4122580.442981285</v>
      </c>
      <c r="H41" s="1477"/>
      <c r="I41" s="1477"/>
      <c r="J41" s="1477">
        <f>'HP-HC2'!X70</f>
        <v>4122580.442981285</v>
      </c>
      <c r="K41" s="1469"/>
      <c r="L41" s="1477"/>
      <c r="M41" s="1477"/>
      <c r="N41" s="1477"/>
      <c r="O41" s="1477"/>
      <c r="P41" s="1477"/>
      <c r="Q41" s="1469"/>
      <c r="R41" s="1477"/>
      <c r="S41" s="1477"/>
      <c r="T41" s="1477"/>
      <c r="U41" s="1478"/>
      <c r="V41" s="1477"/>
      <c r="W41" s="1477"/>
      <c r="X41" s="1477"/>
      <c r="Y41" s="1469"/>
      <c r="Z41" s="1469"/>
      <c r="AA41" s="1477"/>
      <c r="AB41" s="1477"/>
      <c r="AC41" s="1477"/>
      <c r="AD41" s="1477"/>
      <c r="AE41" s="1469"/>
      <c r="AF41" s="1477"/>
      <c r="AG41" s="1477"/>
      <c r="AH41" s="1477"/>
      <c r="AI41" s="1469"/>
      <c r="AJ41" s="1469"/>
      <c r="AK41" s="1469">
        <f>C41+G41+K41+Q41+U41+Y41+Z41+AE41+AI41+AJ41</f>
        <v>4122580.442981285</v>
      </c>
      <c r="AL41" s="1470"/>
      <c r="AM41" s="1471"/>
      <c r="AN41" s="1459"/>
      <c r="AO41" s="1459"/>
      <c r="AP41" s="1459"/>
      <c r="AQ41" s="1459"/>
      <c r="AR41" s="1459"/>
      <c r="AS41" s="1459"/>
      <c r="AT41" s="1459"/>
      <c r="AU41" s="1459"/>
      <c r="AV41" s="1459"/>
      <c r="AW41" s="1459"/>
      <c r="AX41" s="1459"/>
      <c r="AY41" s="1459"/>
      <c r="AZ41" s="1459"/>
      <c r="BA41" s="1459"/>
      <c r="BB41" s="1459"/>
      <c r="BC41" s="1459"/>
      <c r="BD41" s="1459"/>
      <c r="BE41" s="1459"/>
      <c r="BF41" s="1459"/>
      <c r="BG41" s="1459"/>
      <c r="BH41" s="1459"/>
      <c r="BI41" s="1459"/>
      <c r="BJ41" s="1459"/>
      <c r="BK41" s="1459"/>
      <c r="BL41" s="1459"/>
      <c r="BM41" s="1459"/>
      <c r="BN41" s="1459"/>
      <c r="BO41" s="1459"/>
      <c r="BP41" s="1459"/>
      <c r="BQ41" s="1459"/>
      <c r="BR41" s="1459"/>
      <c r="BS41" s="1459"/>
      <c r="BT41" s="1459"/>
      <c r="BU41" s="1459"/>
      <c r="BV41" s="1459"/>
      <c r="BW41" s="1459"/>
      <c r="BX41" s="1459"/>
      <c r="BY41" s="1459"/>
      <c r="BZ41" s="1459"/>
      <c r="CA41" s="1459"/>
      <c r="CB41" s="1459"/>
      <c r="CC41" s="1459"/>
      <c r="CD41" s="1459"/>
      <c r="CE41" s="1459"/>
      <c r="CF41" s="1459"/>
      <c r="CG41" s="1459"/>
      <c r="CH41" s="1459"/>
      <c r="CI41" s="1459"/>
      <c r="CJ41" s="1459"/>
      <c r="CK41" s="1459"/>
      <c r="CL41" s="1459"/>
      <c r="CM41" s="1459"/>
      <c r="CN41" s="1459"/>
      <c r="CO41" s="1459"/>
      <c r="CP41" s="1459"/>
      <c r="CQ41" s="1459"/>
      <c r="CR41" s="1459"/>
      <c r="CS41" s="1459"/>
    </row>
    <row r="42" spans="1:97" s="1460" customFormat="1" ht="67.5">
      <c r="A42" s="1473" t="s">
        <v>230</v>
      </c>
      <c r="B42" s="1474" t="s">
        <v>231</v>
      </c>
      <c r="C42" s="1469"/>
      <c r="D42" s="1477"/>
      <c r="E42" s="1477"/>
      <c r="F42" s="1477"/>
      <c r="G42" s="1469"/>
      <c r="H42" s="1477"/>
      <c r="I42" s="1477"/>
      <c r="J42" s="1477"/>
      <c r="K42" s="1469"/>
      <c r="L42" s="1477"/>
      <c r="M42" s="1477"/>
      <c r="N42" s="1477"/>
      <c r="O42" s="1477"/>
      <c r="P42" s="1477"/>
      <c r="Q42" s="1469"/>
      <c r="R42" s="1477"/>
      <c r="S42" s="1477"/>
      <c r="T42" s="1477"/>
      <c r="U42" s="1478"/>
      <c r="V42" s="1477"/>
      <c r="W42" s="1477"/>
      <c r="X42" s="1477"/>
      <c r="Y42" s="1469">
        <f>Дэф!C4+Отчет!J80+Отчет!J72+Отчет!J62+Отчет!J48</f>
        <v>11150589.800000001</v>
      </c>
      <c r="Z42" s="1469"/>
      <c r="AA42" s="1477"/>
      <c r="AB42" s="1477"/>
      <c r="AC42" s="1477"/>
      <c r="AD42" s="1477"/>
      <c r="AE42" s="1469"/>
      <c r="AF42" s="1477"/>
      <c r="AG42" s="1477"/>
      <c r="AH42" s="1477"/>
      <c r="AI42" s="1469"/>
      <c r="AJ42" s="1469"/>
      <c r="AK42" s="1469">
        <f>C42+G42+K42+Q42+U42+Y42+Z42+AE42+AI42+AJ42</f>
        <v>11150589.800000001</v>
      </c>
      <c r="AL42" s="1470"/>
      <c r="AM42" s="1471"/>
      <c r="AN42" s="1459"/>
      <c r="AO42" s="1459"/>
      <c r="AP42" s="1459"/>
      <c r="AQ42" s="1459"/>
      <c r="AR42" s="1459"/>
      <c r="AS42" s="1459"/>
      <c r="AT42" s="1459"/>
      <c r="AU42" s="1459"/>
      <c r="AV42" s="1459"/>
      <c r="AW42" s="1459"/>
      <c r="AX42" s="1459"/>
      <c r="AY42" s="1459"/>
      <c r="AZ42" s="1459"/>
      <c r="BA42" s="1459"/>
      <c r="BB42" s="1459"/>
      <c r="BC42" s="1459"/>
      <c r="BD42" s="1459"/>
      <c r="BE42" s="1459"/>
      <c r="BF42" s="1459"/>
      <c r="BG42" s="1459"/>
      <c r="BH42" s="1459"/>
      <c r="BI42" s="1459"/>
      <c r="BJ42" s="1459"/>
      <c r="BK42" s="1459"/>
      <c r="BL42" s="1459"/>
      <c r="BM42" s="1459"/>
      <c r="BN42" s="1459"/>
      <c r="BO42" s="1459"/>
      <c r="BP42" s="1459"/>
      <c r="BQ42" s="1459"/>
      <c r="BR42" s="1459"/>
      <c r="BS42" s="1459"/>
      <c r="BT42" s="1459"/>
      <c r="BU42" s="1459"/>
      <c r="BV42" s="1459"/>
      <c r="BW42" s="1459"/>
      <c r="BX42" s="1459"/>
      <c r="BY42" s="1459"/>
      <c r="BZ42" s="1459"/>
      <c r="CA42" s="1459"/>
      <c r="CB42" s="1459"/>
      <c r="CC42" s="1459"/>
      <c r="CD42" s="1459"/>
      <c r="CE42" s="1459"/>
      <c r="CF42" s="1459"/>
      <c r="CG42" s="1459"/>
      <c r="CH42" s="1459"/>
      <c r="CI42" s="1459"/>
      <c r="CJ42" s="1459"/>
      <c r="CK42" s="1459"/>
      <c r="CL42" s="1459"/>
      <c r="CM42" s="1459"/>
      <c r="CN42" s="1459"/>
      <c r="CO42" s="1459"/>
      <c r="CP42" s="1459"/>
      <c r="CQ42" s="1459"/>
      <c r="CR42" s="1459"/>
      <c r="CS42" s="1459"/>
    </row>
    <row r="43" spans="1:97" s="1460" customFormat="1" ht="45">
      <c r="A43" s="1473" t="s">
        <v>233</v>
      </c>
      <c r="B43" s="1479" t="s">
        <v>2775</v>
      </c>
      <c r="C43" s="1469"/>
      <c r="D43" s="1477"/>
      <c r="E43" s="1477"/>
      <c r="F43" s="1477"/>
      <c r="G43" s="1469"/>
      <c r="H43" s="1477"/>
      <c r="I43" s="1477"/>
      <c r="J43" s="1477"/>
      <c r="K43" s="1469"/>
      <c r="L43" s="1477"/>
      <c r="M43" s="1477"/>
      <c r="N43" s="1477"/>
      <c r="O43" s="1477"/>
      <c r="P43" s="1477"/>
      <c r="Q43" s="1469"/>
      <c r="R43" s="1477"/>
      <c r="S43" s="1477"/>
      <c r="T43" s="1477"/>
      <c r="U43" s="1478"/>
      <c r="V43" s="1477"/>
      <c r="W43" s="1477"/>
      <c r="X43" s="1477"/>
      <c r="Y43" s="1469"/>
      <c r="Z43" s="1469"/>
      <c r="AA43" s="1477"/>
      <c r="AB43" s="1477"/>
      <c r="AC43" s="1477"/>
      <c r="AD43" s="1477"/>
      <c r="AE43" s="1469"/>
      <c r="AF43" s="1477"/>
      <c r="AG43" s="1477"/>
      <c r="AH43" s="1477"/>
      <c r="AI43" s="1469"/>
      <c r="AJ43" s="1469"/>
      <c r="AK43" s="1469"/>
      <c r="AL43" s="1470"/>
      <c r="AM43" s="1471"/>
      <c r="AN43" s="1459"/>
      <c r="AO43" s="1459"/>
      <c r="AP43" s="1459"/>
      <c r="AQ43" s="1459"/>
      <c r="AR43" s="1459"/>
      <c r="AS43" s="1459"/>
      <c r="AT43" s="1459"/>
      <c r="AU43" s="1459"/>
      <c r="AV43" s="1459"/>
      <c r="AW43" s="1459"/>
      <c r="AX43" s="1459"/>
      <c r="AY43" s="1459"/>
      <c r="AZ43" s="1459"/>
      <c r="BA43" s="1459"/>
      <c r="BB43" s="1459"/>
      <c r="BC43" s="1459"/>
      <c r="BD43" s="1459"/>
      <c r="BE43" s="1459"/>
      <c r="BF43" s="1459"/>
      <c r="BG43" s="1459"/>
      <c r="BH43" s="1459"/>
      <c r="BI43" s="1459"/>
      <c r="BJ43" s="1459"/>
      <c r="BK43" s="1459"/>
      <c r="BL43" s="1459"/>
      <c r="BM43" s="1459"/>
      <c r="BN43" s="1459"/>
      <c r="BO43" s="1459"/>
      <c r="BP43" s="1459"/>
      <c r="BQ43" s="1459"/>
      <c r="BR43" s="1459"/>
      <c r="BS43" s="1459"/>
      <c r="BT43" s="1459"/>
      <c r="BU43" s="1459"/>
      <c r="BV43" s="1459"/>
      <c r="BW43" s="1459"/>
      <c r="BX43" s="1459"/>
      <c r="BY43" s="1459"/>
      <c r="BZ43" s="1459"/>
      <c r="CA43" s="1459"/>
      <c r="CB43" s="1459"/>
      <c r="CC43" s="1459"/>
      <c r="CD43" s="1459"/>
      <c r="CE43" s="1459"/>
      <c r="CF43" s="1459"/>
      <c r="CG43" s="1459"/>
      <c r="CH43" s="1459"/>
      <c r="CI43" s="1459"/>
      <c r="CJ43" s="1459"/>
      <c r="CK43" s="1459"/>
      <c r="CL43" s="1459"/>
      <c r="CM43" s="1459"/>
      <c r="CN43" s="1459"/>
      <c r="CO43" s="1459"/>
      <c r="CP43" s="1459"/>
      <c r="CQ43" s="1459"/>
      <c r="CR43" s="1459"/>
      <c r="CS43" s="1459"/>
    </row>
    <row r="44" spans="1:97" s="1460" customFormat="1" ht="45">
      <c r="A44" s="1467" t="s">
        <v>238</v>
      </c>
      <c r="B44" s="1467" t="s">
        <v>239</v>
      </c>
      <c r="C44" s="1469"/>
      <c r="D44" s="1469"/>
      <c r="E44" s="1469"/>
      <c r="F44" s="1469"/>
      <c r="G44" s="1469"/>
      <c r="H44" s="1469"/>
      <c r="I44" s="1469"/>
      <c r="J44" s="1469"/>
      <c r="K44" s="1469"/>
      <c r="L44" s="1469"/>
      <c r="M44" s="1469"/>
      <c r="N44" s="1469"/>
      <c r="O44" s="1469"/>
      <c r="P44" s="1469"/>
      <c r="Q44" s="1469"/>
      <c r="R44" s="1469"/>
      <c r="S44" s="1469"/>
      <c r="T44" s="1469"/>
      <c r="U44" s="1469"/>
      <c r="V44" s="1469"/>
      <c r="W44" s="1469"/>
      <c r="X44" s="1469"/>
      <c r="Y44" s="1469"/>
      <c r="Z44" s="1469">
        <f>Z45+Z46</f>
        <v>18190874.800000001</v>
      </c>
      <c r="AA44" s="1469">
        <f>AA45+AA46</f>
        <v>13636689.800000001</v>
      </c>
      <c r="AB44" s="1469"/>
      <c r="AC44" s="1469">
        <f>AC45+AC46</f>
        <v>4554185</v>
      </c>
      <c r="AD44" s="1469"/>
      <c r="AE44" s="1469"/>
      <c r="AF44" s="1469"/>
      <c r="AG44" s="1469"/>
      <c r="AH44" s="1469"/>
      <c r="AI44" s="1469"/>
      <c r="AJ44" s="1469">
        <f>AJ45+AJ46</f>
        <v>5487832</v>
      </c>
      <c r="AK44" s="1469">
        <f>AK45+AK46</f>
        <v>25011413.800000001</v>
      </c>
      <c r="AL44" s="1470"/>
      <c r="AM44" s="1471"/>
      <c r="AN44" s="1459"/>
      <c r="AO44" s="1459"/>
      <c r="AP44" s="1459"/>
      <c r="AQ44" s="1459"/>
      <c r="AR44" s="1459"/>
      <c r="AS44" s="1459"/>
      <c r="AT44" s="1459"/>
      <c r="AU44" s="1459"/>
      <c r="AV44" s="1459"/>
      <c r="AW44" s="1459"/>
      <c r="AX44" s="1459"/>
      <c r="AY44" s="1459"/>
      <c r="AZ44" s="1459"/>
      <c r="BA44" s="1459"/>
      <c r="BB44" s="1459"/>
      <c r="BC44" s="1459"/>
      <c r="BD44" s="1459"/>
      <c r="BE44" s="1459"/>
      <c r="BF44" s="1459"/>
      <c r="BG44" s="1459"/>
      <c r="BH44" s="1459"/>
      <c r="BI44" s="1459"/>
      <c r="BJ44" s="1459"/>
      <c r="BK44" s="1459"/>
      <c r="BL44" s="1459"/>
      <c r="BM44" s="1459"/>
      <c r="BN44" s="1459"/>
      <c r="BO44" s="1459"/>
      <c r="BP44" s="1459"/>
      <c r="BQ44" s="1459"/>
      <c r="BR44" s="1459"/>
      <c r="BS44" s="1459"/>
      <c r="BT44" s="1459"/>
      <c r="BU44" s="1459"/>
      <c r="BV44" s="1459"/>
      <c r="BW44" s="1459"/>
      <c r="BX44" s="1459"/>
      <c r="BY44" s="1459"/>
      <c r="BZ44" s="1459"/>
      <c r="CA44" s="1459"/>
      <c r="CB44" s="1459"/>
      <c r="CC44" s="1459"/>
      <c r="CD44" s="1459"/>
      <c r="CE44" s="1459"/>
      <c r="CF44" s="1459"/>
      <c r="CG44" s="1459"/>
      <c r="CH44" s="1459"/>
      <c r="CI44" s="1459"/>
      <c r="CJ44" s="1459"/>
      <c r="CK44" s="1459"/>
      <c r="CL44" s="1459"/>
      <c r="CM44" s="1459"/>
      <c r="CN44" s="1459"/>
      <c r="CO44" s="1459"/>
      <c r="CP44" s="1459"/>
      <c r="CQ44" s="1459"/>
      <c r="CR44" s="1459"/>
      <c r="CS44" s="1459"/>
    </row>
    <row r="45" spans="1:97" s="1460" customFormat="1" ht="45">
      <c r="A45" s="1473" t="s">
        <v>240</v>
      </c>
      <c r="B45" s="1474" t="s">
        <v>239</v>
      </c>
      <c r="C45" s="1469"/>
      <c r="D45" s="1477"/>
      <c r="E45" s="1477"/>
      <c r="F45" s="1477"/>
      <c r="G45" s="1469"/>
      <c r="H45" s="1477"/>
      <c r="I45" s="1477"/>
      <c r="J45" s="1477"/>
      <c r="K45" s="1469"/>
      <c r="L45" s="1477"/>
      <c r="M45" s="1477"/>
      <c r="N45" s="1477"/>
      <c r="O45" s="1477"/>
      <c r="P45" s="1477"/>
      <c r="Q45" s="1469"/>
      <c r="R45" s="1477"/>
      <c r="S45" s="1477"/>
      <c r="T45" s="1477"/>
      <c r="U45" s="1478"/>
      <c r="V45" s="1477"/>
      <c r="W45" s="1477"/>
      <c r="X45" s="1477"/>
      <c r="Y45" s="1469"/>
      <c r="Z45" s="1469">
        <f>AA45+AC45+AB45+AD45</f>
        <v>13636689.800000001</v>
      </c>
      <c r="AA45" s="1477">
        <f>'HP-HC2'!BI56</f>
        <v>13636689.800000001</v>
      </c>
      <c r="AB45" s="1477"/>
      <c r="AC45" s="1477"/>
      <c r="AD45" s="1477"/>
      <c r="AE45" s="1469"/>
      <c r="AF45" s="1477"/>
      <c r="AG45" s="1477"/>
      <c r="AH45" s="1477"/>
      <c r="AI45" s="1469">
        <f>1332707</f>
        <v>1332707</v>
      </c>
      <c r="AJ45" s="1469">
        <f>Отчет!J191+Отчет!J209</f>
        <v>5487832</v>
      </c>
      <c r="AK45" s="1469">
        <f>C45+G45+K45+Q45+U45+Y45+Z45+AE45+AI45+AJ45</f>
        <v>20457228.800000001</v>
      </c>
      <c r="AL45" s="1470"/>
      <c r="AM45" s="1471"/>
      <c r="AN45" s="1459"/>
      <c r="AO45" s="1459"/>
      <c r="AP45" s="1459"/>
      <c r="AQ45" s="1459"/>
      <c r="AR45" s="1459"/>
      <c r="AS45" s="1459"/>
      <c r="AT45" s="1459"/>
      <c r="AU45" s="1459"/>
      <c r="AV45" s="1459"/>
      <c r="AW45" s="1459"/>
      <c r="AX45" s="1459"/>
      <c r="AY45" s="1459"/>
      <c r="AZ45" s="1459"/>
      <c r="BA45" s="1459"/>
      <c r="BB45" s="1459"/>
      <c r="BC45" s="1459"/>
      <c r="BD45" s="1459"/>
      <c r="BE45" s="1459"/>
      <c r="BF45" s="1459"/>
      <c r="BG45" s="1459"/>
      <c r="BH45" s="1459"/>
      <c r="BI45" s="1459"/>
      <c r="BJ45" s="1459"/>
      <c r="BK45" s="1459"/>
      <c r="BL45" s="1459"/>
      <c r="BM45" s="1459"/>
      <c r="BN45" s="1459"/>
      <c r="BO45" s="1459"/>
      <c r="BP45" s="1459"/>
      <c r="BQ45" s="1459"/>
      <c r="BR45" s="1459"/>
      <c r="BS45" s="1459"/>
      <c r="BT45" s="1459"/>
      <c r="BU45" s="1459"/>
      <c r="BV45" s="1459"/>
      <c r="BW45" s="1459"/>
      <c r="BX45" s="1459"/>
      <c r="BY45" s="1459"/>
      <c r="BZ45" s="1459"/>
      <c r="CA45" s="1459"/>
      <c r="CB45" s="1459"/>
      <c r="CC45" s="1459"/>
      <c r="CD45" s="1459"/>
      <c r="CE45" s="1459"/>
      <c r="CF45" s="1459"/>
      <c r="CG45" s="1459"/>
      <c r="CH45" s="1459"/>
      <c r="CI45" s="1459"/>
      <c r="CJ45" s="1459"/>
      <c r="CK45" s="1459"/>
      <c r="CL45" s="1459"/>
      <c r="CM45" s="1459"/>
      <c r="CN45" s="1459"/>
      <c r="CO45" s="1459"/>
      <c r="CP45" s="1459"/>
      <c r="CQ45" s="1459"/>
      <c r="CR45" s="1459"/>
      <c r="CS45" s="1459"/>
    </row>
    <row r="46" spans="1:97" s="1460" customFormat="1" ht="33.75">
      <c r="A46" s="1473" t="s">
        <v>249</v>
      </c>
      <c r="B46" s="1474" t="s">
        <v>250</v>
      </c>
      <c r="C46" s="1469"/>
      <c r="D46" s="1477"/>
      <c r="E46" s="1477"/>
      <c r="F46" s="1477"/>
      <c r="G46" s="1469"/>
      <c r="H46" s="1477"/>
      <c r="I46" s="1477"/>
      <c r="J46" s="1477"/>
      <c r="K46" s="1469"/>
      <c r="L46" s="1477"/>
      <c r="M46" s="1477"/>
      <c r="N46" s="1477"/>
      <c r="O46" s="1477"/>
      <c r="P46" s="1477"/>
      <c r="Q46" s="1469"/>
      <c r="R46" s="1477"/>
      <c r="S46" s="1477"/>
      <c r="T46" s="1477"/>
      <c r="U46" s="1478"/>
      <c r="V46" s="1477"/>
      <c r="W46" s="1477"/>
      <c r="X46" s="1477"/>
      <c r="Y46" s="1469"/>
      <c r="Z46" s="1469">
        <f>AA46+AC46+AB46+AD46</f>
        <v>4554185</v>
      </c>
      <c r="AA46" s="1477"/>
      <c r="AB46" s="1477"/>
      <c r="AC46" s="1477">
        <f>'Афн премии'!U29</f>
        <v>4554185</v>
      </c>
      <c r="AD46" s="1477"/>
      <c r="AE46" s="1469"/>
      <c r="AF46" s="1477"/>
      <c r="AG46" s="1477"/>
      <c r="AH46" s="1477"/>
      <c r="AI46" s="1469"/>
      <c r="AJ46" s="1469"/>
      <c r="AK46" s="1469">
        <f>C46+G46+K46+Q46+U46+Y46+Z46+AE46+AI46+AJ46</f>
        <v>4554185</v>
      </c>
      <c r="AL46" s="1470"/>
      <c r="AM46" s="1471"/>
      <c r="AN46" s="1459"/>
      <c r="AO46" s="1459"/>
      <c r="AP46" s="1459"/>
      <c r="AQ46" s="1459"/>
      <c r="AR46" s="1459"/>
      <c r="AS46" s="1459"/>
      <c r="AT46" s="1459"/>
      <c r="AU46" s="1459"/>
      <c r="AV46" s="1459"/>
      <c r="AW46" s="1459"/>
      <c r="AX46" s="1459"/>
      <c r="AY46" s="1459"/>
      <c r="AZ46" s="1459"/>
      <c r="BA46" s="1459"/>
      <c r="BB46" s="1459"/>
      <c r="BC46" s="1459"/>
      <c r="BD46" s="1459"/>
      <c r="BE46" s="1459"/>
      <c r="BF46" s="1459"/>
      <c r="BG46" s="1459"/>
      <c r="BH46" s="1459"/>
      <c r="BI46" s="1459"/>
      <c r="BJ46" s="1459"/>
      <c r="BK46" s="1459"/>
      <c r="BL46" s="1459"/>
      <c r="BM46" s="1459"/>
      <c r="BN46" s="1459"/>
      <c r="BO46" s="1459"/>
      <c r="BP46" s="1459"/>
      <c r="BQ46" s="1459"/>
      <c r="BR46" s="1459"/>
      <c r="BS46" s="1459"/>
      <c r="BT46" s="1459"/>
      <c r="BU46" s="1459"/>
      <c r="BV46" s="1459"/>
      <c r="BW46" s="1459"/>
      <c r="BX46" s="1459"/>
      <c r="BY46" s="1459"/>
      <c r="BZ46" s="1459"/>
      <c r="CA46" s="1459"/>
      <c r="CB46" s="1459"/>
      <c r="CC46" s="1459"/>
      <c r="CD46" s="1459"/>
      <c r="CE46" s="1459"/>
      <c r="CF46" s="1459"/>
      <c r="CG46" s="1459"/>
      <c r="CH46" s="1459"/>
      <c r="CI46" s="1459"/>
      <c r="CJ46" s="1459"/>
      <c r="CK46" s="1459"/>
      <c r="CL46" s="1459"/>
      <c r="CM46" s="1459"/>
      <c r="CN46" s="1459"/>
      <c r="CO46" s="1459"/>
      <c r="CP46" s="1459"/>
      <c r="CQ46" s="1459"/>
      <c r="CR46" s="1459"/>
      <c r="CS46" s="1459"/>
    </row>
    <row r="47" spans="1:97" s="1460" customFormat="1" ht="22.5">
      <c r="A47" s="1489" t="s">
        <v>2776</v>
      </c>
      <c r="B47" s="1490" t="s">
        <v>2777</v>
      </c>
      <c r="C47" s="1469"/>
      <c r="D47" s="1469"/>
      <c r="E47" s="1469"/>
      <c r="F47" s="1469"/>
      <c r="G47" s="1469"/>
      <c r="H47" s="1469"/>
      <c r="I47" s="1469"/>
      <c r="J47" s="1469"/>
      <c r="K47" s="1469"/>
      <c r="L47" s="1469"/>
      <c r="M47" s="1469"/>
      <c r="N47" s="1469"/>
      <c r="O47" s="1469"/>
      <c r="P47" s="1469"/>
      <c r="Q47" s="1469"/>
      <c r="R47" s="1469"/>
      <c r="S47" s="1469"/>
      <c r="T47" s="1469"/>
      <c r="U47" s="1469"/>
      <c r="V47" s="1469"/>
      <c r="W47" s="1469"/>
      <c r="X47" s="1469"/>
      <c r="Y47" s="1469"/>
      <c r="Z47" s="1469"/>
      <c r="AA47" s="1469"/>
      <c r="AB47" s="1469"/>
      <c r="AC47" s="1469"/>
      <c r="AD47" s="1469"/>
      <c r="AE47" s="1469"/>
      <c r="AF47" s="1469"/>
      <c r="AG47" s="1469"/>
      <c r="AH47" s="1469"/>
      <c r="AI47" s="1469">
        <f>'[4]HP-HC2'!BX98</f>
        <v>2461264.4221000001</v>
      </c>
      <c r="AJ47" s="1469">
        <f>Отчет!J214+Отчет!J172+Отчет!J62</f>
        <v>156048.49999999997</v>
      </c>
      <c r="AK47" s="1469">
        <f>C47+G47+K47+Q47+U47+Y47+Z47+AE47+AI47+AJ47</f>
        <v>2617312.9221000001</v>
      </c>
      <c r="AL47" s="1470"/>
      <c r="AM47" s="1471"/>
      <c r="AN47" s="1459"/>
      <c r="AO47" s="1459"/>
      <c r="AP47" s="1459"/>
      <c r="AQ47" s="1459"/>
      <c r="AR47" s="1459"/>
      <c r="AS47" s="1459"/>
      <c r="AT47" s="1459"/>
      <c r="AU47" s="1459"/>
      <c r="AV47" s="1459"/>
      <c r="AW47" s="1459"/>
      <c r="AX47" s="1459"/>
      <c r="AY47" s="1459"/>
      <c r="AZ47" s="1459"/>
      <c r="BA47" s="1459"/>
      <c r="BB47" s="1459"/>
      <c r="BC47" s="1459"/>
      <c r="BD47" s="1459"/>
      <c r="BE47" s="1459"/>
      <c r="BF47" s="1459"/>
      <c r="BG47" s="1459"/>
      <c r="BH47" s="1459"/>
      <c r="BI47" s="1459"/>
      <c r="BJ47" s="1459"/>
      <c r="BK47" s="1459"/>
      <c r="BL47" s="1459"/>
      <c r="BM47" s="1459"/>
      <c r="BN47" s="1459"/>
      <c r="BO47" s="1459"/>
      <c r="BP47" s="1459"/>
      <c r="BQ47" s="1459"/>
      <c r="BR47" s="1459"/>
      <c r="BS47" s="1459"/>
      <c r="BT47" s="1459"/>
      <c r="BU47" s="1459"/>
      <c r="BV47" s="1459"/>
      <c r="BW47" s="1459"/>
      <c r="BX47" s="1459"/>
      <c r="BY47" s="1459"/>
      <c r="BZ47" s="1459"/>
      <c r="CA47" s="1459"/>
      <c r="CB47" s="1459"/>
      <c r="CC47" s="1459"/>
      <c r="CD47" s="1459"/>
      <c r="CE47" s="1459"/>
      <c r="CF47" s="1459"/>
      <c r="CG47" s="1459"/>
      <c r="CH47" s="1459"/>
      <c r="CI47" s="1459"/>
      <c r="CJ47" s="1459"/>
      <c r="CK47" s="1459"/>
      <c r="CL47" s="1459"/>
      <c r="CM47" s="1459"/>
      <c r="CN47" s="1459"/>
      <c r="CO47" s="1459"/>
      <c r="CP47" s="1459"/>
      <c r="CQ47" s="1459"/>
      <c r="CR47" s="1459"/>
      <c r="CS47" s="1459"/>
    </row>
    <row r="48" spans="1:97" s="1460" customFormat="1" ht="38.1" customHeight="1">
      <c r="A48" s="1675" t="s">
        <v>1211</v>
      </c>
      <c r="B48" s="1676"/>
      <c r="C48" s="1469">
        <f t="shared" ref="C48:AC48" si="3">C4+C5+C22+C27+C31+C37+C44+C47</f>
        <v>380910207.78210491</v>
      </c>
      <c r="D48" s="1469">
        <f>D4+D5+D22+D27+D31+D37+D44+D47</f>
        <v>213964255.63738582</v>
      </c>
      <c r="E48" s="1469">
        <f t="shared" si="3"/>
        <v>33485373.706259012</v>
      </c>
      <c r="F48" s="1469">
        <f t="shared" si="3"/>
        <v>133460578.43846005</v>
      </c>
      <c r="G48" s="1469">
        <f t="shared" si="3"/>
        <v>4122580.442981285</v>
      </c>
      <c r="H48" s="1469">
        <f t="shared" si="3"/>
        <v>0</v>
      </c>
      <c r="I48" s="1469"/>
      <c r="J48" s="1469">
        <f t="shared" si="3"/>
        <v>4122580.442981285</v>
      </c>
      <c r="K48" s="1469">
        <f t="shared" si="3"/>
        <v>226391095.63565022</v>
      </c>
      <c r="L48" s="1469">
        <f>L4+L5+L22+L27+L31+L37+L44+L47</f>
        <v>163675646.42965597</v>
      </c>
      <c r="M48" s="1469">
        <f t="shared" si="3"/>
        <v>2022121</v>
      </c>
      <c r="N48" s="1469">
        <f t="shared" si="3"/>
        <v>55472740.230788425</v>
      </c>
      <c r="O48" s="1469">
        <f t="shared" si="3"/>
        <v>5220675.9752058452</v>
      </c>
      <c r="P48" s="1469"/>
      <c r="Q48" s="1469">
        <f t="shared" si="3"/>
        <v>84814732.103299603</v>
      </c>
      <c r="R48" s="1469">
        <f t="shared" si="3"/>
        <v>36364385.493299603</v>
      </c>
      <c r="S48" s="1469"/>
      <c r="T48" s="1469">
        <f t="shared" si="3"/>
        <v>32179038.609999999</v>
      </c>
      <c r="U48" s="1469">
        <f t="shared" si="3"/>
        <v>187912894</v>
      </c>
      <c r="V48" s="1469">
        <f t="shared" si="3"/>
        <v>118698700</v>
      </c>
      <c r="W48" s="1469">
        <f t="shared" si="3"/>
        <v>69214194</v>
      </c>
      <c r="X48" s="1469">
        <f t="shared" si="3"/>
        <v>0</v>
      </c>
      <c r="Y48" s="1469">
        <f t="shared" si="3"/>
        <v>24460920.300000001</v>
      </c>
      <c r="Z48" s="1469">
        <f t="shared" si="3"/>
        <v>18190874.800000001</v>
      </c>
      <c r="AA48" s="1469">
        <f t="shared" si="3"/>
        <v>13636689.800000001</v>
      </c>
      <c r="AB48" s="1469"/>
      <c r="AC48" s="1469">
        <f t="shared" si="3"/>
        <v>4554185</v>
      </c>
      <c r="AD48" s="1469"/>
      <c r="AE48" s="1469">
        <f>AG48+AH48+AF48</f>
        <v>2377735.7866617059</v>
      </c>
      <c r="AF48" s="1469"/>
      <c r="AG48" s="1469">
        <f>AG4+AG5+AG22+AG27+AG31+AG37+AG44+AG47</f>
        <v>2377735.7866617059</v>
      </c>
      <c r="AH48" s="1469"/>
      <c r="AI48" s="1469">
        <f>AI4+AI5+AI22+AI27+AI31+AI37+AI44+AI47</f>
        <v>2483395.4221000001</v>
      </c>
      <c r="AJ48" s="1469">
        <f>AJ4+AJ5+AJ22+AJ27+AJ31+AJ37+AJ44+AJ47</f>
        <v>5643880.5</v>
      </c>
      <c r="AK48" s="1469">
        <f>AK4+AK5+AK22+AK27+AK31+AK37+AK44+AK47</f>
        <v>938641111.7727977</v>
      </c>
      <c r="AL48" s="1470"/>
      <c r="AM48" s="1471"/>
      <c r="AN48" s="1459"/>
      <c r="AO48" s="1459"/>
      <c r="AP48" s="1459"/>
      <c r="AQ48" s="1459"/>
      <c r="AR48" s="1459"/>
      <c r="AS48" s="1459"/>
      <c r="AT48" s="1459"/>
      <c r="AU48" s="1459"/>
      <c r="AV48" s="1459"/>
      <c r="AW48" s="1459"/>
      <c r="AX48" s="1459"/>
      <c r="AY48" s="1459"/>
      <c r="AZ48" s="1459"/>
      <c r="BA48" s="1459"/>
      <c r="BB48" s="1459"/>
      <c r="BC48" s="1459"/>
      <c r="BD48" s="1459"/>
      <c r="BE48" s="1459"/>
      <c r="BF48" s="1459"/>
      <c r="BG48" s="1459"/>
      <c r="BH48" s="1459"/>
      <c r="BI48" s="1459"/>
      <c r="BJ48" s="1459"/>
      <c r="BK48" s="1459"/>
      <c r="BL48" s="1459"/>
      <c r="BM48" s="1459"/>
      <c r="BN48" s="1459"/>
      <c r="BO48" s="1459"/>
      <c r="BP48" s="1459"/>
      <c r="BQ48" s="1459"/>
      <c r="BR48" s="1459"/>
      <c r="BS48" s="1459"/>
      <c r="BT48" s="1459"/>
      <c r="BU48" s="1459"/>
      <c r="BV48" s="1459"/>
      <c r="BW48" s="1459"/>
      <c r="BX48" s="1459"/>
      <c r="BY48" s="1459"/>
      <c r="BZ48" s="1459"/>
      <c r="CA48" s="1459"/>
      <c r="CB48" s="1459"/>
      <c r="CC48" s="1459"/>
      <c r="CD48" s="1459"/>
      <c r="CE48" s="1459"/>
      <c r="CF48" s="1459"/>
      <c r="CG48" s="1459"/>
      <c r="CH48" s="1459"/>
      <c r="CI48" s="1459"/>
      <c r="CJ48" s="1459"/>
      <c r="CK48" s="1459"/>
      <c r="CL48" s="1459"/>
      <c r="CM48" s="1459"/>
      <c r="CN48" s="1459"/>
      <c r="CO48" s="1459"/>
      <c r="CP48" s="1459"/>
      <c r="CQ48" s="1459"/>
      <c r="CR48" s="1459"/>
      <c r="CS48" s="1459"/>
    </row>
    <row r="49" spans="1:97">
      <c r="A49" s="1491"/>
      <c r="B49" s="1491"/>
      <c r="C49" s="1492"/>
      <c r="D49" s="1492"/>
      <c r="E49" s="1492"/>
      <c r="F49" s="1492"/>
      <c r="G49" s="1493"/>
      <c r="J49" s="1492"/>
      <c r="K49" s="1493"/>
      <c r="L49" s="1492"/>
      <c r="M49" s="1492"/>
      <c r="N49" s="1492"/>
      <c r="O49" s="1492"/>
      <c r="P49" s="1492"/>
      <c r="Q49" s="1493"/>
      <c r="R49" s="1492"/>
      <c r="S49" s="1492"/>
      <c r="T49" s="1492"/>
      <c r="U49" s="1493"/>
      <c r="V49" s="1492"/>
      <c r="W49" s="1492"/>
      <c r="X49" s="1492"/>
      <c r="Y49" s="1493"/>
      <c r="Z49" s="1493"/>
      <c r="AA49" s="1492"/>
      <c r="AB49" s="1492"/>
      <c r="AC49" s="1492"/>
      <c r="AD49" s="1492"/>
      <c r="AE49" s="1493"/>
      <c r="AF49" s="1492"/>
      <c r="AG49" s="1492"/>
      <c r="AH49" s="1492"/>
      <c r="AI49" s="1493"/>
      <c r="AJ49" s="1493"/>
      <c r="AK49" s="1493"/>
      <c r="AL49" s="1495"/>
      <c r="AM49" s="1496"/>
      <c r="AN49" s="1491"/>
      <c r="AO49" s="1491"/>
      <c r="AP49" s="1491"/>
      <c r="AQ49" s="1491"/>
      <c r="AR49" s="1491"/>
      <c r="AS49" s="1491"/>
      <c r="AT49" s="1491"/>
      <c r="AU49" s="1491"/>
      <c r="AV49" s="1491"/>
      <c r="AW49" s="1491"/>
      <c r="AX49" s="1491"/>
      <c r="AY49" s="1491"/>
      <c r="AZ49" s="1491"/>
      <c r="BA49" s="1491"/>
      <c r="BB49" s="1491"/>
      <c r="BC49" s="1491"/>
      <c r="BD49" s="1491"/>
      <c r="BE49" s="1491"/>
      <c r="BF49" s="1491"/>
      <c r="BG49" s="1491"/>
      <c r="BH49" s="1491"/>
      <c r="BI49" s="1491"/>
      <c r="BJ49" s="1491"/>
      <c r="BK49" s="1491"/>
      <c r="BL49" s="1491"/>
      <c r="BM49" s="1491"/>
      <c r="BN49" s="1491"/>
      <c r="BO49" s="1491"/>
      <c r="BP49" s="1491"/>
      <c r="BQ49" s="1491"/>
      <c r="BR49" s="1491"/>
      <c r="BS49" s="1491"/>
      <c r="BT49" s="1491"/>
      <c r="BU49" s="1491"/>
      <c r="BV49" s="1491"/>
      <c r="BW49" s="1491"/>
      <c r="BX49" s="1491"/>
      <c r="BY49" s="1491"/>
      <c r="BZ49" s="1491"/>
      <c r="CA49" s="1491"/>
      <c r="CB49" s="1491"/>
      <c r="CC49" s="1491"/>
      <c r="CD49" s="1491"/>
      <c r="CE49" s="1491"/>
      <c r="CF49" s="1491"/>
      <c r="CG49" s="1491"/>
      <c r="CH49" s="1491"/>
      <c r="CI49" s="1491"/>
      <c r="CJ49" s="1491"/>
      <c r="CK49" s="1491"/>
      <c r="CL49" s="1491"/>
      <c r="CM49" s="1491"/>
      <c r="CN49" s="1491"/>
      <c r="CO49" s="1491"/>
      <c r="CP49" s="1491"/>
      <c r="CQ49" s="1491"/>
      <c r="CR49" s="1491"/>
      <c r="CS49" s="1491"/>
    </row>
    <row r="50" spans="1:97">
      <c r="A50" s="1491"/>
      <c r="B50" s="1491"/>
      <c r="C50" s="1492"/>
      <c r="D50" s="1492"/>
      <c r="E50" s="1492"/>
      <c r="F50" s="1492"/>
      <c r="G50" s="1493"/>
      <c r="H50" s="1492"/>
      <c r="I50" s="1492"/>
      <c r="J50" s="1492"/>
      <c r="K50" s="1493"/>
      <c r="L50" s="1492"/>
      <c r="M50" s="1492"/>
      <c r="N50" s="1492"/>
      <c r="O50" s="1492"/>
      <c r="P50" s="1492"/>
      <c r="Q50" s="1493"/>
      <c r="R50" s="1492"/>
      <c r="S50" s="1492"/>
      <c r="T50" s="1492"/>
      <c r="U50" s="1493"/>
      <c r="V50" s="1492"/>
      <c r="W50" s="1492"/>
      <c r="X50" s="1492"/>
      <c r="Y50" s="1493"/>
      <c r="Z50" s="1493"/>
      <c r="AA50" s="1492"/>
      <c r="AB50" s="1492"/>
      <c r="AC50" s="1492"/>
      <c r="AD50" s="1492"/>
      <c r="AE50" s="1493"/>
      <c r="AF50" s="1492"/>
      <c r="AG50" s="1492"/>
      <c r="AH50" s="1492"/>
      <c r="AI50" s="1493"/>
      <c r="AJ50" s="1493"/>
      <c r="AK50" s="1493"/>
      <c r="AL50" s="1495"/>
      <c r="AM50" s="1496"/>
      <c r="AN50" s="1491"/>
      <c r="AO50" s="1491"/>
      <c r="AP50" s="1491"/>
      <c r="AQ50" s="1491"/>
      <c r="AR50" s="1491"/>
      <c r="AS50" s="1491"/>
      <c r="AT50" s="1491"/>
      <c r="AU50" s="1491"/>
      <c r="AV50" s="1491"/>
      <c r="AW50" s="1491"/>
      <c r="AX50" s="1491"/>
      <c r="AY50" s="1491"/>
      <c r="AZ50" s="1491"/>
      <c r="BA50" s="1491"/>
      <c r="BB50" s="1491"/>
      <c r="BC50" s="1491"/>
      <c r="BD50" s="1491"/>
      <c r="BE50" s="1491"/>
      <c r="BF50" s="1491"/>
      <c r="BG50" s="1491"/>
      <c r="BH50" s="1491"/>
      <c r="BI50" s="1491"/>
      <c r="BJ50" s="1491"/>
      <c r="BK50" s="1491"/>
      <c r="BL50" s="1491"/>
      <c r="BM50" s="1491"/>
      <c r="BN50" s="1491"/>
      <c r="BO50" s="1491"/>
      <c r="BP50" s="1491"/>
      <c r="BQ50" s="1491"/>
      <c r="BR50" s="1491"/>
      <c r="BS50" s="1491"/>
      <c r="BT50" s="1491"/>
      <c r="BU50" s="1491"/>
      <c r="BV50" s="1491"/>
      <c r="BW50" s="1491"/>
      <c r="BX50" s="1491"/>
      <c r="BY50" s="1491"/>
      <c r="BZ50" s="1491"/>
      <c r="CA50" s="1491"/>
      <c r="CB50" s="1491"/>
      <c r="CC50" s="1491"/>
      <c r="CD50" s="1491"/>
      <c r="CE50" s="1491"/>
      <c r="CF50" s="1491"/>
      <c r="CG50" s="1491"/>
      <c r="CH50" s="1491"/>
      <c r="CI50" s="1491"/>
      <c r="CJ50" s="1491"/>
      <c r="CK50" s="1491"/>
      <c r="CL50" s="1491"/>
      <c r="CM50" s="1491"/>
      <c r="CN50" s="1491"/>
      <c r="CO50" s="1491"/>
      <c r="CP50" s="1491"/>
      <c r="CQ50" s="1491"/>
      <c r="CR50" s="1491"/>
      <c r="CS50" s="1491"/>
    </row>
    <row r="52" spans="1:97">
      <c r="A52" s="1491"/>
      <c r="B52" s="1491"/>
      <c r="K52" s="1493"/>
      <c r="AK52" s="1493"/>
      <c r="AN52" s="1491"/>
      <c r="AO52" s="1491"/>
      <c r="AP52" s="1491"/>
      <c r="AQ52" s="1491"/>
      <c r="AR52" s="1491"/>
      <c r="AS52" s="1491"/>
      <c r="AT52" s="1491"/>
      <c r="AU52" s="1491"/>
      <c r="AV52" s="1491"/>
      <c r="AW52" s="1491"/>
      <c r="AX52" s="1491"/>
      <c r="AY52" s="1491"/>
      <c r="AZ52" s="1491"/>
      <c r="BA52" s="1491"/>
      <c r="BB52" s="1491"/>
      <c r="BC52" s="1491"/>
      <c r="BD52" s="1491"/>
      <c r="BE52" s="1491"/>
      <c r="BF52" s="1491"/>
      <c r="BG52" s="1491"/>
      <c r="BH52" s="1491"/>
      <c r="BI52" s="1491"/>
      <c r="BJ52" s="1491"/>
      <c r="BK52" s="1491"/>
      <c r="BL52" s="1491"/>
      <c r="BM52" s="1491"/>
      <c r="BN52" s="1491"/>
      <c r="BO52" s="1491"/>
      <c r="BP52" s="1491"/>
      <c r="BQ52" s="1491"/>
      <c r="BR52" s="1491"/>
      <c r="BS52" s="1491"/>
      <c r="BT52" s="1491"/>
      <c r="BU52" s="1491"/>
      <c r="BV52" s="1491"/>
      <c r="BW52" s="1491"/>
      <c r="BX52" s="1491"/>
      <c r="BY52" s="1491"/>
      <c r="BZ52" s="1491"/>
      <c r="CA52" s="1491"/>
      <c r="CB52" s="1491"/>
      <c r="CC52" s="1491"/>
      <c r="CD52" s="1491"/>
      <c r="CE52" s="1491"/>
      <c r="CF52" s="1491"/>
      <c r="CG52" s="1491"/>
      <c r="CH52" s="1491"/>
      <c r="CI52" s="1491"/>
      <c r="CJ52" s="1491"/>
      <c r="CK52" s="1491"/>
      <c r="CL52" s="1491"/>
      <c r="CM52" s="1491"/>
      <c r="CN52" s="1491"/>
      <c r="CO52" s="1491"/>
      <c r="CP52" s="1491"/>
      <c r="CQ52" s="1491"/>
      <c r="CR52" s="1491"/>
      <c r="CS52" s="1491"/>
    </row>
    <row r="53" spans="1:97">
      <c r="A53" s="1491"/>
      <c r="B53" s="1491"/>
      <c r="K53" s="1493"/>
      <c r="AN53" s="1491"/>
      <c r="AO53" s="1491"/>
      <c r="AP53" s="1491"/>
      <c r="AQ53" s="1491"/>
      <c r="AR53" s="1491"/>
      <c r="AS53" s="1491"/>
      <c r="AT53" s="1491"/>
      <c r="AU53" s="1491"/>
      <c r="AV53" s="1491"/>
      <c r="AW53" s="1491"/>
      <c r="AX53" s="1491"/>
      <c r="AY53" s="1491"/>
      <c r="AZ53" s="1491"/>
      <c r="BA53" s="1491"/>
      <c r="BB53" s="1491"/>
      <c r="BC53" s="1491"/>
      <c r="BD53" s="1491"/>
      <c r="BE53" s="1491"/>
      <c r="BF53" s="1491"/>
      <c r="BG53" s="1491"/>
      <c r="BH53" s="1491"/>
      <c r="BI53" s="1491"/>
      <c r="BJ53" s="1491"/>
      <c r="BK53" s="1491"/>
      <c r="BL53" s="1491"/>
      <c r="BM53" s="1491"/>
      <c r="BN53" s="1491"/>
      <c r="BO53" s="1491"/>
      <c r="BP53" s="1491"/>
      <c r="BQ53" s="1491"/>
      <c r="BR53" s="1491"/>
      <c r="BS53" s="1491"/>
      <c r="BT53" s="1491"/>
      <c r="BU53" s="1491"/>
      <c r="BV53" s="1491"/>
      <c r="BW53" s="1491"/>
      <c r="BX53" s="1491"/>
      <c r="BY53" s="1491"/>
      <c r="BZ53" s="1491"/>
      <c r="CA53" s="1491"/>
      <c r="CB53" s="1491"/>
      <c r="CC53" s="1491"/>
      <c r="CD53" s="1491"/>
      <c r="CE53" s="1491"/>
      <c r="CF53" s="1491"/>
      <c r="CG53" s="1491"/>
      <c r="CH53" s="1491"/>
      <c r="CI53" s="1491"/>
      <c r="CJ53" s="1491"/>
      <c r="CK53" s="1491"/>
      <c r="CL53" s="1491"/>
      <c r="CM53" s="1491"/>
      <c r="CN53" s="1491"/>
      <c r="CO53" s="1491"/>
      <c r="CP53" s="1491"/>
      <c r="CQ53" s="1491"/>
      <c r="CR53" s="1491"/>
      <c r="CS53" s="1491"/>
    </row>
  </sheetData>
  <sheetProtection selectLockedCells="1" selectUnlockedCells="1"/>
  <mergeCells count="2">
    <mergeCell ref="AK1:AK2"/>
    <mergeCell ref="A48:B48"/>
  </mergeCells>
  <printOptions horizontalCentered="1"/>
  <pageMargins left="0.11811023622047245" right="0.11811023622047245" top="1.1417322834645669" bottom="0.15748031496062992" header="0.11811023622047245" footer="0.11811023622047245"/>
  <pageSetup paperSize="9" scale="25" firstPageNumber="116" orientation="landscape" useFirstPageNumber="1" r:id="rId1"/>
  <headerFooter scaleWithDoc="0">
    <oddHeader>&amp;R
Приложение 1.</oddHeader>
    <oddFooter>&amp;C&amp;P</oddFooter>
  </headerFooter>
  <colBreaks count="1" manualBreakCount="1">
    <brk id="23" max="5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4">
    <tabColor rgb="FF92D050"/>
  </sheetPr>
  <dimension ref="A1:EG397"/>
  <sheetViews>
    <sheetView zoomScale="70" zoomScaleNormal="70" zoomScaleSheetLayoutView="55" workbookViewId="0">
      <pane xSplit="2" ySplit="2" topLeftCell="AW3" activePane="bottomRight" state="frozen"/>
      <selection activeCell="AF3" sqref="AF3"/>
      <selection pane="topRight" activeCell="AF3" sqref="AF3"/>
      <selection pane="bottomLeft" activeCell="AF3" sqref="AF3"/>
      <selection pane="bottomRight" activeCell="AX14" sqref="AX14"/>
    </sheetView>
  </sheetViews>
  <sheetFormatPr defaultRowHeight="19.5"/>
  <cols>
    <col min="1" max="1" width="22" style="838" bestFit="1" customWidth="1"/>
    <col min="2" max="2" width="36.7109375" style="838" customWidth="1"/>
    <col min="3" max="3" width="25.140625" style="824" customWidth="1"/>
    <col min="4" max="4" width="19.7109375" style="1415" bestFit="1" customWidth="1"/>
    <col min="5" max="5" width="30.42578125" style="806" customWidth="1"/>
    <col min="6" max="6" width="23.28515625" style="806" customWidth="1"/>
    <col min="7" max="7" width="18.42578125" style="806" customWidth="1"/>
    <col min="8" max="8" width="19.7109375" style="1415" bestFit="1" customWidth="1"/>
    <col min="9" max="9" width="22.85546875" style="806" customWidth="1"/>
    <col min="10" max="10" width="20.85546875" style="806" customWidth="1"/>
    <col min="11" max="11" width="19.7109375" style="1415" bestFit="1" customWidth="1"/>
    <col min="12" max="12" width="18.28515625" style="806" bestFit="1" customWidth="1"/>
    <col min="13" max="13" width="14.140625" style="806" bestFit="1" customWidth="1"/>
    <col min="14" max="14" width="19.7109375" style="806" bestFit="1" customWidth="1"/>
    <col min="15" max="15" width="17.140625" style="806" customWidth="1"/>
    <col min="16" max="16" width="16.42578125" style="806" bestFit="1" customWidth="1"/>
    <col min="17" max="17" width="17.140625" style="806" customWidth="1"/>
    <col min="18" max="19" width="18.28515625" style="806" bestFit="1" customWidth="1"/>
    <col min="20" max="20" width="16.42578125" style="806" bestFit="1" customWidth="1"/>
    <col min="21" max="21" width="18.42578125" style="824" customWidth="1"/>
    <col min="22" max="22" width="18.28515625" style="805" bestFit="1" customWidth="1"/>
    <col min="23" max="23" width="18.85546875" style="806" customWidth="1"/>
    <col min="24" max="24" width="17" style="1403" customWidth="1"/>
    <col min="25" max="27" width="9.28515625" style="805" customWidth="1"/>
    <col min="28" max="28" width="16.42578125" style="805" customWidth="1"/>
    <col min="29" max="29" width="20.85546875" style="824" customWidth="1"/>
    <col min="30" max="30" width="17.85546875" style="805" customWidth="1"/>
    <col min="31" max="31" width="17.5703125" style="805" customWidth="1"/>
    <col min="32" max="32" width="21" style="1403" customWidth="1"/>
    <col min="33" max="33" width="17.85546875" style="1415" bestFit="1" customWidth="1"/>
    <col min="34" max="34" width="9.85546875" style="806" customWidth="1"/>
    <col min="35" max="35" width="9.28515625" style="806" customWidth="1"/>
    <col min="36" max="36" width="10.28515625" style="806" customWidth="1"/>
    <col min="37" max="37" width="18.5703125" style="1415" customWidth="1"/>
    <col min="38" max="38" width="18.28515625" style="1415" bestFit="1" customWidth="1"/>
    <col min="39" max="39" width="14.140625" style="1415" customWidth="1"/>
    <col min="40" max="40" width="11" style="806" customWidth="1"/>
    <col min="41" max="41" width="11.42578125" style="832" customWidth="1"/>
    <col min="42" max="42" width="13.5703125" style="805" customWidth="1"/>
    <col min="43" max="43" width="16.42578125" style="806" bestFit="1" customWidth="1"/>
    <col min="44" max="44" width="14" style="806" bestFit="1" customWidth="1"/>
    <col min="45" max="45" width="19.42578125" style="806" customWidth="1"/>
    <col min="46" max="46" width="14.85546875" style="806" customWidth="1"/>
    <col min="47" max="47" width="15.85546875" style="824" bestFit="1" customWidth="1"/>
    <col min="48" max="48" width="14.85546875" style="1415" customWidth="1"/>
    <col min="49" max="49" width="15" style="1403" bestFit="1" customWidth="1"/>
    <col min="50" max="50" width="20.85546875" style="805" customWidth="1"/>
    <col min="51" max="51" width="11.85546875" style="806" customWidth="1"/>
    <col min="52" max="52" width="19.85546875" style="806" customWidth="1"/>
    <col min="53" max="53" width="18.28515625" style="805" bestFit="1" customWidth="1"/>
    <col min="54" max="54" width="20.28515625" style="805" customWidth="1"/>
    <col min="55" max="55" width="9.28515625" style="806" customWidth="1"/>
    <col min="56" max="56" width="12.5703125" style="805" customWidth="1"/>
    <col min="57" max="57" width="19.28515625" style="824" customWidth="1"/>
    <col min="58" max="58" width="18.28515625" style="824" bestFit="1" customWidth="1"/>
    <col min="59" max="59" width="18.28515625" style="805" bestFit="1" customWidth="1"/>
    <col min="60" max="60" width="19.7109375" style="806" bestFit="1" customWidth="1"/>
    <col min="61" max="61" width="18.28515625" style="806" bestFit="1" customWidth="1"/>
    <col min="62" max="62" width="22.7109375" style="805" customWidth="1"/>
    <col min="63" max="63" width="19.42578125" style="805" customWidth="1"/>
    <col min="64" max="64" width="11.140625" style="805" customWidth="1"/>
    <col min="65" max="65" width="20.85546875" style="806" customWidth="1"/>
    <col min="66" max="66" width="19.42578125" style="806" customWidth="1"/>
    <col min="67" max="67" width="12.5703125" style="824" customWidth="1"/>
    <col min="68" max="68" width="9.28515625" style="805" customWidth="1"/>
    <col min="69" max="69" width="9.42578125" style="805" bestFit="1" customWidth="1"/>
    <col min="70" max="70" width="12.7109375" style="805" bestFit="1" customWidth="1"/>
    <col min="71" max="71" width="9.42578125" style="806" bestFit="1" customWidth="1"/>
    <col min="72" max="72" width="13.7109375" style="824" bestFit="1" customWidth="1"/>
    <col min="73" max="73" width="24.85546875" style="805" customWidth="1"/>
    <col min="74" max="74" width="21.42578125" style="805" customWidth="1"/>
    <col min="75" max="75" width="17.7109375" style="806" customWidth="1"/>
    <col min="76" max="76" width="21" style="805" bestFit="1" customWidth="1"/>
    <col min="77" max="77" width="16" style="806" customWidth="1"/>
    <col min="78" max="78" width="16.42578125" style="806" bestFit="1" customWidth="1"/>
    <col min="79" max="79" width="22.7109375" style="1146" customWidth="1"/>
    <col min="80" max="80" width="19.5703125" style="1153" customWidth="1"/>
    <col min="81" max="81" width="18" style="1134" customWidth="1"/>
    <col min="82" max="82" width="19" style="1134" customWidth="1"/>
    <col min="83" max="83" width="9.140625" style="1134" customWidth="1"/>
    <col min="84" max="129" width="9.140625" style="1134"/>
    <col min="130" max="130" width="9.140625" style="1147"/>
    <col min="131" max="137" width="9.140625" style="834"/>
    <col min="138" max="16384" width="9.140625" style="838"/>
  </cols>
  <sheetData>
    <row r="1" spans="1:137" s="834" customFormat="1" ht="47.25">
      <c r="A1" s="1677"/>
      <c r="B1" s="1677"/>
      <c r="C1" s="925" t="s">
        <v>334</v>
      </c>
      <c r="D1" s="1404" t="s">
        <v>337</v>
      </c>
      <c r="E1" s="923" t="s">
        <v>340</v>
      </c>
      <c r="F1" s="923" t="s">
        <v>342</v>
      </c>
      <c r="G1" s="923" t="s">
        <v>344</v>
      </c>
      <c r="H1" s="1404" t="s">
        <v>346</v>
      </c>
      <c r="I1" s="923" t="s">
        <v>349</v>
      </c>
      <c r="J1" s="923" t="s">
        <v>351</v>
      </c>
      <c r="K1" s="1404" t="s">
        <v>353</v>
      </c>
      <c r="L1" s="837" t="s">
        <v>355</v>
      </c>
      <c r="M1" s="837" t="s">
        <v>357</v>
      </c>
      <c r="N1" s="837" t="s">
        <v>359</v>
      </c>
      <c r="O1" s="837" t="s">
        <v>361</v>
      </c>
      <c r="P1" s="837" t="s">
        <v>363</v>
      </c>
      <c r="Q1" s="837" t="s">
        <v>365</v>
      </c>
      <c r="R1" s="837" t="s">
        <v>367</v>
      </c>
      <c r="S1" s="837" t="s">
        <v>369</v>
      </c>
      <c r="T1" s="837" t="s">
        <v>371</v>
      </c>
      <c r="U1" s="837" t="s">
        <v>373</v>
      </c>
      <c r="V1" s="837" t="s">
        <v>375</v>
      </c>
      <c r="W1" s="837" t="s">
        <v>377</v>
      </c>
      <c r="X1" s="1393" t="s">
        <v>379</v>
      </c>
      <c r="Y1" s="926" t="s">
        <v>383</v>
      </c>
      <c r="Z1" s="924" t="s">
        <v>387</v>
      </c>
      <c r="AA1" s="924" t="s">
        <v>389</v>
      </c>
      <c r="AB1" s="926" t="s">
        <v>391</v>
      </c>
      <c r="AC1" s="924" t="s">
        <v>394</v>
      </c>
      <c r="AD1" s="926" t="s">
        <v>396</v>
      </c>
      <c r="AE1" s="923" t="s">
        <v>400</v>
      </c>
      <c r="AF1" s="1393" t="s">
        <v>402</v>
      </c>
      <c r="AG1" s="1404" t="s">
        <v>404</v>
      </c>
      <c r="AH1" s="983" t="s">
        <v>406</v>
      </c>
      <c r="AI1" s="983" t="s">
        <v>409</v>
      </c>
      <c r="AJ1" s="983" t="s">
        <v>412</v>
      </c>
      <c r="AK1" s="1404" t="s">
        <v>415</v>
      </c>
      <c r="AL1" s="1404" t="s">
        <v>418</v>
      </c>
      <c r="AM1" s="1404" t="s">
        <v>421</v>
      </c>
      <c r="AN1" s="983" t="s">
        <v>423</v>
      </c>
      <c r="AO1" s="983" t="s">
        <v>425</v>
      </c>
      <c r="AP1" s="983" t="s">
        <v>428</v>
      </c>
      <c r="AQ1" s="983" t="s">
        <v>431</v>
      </c>
      <c r="AR1" s="1022" t="s">
        <v>434</v>
      </c>
      <c r="AS1" s="1022" t="s">
        <v>436</v>
      </c>
      <c r="AT1" s="983" t="s">
        <v>438</v>
      </c>
      <c r="AU1" s="983" t="s">
        <v>441</v>
      </c>
      <c r="AV1" s="1404" t="s">
        <v>443</v>
      </c>
      <c r="AW1" s="1393" t="s">
        <v>446</v>
      </c>
      <c r="AX1" s="926" t="s">
        <v>449</v>
      </c>
      <c r="AY1" s="926" t="s">
        <v>452</v>
      </c>
      <c r="AZ1" s="926" t="s">
        <v>455</v>
      </c>
      <c r="BA1" s="925" t="s">
        <v>458</v>
      </c>
      <c r="BB1" s="926" t="s">
        <v>460</v>
      </c>
      <c r="BC1" s="926" t="s">
        <v>464</v>
      </c>
      <c r="BD1" s="923" t="s">
        <v>469</v>
      </c>
      <c r="BE1" s="923" t="s">
        <v>472</v>
      </c>
      <c r="BF1" s="926" t="s">
        <v>475</v>
      </c>
      <c r="BG1" s="925" t="s">
        <v>480</v>
      </c>
      <c r="BH1" s="925" t="s">
        <v>483</v>
      </c>
      <c r="BI1" s="926" t="s">
        <v>488</v>
      </c>
      <c r="BJ1" s="928" t="s">
        <v>493</v>
      </c>
      <c r="BK1" s="928" t="s">
        <v>496</v>
      </c>
      <c r="BL1" s="926" t="s">
        <v>498</v>
      </c>
      <c r="BM1" s="926" t="s">
        <v>502</v>
      </c>
      <c r="BN1" s="926" t="s">
        <v>507</v>
      </c>
      <c r="BO1" s="929" t="s">
        <v>512</v>
      </c>
      <c r="BP1" s="929" t="s">
        <v>514</v>
      </c>
      <c r="BQ1" s="925" t="s">
        <v>516</v>
      </c>
      <c r="BR1" s="926" t="s">
        <v>519</v>
      </c>
      <c r="BS1" s="926" t="s">
        <v>524</v>
      </c>
      <c r="BT1" s="926" t="s">
        <v>527</v>
      </c>
      <c r="BU1" s="926" t="s">
        <v>532</v>
      </c>
      <c r="BV1" s="926" t="s">
        <v>535</v>
      </c>
      <c r="BW1" s="925" t="s">
        <v>568</v>
      </c>
      <c r="BX1" s="1023" t="s">
        <v>570</v>
      </c>
      <c r="BY1" s="1023" t="s">
        <v>573</v>
      </c>
      <c r="BZ1" s="1023" t="s">
        <v>576</v>
      </c>
      <c r="CA1" s="1140"/>
      <c r="CB1" s="1153"/>
      <c r="CC1" s="1134"/>
      <c r="CD1" s="1134"/>
      <c r="CE1" s="1134"/>
      <c r="CF1" s="1134"/>
      <c r="CG1" s="1134"/>
      <c r="CH1" s="1134"/>
      <c r="CI1" s="1134"/>
      <c r="CJ1" s="1134"/>
      <c r="CK1" s="1134"/>
      <c r="CL1" s="1134"/>
      <c r="CM1" s="1134"/>
      <c r="CN1" s="1134"/>
      <c r="CO1" s="1134"/>
      <c r="CP1" s="1134"/>
      <c r="CQ1" s="1134"/>
      <c r="CR1" s="1134"/>
      <c r="CS1" s="1134"/>
      <c r="CT1" s="1134"/>
      <c r="CU1" s="1134"/>
      <c r="CV1" s="1134"/>
      <c r="CW1" s="1134"/>
      <c r="CX1" s="1134"/>
      <c r="CY1" s="1134"/>
      <c r="CZ1" s="1134"/>
      <c r="DA1" s="1134"/>
      <c r="DB1" s="1134"/>
      <c r="DC1" s="1134"/>
      <c r="DD1" s="1134"/>
      <c r="DE1" s="1134"/>
      <c r="DF1" s="1134"/>
      <c r="DG1" s="1134"/>
      <c r="DH1" s="1134"/>
      <c r="DI1" s="1134"/>
      <c r="DJ1" s="1134"/>
      <c r="DK1" s="1134"/>
      <c r="DL1" s="1134"/>
      <c r="DM1" s="1134"/>
      <c r="DN1" s="1134"/>
      <c r="DO1" s="1134"/>
      <c r="DP1" s="1134"/>
      <c r="DQ1" s="1134"/>
      <c r="DR1" s="1134"/>
      <c r="DS1" s="1134"/>
      <c r="DT1" s="1134"/>
      <c r="DU1" s="1134"/>
      <c r="DV1" s="1134"/>
      <c r="DW1" s="1134"/>
      <c r="DX1" s="1134"/>
      <c r="DY1" s="1134"/>
      <c r="DZ1" s="1147"/>
    </row>
    <row r="2" spans="1:137" s="834" customFormat="1" ht="136.5" customHeight="1">
      <c r="A2" s="1677"/>
      <c r="B2" s="1677"/>
      <c r="C2" s="929" t="s">
        <v>336</v>
      </c>
      <c r="D2" s="1405" t="s">
        <v>339</v>
      </c>
      <c r="E2" s="929" t="s">
        <v>2390</v>
      </c>
      <c r="F2" s="929" t="s">
        <v>343</v>
      </c>
      <c r="G2" s="929" t="s">
        <v>345</v>
      </c>
      <c r="H2" s="1405" t="s">
        <v>348</v>
      </c>
      <c r="I2" s="929" t="s">
        <v>350</v>
      </c>
      <c r="J2" s="929" t="s">
        <v>352</v>
      </c>
      <c r="K2" s="1405" t="s">
        <v>354</v>
      </c>
      <c r="L2" s="837" t="s">
        <v>356</v>
      </c>
      <c r="M2" s="837" t="s">
        <v>358</v>
      </c>
      <c r="N2" s="837" t="s">
        <v>360</v>
      </c>
      <c r="O2" s="837" t="s">
        <v>809</v>
      </c>
      <c r="P2" s="837" t="s">
        <v>364</v>
      </c>
      <c r="Q2" s="837" t="s">
        <v>366</v>
      </c>
      <c r="R2" s="837" t="s">
        <v>368</v>
      </c>
      <c r="S2" s="837" t="s">
        <v>810</v>
      </c>
      <c r="T2" s="837" t="s">
        <v>372</v>
      </c>
      <c r="U2" s="837" t="s">
        <v>808</v>
      </c>
      <c r="V2" s="837" t="s">
        <v>376</v>
      </c>
      <c r="W2" s="837" t="s">
        <v>378</v>
      </c>
      <c r="X2" s="1393" t="s">
        <v>381</v>
      </c>
      <c r="Y2" s="927" t="s">
        <v>385</v>
      </c>
      <c r="Z2" s="1024" t="s">
        <v>388</v>
      </c>
      <c r="AA2" s="1024"/>
      <c r="AB2" s="929" t="s">
        <v>393</v>
      </c>
      <c r="AC2" s="837" t="s">
        <v>395</v>
      </c>
      <c r="AD2" s="929" t="s">
        <v>398</v>
      </c>
      <c r="AE2" s="1024" t="s">
        <v>401</v>
      </c>
      <c r="AF2" s="1393" t="s">
        <v>812</v>
      </c>
      <c r="AG2" s="1405" t="s">
        <v>811</v>
      </c>
      <c r="AH2" s="929" t="s">
        <v>408</v>
      </c>
      <c r="AI2" s="929" t="s">
        <v>411</v>
      </c>
      <c r="AJ2" s="929" t="s">
        <v>414</v>
      </c>
      <c r="AK2" s="1405" t="s">
        <v>417</v>
      </c>
      <c r="AL2" s="1405" t="s">
        <v>420</v>
      </c>
      <c r="AM2" s="1405" t="s">
        <v>422</v>
      </c>
      <c r="AN2" s="929" t="s">
        <v>424</v>
      </c>
      <c r="AO2" s="929" t="s">
        <v>426</v>
      </c>
      <c r="AP2" s="929" t="s">
        <v>429</v>
      </c>
      <c r="AQ2" s="929" t="s">
        <v>432</v>
      </c>
      <c r="AR2" s="837" t="s">
        <v>435</v>
      </c>
      <c r="AS2" s="837" t="s">
        <v>437</v>
      </c>
      <c r="AT2" s="929" t="s">
        <v>439</v>
      </c>
      <c r="AU2" s="929" t="s">
        <v>442</v>
      </c>
      <c r="AV2" s="1405" t="s">
        <v>445</v>
      </c>
      <c r="AW2" s="1427" t="s">
        <v>448</v>
      </c>
      <c r="AX2" s="929" t="s">
        <v>451</v>
      </c>
      <c r="AY2" s="929" t="s">
        <v>454</v>
      </c>
      <c r="AZ2" s="929" t="s">
        <v>457</v>
      </c>
      <c r="BA2" s="1025" t="s">
        <v>813</v>
      </c>
      <c r="BB2" s="929" t="s">
        <v>462</v>
      </c>
      <c r="BC2" s="929" t="s">
        <v>466</v>
      </c>
      <c r="BD2" s="837"/>
      <c r="BE2" s="837" t="s">
        <v>473</v>
      </c>
      <c r="BF2" s="1026" t="s">
        <v>477</v>
      </c>
      <c r="BG2" s="1025" t="s">
        <v>482</v>
      </c>
      <c r="BH2" s="1025" t="s">
        <v>485</v>
      </c>
      <c r="BI2" s="929" t="s">
        <v>490</v>
      </c>
      <c r="BJ2" s="929" t="s">
        <v>494</v>
      </c>
      <c r="BK2" s="929" t="s">
        <v>77</v>
      </c>
      <c r="BL2" s="929" t="s">
        <v>500</v>
      </c>
      <c r="BM2" s="929" t="s">
        <v>504</v>
      </c>
      <c r="BN2" s="929" t="s">
        <v>509</v>
      </c>
      <c r="BO2" s="929" t="s">
        <v>513</v>
      </c>
      <c r="BP2" s="929" t="s">
        <v>515</v>
      </c>
      <c r="BQ2" s="929" t="s">
        <v>517</v>
      </c>
      <c r="BR2" s="929" t="s">
        <v>521</v>
      </c>
      <c r="BS2" s="929" t="s">
        <v>525</v>
      </c>
      <c r="BT2" s="929" t="s">
        <v>529</v>
      </c>
      <c r="BU2" s="837" t="s">
        <v>533</v>
      </c>
      <c r="BV2" s="929" t="s">
        <v>536</v>
      </c>
      <c r="BW2" s="1025" t="s">
        <v>40</v>
      </c>
      <c r="BX2" s="1025" t="s">
        <v>571</v>
      </c>
      <c r="BY2" s="836" t="s">
        <v>574</v>
      </c>
      <c r="BZ2" s="836" t="s">
        <v>577</v>
      </c>
      <c r="CA2" s="1141" t="s">
        <v>816</v>
      </c>
      <c r="CB2" s="1153"/>
      <c r="CC2" s="1134"/>
      <c r="CD2" s="1134"/>
      <c r="CE2" s="1134"/>
      <c r="CF2" s="1134"/>
      <c r="CG2" s="1134"/>
      <c r="CH2" s="1134"/>
      <c r="CI2" s="1134"/>
      <c r="CJ2" s="1134"/>
      <c r="CK2" s="1134"/>
      <c r="CL2" s="1134"/>
      <c r="CM2" s="1134"/>
      <c r="CN2" s="1134"/>
      <c r="CO2" s="1134"/>
      <c r="CP2" s="1134"/>
      <c r="CQ2" s="1134"/>
      <c r="CR2" s="1134"/>
      <c r="CS2" s="1134"/>
      <c r="CT2" s="1134"/>
      <c r="CU2" s="1134"/>
      <c r="CV2" s="1134"/>
      <c r="CW2" s="1134"/>
      <c r="CX2" s="1134"/>
      <c r="CY2" s="1134"/>
      <c r="CZ2" s="1134"/>
      <c r="DA2" s="1134"/>
      <c r="DB2" s="1134"/>
      <c r="DC2" s="1134"/>
      <c r="DD2" s="1134"/>
      <c r="DE2" s="1134"/>
      <c r="DF2" s="1134"/>
      <c r="DG2" s="1134"/>
      <c r="DH2" s="1134"/>
      <c r="DI2" s="1134"/>
      <c r="DJ2" s="1134"/>
      <c r="DK2" s="1134"/>
      <c r="DL2" s="1134"/>
      <c r="DM2" s="1134"/>
      <c r="DN2" s="1134"/>
      <c r="DO2" s="1134"/>
      <c r="DP2" s="1134"/>
      <c r="DQ2" s="1134"/>
      <c r="DR2" s="1134"/>
      <c r="DS2" s="1134"/>
      <c r="DT2" s="1134"/>
      <c r="DU2" s="1134"/>
      <c r="DV2" s="1134"/>
      <c r="DW2" s="1134"/>
      <c r="DX2" s="1134"/>
      <c r="DY2" s="1134"/>
      <c r="DZ2" s="1147"/>
    </row>
    <row r="3" spans="1:137" s="824" customFormat="1" ht="39.950000000000003" customHeight="1">
      <c r="A3" s="822" t="s">
        <v>136</v>
      </c>
      <c r="B3" s="822" t="s">
        <v>137</v>
      </c>
      <c r="C3" s="1027">
        <f>308791.41200674+D3+H3+K3</f>
        <v>329186694.51753837</v>
      </c>
      <c r="D3" s="1406">
        <f>E3+F3+G3</f>
        <v>178929010.53884122</v>
      </c>
      <c r="E3" s="1028">
        <f>E4+E7+E10+E17</f>
        <v>164933032.04028812</v>
      </c>
      <c r="F3" s="1028">
        <f t="shared" ref="F3:K3" si="0">F4+F7+F10+F17</f>
        <v>11175206.479149818</v>
      </c>
      <c r="G3" s="1028">
        <f>G4+G7+G10+G17</f>
        <v>2820772.0194032933</v>
      </c>
      <c r="H3" s="1406">
        <f>H4+H7+H10+H17</f>
        <v>16742686.853129506</v>
      </c>
      <c r="I3" s="1027">
        <f t="shared" si="0"/>
        <v>0</v>
      </c>
      <c r="J3" s="1027">
        <f t="shared" si="0"/>
        <v>0</v>
      </c>
      <c r="K3" s="1406">
        <f t="shared" si="0"/>
        <v>133206205.71356091</v>
      </c>
      <c r="L3" s="1027"/>
      <c r="M3" s="1027"/>
      <c r="N3" s="1027"/>
      <c r="O3" s="1027"/>
      <c r="P3" s="1027"/>
      <c r="Q3" s="1027"/>
      <c r="R3" s="1027"/>
      <c r="T3" s="1027"/>
      <c r="U3" s="1027"/>
      <c r="V3" s="1027"/>
      <c r="W3" s="1027"/>
      <c r="X3" s="1394"/>
      <c r="Y3" s="1027"/>
      <c r="Z3" s="1027"/>
      <c r="AA3" s="1027"/>
      <c r="AB3" s="1027"/>
      <c r="AC3" s="1027"/>
      <c r="AD3" s="1028"/>
      <c r="AE3" s="1028"/>
      <c r="AF3" s="1398"/>
      <c r="AG3" s="1417"/>
      <c r="AH3" s="1028"/>
      <c r="AI3" s="1028"/>
      <c r="AJ3" s="1028"/>
      <c r="AK3" s="1417"/>
      <c r="AL3" s="1417"/>
      <c r="AM3" s="1417"/>
      <c r="AN3" s="1028"/>
      <c r="AO3" s="1028"/>
      <c r="AP3" s="1028"/>
      <c r="AQ3" s="1028"/>
      <c r="AR3" s="1028"/>
      <c r="AS3" s="1028"/>
      <c r="AT3" s="1028"/>
      <c r="AU3" s="1028"/>
      <c r="AV3" s="1417"/>
      <c r="AW3" s="1428"/>
      <c r="AX3" s="1028"/>
      <c r="AY3" s="1028"/>
      <c r="AZ3" s="1028"/>
      <c r="BA3" s="1028"/>
      <c r="BB3" s="1028"/>
      <c r="BC3" s="1028"/>
      <c r="BD3" s="1028"/>
      <c r="BE3" s="1028"/>
      <c r="BF3" s="1028"/>
      <c r="BG3" s="1028"/>
      <c r="BH3" s="1028"/>
      <c r="BI3" s="1028"/>
      <c r="BJ3" s="1028"/>
      <c r="BK3" s="1028"/>
      <c r="BL3" s="1028"/>
      <c r="BM3" s="1028"/>
      <c r="BN3" s="1028"/>
      <c r="BO3" s="1028"/>
      <c r="BP3" s="1028"/>
      <c r="BQ3" s="1028"/>
      <c r="BR3" s="1028"/>
      <c r="BS3" s="1028"/>
      <c r="BT3" s="1028"/>
      <c r="BU3" s="1028"/>
      <c r="BV3" s="1028"/>
      <c r="BW3" s="1028"/>
      <c r="BX3" s="1029"/>
      <c r="BY3" s="1027"/>
      <c r="BZ3" s="1028"/>
      <c r="CA3" s="1142">
        <f>SUM(C3:BZ3)</f>
        <v>836993608.16191125</v>
      </c>
      <c r="CB3" s="1153"/>
      <c r="CC3" s="1134"/>
      <c r="CD3" s="1134"/>
      <c r="CE3" s="1134"/>
      <c r="CF3" s="1134"/>
      <c r="CG3" s="1134"/>
      <c r="CH3" s="1134"/>
      <c r="CI3" s="1134"/>
      <c r="CJ3" s="1134"/>
      <c r="CK3" s="1134"/>
      <c r="CL3" s="1134"/>
      <c r="CM3" s="1134"/>
      <c r="CN3" s="1134"/>
      <c r="CO3" s="1134"/>
      <c r="CP3" s="1134"/>
      <c r="CQ3" s="1134"/>
      <c r="CR3" s="1134"/>
      <c r="CS3" s="1134"/>
      <c r="CT3" s="1134"/>
      <c r="CU3" s="1134"/>
      <c r="CV3" s="1134"/>
      <c r="CW3" s="1134"/>
      <c r="CX3" s="1134"/>
      <c r="CY3" s="1134"/>
      <c r="CZ3" s="1134"/>
      <c r="DA3" s="1134"/>
      <c r="DB3" s="1134"/>
      <c r="DC3" s="1134"/>
      <c r="DD3" s="1134"/>
      <c r="DE3" s="1134"/>
      <c r="DF3" s="1134"/>
      <c r="DG3" s="1134"/>
      <c r="DH3" s="1134"/>
      <c r="DI3" s="1134"/>
      <c r="DJ3" s="1134"/>
      <c r="DK3" s="1134"/>
      <c r="DL3" s="1134"/>
      <c r="DM3" s="1134"/>
      <c r="DN3" s="1134"/>
      <c r="DO3" s="1134"/>
      <c r="DP3" s="1134"/>
      <c r="DQ3" s="1134"/>
      <c r="DR3" s="1134"/>
      <c r="DS3" s="1134"/>
      <c r="DT3" s="1134"/>
      <c r="DU3" s="1134"/>
      <c r="DV3" s="1134"/>
      <c r="DW3" s="1134"/>
      <c r="DX3" s="1134"/>
      <c r="DY3" s="1134"/>
      <c r="DZ3" s="1147"/>
      <c r="EA3" s="834"/>
      <c r="EB3" s="834"/>
      <c r="EC3" s="834"/>
      <c r="ED3" s="834"/>
      <c r="EE3" s="834"/>
      <c r="EF3" s="834"/>
      <c r="EG3" s="834"/>
    </row>
    <row r="4" spans="1:137" s="805" customFormat="1" ht="39.950000000000003" customHeight="1">
      <c r="A4" s="825" t="s">
        <v>138</v>
      </c>
      <c r="B4" s="826" t="s">
        <v>139</v>
      </c>
      <c r="C4" s="1030"/>
      <c r="D4" s="1406">
        <f>E4+F4+G4</f>
        <v>165903094.18396559</v>
      </c>
      <c r="E4" s="1030">
        <f>E5+E6</f>
        <v>151988732.3828679</v>
      </c>
      <c r="F4" s="1030">
        <f>F5+F6</f>
        <v>11099056.972449008</v>
      </c>
      <c r="G4" s="1030">
        <f>G5+G6</f>
        <v>2815304.8286487004</v>
      </c>
      <c r="H4" s="1406">
        <f>H5+H6</f>
        <v>16742686.853129506</v>
      </c>
      <c r="I4" s="1030">
        <f t="shared" ref="I4:J4" si="1">I5+I6</f>
        <v>0</v>
      </c>
      <c r="J4" s="1030">
        <f t="shared" si="1"/>
        <v>0</v>
      </c>
      <c r="K4" s="1407">
        <f>S4+K6+K5</f>
        <v>130915839.50259456</v>
      </c>
      <c r="L4" s="1031"/>
      <c r="M4" s="1031"/>
      <c r="N4" s="1030"/>
      <c r="O4" s="1030"/>
      <c r="P4" s="1030"/>
      <c r="Q4" s="1031"/>
      <c r="R4" s="1031"/>
      <c r="S4" s="824">
        <f>Отчет!J133+'009'!F7+Отчет!K107+Отчет!K122</f>
        <v>27071857.757159524</v>
      </c>
      <c r="T4" s="1031"/>
      <c r="U4" s="1031"/>
      <c r="V4" s="1031"/>
      <c r="W4" s="1031"/>
      <c r="X4" s="1394"/>
      <c r="Y4" s="1030"/>
      <c r="Z4" s="1030"/>
      <c r="AA4" s="1030"/>
      <c r="AB4" s="1030"/>
      <c r="AC4" s="1030"/>
      <c r="AD4" s="1030"/>
      <c r="AE4" s="1030"/>
      <c r="AF4" s="1394"/>
      <c r="AG4" s="1406"/>
      <c r="AH4" s="1030"/>
      <c r="AI4" s="1030"/>
      <c r="AJ4" s="1030"/>
      <c r="AK4" s="1406"/>
      <c r="AL4" s="1406"/>
      <c r="AM4" s="1407">
        <f>AQ4</f>
        <v>222596.61517562831</v>
      </c>
      <c r="AN4" s="1031"/>
      <c r="AO4" s="1031"/>
      <c r="AP4" s="1031"/>
      <c r="AQ4" s="1031">
        <f>AQ5+AQ6</f>
        <v>222596.61517562831</v>
      </c>
      <c r="AR4" s="1031"/>
      <c r="AS4" s="1031"/>
      <c r="AT4" s="1030"/>
      <c r="AU4" s="1030">
        <f>AU5+AU6</f>
        <v>0</v>
      </c>
      <c r="AV4" s="1406"/>
      <c r="AW4" s="1394"/>
      <c r="AX4" s="1030"/>
      <c r="AY4" s="1030"/>
      <c r="AZ4" s="1030">
        <f>Отчет!J81</f>
        <v>4585632</v>
      </c>
      <c r="BA4" s="1030"/>
      <c r="BB4" s="1030"/>
      <c r="BC4" s="1030"/>
      <c r="BD4" s="1030"/>
      <c r="BE4" s="1030"/>
      <c r="BF4" s="1030"/>
      <c r="BG4" s="1030"/>
      <c r="BH4" s="1030"/>
      <c r="BI4" s="1030"/>
      <c r="BJ4" s="1030"/>
      <c r="BK4" s="1030"/>
      <c r="BL4" s="1030"/>
      <c r="BM4" s="1030"/>
      <c r="BN4" s="1030"/>
      <c r="BO4" s="1030"/>
      <c r="BP4" s="1030"/>
      <c r="BQ4" s="1030"/>
      <c r="BR4" s="1030"/>
      <c r="BS4" s="1030"/>
      <c r="BT4" s="1030"/>
      <c r="BU4" s="1031">
        <f>BU5+BU6</f>
        <v>2354214.4524152181</v>
      </c>
      <c r="BV4" s="1030"/>
      <c r="BW4" s="1030"/>
      <c r="BX4" s="1030"/>
      <c r="BY4" s="1030"/>
      <c r="BZ4" s="1030"/>
      <c r="CA4" s="1142">
        <f t="shared" ref="CA4:CA69" si="2">SUM(C4:BZ4)</f>
        <v>513921612.16358119</v>
      </c>
      <c r="CB4" s="1153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4"/>
      <c r="DI4" s="1134"/>
      <c r="DJ4" s="1134"/>
      <c r="DK4" s="1134"/>
      <c r="DL4" s="1134"/>
      <c r="DM4" s="1134"/>
      <c r="DN4" s="1134"/>
      <c r="DO4" s="1134"/>
      <c r="DP4" s="1134"/>
      <c r="DQ4" s="1134"/>
      <c r="DR4" s="1134"/>
      <c r="DS4" s="1134"/>
      <c r="DT4" s="1134"/>
      <c r="DU4" s="1134"/>
      <c r="DV4" s="1134"/>
      <c r="DW4" s="1134"/>
      <c r="DX4" s="1134"/>
      <c r="DY4" s="1134"/>
      <c r="DZ4" s="1147"/>
      <c r="EA4" s="834"/>
      <c r="EB4" s="834"/>
      <c r="EC4" s="834"/>
      <c r="ED4" s="834"/>
      <c r="EE4" s="834"/>
      <c r="EF4" s="834"/>
      <c r="EG4" s="834"/>
    </row>
    <row r="5" spans="1:137" s="806" customFormat="1" ht="31.5">
      <c r="A5" s="827" t="s">
        <v>140</v>
      </c>
      <c r="B5" s="826" t="s">
        <v>141</v>
      </c>
      <c r="C5" s="1032"/>
      <c r="D5" s="1406">
        <f t="shared" ref="D5:D8" si="3">E5+F5+G5</f>
        <v>146545325.38887087</v>
      </c>
      <c r="E5" s="1032">
        <f>'009'!F6+Отчет!J33+Отчет!J35+Отчет!J37+Отчет!J41+'036 гобм'!AL6+Отчет!J114+'HF-HP2'!AA5</f>
        <v>138534912.35679379</v>
      </c>
      <c r="F5" s="1032">
        <f>'036 гобм'!AM6</f>
        <v>5195108.2034283802</v>
      </c>
      <c r="G5" s="1032">
        <f>'036 гобм'!AN6</f>
        <v>2815304.8286487004</v>
      </c>
      <c r="H5" s="1406">
        <f>'009'!F8+'009'!F5+Дэф!C3</f>
        <v>16742686.853129506</v>
      </c>
      <c r="J5" s="1032"/>
      <c r="K5" s="1406">
        <f>'036 гобм'!AR6+'036 гобм'!AT6+'036 гобм'!AX6+'036 гобм'!BB6+L5+N5+P5+R5+T5+W5</f>
        <v>79912008.469018996</v>
      </c>
      <c r="L5" s="1032">
        <f>'009'!F4</f>
        <v>7522932.61442619</v>
      </c>
      <c r="M5" s="1032"/>
      <c r="N5" s="1032">
        <f>'009'!F9+'009'!F10+'036 гобм'!AU6</f>
        <v>22265322.861298155</v>
      </c>
      <c r="O5" s="1032"/>
      <c r="P5" s="1032">
        <v>304096.7</v>
      </c>
      <c r="Q5" s="1032"/>
      <c r="R5" s="1032">
        <f>'036 гобм'!AY6</f>
        <v>1265324.9430076685</v>
      </c>
      <c r="S5" s="1032"/>
      <c r="T5" s="1032">
        <f>'036 гобм'!BA6</f>
        <v>251948.20017133447</v>
      </c>
      <c r="U5" s="1032"/>
      <c r="W5" s="1032">
        <f>'036 гобм'!BD6</f>
        <v>14651925.651784573</v>
      </c>
      <c r="X5" s="1394"/>
      <c r="Y5" s="1032"/>
      <c r="Z5" s="1032"/>
      <c r="AA5" s="1032"/>
      <c r="AB5" s="1032"/>
      <c r="AC5" s="1032"/>
      <c r="AD5" s="1033"/>
      <c r="AE5" s="1033"/>
      <c r="AF5" s="1394">
        <f>'036 гобм'!BT6+'036 гобм'!BZ6</f>
        <v>478606.84300698794</v>
      </c>
      <c r="AG5" s="1417"/>
      <c r="AH5" s="1034"/>
      <c r="AI5" s="1033"/>
      <c r="AJ5" s="1033"/>
      <c r="AK5" s="1417"/>
      <c r="AL5" s="1417"/>
      <c r="AM5" s="1406">
        <f>AQ5</f>
        <v>222596.61517562831</v>
      </c>
      <c r="AN5" s="1032"/>
      <c r="AO5" s="1032"/>
      <c r="AP5" s="1032"/>
      <c r="AQ5" s="1032">
        <f>'036 гобм'!BX6</f>
        <v>222596.61517562831</v>
      </c>
      <c r="AR5" s="1032"/>
      <c r="AS5" s="1032"/>
      <c r="AT5" s="1033"/>
      <c r="AU5" s="1033"/>
      <c r="AV5" s="1417"/>
      <c r="AW5" s="1423"/>
      <c r="AX5" s="1033"/>
      <c r="AY5" s="1033"/>
      <c r="AZ5" s="1033"/>
      <c r="BA5" s="1033"/>
      <c r="BB5" s="1033"/>
      <c r="BC5" s="1033"/>
      <c r="BD5" s="1033"/>
      <c r="BE5" s="1033"/>
      <c r="BF5" s="1033"/>
      <c r="BG5" s="1033"/>
      <c r="BH5" s="1033"/>
      <c r="BI5" s="1033"/>
      <c r="BJ5" s="1033"/>
      <c r="BK5" s="1033"/>
      <c r="BL5" s="1033"/>
      <c r="BM5" s="1033"/>
      <c r="BN5" s="1033"/>
      <c r="BO5" s="1033"/>
      <c r="BP5" s="1033"/>
      <c r="BQ5" s="1033"/>
      <c r="BR5" s="1033"/>
      <c r="BS5" s="1033"/>
      <c r="BT5" s="1033"/>
      <c r="BU5" s="1032">
        <f>'036 гобм'!DB6</f>
        <v>2279081.5823008204</v>
      </c>
      <c r="BV5" s="1033"/>
      <c r="BW5" s="1033"/>
      <c r="BX5" s="841">
        <f>'HF-HC '!AH6</f>
        <v>22131</v>
      </c>
      <c r="BY5" s="1032"/>
      <c r="BZ5" s="1033"/>
      <c r="CA5" s="1142">
        <f t="shared" si="2"/>
        <v>439231909.72623718</v>
      </c>
      <c r="CB5" s="1153"/>
      <c r="CC5" s="1134"/>
      <c r="CD5" s="1134"/>
      <c r="CE5" s="1134"/>
      <c r="CF5" s="1134"/>
      <c r="CG5" s="1134"/>
      <c r="CH5" s="1134"/>
      <c r="CI5" s="1134"/>
      <c r="CJ5" s="1134"/>
      <c r="CK5" s="1134"/>
      <c r="CL5" s="1134"/>
      <c r="CM5" s="1134"/>
      <c r="CN5" s="1134"/>
      <c r="CO5" s="1134"/>
      <c r="CP5" s="1134"/>
      <c r="CQ5" s="1134"/>
      <c r="CR5" s="1134"/>
      <c r="CS5" s="1134"/>
      <c r="CT5" s="1134"/>
      <c r="CU5" s="1134"/>
      <c r="CV5" s="1134"/>
      <c r="CW5" s="1134"/>
      <c r="CX5" s="1134"/>
      <c r="CY5" s="1134"/>
      <c r="CZ5" s="1134"/>
      <c r="DA5" s="1134"/>
      <c r="DB5" s="1134"/>
      <c r="DC5" s="1134"/>
      <c r="DD5" s="1134"/>
      <c r="DE5" s="1134"/>
      <c r="DF5" s="1134"/>
      <c r="DG5" s="1134"/>
      <c r="DH5" s="1134"/>
      <c r="DI5" s="1134"/>
      <c r="DJ5" s="1134"/>
      <c r="DK5" s="1134"/>
      <c r="DL5" s="1134"/>
      <c r="DM5" s="1134"/>
      <c r="DN5" s="1134"/>
      <c r="DO5" s="1134"/>
      <c r="DP5" s="1134"/>
      <c r="DQ5" s="1134"/>
      <c r="DR5" s="1134"/>
      <c r="DS5" s="1134"/>
      <c r="DT5" s="1134"/>
      <c r="DU5" s="1134"/>
      <c r="DV5" s="1134"/>
      <c r="DW5" s="1134"/>
      <c r="DX5" s="1134"/>
      <c r="DY5" s="1134"/>
      <c r="DZ5" s="1147"/>
      <c r="EA5" s="834"/>
      <c r="EB5" s="834"/>
      <c r="EC5" s="834"/>
      <c r="ED5" s="834"/>
      <c r="EE5" s="834"/>
      <c r="EF5" s="834"/>
      <c r="EG5" s="834"/>
    </row>
    <row r="6" spans="1:137" s="806" customFormat="1" ht="31.5">
      <c r="A6" s="827" t="s">
        <v>142</v>
      </c>
      <c r="B6" s="826" t="s">
        <v>143</v>
      </c>
      <c r="C6" s="1032"/>
      <c r="D6" s="1406">
        <f>E6+F6+G6</f>
        <v>19357768.79509474</v>
      </c>
      <c r="E6" s="1032">
        <f>'036 гобм'!AL7</f>
        <v>13453820.02607411</v>
      </c>
      <c r="F6" s="1032">
        <f>'036 гобм'!AM7</f>
        <v>5903948.7690206291</v>
      </c>
      <c r="G6" s="1032"/>
      <c r="H6" s="1406"/>
      <c r="I6" s="1032"/>
      <c r="J6" s="1032"/>
      <c r="K6" s="1406">
        <f>'036 гобм'!AR7+'036 гобм'!AX7+'036 гобм'!BB7+L6+M6+N6+O6+P6+Q6+R6+S6+T6+U6+V6+W6</f>
        <v>23931973.276416048</v>
      </c>
      <c r="L6" s="1032"/>
      <c r="M6" s="1032"/>
      <c r="N6" s="1032"/>
      <c r="O6" s="1032"/>
      <c r="P6" s="1032"/>
      <c r="Q6" s="1032"/>
      <c r="R6" s="1032"/>
      <c r="S6" s="1032"/>
      <c r="T6" s="1032"/>
      <c r="U6" s="1032"/>
      <c r="V6" s="1032"/>
      <c r="W6" s="1032">
        <f>'036 гобм'!BD7</f>
        <v>10412316.397097738</v>
      </c>
      <c r="X6" s="1394"/>
      <c r="Y6" s="1032"/>
      <c r="Z6" s="1032"/>
      <c r="AA6" s="1032"/>
      <c r="AB6" s="1032"/>
      <c r="AC6" s="1032"/>
      <c r="AD6" s="1033"/>
      <c r="AE6" s="1033"/>
      <c r="AF6" s="1423"/>
      <c r="AG6" s="1417"/>
      <c r="AH6" s="1033"/>
      <c r="AI6" s="1033"/>
      <c r="AJ6" s="1033"/>
      <c r="AK6" s="1417"/>
      <c r="AL6" s="1417"/>
      <c r="AM6" s="1417"/>
      <c r="AN6" s="1033"/>
      <c r="AO6" s="1033"/>
      <c r="AP6" s="1033"/>
      <c r="AQ6" s="1033"/>
      <c r="AR6" s="1033"/>
      <c r="AS6" s="1033"/>
      <c r="AT6" s="1033"/>
      <c r="AU6" s="1033"/>
      <c r="AV6" s="1417"/>
      <c r="AW6" s="1423"/>
      <c r="AX6" s="1033"/>
      <c r="AY6" s="1033"/>
      <c r="AZ6" s="1033"/>
      <c r="BA6" s="1033"/>
      <c r="BB6" s="1033"/>
      <c r="BC6" s="1033"/>
      <c r="BD6" s="1033"/>
      <c r="BE6" s="1033"/>
      <c r="BF6" s="1033"/>
      <c r="BG6" s="1033"/>
      <c r="BH6" s="1033"/>
      <c r="BI6" s="1033"/>
      <c r="BJ6" s="1033"/>
      <c r="BK6" s="1033"/>
      <c r="BL6" s="1033"/>
      <c r="BM6" s="1033"/>
      <c r="BN6" s="1033"/>
      <c r="BO6" s="1033"/>
      <c r="BP6" s="1033"/>
      <c r="BQ6" s="1033"/>
      <c r="BR6" s="1033"/>
      <c r="BS6" s="1033"/>
      <c r="BT6" s="1033"/>
      <c r="BU6" s="1033">
        <f>'036 гобм'!DB7</f>
        <v>75132.870114397694</v>
      </c>
      <c r="BV6" s="1033"/>
      <c r="BW6" s="1033"/>
      <c r="BX6" s="1033"/>
      <c r="BY6" s="1032"/>
      <c r="BZ6" s="1033"/>
      <c r="CA6" s="1142">
        <f t="shared" si="2"/>
        <v>73134960.133817673</v>
      </c>
      <c r="CB6" s="1153"/>
      <c r="CC6" s="1134"/>
      <c r="CD6" s="1134"/>
      <c r="CE6" s="1134"/>
      <c r="CF6" s="1134"/>
      <c r="CG6" s="1134"/>
      <c r="CH6" s="1134"/>
      <c r="CI6" s="1134"/>
      <c r="CJ6" s="1134"/>
      <c r="CK6" s="1134"/>
      <c r="CL6" s="1134"/>
      <c r="CM6" s="1134"/>
      <c r="CN6" s="1134"/>
      <c r="CO6" s="1134"/>
      <c r="CP6" s="1134"/>
      <c r="CQ6" s="1134"/>
      <c r="CR6" s="1134"/>
      <c r="CS6" s="1134"/>
      <c r="CT6" s="1134"/>
      <c r="CU6" s="1134"/>
      <c r="CV6" s="1134"/>
      <c r="CW6" s="1134"/>
      <c r="CX6" s="1134"/>
      <c r="CY6" s="1134"/>
      <c r="CZ6" s="1134"/>
      <c r="DA6" s="1134"/>
      <c r="DB6" s="1134"/>
      <c r="DC6" s="1134"/>
      <c r="DD6" s="1134"/>
      <c r="DE6" s="1134"/>
      <c r="DF6" s="1134"/>
      <c r="DG6" s="1134"/>
      <c r="DH6" s="1134"/>
      <c r="DI6" s="1134"/>
      <c r="DJ6" s="1134"/>
      <c r="DK6" s="1134"/>
      <c r="DL6" s="1134"/>
      <c r="DM6" s="1134"/>
      <c r="DN6" s="1134"/>
      <c r="DO6" s="1134"/>
      <c r="DP6" s="1134"/>
      <c r="DQ6" s="1134"/>
      <c r="DR6" s="1134"/>
      <c r="DS6" s="1134"/>
      <c r="DT6" s="1134"/>
      <c r="DU6" s="1134"/>
      <c r="DV6" s="1134"/>
      <c r="DW6" s="1134"/>
      <c r="DX6" s="1134"/>
      <c r="DY6" s="1134"/>
      <c r="DZ6" s="1147"/>
      <c r="EA6" s="834"/>
      <c r="EB6" s="834"/>
      <c r="EC6" s="834"/>
      <c r="ED6" s="834"/>
      <c r="EE6" s="834"/>
      <c r="EF6" s="834"/>
      <c r="EG6" s="834"/>
    </row>
    <row r="7" spans="1:137" s="805" customFormat="1" ht="39.950000000000003" customHeight="1">
      <c r="A7" s="825" t="s">
        <v>144</v>
      </c>
      <c r="B7" s="826" t="s">
        <v>145</v>
      </c>
      <c r="C7" s="1030"/>
      <c r="D7" s="1406">
        <f>E7+F7+G7</f>
        <v>13025916.354875624</v>
      </c>
      <c r="E7" s="1030">
        <f>'036 гобм'!AL8</f>
        <v>12944299.657420222</v>
      </c>
      <c r="F7" s="1030">
        <f>'036 гобм'!AM8</f>
        <v>76149.506700809899</v>
      </c>
      <c r="G7" s="1030">
        <f>'036 гобм'!AN8</f>
        <v>5467.190754592757</v>
      </c>
      <c r="H7" s="1406"/>
      <c r="I7" s="1030">
        <f>I8+I9</f>
        <v>0</v>
      </c>
      <c r="J7" s="1030">
        <f>J8+J9</f>
        <v>0</v>
      </c>
      <c r="K7" s="1406">
        <f>'036 гобм'!AR8+'036 гобм'!AT8+'036 гобм'!AX8+'036 гобм'!BB8+L7+M7+N7+O7+P7+Q7+R7+S7+T7+U7+V7+W7</f>
        <v>2290366.2109663421</v>
      </c>
      <c r="L7" s="1030"/>
      <c r="M7" s="1030"/>
      <c r="N7" s="1030"/>
      <c r="O7" s="1030"/>
      <c r="P7" s="1030"/>
      <c r="Q7" s="1030"/>
      <c r="R7" s="1030">
        <f>'036 гобм'!AY8</f>
        <v>141702.4882027423</v>
      </c>
      <c r="S7" s="1030"/>
      <c r="T7" s="1030">
        <f>+'036 гобм'!BA8</f>
        <v>27085.1300202534</v>
      </c>
      <c r="U7" s="1030"/>
      <c r="V7" s="1030"/>
      <c r="W7" s="1030">
        <f>'036 гобм'!BD8</f>
        <v>1676900.398647547</v>
      </c>
      <c r="X7" s="1394"/>
      <c r="Y7" s="1030"/>
      <c r="Z7" s="1030"/>
      <c r="AA7" s="1030"/>
      <c r="AB7" s="1030"/>
      <c r="AC7" s="1030"/>
      <c r="AD7" s="1035"/>
      <c r="AE7" s="1035"/>
      <c r="AF7" s="1423">
        <f>'036 гобм'!BM8+'036 гобм'!BY8+'036 гобм'!BZ8</f>
        <v>5042585.6296559479</v>
      </c>
      <c r="AG7" s="1417"/>
      <c r="AH7" s="1035"/>
      <c r="AI7" s="1035"/>
      <c r="AJ7" s="1035"/>
      <c r="AK7" s="1417"/>
      <c r="AL7" s="1417"/>
      <c r="AM7" s="1417">
        <f>AQ7+AU7</f>
        <v>203769.36003021701</v>
      </c>
      <c r="AN7" s="1035"/>
      <c r="AO7" s="1035"/>
      <c r="AP7" s="1035"/>
      <c r="AQ7" s="1035">
        <f>'036 гобм'!BX8</f>
        <v>196989.32185152589</v>
      </c>
      <c r="AR7" s="1035"/>
      <c r="AS7" s="1035"/>
      <c r="AT7" s="1035"/>
      <c r="AU7" s="1035">
        <f>'036 гобм'!CB8</f>
        <v>6780.0381786911175</v>
      </c>
      <c r="AV7" s="1417"/>
      <c r="AW7" s="1423"/>
      <c r="AX7" s="1035"/>
      <c r="AY7" s="1035"/>
      <c r="AZ7" s="1035"/>
      <c r="BA7" s="1035"/>
      <c r="BB7" s="1035"/>
      <c r="BC7" s="1035"/>
      <c r="BD7" s="1035"/>
      <c r="BE7" s="1035"/>
      <c r="BF7" s="1035"/>
      <c r="BG7" s="1035"/>
      <c r="BH7" s="1035"/>
      <c r="BI7" s="1035"/>
      <c r="BJ7" s="1035"/>
      <c r="BK7" s="1035"/>
      <c r="BL7" s="1035"/>
      <c r="BM7" s="1035"/>
      <c r="BN7" s="1035"/>
      <c r="BO7" s="1035"/>
      <c r="BP7" s="1035"/>
      <c r="BQ7" s="1035"/>
      <c r="BR7" s="1035"/>
      <c r="BS7" s="1035"/>
      <c r="BT7" s="1035"/>
      <c r="BU7" s="1035">
        <f>'036 гобм'!DB8</f>
        <v>23521.334246487724</v>
      </c>
      <c r="BV7" s="1035"/>
      <c r="BW7" s="1035"/>
      <c r="BX7" s="1035"/>
      <c r="BY7" s="1030"/>
      <c r="BZ7" s="1035"/>
      <c r="CA7" s="1142">
        <f t="shared" si="2"/>
        <v>35661532.621551007</v>
      </c>
      <c r="CB7" s="1153"/>
      <c r="CC7" s="1134"/>
      <c r="CD7" s="1134"/>
      <c r="CE7" s="1134"/>
      <c r="CF7" s="1134"/>
      <c r="CG7" s="1134"/>
      <c r="CH7" s="1134"/>
      <c r="CI7" s="1134"/>
      <c r="CJ7" s="1134"/>
      <c r="CK7" s="1134"/>
      <c r="CL7" s="1134"/>
      <c r="CM7" s="1134"/>
      <c r="CN7" s="1134"/>
      <c r="CO7" s="1134"/>
      <c r="CP7" s="1134"/>
      <c r="CQ7" s="1134"/>
      <c r="CR7" s="1134"/>
      <c r="CS7" s="1134"/>
      <c r="CT7" s="1134"/>
      <c r="CU7" s="1134"/>
      <c r="CV7" s="1134"/>
      <c r="CW7" s="1134"/>
      <c r="CX7" s="1134"/>
      <c r="CY7" s="1134"/>
      <c r="CZ7" s="1134"/>
      <c r="DA7" s="1134"/>
      <c r="DB7" s="1134"/>
      <c r="DC7" s="1134"/>
      <c r="DD7" s="1134"/>
      <c r="DE7" s="1134"/>
      <c r="DF7" s="1134"/>
      <c r="DG7" s="1134"/>
      <c r="DH7" s="1134"/>
      <c r="DI7" s="1134"/>
      <c r="DJ7" s="1134"/>
      <c r="DK7" s="1134"/>
      <c r="DL7" s="1134"/>
      <c r="DM7" s="1134"/>
      <c r="DN7" s="1134"/>
      <c r="DO7" s="1134"/>
      <c r="DP7" s="1134"/>
      <c r="DQ7" s="1134"/>
      <c r="DR7" s="1134"/>
      <c r="DS7" s="1134"/>
      <c r="DT7" s="1134"/>
      <c r="DU7" s="1134"/>
      <c r="DV7" s="1134"/>
      <c r="DW7" s="1134"/>
      <c r="DX7" s="1134"/>
      <c r="DY7" s="1134"/>
      <c r="DZ7" s="1147"/>
      <c r="EA7" s="834"/>
      <c r="EB7" s="834"/>
      <c r="EC7" s="834"/>
      <c r="ED7" s="834"/>
      <c r="EE7" s="834"/>
      <c r="EF7" s="834"/>
      <c r="EG7" s="834"/>
    </row>
    <row r="8" spans="1:137" s="805" customFormat="1" ht="31.5">
      <c r="A8" s="827" t="s">
        <v>146</v>
      </c>
      <c r="B8" s="826" t="s">
        <v>147</v>
      </c>
      <c r="C8" s="1030"/>
      <c r="D8" s="1406">
        <f t="shared" si="3"/>
        <v>0</v>
      </c>
      <c r="E8" s="1030"/>
      <c r="F8" s="1030"/>
      <c r="G8" s="1030"/>
      <c r="H8" s="1406"/>
      <c r="I8" s="1030"/>
      <c r="J8" s="1030"/>
      <c r="K8" s="1407"/>
      <c r="L8" s="1031"/>
      <c r="M8" s="1031"/>
      <c r="N8" s="1030"/>
      <c r="O8" s="1030"/>
      <c r="P8" s="1030"/>
      <c r="Q8" s="1030"/>
      <c r="R8" s="1030"/>
      <c r="S8" s="1030"/>
      <c r="T8" s="1030"/>
      <c r="U8" s="1030"/>
      <c r="V8" s="1030"/>
      <c r="W8" s="1030"/>
      <c r="X8" s="1394"/>
      <c r="Y8" s="1030"/>
      <c r="Z8" s="1030"/>
      <c r="AA8" s="1030"/>
      <c r="AB8" s="1030"/>
      <c r="AC8" s="1030"/>
      <c r="AD8" s="1035"/>
      <c r="AE8" s="1035"/>
      <c r="AF8" s="1423"/>
      <c r="AG8" s="1417"/>
      <c r="AH8" s="1035"/>
      <c r="AI8" s="1035"/>
      <c r="AJ8" s="1035"/>
      <c r="AK8" s="1417"/>
      <c r="AL8" s="1417"/>
      <c r="AM8" s="1417"/>
      <c r="AN8" s="1035"/>
      <c r="AO8" s="1035"/>
      <c r="AP8" s="1035"/>
      <c r="AQ8" s="1035"/>
      <c r="AR8" s="1035"/>
      <c r="AS8" s="1035"/>
      <c r="AT8" s="1035"/>
      <c r="AU8" s="1035"/>
      <c r="AV8" s="1417"/>
      <c r="AW8" s="1423"/>
      <c r="AX8" s="1035"/>
      <c r="AY8" s="1035"/>
      <c r="AZ8" s="1035"/>
      <c r="BA8" s="1035"/>
      <c r="BB8" s="1035"/>
      <c r="BC8" s="1035"/>
      <c r="BD8" s="1035"/>
      <c r="BE8" s="1035"/>
      <c r="BF8" s="1035"/>
      <c r="BG8" s="1035"/>
      <c r="BH8" s="1035"/>
      <c r="BI8" s="1035"/>
      <c r="BJ8" s="1035"/>
      <c r="BK8" s="1035"/>
      <c r="BL8" s="1035"/>
      <c r="BM8" s="1035"/>
      <c r="BN8" s="1035"/>
      <c r="BO8" s="1035"/>
      <c r="BP8" s="1035"/>
      <c r="BQ8" s="1035"/>
      <c r="BR8" s="1035"/>
      <c r="BS8" s="1035"/>
      <c r="BT8" s="1035"/>
      <c r="BU8" s="1035"/>
      <c r="BV8" s="1035"/>
      <c r="BW8" s="1035"/>
      <c r="BX8" s="1035"/>
      <c r="BY8" s="1030"/>
      <c r="BZ8" s="1035"/>
      <c r="CA8" s="1142">
        <f t="shared" si="2"/>
        <v>0</v>
      </c>
      <c r="CB8" s="1153"/>
      <c r="CC8" s="1134"/>
      <c r="CD8" s="1134"/>
      <c r="CE8" s="1134"/>
      <c r="CF8" s="1134"/>
      <c r="CG8" s="1134"/>
      <c r="CH8" s="1134"/>
      <c r="CI8" s="1134"/>
      <c r="CJ8" s="1134"/>
      <c r="CK8" s="1134"/>
      <c r="CL8" s="1134"/>
      <c r="CM8" s="1134"/>
      <c r="CN8" s="1134"/>
      <c r="CO8" s="1134"/>
      <c r="CP8" s="1134"/>
      <c r="CQ8" s="1134"/>
      <c r="CR8" s="1134"/>
      <c r="CS8" s="1134"/>
      <c r="CT8" s="1134"/>
      <c r="CU8" s="1134"/>
      <c r="CV8" s="1134"/>
      <c r="CW8" s="1134"/>
      <c r="CX8" s="1134"/>
      <c r="CY8" s="1134"/>
      <c r="CZ8" s="1134"/>
      <c r="DA8" s="1134"/>
      <c r="DB8" s="1134"/>
      <c r="DC8" s="1134"/>
      <c r="DD8" s="1134"/>
      <c r="DE8" s="1134"/>
      <c r="DF8" s="1134"/>
      <c r="DG8" s="1134"/>
      <c r="DH8" s="1134"/>
      <c r="DI8" s="1134"/>
      <c r="DJ8" s="1134"/>
      <c r="DK8" s="1134"/>
      <c r="DL8" s="1134"/>
      <c r="DM8" s="1134"/>
      <c r="DN8" s="1134"/>
      <c r="DO8" s="1134"/>
      <c r="DP8" s="1134"/>
      <c r="DQ8" s="1134"/>
      <c r="DR8" s="1134"/>
      <c r="DS8" s="1134"/>
      <c r="DT8" s="1134"/>
      <c r="DU8" s="1134"/>
      <c r="DV8" s="1134"/>
      <c r="DW8" s="1134"/>
      <c r="DX8" s="1134"/>
      <c r="DY8" s="1134"/>
      <c r="DZ8" s="1147"/>
      <c r="EA8" s="834"/>
      <c r="EB8" s="834"/>
      <c r="EC8" s="834"/>
      <c r="ED8" s="834"/>
      <c r="EE8" s="834"/>
      <c r="EF8" s="834"/>
      <c r="EG8" s="834"/>
    </row>
    <row r="9" spans="1:137" s="806" customFormat="1" ht="60" customHeight="1">
      <c r="A9" s="827" t="s">
        <v>148</v>
      </c>
      <c r="B9" s="826" t="s">
        <v>149</v>
      </c>
      <c r="C9" s="1032"/>
      <c r="D9" s="1406"/>
      <c r="E9" s="841"/>
      <c r="F9" s="1032"/>
      <c r="G9" s="841"/>
      <c r="H9" s="1406"/>
      <c r="I9" s="1032"/>
      <c r="J9" s="1032"/>
      <c r="K9" s="1406"/>
      <c r="L9" s="1032"/>
      <c r="M9" s="1032"/>
      <c r="N9" s="1032"/>
      <c r="O9" s="1032"/>
      <c r="P9" s="1032"/>
      <c r="Q9" s="1032"/>
      <c r="R9" s="1032"/>
      <c r="S9" s="1032"/>
      <c r="T9" s="1032"/>
      <c r="U9" s="1032"/>
      <c r="V9" s="1032"/>
      <c r="W9" s="1032"/>
      <c r="X9" s="1394"/>
      <c r="Y9" s="1032"/>
      <c r="Z9" s="1032"/>
      <c r="AA9" s="1032"/>
      <c r="AB9" s="1032"/>
      <c r="AC9" s="1032"/>
      <c r="AD9" s="1033"/>
      <c r="AE9" s="1033"/>
      <c r="AF9" s="1423"/>
      <c r="AG9" s="1417"/>
      <c r="AH9" s="1033"/>
      <c r="AI9" s="1033"/>
      <c r="AJ9" s="1033"/>
      <c r="AK9" s="1417"/>
      <c r="AL9" s="1417"/>
      <c r="AM9" s="1417"/>
      <c r="AN9" s="1033"/>
      <c r="AO9" s="1033"/>
      <c r="AP9" s="1033"/>
      <c r="AQ9" s="1033"/>
      <c r="AR9" s="1033"/>
      <c r="AS9" s="1033"/>
      <c r="AT9" s="1033"/>
      <c r="AU9" s="1033"/>
      <c r="AV9" s="1417"/>
      <c r="AW9" s="1423"/>
      <c r="AX9" s="1033"/>
      <c r="AY9" s="1033"/>
      <c r="AZ9" s="1033"/>
      <c r="BA9" s="1033"/>
      <c r="BB9" s="1033"/>
      <c r="BC9" s="1033"/>
      <c r="BD9" s="1033"/>
      <c r="BE9" s="1033"/>
      <c r="BF9" s="1033"/>
      <c r="BG9" s="1033"/>
      <c r="BH9" s="1033"/>
      <c r="BI9" s="1033"/>
      <c r="BJ9" s="1033"/>
      <c r="BK9" s="1033"/>
      <c r="BL9" s="1033"/>
      <c r="BM9" s="1033"/>
      <c r="BN9" s="1033"/>
      <c r="BO9" s="1033"/>
      <c r="BP9" s="1033"/>
      <c r="BQ9" s="1033"/>
      <c r="BR9" s="1033"/>
      <c r="BS9" s="1033"/>
      <c r="BT9" s="1033"/>
      <c r="BU9" s="1033"/>
      <c r="BV9" s="1033"/>
      <c r="BW9" s="1033"/>
      <c r="BX9" s="1033"/>
      <c r="BY9" s="1032"/>
      <c r="BZ9" s="1033"/>
      <c r="CA9" s="1142">
        <f t="shared" si="2"/>
        <v>0</v>
      </c>
      <c r="CB9" s="1153"/>
      <c r="CC9" s="1134"/>
      <c r="CD9" s="1134"/>
      <c r="CE9" s="1134"/>
      <c r="CF9" s="1134"/>
      <c r="CG9" s="1134"/>
      <c r="CH9" s="1134"/>
      <c r="CI9" s="1134"/>
      <c r="CJ9" s="1134"/>
      <c r="CK9" s="1134"/>
      <c r="CL9" s="1134"/>
      <c r="CM9" s="1134"/>
      <c r="CN9" s="1134"/>
      <c r="CO9" s="1134"/>
      <c r="CP9" s="1134"/>
      <c r="CQ9" s="1134"/>
      <c r="CR9" s="1134"/>
      <c r="CS9" s="1134"/>
      <c r="CT9" s="1134"/>
      <c r="CU9" s="1134"/>
      <c r="CV9" s="1134"/>
      <c r="CW9" s="1134"/>
      <c r="CX9" s="1134"/>
      <c r="CY9" s="1134"/>
      <c r="CZ9" s="1134"/>
      <c r="DA9" s="1134"/>
      <c r="DB9" s="1134"/>
      <c r="DC9" s="1134"/>
      <c r="DD9" s="1134"/>
      <c r="DE9" s="1134"/>
      <c r="DF9" s="1134"/>
      <c r="DG9" s="1134"/>
      <c r="DH9" s="1134"/>
      <c r="DI9" s="1134"/>
      <c r="DJ9" s="1134"/>
      <c r="DK9" s="1134"/>
      <c r="DL9" s="1134"/>
      <c r="DM9" s="1134"/>
      <c r="DN9" s="1134"/>
      <c r="DO9" s="1134"/>
      <c r="DP9" s="1134"/>
      <c r="DQ9" s="1134"/>
      <c r="DR9" s="1134"/>
      <c r="DS9" s="1134"/>
      <c r="DT9" s="1134"/>
      <c r="DU9" s="1134"/>
      <c r="DV9" s="1134"/>
      <c r="DW9" s="1134"/>
      <c r="DX9" s="1134"/>
      <c r="DY9" s="1134"/>
      <c r="DZ9" s="1147"/>
      <c r="EA9" s="834"/>
      <c r="EB9" s="834"/>
      <c r="EC9" s="834"/>
      <c r="ED9" s="834"/>
      <c r="EE9" s="834"/>
      <c r="EF9" s="834"/>
      <c r="EG9" s="834"/>
    </row>
    <row r="10" spans="1:137" s="806" customFormat="1" ht="39.950000000000003" customHeight="1">
      <c r="A10" s="825" t="s">
        <v>150</v>
      </c>
      <c r="B10" s="826" t="s">
        <v>151</v>
      </c>
      <c r="C10" s="1032"/>
      <c r="D10" s="1406"/>
      <c r="E10" s="1032">
        <f>E11+E12+E13+E14+E15+E16</f>
        <v>0</v>
      </c>
      <c r="F10" s="1032">
        <f>F11+F12+F13+F14+F15+F16</f>
        <v>0</v>
      </c>
      <c r="G10" s="1032">
        <f>G11+G12+G13+G14+G15+G16</f>
        <v>0</v>
      </c>
      <c r="H10" s="1406"/>
      <c r="I10" s="1032">
        <f>I11+I12+I13+I14+I15+I16+I17</f>
        <v>0</v>
      </c>
      <c r="J10" s="1032">
        <f>J11+J12+J13+J14+J15+J16+J17</f>
        <v>0</v>
      </c>
      <c r="K10" s="1406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2"/>
      <c r="X10" s="1394"/>
      <c r="Y10" s="1032"/>
      <c r="Z10" s="1032"/>
      <c r="AA10" s="1032"/>
      <c r="AB10" s="1032"/>
      <c r="AC10" s="1032"/>
      <c r="AD10" s="1033"/>
      <c r="AE10" s="1032"/>
      <c r="AF10" s="1423"/>
      <c r="AG10" s="1417"/>
      <c r="AH10" s="1033"/>
      <c r="AI10" s="1033"/>
      <c r="AJ10" s="1033"/>
      <c r="AK10" s="1417">
        <f>AK14+AK16</f>
        <v>5110032</v>
      </c>
      <c r="AL10" s="1417"/>
      <c r="AM10" s="1417"/>
      <c r="AN10" s="1033"/>
      <c r="AO10" s="1033"/>
      <c r="AP10" s="1033"/>
      <c r="AQ10" s="1033"/>
      <c r="AR10" s="1033"/>
      <c r="AS10" s="1033"/>
      <c r="AT10" s="1033"/>
      <c r="AU10" s="1033"/>
      <c r="AV10" s="1417"/>
      <c r="AW10" s="1423"/>
      <c r="AX10" s="1033"/>
      <c r="AY10" s="1033"/>
      <c r="AZ10" s="1033"/>
      <c r="BA10" s="1033"/>
      <c r="BB10" s="1033"/>
      <c r="BC10" s="1033"/>
      <c r="BD10" s="1033"/>
      <c r="BE10" s="1033"/>
      <c r="BF10" s="1033"/>
      <c r="BG10" s="1033"/>
      <c r="BH10" s="1033"/>
      <c r="BI10" s="1033"/>
      <c r="BJ10" s="1033"/>
      <c r="BK10" s="1033"/>
      <c r="BL10" s="1033"/>
      <c r="BM10" s="1033"/>
      <c r="BN10" s="1033"/>
      <c r="BO10" s="1033"/>
      <c r="BP10" s="1033"/>
      <c r="BQ10" s="1033"/>
      <c r="BR10" s="1033"/>
      <c r="BS10" s="1033"/>
      <c r="BT10" s="1033"/>
      <c r="BU10" s="1033"/>
      <c r="BV10" s="1033"/>
      <c r="BW10" s="1033"/>
      <c r="BX10" s="1033"/>
      <c r="BY10" s="1032"/>
      <c r="BZ10" s="1033"/>
      <c r="CA10" s="1142">
        <f t="shared" si="2"/>
        <v>5110032</v>
      </c>
      <c r="CB10" s="1153"/>
      <c r="CC10" s="1134"/>
      <c r="CD10" s="1134"/>
      <c r="CE10" s="1134"/>
      <c r="CF10" s="1134"/>
      <c r="CG10" s="1134"/>
      <c r="CH10" s="1134"/>
      <c r="CI10" s="1134"/>
      <c r="CJ10" s="1134"/>
      <c r="CK10" s="1134"/>
      <c r="CL10" s="1134"/>
      <c r="CM10" s="1134"/>
      <c r="CN10" s="1134"/>
      <c r="CO10" s="1134"/>
      <c r="CP10" s="1134"/>
      <c r="CQ10" s="1134"/>
      <c r="CR10" s="1134"/>
      <c r="CS10" s="1134"/>
      <c r="CT10" s="1134"/>
      <c r="CU10" s="1134"/>
      <c r="CV10" s="1134"/>
      <c r="CW10" s="1134"/>
      <c r="CX10" s="1134"/>
      <c r="CY10" s="1134"/>
      <c r="CZ10" s="1134"/>
      <c r="DA10" s="1134"/>
      <c r="DB10" s="1134"/>
      <c r="DC10" s="1134"/>
      <c r="DD10" s="1134"/>
      <c r="DE10" s="1134"/>
      <c r="DF10" s="1134"/>
      <c r="DG10" s="1134"/>
      <c r="DH10" s="1134"/>
      <c r="DI10" s="1134"/>
      <c r="DJ10" s="1134"/>
      <c r="DK10" s="1134"/>
      <c r="DL10" s="1134"/>
      <c r="DM10" s="1134"/>
      <c r="DN10" s="1134"/>
      <c r="DO10" s="1134"/>
      <c r="DP10" s="1134"/>
      <c r="DQ10" s="1134"/>
      <c r="DR10" s="1134"/>
      <c r="DS10" s="1134"/>
      <c r="DT10" s="1134"/>
      <c r="DU10" s="1134"/>
      <c r="DV10" s="1134"/>
      <c r="DW10" s="1134"/>
      <c r="DX10" s="1134"/>
      <c r="DY10" s="1134"/>
      <c r="DZ10" s="1147"/>
      <c r="EA10" s="834"/>
      <c r="EB10" s="834"/>
      <c r="EC10" s="834"/>
      <c r="ED10" s="834"/>
      <c r="EE10" s="834"/>
      <c r="EF10" s="834"/>
      <c r="EG10" s="834"/>
    </row>
    <row r="11" spans="1:137" s="806" customFormat="1" ht="39.950000000000003" customHeight="1">
      <c r="A11" s="827" t="s">
        <v>152</v>
      </c>
      <c r="B11" s="825" t="s">
        <v>153</v>
      </c>
      <c r="C11" s="1032"/>
      <c r="D11" s="1406"/>
      <c r="E11" s="1032"/>
      <c r="F11" s="1032"/>
      <c r="G11" s="841"/>
      <c r="H11" s="1406"/>
      <c r="I11" s="1032"/>
      <c r="J11" s="1032"/>
      <c r="K11" s="1406"/>
      <c r="L11" s="1032"/>
      <c r="M11" s="1032"/>
      <c r="N11" s="1032"/>
      <c r="O11" s="1032"/>
      <c r="P11" s="1032"/>
      <c r="Q11" s="1032"/>
      <c r="R11" s="1032"/>
      <c r="S11" s="1032"/>
      <c r="T11" s="1032"/>
      <c r="U11" s="1032"/>
      <c r="V11" s="1032"/>
      <c r="W11" s="1032"/>
      <c r="X11" s="1394"/>
      <c r="Y11" s="1032"/>
      <c r="Z11" s="1032"/>
      <c r="AA11" s="1032"/>
      <c r="AB11" s="1032"/>
      <c r="AC11" s="1032"/>
      <c r="AD11" s="1033"/>
      <c r="AE11" s="1033"/>
      <c r="AF11" s="1438">
        <f>Отчет!J141+Отчет!J153</f>
        <v>144733158.80000001</v>
      </c>
      <c r="AG11" s="1415"/>
      <c r="AH11" s="1033"/>
      <c r="AI11" s="1033"/>
      <c r="AJ11" s="1033"/>
      <c r="AK11" s="1417"/>
      <c r="AL11" s="1417"/>
      <c r="AM11" s="1417"/>
      <c r="AN11" s="1033"/>
      <c r="AO11" s="1033"/>
      <c r="AP11" s="1033"/>
      <c r="AQ11" s="1033"/>
      <c r="AR11" s="1033"/>
      <c r="AS11" s="1033"/>
      <c r="AT11" s="1033"/>
      <c r="AU11" s="1033"/>
      <c r="AV11" s="1417"/>
      <c r="AW11" s="1423"/>
      <c r="AX11" s="1033"/>
      <c r="AY11" s="1033"/>
      <c r="AZ11" s="1033"/>
      <c r="BA11" s="1033"/>
      <c r="BB11" s="1033"/>
      <c r="BC11" s="1033"/>
      <c r="BD11" s="1033"/>
      <c r="BE11" s="1033"/>
      <c r="BF11" s="1033"/>
      <c r="BG11" s="1033"/>
      <c r="BH11" s="1033"/>
      <c r="BI11" s="1033"/>
      <c r="BJ11" s="1033"/>
      <c r="BK11" s="1033"/>
      <c r="BL11" s="1033"/>
      <c r="BM11" s="1033"/>
      <c r="BN11" s="1033"/>
      <c r="BO11" s="1033"/>
      <c r="BP11" s="1033"/>
      <c r="BQ11" s="1033"/>
      <c r="BR11" s="1033"/>
      <c r="BS11" s="1033"/>
      <c r="BT11" s="1033"/>
      <c r="BU11" s="1033"/>
      <c r="BV11" s="1033"/>
      <c r="BW11" s="1033"/>
      <c r="BX11" s="1033"/>
      <c r="BY11" s="1032"/>
      <c r="BZ11" s="1033"/>
      <c r="CA11" s="1142">
        <f t="shared" si="2"/>
        <v>144733158.80000001</v>
      </c>
      <c r="CB11" s="1153"/>
      <c r="CC11" s="1134"/>
      <c r="CD11" s="1134"/>
      <c r="CE11" s="1134"/>
      <c r="CF11" s="1134"/>
      <c r="CG11" s="1134"/>
      <c r="CH11" s="1134"/>
      <c r="CI11" s="1134"/>
      <c r="CJ11" s="1134"/>
      <c r="CK11" s="1134"/>
      <c r="CL11" s="1134"/>
      <c r="CM11" s="1134"/>
      <c r="CN11" s="1134"/>
      <c r="CO11" s="1134"/>
      <c r="CP11" s="1134"/>
      <c r="CQ11" s="1134"/>
      <c r="CR11" s="1134"/>
      <c r="CS11" s="1134"/>
      <c r="CT11" s="1134"/>
      <c r="CU11" s="1134"/>
      <c r="CV11" s="1134"/>
      <c r="CW11" s="1134"/>
      <c r="CX11" s="1134"/>
      <c r="CY11" s="1134"/>
      <c r="CZ11" s="1134"/>
      <c r="DA11" s="1134"/>
      <c r="DB11" s="1134"/>
      <c r="DC11" s="1134"/>
      <c r="DD11" s="1134"/>
      <c r="DE11" s="1134"/>
      <c r="DF11" s="1134"/>
      <c r="DG11" s="1134"/>
      <c r="DH11" s="1134"/>
      <c r="DI11" s="1134"/>
      <c r="DJ11" s="1134"/>
      <c r="DK11" s="1134"/>
      <c r="DL11" s="1134"/>
      <c r="DM11" s="1134"/>
      <c r="DN11" s="1134"/>
      <c r="DO11" s="1134"/>
      <c r="DP11" s="1134"/>
      <c r="DQ11" s="1134"/>
      <c r="DR11" s="1134"/>
      <c r="DS11" s="1134"/>
      <c r="DT11" s="1134"/>
      <c r="DU11" s="1134"/>
      <c r="DV11" s="1134"/>
      <c r="DW11" s="1134"/>
      <c r="DX11" s="1134"/>
      <c r="DY11" s="1134"/>
      <c r="DZ11" s="1147"/>
      <c r="EA11" s="834"/>
      <c r="EB11" s="834"/>
      <c r="EC11" s="834"/>
      <c r="ED11" s="834"/>
      <c r="EE11" s="834"/>
      <c r="EF11" s="834"/>
      <c r="EG11" s="834"/>
    </row>
    <row r="12" spans="1:137" s="806" customFormat="1" ht="39.950000000000003" customHeight="1">
      <c r="A12" s="827" t="s">
        <v>2621</v>
      </c>
      <c r="B12" s="825" t="s">
        <v>2623</v>
      </c>
      <c r="C12" s="1032"/>
      <c r="D12" s="1406"/>
      <c r="E12" s="1032"/>
      <c r="F12" s="1032"/>
      <c r="G12" s="841"/>
      <c r="H12" s="1406"/>
      <c r="I12" s="1032"/>
      <c r="J12" s="1032"/>
      <c r="K12" s="1406"/>
      <c r="L12" s="1032"/>
      <c r="M12" s="1032"/>
      <c r="N12" s="1032"/>
      <c r="O12" s="1032"/>
      <c r="P12" s="1032"/>
      <c r="Q12" s="1032"/>
      <c r="R12" s="1032"/>
      <c r="S12" s="1032"/>
      <c r="T12" s="1032"/>
      <c r="U12" s="1032"/>
      <c r="V12" s="1032"/>
      <c r="W12" s="1032"/>
      <c r="X12" s="1394"/>
      <c r="Y12" s="1032"/>
      <c r="Z12" s="1032"/>
      <c r="AA12" s="1032"/>
      <c r="AB12" s="1032"/>
      <c r="AC12" s="1032"/>
      <c r="AD12" s="1033"/>
      <c r="AE12" s="1033"/>
      <c r="AF12" s="1394"/>
      <c r="AG12" s="1415"/>
      <c r="AH12" s="1033"/>
      <c r="AI12" s="1033"/>
      <c r="AJ12" s="1033"/>
      <c r="AK12" s="1417"/>
      <c r="AL12" s="1417"/>
      <c r="AM12" s="1417"/>
      <c r="AN12" s="1033"/>
      <c r="AO12" s="1033"/>
      <c r="AP12" s="1033"/>
      <c r="AQ12" s="1033"/>
      <c r="AR12" s="1033"/>
      <c r="AS12" s="1033"/>
      <c r="AT12" s="1033"/>
      <c r="AU12" s="1033"/>
      <c r="AV12" s="1417"/>
      <c r="AW12" s="1423"/>
      <c r="AX12" s="1033"/>
      <c r="AY12" s="1033"/>
      <c r="AZ12" s="1033"/>
      <c r="BA12" s="1033"/>
      <c r="BB12" s="1033"/>
      <c r="BC12" s="1033"/>
      <c r="BD12" s="1033"/>
      <c r="BE12" s="1033"/>
      <c r="BF12" s="1033"/>
      <c r="BG12" s="1033"/>
      <c r="BH12" s="1033"/>
      <c r="BI12" s="1033"/>
      <c r="BJ12" s="1033"/>
      <c r="BK12" s="1033"/>
      <c r="BL12" s="1033"/>
      <c r="BM12" s="1033"/>
      <c r="BN12" s="1033"/>
      <c r="BO12" s="1033"/>
      <c r="BP12" s="1033"/>
      <c r="BQ12" s="1033"/>
      <c r="BR12" s="1033"/>
      <c r="BS12" s="1033"/>
      <c r="BT12" s="1033"/>
      <c r="BU12" s="1033"/>
      <c r="BV12" s="1033"/>
      <c r="BW12" s="1033"/>
      <c r="BX12" s="1033"/>
      <c r="BY12" s="1032"/>
      <c r="BZ12" s="1033"/>
      <c r="CA12" s="1142"/>
      <c r="CB12" s="1153"/>
      <c r="CC12" s="1134"/>
      <c r="CD12" s="1134"/>
      <c r="CE12" s="1134"/>
      <c r="CF12" s="1134"/>
      <c r="CG12" s="1134"/>
      <c r="CH12" s="1134"/>
      <c r="CI12" s="1134"/>
      <c r="CJ12" s="1134"/>
      <c r="CK12" s="1134"/>
      <c r="CL12" s="1134"/>
      <c r="CM12" s="1134"/>
      <c r="CN12" s="1134"/>
      <c r="CO12" s="1134"/>
      <c r="CP12" s="1134"/>
      <c r="CQ12" s="1134"/>
      <c r="CR12" s="1134"/>
      <c r="CS12" s="1134"/>
      <c r="CT12" s="1134"/>
      <c r="CU12" s="1134"/>
      <c r="CV12" s="1134"/>
      <c r="CW12" s="1134"/>
      <c r="CX12" s="1134"/>
      <c r="CY12" s="1134"/>
      <c r="CZ12" s="1134"/>
      <c r="DA12" s="1134"/>
      <c r="DB12" s="1134"/>
      <c r="DC12" s="1134"/>
      <c r="DD12" s="1134"/>
      <c r="DE12" s="1134"/>
      <c r="DF12" s="1134"/>
      <c r="DG12" s="1134"/>
      <c r="DH12" s="1134"/>
      <c r="DI12" s="1134"/>
      <c r="DJ12" s="1134"/>
      <c r="DK12" s="1134"/>
      <c r="DL12" s="1134"/>
      <c r="DM12" s="1134"/>
      <c r="DN12" s="1134"/>
      <c r="DO12" s="1134"/>
      <c r="DP12" s="1134"/>
      <c r="DQ12" s="1134"/>
      <c r="DR12" s="1134"/>
      <c r="DS12" s="1134"/>
      <c r="DT12" s="1134"/>
      <c r="DU12" s="1134"/>
      <c r="DV12" s="1134"/>
      <c r="DW12" s="1134"/>
      <c r="DX12" s="1134"/>
      <c r="DY12" s="1134"/>
      <c r="DZ12" s="1147"/>
      <c r="EA12" s="834"/>
      <c r="EB12" s="834"/>
      <c r="EC12" s="834"/>
      <c r="ED12" s="834"/>
      <c r="EE12" s="834"/>
      <c r="EF12" s="834"/>
      <c r="EG12" s="834"/>
    </row>
    <row r="13" spans="1:137" s="806" customFormat="1" ht="39.950000000000003" customHeight="1">
      <c r="A13" s="827" t="s">
        <v>2622</v>
      </c>
      <c r="B13" s="825" t="s">
        <v>2624</v>
      </c>
      <c r="C13" s="1032"/>
      <c r="D13" s="1406"/>
      <c r="E13" s="1032"/>
      <c r="F13" s="1032"/>
      <c r="G13" s="841"/>
      <c r="H13" s="1406"/>
      <c r="I13" s="1032"/>
      <c r="J13" s="1032"/>
      <c r="K13" s="1406"/>
      <c r="L13" s="1032"/>
      <c r="M13" s="1032"/>
      <c r="N13" s="1032"/>
      <c r="O13" s="1032"/>
      <c r="P13" s="1032"/>
      <c r="Q13" s="1032"/>
      <c r="R13" s="1032"/>
      <c r="S13" s="1032"/>
      <c r="T13" s="1032"/>
      <c r="U13" s="1032"/>
      <c r="V13" s="1032"/>
      <c r="W13" s="1032"/>
      <c r="X13" s="1394"/>
      <c r="Y13" s="1032"/>
      <c r="Z13" s="1032"/>
      <c r="AA13" s="1032"/>
      <c r="AB13" s="1032"/>
      <c r="AC13" s="1032"/>
      <c r="AD13" s="1033"/>
      <c r="AE13" s="1033"/>
      <c r="AF13" s="1394"/>
      <c r="AG13" s="1415"/>
      <c r="AH13" s="1033"/>
      <c r="AI13" s="1033"/>
      <c r="AJ13" s="1033"/>
      <c r="AK13" s="1417"/>
      <c r="AL13" s="1417"/>
      <c r="AM13" s="1417"/>
      <c r="AN13" s="1033"/>
      <c r="AO13" s="1033"/>
      <c r="AP13" s="1033"/>
      <c r="AQ13" s="1033"/>
      <c r="AR13" s="1033"/>
      <c r="AS13" s="1033"/>
      <c r="AT13" s="1033"/>
      <c r="AU13" s="1033"/>
      <c r="AV13" s="1417"/>
      <c r="AW13" s="1423"/>
      <c r="AX13" s="1033"/>
      <c r="AY13" s="1033"/>
      <c r="AZ13" s="1033"/>
      <c r="BA13" s="1033"/>
      <c r="BB13" s="1033"/>
      <c r="BC13" s="1033"/>
      <c r="BD13" s="1033"/>
      <c r="BE13" s="1033"/>
      <c r="BF13" s="1033"/>
      <c r="BG13" s="1033"/>
      <c r="BH13" s="1033"/>
      <c r="BI13" s="1033"/>
      <c r="BJ13" s="1033"/>
      <c r="BK13" s="1033"/>
      <c r="BL13" s="1033"/>
      <c r="BM13" s="1033"/>
      <c r="BN13" s="1033"/>
      <c r="BO13" s="1033"/>
      <c r="BP13" s="1033"/>
      <c r="BQ13" s="1033"/>
      <c r="BR13" s="1033"/>
      <c r="BS13" s="1033"/>
      <c r="BT13" s="1033"/>
      <c r="BU13" s="1033"/>
      <c r="BV13" s="1033"/>
      <c r="BW13" s="1033"/>
      <c r="BX13" s="1033"/>
      <c r="BY13" s="1032"/>
      <c r="BZ13" s="1033"/>
      <c r="CA13" s="1142"/>
      <c r="CB13" s="1153"/>
      <c r="CC13" s="1134"/>
      <c r="CD13" s="1134"/>
      <c r="CE13" s="1134"/>
      <c r="CF13" s="1134"/>
      <c r="CG13" s="1134"/>
      <c r="CH13" s="1134"/>
      <c r="CI13" s="1134"/>
      <c r="CJ13" s="1134"/>
      <c r="CK13" s="1134"/>
      <c r="CL13" s="1134"/>
      <c r="CM13" s="1134"/>
      <c r="CN13" s="1134"/>
      <c r="CO13" s="1134"/>
      <c r="CP13" s="1134"/>
      <c r="CQ13" s="1134"/>
      <c r="CR13" s="1134"/>
      <c r="CS13" s="1134"/>
      <c r="CT13" s="1134"/>
      <c r="CU13" s="1134"/>
      <c r="CV13" s="1134"/>
      <c r="CW13" s="1134"/>
      <c r="CX13" s="1134"/>
      <c r="CY13" s="1134"/>
      <c r="CZ13" s="1134"/>
      <c r="DA13" s="1134"/>
      <c r="DB13" s="1134"/>
      <c r="DC13" s="1134"/>
      <c r="DD13" s="1134"/>
      <c r="DE13" s="1134"/>
      <c r="DF13" s="1134"/>
      <c r="DG13" s="1134"/>
      <c r="DH13" s="1134"/>
      <c r="DI13" s="1134"/>
      <c r="DJ13" s="1134"/>
      <c r="DK13" s="1134"/>
      <c r="DL13" s="1134"/>
      <c r="DM13" s="1134"/>
      <c r="DN13" s="1134"/>
      <c r="DO13" s="1134"/>
      <c r="DP13" s="1134"/>
      <c r="DQ13" s="1134"/>
      <c r="DR13" s="1134"/>
      <c r="DS13" s="1134"/>
      <c r="DT13" s="1134"/>
      <c r="DU13" s="1134"/>
      <c r="DV13" s="1134"/>
      <c r="DW13" s="1134"/>
      <c r="DX13" s="1134"/>
      <c r="DY13" s="1134"/>
      <c r="DZ13" s="1147"/>
      <c r="EA13" s="834"/>
      <c r="EB13" s="834"/>
      <c r="EC13" s="834"/>
      <c r="ED13" s="834"/>
      <c r="EE13" s="834"/>
      <c r="EF13" s="834"/>
      <c r="EG13" s="834"/>
    </row>
    <row r="14" spans="1:137" s="806" customFormat="1" ht="39.950000000000003" customHeight="1">
      <c r="A14" s="827" t="s">
        <v>154</v>
      </c>
      <c r="B14" s="826" t="s">
        <v>155</v>
      </c>
      <c r="C14" s="1032"/>
      <c r="D14" s="1406"/>
      <c r="E14" s="1032"/>
      <c r="F14" s="1032"/>
      <c r="G14" s="1032"/>
      <c r="H14" s="1406"/>
      <c r="I14" s="1032"/>
      <c r="J14" s="1032"/>
      <c r="K14" s="1406"/>
      <c r="L14" s="1032"/>
      <c r="M14" s="1032"/>
      <c r="N14" s="1032"/>
      <c r="O14" s="1032"/>
      <c r="P14" s="1032"/>
      <c r="Q14" s="1032"/>
      <c r="R14" s="1032"/>
      <c r="S14" s="1032"/>
      <c r="T14" s="1032"/>
      <c r="U14" s="1032"/>
      <c r="V14" s="1032"/>
      <c r="W14" s="1032"/>
      <c r="X14" s="1394"/>
      <c r="Y14" s="1032"/>
      <c r="Z14" s="1032"/>
      <c r="AA14" s="1032"/>
      <c r="AB14" s="1032"/>
      <c r="AC14" s="1032"/>
      <c r="AD14" s="1033"/>
      <c r="AE14" s="1033"/>
      <c r="AF14" s="1423"/>
      <c r="AG14" s="1417"/>
      <c r="AH14" s="1033"/>
      <c r="AI14" s="1033"/>
      <c r="AJ14" s="1033"/>
      <c r="AK14" s="1436">
        <f>'HF-HP2'!AA35</f>
        <v>1814689</v>
      </c>
      <c r="AL14" s="1415"/>
      <c r="AM14" s="1417"/>
      <c r="AN14" s="1033"/>
      <c r="AO14" s="1033"/>
      <c r="AP14" s="1033"/>
      <c r="AQ14" s="1033"/>
      <c r="AR14" s="1033"/>
      <c r="AS14" s="1033"/>
      <c r="AT14" s="1033"/>
      <c r="AU14" s="1033"/>
      <c r="AV14" s="1417"/>
      <c r="AW14" s="1423"/>
      <c r="AX14" s="1033"/>
      <c r="AY14" s="1033"/>
      <c r="AZ14" s="1033"/>
      <c r="BA14" s="1033"/>
      <c r="BB14" s="1033"/>
      <c r="BC14" s="1033"/>
      <c r="BD14" s="1033"/>
      <c r="BE14" s="1033"/>
      <c r="BF14" s="1033"/>
      <c r="BG14" s="1033"/>
      <c r="BH14" s="1033"/>
      <c r="BI14" s="1033"/>
      <c r="BJ14" s="1033"/>
      <c r="BK14" s="1033"/>
      <c r="BL14" s="1033"/>
      <c r="BM14" s="1033"/>
      <c r="BN14" s="1033"/>
      <c r="BO14" s="1033"/>
      <c r="BP14" s="1033"/>
      <c r="BQ14" s="1033"/>
      <c r="BR14" s="1033"/>
      <c r="BS14" s="1033"/>
      <c r="BT14" s="1033"/>
      <c r="BU14" s="1033"/>
      <c r="BV14" s="1033"/>
      <c r="BW14" s="1033"/>
      <c r="BX14" s="1033"/>
      <c r="BY14" s="1032"/>
      <c r="BZ14" s="1033"/>
      <c r="CA14" s="1142">
        <f t="shared" si="2"/>
        <v>1814689</v>
      </c>
      <c r="CB14" s="1153"/>
      <c r="CC14" s="1134"/>
      <c r="CD14" s="1134"/>
      <c r="CE14" s="1134"/>
      <c r="CF14" s="1134"/>
      <c r="CG14" s="1134"/>
      <c r="CH14" s="1134"/>
      <c r="CI14" s="1134"/>
      <c r="CJ14" s="1134"/>
      <c r="CK14" s="1134"/>
      <c r="CL14" s="1134"/>
      <c r="CM14" s="1134"/>
      <c r="CN14" s="1134"/>
      <c r="CO14" s="1134"/>
      <c r="CP14" s="1134"/>
      <c r="CQ14" s="1134"/>
      <c r="CR14" s="1134"/>
      <c r="CS14" s="1134"/>
      <c r="CT14" s="1134"/>
      <c r="CU14" s="1134"/>
      <c r="CV14" s="1134"/>
      <c r="CW14" s="1134"/>
      <c r="CX14" s="1134"/>
      <c r="CY14" s="1134"/>
      <c r="CZ14" s="1134"/>
      <c r="DA14" s="1134"/>
      <c r="DB14" s="1134"/>
      <c r="DC14" s="1134"/>
      <c r="DD14" s="1134"/>
      <c r="DE14" s="1134"/>
      <c r="DF14" s="1134"/>
      <c r="DG14" s="1134"/>
      <c r="DH14" s="1134"/>
      <c r="DI14" s="1134"/>
      <c r="DJ14" s="1134"/>
      <c r="DK14" s="1134"/>
      <c r="DL14" s="1134"/>
      <c r="DM14" s="1134"/>
      <c r="DN14" s="1134"/>
      <c r="DO14" s="1134"/>
      <c r="DP14" s="1134"/>
      <c r="DQ14" s="1134"/>
      <c r="DR14" s="1134"/>
      <c r="DS14" s="1134"/>
      <c r="DT14" s="1134"/>
      <c r="DU14" s="1134"/>
      <c r="DV14" s="1134"/>
      <c r="DW14" s="1134"/>
      <c r="DX14" s="1134"/>
      <c r="DY14" s="1134"/>
      <c r="DZ14" s="1147"/>
      <c r="EA14" s="834"/>
      <c r="EB14" s="834"/>
      <c r="EC14" s="834"/>
      <c r="ED14" s="834"/>
      <c r="EE14" s="834"/>
      <c r="EF14" s="834"/>
      <c r="EG14" s="834"/>
    </row>
    <row r="15" spans="1:137" s="805" customFormat="1" ht="39.950000000000003" customHeight="1">
      <c r="A15" s="827" t="s">
        <v>156</v>
      </c>
      <c r="B15" s="826" t="s">
        <v>157</v>
      </c>
      <c r="C15" s="1032"/>
      <c r="D15" s="1406"/>
      <c r="E15" s="1032"/>
      <c r="F15" s="1032"/>
      <c r="G15" s="1032"/>
      <c r="H15" s="1406"/>
      <c r="I15" s="1032"/>
      <c r="J15" s="1032"/>
      <c r="K15" s="1406"/>
      <c r="L15" s="1032"/>
      <c r="M15" s="1032"/>
      <c r="N15" s="1032"/>
      <c r="O15" s="1032"/>
      <c r="P15" s="1032"/>
      <c r="Q15" s="1032"/>
      <c r="R15" s="1032"/>
      <c r="S15" s="1032"/>
      <c r="T15" s="1032"/>
      <c r="U15" s="1032"/>
      <c r="V15" s="1032"/>
      <c r="W15" s="1032"/>
      <c r="X15" s="1394"/>
      <c r="Y15" s="1032"/>
      <c r="Z15" s="1032"/>
      <c r="AA15" s="1032"/>
      <c r="AB15" s="1032"/>
      <c r="AC15" s="1032"/>
      <c r="AD15" s="1033"/>
      <c r="AE15" s="1033"/>
      <c r="AF15" s="1423">
        <f>'HF-HP2'!AA30</f>
        <v>14363297</v>
      </c>
      <c r="AG15" s="1415"/>
      <c r="AH15" s="1033"/>
      <c r="AI15" s="1033"/>
      <c r="AJ15" s="1033"/>
      <c r="AK15" s="1417"/>
      <c r="AL15" s="1415"/>
      <c r="AM15" s="1417"/>
      <c r="AN15" s="1033"/>
      <c r="AO15" s="1033"/>
      <c r="AP15" s="1033"/>
      <c r="AQ15" s="1033"/>
      <c r="AR15" s="1033"/>
      <c r="AS15" s="1033"/>
      <c r="AT15" s="1033"/>
      <c r="AU15" s="1033"/>
      <c r="AV15" s="1417"/>
      <c r="AW15" s="1423"/>
      <c r="AX15" s="1033"/>
      <c r="AY15" s="1033"/>
      <c r="AZ15" s="1033"/>
      <c r="BA15" s="1033"/>
      <c r="BB15" s="1033"/>
      <c r="BC15" s="1033"/>
      <c r="BD15" s="1033"/>
      <c r="BE15" s="1033"/>
      <c r="BF15" s="1033"/>
      <c r="BG15" s="1033"/>
      <c r="BH15" s="1033"/>
      <c r="BI15" s="1033"/>
      <c r="BJ15" s="1033"/>
      <c r="BK15" s="1033"/>
      <c r="BL15" s="1033"/>
      <c r="BM15" s="1033"/>
      <c r="BN15" s="1033"/>
      <c r="BO15" s="1033"/>
      <c r="BP15" s="1033"/>
      <c r="BQ15" s="1033"/>
      <c r="BR15" s="1033"/>
      <c r="BS15" s="1033"/>
      <c r="BT15" s="1033"/>
      <c r="BU15" s="1033"/>
      <c r="BV15" s="1033"/>
      <c r="BW15" s="1033"/>
      <c r="BX15" s="1033"/>
      <c r="BY15" s="1032"/>
      <c r="BZ15" s="1033"/>
      <c r="CA15" s="1142">
        <f t="shared" si="2"/>
        <v>14363297</v>
      </c>
      <c r="CB15" s="1153"/>
      <c r="CC15" s="1134"/>
      <c r="CD15" s="1134"/>
      <c r="CE15" s="1134"/>
      <c r="CF15" s="1134"/>
      <c r="CG15" s="1134"/>
      <c r="CH15" s="1134"/>
      <c r="CI15" s="1134"/>
      <c r="CJ15" s="1134"/>
      <c r="CK15" s="1134"/>
      <c r="CL15" s="1134"/>
      <c r="CM15" s="1134"/>
      <c r="CN15" s="1134"/>
      <c r="CO15" s="1134"/>
      <c r="CP15" s="1134"/>
      <c r="CQ15" s="1134"/>
      <c r="CR15" s="1134"/>
      <c r="CS15" s="1134"/>
      <c r="CT15" s="1134"/>
      <c r="CU15" s="1134"/>
      <c r="CV15" s="1134"/>
      <c r="CW15" s="1134"/>
      <c r="CX15" s="1134"/>
      <c r="CY15" s="1134"/>
      <c r="CZ15" s="1134"/>
      <c r="DA15" s="1134"/>
      <c r="DB15" s="1134"/>
      <c r="DC15" s="1134"/>
      <c r="DD15" s="1134"/>
      <c r="DE15" s="1134"/>
      <c r="DF15" s="1134"/>
      <c r="DG15" s="1134"/>
      <c r="DH15" s="1134"/>
      <c r="DI15" s="1134"/>
      <c r="DJ15" s="1134"/>
      <c r="DK15" s="1134"/>
      <c r="DL15" s="1134"/>
      <c r="DM15" s="1134"/>
      <c r="DN15" s="1134"/>
      <c r="DO15" s="1134"/>
      <c r="DP15" s="1134"/>
      <c r="DQ15" s="1134"/>
      <c r="DR15" s="1134"/>
      <c r="DS15" s="1134"/>
      <c r="DT15" s="1134"/>
      <c r="DU15" s="1134"/>
      <c r="DV15" s="1134"/>
      <c r="DW15" s="1134"/>
      <c r="DX15" s="1134"/>
      <c r="DY15" s="1134"/>
      <c r="DZ15" s="1147"/>
      <c r="EA15" s="834"/>
      <c r="EB15" s="834"/>
      <c r="EC15" s="834"/>
      <c r="ED15" s="834"/>
      <c r="EE15" s="834"/>
      <c r="EF15" s="834"/>
      <c r="EG15" s="834"/>
    </row>
    <row r="16" spans="1:137" s="824" customFormat="1" ht="39.950000000000003" customHeight="1">
      <c r="A16" s="828" t="s">
        <v>158</v>
      </c>
      <c r="B16" s="922" t="s">
        <v>159</v>
      </c>
      <c r="C16" s="1032"/>
      <c r="D16" s="1406"/>
      <c r="E16" s="1032"/>
      <c r="F16" s="1032"/>
      <c r="G16" s="1032"/>
      <c r="H16" s="1406"/>
      <c r="I16" s="1032"/>
      <c r="J16" s="1032"/>
      <c r="K16" s="1406"/>
      <c r="L16" s="1032"/>
      <c r="M16" s="1032"/>
      <c r="N16" s="1032"/>
      <c r="O16" s="1032"/>
      <c r="P16" s="1032"/>
      <c r="Q16" s="1032"/>
      <c r="R16" s="1032"/>
      <c r="S16" s="1032"/>
      <c r="T16" s="1032"/>
      <c r="U16" s="1032"/>
      <c r="V16" s="1032"/>
      <c r="W16" s="1032"/>
      <c r="X16" s="1394"/>
      <c r="Y16" s="1032"/>
      <c r="Z16" s="1032"/>
      <c r="AA16" s="1032"/>
      <c r="AB16" s="1032"/>
      <c r="AC16" s="1032"/>
      <c r="AD16" s="1033"/>
      <c r="AE16" s="1033"/>
      <c r="AF16" s="1423"/>
      <c r="AG16" s="1417"/>
      <c r="AH16" s="1033"/>
      <c r="AI16" s="1033"/>
      <c r="AJ16" s="1033"/>
      <c r="AK16" s="1417">
        <f>AL16</f>
        <v>3295343</v>
      </c>
      <c r="AL16" s="1417">
        <f>'HF-HP2'!AA36</f>
        <v>3295343</v>
      </c>
      <c r="AM16" s="1417"/>
      <c r="AN16" s="1033"/>
      <c r="AO16" s="1033"/>
      <c r="AP16" s="1033"/>
      <c r="AQ16" s="1033"/>
      <c r="AR16" s="1033"/>
      <c r="AS16" s="1033"/>
      <c r="AT16" s="1033"/>
      <c r="AU16" s="1033"/>
      <c r="AV16" s="1417"/>
      <c r="AW16" s="1423"/>
      <c r="AX16" s="1033"/>
      <c r="AY16" s="1033"/>
      <c r="AZ16" s="1033"/>
      <c r="BA16" s="1033"/>
      <c r="BB16" s="1033"/>
      <c r="BC16" s="1033"/>
      <c r="BD16" s="1033"/>
      <c r="BE16" s="1033"/>
      <c r="BF16" s="1033"/>
      <c r="BG16" s="1033"/>
      <c r="BH16" s="1033"/>
      <c r="BI16" s="1033"/>
      <c r="BJ16" s="1033"/>
      <c r="BK16" s="1033"/>
      <c r="BL16" s="1033"/>
      <c r="BM16" s="1033"/>
      <c r="BN16" s="1033"/>
      <c r="BO16" s="1033"/>
      <c r="BP16" s="1033"/>
      <c r="BQ16" s="1033"/>
      <c r="BR16" s="1033"/>
      <c r="BS16" s="1033"/>
      <c r="BT16" s="1033"/>
      <c r="BU16" s="1033"/>
      <c r="BV16" s="1033"/>
      <c r="BW16" s="1033"/>
      <c r="BX16" s="1033"/>
      <c r="BY16" s="1032"/>
      <c r="BZ16" s="1033"/>
      <c r="CA16" s="1142">
        <f t="shared" si="2"/>
        <v>6590686</v>
      </c>
      <c r="CB16" s="1153"/>
      <c r="CC16" s="1134"/>
      <c r="CD16" s="1134"/>
      <c r="CE16" s="1134"/>
      <c r="CF16" s="1134"/>
      <c r="CG16" s="1134"/>
      <c r="CH16" s="1134"/>
      <c r="CI16" s="1134"/>
      <c r="CJ16" s="1134"/>
      <c r="CK16" s="1134"/>
      <c r="CL16" s="1134"/>
      <c r="CM16" s="1134"/>
      <c r="CN16" s="1134"/>
      <c r="CO16" s="1134"/>
      <c r="CP16" s="1134"/>
      <c r="CQ16" s="1134"/>
      <c r="CR16" s="1134"/>
      <c r="CS16" s="1134"/>
      <c r="CT16" s="1134"/>
      <c r="CU16" s="1134"/>
      <c r="CV16" s="1134"/>
      <c r="CW16" s="1134"/>
      <c r="CX16" s="1134"/>
      <c r="CY16" s="1134"/>
      <c r="CZ16" s="1134"/>
      <c r="DA16" s="1134"/>
      <c r="DB16" s="1134"/>
      <c r="DC16" s="1134"/>
      <c r="DD16" s="1134"/>
      <c r="DE16" s="1134"/>
      <c r="DF16" s="1134"/>
      <c r="DG16" s="1134"/>
      <c r="DH16" s="1134"/>
      <c r="DI16" s="1134"/>
      <c r="DJ16" s="1134"/>
      <c r="DK16" s="1134"/>
      <c r="DL16" s="1134"/>
      <c r="DM16" s="1134"/>
      <c r="DN16" s="1134"/>
      <c r="DO16" s="1134"/>
      <c r="DP16" s="1134"/>
      <c r="DQ16" s="1134"/>
      <c r="DR16" s="1134"/>
      <c r="DS16" s="1134"/>
      <c r="DT16" s="1134"/>
      <c r="DU16" s="1134"/>
      <c r="DV16" s="1134"/>
      <c r="DW16" s="1134"/>
      <c r="DX16" s="1134"/>
      <c r="DY16" s="1134"/>
      <c r="DZ16" s="1147"/>
      <c r="EA16" s="834"/>
      <c r="EB16" s="834"/>
      <c r="EC16" s="834"/>
      <c r="ED16" s="834"/>
      <c r="EE16" s="834"/>
      <c r="EF16" s="834"/>
      <c r="EG16" s="834"/>
    </row>
    <row r="17" spans="1:137" s="805" customFormat="1" ht="39.950000000000003" customHeight="1">
      <c r="A17" s="825" t="s">
        <v>160</v>
      </c>
      <c r="B17" s="826" t="s">
        <v>161</v>
      </c>
      <c r="C17" s="1030"/>
      <c r="D17" s="1406"/>
      <c r="E17" s="1030"/>
      <c r="F17" s="1030"/>
      <c r="G17" s="1030"/>
      <c r="H17" s="1406"/>
      <c r="I17" s="1030"/>
      <c r="J17" s="1030"/>
      <c r="K17" s="1406"/>
      <c r="L17" s="1030"/>
      <c r="M17" s="1030"/>
      <c r="N17" s="1030"/>
      <c r="O17" s="1030"/>
      <c r="P17" s="1030"/>
      <c r="Q17" s="1030"/>
      <c r="R17" s="1030"/>
      <c r="S17" s="1030"/>
      <c r="T17" s="1030"/>
      <c r="U17" s="1030"/>
      <c r="V17" s="1030"/>
      <c r="W17" s="1030"/>
      <c r="X17" s="1394"/>
      <c r="Y17" s="1030"/>
      <c r="Z17" s="1030"/>
      <c r="AA17" s="1030"/>
      <c r="AB17" s="1030"/>
      <c r="AC17" s="1030"/>
      <c r="AD17" s="1035"/>
      <c r="AE17" s="1035"/>
      <c r="AF17" s="1423"/>
      <c r="AG17" s="1417"/>
      <c r="AH17" s="1035"/>
      <c r="AI17" s="1035"/>
      <c r="AJ17" s="1035"/>
      <c r="AK17" s="1417"/>
      <c r="AL17" s="1417"/>
      <c r="AM17" s="1417"/>
      <c r="AN17" s="1035"/>
      <c r="AO17" s="1035"/>
      <c r="AP17" s="1035"/>
      <c r="AQ17" s="1035"/>
      <c r="AR17" s="1035"/>
      <c r="AS17" s="1035"/>
      <c r="AT17" s="1035"/>
      <c r="AU17" s="1035"/>
      <c r="AV17" s="1417"/>
      <c r="AW17" s="1423"/>
      <c r="AX17" s="1035"/>
      <c r="AY17" s="1035"/>
      <c r="AZ17" s="1035"/>
      <c r="BA17" s="1035"/>
      <c r="BB17" s="1035"/>
      <c r="BC17" s="1035"/>
      <c r="BD17" s="1035"/>
      <c r="BE17" s="1035"/>
      <c r="BF17" s="1035"/>
      <c r="BG17" s="1035"/>
      <c r="BH17" s="1035"/>
      <c r="BI17" s="1035"/>
      <c r="BJ17" s="1035"/>
      <c r="BK17" s="1035"/>
      <c r="BL17" s="1035"/>
      <c r="BM17" s="1035"/>
      <c r="BN17" s="1035"/>
      <c r="BO17" s="1035"/>
      <c r="BP17" s="1035"/>
      <c r="BQ17" s="1035"/>
      <c r="BR17" s="1035"/>
      <c r="BS17" s="1035"/>
      <c r="BT17" s="1035"/>
      <c r="BU17" s="1035"/>
      <c r="BV17" s="1035"/>
      <c r="BW17" s="1035"/>
      <c r="BX17" s="1035"/>
      <c r="BY17" s="1030"/>
      <c r="BZ17" s="1035"/>
      <c r="CA17" s="1142">
        <f t="shared" si="2"/>
        <v>0</v>
      </c>
      <c r="CB17" s="1153"/>
      <c r="CC17" s="1134"/>
      <c r="CD17" s="1134"/>
      <c r="CE17" s="1134"/>
      <c r="CF17" s="1134"/>
      <c r="CG17" s="1134"/>
      <c r="CH17" s="1134"/>
      <c r="CI17" s="1134"/>
      <c r="CJ17" s="1134"/>
      <c r="CK17" s="1134"/>
      <c r="CL17" s="1134"/>
      <c r="CM17" s="1134"/>
      <c r="CN17" s="1134"/>
      <c r="CO17" s="1134"/>
      <c r="CP17" s="1134"/>
      <c r="CQ17" s="1134"/>
      <c r="CR17" s="1134"/>
      <c r="CS17" s="1134"/>
      <c r="CT17" s="1134"/>
      <c r="CU17" s="1134"/>
      <c r="CV17" s="1134"/>
      <c r="CW17" s="1134"/>
      <c r="CX17" s="1134"/>
      <c r="CY17" s="1134"/>
      <c r="CZ17" s="1134"/>
      <c r="DA17" s="1134"/>
      <c r="DB17" s="1134"/>
      <c r="DC17" s="1134"/>
      <c r="DD17" s="1134"/>
      <c r="DE17" s="1134"/>
      <c r="DF17" s="1134"/>
      <c r="DG17" s="1134"/>
      <c r="DH17" s="1134"/>
      <c r="DI17" s="1134"/>
      <c r="DJ17" s="1134"/>
      <c r="DK17" s="1134"/>
      <c r="DL17" s="1134"/>
      <c r="DM17" s="1134"/>
      <c r="DN17" s="1134"/>
      <c r="DO17" s="1134"/>
      <c r="DP17" s="1134"/>
      <c r="DQ17" s="1134"/>
      <c r="DR17" s="1134"/>
      <c r="DS17" s="1134"/>
      <c r="DT17" s="1134"/>
      <c r="DU17" s="1134"/>
      <c r="DV17" s="1134"/>
      <c r="DW17" s="1134"/>
      <c r="DX17" s="1134"/>
      <c r="DY17" s="1134"/>
      <c r="DZ17" s="1147"/>
      <c r="EA17" s="834"/>
      <c r="EB17" s="834"/>
      <c r="EC17" s="834"/>
      <c r="ED17" s="834"/>
      <c r="EE17" s="834"/>
      <c r="EF17" s="834"/>
      <c r="EG17" s="834"/>
    </row>
    <row r="18" spans="1:137" s="1415" customFormat="1" ht="39.950000000000003" customHeight="1">
      <c r="A18" s="1416" t="s">
        <v>162</v>
      </c>
      <c r="B18" s="1416" t="s">
        <v>163</v>
      </c>
      <c r="C18" s="1406">
        <f>D18+H18+K18</f>
        <v>4882386.8845837582</v>
      </c>
      <c r="D18" s="1406"/>
      <c r="E18" s="1406"/>
      <c r="F18" s="1406"/>
      <c r="G18" s="1407"/>
      <c r="H18" s="1406"/>
      <c r="I18" s="1406"/>
      <c r="J18" s="1406"/>
      <c r="K18" s="1406">
        <f>K23+K22+K21+K20+K19</f>
        <v>4882386.8845837582</v>
      </c>
      <c r="L18" s="1406"/>
      <c r="M18" s="1406"/>
      <c r="N18" s="1406"/>
      <c r="O18" s="1406"/>
      <c r="P18" s="1406"/>
      <c r="Q18" s="1406"/>
      <c r="R18" s="1406"/>
      <c r="S18" s="1406"/>
      <c r="T18" s="1406"/>
      <c r="U18" s="1406"/>
      <c r="V18" s="1406"/>
      <c r="W18" s="1406"/>
      <c r="X18" s="1406"/>
      <c r="Y18" s="1406"/>
      <c r="Z18" s="1406"/>
      <c r="AA18" s="1406"/>
      <c r="AB18" s="1406"/>
      <c r="AC18" s="1406"/>
      <c r="AD18" s="1417"/>
      <c r="AE18" s="1417"/>
      <c r="AF18" s="1423"/>
      <c r="AG18" s="1417"/>
      <c r="AH18" s="1417"/>
      <c r="AI18" s="1417"/>
      <c r="AJ18" s="1417"/>
      <c r="AK18" s="1417"/>
      <c r="AL18" s="1417"/>
      <c r="AM18" s="1417"/>
      <c r="AN18" s="1417"/>
      <c r="AO18" s="1417"/>
      <c r="AP18" s="1417"/>
      <c r="AQ18" s="1417"/>
      <c r="AR18" s="1417"/>
      <c r="AS18" s="1417"/>
      <c r="AT18" s="1417"/>
      <c r="AU18" s="1417"/>
      <c r="AV18" s="1417"/>
      <c r="AW18" s="1423"/>
      <c r="AX18" s="1417"/>
      <c r="AY18" s="1417"/>
      <c r="AZ18" s="1417"/>
      <c r="BA18" s="1417"/>
      <c r="BB18" s="1417"/>
      <c r="BC18" s="1417"/>
      <c r="BD18" s="1417"/>
      <c r="BE18" s="1417"/>
      <c r="BF18" s="1417"/>
      <c r="BG18" s="1417"/>
      <c r="BH18" s="1417"/>
      <c r="BI18" s="1417"/>
      <c r="BJ18" s="1417"/>
      <c r="BK18" s="1417"/>
      <c r="BL18" s="1417"/>
      <c r="BM18" s="1417"/>
      <c r="BN18" s="1417"/>
      <c r="BO18" s="1417"/>
      <c r="BP18" s="1417"/>
      <c r="BQ18" s="1417"/>
      <c r="BR18" s="1417"/>
      <c r="BS18" s="1417"/>
      <c r="BT18" s="1417"/>
      <c r="BU18" s="1417"/>
      <c r="BV18" s="1417"/>
      <c r="BW18" s="1417"/>
      <c r="BX18" s="1417"/>
      <c r="BY18" s="1406"/>
      <c r="BZ18" s="1417"/>
      <c r="CA18" s="1418">
        <f t="shared" si="2"/>
        <v>9764773.7691675164</v>
      </c>
      <c r="CB18" s="1419"/>
      <c r="CC18" s="1413"/>
      <c r="CD18" s="1413"/>
      <c r="CE18" s="1413"/>
      <c r="CF18" s="1413"/>
      <c r="CG18" s="1413"/>
      <c r="CH18" s="1413"/>
      <c r="CI18" s="1413"/>
      <c r="CJ18" s="1413"/>
      <c r="CK18" s="1413"/>
      <c r="CL18" s="1413"/>
      <c r="CM18" s="1413"/>
      <c r="CN18" s="1413"/>
      <c r="CO18" s="1413"/>
      <c r="CP18" s="1413"/>
      <c r="CQ18" s="1413"/>
      <c r="CR18" s="1413"/>
      <c r="CS18" s="1413"/>
      <c r="CT18" s="1413"/>
      <c r="CU18" s="1413"/>
      <c r="CV18" s="1413"/>
      <c r="CW18" s="1413"/>
      <c r="CX18" s="1413"/>
      <c r="CY18" s="1413"/>
      <c r="CZ18" s="1413"/>
      <c r="DA18" s="1413"/>
      <c r="DB18" s="1413"/>
      <c r="DC18" s="1413"/>
      <c r="DD18" s="1413"/>
      <c r="DE18" s="1413"/>
      <c r="DF18" s="1413"/>
      <c r="DG18" s="1413"/>
      <c r="DH18" s="1413"/>
      <c r="DI18" s="1413"/>
      <c r="DJ18" s="1413"/>
      <c r="DK18" s="1413"/>
      <c r="DL18" s="1413"/>
      <c r="DM18" s="1413"/>
      <c r="DN18" s="1413"/>
      <c r="DO18" s="1413"/>
      <c r="DP18" s="1413"/>
      <c r="DQ18" s="1413"/>
      <c r="DR18" s="1413"/>
      <c r="DS18" s="1413"/>
      <c r="DT18" s="1413"/>
      <c r="DU18" s="1413"/>
      <c r="DV18" s="1413"/>
      <c r="DW18" s="1413"/>
      <c r="DX18" s="1413"/>
      <c r="DY18" s="1413"/>
      <c r="DZ18" s="1420"/>
    </row>
    <row r="19" spans="1:137" s="805" customFormat="1" ht="39.950000000000003" customHeight="1">
      <c r="A19" s="825" t="s">
        <v>164</v>
      </c>
      <c r="B19" s="826" t="s">
        <v>165</v>
      </c>
      <c r="C19" s="1030"/>
      <c r="D19" s="1406"/>
      <c r="E19" s="1030"/>
      <c r="F19" s="1030"/>
      <c r="G19" s="1030"/>
      <c r="H19" s="1406"/>
      <c r="I19" s="1030"/>
      <c r="J19" s="1030"/>
      <c r="K19" s="1406"/>
      <c r="L19" s="1030"/>
      <c r="M19" s="1030"/>
      <c r="N19" s="1030"/>
      <c r="O19" s="1030"/>
      <c r="P19" s="1030"/>
      <c r="Q19" s="1030"/>
      <c r="R19" s="1030"/>
      <c r="S19" s="1030"/>
      <c r="T19" s="1030"/>
      <c r="U19" s="1030"/>
      <c r="V19" s="1030"/>
      <c r="W19" s="1030"/>
      <c r="X19" s="1394"/>
      <c r="Y19" s="1030"/>
      <c r="Z19" s="1030"/>
      <c r="AA19" s="1030"/>
      <c r="AB19" s="1030"/>
      <c r="AC19" s="1030"/>
      <c r="AD19" s="1035"/>
      <c r="AE19" s="1035"/>
      <c r="AF19" s="1423"/>
      <c r="AG19" s="1417"/>
      <c r="AH19" s="1035"/>
      <c r="AI19" s="1035"/>
      <c r="AJ19" s="1035"/>
      <c r="AK19" s="1417"/>
      <c r="AL19" s="1417"/>
      <c r="AM19" s="1417"/>
      <c r="AN19" s="1035"/>
      <c r="AO19" s="1035"/>
      <c r="AP19" s="1035"/>
      <c r="AQ19" s="1035"/>
      <c r="AR19" s="1035"/>
      <c r="AS19" s="1035"/>
      <c r="AT19" s="1035"/>
      <c r="AU19" s="1035"/>
      <c r="AV19" s="1417"/>
      <c r="AW19" s="1423"/>
      <c r="AX19" s="1035"/>
      <c r="AY19" s="1035"/>
      <c r="AZ19" s="1035"/>
      <c r="BA19" s="1035"/>
      <c r="BB19" s="1035"/>
      <c r="BC19" s="1035"/>
      <c r="BD19" s="1035"/>
      <c r="BE19" s="1035"/>
      <c r="BF19" s="1035"/>
      <c r="BG19" s="1035"/>
      <c r="BH19" s="1035"/>
      <c r="BI19" s="1035"/>
      <c r="BJ19" s="1035"/>
      <c r="BK19" s="1035"/>
      <c r="BL19" s="1035"/>
      <c r="BM19" s="1035"/>
      <c r="BN19" s="1035"/>
      <c r="BO19" s="1035"/>
      <c r="BP19" s="1035"/>
      <c r="BQ19" s="1035"/>
      <c r="BR19" s="1035"/>
      <c r="BS19" s="1035"/>
      <c r="BT19" s="1035"/>
      <c r="BU19" s="1035"/>
      <c r="BV19" s="1035"/>
      <c r="BW19" s="1035"/>
      <c r="BX19" s="1035"/>
      <c r="BY19" s="1030"/>
      <c r="BZ19" s="1035"/>
      <c r="CA19" s="1142">
        <f t="shared" si="2"/>
        <v>0</v>
      </c>
      <c r="CB19" s="1153"/>
      <c r="CC19" s="1134"/>
      <c r="CD19" s="1134"/>
      <c r="CE19" s="1134"/>
      <c r="CF19" s="1134"/>
      <c r="CG19" s="1134"/>
      <c r="CH19" s="1134"/>
      <c r="CI19" s="1134"/>
      <c r="CJ19" s="1134"/>
      <c r="CK19" s="1134"/>
      <c r="CL19" s="1134"/>
      <c r="CM19" s="1134"/>
      <c r="CN19" s="1134"/>
      <c r="CO19" s="1134"/>
      <c r="CP19" s="1134"/>
      <c r="CQ19" s="1134"/>
      <c r="CR19" s="1134"/>
      <c r="CS19" s="1134"/>
      <c r="CT19" s="1134"/>
      <c r="CU19" s="1134"/>
      <c r="CV19" s="1134"/>
      <c r="CW19" s="1134"/>
      <c r="CX19" s="1134"/>
      <c r="CY19" s="1134"/>
      <c r="CZ19" s="1134"/>
      <c r="DA19" s="1134"/>
      <c r="DB19" s="1134"/>
      <c r="DC19" s="1134"/>
      <c r="DD19" s="1134"/>
      <c r="DE19" s="1134"/>
      <c r="DF19" s="1134"/>
      <c r="DG19" s="1134"/>
      <c r="DH19" s="1134"/>
      <c r="DI19" s="1134"/>
      <c r="DJ19" s="1134"/>
      <c r="DK19" s="1134"/>
      <c r="DL19" s="1134"/>
      <c r="DM19" s="1134"/>
      <c r="DN19" s="1134"/>
      <c r="DO19" s="1134"/>
      <c r="DP19" s="1134"/>
      <c r="DQ19" s="1134"/>
      <c r="DR19" s="1134"/>
      <c r="DS19" s="1134"/>
      <c r="DT19" s="1134"/>
      <c r="DU19" s="1134"/>
      <c r="DV19" s="1134"/>
      <c r="DW19" s="1134"/>
      <c r="DX19" s="1134"/>
      <c r="DY19" s="1134"/>
      <c r="DZ19" s="1147"/>
      <c r="EA19" s="834"/>
      <c r="EB19" s="834"/>
      <c r="EC19" s="834"/>
      <c r="ED19" s="834"/>
      <c r="EE19" s="834"/>
      <c r="EF19" s="834"/>
      <c r="EG19" s="834"/>
    </row>
    <row r="20" spans="1:137" s="805" customFormat="1" ht="39.950000000000003" customHeight="1">
      <c r="A20" s="825" t="s">
        <v>166</v>
      </c>
      <c r="B20" s="826" t="s">
        <v>167</v>
      </c>
      <c r="C20" s="1030"/>
      <c r="D20" s="1406"/>
      <c r="E20" s="1030"/>
      <c r="F20" s="1030"/>
      <c r="G20" s="1030"/>
      <c r="H20" s="1406"/>
      <c r="I20" s="1030"/>
      <c r="J20" s="1030"/>
      <c r="K20" s="1406"/>
      <c r="L20" s="1030"/>
      <c r="M20" s="1030"/>
      <c r="N20" s="1030"/>
      <c r="O20" s="1030"/>
      <c r="P20" s="1030"/>
      <c r="Q20" s="1030"/>
      <c r="R20" s="1030"/>
      <c r="S20" s="1030"/>
      <c r="T20" s="1030"/>
      <c r="U20" s="1030"/>
      <c r="V20" s="1030"/>
      <c r="W20" s="1030"/>
      <c r="X20" s="1394"/>
      <c r="Y20" s="1030"/>
      <c r="Z20" s="1030"/>
      <c r="AA20" s="1030"/>
      <c r="AB20" s="1030"/>
      <c r="AC20" s="1030"/>
      <c r="AD20" s="1035"/>
      <c r="AE20" s="1035"/>
      <c r="AF20" s="1423"/>
      <c r="AG20" s="1417"/>
      <c r="AH20" s="1035"/>
      <c r="AI20" s="1035"/>
      <c r="AJ20" s="1035"/>
      <c r="AK20" s="1417"/>
      <c r="AL20" s="1417"/>
      <c r="AM20" s="1417"/>
      <c r="AN20" s="1035"/>
      <c r="AO20" s="1035"/>
      <c r="AP20" s="1035"/>
      <c r="AQ20" s="1035"/>
      <c r="AR20" s="1035"/>
      <c r="AS20" s="1035"/>
      <c r="AT20" s="1035"/>
      <c r="AU20" s="1035"/>
      <c r="AV20" s="1417"/>
      <c r="AW20" s="1423"/>
      <c r="AX20" s="1035"/>
      <c r="AY20" s="1035"/>
      <c r="AZ20" s="1035"/>
      <c r="BA20" s="1035"/>
      <c r="BB20" s="1035"/>
      <c r="BC20" s="1035"/>
      <c r="BD20" s="1035"/>
      <c r="BE20" s="1035"/>
      <c r="BF20" s="1035"/>
      <c r="BG20" s="1035"/>
      <c r="BH20" s="1035"/>
      <c r="BI20" s="1035"/>
      <c r="BJ20" s="1035"/>
      <c r="BK20" s="1035"/>
      <c r="BL20" s="1035"/>
      <c r="BM20" s="1035"/>
      <c r="BN20" s="1035"/>
      <c r="BO20" s="1035"/>
      <c r="BP20" s="1035"/>
      <c r="BQ20" s="1035"/>
      <c r="BR20" s="1035"/>
      <c r="BS20" s="1035"/>
      <c r="BT20" s="1035"/>
      <c r="BU20" s="1035"/>
      <c r="BV20" s="1035"/>
      <c r="BW20" s="1035"/>
      <c r="BX20" s="1035"/>
      <c r="BY20" s="1030"/>
      <c r="BZ20" s="1035"/>
      <c r="CA20" s="1142">
        <f t="shared" si="2"/>
        <v>0</v>
      </c>
      <c r="CB20" s="1153"/>
      <c r="CC20" s="1134"/>
      <c r="CD20" s="1134"/>
      <c r="CE20" s="1134"/>
      <c r="CF20" s="1134"/>
      <c r="CG20" s="1134"/>
      <c r="CH20" s="1134"/>
      <c r="CI20" s="1134"/>
      <c r="CJ20" s="1134"/>
      <c r="CK20" s="1134"/>
      <c r="CL20" s="1134"/>
      <c r="CM20" s="1134"/>
      <c r="CN20" s="1134"/>
      <c r="CO20" s="1134"/>
      <c r="CP20" s="1134"/>
      <c r="CQ20" s="1134"/>
      <c r="CR20" s="1134"/>
      <c r="CS20" s="1134"/>
      <c r="CT20" s="1134"/>
      <c r="CU20" s="1134"/>
      <c r="CV20" s="1134"/>
      <c r="CW20" s="1134"/>
      <c r="CX20" s="1134"/>
      <c r="CY20" s="1134"/>
      <c r="CZ20" s="1134"/>
      <c r="DA20" s="1134"/>
      <c r="DB20" s="1134"/>
      <c r="DC20" s="1134"/>
      <c r="DD20" s="1134"/>
      <c r="DE20" s="1134"/>
      <c r="DF20" s="1134"/>
      <c r="DG20" s="1134"/>
      <c r="DH20" s="1134"/>
      <c r="DI20" s="1134"/>
      <c r="DJ20" s="1134"/>
      <c r="DK20" s="1134"/>
      <c r="DL20" s="1134"/>
      <c r="DM20" s="1134"/>
      <c r="DN20" s="1134"/>
      <c r="DO20" s="1134"/>
      <c r="DP20" s="1134"/>
      <c r="DQ20" s="1134"/>
      <c r="DR20" s="1134"/>
      <c r="DS20" s="1134"/>
      <c r="DT20" s="1134"/>
      <c r="DU20" s="1134"/>
      <c r="DV20" s="1134"/>
      <c r="DW20" s="1134"/>
      <c r="DX20" s="1134"/>
      <c r="DY20" s="1134"/>
      <c r="DZ20" s="1147"/>
      <c r="EA20" s="834"/>
      <c r="EB20" s="834"/>
      <c r="EC20" s="834"/>
      <c r="ED20" s="834"/>
      <c r="EE20" s="834"/>
      <c r="EF20" s="834"/>
      <c r="EG20" s="834"/>
    </row>
    <row r="21" spans="1:137" s="805" customFormat="1" ht="39.950000000000003" customHeight="1">
      <c r="A21" s="825" t="s">
        <v>168</v>
      </c>
      <c r="B21" s="826" t="s">
        <v>169</v>
      </c>
      <c r="C21" s="1030"/>
      <c r="D21" s="1406"/>
      <c r="E21" s="1030"/>
      <c r="F21" s="1030"/>
      <c r="G21" s="1030"/>
      <c r="H21" s="1406"/>
      <c r="I21" s="1030"/>
      <c r="J21" s="1030"/>
      <c r="K21" s="1406"/>
      <c r="L21" s="1030"/>
      <c r="M21" s="1030"/>
      <c r="N21" s="1030"/>
      <c r="O21" s="1030"/>
      <c r="P21" s="1030"/>
      <c r="Q21" s="1030"/>
      <c r="R21" s="1030"/>
      <c r="S21" s="1030"/>
      <c r="T21" s="1030"/>
      <c r="U21" s="1030"/>
      <c r="V21" s="1030"/>
      <c r="W21" s="1030"/>
      <c r="X21" s="1394"/>
      <c r="Y21" s="1030"/>
      <c r="Z21" s="1030"/>
      <c r="AA21" s="1030"/>
      <c r="AB21" s="1030"/>
      <c r="AC21" s="1030"/>
      <c r="AD21" s="1035"/>
      <c r="AE21" s="1035"/>
      <c r="AF21" s="1423"/>
      <c r="AG21" s="1417"/>
      <c r="AH21" s="1035"/>
      <c r="AI21" s="1035"/>
      <c r="AJ21" s="1035"/>
      <c r="AK21" s="1417"/>
      <c r="AL21" s="1417"/>
      <c r="AM21" s="1417"/>
      <c r="AN21" s="1035"/>
      <c r="AO21" s="1035"/>
      <c r="AP21" s="1035"/>
      <c r="AQ21" s="1035"/>
      <c r="AR21" s="1035"/>
      <c r="AS21" s="1035"/>
      <c r="AT21" s="1035"/>
      <c r="AU21" s="1035"/>
      <c r="AV21" s="1417"/>
      <c r="AW21" s="1423"/>
      <c r="AX21" s="1035"/>
      <c r="AY21" s="1035"/>
      <c r="AZ21" s="1035"/>
      <c r="BA21" s="1035"/>
      <c r="BB21" s="1035"/>
      <c r="BC21" s="1035"/>
      <c r="BD21" s="1035"/>
      <c r="BE21" s="1035"/>
      <c r="BF21" s="1035"/>
      <c r="BG21" s="1035"/>
      <c r="BH21" s="1035"/>
      <c r="BI21" s="1035"/>
      <c r="BJ21" s="1035"/>
      <c r="BK21" s="1035"/>
      <c r="BL21" s="1035"/>
      <c r="BM21" s="1035"/>
      <c r="BN21" s="1035"/>
      <c r="BO21" s="1035"/>
      <c r="BP21" s="1035"/>
      <c r="BQ21" s="1035"/>
      <c r="BR21" s="1035"/>
      <c r="BS21" s="1035"/>
      <c r="BT21" s="1035"/>
      <c r="BU21" s="1035"/>
      <c r="BV21" s="1035"/>
      <c r="BW21" s="1035"/>
      <c r="BX21" s="1035"/>
      <c r="BY21" s="1030"/>
      <c r="BZ21" s="1035"/>
      <c r="CA21" s="1142">
        <f t="shared" si="2"/>
        <v>0</v>
      </c>
      <c r="CB21" s="1153"/>
      <c r="CC21" s="1134"/>
      <c r="CD21" s="1134"/>
      <c r="CE21" s="1134"/>
      <c r="CF21" s="1134"/>
      <c r="CG21" s="1134"/>
      <c r="CH21" s="1134"/>
      <c r="CI21" s="1134"/>
      <c r="CJ21" s="1134"/>
      <c r="CK21" s="1134"/>
      <c r="CL21" s="1134"/>
      <c r="CM21" s="1134"/>
      <c r="CN21" s="1134"/>
      <c r="CO21" s="1134"/>
      <c r="CP21" s="1134"/>
      <c r="CQ21" s="1134"/>
      <c r="CR21" s="1134"/>
      <c r="CS21" s="1134"/>
      <c r="CT21" s="1134"/>
      <c r="CU21" s="1134"/>
      <c r="CV21" s="1134"/>
      <c r="CW21" s="1134"/>
      <c r="CX21" s="1134"/>
      <c r="CY21" s="1134"/>
      <c r="CZ21" s="1134"/>
      <c r="DA21" s="1134"/>
      <c r="DB21" s="1134"/>
      <c r="DC21" s="1134"/>
      <c r="DD21" s="1134"/>
      <c r="DE21" s="1134"/>
      <c r="DF21" s="1134"/>
      <c r="DG21" s="1134"/>
      <c r="DH21" s="1134"/>
      <c r="DI21" s="1134"/>
      <c r="DJ21" s="1134"/>
      <c r="DK21" s="1134"/>
      <c r="DL21" s="1134"/>
      <c r="DM21" s="1134"/>
      <c r="DN21" s="1134"/>
      <c r="DO21" s="1134"/>
      <c r="DP21" s="1134"/>
      <c r="DQ21" s="1134"/>
      <c r="DR21" s="1134"/>
      <c r="DS21" s="1134"/>
      <c r="DT21" s="1134"/>
      <c r="DU21" s="1134"/>
      <c r="DV21" s="1134"/>
      <c r="DW21" s="1134"/>
      <c r="DX21" s="1134"/>
      <c r="DY21" s="1134"/>
      <c r="DZ21" s="1147"/>
      <c r="EA21" s="834"/>
      <c r="EB21" s="834"/>
      <c r="EC21" s="834"/>
      <c r="ED21" s="834"/>
      <c r="EE21" s="834"/>
      <c r="EF21" s="834"/>
      <c r="EG21" s="834"/>
    </row>
    <row r="22" spans="1:137" s="824" customFormat="1" ht="39.950000000000003" customHeight="1">
      <c r="A22" s="825" t="s">
        <v>170</v>
      </c>
      <c r="B22" s="826" t="s">
        <v>171</v>
      </c>
      <c r="C22" s="1030"/>
      <c r="D22" s="1406"/>
      <c r="E22" s="1030"/>
      <c r="F22" s="1030"/>
      <c r="G22" s="1030"/>
      <c r="H22" s="1406"/>
      <c r="I22" s="1030"/>
      <c r="J22" s="1030"/>
      <c r="K22" s="1406"/>
      <c r="L22" s="1030"/>
      <c r="M22" s="1030"/>
      <c r="N22" s="1030"/>
      <c r="O22" s="1030"/>
      <c r="P22" s="1030"/>
      <c r="Q22" s="1030"/>
      <c r="R22" s="1030"/>
      <c r="S22" s="1030"/>
      <c r="T22" s="1030"/>
      <c r="U22" s="1030"/>
      <c r="V22" s="1030"/>
      <c r="W22" s="1030"/>
      <c r="X22" s="1394"/>
      <c r="Y22" s="1030"/>
      <c r="Z22" s="1030"/>
      <c r="AA22" s="1030"/>
      <c r="AB22" s="1030"/>
      <c r="AC22" s="1030"/>
      <c r="AD22" s="1035"/>
      <c r="AE22" s="1035"/>
      <c r="AF22" s="1423"/>
      <c r="AG22" s="1417"/>
      <c r="AH22" s="1035"/>
      <c r="AI22" s="1035"/>
      <c r="AJ22" s="1035"/>
      <c r="AK22" s="1417"/>
      <c r="AL22" s="1417"/>
      <c r="AM22" s="1417"/>
      <c r="AN22" s="1035"/>
      <c r="AO22" s="1035"/>
      <c r="AP22" s="1035"/>
      <c r="AQ22" s="1035"/>
      <c r="AR22" s="1035"/>
      <c r="AS22" s="1035"/>
      <c r="AT22" s="1035"/>
      <c r="AU22" s="1035"/>
      <c r="AV22" s="1417"/>
      <c r="AW22" s="1423"/>
      <c r="AX22" s="1035"/>
      <c r="AY22" s="1035"/>
      <c r="AZ22" s="1035"/>
      <c r="BA22" s="1035"/>
      <c r="BB22" s="1035"/>
      <c r="BC22" s="1035"/>
      <c r="BD22" s="1035"/>
      <c r="BE22" s="1035"/>
      <c r="BF22" s="1035"/>
      <c r="BG22" s="1035"/>
      <c r="BH22" s="1035"/>
      <c r="BI22" s="1035"/>
      <c r="BJ22" s="1035"/>
      <c r="BK22" s="1035"/>
      <c r="BL22" s="1035"/>
      <c r="BM22" s="1035"/>
      <c r="BN22" s="1035"/>
      <c r="BO22" s="1035"/>
      <c r="BP22" s="1035"/>
      <c r="BQ22" s="1035"/>
      <c r="BR22" s="1035"/>
      <c r="BS22" s="1035"/>
      <c r="BT22" s="1035"/>
      <c r="BU22" s="1035"/>
      <c r="BV22" s="1035"/>
      <c r="BW22" s="1035"/>
      <c r="BX22" s="1035"/>
      <c r="BY22" s="1030"/>
      <c r="BZ22" s="1035"/>
      <c r="CA22" s="1142">
        <f t="shared" si="2"/>
        <v>0</v>
      </c>
      <c r="CB22" s="1153"/>
      <c r="CC22" s="1134"/>
      <c r="CD22" s="1134"/>
      <c r="CE22" s="1134"/>
      <c r="CF22" s="1134"/>
      <c r="CG22" s="1134"/>
      <c r="CH22" s="1134"/>
      <c r="CI22" s="1134"/>
      <c r="CJ22" s="1134"/>
      <c r="CK22" s="1134"/>
      <c r="CL22" s="1134"/>
      <c r="CM22" s="1134"/>
      <c r="CN22" s="1134"/>
      <c r="CO22" s="1134"/>
      <c r="CP22" s="1134"/>
      <c r="CQ22" s="1134"/>
      <c r="CR22" s="1134"/>
      <c r="CS22" s="1134"/>
      <c r="CT22" s="1134"/>
      <c r="CU22" s="1134"/>
      <c r="CV22" s="1134"/>
      <c r="CW22" s="1134"/>
      <c r="CX22" s="1134"/>
      <c r="CY22" s="1134"/>
      <c r="CZ22" s="1134"/>
      <c r="DA22" s="1134"/>
      <c r="DB22" s="1134"/>
      <c r="DC22" s="1134"/>
      <c r="DD22" s="1134"/>
      <c r="DE22" s="1134"/>
      <c r="DF22" s="1134"/>
      <c r="DG22" s="1134"/>
      <c r="DH22" s="1134"/>
      <c r="DI22" s="1134"/>
      <c r="DJ22" s="1134"/>
      <c r="DK22" s="1134"/>
      <c r="DL22" s="1134"/>
      <c r="DM22" s="1134"/>
      <c r="DN22" s="1134"/>
      <c r="DO22" s="1134"/>
      <c r="DP22" s="1134"/>
      <c r="DQ22" s="1134"/>
      <c r="DR22" s="1134"/>
      <c r="DS22" s="1134"/>
      <c r="DT22" s="1134"/>
      <c r="DU22" s="1134"/>
      <c r="DV22" s="1134"/>
      <c r="DW22" s="1134"/>
      <c r="DX22" s="1134"/>
      <c r="DY22" s="1134"/>
      <c r="DZ22" s="1147"/>
      <c r="EA22" s="834"/>
      <c r="EB22" s="834"/>
      <c r="EC22" s="834"/>
      <c r="ED22" s="834"/>
      <c r="EE22" s="834"/>
      <c r="EF22" s="834"/>
      <c r="EG22" s="834"/>
    </row>
    <row r="23" spans="1:137" s="824" customFormat="1" ht="39.950000000000003" customHeight="1">
      <c r="A23" s="825" t="s">
        <v>1050</v>
      </c>
      <c r="B23" s="826" t="s">
        <v>2354</v>
      </c>
      <c r="C23" s="1030"/>
      <c r="D23" s="1406"/>
      <c r="E23" s="1030"/>
      <c r="F23" s="1030"/>
      <c r="G23" s="1035"/>
      <c r="H23" s="1406"/>
      <c r="I23" s="1030"/>
      <c r="J23" s="1030"/>
      <c r="K23" s="1406">
        <f>V23</f>
        <v>4882386.8845837582</v>
      </c>
      <c r="L23" s="1030"/>
      <c r="M23" s="1030"/>
      <c r="N23" s="1030"/>
      <c r="O23" s="1030"/>
      <c r="P23" s="1030"/>
      <c r="Q23" s="1030"/>
      <c r="R23" s="1030"/>
      <c r="S23" s="1030"/>
      <c r="T23" s="1030"/>
      <c r="U23" s="1030"/>
      <c r="V23" s="1032">
        <f>'036 гобм'!BC6+'009'!F3</f>
        <v>4882386.8845837582</v>
      </c>
      <c r="W23" s="1030"/>
      <c r="X23" s="1394"/>
      <c r="Y23" s="1030"/>
      <c r="Z23" s="1030"/>
      <c r="AA23" s="1030"/>
      <c r="AB23" s="1030"/>
      <c r="AC23" s="1030"/>
      <c r="AD23" s="1035"/>
      <c r="AE23" s="1035"/>
      <c r="AF23" s="1423"/>
      <c r="AG23" s="1417"/>
      <c r="AH23" s="1035"/>
      <c r="AI23" s="1035"/>
      <c r="AJ23" s="1035"/>
      <c r="AK23" s="1417"/>
      <c r="AL23" s="1417"/>
      <c r="AM23" s="1417"/>
      <c r="AN23" s="1035"/>
      <c r="AO23" s="1035"/>
      <c r="AP23" s="1035"/>
      <c r="AQ23" s="1035"/>
      <c r="AR23" s="1035"/>
      <c r="AS23" s="1035"/>
      <c r="AT23" s="1035"/>
      <c r="AU23" s="1035"/>
      <c r="AV23" s="1417"/>
      <c r="AW23" s="1423"/>
      <c r="AX23" s="1035"/>
      <c r="AY23" s="1035"/>
      <c r="AZ23" s="1035"/>
      <c r="BA23" s="1035"/>
      <c r="BB23" s="1035"/>
      <c r="BC23" s="1035"/>
      <c r="BD23" s="1035"/>
      <c r="BE23" s="1035"/>
      <c r="BF23" s="1035"/>
      <c r="BG23" s="1035"/>
      <c r="BH23" s="1035"/>
      <c r="BI23" s="1035"/>
      <c r="BJ23" s="1035"/>
      <c r="BK23" s="1035"/>
      <c r="BL23" s="1035"/>
      <c r="BM23" s="1035"/>
      <c r="BN23" s="1035"/>
      <c r="BO23" s="1035"/>
      <c r="BP23" s="1035"/>
      <c r="BQ23" s="1035"/>
      <c r="BR23" s="1035"/>
      <c r="BS23" s="1035"/>
      <c r="BT23" s="1035"/>
      <c r="BU23" s="1035"/>
      <c r="BV23" s="1035"/>
      <c r="BW23" s="1035"/>
      <c r="BX23" s="1035"/>
      <c r="BY23" s="1030"/>
      <c r="BZ23" s="1035"/>
      <c r="CA23" s="1142">
        <f t="shared" si="2"/>
        <v>9764773.7691675164</v>
      </c>
      <c r="CB23" s="1153"/>
      <c r="CC23" s="1134"/>
      <c r="CD23" s="1134"/>
      <c r="CE23" s="1134"/>
      <c r="CF23" s="1134"/>
      <c r="CG23" s="1134"/>
      <c r="CH23" s="1134"/>
      <c r="CI23" s="1134"/>
      <c r="CJ23" s="1134"/>
      <c r="CK23" s="1134"/>
      <c r="CL23" s="1134"/>
      <c r="CM23" s="1134"/>
      <c r="CN23" s="1134"/>
      <c r="CO23" s="1134"/>
      <c r="CP23" s="1134"/>
      <c r="CQ23" s="1134"/>
      <c r="CR23" s="1134"/>
      <c r="CS23" s="1134"/>
      <c r="CT23" s="1134"/>
      <c r="CU23" s="1134"/>
      <c r="CV23" s="1134"/>
      <c r="CW23" s="1134"/>
      <c r="CX23" s="1134"/>
      <c r="CY23" s="1134"/>
      <c r="CZ23" s="1134"/>
      <c r="DA23" s="1134"/>
      <c r="DB23" s="1134"/>
      <c r="DC23" s="1134"/>
      <c r="DD23" s="1134"/>
      <c r="DE23" s="1134"/>
      <c r="DF23" s="1134"/>
      <c r="DG23" s="1134"/>
      <c r="DH23" s="1134"/>
      <c r="DI23" s="1134"/>
      <c r="DJ23" s="1134"/>
      <c r="DK23" s="1134"/>
      <c r="DL23" s="1134"/>
      <c r="DM23" s="1134"/>
      <c r="DN23" s="1134"/>
      <c r="DO23" s="1134"/>
      <c r="DP23" s="1134"/>
      <c r="DQ23" s="1134"/>
      <c r="DR23" s="1134"/>
      <c r="DS23" s="1134"/>
      <c r="DT23" s="1134"/>
      <c r="DU23" s="1134"/>
      <c r="DV23" s="1134"/>
      <c r="DW23" s="1134"/>
      <c r="DX23" s="1134"/>
      <c r="DY23" s="1134"/>
      <c r="DZ23" s="1147"/>
      <c r="EA23" s="834"/>
      <c r="EB23" s="834"/>
      <c r="EC23" s="834"/>
      <c r="ED23" s="834"/>
      <c r="EE23" s="834"/>
      <c r="EF23" s="834"/>
      <c r="EG23" s="834"/>
    </row>
    <row r="24" spans="1:137" s="1415" customFormat="1" ht="39.950000000000003" customHeight="1">
      <c r="A24" s="1416" t="s">
        <v>172</v>
      </c>
      <c r="B24" s="1416" t="s">
        <v>173</v>
      </c>
      <c r="C24" s="1406"/>
      <c r="D24" s="1406"/>
      <c r="E24" s="1406"/>
      <c r="F24" s="1406"/>
      <c r="G24" s="1406"/>
      <c r="H24" s="1406"/>
      <c r="I24" s="1406"/>
      <c r="J24" s="1406"/>
      <c r="K24" s="1406"/>
      <c r="L24" s="1406"/>
      <c r="M24" s="1406"/>
      <c r="N24" s="1406"/>
      <c r="O24" s="1406"/>
      <c r="P24" s="1406"/>
      <c r="Q24" s="1406"/>
      <c r="R24" s="1406"/>
      <c r="S24" s="1406"/>
      <c r="T24" s="1406"/>
      <c r="U24" s="1406"/>
      <c r="V24" s="1406"/>
      <c r="W24" s="1406"/>
      <c r="X24" s="1406"/>
      <c r="Y24" s="1406"/>
      <c r="Z24" s="1406"/>
      <c r="AA24" s="1406"/>
      <c r="AB24" s="1406"/>
      <c r="AC24" s="1406"/>
      <c r="AD24" s="1417"/>
      <c r="AE24" s="1417"/>
      <c r="AF24" s="1423"/>
      <c r="AG24" s="1417"/>
      <c r="AH24" s="1417"/>
      <c r="AI24" s="1417"/>
      <c r="AJ24" s="1417"/>
      <c r="AK24" s="1417"/>
      <c r="AL24" s="1417"/>
      <c r="AM24" s="1417"/>
      <c r="AN24" s="1417"/>
      <c r="AO24" s="1417"/>
      <c r="AP24" s="1417"/>
      <c r="AQ24" s="1417"/>
      <c r="AR24" s="1417"/>
      <c r="AS24" s="1417"/>
      <c r="AT24" s="1417"/>
      <c r="AU24" s="1417"/>
      <c r="AV24" s="1417"/>
      <c r="AW24" s="1423"/>
      <c r="AX24" s="1417"/>
      <c r="AY24" s="1417"/>
      <c r="AZ24" s="1417"/>
      <c r="BA24" s="1417"/>
      <c r="BB24" s="1417"/>
      <c r="BC24" s="1417"/>
      <c r="BD24" s="1417"/>
      <c r="BE24" s="1417"/>
      <c r="BF24" s="1417"/>
      <c r="BG24" s="1417"/>
      <c r="BH24" s="1417"/>
      <c r="BI24" s="1417"/>
      <c r="BJ24" s="1417"/>
      <c r="BK24" s="1417"/>
      <c r="BL24" s="1417"/>
      <c r="BM24" s="1417"/>
      <c r="BN24" s="1417"/>
      <c r="BO24" s="1417"/>
      <c r="BP24" s="1417"/>
      <c r="BQ24" s="1417"/>
      <c r="BR24" s="1417"/>
      <c r="BS24" s="1417"/>
      <c r="BT24" s="1417"/>
      <c r="BU24" s="1417"/>
      <c r="BV24" s="1417"/>
      <c r="BW24" s="1417"/>
      <c r="BX24" s="1417"/>
      <c r="BY24" s="1406"/>
      <c r="BZ24" s="1417"/>
      <c r="CA24" s="1418">
        <f t="shared" si="2"/>
        <v>0</v>
      </c>
      <c r="CB24" s="1419"/>
      <c r="CC24" s="1413"/>
      <c r="CD24" s="1413"/>
      <c r="CE24" s="1413"/>
      <c r="CF24" s="1413"/>
      <c r="CG24" s="1413"/>
      <c r="CH24" s="1413"/>
      <c r="CI24" s="1413"/>
      <c r="CJ24" s="1413"/>
      <c r="CK24" s="1413"/>
      <c r="CL24" s="1413"/>
      <c r="CM24" s="1413"/>
      <c r="CN24" s="1413"/>
      <c r="CO24" s="1413"/>
      <c r="CP24" s="1413"/>
      <c r="CQ24" s="1413"/>
      <c r="CR24" s="1413"/>
      <c r="CS24" s="1413"/>
      <c r="CT24" s="1413"/>
      <c r="CU24" s="1413"/>
      <c r="CV24" s="1413"/>
      <c r="CW24" s="1413"/>
      <c r="CX24" s="1413"/>
      <c r="CY24" s="1413"/>
      <c r="CZ24" s="1413"/>
      <c r="DA24" s="1413"/>
      <c r="DB24" s="1413"/>
      <c r="DC24" s="1413"/>
      <c r="DD24" s="1413"/>
      <c r="DE24" s="1413"/>
      <c r="DF24" s="1413"/>
      <c r="DG24" s="1413"/>
      <c r="DH24" s="1413"/>
      <c r="DI24" s="1413"/>
      <c r="DJ24" s="1413"/>
      <c r="DK24" s="1413"/>
      <c r="DL24" s="1413"/>
      <c r="DM24" s="1413"/>
      <c r="DN24" s="1413"/>
      <c r="DO24" s="1413"/>
      <c r="DP24" s="1413"/>
      <c r="DQ24" s="1413"/>
      <c r="DR24" s="1413"/>
      <c r="DS24" s="1413"/>
      <c r="DT24" s="1413"/>
      <c r="DU24" s="1413"/>
      <c r="DV24" s="1413"/>
      <c r="DW24" s="1413"/>
      <c r="DX24" s="1413"/>
      <c r="DY24" s="1413"/>
      <c r="DZ24" s="1420"/>
    </row>
    <row r="25" spans="1:137" s="805" customFormat="1" ht="39.950000000000003" customHeight="1">
      <c r="A25" s="825" t="s">
        <v>174</v>
      </c>
      <c r="B25" s="826" t="s">
        <v>175</v>
      </c>
      <c r="C25" s="1030"/>
      <c r="D25" s="1406"/>
      <c r="E25" s="1030"/>
      <c r="F25" s="1030"/>
      <c r="G25" s="1030"/>
      <c r="H25" s="1406"/>
      <c r="I25" s="1030"/>
      <c r="J25" s="1030"/>
      <c r="K25" s="1406"/>
      <c r="L25" s="1030"/>
      <c r="M25" s="1030"/>
      <c r="N25" s="1030"/>
      <c r="O25" s="1030"/>
      <c r="P25" s="1030"/>
      <c r="Q25" s="1030"/>
      <c r="R25" s="1030"/>
      <c r="S25" s="1030"/>
      <c r="T25" s="1030"/>
      <c r="U25" s="1030"/>
      <c r="V25" s="1030"/>
      <c r="W25" s="1030"/>
      <c r="X25" s="1394"/>
      <c r="Y25" s="1030"/>
      <c r="Z25" s="1030"/>
      <c r="AA25" s="1030"/>
      <c r="AB25" s="1030"/>
      <c r="AC25" s="1030"/>
      <c r="AD25" s="1035"/>
      <c r="AE25" s="1035"/>
      <c r="AF25" s="1423"/>
      <c r="AG25" s="1417"/>
      <c r="AH25" s="1035"/>
      <c r="AI25" s="1035"/>
      <c r="AJ25" s="1035"/>
      <c r="AK25" s="1417"/>
      <c r="AL25" s="1417"/>
      <c r="AM25" s="1417"/>
      <c r="AN25" s="1035"/>
      <c r="AO25" s="1035"/>
      <c r="AP25" s="1035"/>
      <c r="AQ25" s="1035"/>
      <c r="AR25" s="1035"/>
      <c r="AS25" s="1035"/>
      <c r="AT25" s="1035"/>
      <c r="AU25" s="1035"/>
      <c r="AV25" s="1417"/>
      <c r="AW25" s="1423"/>
      <c r="AX25" s="1035"/>
      <c r="AY25" s="1035"/>
      <c r="AZ25" s="1035"/>
      <c r="BA25" s="1035"/>
      <c r="BB25" s="1035"/>
      <c r="BC25" s="1035"/>
      <c r="BD25" s="1035"/>
      <c r="BE25" s="1035"/>
      <c r="BF25" s="1035"/>
      <c r="BG25" s="1035"/>
      <c r="BH25" s="1035"/>
      <c r="BI25" s="1035"/>
      <c r="BJ25" s="1035"/>
      <c r="BK25" s="1035"/>
      <c r="BL25" s="1035"/>
      <c r="BM25" s="1035"/>
      <c r="BN25" s="1035"/>
      <c r="BO25" s="1035"/>
      <c r="BP25" s="1035"/>
      <c r="BQ25" s="1035"/>
      <c r="BR25" s="1035"/>
      <c r="BS25" s="1035"/>
      <c r="BT25" s="1035"/>
      <c r="BU25" s="1035"/>
      <c r="BV25" s="1035"/>
      <c r="BW25" s="1035"/>
      <c r="BX25" s="1035"/>
      <c r="BY25" s="1030"/>
      <c r="BZ25" s="1035"/>
      <c r="CA25" s="1142">
        <f t="shared" si="2"/>
        <v>0</v>
      </c>
      <c r="CB25" s="1153"/>
      <c r="CC25" s="1134"/>
      <c r="CD25" s="1134"/>
      <c r="CE25" s="1134"/>
      <c r="CF25" s="1134"/>
      <c r="CG25" s="1134"/>
      <c r="CH25" s="1134"/>
      <c r="CI25" s="1134"/>
      <c r="CJ25" s="1134"/>
      <c r="CK25" s="1134"/>
      <c r="CL25" s="1134"/>
      <c r="CM25" s="1134"/>
      <c r="CN25" s="1134"/>
      <c r="CO25" s="1134"/>
      <c r="CP25" s="1134"/>
      <c r="CQ25" s="1134"/>
      <c r="CR25" s="1134"/>
      <c r="CS25" s="1134"/>
      <c r="CT25" s="1134"/>
      <c r="CU25" s="1134"/>
      <c r="CV25" s="1134"/>
      <c r="CW25" s="1134"/>
      <c r="CX25" s="1134"/>
      <c r="CY25" s="1134"/>
      <c r="CZ25" s="1134"/>
      <c r="DA25" s="1134"/>
      <c r="DB25" s="1134"/>
      <c r="DC25" s="1134"/>
      <c r="DD25" s="1134"/>
      <c r="DE25" s="1134"/>
      <c r="DF25" s="1134"/>
      <c r="DG25" s="1134"/>
      <c r="DH25" s="1134"/>
      <c r="DI25" s="1134"/>
      <c r="DJ25" s="1134"/>
      <c r="DK25" s="1134"/>
      <c r="DL25" s="1134"/>
      <c r="DM25" s="1134"/>
      <c r="DN25" s="1134"/>
      <c r="DO25" s="1134"/>
      <c r="DP25" s="1134"/>
      <c r="DQ25" s="1134"/>
      <c r="DR25" s="1134"/>
      <c r="DS25" s="1134"/>
      <c r="DT25" s="1134"/>
      <c r="DU25" s="1134"/>
      <c r="DV25" s="1134"/>
      <c r="DW25" s="1134"/>
      <c r="DX25" s="1134"/>
      <c r="DY25" s="1134"/>
      <c r="DZ25" s="1147"/>
      <c r="EA25" s="834"/>
      <c r="EB25" s="834"/>
      <c r="EC25" s="834"/>
      <c r="ED25" s="834"/>
      <c r="EE25" s="834"/>
      <c r="EF25" s="834"/>
      <c r="EG25" s="834"/>
    </row>
    <row r="26" spans="1:137" s="805" customFormat="1" ht="39.950000000000003" customHeight="1">
      <c r="A26" s="825" t="s">
        <v>176</v>
      </c>
      <c r="B26" s="826" t="s">
        <v>177</v>
      </c>
      <c r="C26" s="1030"/>
      <c r="D26" s="1406"/>
      <c r="E26" s="1030"/>
      <c r="F26" s="1030"/>
      <c r="G26" s="1030"/>
      <c r="H26" s="1406"/>
      <c r="I26" s="1030"/>
      <c r="J26" s="1030"/>
      <c r="K26" s="1406"/>
      <c r="L26" s="1030"/>
      <c r="M26" s="1030"/>
      <c r="N26" s="1030"/>
      <c r="O26" s="1030"/>
      <c r="P26" s="1030"/>
      <c r="Q26" s="1030"/>
      <c r="R26" s="1030"/>
      <c r="S26" s="1030"/>
      <c r="T26" s="1030"/>
      <c r="U26" s="1030"/>
      <c r="V26" s="1030"/>
      <c r="W26" s="1030"/>
      <c r="X26" s="1394"/>
      <c r="Y26" s="1030"/>
      <c r="Z26" s="1030"/>
      <c r="AA26" s="1030"/>
      <c r="AB26" s="1030"/>
      <c r="AC26" s="1030"/>
      <c r="AD26" s="1035"/>
      <c r="AE26" s="1035"/>
      <c r="AF26" s="1423"/>
      <c r="AG26" s="1417"/>
      <c r="AH26" s="1035"/>
      <c r="AI26" s="1035"/>
      <c r="AJ26" s="1035"/>
      <c r="AK26" s="1417"/>
      <c r="AL26" s="1417"/>
      <c r="AM26" s="1417"/>
      <c r="AN26" s="1035"/>
      <c r="AO26" s="1035"/>
      <c r="AP26" s="1035"/>
      <c r="AQ26" s="1035"/>
      <c r="AR26" s="1035"/>
      <c r="AS26" s="1035"/>
      <c r="AT26" s="1035"/>
      <c r="AU26" s="1035"/>
      <c r="AV26" s="1417"/>
      <c r="AW26" s="1423"/>
      <c r="AX26" s="1035"/>
      <c r="AY26" s="1035"/>
      <c r="AZ26" s="1035"/>
      <c r="BA26" s="1035"/>
      <c r="BB26" s="1035"/>
      <c r="BC26" s="1035"/>
      <c r="BD26" s="1035"/>
      <c r="BE26" s="1035"/>
      <c r="BF26" s="1035"/>
      <c r="BG26" s="1035"/>
      <c r="BH26" s="1035"/>
      <c r="BI26" s="1035"/>
      <c r="BJ26" s="1035"/>
      <c r="BK26" s="1035"/>
      <c r="BL26" s="1035"/>
      <c r="BM26" s="1035"/>
      <c r="BN26" s="1035"/>
      <c r="BO26" s="1035"/>
      <c r="BP26" s="1035"/>
      <c r="BQ26" s="1035"/>
      <c r="BR26" s="1035"/>
      <c r="BS26" s="1035"/>
      <c r="BT26" s="1035"/>
      <c r="BU26" s="1035"/>
      <c r="BV26" s="1035"/>
      <c r="BW26" s="1035"/>
      <c r="BX26" s="1035"/>
      <c r="BY26" s="1030"/>
      <c r="BZ26" s="1035"/>
      <c r="CA26" s="1142">
        <f t="shared" si="2"/>
        <v>0</v>
      </c>
      <c r="CB26" s="1153"/>
      <c r="CC26" s="1134"/>
      <c r="CD26" s="1134"/>
      <c r="CE26" s="1134"/>
      <c r="CF26" s="1134"/>
      <c r="CG26" s="1134"/>
      <c r="CH26" s="1134"/>
      <c r="CI26" s="1134"/>
      <c r="CJ26" s="1134"/>
      <c r="CK26" s="1134"/>
      <c r="CL26" s="1134"/>
      <c r="CM26" s="1134"/>
      <c r="CN26" s="1134"/>
      <c r="CO26" s="1134"/>
      <c r="CP26" s="1134"/>
      <c r="CQ26" s="1134"/>
      <c r="CR26" s="1134"/>
      <c r="CS26" s="1134"/>
      <c r="CT26" s="1134"/>
      <c r="CU26" s="1134"/>
      <c r="CV26" s="1134"/>
      <c r="CW26" s="1134"/>
      <c r="CX26" s="1134"/>
      <c r="CY26" s="1134"/>
      <c r="CZ26" s="1134"/>
      <c r="DA26" s="1134"/>
      <c r="DB26" s="1134"/>
      <c r="DC26" s="1134"/>
      <c r="DD26" s="1134"/>
      <c r="DE26" s="1134"/>
      <c r="DF26" s="1134"/>
      <c r="DG26" s="1134"/>
      <c r="DH26" s="1134"/>
      <c r="DI26" s="1134"/>
      <c r="DJ26" s="1134"/>
      <c r="DK26" s="1134"/>
      <c r="DL26" s="1134"/>
      <c r="DM26" s="1134"/>
      <c r="DN26" s="1134"/>
      <c r="DO26" s="1134"/>
      <c r="DP26" s="1134"/>
      <c r="DQ26" s="1134"/>
      <c r="DR26" s="1134"/>
      <c r="DS26" s="1134"/>
      <c r="DT26" s="1134"/>
      <c r="DU26" s="1134"/>
      <c r="DV26" s="1134"/>
      <c r="DW26" s="1134"/>
      <c r="DX26" s="1134"/>
      <c r="DY26" s="1134"/>
      <c r="DZ26" s="1147"/>
      <c r="EA26" s="834"/>
      <c r="EB26" s="834"/>
      <c r="EC26" s="834"/>
      <c r="ED26" s="834"/>
      <c r="EE26" s="834"/>
      <c r="EF26" s="834"/>
      <c r="EG26" s="834"/>
    </row>
    <row r="27" spans="1:137" s="824" customFormat="1" ht="39.950000000000003" customHeight="1">
      <c r="A27" s="825" t="s">
        <v>178</v>
      </c>
      <c r="B27" s="826" t="s">
        <v>179</v>
      </c>
      <c r="C27" s="1027"/>
      <c r="D27" s="1406"/>
      <c r="E27" s="1027"/>
      <c r="F27" s="1027"/>
      <c r="G27" s="1027"/>
      <c r="H27" s="1406"/>
      <c r="I27" s="1027"/>
      <c r="J27" s="1027"/>
      <c r="K27" s="1406"/>
      <c r="L27" s="1027"/>
      <c r="M27" s="1027"/>
      <c r="N27" s="1027"/>
      <c r="O27" s="1027"/>
      <c r="P27" s="1027"/>
      <c r="Q27" s="1027"/>
      <c r="R27" s="1027"/>
      <c r="S27" s="1027"/>
      <c r="T27" s="1027"/>
      <c r="U27" s="1027"/>
      <c r="V27" s="1027"/>
      <c r="W27" s="1027"/>
      <c r="X27" s="1394"/>
      <c r="Y27" s="1027"/>
      <c r="Z27" s="1027"/>
      <c r="AA27" s="1027"/>
      <c r="AB27" s="1027"/>
      <c r="AC27" s="1027"/>
      <c r="AD27" s="1028"/>
      <c r="AE27" s="1028"/>
      <c r="AF27" s="1423"/>
      <c r="AG27" s="1417"/>
      <c r="AH27" s="1028"/>
      <c r="AI27" s="1028"/>
      <c r="AJ27" s="1028"/>
      <c r="AK27" s="1417"/>
      <c r="AL27" s="1417"/>
      <c r="AM27" s="1417"/>
      <c r="AN27" s="1028"/>
      <c r="AO27" s="1028"/>
      <c r="AP27" s="1028"/>
      <c r="AQ27" s="1028"/>
      <c r="AR27" s="1028"/>
      <c r="AS27" s="1028"/>
      <c r="AT27" s="1028"/>
      <c r="AU27" s="1028"/>
      <c r="AV27" s="1417"/>
      <c r="AW27" s="1423"/>
      <c r="AX27" s="1028"/>
      <c r="AY27" s="1028"/>
      <c r="AZ27" s="1028"/>
      <c r="BA27" s="1028"/>
      <c r="BB27" s="1028"/>
      <c r="BC27" s="1028"/>
      <c r="BD27" s="1028"/>
      <c r="BE27" s="1028"/>
      <c r="BF27" s="1028"/>
      <c r="BG27" s="1028"/>
      <c r="BH27" s="1028"/>
      <c r="BI27" s="1028"/>
      <c r="BJ27" s="1028"/>
      <c r="BK27" s="1028"/>
      <c r="BL27" s="1028"/>
      <c r="BM27" s="1028"/>
      <c r="BN27" s="1028"/>
      <c r="BO27" s="1028"/>
      <c r="BP27" s="1028"/>
      <c r="BQ27" s="1028"/>
      <c r="BR27" s="1028"/>
      <c r="BS27" s="1028"/>
      <c r="BT27" s="1028"/>
      <c r="BU27" s="1028"/>
      <c r="BV27" s="1028"/>
      <c r="BW27" s="1028"/>
      <c r="BX27" s="1028"/>
      <c r="BY27" s="1027"/>
      <c r="BZ27" s="1028"/>
      <c r="CA27" s="1142">
        <f t="shared" si="2"/>
        <v>0</v>
      </c>
      <c r="CB27" s="1153"/>
      <c r="CC27" s="1134"/>
      <c r="CD27" s="1134"/>
      <c r="CE27" s="1134"/>
      <c r="CF27" s="1134"/>
      <c r="CG27" s="1134"/>
      <c r="CH27" s="1134"/>
      <c r="CI27" s="1134"/>
      <c r="CJ27" s="1134"/>
      <c r="CK27" s="1134"/>
      <c r="CL27" s="1134"/>
      <c r="CM27" s="1134"/>
      <c r="CN27" s="1134"/>
      <c r="CO27" s="1134"/>
      <c r="CP27" s="1134"/>
      <c r="CQ27" s="1134"/>
      <c r="CR27" s="1134"/>
      <c r="CS27" s="1134"/>
      <c r="CT27" s="1134"/>
      <c r="CU27" s="1134"/>
      <c r="CV27" s="1134"/>
      <c r="CW27" s="1134"/>
      <c r="CX27" s="1134"/>
      <c r="CY27" s="1134"/>
      <c r="CZ27" s="1134"/>
      <c r="DA27" s="1134"/>
      <c r="DB27" s="1134"/>
      <c r="DC27" s="1134"/>
      <c r="DD27" s="1134"/>
      <c r="DE27" s="1134"/>
      <c r="DF27" s="1134"/>
      <c r="DG27" s="1134"/>
      <c r="DH27" s="1134"/>
      <c r="DI27" s="1134"/>
      <c r="DJ27" s="1134"/>
      <c r="DK27" s="1134"/>
      <c r="DL27" s="1134"/>
      <c r="DM27" s="1134"/>
      <c r="DN27" s="1134"/>
      <c r="DO27" s="1134"/>
      <c r="DP27" s="1134"/>
      <c r="DQ27" s="1134"/>
      <c r="DR27" s="1134"/>
      <c r="DS27" s="1134"/>
      <c r="DT27" s="1134"/>
      <c r="DU27" s="1134"/>
      <c r="DV27" s="1134"/>
      <c r="DW27" s="1134"/>
      <c r="DX27" s="1134"/>
      <c r="DY27" s="1134"/>
      <c r="DZ27" s="1147"/>
      <c r="EA27" s="834"/>
      <c r="EB27" s="834"/>
      <c r="EC27" s="834"/>
      <c r="ED27" s="834"/>
      <c r="EE27" s="834"/>
      <c r="EF27" s="834"/>
      <c r="EG27" s="834"/>
    </row>
    <row r="28" spans="1:137" s="805" customFormat="1" ht="39.950000000000003" customHeight="1">
      <c r="A28" s="825" t="s">
        <v>180</v>
      </c>
      <c r="B28" s="826" t="s">
        <v>181</v>
      </c>
      <c r="C28" s="1030"/>
      <c r="D28" s="1406"/>
      <c r="E28" s="1030"/>
      <c r="F28" s="1030"/>
      <c r="G28" s="1030"/>
      <c r="H28" s="1406"/>
      <c r="I28" s="1030"/>
      <c r="J28" s="1030"/>
      <c r="K28" s="1406"/>
      <c r="L28" s="1030"/>
      <c r="M28" s="1030"/>
      <c r="N28" s="1030"/>
      <c r="O28" s="1030"/>
      <c r="P28" s="1030"/>
      <c r="Q28" s="1030"/>
      <c r="R28" s="1030"/>
      <c r="S28" s="1030"/>
      <c r="T28" s="1030"/>
      <c r="U28" s="1030"/>
      <c r="V28" s="1030"/>
      <c r="W28" s="1030"/>
      <c r="X28" s="1394"/>
      <c r="Y28" s="1030"/>
      <c r="Z28" s="1030"/>
      <c r="AA28" s="1030"/>
      <c r="AB28" s="1030"/>
      <c r="AC28" s="1030"/>
      <c r="AD28" s="1035"/>
      <c r="AE28" s="1035"/>
      <c r="AF28" s="1423"/>
      <c r="AG28" s="1417"/>
      <c r="AH28" s="1035"/>
      <c r="AI28" s="1035"/>
      <c r="AJ28" s="1035"/>
      <c r="AK28" s="1417"/>
      <c r="AL28" s="1417"/>
      <c r="AM28" s="1417"/>
      <c r="AN28" s="1035"/>
      <c r="AO28" s="1035"/>
      <c r="AP28" s="1035"/>
      <c r="AQ28" s="1035"/>
      <c r="AR28" s="1035"/>
      <c r="AS28" s="1035"/>
      <c r="AT28" s="1035"/>
      <c r="AU28" s="1035"/>
      <c r="AV28" s="1417"/>
      <c r="AW28" s="1423"/>
      <c r="AX28" s="1035"/>
      <c r="AY28" s="1035"/>
      <c r="AZ28" s="1035"/>
      <c r="BA28" s="1035"/>
      <c r="BB28" s="1035"/>
      <c r="BC28" s="1035"/>
      <c r="BD28" s="1035"/>
      <c r="BE28" s="1035"/>
      <c r="BF28" s="1035"/>
      <c r="BG28" s="1035"/>
      <c r="BH28" s="1035"/>
      <c r="BI28" s="1035"/>
      <c r="BJ28" s="1035"/>
      <c r="BK28" s="1035"/>
      <c r="BL28" s="1035"/>
      <c r="BM28" s="1035"/>
      <c r="BN28" s="1035"/>
      <c r="BO28" s="1035"/>
      <c r="BP28" s="1035"/>
      <c r="BQ28" s="1035"/>
      <c r="BR28" s="1035"/>
      <c r="BS28" s="1035"/>
      <c r="BT28" s="1035"/>
      <c r="BU28" s="1035"/>
      <c r="BV28" s="1035"/>
      <c r="BW28" s="1035"/>
      <c r="BX28" s="1035"/>
      <c r="BY28" s="1030"/>
      <c r="BZ28" s="1035"/>
      <c r="CA28" s="1142">
        <f t="shared" si="2"/>
        <v>0</v>
      </c>
      <c r="CB28" s="1153"/>
      <c r="CC28" s="1134"/>
      <c r="CD28" s="1134"/>
      <c r="CE28" s="1134"/>
      <c r="CF28" s="1134"/>
      <c r="CG28" s="1134"/>
      <c r="CH28" s="1134"/>
      <c r="CI28" s="1134"/>
      <c r="CJ28" s="1134"/>
      <c r="CK28" s="1134"/>
      <c r="CL28" s="1134"/>
      <c r="CM28" s="1134"/>
      <c r="CN28" s="1134"/>
      <c r="CO28" s="1134"/>
      <c r="CP28" s="1134"/>
      <c r="CQ28" s="1134"/>
      <c r="CR28" s="1134"/>
      <c r="CS28" s="1134"/>
      <c r="CT28" s="1134"/>
      <c r="CU28" s="1134"/>
      <c r="CV28" s="1134"/>
      <c r="CW28" s="1134"/>
      <c r="CX28" s="1134"/>
      <c r="CY28" s="1134"/>
      <c r="CZ28" s="1134"/>
      <c r="DA28" s="1134"/>
      <c r="DB28" s="1134"/>
      <c r="DC28" s="1134"/>
      <c r="DD28" s="1134"/>
      <c r="DE28" s="1134"/>
      <c r="DF28" s="1134"/>
      <c r="DG28" s="1134"/>
      <c r="DH28" s="1134"/>
      <c r="DI28" s="1134"/>
      <c r="DJ28" s="1134"/>
      <c r="DK28" s="1134"/>
      <c r="DL28" s="1134"/>
      <c r="DM28" s="1134"/>
      <c r="DN28" s="1134"/>
      <c r="DO28" s="1134"/>
      <c r="DP28" s="1134"/>
      <c r="DQ28" s="1134"/>
      <c r="DR28" s="1134"/>
      <c r="DS28" s="1134"/>
      <c r="DT28" s="1134"/>
      <c r="DU28" s="1134"/>
      <c r="DV28" s="1134"/>
      <c r="DW28" s="1134"/>
      <c r="DX28" s="1134"/>
      <c r="DY28" s="1134"/>
      <c r="DZ28" s="1147"/>
      <c r="EA28" s="834"/>
      <c r="EB28" s="834"/>
      <c r="EC28" s="834"/>
      <c r="ED28" s="834"/>
      <c r="EE28" s="834"/>
      <c r="EF28" s="834"/>
      <c r="EG28" s="834"/>
    </row>
    <row r="29" spans="1:137" s="1415" customFormat="1" ht="39.950000000000003" customHeight="1">
      <c r="A29" s="1416" t="s">
        <v>182</v>
      </c>
      <c r="B29" s="1416" t="s">
        <v>183</v>
      </c>
      <c r="C29" s="1406"/>
      <c r="D29" s="1406"/>
      <c r="E29" s="1406"/>
      <c r="F29" s="1406"/>
      <c r="G29" s="1406"/>
      <c r="H29" s="1406"/>
      <c r="I29" s="1406"/>
      <c r="J29" s="1406"/>
      <c r="K29" s="1406"/>
      <c r="L29" s="1406"/>
      <c r="M29" s="1406"/>
      <c r="N29" s="1406"/>
      <c r="O29" s="1406"/>
      <c r="P29" s="1406"/>
      <c r="Q29" s="1406"/>
      <c r="R29" s="1406"/>
      <c r="S29" s="1406"/>
      <c r="T29" s="1406"/>
      <c r="U29" s="1406"/>
      <c r="V29" s="1406"/>
      <c r="W29" s="1406"/>
      <c r="X29" s="1406"/>
      <c r="Y29" s="1406"/>
      <c r="Z29" s="1406"/>
      <c r="AA29" s="1406"/>
      <c r="AB29" s="1406"/>
      <c r="AC29" s="1406"/>
      <c r="AD29" s="1417"/>
      <c r="AE29" s="1417"/>
      <c r="AF29" s="1423"/>
      <c r="AG29" s="1417"/>
      <c r="AH29" s="1417"/>
      <c r="AI29" s="1417"/>
      <c r="AJ29" s="1417"/>
      <c r="AK29" s="1417"/>
      <c r="AL29" s="1417"/>
      <c r="AM29" s="1417"/>
      <c r="AN29" s="1417"/>
      <c r="AO29" s="1417"/>
      <c r="AP29" s="1417"/>
      <c r="AQ29" s="1417"/>
      <c r="AR29" s="1417"/>
      <c r="AS29" s="1417"/>
      <c r="AT29" s="1417"/>
      <c r="AU29" s="1417"/>
      <c r="AV29" s="1417"/>
      <c r="AW29" s="1423"/>
      <c r="AX29" s="1417"/>
      <c r="AY29" s="1417"/>
      <c r="AZ29" s="1417"/>
      <c r="BA29" s="1417"/>
      <c r="BB29" s="1417"/>
      <c r="BC29" s="1417"/>
      <c r="BD29" s="1417"/>
      <c r="BE29" s="1417"/>
      <c r="BF29" s="1417"/>
      <c r="BG29" s="1417"/>
      <c r="BH29" s="1417"/>
      <c r="BI29" s="1417"/>
      <c r="BJ29" s="1417"/>
      <c r="BK29" s="1417"/>
      <c r="BL29" s="1417"/>
      <c r="BM29" s="1417"/>
      <c r="BN29" s="1417"/>
      <c r="BO29" s="1417"/>
      <c r="BP29" s="1417"/>
      <c r="BQ29" s="1417"/>
      <c r="BR29" s="1417"/>
      <c r="BS29" s="1417"/>
      <c r="BT29" s="1417"/>
      <c r="BU29" s="1417"/>
      <c r="BV29" s="1417"/>
      <c r="BW29" s="1417"/>
      <c r="BX29" s="1417"/>
      <c r="BY29" s="1406"/>
      <c r="BZ29" s="1417"/>
      <c r="CA29" s="1418">
        <f t="shared" si="2"/>
        <v>0</v>
      </c>
      <c r="CB29" s="1419"/>
      <c r="CC29" s="1413"/>
      <c r="CD29" s="1413"/>
      <c r="CE29" s="1413"/>
      <c r="CF29" s="1413"/>
      <c r="CG29" s="1413"/>
      <c r="CH29" s="1413"/>
      <c r="CI29" s="1413"/>
      <c r="CJ29" s="1413"/>
      <c r="CK29" s="1413"/>
      <c r="CL29" s="1413"/>
      <c r="CM29" s="1413"/>
      <c r="CN29" s="1413"/>
      <c r="CO29" s="1413"/>
      <c r="CP29" s="1413"/>
      <c r="CQ29" s="1413"/>
      <c r="CR29" s="1413"/>
      <c r="CS29" s="1413"/>
      <c r="CT29" s="1413"/>
      <c r="CU29" s="1413"/>
      <c r="CV29" s="1413"/>
      <c r="CW29" s="1413"/>
      <c r="CX29" s="1413"/>
      <c r="CY29" s="1413"/>
      <c r="CZ29" s="1413"/>
      <c r="DA29" s="1413"/>
      <c r="DB29" s="1413"/>
      <c r="DC29" s="1413"/>
      <c r="DD29" s="1413"/>
      <c r="DE29" s="1413"/>
      <c r="DF29" s="1413"/>
      <c r="DG29" s="1413"/>
      <c r="DH29" s="1413"/>
      <c r="DI29" s="1413"/>
      <c r="DJ29" s="1413"/>
      <c r="DK29" s="1413"/>
      <c r="DL29" s="1413"/>
      <c r="DM29" s="1413"/>
      <c r="DN29" s="1413"/>
      <c r="DO29" s="1413"/>
      <c r="DP29" s="1413"/>
      <c r="DQ29" s="1413"/>
      <c r="DR29" s="1413"/>
      <c r="DS29" s="1413"/>
      <c r="DT29" s="1413"/>
      <c r="DU29" s="1413"/>
      <c r="DV29" s="1413"/>
      <c r="DW29" s="1413"/>
      <c r="DX29" s="1413"/>
      <c r="DY29" s="1413"/>
      <c r="DZ29" s="1420"/>
    </row>
    <row r="30" spans="1:137" s="805" customFormat="1" ht="39.950000000000003" customHeight="1">
      <c r="A30" s="825" t="s">
        <v>184</v>
      </c>
      <c r="B30" s="826" t="s">
        <v>185</v>
      </c>
      <c r="C30" s="1030"/>
      <c r="D30" s="1406"/>
      <c r="E30" s="1030"/>
      <c r="F30" s="1030"/>
      <c r="G30" s="1030"/>
      <c r="H30" s="1406"/>
      <c r="I30" s="1030"/>
      <c r="J30" s="1030"/>
      <c r="K30" s="1406"/>
      <c r="L30" s="1030"/>
      <c r="M30" s="1030"/>
      <c r="N30" s="1030"/>
      <c r="O30" s="1030"/>
      <c r="P30" s="1030"/>
      <c r="Q30" s="1030"/>
      <c r="R30" s="1030"/>
      <c r="S30" s="1030"/>
      <c r="T30" s="1030"/>
      <c r="U30" s="1030"/>
      <c r="V30" s="1030"/>
      <c r="W30" s="1030"/>
      <c r="X30" s="1394"/>
      <c r="Y30" s="1030"/>
      <c r="Z30" s="1030"/>
      <c r="AA30" s="1030"/>
      <c r="AB30" s="1030"/>
      <c r="AC30" s="1030"/>
      <c r="AD30" s="1035"/>
      <c r="AE30" s="1035"/>
      <c r="AF30" s="1423"/>
      <c r="AG30" s="1417"/>
      <c r="AH30" s="1035"/>
      <c r="AI30" s="1035"/>
      <c r="AJ30" s="1035"/>
      <c r="AK30" s="1417"/>
      <c r="AL30" s="1417"/>
      <c r="AM30" s="1417"/>
      <c r="AN30" s="1035"/>
      <c r="AO30" s="1035"/>
      <c r="AP30" s="1035"/>
      <c r="AQ30" s="1035"/>
      <c r="AR30" s="1035"/>
      <c r="AS30" s="1035"/>
      <c r="AT30" s="1035"/>
      <c r="AU30" s="1035"/>
      <c r="AV30" s="1417"/>
      <c r="AW30" s="1423"/>
      <c r="AX30" s="1035"/>
      <c r="AY30" s="1035"/>
      <c r="AZ30" s="1035"/>
      <c r="BA30" s="1035"/>
      <c r="BB30" s="1035"/>
      <c r="BC30" s="1035"/>
      <c r="BD30" s="1035"/>
      <c r="BE30" s="1035"/>
      <c r="BF30" s="1035"/>
      <c r="BG30" s="1035"/>
      <c r="BH30" s="1035"/>
      <c r="BI30" s="1035"/>
      <c r="BJ30" s="1035"/>
      <c r="BK30" s="1035"/>
      <c r="BL30" s="1035"/>
      <c r="BM30" s="1035"/>
      <c r="BN30" s="1035"/>
      <c r="BO30" s="1035"/>
      <c r="BP30" s="1035"/>
      <c r="BQ30" s="1035"/>
      <c r="BR30" s="1035"/>
      <c r="BS30" s="1035"/>
      <c r="BT30" s="1035"/>
      <c r="BU30" s="1035"/>
      <c r="BV30" s="1035"/>
      <c r="BW30" s="1035"/>
      <c r="BX30" s="1035"/>
      <c r="BY30" s="1030"/>
      <c r="BZ30" s="1035"/>
      <c r="CA30" s="1142">
        <f t="shared" si="2"/>
        <v>0</v>
      </c>
      <c r="CB30" s="1153"/>
      <c r="CC30" s="1134"/>
      <c r="CD30" s="1134"/>
      <c r="CE30" s="1134"/>
      <c r="CF30" s="1134"/>
      <c r="CG30" s="1134"/>
      <c r="CH30" s="1134"/>
      <c r="CI30" s="1134"/>
      <c r="CJ30" s="1134"/>
      <c r="CK30" s="1134"/>
      <c r="CL30" s="1134"/>
      <c r="CM30" s="1134"/>
      <c r="CN30" s="1134"/>
      <c r="CO30" s="1134"/>
      <c r="CP30" s="1134"/>
      <c r="CQ30" s="1134"/>
      <c r="CR30" s="1134"/>
      <c r="CS30" s="1134"/>
      <c r="CT30" s="1134"/>
      <c r="CU30" s="1134"/>
      <c r="CV30" s="1134"/>
      <c r="CW30" s="1134"/>
      <c r="CX30" s="1134"/>
      <c r="CY30" s="1134"/>
      <c r="CZ30" s="1134"/>
      <c r="DA30" s="1134"/>
      <c r="DB30" s="1134"/>
      <c r="DC30" s="1134"/>
      <c r="DD30" s="1134"/>
      <c r="DE30" s="1134"/>
      <c r="DF30" s="1134"/>
      <c r="DG30" s="1134"/>
      <c r="DH30" s="1134"/>
      <c r="DI30" s="1134"/>
      <c r="DJ30" s="1134"/>
      <c r="DK30" s="1134"/>
      <c r="DL30" s="1134"/>
      <c r="DM30" s="1134"/>
      <c r="DN30" s="1134"/>
      <c r="DO30" s="1134"/>
      <c r="DP30" s="1134"/>
      <c r="DQ30" s="1134"/>
      <c r="DR30" s="1134"/>
      <c r="DS30" s="1134"/>
      <c r="DT30" s="1134"/>
      <c r="DU30" s="1134"/>
      <c r="DV30" s="1134"/>
      <c r="DW30" s="1134"/>
      <c r="DX30" s="1134"/>
      <c r="DY30" s="1134"/>
      <c r="DZ30" s="1147"/>
      <c r="EA30" s="834"/>
      <c r="EB30" s="834"/>
      <c r="EC30" s="834"/>
      <c r="ED30" s="834"/>
      <c r="EE30" s="834"/>
      <c r="EF30" s="834"/>
      <c r="EG30" s="834"/>
    </row>
    <row r="31" spans="1:137" s="805" customFormat="1" ht="39.950000000000003" customHeight="1">
      <c r="A31" s="825" t="s">
        <v>186</v>
      </c>
      <c r="B31" s="826" t="s">
        <v>187</v>
      </c>
      <c r="C31" s="1030"/>
      <c r="D31" s="1406"/>
      <c r="E31" s="1030"/>
      <c r="F31" s="1030"/>
      <c r="G31" s="1030"/>
      <c r="H31" s="1406"/>
      <c r="I31" s="1030"/>
      <c r="J31" s="1030"/>
      <c r="K31" s="1406"/>
      <c r="L31" s="1030"/>
      <c r="M31" s="1030"/>
      <c r="N31" s="1030"/>
      <c r="O31" s="1030"/>
      <c r="P31" s="1030"/>
      <c r="Q31" s="1030"/>
      <c r="R31" s="1030"/>
      <c r="S31" s="1030"/>
      <c r="T31" s="1030"/>
      <c r="U31" s="1030"/>
      <c r="V31" s="1030"/>
      <c r="W31" s="1030"/>
      <c r="X31" s="1394"/>
      <c r="Y31" s="1030"/>
      <c r="Z31" s="1030"/>
      <c r="AA31" s="1030"/>
      <c r="AB31" s="1030"/>
      <c r="AC31" s="1030"/>
      <c r="AD31" s="1035"/>
      <c r="AE31" s="1035"/>
      <c r="AF31" s="1423"/>
      <c r="AG31" s="1417"/>
      <c r="AH31" s="1035"/>
      <c r="AI31" s="1035"/>
      <c r="AJ31" s="1035"/>
      <c r="AK31" s="1417"/>
      <c r="AL31" s="1417"/>
      <c r="AM31" s="1417"/>
      <c r="AN31" s="1035"/>
      <c r="AO31" s="1035"/>
      <c r="AP31" s="1035"/>
      <c r="AQ31" s="1035"/>
      <c r="AR31" s="1035"/>
      <c r="AS31" s="1035"/>
      <c r="AT31" s="1035"/>
      <c r="AU31" s="1035"/>
      <c r="AV31" s="1417"/>
      <c r="AW31" s="1423"/>
      <c r="AX31" s="1035"/>
      <c r="AY31" s="1035"/>
      <c r="AZ31" s="1035"/>
      <c r="BA31" s="1035"/>
      <c r="BB31" s="1035"/>
      <c r="BC31" s="1035"/>
      <c r="BD31" s="1035"/>
      <c r="BE31" s="1035"/>
      <c r="BF31" s="1035"/>
      <c r="BG31" s="1035"/>
      <c r="BH31" s="1035"/>
      <c r="BI31" s="1035"/>
      <c r="BJ31" s="1035"/>
      <c r="BK31" s="1035"/>
      <c r="BL31" s="1035"/>
      <c r="BM31" s="1035"/>
      <c r="BN31" s="1035"/>
      <c r="BO31" s="1035"/>
      <c r="BP31" s="1035"/>
      <c r="BQ31" s="1035"/>
      <c r="BR31" s="1035"/>
      <c r="BS31" s="1035"/>
      <c r="BT31" s="1035"/>
      <c r="BU31" s="1035"/>
      <c r="BV31" s="1035"/>
      <c r="BW31" s="1035"/>
      <c r="BX31" s="1035"/>
      <c r="BY31" s="1030"/>
      <c r="BZ31" s="1035"/>
      <c r="CA31" s="1142">
        <f t="shared" si="2"/>
        <v>0</v>
      </c>
      <c r="CB31" s="1153"/>
      <c r="CC31" s="1134"/>
      <c r="CD31" s="1134"/>
      <c r="CE31" s="1134"/>
      <c r="CF31" s="1134"/>
      <c r="CG31" s="1134"/>
      <c r="CH31" s="1134"/>
      <c r="CI31" s="1134"/>
      <c r="CJ31" s="1134"/>
      <c r="CK31" s="1134"/>
      <c r="CL31" s="1134"/>
      <c r="CM31" s="1134"/>
      <c r="CN31" s="1134"/>
      <c r="CO31" s="1134"/>
      <c r="CP31" s="1134"/>
      <c r="CQ31" s="1134"/>
      <c r="CR31" s="1134"/>
      <c r="CS31" s="1134"/>
      <c r="CT31" s="1134"/>
      <c r="CU31" s="1134"/>
      <c r="CV31" s="1134"/>
      <c r="CW31" s="1134"/>
      <c r="CX31" s="1134"/>
      <c r="CY31" s="1134"/>
      <c r="CZ31" s="1134"/>
      <c r="DA31" s="1134"/>
      <c r="DB31" s="1134"/>
      <c r="DC31" s="1134"/>
      <c r="DD31" s="1134"/>
      <c r="DE31" s="1134"/>
      <c r="DF31" s="1134"/>
      <c r="DG31" s="1134"/>
      <c r="DH31" s="1134"/>
      <c r="DI31" s="1134"/>
      <c r="DJ31" s="1134"/>
      <c r="DK31" s="1134"/>
      <c r="DL31" s="1134"/>
      <c r="DM31" s="1134"/>
      <c r="DN31" s="1134"/>
      <c r="DO31" s="1134"/>
      <c r="DP31" s="1134"/>
      <c r="DQ31" s="1134"/>
      <c r="DR31" s="1134"/>
      <c r="DS31" s="1134"/>
      <c r="DT31" s="1134"/>
      <c r="DU31" s="1134"/>
      <c r="DV31" s="1134"/>
      <c r="DW31" s="1134"/>
      <c r="DX31" s="1134"/>
      <c r="DY31" s="1134"/>
      <c r="DZ31" s="1147"/>
      <c r="EA31" s="834"/>
      <c r="EB31" s="834"/>
      <c r="EC31" s="834"/>
      <c r="ED31" s="834"/>
      <c r="EE31" s="834"/>
      <c r="EF31" s="834"/>
      <c r="EG31" s="834"/>
    </row>
    <row r="32" spans="1:137" s="805" customFormat="1" ht="39.950000000000003" customHeight="1">
      <c r="A32" s="825" t="s">
        <v>188</v>
      </c>
      <c r="B32" s="826" t="s">
        <v>189</v>
      </c>
      <c r="C32" s="1030"/>
      <c r="D32" s="1406"/>
      <c r="E32" s="1030"/>
      <c r="F32" s="1030"/>
      <c r="G32" s="1030"/>
      <c r="H32" s="1406"/>
      <c r="I32" s="1030"/>
      <c r="J32" s="1030"/>
      <c r="K32" s="1406"/>
      <c r="L32" s="1030"/>
      <c r="M32" s="1030"/>
      <c r="N32" s="1030"/>
      <c r="O32" s="1030"/>
      <c r="P32" s="1030"/>
      <c r="Q32" s="1030"/>
      <c r="R32" s="1030"/>
      <c r="S32" s="1030"/>
      <c r="T32" s="1030"/>
      <c r="U32" s="1030"/>
      <c r="V32" s="1030"/>
      <c r="W32" s="1030"/>
      <c r="X32" s="1394"/>
      <c r="Y32" s="1030"/>
      <c r="Z32" s="1030"/>
      <c r="AA32" s="1030"/>
      <c r="AB32" s="1030"/>
      <c r="AC32" s="1030"/>
      <c r="AD32" s="1035"/>
      <c r="AE32" s="1035"/>
      <c r="AF32" s="1423"/>
      <c r="AG32" s="1417"/>
      <c r="AH32" s="1035"/>
      <c r="AI32" s="1035"/>
      <c r="AJ32" s="1035"/>
      <c r="AK32" s="1417"/>
      <c r="AL32" s="1417"/>
      <c r="AM32" s="1417"/>
      <c r="AN32" s="1035"/>
      <c r="AO32" s="1035"/>
      <c r="AP32" s="1035"/>
      <c r="AQ32" s="1035"/>
      <c r="AR32" s="1035"/>
      <c r="AS32" s="1035"/>
      <c r="AT32" s="1035"/>
      <c r="AU32" s="1035"/>
      <c r="AV32" s="1417"/>
      <c r="AW32" s="1423"/>
      <c r="AX32" s="1035">
        <f>Отчет!J164+Отчет!J168+Отчет!J173+'036 гобм'!P10+Отчет!J207+Отчет!J235+AZ34</f>
        <v>36364385.493299603</v>
      </c>
      <c r="AY32" s="1035"/>
      <c r="AZ32" s="1035"/>
      <c r="BA32" s="1035"/>
      <c r="BB32" s="1035"/>
      <c r="BC32" s="1035"/>
      <c r="BD32" s="1035"/>
      <c r="BE32" s="1035"/>
      <c r="BF32" s="1035"/>
      <c r="BG32" s="1035"/>
      <c r="BH32" s="1035"/>
      <c r="BI32" s="1035"/>
      <c r="BJ32" s="1035"/>
      <c r="BK32" s="1035"/>
      <c r="BL32" s="1035"/>
      <c r="BM32" s="1035"/>
      <c r="BN32" s="1035"/>
      <c r="BO32" s="1035"/>
      <c r="BP32" s="1035"/>
      <c r="BQ32" s="1035"/>
      <c r="BR32" s="1035"/>
      <c r="BS32" s="1035"/>
      <c r="BT32" s="1035"/>
      <c r="BU32" s="1035"/>
      <c r="BW32" s="1035"/>
      <c r="BX32" s="1035"/>
      <c r="BY32" s="1030"/>
      <c r="BZ32" s="1035"/>
      <c r="CA32" s="1142">
        <f t="shared" si="2"/>
        <v>36364385.493299603</v>
      </c>
      <c r="CB32" s="1153"/>
      <c r="CC32" s="1134"/>
      <c r="CD32" s="1134"/>
      <c r="CE32" s="1134"/>
      <c r="CF32" s="1134"/>
      <c r="CG32" s="1134"/>
      <c r="CH32" s="1134"/>
      <c r="CI32" s="1134"/>
      <c r="CJ32" s="1134"/>
      <c r="CK32" s="1134"/>
      <c r="CL32" s="1134"/>
      <c r="CM32" s="1134"/>
      <c r="CN32" s="1134"/>
      <c r="CO32" s="1134"/>
      <c r="CP32" s="1134"/>
      <c r="CQ32" s="1134"/>
      <c r="CR32" s="1134"/>
      <c r="CS32" s="1134"/>
      <c r="CT32" s="1134"/>
      <c r="CU32" s="1134"/>
      <c r="CV32" s="1134"/>
      <c r="CW32" s="1134"/>
      <c r="CX32" s="1134"/>
      <c r="CY32" s="1134"/>
      <c r="CZ32" s="1134"/>
      <c r="DA32" s="1134"/>
      <c r="DB32" s="1134"/>
      <c r="DC32" s="1134"/>
      <c r="DD32" s="1134"/>
      <c r="DE32" s="1134"/>
      <c r="DF32" s="1134"/>
      <c r="DG32" s="1134"/>
      <c r="DH32" s="1134"/>
      <c r="DI32" s="1134"/>
      <c r="DJ32" s="1134"/>
      <c r="DK32" s="1134"/>
      <c r="DL32" s="1134"/>
      <c r="DM32" s="1134"/>
      <c r="DN32" s="1134"/>
      <c r="DO32" s="1134"/>
      <c r="DP32" s="1134"/>
      <c r="DQ32" s="1134"/>
      <c r="DR32" s="1134"/>
      <c r="DS32" s="1134"/>
      <c r="DT32" s="1134"/>
      <c r="DU32" s="1134"/>
      <c r="DV32" s="1134"/>
      <c r="DW32" s="1134"/>
      <c r="DX32" s="1134"/>
      <c r="DY32" s="1134"/>
      <c r="DZ32" s="1147"/>
      <c r="EA32" s="834"/>
      <c r="EB32" s="834"/>
      <c r="EC32" s="834"/>
      <c r="ED32" s="834"/>
      <c r="EE32" s="834"/>
      <c r="EF32" s="834"/>
      <c r="EG32" s="834"/>
    </row>
    <row r="33" spans="1:137" s="805" customFormat="1" ht="39.950000000000003" customHeight="1">
      <c r="A33" s="802" t="s">
        <v>190</v>
      </c>
      <c r="B33" s="829" t="s">
        <v>191</v>
      </c>
      <c r="C33" s="1030"/>
      <c r="D33" s="1406"/>
      <c r="E33" s="1030"/>
      <c r="F33" s="1030"/>
      <c r="G33" s="1030"/>
      <c r="H33" s="1406"/>
      <c r="I33" s="1030"/>
      <c r="J33" s="1030"/>
      <c r="K33" s="1406"/>
      <c r="L33" s="1030"/>
      <c r="M33" s="1030"/>
      <c r="N33" s="1030"/>
      <c r="O33" s="1030"/>
      <c r="P33" s="1030"/>
      <c r="Q33" s="1030"/>
      <c r="R33" s="1030"/>
      <c r="S33" s="1030"/>
      <c r="T33" s="1030"/>
      <c r="U33" s="1030"/>
      <c r="V33" s="1030"/>
      <c r="W33" s="1030"/>
      <c r="X33" s="1394"/>
      <c r="Y33" s="1030"/>
      <c r="Z33" s="1030"/>
      <c r="AA33" s="1030"/>
      <c r="AB33" s="1030"/>
      <c r="AC33" s="1030"/>
      <c r="AD33" s="1035"/>
      <c r="AE33" s="1035"/>
      <c r="AF33" s="1423"/>
      <c r="AG33" s="1417"/>
      <c r="AH33" s="1035"/>
      <c r="AI33" s="1035"/>
      <c r="AJ33" s="1035"/>
      <c r="AK33" s="1417"/>
      <c r="AL33" s="1417"/>
      <c r="AM33" s="1417"/>
      <c r="AN33" s="1035"/>
      <c r="AO33" s="1035"/>
      <c r="AP33" s="1035"/>
      <c r="AQ33" s="1035"/>
      <c r="AR33" s="1035"/>
      <c r="AS33" s="1035"/>
      <c r="AT33" s="1035"/>
      <c r="AU33" s="1035"/>
      <c r="AV33" s="1417"/>
      <c r="AW33" s="1423"/>
      <c r="AX33" s="1035"/>
      <c r="AY33" s="1035"/>
      <c r="AZ33" s="1035" t="s">
        <v>1729</v>
      </c>
      <c r="BA33" s="1035"/>
      <c r="BB33" s="1035"/>
      <c r="BC33" s="1035"/>
      <c r="BD33" s="1035"/>
      <c r="BE33" s="1035"/>
      <c r="BF33" s="1035"/>
      <c r="BG33" s="1035"/>
      <c r="BH33" s="1035"/>
      <c r="BI33" s="1035"/>
      <c r="BJ33" s="1035"/>
      <c r="BK33" s="1035"/>
      <c r="BL33" s="1035"/>
      <c r="BM33" s="1035"/>
      <c r="BN33" s="1031"/>
      <c r="BO33" s="1035"/>
      <c r="BP33" s="1035"/>
      <c r="BQ33" s="1035"/>
      <c r="BR33" s="1035"/>
      <c r="BS33" s="1035"/>
      <c r="BT33" s="1035"/>
      <c r="BU33" s="1035"/>
      <c r="BW33" s="1035"/>
      <c r="BX33" s="1035"/>
      <c r="BY33" s="1030"/>
      <c r="BZ33" s="1035"/>
      <c r="CA33" s="1142">
        <f t="shared" si="2"/>
        <v>0</v>
      </c>
      <c r="CB33" s="1153"/>
      <c r="CC33" s="1134"/>
      <c r="CD33" s="1134"/>
      <c r="CE33" s="1134"/>
      <c r="CF33" s="1134"/>
      <c r="CG33" s="1134"/>
      <c r="CH33" s="1134"/>
      <c r="CI33" s="1134"/>
      <c r="CJ33" s="1134"/>
      <c r="CK33" s="1134"/>
      <c r="CL33" s="1134"/>
      <c r="CM33" s="1134"/>
      <c r="CN33" s="1134"/>
      <c r="CO33" s="1134"/>
      <c r="CP33" s="1134"/>
      <c r="CQ33" s="1134"/>
      <c r="CR33" s="1134"/>
      <c r="CS33" s="1134"/>
      <c r="CT33" s="1134"/>
      <c r="CU33" s="1134"/>
      <c r="CV33" s="1134"/>
      <c r="CW33" s="1134"/>
      <c r="CX33" s="1134"/>
      <c r="CY33" s="1134"/>
      <c r="CZ33" s="1134"/>
      <c r="DA33" s="1134"/>
      <c r="DB33" s="1134"/>
      <c r="DC33" s="1134"/>
      <c r="DD33" s="1134"/>
      <c r="DE33" s="1134"/>
      <c r="DF33" s="1134"/>
      <c r="DG33" s="1134"/>
      <c r="DH33" s="1134"/>
      <c r="DI33" s="1134"/>
      <c r="DJ33" s="1134"/>
      <c r="DK33" s="1134"/>
      <c r="DL33" s="1134"/>
      <c r="DM33" s="1134"/>
      <c r="DN33" s="1134"/>
      <c r="DO33" s="1134"/>
      <c r="DP33" s="1134"/>
      <c r="DQ33" s="1134"/>
      <c r="DR33" s="1134"/>
      <c r="DS33" s="1134"/>
      <c r="DT33" s="1134"/>
      <c r="DU33" s="1134"/>
      <c r="DV33" s="1134"/>
      <c r="DW33" s="1134"/>
      <c r="DX33" s="1134"/>
      <c r="DY33" s="1134"/>
      <c r="DZ33" s="1147"/>
      <c r="EA33" s="834"/>
      <c r="EB33" s="834"/>
      <c r="EC33" s="834"/>
      <c r="ED33" s="834"/>
      <c r="EE33" s="834"/>
      <c r="EF33" s="834"/>
      <c r="EG33" s="834"/>
    </row>
    <row r="34" spans="1:137" s="824" customFormat="1" ht="39.950000000000003" customHeight="1">
      <c r="A34" s="802" t="s">
        <v>192</v>
      </c>
      <c r="B34" s="829" t="s">
        <v>193</v>
      </c>
      <c r="C34" s="1030"/>
      <c r="D34" s="1406"/>
      <c r="E34" s="1030"/>
      <c r="F34" s="1030"/>
      <c r="G34" s="1030"/>
      <c r="H34" s="1406"/>
      <c r="I34" s="1030"/>
      <c r="J34" s="1030"/>
      <c r="K34" s="1406"/>
      <c r="L34" s="1030"/>
      <c r="M34" s="1030"/>
      <c r="N34" s="1030"/>
      <c r="O34" s="1030"/>
      <c r="P34" s="1030"/>
      <c r="Q34" s="1030"/>
      <c r="R34" s="1030"/>
      <c r="S34" s="1030"/>
      <c r="T34" s="1030"/>
      <c r="U34" s="1030"/>
      <c r="V34" s="1030"/>
      <c r="W34" s="1030"/>
      <c r="X34" s="1394"/>
      <c r="Y34" s="1030"/>
      <c r="Z34" s="1030"/>
      <c r="AA34" s="1030"/>
      <c r="AB34" s="1030"/>
      <c r="AC34" s="1030"/>
      <c r="AD34" s="1035"/>
      <c r="AE34" s="1035"/>
      <c r="AF34" s="1423"/>
      <c r="AG34" s="1417"/>
      <c r="AH34" s="1035"/>
      <c r="AI34" s="1035"/>
      <c r="AJ34" s="1035"/>
      <c r="AK34" s="1417"/>
      <c r="AL34" s="1417"/>
      <c r="AM34" s="1417"/>
      <c r="AN34" s="1035"/>
      <c r="AO34" s="1035"/>
      <c r="AP34" s="1035"/>
      <c r="AQ34" s="1035"/>
      <c r="AR34" s="1035"/>
      <c r="AS34" s="1035"/>
      <c r="AT34" s="1035"/>
      <c r="AU34" s="1035"/>
      <c r="AV34" s="1417"/>
      <c r="AW34" s="1423"/>
      <c r="AX34" s="1035"/>
      <c r="AY34" s="1035"/>
      <c r="AZ34" s="1035">
        <f>Отчет!J54+Отчет!J64+Дэф!C5+Дэф!C7</f>
        <v>9872814</v>
      </c>
      <c r="BA34" s="1035"/>
      <c r="BB34" s="1035"/>
      <c r="BC34" s="1035"/>
      <c r="BD34" s="1035"/>
      <c r="BE34" s="1035"/>
      <c r="BF34" s="1035"/>
      <c r="BG34" s="1035"/>
      <c r="BH34" s="1035"/>
      <c r="BI34" s="1035"/>
      <c r="BJ34" s="1035"/>
      <c r="BK34" s="1035"/>
      <c r="BL34" s="1035"/>
      <c r="BM34" s="1035"/>
      <c r="BN34" s="1035"/>
      <c r="BO34" s="1035"/>
      <c r="BP34" s="1035"/>
      <c r="BQ34" s="1035"/>
      <c r="BR34" s="1035"/>
      <c r="BS34" s="1035"/>
      <c r="BT34" s="1035"/>
      <c r="BU34" s="1035"/>
      <c r="BV34" s="805"/>
      <c r="BW34" s="1035"/>
      <c r="BX34" s="1035"/>
      <c r="BY34" s="1030"/>
      <c r="BZ34" s="1035"/>
      <c r="CA34" s="1142">
        <f t="shared" si="2"/>
        <v>9872814</v>
      </c>
      <c r="CB34" s="1153"/>
      <c r="CC34" s="1134"/>
      <c r="CD34" s="1134"/>
      <c r="CE34" s="1134"/>
      <c r="CF34" s="1134"/>
      <c r="CG34" s="1134"/>
      <c r="CH34" s="1134"/>
      <c r="CI34" s="1134"/>
      <c r="CJ34" s="1134"/>
      <c r="CK34" s="1134"/>
      <c r="CL34" s="1134"/>
      <c r="CM34" s="1134"/>
      <c r="CN34" s="1134"/>
      <c r="CO34" s="1134"/>
      <c r="CP34" s="1134"/>
      <c r="CQ34" s="1134"/>
      <c r="CR34" s="1134"/>
      <c r="CS34" s="1134"/>
      <c r="CT34" s="1134"/>
      <c r="CU34" s="1134"/>
      <c r="CV34" s="1134"/>
      <c r="CW34" s="1134"/>
      <c r="CX34" s="1134"/>
      <c r="CY34" s="1134"/>
      <c r="CZ34" s="1134"/>
      <c r="DA34" s="1134"/>
      <c r="DB34" s="1134"/>
      <c r="DC34" s="1134"/>
      <c r="DD34" s="1134"/>
      <c r="DE34" s="1134"/>
      <c r="DF34" s="1134"/>
      <c r="DG34" s="1134"/>
      <c r="DH34" s="1134"/>
      <c r="DI34" s="1134"/>
      <c r="DJ34" s="1134"/>
      <c r="DK34" s="1134"/>
      <c r="DL34" s="1134"/>
      <c r="DM34" s="1134"/>
      <c r="DN34" s="1134"/>
      <c r="DO34" s="1134"/>
      <c r="DP34" s="1134"/>
      <c r="DQ34" s="1134"/>
      <c r="DR34" s="1134"/>
      <c r="DS34" s="1134"/>
      <c r="DT34" s="1134"/>
      <c r="DU34" s="1134"/>
      <c r="DV34" s="1134"/>
      <c r="DW34" s="1134"/>
      <c r="DX34" s="1134"/>
      <c r="DY34" s="1134"/>
      <c r="DZ34" s="1147"/>
      <c r="EA34" s="834"/>
      <c r="EB34" s="834"/>
      <c r="EC34" s="834"/>
      <c r="ED34" s="834"/>
      <c r="EE34" s="834"/>
      <c r="EF34" s="834"/>
      <c r="EG34" s="834"/>
    </row>
    <row r="35" spans="1:137" s="805" customFormat="1" ht="39.950000000000003" customHeight="1">
      <c r="A35" s="802" t="s">
        <v>194</v>
      </c>
      <c r="B35" s="829" t="s">
        <v>195</v>
      </c>
      <c r="C35" s="1030"/>
      <c r="D35" s="1406"/>
      <c r="E35" s="1030"/>
      <c r="F35" s="1030"/>
      <c r="G35" s="1030"/>
      <c r="H35" s="1406"/>
      <c r="I35" s="1030"/>
      <c r="J35" s="1030"/>
      <c r="K35" s="1406"/>
      <c r="L35" s="1030"/>
      <c r="M35" s="1030"/>
      <c r="N35" s="1030"/>
      <c r="O35" s="1030"/>
      <c r="P35" s="1030"/>
      <c r="Q35" s="1030"/>
      <c r="R35" s="1030"/>
      <c r="S35" s="1030"/>
      <c r="T35" s="1030"/>
      <c r="U35" s="1030"/>
      <c r="V35" s="1030"/>
      <c r="W35" s="1030"/>
      <c r="X35" s="1394"/>
      <c r="Y35" s="1030"/>
      <c r="Z35" s="1030"/>
      <c r="AA35" s="1030"/>
      <c r="AB35" s="1030"/>
      <c r="AC35" s="1030"/>
      <c r="AD35" s="1035"/>
      <c r="AE35" s="1035"/>
      <c r="AF35" s="1423"/>
      <c r="AG35" s="1417"/>
      <c r="AH35" s="1035"/>
      <c r="AI35" s="1035"/>
      <c r="AJ35" s="1035"/>
      <c r="AK35" s="1417"/>
      <c r="AL35" s="1417"/>
      <c r="AM35" s="1417"/>
      <c r="AN35" s="1035"/>
      <c r="AO35" s="1035"/>
      <c r="AP35" s="1035"/>
      <c r="AQ35" s="1035"/>
      <c r="AR35" s="1035"/>
      <c r="AS35" s="1035"/>
      <c r="AT35" s="1035"/>
      <c r="AU35" s="1035"/>
      <c r="AV35" s="1417"/>
      <c r="AW35" s="1423"/>
      <c r="AX35" s="1035"/>
      <c r="AY35" s="1035"/>
      <c r="AZ35" s="1035"/>
      <c r="BA35" s="1035"/>
      <c r="BB35" s="1035"/>
      <c r="BC35" s="1035"/>
      <c r="BD35" s="1035"/>
      <c r="BE35" s="1035"/>
      <c r="BF35" s="1035"/>
      <c r="BG35" s="1035"/>
      <c r="BH35" s="1035"/>
      <c r="BI35" s="1035"/>
      <c r="BJ35" s="1035"/>
      <c r="BK35" s="1035"/>
      <c r="BL35" s="1035"/>
      <c r="BM35" s="1035"/>
      <c r="BN35" s="1035"/>
      <c r="BO35" s="1035"/>
      <c r="BP35" s="1035"/>
      <c r="BQ35" s="1035"/>
      <c r="BR35" s="1035"/>
      <c r="BS35" s="1035"/>
      <c r="BT35" s="1035"/>
      <c r="BU35" s="1035"/>
      <c r="BV35" s="1035"/>
      <c r="BW35" s="1035"/>
      <c r="BX35" s="1035"/>
      <c r="BY35" s="1030"/>
      <c r="BZ35" s="1035"/>
      <c r="CA35" s="1142">
        <f t="shared" si="2"/>
        <v>0</v>
      </c>
      <c r="CB35" s="1153"/>
      <c r="CC35" s="1134"/>
      <c r="CD35" s="1134"/>
      <c r="CE35" s="1134"/>
      <c r="CF35" s="1134"/>
      <c r="CG35" s="1134"/>
      <c r="CH35" s="1134"/>
      <c r="CI35" s="1134"/>
      <c r="CJ35" s="1134"/>
      <c r="CK35" s="1134"/>
      <c r="CL35" s="1134"/>
      <c r="CM35" s="1134"/>
      <c r="CN35" s="1134"/>
      <c r="CO35" s="1134"/>
      <c r="CP35" s="1134"/>
      <c r="CQ35" s="1134"/>
      <c r="CR35" s="1134"/>
      <c r="CS35" s="1134"/>
      <c r="CT35" s="1134"/>
      <c r="CU35" s="1134"/>
      <c r="CV35" s="1134"/>
      <c r="CW35" s="1134"/>
      <c r="CX35" s="1134"/>
      <c r="CY35" s="1134"/>
      <c r="CZ35" s="1134"/>
      <c r="DA35" s="1134"/>
      <c r="DB35" s="1134"/>
      <c r="DC35" s="1134"/>
      <c r="DD35" s="1134"/>
      <c r="DE35" s="1134"/>
      <c r="DF35" s="1134"/>
      <c r="DG35" s="1134"/>
      <c r="DH35" s="1134"/>
      <c r="DI35" s="1134"/>
      <c r="DJ35" s="1134"/>
      <c r="DK35" s="1134"/>
      <c r="DL35" s="1134"/>
      <c r="DM35" s="1134"/>
      <c r="DN35" s="1134"/>
      <c r="DO35" s="1134"/>
      <c r="DP35" s="1134"/>
      <c r="DQ35" s="1134"/>
      <c r="DR35" s="1134"/>
      <c r="DS35" s="1134"/>
      <c r="DT35" s="1134"/>
      <c r="DU35" s="1134"/>
      <c r="DV35" s="1134"/>
      <c r="DW35" s="1134"/>
      <c r="DX35" s="1134"/>
      <c r="DY35" s="1134"/>
      <c r="DZ35" s="1147"/>
      <c r="EA35" s="834"/>
      <c r="EB35" s="834"/>
      <c r="EC35" s="834"/>
      <c r="ED35" s="834"/>
      <c r="EE35" s="834"/>
      <c r="EF35" s="834"/>
      <c r="EG35" s="834"/>
    </row>
    <row r="36" spans="1:137" s="1415" customFormat="1" ht="39.950000000000003" customHeight="1">
      <c r="A36" s="1416" t="s">
        <v>196</v>
      </c>
      <c r="B36" s="1416" t="s">
        <v>197</v>
      </c>
      <c r="C36" s="1406">
        <f>K36</f>
        <v>5036402</v>
      </c>
      <c r="D36" s="1406"/>
      <c r="E36" s="1406"/>
      <c r="F36" s="1406"/>
      <c r="G36" s="1406"/>
      <c r="H36" s="1406"/>
      <c r="I36" s="1406"/>
      <c r="J36" s="1406"/>
      <c r="K36" s="1406">
        <f>K37</f>
        <v>5036402</v>
      </c>
      <c r="L36" s="1406"/>
      <c r="M36" s="1406"/>
      <c r="N36" s="1406"/>
      <c r="O36" s="1406"/>
      <c r="P36" s="1406"/>
      <c r="Q36" s="1406"/>
      <c r="R36" s="1406"/>
      <c r="T36" s="1406"/>
      <c r="U36" s="1406"/>
      <c r="V36" s="1406"/>
      <c r="W36" s="1406"/>
      <c r="X36" s="1406"/>
      <c r="Y36" s="1406"/>
      <c r="Z36" s="1406"/>
      <c r="AA36" s="1406"/>
      <c r="AB36" s="1406"/>
      <c r="AC36" s="1406"/>
      <c r="AD36" s="1417"/>
      <c r="AE36" s="1417"/>
      <c r="AF36" s="1423"/>
      <c r="AG36" s="1417"/>
      <c r="AH36" s="1417"/>
      <c r="AI36" s="1417"/>
      <c r="AJ36" s="1417"/>
      <c r="AK36" s="1417"/>
      <c r="AL36" s="1417"/>
      <c r="AM36" s="1417"/>
      <c r="AN36" s="1417"/>
      <c r="AO36" s="1417"/>
      <c r="AP36" s="1417"/>
      <c r="AQ36" s="1417"/>
      <c r="AR36" s="1417"/>
      <c r="AS36" s="1417"/>
      <c r="AT36" s="1417"/>
      <c r="AU36" s="1417"/>
      <c r="AV36" s="1417"/>
      <c r="AW36" s="1423"/>
      <c r="AX36" s="1417"/>
      <c r="AY36" s="1417"/>
      <c r="AZ36" s="1417"/>
      <c r="BA36" s="1417"/>
      <c r="BB36" s="1417"/>
      <c r="BC36" s="1417"/>
      <c r="BD36" s="1417"/>
      <c r="BE36" s="1417"/>
      <c r="BF36" s="1417"/>
      <c r="BG36" s="1417"/>
      <c r="BH36" s="1417"/>
      <c r="BI36" s="1417"/>
      <c r="BJ36" s="1417"/>
      <c r="BK36" s="1417"/>
      <c r="BL36" s="1417"/>
      <c r="BM36" s="1417"/>
      <c r="BN36" s="1417"/>
      <c r="BO36" s="1417"/>
      <c r="BP36" s="1417"/>
      <c r="BQ36" s="1417"/>
      <c r="BR36" s="1417"/>
      <c r="BS36" s="1417"/>
      <c r="BT36" s="1417"/>
      <c r="BU36" s="1417"/>
      <c r="BV36" s="1417"/>
      <c r="BW36" s="1417"/>
      <c r="BX36" s="1417"/>
      <c r="BY36" s="1406"/>
      <c r="BZ36" s="1417"/>
      <c r="CA36" s="1418">
        <f t="shared" si="2"/>
        <v>10072804</v>
      </c>
      <c r="CB36" s="1419"/>
      <c r="CC36" s="1413"/>
      <c r="CD36" s="1413"/>
      <c r="CE36" s="1413"/>
      <c r="CF36" s="1413"/>
      <c r="CG36" s="1413"/>
      <c r="CH36" s="1413"/>
      <c r="CI36" s="1413"/>
      <c r="CJ36" s="1413"/>
      <c r="CK36" s="1413"/>
      <c r="CL36" s="1413"/>
      <c r="CM36" s="1413"/>
      <c r="CN36" s="1413"/>
      <c r="CO36" s="1413"/>
      <c r="CP36" s="1413"/>
      <c r="CQ36" s="1413"/>
      <c r="CR36" s="1413"/>
      <c r="CS36" s="1413"/>
      <c r="CT36" s="1413"/>
      <c r="CU36" s="1413"/>
      <c r="CV36" s="1413"/>
      <c r="CW36" s="1413"/>
      <c r="CX36" s="1413"/>
      <c r="CY36" s="1413"/>
      <c r="CZ36" s="1413"/>
      <c r="DA36" s="1413"/>
      <c r="DB36" s="1413"/>
      <c r="DC36" s="1413"/>
      <c r="DD36" s="1413"/>
      <c r="DE36" s="1413"/>
      <c r="DF36" s="1413"/>
      <c r="DG36" s="1413"/>
      <c r="DH36" s="1413"/>
      <c r="DI36" s="1413"/>
      <c r="DJ36" s="1413"/>
      <c r="DK36" s="1413"/>
      <c r="DL36" s="1413"/>
      <c r="DM36" s="1413"/>
      <c r="DN36" s="1413"/>
      <c r="DO36" s="1413"/>
      <c r="DP36" s="1413"/>
      <c r="DQ36" s="1413"/>
      <c r="DR36" s="1413"/>
      <c r="DS36" s="1413"/>
      <c r="DT36" s="1413"/>
      <c r="DU36" s="1413"/>
      <c r="DV36" s="1413"/>
      <c r="DW36" s="1413"/>
      <c r="DX36" s="1413"/>
      <c r="DY36" s="1413"/>
      <c r="DZ36" s="1420"/>
    </row>
    <row r="37" spans="1:137" s="806" customFormat="1" ht="39.950000000000003" customHeight="1">
      <c r="A37" s="825" t="s">
        <v>198</v>
      </c>
      <c r="B37" s="826" t="s">
        <v>199</v>
      </c>
      <c r="C37" s="1030"/>
      <c r="D37" s="1406"/>
      <c r="E37" s="1030"/>
      <c r="F37" s="1030"/>
      <c r="G37" s="1030"/>
      <c r="H37" s="1406"/>
      <c r="I37" s="1030"/>
      <c r="J37" s="1030"/>
      <c r="K37" s="1406">
        <f>N37+S37</f>
        <v>5036402</v>
      </c>
      <c r="L37" s="1030"/>
      <c r="M37" s="1030"/>
      <c r="N37" s="1030">
        <f>Отчет!K117+Отчет!J87</f>
        <v>3686807</v>
      </c>
      <c r="O37" s="1030"/>
      <c r="P37" s="1030"/>
      <c r="Q37" s="1030"/>
      <c r="R37" s="1030"/>
      <c r="S37" s="1030">
        <f>Отчет!J121+Отчет!J93</f>
        <v>1349595</v>
      </c>
      <c r="T37" s="1030"/>
      <c r="U37" s="1030"/>
      <c r="V37" s="1030"/>
      <c r="W37" s="1030"/>
      <c r="X37" s="1394"/>
      <c r="Y37" s="1030"/>
      <c r="Z37" s="1030"/>
      <c r="AA37" s="1030"/>
      <c r="AB37" s="1030"/>
      <c r="AC37" s="1030"/>
      <c r="AD37" s="1035"/>
      <c r="AE37" s="1035"/>
      <c r="AF37" s="1423"/>
      <c r="AG37" s="1417"/>
      <c r="AH37" s="1035"/>
      <c r="AI37" s="1035"/>
      <c r="AJ37" s="1035"/>
      <c r="AK37" s="1417"/>
      <c r="AL37" s="1417"/>
      <c r="AM37" s="1417"/>
      <c r="AN37" s="1035"/>
      <c r="AO37" s="1035"/>
      <c r="AP37" s="1035"/>
      <c r="AQ37" s="1035"/>
      <c r="AR37" s="1035"/>
      <c r="AS37" s="1035"/>
      <c r="AT37" s="1035"/>
      <c r="AU37" s="1035"/>
      <c r="AV37" s="1417"/>
      <c r="AW37" s="1423"/>
      <c r="AX37" s="1035"/>
      <c r="AY37" s="1035"/>
      <c r="AZ37" s="1035"/>
      <c r="BA37" s="1035">
        <f>Отчет!J90+Отчет!J96+Отчет!J99+Отчет!J105+Отчет!J119+Отчет!J123+Отчет!J126+Отчет!J131+Отчет!J144+Отчет!J149+Отчет!J156+Отчет!J159</f>
        <v>37086094</v>
      </c>
      <c r="BB37" s="1035">
        <f>Отчет!J90+Отчет!J96+Отчет!J99+Отчет!J105+Отчет!J119+Отчет!J123+Отчет!J126+Отчет!J131+Отчет!J144+Отчет!J149+Отчет!J156+Отчет!J159</f>
        <v>37086094</v>
      </c>
      <c r="BC37" s="1035"/>
      <c r="BD37" s="1035"/>
      <c r="BE37" s="1035"/>
      <c r="BF37" s="1031"/>
      <c r="BG37" s="1035"/>
      <c r="BH37" s="1035"/>
      <c r="BI37" s="1035"/>
      <c r="BJ37" s="1035"/>
      <c r="BK37" s="1035"/>
      <c r="BL37" s="1035"/>
      <c r="BM37" s="1035"/>
      <c r="BN37" s="1035"/>
      <c r="BO37" s="1035"/>
      <c r="BP37" s="1035"/>
      <c r="BQ37" s="1035"/>
      <c r="BR37" s="1035"/>
      <c r="BS37" s="1035"/>
      <c r="BT37" s="1035"/>
      <c r="BU37" s="1035"/>
      <c r="BV37" s="1035"/>
      <c r="BW37" s="1035"/>
      <c r="BX37" s="1035"/>
      <c r="BY37" s="1030"/>
      <c r="BZ37" s="1035"/>
      <c r="CA37" s="1142">
        <f t="shared" si="2"/>
        <v>84244992</v>
      </c>
      <c r="CB37" s="1153"/>
      <c r="CC37" s="1134"/>
      <c r="CD37" s="1134"/>
      <c r="CE37" s="1134"/>
      <c r="CF37" s="1134"/>
      <c r="CG37" s="1134"/>
      <c r="CH37" s="1134"/>
      <c r="CI37" s="1134"/>
      <c r="CJ37" s="1134"/>
      <c r="CK37" s="1134"/>
      <c r="CL37" s="1134"/>
      <c r="CM37" s="1134"/>
      <c r="CN37" s="1134"/>
      <c r="CO37" s="1134"/>
      <c r="CP37" s="1134"/>
      <c r="CQ37" s="1134"/>
      <c r="CR37" s="1134"/>
      <c r="CS37" s="1134"/>
      <c r="CT37" s="1134"/>
      <c r="CU37" s="1134"/>
      <c r="CV37" s="1134"/>
      <c r="CW37" s="1134"/>
      <c r="CX37" s="1134"/>
      <c r="CY37" s="1134"/>
      <c r="CZ37" s="1134"/>
      <c r="DA37" s="1134"/>
      <c r="DB37" s="1134"/>
      <c r="DC37" s="1134"/>
      <c r="DD37" s="1134"/>
      <c r="DE37" s="1134"/>
      <c r="DF37" s="1134"/>
      <c r="DG37" s="1134"/>
      <c r="DH37" s="1134"/>
      <c r="DI37" s="1134"/>
      <c r="DJ37" s="1134"/>
      <c r="DK37" s="1134"/>
      <c r="DL37" s="1134"/>
      <c r="DM37" s="1134"/>
      <c r="DN37" s="1134"/>
      <c r="DO37" s="1134"/>
      <c r="DP37" s="1134"/>
      <c r="DQ37" s="1134"/>
      <c r="DR37" s="1134"/>
      <c r="DS37" s="1134"/>
      <c r="DT37" s="1134"/>
      <c r="DU37" s="1134"/>
      <c r="DV37" s="1134"/>
      <c r="DW37" s="1134"/>
      <c r="DX37" s="1134"/>
      <c r="DY37" s="1134"/>
      <c r="DZ37" s="1147"/>
      <c r="EA37" s="834"/>
      <c r="EB37" s="834"/>
      <c r="EC37" s="834"/>
      <c r="ED37" s="834"/>
      <c r="EE37" s="834"/>
      <c r="EF37" s="834"/>
      <c r="EG37" s="834"/>
    </row>
    <row r="38" spans="1:137" s="806" customFormat="1" ht="39.950000000000003" customHeight="1">
      <c r="A38" s="830" t="s">
        <v>200</v>
      </c>
      <c r="B38" s="826" t="s">
        <v>201</v>
      </c>
      <c r="C38" s="1030"/>
      <c r="D38" s="1406"/>
      <c r="E38" s="1030"/>
      <c r="F38" s="1030"/>
      <c r="G38" s="1030"/>
      <c r="H38" s="1406"/>
      <c r="I38" s="1030"/>
      <c r="J38" s="1030"/>
      <c r="K38" s="1406"/>
      <c r="L38" s="1030"/>
      <c r="M38" s="1030"/>
      <c r="N38" s="1030"/>
      <c r="O38" s="1030"/>
      <c r="P38" s="1030"/>
      <c r="Q38" s="1030"/>
      <c r="R38" s="1030"/>
      <c r="S38" s="1030"/>
      <c r="T38" s="1030"/>
      <c r="U38" s="1030"/>
      <c r="V38" s="1030"/>
      <c r="W38" s="1030"/>
      <c r="X38" s="1394"/>
      <c r="Y38" s="1030"/>
      <c r="Z38" s="1030"/>
      <c r="AA38" s="1030"/>
      <c r="AB38" s="1030"/>
      <c r="AC38" s="1030"/>
      <c r="AD38" s="1035"/>
      <c r="AE38" s="1035"/>
      <c r="AF38" s="1423"/>
      <c r="AG38" s="1417"/>
      <c r="AH38" s="1035"/>
      <c r="AI38" s="1035"/>
      <c r="AJ38" s="1035"/>
      <c r="AK38" s="1417"/>
      <c r="AL38" s="1417"/>
      <c r="AM38" s="1417"/>
      <c r="AN38" s="1035"/>
      <c r="AO38" s="1035"/>
      <c r="AP38" s="1035"/>
      <c r="AQ38" s="1035"/>
      <c r="AR38" s="1035"/>
      <c r="AS38" s="1035"/>
      <c r="AT38" s="1035"/>
      <c r="AU38" s="1035"/>
      <c r="AV38" s="1417"/>
      <c r="AW38" s="1423"/>
      <c r="AX38" s="1035"/>
      <c r="AY38" s="1035"/>
      <c r="AZ38" s="1035"/>
      <c r="BA38" s="1035"/>
      <c r="BB38" s="1035"/>
      <c r="BC38" s="1035"/>
      <c r="BD38" s="1035"/>
      <c r="BE38" s="1035"/>
      <c r="BF38" s="1035"/>
      <c r="BG38" s="1035"/>
      <c r="BH38" s="1035"/>
      <c r="BI38" s="1035"/>
      <c r="BJ38" s="1035"/>
      <c r="BK38" s="1035"/>
      <c r="BL38" s="1035"/>
      <c r="BM38" s="1035"/>
      <c r="BN38" s="1035"/>
      <c r="BO38" s="1035"/>
      <c r="BP38" s="1035"/>
      <c r="BQ38" s="1035"/>
      <c r="BR38" s="1035"/>
      <c r="BS38" s="1035"/>
      <c r="BT38" s="1035"/>
      <c r="BU38" s="1035"/>
      <c r="BV38" s="1035"/>
      <c r="BW38" s="1035"/>
      <c r="BX38" s="1035"/>
      <c r="BY38" s="1030"/>
      <c r="BZ38" s="1035"/>
      <c r="CA38" s="1142">
        <f t="shared" si="2"/>
        <v>0</v>
      </c>
      <c r="CB38" s="1153"/>
      <c r="CC38" s="1134"/>
      <c r="CD38" s="1134"/>
      <c r="CE38" s="1134"/>
      <c r="CF38" s="1134"/>
      <c r="CG38" s="1134"/>
      <c r="CH38" s="1134"/>
      <c r="CI38" s="1134"/>
      <c r="CJ38" s="1134"/>
      <c r="CK38" s="1134"/>
      <c r="CL38" s="1134"/>
      <c r="CM38" s="1134"/>
      <c r="CN38" s="1134"/>
      <c r="CO38" s="1134"/>
      <c r="CP38" s="1134"/>
      <c r="CQ38" s="1134"/>
      <c r="CR38" s="1134"/>
      <c r="CS38" s="1134"/>
      <c r="CT38" s="1134"/>
      <c r="CU38" s="1134"/>
      <c r="CV38" s="1134"/>
      <c r="CW38" s="1134"/>
      <c r="CX38" s="1134"/>
      <c r="CY38" s="1134"/>
      <c r="CZ38" s="1134"/>
      <c r="DA38" s="1134"/>
      <c r="DB38" s="1134"/>
      <c r="DC38" s="1134"/>
      <c r="DD38" s="1134"/>
      <c r="DE38" s="1134"/>
      <c r="DF38" s="1134"/>
      <c r="DG38" s="1134"/>
      <c r="DH38" s="1134"/>
      <c r="DI38" s="1134"/>
      <c r="DJ38" s="1134"/>
      <c r="DK38" s="1134"/>
      <c r="DL38" s="1134"/>
      <c r="DM38" s="1134"/>
      <c r="DN38" s="1134"/>
      <c r="DO38" s="1134"/>
      <c r="DP38" s="1134"/>
      <c r="DQ38" s="1134"/>
      <c r="DR38" s="1134"/>
      <c r="DS38" s="1134"/>
      <c r="DT38" s="1134"/>
      <c r="DU38" s="1134"/>
      <c r="DV38" s="1134"/>
      <c r="DW38" s="1134"/>
      <c r="DX38" s="1134"/>
      <c r="DY38" s="1134"/>
      <c r="DZ38" s="1147"/>
      <c r="EA38" s="834"/>
      <c r="EB38" s="834"/>
      <c r="EC38" s="834"/>
      <c r="ED38" s="834"/>
      <c r="EE38" s="834"/>
      <c r="EF38" s="834"/>
      <c r="EG38" s="834"/>
    </row>
    <row r="39" spans="1:137" s="806" customFormat="1" ht="39.950000000000003" customHeight="1">
      <c r="A39" s="830" t="s">
        <v>202</v>
      </c>
      <c r="B39" s="826" t="s">
        <v>203</v>
      </c>
      <c r="C39" s="1030"/>
      <c r="D39" s="1406"/>
      <c r="E39" s="1030"/>
      <c r="F39" s="1030"/>
      <c r="G39" s="1030"/>
      <c r="H39" s="1406"/>
      <c r="I39" s="1030"/>
      <c r="J39" s="1030"/>
      <c r="K39" s="1406"/>
      <c r="L39" s="1030"/>
      <c r="M39" s="1030"/>
      <c r="N39" s="1030"/>
      <c r="O39" s="1030"/>
      <c r="P39" s="1030"/>
      <c r="Q39" s="1030"/>
      <c r="R39" s="1030"/>
      <c r="S39" s="1030"/>
      <c r="T39" s="1030"/>
      <c r="U39" s="1030"/>
      <c r="V39" s="1030"/>
      <c r="W39" s="1030"/>
      <c r="X39" s="1394"/>
      <c r="Y39" s="1030"/>
      <c r="Z39" s="1030"/>
      <c r="AA39" s="1030"/>
      <c r="AB39" s="1030"/>
      <c r="AC39" s="1030"/>
      <c r="AD39" s="1035"/>
      <c r="AE39" s="1035"/>
      <c r="AF39" s="1423"/>
      <c r="AG39" s="1417"/>
      <c r="AH39" s="1035"/>
      <c r="AI39" s="1035"/>
      <c r="AJ39" s="1035"/>
      <c r="AK39" s="1417"/>
      <c r="AL39" s="1417"/>
      <c r="AM39" s="1417"/>
      <c r="AN39" s="1035"/>
      <c r="AO39" s="1035"/>
      <c r="AP39" s="1035"/>
      <c r="AQ39" s="1035"/>
      <c r="AR39" s="1035"/>
      <c r="AS39" s="1035"/>
      <c r="AT39" s="1035"/>
      <c r="AU39" s="1035"/>
      <c r="AV39" s="1417"/>
      <c r="AW39" s="1423"/>
      <c r="AX39" s="1035"/>
      <c r="AY39" s="1035"/>
      <c r="AZ39" s="1035"/>
      <c r="BA39" s="1035"/>
      <c r="BB39" s="1035"/>
      <c r="BC39" s="1035"/>
      <c r="BD39" s="1035"/>
      <c r="BE39" s="1035"/>
      <c r="BF39" s="1035"/>
      <c r="BG39" s="1035"/>
      <c r="BH39" s="1035"/>
      <c r="BI39" s="1035"/>
      <c r="BJ39" s="1035"/>
      <c r="BK39" s="1035"/>
      <c r="BL39" s="1035"/>
      <c r="BM39" s="1035"/>
      <c r="BN39" s="1035"/>
      <c r="BO39" s="1035"/>
      <c r="BP39" s="1035"/>
      <c r="BQ39" s="1035"/>
      <c r="BR39" s="1035"/>
      <c r="BS39" s="1035"/>
      <c r="BT39" s="1035"/>
      <c r="BU39" s="1035"/>
      <c r="BV39" s="1035"/>
      <c r="BW39" s="1035"/>
      <c r="BX39" s="1035"/>
      <c r="BY39" s="1030"/>
      <c r="BZ39" s="1035"/>
      <c r="CA39" s="1142">
        <f t="shared" si="2"/>
        <v>0</v>
      </c>
      <c r="CB39" s="1153"/>
      <c r="CC39" s="1134"/>
      <c r="CD39" s="1134"/>
      <c r="CE39" s="1134"/>
      <c r="CF39" s="1134"/>
      <c r="CG39" s="1134"/>
      <c r="CH39" s="1134"/>
      <c r="CI39" s="1134"/>
      <c r="CJ39" s="1134"/>
      <c r="CK39" s="1134"/>
      <c r="CL39" s="1134"/>
      <c r="CM39" s="1134"/>
      <c r="CN39" s="1134"/>
      <c r="CO39" s="1134"/>
      <c r="CP39" s="1134"/>
      <c r="CQ39" s="1134"/>
      <c r="CR39" s="1134"/>
      <c r="CS39" s="1134"/>
      <c r="CT39" s="1134"/>
      <c r="CU39" s="1134"/>
      <c r="CV39" s="1134"/>
      <c r="CW39" s="1134"/>
      <c r="CX39" s="1134"/>
      <c r="CY39" s="1134"/>
      <c r="CZ39" s="1134"/>
      <c r="DA39" s="1134"/>
      <c r="DB39" s="1134"/>
      <c r="DC39" s="1134"/>
      <c r="DD39" s="1134"/>
      <c r="DE39" s="1134"/>
      <c r="DF39" s="1134"/>
      <c r="DG39" s="1134"/>
      <c r="DH39" s="1134"/>
      <c r="DI39" s="1134"/>
      <c r="DJ39" s="1134"/>
      <c r="DK39" s="1134"/>
      <c r="DL39" s="1134"/>
      <c r="DM39" s="1134"/>
      <c r="DN39" s="1134"/>
      <c r="DO39" s="1134"/>
      <c r="DP39" s="1134"/>
      <c r="DQ39" s="1134"/>
      <c r="DR39" s="1134"/>
      <c r="DS39" s="1134"/>
      <c r="DT39" s="1134"/>
      <c r="DU39" s="1134"/>
      <c r="DV39" s="1134"/>
      <c r="DW39" s="1134"/>
      <c r="DX39" s="1134"/>
      <c r="DY39" s="1134"/>
      <c r="DZ39" s="1147"/>
      <c r="EA39" s="834"/>
      <c r="EB39" s="834"/>
      <c r="EC39" s="834"/>
      <c r="ED39" s="834"/>
      <c r="EE39" s="834"/>
      <c r="EF39" s="834"/>
      <c r="EG39" s="834"/>
    </row>
    <row r="40" spans="1:137" s="805" customFormat="1" ht="39.950000000000003" customHeight="1">
      <c r="A40" s="830" t="s">
        <v>204</v>
      </c>
      <c r="B40" s="826" t="s">
        <v>205</v>
      </c>
      <c r="C40" s="1030"/>
      <c r="D40" s="1406"/>
      <c r="E40" s="1030"/>
      <c r="F40" s="1030"/>
      <c r="G40" s="1030"/>
      <c r="H40" s="1406"/>
      <c r="I40" s="1030"/>
      <c r="J40" s="1030"/>
      <c r="K40" s="1406"/>
      <c r="L40" s="1030"/>
      <c r="M40" s="1030"/>
      <c r="N40" s="1030"/>
      <c r="O40" s="1030"/>
      <c r="P40" s="1030"/>
      <c r="Q40" s="1030"/>
      <c r="R40" s="1030"/>
      <c r="S40" s="1030"/>
      <c r="T40" s="1030"/>
      <c r="U40" s="1030"/>
      <c r="V40" s="1030"/>
      <c r="W40" s="1030"/>
      <c r="X40" s="1394"/>
      <c r="Y40" s="1030"/>
      <c r="Z40" s="1030"/>
      <c r="AA40" s="1030"/>
      <c r="AB40" s="1030"/>
      <c r="AC40" s="1030"/>
      <c r="AD40" s="1035"/>
      <c r="AE40" s="1035"/>
      <c r="AF40" s="1423"/>
      <c r="AG40" s="1417"/>
      <c r="AH40" s="1035"/>
      <c r="AI40" s="1035"/>
      <c r="AJ40" s="1035"/>
      <c r="AK40" s="1417"/>
      <c r="AL40" s="1417"/>
      <c r="AM40" s="1417"/>
      <c r="AN40" s="1035"/>
      <c r="AO40" s="1035"/>
      <c r="AP40" s="1035"/>
      <c r="AQ40" s="1035"/>
      <c r="AR40" s="1035"/>
      <c r="AS40" s="1035"/>
      <c r="AT40" s="1035"/>
      <c r="AU40" s="1035"/>
      <c r="AV40" s="1417"/>
      <c r="AW40" s="1423"/>
      <c r="AX40" s="1035"/>
      <c r="AY40" s="1035"/>
      <c r="AZ40" s="1035"/>
      <c r="BA40" s="1035"/>
      <c r="BB40" s="1035"/>
      <c r="BC40" s="1035"/>
      <c r="BD40" s="1035"/>
      <c r="BE40" s="1035"/>
      <c r="BF40" s="1035"/>
      <c r="BG40" s="1035"/>
      <c r="BH40" s="1035"/>
      <c r="BI40" s="1035"/>
      <c r="BJ40" s="1035"/>
      <c r="BK40" s="1035"/>
      <c r="BL40" s="1035"/>
      <c r="BM40" s="1035"/>
      <c r="BN40" s="1035"/>
      <c r="BO40" s="1035"/>
      <c r="BP40" s="1035"/>
      <c r="BQ40" s="1035"/>
      <c r="BR40" s="1035"/>
      <c r="BS40" s="1035"/>
      <c r="BT40" s="1035"/>
      <c r="BU40" s="1035"/>
      <c r="BV40" s="1035"/>
      <c r="BW40" s="1035"/>
      <c r="BX40" s="1035"/>
      <c r="BY40" s="1030"/>
      <c r="BZ40" s="1035"/>
      <c r="CA40" s="1142">
        <f t="shared" si="2"/>
        <v>0</v>
      </c>
      <c r="CB40" s="1153"/>
      <c r="CC40" s="1134"/>
      <c r="CD40" s="1134"/>
      <c r="CE40" s="1134"/>
      <c r="CF40" s="1134"/>
      <c r="CG40" s="1134"/>
      <c r="CH40" s="1134"/>
      <c r="CI40" s="1134"/>
      <c r="CJ40" s="1134"/>
      <c r="CK40" s="1134"/>
      <c r="CL40" s="1134"/>
      <c r="CM40" s="1134"/>
      <c r="CN40" s="1134"/>
      <c r="CO40" s="1134"/>
      <c r="CP40" s="1134"/>
      <c r="CQ40" s="1134"/>
      <c r="CR40" s="1134"/>
      <c r="CS40" s="1134"/>
      <c r="CT40" s="1134"/>
      <c r="CU40" s="1134"/>
      <c r="CV40" s="1134"/>
      <c r="CW40" s="1134"/>
      <c r="CX40" s="1134"/>
      <c r="CY40" s="1134"/>
      <c r="CZ40" s="1134"/>
      <c r="DA40" s="1134"/>
      <c r="DB40" s="1134"/>
      <c r="DC40" s="1134"/>
      <c r="DD40" s="1134"/>
      <c r="DE40" s="1134"/>
      <c r="DF40" s="1134"/>
      <c r="DG40" s="1134"/>
      <c r="DH40" s="1134"/>
      <c r="DI40" s="1134"/>
      <c r="DJ40" s="1134"/>
      <c r="DK40" s="1134"/>
      <c r="DL40" s="1134"/>
      <c r="DM40" s="1134"/>
      <c r="DN40" s="1134"/>
      <c r="DO40" s="1134"/>
      <c r="DP40" s="1134"/>
      <c r="DQ40" s="1134"/>
      <c r="DR40" s="1134"/>
      <c r="DS40" s="1134"/>
      <c r="DT40" s="1134"/>
      <c r="DU40" s="1134"/>
      <c r="DV40" s="1134"/>
      <c r="DW40" s="1134"/>
      <c r="DX40" s="1134"/>
      <c r="DY40" s="1134"/>
      <c r="DZ40" s="1147"/>
      <c r="EA40" s="834"/>
      <c r="EB40" s="834"/>
      <c r="EC40" s="834"/>
      <c r="ED40" s="834"/>
      <c r="EE40" s="834"/>
      <c r="EF40" s="834"/>
      <c r="EG40" s="834"/>
    </row>
    <row r="41" spans="1:137" s="806" customFormat="1" ht="39.950000000000003" customHeight="1">
      <c r="A41" s="825" t="s">
        <v>206</v>
      </c>
      <c r="B41" s="826" t="s">
        <v>207</v>
      </c>
      <c r="C41" s="1030"/>
      <c r="D41" s="1406"/>
      <c r="E41" s="1030"/>
      <c r="F41" s="1030"/>
      <c r="G41" s="1030"/>
      <c r="H41" s="1406"/>
      <c r="I41" s="1030"/>
      <c r="J41" s="1030"/>
      <c r="K41" s="1406"/>
      <c r="L41" s="1030"/>
      <c r="M41" s="1030"/>
      <c r="N41" s="1030"/>
      <c r="O41" s="1030"/>
      <c r="P41" s="1030"/>
      <c r="Q41" s="1030"/>
      <c r="R41" s="1030"/>
      <c r="S41" s="1030"/>
      <c r="T41" s="1030"/>
      <c r="U41" s="1030"/>
      <c r="V41" s="1030"/>
      <c r="W41" s="1030"/>
      <c r="X41" s="1394"/>
      <c r="Y41" s="1030"/>
      <c r="Z41" s="1030"/>
      <c r="AA41" s="1030"/>
      <c r="AB41" s="1030"/>
      <c r="AC41" s="1030"/>
      <c r="AD41" s="1035"/>
      <c r="AE41" s="1035"/>
      <c r="AF41" s="1423"/>
      <c r="AG41" s="1417"/>
      <c r="AH41" s="1035"/>
      <c r="AI41" s="1035"/>
      <c r="AJ41" s="1035"/>
      <c r="AK41" s="1417"/>
      <c r="AL41" s="1417"/>
      <c r="AM41" s="1417"/>
      <c r="AN41" s="1035"/>
      <c r="AO41" s="1035"/>
      <c r="AP41" s="1035"/>
      <c r="AQ41" s="1035"/>
      <c r="AR41" s="1035"/>
      <c r="AS41" s="1035"/>
      <c r="AT41" s="1035"/>
      <c r="AU41" s="1035"/>
      <c r="AV41" s="1417"/>
      <c r="AW41" s="1423"/>
      <c r="AX41" s="1035"/>
      <c r="AY41" s="1035"/>
      <c r="AZ41" s="1035"/>
      <c r="BA41" s="1035"/>
      <c r="BB41" s="1035"/>
      <c r="BC41" s="1035"/>
      <c r="BD41" s="1035"/>
      <c r="BE41" s="1436"/>
      <c r="BF41" s="1035"/>
      <c r="BG41" s="1035"/>
      <c r="BH41" s="1035"/>
      <c r="BI41" s="1035"/>
      <c r="BJ41" s="1035"/>
      <c r="BK41" s="1035"/>
      <c r="BL41" s="1035"/>
      <c r="BM41" s="1035"/>
      <c r="BN41" s="1035"/>
      <c r="BO41" s="1035"/>
      <c r="BP41" s="1035"/>
      <c r="BQ41" s="1035"/>
      <c r="BR41" s="1035"/>
      <c r="BS41" s="1035"/>
      <c r="BT41" s="1035"/>
      <c r="BU41" s="1035"/>
      <c r="BV41" s="1035"/>
      <c r="BW41" s="1035"/>
      <c r="BX41" s="1035"/>
      <c r="BY41" s="1030"/>
      <c r="BZ41" s="1035"/>
      <c r="CA41" s="1142">
        <f t="shared" si="2"/>
        <v>0</v>
      </c>
      <c r="CB41" s="1153"/>
      <c r="CC41" s="1134"/>
      <c r="CD41" s="1134"/>
      <c r="CE41" s="1134"/>
      <c r="CF41" s="1134"/>
      <c r="CG41" s="1134"/>
      <c r="CH41" s="1134"/>
      <c r="CI41" s="1134"/>
      <c r="CJ41" s="1134"/>
      <c r="CK41" s="1134"/>
      <c r="CL41" s="1134"/>
      <c r="CM41" s="1134"/>
      <c r="CN41" s="1134"/>
      <c r="CO41" s="1134"/>
      <c r="CP41" s="1134"/>
      <c r="CQ41" s="1134"/>
      <c r="CR41" s="1134"/>
      <c r="CS41" s="1134"/>
      <c r="CT41" s="1134"/>
      <c r="CU41" s="1134"/>
      <c r="CV41" s="1134"/>
      <c r="CW41" s="1134"/>
      <c r="CX41" s="1134"/>
      <c r="CY41" s="1134"/>
      <c r="CZ41" s="1134"/>
      <c r="DA41" s="1134"/>
      <c r="DB41" s="1134"/>
      <c r="DC41" s="1134"/>
      <c r="DD41" s="1134"/>
      <c r="DE41" s="1134"/>
      <c r="DF41" s="1134"/>
      <c r="DG41" s="1134"/>
      <c r="DH41" s="1134"/>
      <c r="DI41" s="1134"/>
      <c r="DJ41" s="1134"/>
      <c r="DK41" s="1134"/>
      <c r="DL41" s="1134"/>
      <c r="DM41" s="1134"/>
      <c r="DN41" s="1134"/>
      <c r="DO41" s="1134"/>
      <c r="DP41" s="1134"/>
      <c r="DQ41" s="1134"/>
      <c r="DR41" s="1134"/>
      <c r="DS41" s="1134"/>
      <c r="DT41" s="1134"/>
      <c r="DU41" s="1134"/>
      <c r="DV41" s="1134"/>
      <c r="DW41" s="1134"/>
      <c r="DX41" s="1134"/>
      <c r="DY41" s="1134"/>
      <c r="DZ41" s="1147"/>
      <c r="EA41" s="834"/>
      <c r="EB41" s="834"/>
      <c r="EC41" s="834"/>
      <c r="ED41" s="834"/>
      <c r="EE41" s="834"/>
      <c r="EF41" s="834"/>
      <c r="EG41" s="834"/>
    </row>
    <row r="42" spans="1:137" s="806" customFormat="1" ht="39.950000000000003" customHeight="1">
      <c r="A42" s="830" t="s">
        <v>208</v>
      </c>
      <c r="B42" s="826" t="s">
        <v>209</v>
      </c>
      <c r="C42" s="1030"/>
      <c r="D42" s="1406"/>
      <c r="E42" s="1030"/>
      <c r="F42" s="1030"/>
      <c r="G42" s="1030"/>
      <c r="H42" s="1406"/>
      <c r="I42" s="1030"/>
      <c r="J42" s="1030"/>
      <c r="K42" s="1406"/>
      <c r="L42" s="1030"/>
      <c r="M42" s="1030"/>
      <c r="N42" s="1030"/>
      <c r="O42" s="1030"/>
      <c r="P42" s="1030"/>
      <c r="Q42" s="1030"/>
      <c r="R42" s="1030"/>
      <c r="S42" s="1030"/>
      <c r="T42" s="1030"/>
      <c r="U42" s="1030"/>
      <c r="V42" s="1030"/>
      <c r="W42" s="1030"/>
      <c r="X42" s="1394"/>
      <c r="Y42" s="1030"/>
      <c r="Z42" s="1030"/>
      <c r="AA42" s="1030"/>
      <c r="AB42" s="1030"/>
      <c r="AC42" s="1030"/>
      <c r="AD42" s="1035"/>
      <c r="AE42" s="1035"/>
      <c r="AF42" s="1423"/>
      <c r="AG42" s="1417"/>
      <c r="AH42" s="1035"/>
      <c r="AI42" s="1035"/>
      <c r="AJ42" s="1035"/>
      <c r="AK42" s="1417"/>
      <c r="AL42" s="1417"/>
      <c r="AM42" s="1417"/>
      <c r="AN42" s="1035"/>
      <c r="AO42" s="1035"/>
      <c r="AP42" s="1035"/>
      <c r="AQ42" s="1035"/>
      <c r="AR42" s="1035"/>
      <c r="AS42" s="1035"/>
      <c r="AT42" s="1035"/>
      <c r="AU42" s="1035"/>
      <c r="AV42" s="1417"/>
      <c r="AW42" s="1423"/>
      <c r="AX42" s="1035"/>
      <c r="AY42" s="1035"/>
      <c r="AZ42" s="1035"/>
      <c r="BA42" s="1035"/>
      <c r="BB42" s="1035"/>
      <c r="BC42" s="1035"/>
      <c r="BD42" s="1035"/>
      <c r="BE42" s="1035"/>
      <c r="BF42" s="1035"/>
      <c r="BG42" s="1035"/>
      <c r="BH42" s="1035"/>
      <c r="BI42" s="1035"/>
      <c r="BJ42" s="1035"/>
      <c r="BK42" s="1035"/>
      <c r="BL42" s="1035"/>
      <c r="BM42" s="1035"/>
      <c r="BN42" s="1035"/>
      <c r="BO42" s="1035"/>
      <c r="BP42" s="1035"/>
      <c r="BQ42" s="1035"/>
      <c r="BR42" s="1035"/>
      <c r="BS42" s="1035"/>
      <c r="BT42" s="1035"/>
      <c r="BU42" s="1035"/>
      <c r="BV42" s="1035"/>
      <c r="BW42" s="1035"/>
      <c r="BX42" s="1035"/>
      <c r="BY42" s="1030"/>
      <c r="BZ42" s="1035"/>
      <c r="CA42" s="1142">
        <f t="shared" si="2"/>
        <v>0</v>
      </c>
      <c r="CB42" s="1153"/>
      <c r="CC42" s="1134"/>
      <c r="CD42" s="1134"/>
      <c r="CE42" s="1134"/>
      <c r="CF42" s="1134"/>
      <c r="CG42" s="1134"/>
      <c r="CH42" s="1134"/>
      <c r="CI42" s="1134"/>
      <c r="CJ42" s="1134"/>
      <c r="CK42" s="1134"/>
      <c r="CL42" s="1134"/>
      <c r="CM42" s="1134"/>
      <c r="CN42" s="1134"/>
      <c r="CO42" s="1134"/>
      <c r="CP42" s="1134"/>
      <c r="CQ42" s="1134"/>
      <c r="CR42" s="1134"/>
      <c r="CS42" s="1134"/>
      <c r="CT42" s="1134"/>
      <c r="CU42" s="1134"/>
      <c r="CV42" s="1134"/>
      <c r="CW42" s="1134"/>
      <c r="CX42" s="1134"/>
      <c r="CY42" s="1134"/>
      <c r="CZ42" s="1134"/>
      <c r="DA42" s="1134"/>
      <c r="DB42" s="1134"/>
      <c r="DC42" s="1134"/>
      <c r="DD42" s="1134"/>
      <c r="DE42" s="1134"/>
      <c r="DF42" s="1134"/>
      <c r="DG42" s="1134"/>
      <c r="DH42" s="1134"/>
      <c r="DI42" s="1134"/>
      <c r="DJ42" s="1134"/>
      <c r="DK42" s="1134"/>
      <c r="DL42" s="1134"/>
      <c r="DM42" s="1134"/>
      <c r="DN42" s="1134"/>
      <c r="DO42" s="1134"/>
      <c r="DP42" s="1134"/>
      <c r="DQ42" s="1134"/>
      <c r="DR42" s="1134"/>
      <c r="DS42" s="1134"/>
      <c r="DT42" s="1134"/>
      <c r="DU42" s="1134"/>
      <c r="DV42" s="1134"/>
      <c r="DW42" s="1134"/>
      <c r="DX42" s="1134"/>
      <c r="DY42" s="1134"/>
      <c r="DZ42" s="1147"/>
      <c r="EA42" s="834"/>
      <c r="EB42" s="834"/>
      <c r="EC42" s="834"/>
      <c r="ED42" s="834"/>
      <c r="EE42" s="834"/>
      <c r="EF42" s="834"/>
      <c r="EG42" s="834"/>
    </row>
    <row r="43" spans="1:137" s="806" customFormat="1" ht="39.950000000000003" customHeight="1">
      <c r="A43" s="830" t="s">
        <v>210</v>
      </c>
      <c r="B43" s="826" t="s">
        <v>211</v>
      </c>
      <c r="C43" s="1030"/>
      <c r="D43" s="1406"/>
      <c r="E43" s="1030"/>
      <c r="F43" s="1030"/>
      <c r="G43" s="1030"/>
      <c r="H43" s="1406"/>
      <c r="I43" s="1030"/>
      <c r="J43" s="1030"/>
      <c r="K43" s="1406"/>
      <c r="L43" s="1030"/>
      <c r="M43" s="1030"/>
      <c r="N43" s="1030"/>
      <c r="O43" s="1030"/>
      <c r="P43" s="1030"/>
      <c r="Q43" s="1030"/>
      <c r="R43" s="1030"/>
      <c r="S43" s="1030"/>
      <c r="T43" s="1030"/>
      <c r="U43" s="1030"/>
      <c r="V43" s="1030"/>
      <c r="W43" s="1030"/>
      <c r="X43" s="1394"/>
      <c r="Y43" s="1030"/>
      <c r="Z43" s="1030"/>
      <c r="AA43" s="1030"/>
      <c r="AB43" s="1030"/>
      <c r="AC43" s="1030"/>
      <c r="AD43" s="1035"/>
      <c r="AE43" s="1035"/>
      <c r="AF43" s="1423"/>
      <c r="AG43" s="1417"/>
      <c r="AH43" s="1035"/>
      <c r="AI43" s="1035"/>
      <c r="AJ43" s="1035"/>
      <c r="AK43" s="1417"/>
      <c r="AL43" s="1417"/>
      <c r="AM43" s="1417"/>
      <c r="AN43" s="1035"/>
      <c r="AO43" s="1035"/>
      <c r="AP43" s="1035"/>
      <c r="AQ43" s="1035"/>
      <c r="AR43" s="1035"/>
      <c r="AS43" s="1035"/>
      <c r="AT43" s="1035"/>
      <c r="AU43" s="1035"/>
      <c r="AV43" s="1417"/>
      <c r="AW43" s="1423"/>
      <c r="AX43" s="1035"/>
      <c r="AY43" s="1035"/>
      <c r="AZ43" s="1035"/>
      <c r="BA43" s="1035"/>
      <c r="BB43" s="1035"/>
      <c r="BC43" s="1035"/>
      <c r="BD43" s="1035"/>
      <c r="BE43" s="1035"/>
      <c r="BF43" s="1035"/>
      <c r="BG43" s="1035"/>
      <c r="BH43" s="1035"/>
      <c r="BI43" s="1035"/>
      <c r="BJ43" s="1035"/>
      <c r="BK43" s="1035"/>
      <c r="BL43" s="1035"/>
      <c r="BM43" s="1035"/>
      <c r="BN43" s="1035"/>
      <c r="BO43" s="1035"/>
      <c r="BP43" s="1035"/>
      <c r="BQ43" s="1035"/>
      <c r="BR43" s="1035"/>
      <c r="BS43" s="1035"/>
      <c r="BT43" s="1035"/>
      <c r="BU43" s="1035"/>
      <c r="BV43" s="1035"/>
      <c r="BW43" s="1035"/>
      <c r="BX43" s="1035"/>
      <c r="BY43" s="1030"/>
      <c r="BZ43" s="1035"/>
      <c r="CA43" s="1142">
        <f t="shared" si="2"/>
        <v>0</v>
      </c>
      <c r="CB43" s="1153"/>
      <c r="CC43" s="1134"/>
      <c r="CD43" s="1134"/>
      <c r="CE43" s="1134"/>
      <c r="CF43" s="1134"/>
      <c r="CG43" s="1134"/>
      <c r="CH43" s="1134"/>
      <c r="CI43" s="1134"/>
      <c r="CJ43" s="1134"/>
      <c r="CK43" s="1134"/>
      <c r="CL43" s="1134"/>
      <c r="CM43" s="1134"/>
      <c r="CN43" s="1134"/>
      <c r="CO43" s="1134"/>
      <c r="CP43" s="1134"/>
      <c r="CQ43" s="1134"/>
      <c r="CR43" s="1134"/>
      <c r="CS43" s="1134"/>
      <c r="CT43" s="1134"/>
      <c r="CU43" s="1134"/>
      <c r="CV43" s="1134"/>
      <c r="CW43" s="1134"/>
      <c r="CX43" s="1134"/>
      <c r="CY43" s="1134"/>
      <c r="CZ43" s="1134"/>
      <c r="DA43" s="1134"/>
      <c r="DB43" s="1134"/>
      <c r="DC43" s="1134"/>
      <c r="DD43" s="1134"/>
      <c r="DE43" s="1134"/>
      <c r="DF43" s="1134"/>
      <c r="DG43" s="1134"/>
      <c r="DH43" s="1134"/>
      <c r="DI43" s="1134"/>
      <c r="DJ43" s="1134"/>
      <c r="DK43" s="1134"/>
      <c r="DL43" s="1134"/>
      <c r="DM43" s="1134"/>
      <c r="DN43" s="1134"/>
      <c r="DO43" s="1134"/>
      <c r="DP43" s="1134"/>
      <c r="DQ43" s="1134"/>
      <c r="DR43" s="1134"/>
      <c r="DS43" s="1134"/>
      <c r="DT43" s="1134"/>
      <c r="DU43" s="1134"/>
      <c r="DV43" s="1134"/>
      <c r="DW43" s="1134"/>
      <c r="DX43" s="1134"/>
      <c r="DY43" s="1134"/>
      <c r="DZ43" s="1147"/>
      <c r="EA43" s="834"/>
      <c r="EB43" s="834"/>
      <c r="EC43" s="834"/>
      <c r="ED43" s="834"/>
      <c r="EE43" s="834"/>
      <c r="EF43" s="834"/>
      <c r="EG43" s="834"/>
    </row>
    <row r="44" spans="1:137" s="806" customFormat="1" ht="39.950000000000003" customHeight="1">
      <c r="A44" s="830" t="s">
        <v>212</v>
      </c>
      <c r="B44" s="826" t="s">
        <v>213</v>
      </c>
      <c r="C44" s="1030"/>
      <c r="D44" s="1406"/>
      <c r="E44" s="1030"/>
      <c r="F44" s="1030"/>
      <c r="G44" s="1030"/>
      <c r="H44" s="1406"/>
      <c r="I44" s="1030"/>
      <c r="J44" s="1030"/>
      <c r="K44" s="1406"/>
      <c r="L44" s="1030"/>
      <c r="M44" s="1030"/>
      <c r="N44" s="1030"/>
      <c r="O44" s="1030"/>
      <c r="P44" s="1030"/>
      <c r="Q44" s="1030"/>
      <c r="R44" s="1030"/>
      <c r="S44" s="1030"/>
      <c r="T44" s="1030"/>
      <c r="U44" s="1030"/>
      <c r="V44" s="1030"/>
      <c r="W44" s="1030"/>
      <c r="X44" s="1394"/>
      <c r="Y44" s="1030"/>
      <c r="Z44" s="1030"/>
      <c r="AA44" s="1030"/>
      <c r="AB44" s="1030"/>
      <c r="AC44" s="1030"/>
      <c r="AD44" s="1035"/>
      <c r="AE44" s="1035"/>
      <c r="AF44" s="1423"/>
      <c r="AG44" s="1417"/>
      <c r="AH44" s="1035"/>
      <c r="AI44" s="1035"/>
      <c r="AJ44" s="1035"/>
      <c r="AK44" s="1417"/>
      <c r="AL44" s="1417"/>
      <c r="AM44" s="1417"/>
      <c r="AN44" s="1035"/>
      <c r="AO44" s="1035"/>
      <c r="AP44" s="1035"/>
      <c r="AQ44" s="1035"/>
      <c r="AR44" s="1035"/>
      <c r="AS44" s="1035"/>
      <c r="AT44" s="1035"/>
      <c r="AU44" s="1035"/>
      <c r="AV44" s="1417"/>
      <c r="AW44" s="1423"/>
      <c r="AX44" s="1035"/>
      <c r="AY44" s="1035"/>
      <c r="AZ44" s="1035"/>
      <c r="BA44" s="1035"/>
      <c r="BB44" s="1035"/>
      <c r="BC44" s="1035"/>
      <c r="BD44" s="1035"/>
      <c r="BE44" s="1035"/>
      <c r="BF44" s="1035"/>
      <c r="BG44" s="1035"/>
      <c r="BH44" s="1035"/>
      <c r="BI44" s="1035"/>
      <c r="BJ44" s="1035"/>
      <c r="BK44" s="1035"/>
      <c r="BL44" s="1035"/>
      <c r="BM44" s="1035"/>
      <c r="BN44" s="1035"/>
      <c r="BO44" s="1035"/>
      <c r="BP44" s="1035"/>
      <c r="BQ44" s="1035"/>
      <c r="BR44" s="1035"/>
      <c r="BS44" s="1035"/>
      <c r="BT44" s="1035"/>
      <c r="BU44" s="1035"/>
      <c r="BV44" s="1035"/>
      <c r="BW44" s="1035"/>
      <c r="BX44" s="1035"/>
      <c r="BY44" s="1030"/>
      <c r="BZ44" s="1035"/>
      <c r="CA44" s="1142">
        <f t="shared" si="2"/>
        <v>0</v>
      </c>
      <c r="CB44" s="1153"/>
      <c r="CC44" s="1134"/>
      <c r="CD44" s="1134"/>
      <c r="CE44" s="1134"/>
      <c r="CF44" s="1134"/>
      <c r="CG44" s="1134"/>
      <c r="CH44" s="1134"/>
      <c r="CI44" s="1134"/>
      <c r="CJ44" s="1134"/>
      <c r="CK44" s="1134"/>
      <c r="CL44" s="1134"/>
      <c r="CM44" s="1134"/>
      <c r="CN44" s="1134"/>
      <c r="CO44" s="1134"/>
      <c r="CP44" s="1134"/>
      <c r="CQ44" s="1134"/>
      <c r="CR44" s="1134"/>
      <c r="CS44" s="1134"/>
      <c r="CT44" s="1134"/>
      <c r="CU44" s="1134"/>
      <c r="CV44" s="1134"/>
      <c r="CW44" s="1134"/>
      <c r="CX44" s="1134"/>
      <c r="CY44" s="1134"/>
      <c r="CZ44" s="1134"/>
      <c r="DA44" s="1134"/>
      <c r="DB44" s="1134"/>
      <c r="DC44" s="1134"/>
      <c r="DD44" s="1134"/>
      <c r="DE44" s="1134"/>
      <c r="DF44" s="1134"/>
      <c r="DG44" s="1134"/>
      <c r="DH44" s="1134"/>
      <c r="DI44" s="1134"/>
      <c r="DJ44" s="1134"/>
      <c r="DK44" s="1134"/>
      <c r="DL44" s="1134"/>
      <c r="DM44" s="1134"/>
      <c r="DN44" s="1134"/>
      <c r="DO44" s="1134"/>
      <c r="DP44" s="1134"/>
      <c r="DQ44" s="1134"/>
      <c r="DR44" s="1134"/>
      <c r="DS44" s="1134"/>
      <c r="DT44" s="1134"/>
      <c r="DU44" s="1134"/>
      <c r="DV44" s="1134"/>
      <c r="DW44" s="1134"/>
      <c r="DX44" s="1134"/>
      <c r="DY44" s="1134"/>
      <c r="DZ44" s="1147"/>
      <c r="EA44" s="834"/>
      <c r="EB44" s="834"/>
      <c r="EC44" s="834"/>
      <c r="ED44" s="834"/>
      <c r="EE44" s="834"/>
      <c r="EF44" s="834"/>
      <c r="EG44" s="834"/>
    </row>
    <row r="45" spans="1:137" s="806" customFormat="1" ht="39.950000000000003" customHeight="1">
      <c r="A45" s="830" t="s">
        <v>214</v>
      </c>
      <c r="B45" s="826" t="s">
        <v>215</v>
      </c>
      <c r="C45" s="1030"/>
      <c r="D45" s="1406"/>
      <c r="E45" s="1030"/>
      <c r="F45" s="1030"/>
      <c r="G45" s="1030"/>
      <c r="H45" s="1406"/>
      <c r="I45" s="1030"/>
      <c r="J45" s="1030"/>
      <c r="K45" s="1406"/>
      <c r="L45" s="1030"/>
      <c r="M45" s="1030"/>
      <c r="N45" s="1030"/>
      <c r="O45" s="1030"/>
      <c r="P45" s="1030"/>
      <c r="Q45" s="1030"/>
      <c r="R45" s="1030"/>
      <c r="S45" s="1030"/>
      <c r="T45" s="1030"/>
      <c r="U45" s="1030"/>
      <c r="V45" s="1030"/>
      <c r="W45" s="1030"/>
      <c r="X45" s="1394"/>
      <c r="Y45" s="1030"/>
      <c r="Z45" s="1030"/>
      <c r="AA45" s="1030"/>
      <c r="AB45" s="1030"/>
      <c r="AC45" s="1030"/>
      <c r="AD45" s="1035"/>
      <c r="AE45" s="1035"/>
      <c r="AF45" s="1423"/>
      <c r="AG45" s="1417"/>
      <c r="AH45" s="1035"/>
      <c r="AI45" s="1035"/>
      <c r="AJ45" s="1035"/>
      <c r="AK45" s="1417"/>
      <c r="AL45" s="1417"/>
      <c r="AM45" s="1417"/>
      <c r="AN45" s="1035"/>
      <c r="AO45" s="1035"/>
      <c r="AP45" s="1035"/>
      <c r="AQ45" s="1035"/>
      <c r="AR45" s="1035"/>
      <c r="AS45" s="1035"/>
      <c r="AT45" s="1035"/>
      <c r="AU45" s="1035"/>
      <c r="AV45" s="1417"/>
      <c r="AW45" s="1423"/>
      <c r="AX45" s="1035"/>
      <c r="AY45" s="1035"/>
      <c r="AZ45" s="1035"/>
      <c r="BA45" s="1035"/>
      <c r="BB45" s="1035"/>
      <c r="BC45" s="1035"/>
      <c r="BD45" s="1035"/>
      <c r="BE45" s="1035"/>
      <c r="BF45" s="1035"/>
      <c r="BG45" s="1035"/>
      <c r="BH45" s="1035"/>
      <c r="BI45" s="1035"/>
      <c r="BJ45" s="1035"/>
      <c r="BK45" s="1035"/>
      <c r="BL45" s="1035"/>
      <c r="BM45" s="1035"/>
      <c r="BN45" s="1035"/>
      <c r="BO45" s="1035"/>
      <c r="BP45" s="1035"/>
      <c r="BQ45" s="1035"/>
      <c r="BR45" s="1035"/>
      <c r="BS45" s="1035"/>
      <c r="BT45" s="1035"/>
      <c r="BU45" s="1035"/>
      <c r="BV45" s="1035"/>
      <c r="BW45" s="1035"/>
      <c r="BX45" s="1035"/>
      <c r="BY45" s="1030"/>
      <c r="BZ45" s="1035"/>
      <c r="CA45" s="1142">
        <f t="shared" si="2"/>
        <v>0</v>
      </c>
      <c r="CB45" s="1153"/>
      <c r="CC45" s="1134"/>
      <c r="CD45" s="1134"/>
      <c r="CE45" s="1134"/>
      <c r="CF45" s="1134"/>
      <c r="CG45" s="1134"/>
      <c r="CH45" s="1134"/>
      <c r="CI45" s="1134"/>
      <c r="CJ45" s="1134"/>
      <c r="CK45" s="1134"/>
      <c r="CL45" s="1134"/>
      <c r="CM45" s="1134"/>
      <c r="CN45" s="1134"/>
      <c r="CO45" s="1134"/>
      <c r="CP45" s="1134"/>
      <c r="CQ45" s="1134"/>
      <c r="CR45" s="1134"/>
      <c r="CS45" s="1134"/>
      <c r="CT45" s="1134"/>
      <c r="CU45" s="1134"/>
      <c r="CV45" s="1134"/>
      <c r="CW45" s="1134"/>
      <c r="CX45" s="1134"/>
      <c r="CY45" s="1134"/>
      <c r="CZ45" s="1134"/>
      <c r="DA45" s="1134"/>
      <c r="DB45" s="1134"/>
      <c r="DC45" s="1134"/>
      <c r="DD45" s="1134"/>
      <c r="DE45" s="1134"/>
      <c r="DF45" s="1134"/>
      <c r="DG45" s="1134"/>
      <c r="DH45" s="1134"/>
      <c r="DI45" s="1134"/>
      <c r="DJ45" s="1134"/>
      <c r="DK45" s="1134"/>
      <c r="DL45" s="1134"/>
      <c r="DM45" s="1134"/>
      <c r="DN45" s="1134"/>
      <c r="DO45" s="1134"/>
      <c r="DP45" s="1134"/>
      <c r="DQ45" s="1134"/>
      <c r="DR45" s="1134"/>
      <c r="DS45" s="1134"/>
      <c r="DT45" s="1134"/>
      <c r="DU45" s="1134"/>
      <c r="DV45" s="1134"/>
      <c r="DW45" s="1134"/>
      <c r="DX45" s="1134"/>
      <c r="DY45" s="1134"/>
      <c r="DZ45" s="1147"/>
      <c r="EA45" s="834"/>
      <c r="EB45" s="834"/>
      <c r="EC45" s="834"/>
      <c r="ED45" s="834"/>
      <c r="EE45" s="834"/>
      <c r="EF45" s="834"/>
      <c r="EG45" s="834"/>
    </row>
    <row r="46" spans="1:137" s="824" customFormat="1" ht="39.950000000000003" customHeight="1">
      <c r="A46" s="831" t="s">
        <v>216</v>
      </c>
      <c r="B46" s="829" t="s">
        <v>217</v>
      </c>
      <c r="C46" s="1030"/>
      <c r="D46" s="1406"/>
      <c r="E46" s="1030"/>
      <c r="F46" s="1030"/>
      <c r="G46" s="1030"/>
      <c r="H46" s="1406"/>
      <c r="I46" s="1030"/>
      <c r="J46" s="1030"/>
      <c r="K46" s="1406"/>
      <c r="L46" s="1030"/>
      <c r="M46" s="1030"/>
      <c r="N46" s="1030"/>
      <c r="O46" s="1030"/>
      <c r="P46" s="1030"/>
      <c r="Q46" s="1030"/>
      <c r="R46" s="1030"/>
      <c r="S46" s="1030"/>
      <c r="T46" s="1030"/>
      <c r="U46" s="1030"/>
      <c r="V46" s="1030"/>
      <c r="W46" s="1030"/>
      <c r="X46" s="1394"/>
      <c r="Y46" s="1030"/>
      <c r="Z46" s="1030"/>
      <c r="AA46" s="1030"/>
      <c r="AB46" s="1030"/>
      <c r="AC46" s="1030"/>
      <c r="AD46" s="1035"/>
      <c r="AE46" s="1035"/>
      <c r="AF46" s="1423"/>
      <c r="AG46" s="1417"/>
      <c r="AH46" s="1035"/>
      <c r="AI46" s="1035"/>
      <c r="AJ46" s="1035"/>
      <c r="AK46" s="1417"/>
      <c r="AL46" s="1417"/>
      <c r="AM46" s="1417"/>
      <c r="AN46" s="1035"/>
      <c r="AO46" s="1035"/>
      <c r="AP46" s="1035"/>
      <c r="AQ46" s="1035"/>
      <c r="AR46" s="1035"/>
      <c r="AS46" s="1035"/>
      <c r="AT46" s="1035"/>
      <c r="AU46" s="1035"/>
      <c r="AV46" s="1417"/>
      <c r="AW46" s="1423"/>
      <c r="AX46" s="1035"/>
      <c r="AY46" s="1035"/>
      <c r="AZ46" s="1035"/>
      <c r="BA46" s="1035"/>
      <c r="BB46" s="1035"/>
      <c r="BC46" s="1035"/>
      <c r="BD46" s="1035"/>
      <c r="BE46" s="1035"/>
      <c r="BF46" s="1436"/>
      <c r="BG46" s="1035"/>
      <c r="BH46" s="1035"/>
      <c r="BI46" s="1035"/>
      <c r="BJ46" s="1035"/>
      <c r="BK46" s="1035"/>
      <c r="BL46" s="1035"/>
      <c r="BM46" s="1035"/>
      <c r="BN46" s="1035"/>
      <c r="BO46" s="1035"/>
      <c r="BP46" s="1035"/>
      <c r="BQ46" s="1035"/>
      <c r="BR46" s="1035"/>
      <c r="BS46" s="1035"/>
      <c r="BT46" s="1035"/>
      <c r="BU46" s="1035"/>
      <c r="BV46" s="1035"/>
      <c r="BW46" s="1035"/>
      <c r="BX46" s="1035"/>
      <c r="BY46" s="1030"/>
      <c r="BZ46" s="1035"/>
      <c r="CA46" s="1142">
        <f t="shared" si="2"/>
        <v>0</v>
      </c>
      <c r="CB46" s="1153"/>
      <c r="CC46" s="1134"/>
      <c r="CD46" s="1134"/>
      <c r="CE46" s="1134"/>
      <c r="CF46" s="1134"/>
      <c r="CG46" s="1134"/>
      <c r="CH46" s="1134"/>
      <c r="CI46" s="1134"/>
      <c r="CJ46" s="1134"/>
      <c r="CK46" s="1134"/>
      <c r="CL46" s="1134"/>
      <c r="CM46" s="1134"/>
      <c r="CN46" s="1134"/>
      <c r="CO46" s="1134"/>
      <c r="CP46" s="1134"/>
      <c r="CQ46" s="1134"/>
      <c r="CR46" s="1134"/>
      <c r="CS46" s="1134"/>
      <c r="CT46" s="1134"/>
      <c r="CU46" s="1134"/>
      <c r="CV46" s="1134"/>
      <c r="CW46" s="1134"/>
      <c r="CX46" s="1134"/>
      <c r="CY46" s="1134"/>
      <c r="CZ46" s="1134"/>
      <c r="DA46" s="1134"/>
      <c r="DB46" s="1134"/>
      <c r="DC46" s="1134"/>
      <c r="DD46" s="1134"/>
      <c r="DE46" s="1134"/>
      <c r="DF46" s="1134"/>
      <c r="DG46" s="1134"/>
      <c r="DH46" s="1134"/>
      <c r="DI46" s="1134"/>
      <c r="DJ46" s="1134"/>
      <c r="DK46" s="1134"/>
      <c r="DL46" s="1134"/>
      <c r="DM46" s="1134"/>
      <c r="DN46" s="1134"/>
      <c r="DO46" s="1134"/>
      <c r="DP46" s="1134"/>
      <c r="DQ46" s="1134"/>
      <c r="DR46" s="1134"/>
      <c r="DS46" s="1134"/>
      <c r="DT46" s="1134"/>
      <c r="DU46" s="1134"/>
      <c r="DV46" s="1134"/>
      <c r="DW46" s="1134"/>
      <c r="DX46" s="1134"/>
      <c r="DY46" s="1134"/>
      <c r="DZ46" s="1147"/>
      <c r="EA46" s="834"/>
      <c r="EB46" s="834"/>
      <c r="EC46" s="834"/>
      <c r="ED46" s="834"/>
      <c r="EE46" s="834"/>
      <c r="EF46" s="834"/>
      <c r="EG46" s="834"/>
    </row>
    <row r="47" spans="1:137" s="1415" customFormat="1" ht="39.950000000000003" customHeight="1">
      <c r="A47" s="1416" t="s">
        <v>218</v>
      </c>
      <c r="B47" s="1416" t="s">
        <v>219</v>
      </c>
      <c r="C47" s="1406"/>
      <c r="D47" s="1406"/>
      <c r="E47" s="1406"/>
      <c r="F47" s="1406"/>
      <c r="G47" s="1406"/>
      <c r="H47" s="1406"/>
      <c r="I47" s="1406"/>
      <c r="J47" s="1406"/>
      <c r="K47" s="1406"/>
      <c r="L47" s="1406"/>
      <c r="M47" s="1406"/>
      <c r="N47" s="1406"/>
      <c r="O47" s="1406"/>
      <c r="P47" s="1406"/>
      <c r="Q47" s="1406"/>
      <c r="R47" s="1406"/>
      <c r="S47" s="1406"/>
      <c r="T47" s="1406"/>
      <c r="U47" s="1406"/>
      <c r="V47" s="1406"/>
      <c r="W47" s="1406"/>
      <c r="X47" s="1406"/>
      <c r="Y47" s="1406"/>
      <c r="Z47" s="1406"/>
      <c r="AA47" s="1406"/>
      <c r="AB47" s="1406"/>
      <c r="AC47" s="1406"/>
      <c r="AD47" s="1417"/>
      <c r="AE47" s="1417"/>
      <c r="AF47" s="1423"/>
      <c r="AG47" s="1417"/>
      <c r="AH47" s="1417"/>
      <c r="AI47" s="1417"/>
      <c r="AJ47" s="1417"/>
      <c r="AK47" s="1417"/>
      <c r="AL47" s="1417"/>
      <c r="AM47" s="1417"/>
      <c r="AN47" s="1417"/>
      <c r="AO47" s="1417"/>
      <c r="AP47" s="1417"/>
      <c r="AQ47" s="1417"/>
      <c r="AR47" s="1417"/>
      <c r="AS47" s="1417"/>
      <c r="AT47" s="1417"/>
      <c r="AU47" s="1417"/>
      <c r="AV47" s="1417"/>
      <c r="AW47" s="1423"/>
      <c r="AX47" s="1417"/>
      <c r="AY47" s="1417"/>
      <c r="AZ47" s="1417"/>
      <c r="BA47" s="1417"/>
      <c r="BB47" s="1417"/>
      <c r="BC47" s="1417"/>
      <c r="BD47" s="1417"/>
      <c r="BE47" s="1417"/>
      <c r="BF47" s="1417"/>
      <c r="BG47" s="1417" t="s">
        <v>2879</v>
      </c>
      <c r="BH47" s="1417"/>
      <c r="BI47" s="1417"/>
      <c r="BJ47" s="1417"/>
      <c r="BK47" s="1417"/>
      <c r="BL47" s="1417"/>
      <c r="BM47" s="1417"/>
      <c r="BN47" s="1417"/>
      <c r="BO47" s="1417"/>
      <c r="BP47" s="1417"/>
      <c r="BQ47" s="1417"/>
      <c r="BR47" s="1422"/>
      <c r="BS47" s="1417"/>
      <c r="BT47" s="1417"/>
      <c r="BU47" s="1417"/>
      <c r="BV47" s="1417"/>
      <c r="BW47" s="1417"/>
      <c r="BX47" s="1417"/>
      <c r="BY47" s="1406"/>
      <c r="BZ47" s="1417"/>
      <c r="CA47" s="1418">
        <f t="shared" si="2"/>
        <v>0</v>
      </c>
      <c r="CB47" s="1419"/>
      <c r="CC47" s="1413"/>
      <c r="CD47" s="1413"/>
      <c r="CE47" s="1413"/>
      <c r="CF47" s="1413"/>
      <c r="CG47" s="1413"/>
      <c r="CH47" s="1413"/>
      <c r="CI47" s="1413"/>
      <c r="CJ47" s="1413"/>
      <c r="CK47" s="1413"/>
      <c r="CL47" s="1413"/>
      <c r="CM47" s="1413"/>
      <c r="CN47" s="1413"/>
      <c r="CO47" s="1413"/>
      <c r="CP47" s="1413"/>
      <c r="CQ47" s="1413"/>
      <c r="CR47" s="1413"/>
      <c r="CS47" s="1413"/>
      <c r="CT47" s="1413"/>
      <c r="CU47" s="1413"/>
      <c r="CV47" s="1413"/>
      <c r="CW47" s="1413"/>
      <c r="CX47" s="1413"/>
      <c r="CY47" s="1413"/>
      <c r="CZ47" s="1413"/>
      <c r="DA47" s="1413"/>
      <c r="DB47" s="1413"/>
      <c r="DC47" s="1413"/>
      <c r="DD47" s="1413"/>
      <c r="DE47" s="1413"/>
      <c r="DF47" s="1413"/>
      <c r="DG47" s="1413"/>
      <c r="DH47" s="1413"/>
      <c r="DI47" s="1413"/>
      <c r="DJ47" s="1413"/>
      <c r="DK47" s="1413"/>
      <c r="DL47" s="1413"/>
      <c r="DM47" s="1413"/>
      <c r="DN47" s="1413"/>
      <c r="DO47" s="1413"/>
      <c r="DP47" s="1413"/>
      <c r="DQ47" s="1413"/>
      <c r="DR47" s="1413"/>
      <c r="DS47" s="1413"/>
      <c r="DT47" s="1413"/>
      <c r="DU47" s="1413"/>
      <c r="DV47" s="1413"/>
      <c r="DW47" s="1413"/>
      <c r="DX47" s="1413"/>
      <c r="DY47" s="1413"/>
      <c r="DZ47" s="1420"/>
    </row>
    <row r="48" spans="1:137" s="833" customFormat="1" ht="65.25" customHeight="1">
      <c r="A48" s="825" t="s">
        <v>220</v>
      </c>
      <c r="B48" s="826" t="s">
        <v>221</v>
      </c>
      <c r="C48" s="1036"/>
      <c r="D48" s="1408"/>
      <c r="E48" s="1036"/>
      <c r="F48" s="1036"/>
      <c r="G48" s="1036"/>
      <c r="H48" s="1408"/>
      <c r="I48" s="1036"/>
      <c r="J48" s="1036"/>
      <c r="K48" s="1408"/>
      <c r="L48" s="1036"/>
      <c r="M48" s="1036"/>
      <c r="N48" s="1036"/>
      <c r="O48" s="1036"/>
      <c r="P48" s="1036"/>
      <c r="Q48" s="1036"/>
      <c r="R48" s="1036"/>
      <c r="S48" s="1036"/>
      <c r="T48" s="1036"/>
      <c r="U48" s="1036"/>
      <c r="V48" s="1036"/>
      <c r="W48" s="1036"/>
      <c r="X48" s="1395"/>
      <c r="Y48" s="1036"/>
      <c r="Z48" s="1036"/>
      <c r="AA48" s="1036"/>
      <c r="AB48" s="1036"/>
      <c r="AC48" s="1036"/>
      <c r="AD48" s="1037"/>
      <c r="AE48" s="1037"/>
      <c r="AF48" s="1424"/>
      <c r="AG48" s="1430"/>
      <c r="AH48" s="1037"/>
      <c r="AI48" s="1037"/>
      <c r="AJ48" s="1037"/>
      <c r="AK48" s="1430"/>
      <c r="AL48" s="1430"/>
      <c r="AM48" s="1430"/>
      <c r="AN48" s="1037"/>
      <c r="AO48" s="1037"/>
      <c r="AP48" s="1037"/>
      <c r="AQ48" s="1037"/>
      <c r="AR48" s="1037"/>
      <c r="AS48" s="1037"/>
      <c r="AT48" s="1037"/>
      <c r="AU48" s="1037"/>
      <c r="AV48" s="1430"/>
      <c r="AW48" s="1424"/>
      <c r="AX48" s="1037"/>
      <c r="AY48" s="1037"/>
      <c r="AZ48" s="1037"/>
      <c r="BA48" s="1037"/>
      <c r="BB48" s="1037"/>
      <c r="BC48" s="1037"/>
      <c r="BD48" s="1037"/>
      <c r="BE48" s="1037"/>
      <c r="BF48" s="1037"/>
      <c r="BG48" s="1035">
        <f>Отчет!J57+Отчет!J67</f>
        <v>2096863</v>
      </c>
      <c r="BH48" s="1037"/>
      <c r="BI48" s="1037"/>
      <c r="BJ48" s="1037"/>
      <c r="BK48" s="1037"/>
      <c r="BL48" s="1037"/>
      <c r="BM48" s="1037"/>
      <c r="BN48" s="1037"/>
      <c r="BO48" s="1037"/>
      <c r="BP48" s="1037"/>
      <c r="BQ48" s="1037"/>
      <c r="BR48" s="1037"/>
      <c r="BS48" s="1037"/>
      <c r="BT48" s="1037"/>
      <c r="BU48" s="1037"/>
      <c r="BV48" s="1037"/>
      <c r="BW48" s="1037"/>
      <c r="BX48" s="1037"/>
      <c r="BY48" s="1036"/>
      <c r="BZ48" s="1037"/>
      <c r="CA48" s="1142">
        <f t="shared" si="2"/>
        <v>2096863</v>
      </c>
      <c r="CB48" s="1153"/>
      <c r="CC48" s="1134"/>
      <c r="CD48" s="1134"/>
      <c r="CE48" s="1151"/>
      <c r="CF48" s="1151"/>
      <c r="CG48" s="1151"/>
      <c r="CH48" s="1151"/>
      <c r="CI48" s="1151"/>
      <c r="CJ48" s="1151"/>
      <c r="CK48" s="1151"/>
      <c r="CL48" s="1151"/>
      <c r="CM48" s="1151"/>
      <c r="CN48" s="1151"/>
      <c r="CO48" s="1151"/>
      <c r="CP48" s="1151"/>
      <c r="CQ48" s="1151"/>
      <c r="CR48" s="1151"/>
      <c r="CS48" s="1151"/>
      <c r="CT48" s="1151"/>
      <c r="CU48" s="1151"/>
      <c r="CV48" s="1151"/>
      <c r="CW48" s="1151"/>
      <c r="CX48" s="1151"/>
      <c r="CY48" s="1151"/>
      <c r="CZ48" s="1151"/>
      <c r="DA48" s="1151"/>
      <c r="DB48" s="1151"/>
      <c r="DC48" s="1151"/>
      <c r="DD48" s="1151"/>
      <c r="DE48" s="1151"/>
      <c r="DF48" s="1151"/>
      <c r="DG48" s="1151"/>
      <c r="DH48" s="1151"/>
      <c r="DI48" s="1151"/>
      <c r="DJ48" s="1151"/>
      <c r="DK48" s="1151"/>
      <c r="DL48" s="1151"/>
      <c r="DM48" s="1151"/>
      <c r="DN48" s="1151"/>
      <c r="DO48" s="1151"/>
      <c r="DP48" s="1151"/>
      <c r="DQ48" s="1151"/>
      <c r="DR48" s="1151"/>
      <c r="DS48" s="1151"/>
      <c r="DT48" s="1151"/>
      <c r="DU48" s="1151"/>
      <c r="DV48" s="1151"/>
      <c r="DW48" s="1151"/>
      <c r="DX48" s="1151"/>
      <c r="DY48" s="1151"/>
      <c r="DZ48" s="1148"/>
      <c r="EA48" s="1021"/>
      <c r="EB48" s="1021"/>
      <c r="EC48" s="1021"/>
      <c r="ED48" s="1021"/>
      <c r="EE48" s="1021"/>
      <c r="EF48" s="1021"/>
      <c r="EG48" s="1021"/>
    </row>
    <row r="49" spans="1:137" s="833" customFormat="1" ht="39.950000000000003" customHeight="1">
      <c r="A49" s="825" t="s">
        <v>222</v>
      </c>
      <c r="B49" s="826" t="s">
        <v>223</v>
      </c>
      <c r="C49" s="1036"/>
      <c r="D49" s="1408"/>
      <c r="E49" s="1036"/>
      <c r="F49" s="1036"/>
      <c r="G49" s="1036"/>
      <c r="H49" s="1408"/>
      <c r="I49" s="1036"/>
      <c r="J49" s="1036"/>
      <c r="K49" s="1408"/>
      <c r="L49" s="1036"/>
      <c r="M49" s="1036"/>
      <c r="N49" s="1036"/>
      <c r="O49" s="1036"/>
      <c r="P49" s="1036"/>
      <c r="Q49" s="1036"/>
      <c r="R49" s="1036"/>
      <c r="S49" s="1036"/>
      <c r="T49" s="1036"/>
      <c r="U49" s="1036"/>
      <c r="V49" s="1036"/>
      <c r="W49" s="1036"/>
      <c r="X49" s="1395"/>
      <c r="Y49" s="1036"/>
      <c r="Z49" s="1036"/>
      <c r="AA49" s="1036"/>
      <c r="AB49" s="1036"/>
      <c r="AC49" s="1036"/>
      <c r="AD49" s="1037"/>
      <c r="AE49" s="1037"/>
      <c r="AF49" s="1424">
        <f>Отчет!K102+Отчет!K128</f>
        <v>11213467.5</v>
      </c>
      <c r="AG49" s="1430"/>
      <c r="AH49" s="1037"/>
      <c r="AI49" s="1037"/>
      <c r="AJ49" s="1037"/>
      <c r="AK49" s="1430"/>
      <c r="AL49" s="1430"/>
      <c r="AM49" s="1430"/>
      <c r="AN49" s="1037"/>
      <c r="AO49" s="1037"/>
      <c r="AP49" s="1037"/>
      <c r="AQ49" s="1037"/>
      <c r="AR49" s="1037"/>
      <c r="AS49" s="1037"/>
      <c r="AT49" s="1037"/>
      <c r="AU49" s="1037"/>
      <c r="AV49" s="1430"/>
      <c r="AW49" s="1424"/>
      <c r="AX49" s="1037"/>
      <c r="AY49" s="1037"/>
      <c r="AZ49" s="1037"/>
      <c r="BA49" s="1037"/>
      <c r="BB49" s="1037"/>
      <c r="BC49" s="1037"/>
      <c r="BD49" s="1037"/>
      <c r="BE49" s="1037"/>
      <c r="BF49" s="1037"/>
      <c r="BG49" s="1037">
        <v>1296093.8678934784</v>
      </c>
      <c r="BH49" s="1037"/>
      <c r="BI49" s="1037"/>
      <c r="BJ49" s="1037"/>
      <c r="BK49" s="1037"/>
      <c r="BL49" s="1037"/>
      <c r="BM49" s="1037"/>
      <c r="BN49" s="1037"/>
      <c r="BO49" s="1037"/>
      <c r="BP49" s="1037"/>
      <c r="BQ49" s="1037"/>
      <c r="BR49" s="1037"/>
      <c r="BS49" s="1037"/>
      <c r="BT49" s="1037"/>
      <c r="BU49" s="1037"/>
      <c r="BV49" s="1037"/>
      <c r="BW49" s="1037"/>
      <c r="BX49" s="1037"/>
      <c r="BY49" s="1036"/>
      <c r="BZ49" s="1037"/>
      <c r="CA49" s="1142">
        <f t="shared" si="2"/>
        <v>12509561.367893478</v>
      </c>
      <c r="CB49" s="1153"/>
      <c r="CC49" s="1134"/>
      <c r="CD49" s="1134"/>
      <c r="CE49" s="1151"/>
      <c r="CF49" s="1151"/>
      <c r="CG49" s="1151"/>
      <c r="CH49" s="1151"/>
      <c r="CI49" s="1151"/>
      <c r="CJ49" s="1151"/>
      <c r="CK49" s="1151"/>
      <c r="CL49" s="1151"/>
      <c r="CM49" s="1151"/>
      <c r="CN49" s="1151"/>
      <c r="CO49" s="1151"/>
      <c r="CP49" s="1151"/>
      <c r="CQ49" s="1151"/>
      <c r="CR49" s="1151"/>
      <c r="CS49" s="1151"/>
      <c r="CT49" s="1151"/>
      <c r="CU49" s="1151"/>
      <c r="CV49" s="1151"/>
      <c r="CW49" s="1151"/>
      <c r="CX49" s="1151"/>
      <c r="CY49" s="1151"/>
      <c r="CZ49" s="1151"/>
      <c r="DA49" s="1151"/>
      <c r="DB49" s="1151"/>
      <c r="DC49" s="1151"/>
      <c r="DD49" s="1151"/>
      <c r="DE49" s="1151"/>
      <c r="DF49" s="1151"/>
      <c r="DG49" s="1151"/>
      <c r="DH49" s="1151"/>
      <c r="DI49" s="1151"/>
      <c r="DJ49" s="1151"/>
      <c r="DK49" s="1151"/>
      <c r="DL49" s="1151"/>
      <c r="DM49" s="1151"/>
      <c r="DN49" s="1151"/>
      <c r="DO49" s="1151"/>
      <c r="DP49" s="1151"/>
      <c r="DQ49" s="1151"/>
      <c r="DR49" s="1151"/>
      <c r="DS49" s="1151"/>
      <c r="DT49" s="1151"/>
      <c r="DU49" s="1151"/>
      <c r="DV49" s="1151"/>
      <c r="DW49" s="1151"/>
      <c r="DX49" s="1151"/>
      <c r="DY49" s="1151"/>
      <c r="DZ49" s="1148"/>
      <c r="EA49" s="1021"/>
      <c r="EB49" s="1021"/>
      <c r="EC49" s="1021"/>
      <c r="ED49" s="1021"/>
      <c r="EE49" s="1021"/>
      <c r="EF49" s="1021"/>
      <c r="EG49" s="1021"/>
    </row>
    <row r="50" spans="1:137" s="833" customFormat="1" ht="39.950000000000003" hidden="1" customHeight="1">
      <c r="A50" s="825" t="s">
        <v>224</v>
      </c>
      <c r="B50" s="826" t="s">
        <v>226</v>
      </c>
      <c r="C50" s="1036"/>
      <c r="D50" s="1408"/>
      <c r="E50" s="1036"/>
      <c r="F50" s="1036"/>
      <c r="G50" s="1036"/>
      <c r="H50" s="1408"/>
      <c r="I50" s="1036"/>
      <c r="J50" s="1036"/>
      <c r="K50" s="1408"/>
      <c r="L50" s="1036"/>
      <c r="M50" s="1036"/>
      <c r="N50" s="1036"/>
      <c r="O50" s="1036"/>
      <c r="P50" s="1036"/>
      <c r="Q50" s="1036"/>
      <c r="R50" s="1036"/>
      <c r="S50" s="1036"/>
      <c r="T50" s="1036"/>
      <c r="U50" s="1036"/>
      <c r="V50" s="1036"/>
      <c r="W50" s="1036"/>
      <c r="X50" s="1395"/>
      <c r="Y50" s="1036"/>
      <c r="Z50" s="1036"/>
      <c r="AA50" s="1036"/>
      <c r="AB50" s="1036"/>
      <c r="AC50" s="1036"/>
      <c r="AD50" s="1037"/>
      <c r="AE50" s="1037"/>
      <c r="AF50" s="1424"/>
      <c r="AG50" s="1430"/>
      <c r="AH50" s="1037"/>
      <c r="AI50" s="1037"/>
      <c r="AJ50" s="1037"/>
      <c r="AK50" s="1430"/>
      <c r="AL50" s="1430"/>
      <c r="AM50" s="1430"/>
      <c r="AN50" s="1037"/>
      <c r="AO50" s="1037"/>
      <c r="AP50" s="1037"/>
      <c r="AQ50" s="1037"/>
      <c r="AR50" s="1037"/>
      <c r="AS50" s="1037"/>
      <c r="AT50" s="1037"/>
      <c r="AU50" s="1037"/>
      <c r="AV50" s="1430"/>
      <c r="AW50" s="1424"/>
      <c r="AX50" s="1037"/>
      <c r="AY50" s="1037"/>
      <c r="AZ50" s="1037"/>
      <c r="BA50" s="1037"/>
      <c r="BB50" s="1037"/>
      <c r="BC50" s="1037"/>
      <c r="BD50" s="1037"/>
      <c r="BE50" s="1037"/>
      <c r="BF50" s="1037"/>
      <c r="BG50" s="1037"/>
      <c r="BH50" s="1037"/>
      <c r="BI50" s="1037"/>
      <c r="BJ50" s="1037"/>
      <c r="BK50" s="1037"/>
      <c r="BL50" s="1037"/>
      <c r="BM50" s="1037"/>
      <c r="BN50" s="1037"/>
      <c r="BO50" s="1037"/>
      <c r="BP50" s="1037"/>
      <c r="BQ50" s="1037"/>
      <c r="BR50" s="1037"/>
      <c r="BS50" s="1037"/>
      <c r="BT50" s="1037"/>
      <c r="BU50" s="1037"/>
      <c r="BV50" s="1037"/>
      <c r="BW50" s="1037"/>
      <c r="BX50" s="1037"/>
      <c r="BY50" s="1036"/>
      <c r="BZ50" s="1037"/>
      <c r="CA50" s="1142">
        <f t="shared" si="2"/>
        <v>0</v>
      </c>
      <c r="CB50" s="1153"/>
      <c r="CC50" s="1134"/>
      <c r="CD50" s="1134"/>
      <c r="CE50" s="1151"/>
      <c r="CF50" s="1151"/>
      <c r="CG50" s="1151"/>
      <c r="CH50" s="1151"/>
      <c r="CI50" s="1151"/>
      <c r="CJ50" s="1151"/>
      <c r="CK50" s="1151"/>
      <c r="CL50" s="1151"/>
      <c r="CM50" s="1151"/>
      <c r="CN50" s="1151"/>
      <c r="CO50" s="1151"/>
      <c r="CP50" s="1151"/>
      <c r="CQ50" s="1151"/>
      <c r="CR50" s="1151"/>
      <c r="CS50" s="1151"/>
      <c r="CT50" s="1151"/>
      <c r="CU50" s="1151"/>
      <c r="CV50" s="1151"/>
      <c r="CW50" s="1151"/>
      <c r="CX50" s="1151"/>
      <c r="CY50" s="1151"/>
      <c r="CZ50" s="1151"/>
      <c r="DA50" s="1151"/>
      <c r="DB50" s="1151"/>
      <c r="DC50" s="1151"/>
      <c r="DD50" s="1151"/>
      <c r="DE50" s="1151"/>
      <c r="DF50" s="1151"/>
      <c r="DG50" s="1151"/>
      <c r="DH50" s="1151"/>
      <c r="DI50" s="1151"/>
      <c r="DJ50" s="1151"/>
      <c r="DK50" s="1151"/>
      <c r="DL50" s="1151"/>
      <c r="DM50" s="1151"/>
      <c r="DN50" s="1151"/>
      <c r="DO50" s="1151"/>
      <c r="DP50" s="1151"/>
      <c r="DQ50" s="1151"/>
      <c r="DR50" s="1151"/>
      <c r="DS50" s="1151"/>
      <c r="DT50" s="1151"/>
      <c r="DU50" s="1151"/>
      <c r="DV50" s="1151"/>
      <c r="DW50" s="1151"/>
      <c r="DX50" s="1151"/>
      <c r="DY50" s="1151"/>
      <c r="DZ50" s="1148"/>
      <c r="EA50" s="1021"/>
      <c r="EB50" s="1021"/>
      <c r="EC50" s="1021"/>
      <c r="ED50" s="1021"/>
      <c r="EE50" s="1021"/>
      <c r="EF50" s="1021"/>
      <c r="EG50" s="1021"/>
    </row>
    <row r="51" spans="1:137" s="833" customFormat="1" ht="39.950000000000003" hidden="1" customHeight="1">
      <c r="A51" s="825" t="s">
        <v>227</v>
      </c>
      <c r="B51" s="826" t="s">
        <v>229</v>
      </c>
      <c r="C51" s="1036"/>
      <c r="D51" s="1408"/>
      <c r="E51" s="1036"/>
      <c r="F51" s="1036"/>
      <c r="G51" s="1036"/>
      <c r="H51" s="1408"/>
      <c r="I51" s="1036"/>
      <c r="J51" s="1036"/>
      <c r="K51" s="1408"/>
      <c r="L51" s="1036"/>
      <c r="M51" s="1036"/>
      <c r="N51" s="1036"/>
      <c r="O51" s="1036"/>
      <c r="P51" s="1036"/>
      <c r="Q51" s="1036"/>
      <c r="R51" s="1036"/>
      <c r="S51" s="1036"/>
      <c r="T51" s="1036"/>
      <c r="U51" s="1036"/>
      <c r="V51" s="1036"/>
      <c r="W51" s="1036"/>
      <c r="X51" s="1395"/>
      <c r="Y51" s="1036"/>
      <c r="Z51" s="1036"/>
      <c r="AA51" s="1036"/>
      <c r="AB51" s="1036"/>
      <c r="AC51" s="1036"/>
      <c r="AD51" s="1037"/>
      <c r="AE51" s="1037"/>
      <c r="AF51" s="1424"/>
      <c r="AG51" s="1430"/>
      <c r="AH51" s="1037"/>
      <c r="AI51" s="1037"/>
      <c r="AJ51" s="1037"/>
      <c r="AK51" s="1430"/>
      <c r="AL51" s="1430"/>
      <c r="AM51" s="1430"/>
      <c r="AN51" s="1037"/>
      <c r="AO51" s="1037"/>
      <c r="AP51" s="1037"/>
      <c r="AQ51" s="1037"/>
      <c r="AR51" s="1037"/>
      <c r="AS51" s="1037"/>
      <c r="AT51" s="1037"/>
      <c r="AU51" s="1037"/>
      <c r="AV51" s="1430"/>
      <c r="AW51" s="1424"/>
      <c r="AX51" s="1037"/>
      <c r="AY51" s="1037"/>
      <c r="AZ51" s="1037"/>
      <c r="BA51" s="1037"/>
      <c r="BB51" s="1037"/>
      <c r="BC51" s="1037"/>
      <c r="BD51" s="1037"/>
      <c r="BE51" s="1037"/>
      <c r="BF51" s="1037"/>
      <c r="BG51" s="1037"/>
      <c r="BH51" s="1037"/>
      <c r="BI51" s="1037"/>
      <c r="BJ51" s="1037"/>
      <c r="BK51" s="1037"/>
      <c r="BL51" s="1037"/>
      <c r="BM51" s="1037"/>
      <c r="BN51" s="1037"/>
      <c r="BO51" s="1037"/>
      <c r="BP51" s="1037"/>
      <c r="BQ51" s="1037"/>
      <c r="BR51" s="1037"/>
      <c r="BS51" s="1037"/>
      <c r="BT51" s="1037"/>
      <c r="BU51" s="1037"/>
      <c r="BV51" s="1037"/>
      <c r="BW51" s="1037"/>
      <c r="BX51" s="1037"/>
      <c r="BY51" s="1036"/>
      <c r="BZ51" s="1037"/>
      <c r="CA51" s="1142">
        <f t="shared" si="2"/>
        <v>0</v>
      </c>
      <c r="CB51" s="1153"/>
      <c r="CC51" s="1134"/>
      <c r="CD51" s="1134"/>
      <c r="CE51" s="1151"/>
      <c r="CF51" s="1151"/>
      <c r="CG51" s="1151"/>
      <c r="CH51" s="1151"/>
      <c r="CI51" s="1151"/>
      <c r="CJ51" s="1151"/>
      <c r="CK51" s="1151"/>
      <c r="CL51" s="1151"/>
      <c r="CM51" s="1151"/>
      <c r="CN51" s="1151"/>
      <c r="CO51" s="1151"/>
      <c r="CP51" s="1151"/>
      <c r="CQ51" s="1151"/>
      <c r="CR51" s="1151"/>
      <c r="CS51" s="1151"/>
      <c r="CT51" s="1151"/>
      <c r="CU51" s="1151"/>
      <c r="CV51" s="1151"/>
      <c r="CW51" s="1151"/>
      <c r="CX51" s="1151"/>
      <c r="CY51" s="1151"/>
      <c r="CZ51" s="1151"/>
      <c r="DA51" s="1151"/>
      <c r="DB51" s="1151"/>
      <c r="DC51" s="1151"/>
      <c r="DD51" s="1151"/>
      <c r="DE51" s="1151"/>
      <c r="DF51" s="1151"/>
      <c r="DG51" s="1151"/>
      <c r="DH51" s="1151"/>
      <c r="DI51" s="1151"/>
      <c r="DJ51" s="1151"/>
      <c r="DK51" s="1151"/>
      <c r="DL51" s="1151"/>
      <c r="DM51" s="1151"/>
      <c r="DN51" s="1151"/>
      <c r="DO51" s="1151"/>
      <c r="DP51" s="1151"/>
      <c r="DQ51" s="1151"/>
      <c r="DR51" s="1151"/>
      <c r="DS51" s="1151"/>
      <c r="DT51" s="1151"/>
      <c r="DU51" s="1151"/>
      <c r="DV51" s="1151"/>
      <c r="DW51" s="1151"/>
      <c r="DX51" s="1151"/>
      <c r="DY51" s="1151"/>
      <c r="DZ51" s="1148"/>
      <c r="EA51" s="1021"/>
      <c r="EB51" s="1021"/>
      <c r="EC51" s="1021"/>
      <c r="ED51" s="1021"/>
      <c r="EE51" s="1021"/>
      <c r="EF51" s="1021"/>
      <c r="EG51" s="1021"/>
    </row>
    <row r="52" spans="1:137" s="833" customFormat="1" ht="39.950000000000003" hidden="1" customHeight="1">
      <c r="A52" s="825" t="s">
        <v>230</v>
      </c>
      <c r="B52" s="826" t="s">
        <v>231</v>
      </c>
      <c r="C52" s="1036"/>
      <c r="D52" s="1408"/>
      <c r="E52" s="1036"/>
      <c r="F52" s="1036"/>
      <c r="G52" s="1036"/>
      <c r="H52" s="1408"/>
      <c r="I52" s="1036"/>
      <c r="J52" s="1036"/>
      <c r="K52" s="1408"/>
      <c r="L52" s="1036"/>
      <c r="M52" s="1036"/>
      <c r="N52" s="1036"/>
      <c r="O52" s="1036"/>
      <c r="P52" s="1036"/>
      <c r="Q52" s="1036"/>
      <c r="R52" s="1036"/>
      <c r="S52" s="1036"/>
      <c r="T52" s="1036"/>
      <c r="U52" s="1036"/>
      <c r="V52" s="1036"/>
      <c r="W52" s="1036"/>
      <c r="X52" s="1395"/>
      <c r="Y52" s="1036"/>
      <c r="Z52" s="1036"/>
      <c r="AA52" s="1036"/>
      <c r="AB52" s="1036"/>
      <c r="AC52" s="1036"/>
      <c r="AD52" s="1037"/>
      <c r="AE52" s="1037"/>
      <c r="AF52" s="1424"/>
      <c r="AG52" s="1430"/>
      <c r="AH52" s="1037"/>
      <c r="AI52" s="1037"/>
      <c r="AJ52" s="1037"/>
      <c r="AK52" s="1430"/>
      <c r="AL52" s="1430"/>
      <c r="AM52" s="1430"/>
      <c r="AN52" s="1037"/>
      <c r="AO52" s="1037"/>
      <c r="AP52" s="1037"/>
      <c r="AQ52" s="1037"/>
      <c r="AR52" s="1037"/>
      <c r="AS52" s="1037"/>
      <c r="AT52" s="1037"/>
      <c r="AU52" s="1037"/>
      <c r="AV52" s="1430"/>
      <c r="AW52" s="1424"/>
      <c r="AX52" s="1037"/>
      <c r="AY52" s="1037"/>
      <c r="AZ52" s="1037"/>
      <c r="BA52" s="1037"/>
      <c r="BB52" s="1037"/>
      <c r="BC52" s="1037"/>
      <c r="BD52" s="1037"/>
      <c r="BE52" s="1037"/>
      <c r="BF52" s="1037"/>
      <c r="BG52" s="1037"/>
      <c r="BH52" s="1037"/>
      <c r="BI52" s="1037"/>
      <c r="BJ52" s="1037"/>
      <c r="BK52" s="1037"/>
      <c r="BL52" s="1037"/>
      <c r="BM52" s="1037"/>
      <c r="BN52" s="1037"/>
      <c r="BO52" s="1037"/>
      <c r="BP52" s="1037"/>
      <c r="BQ52" s="1037"/>
      <c r="BR52" s="1037"/>
      <c r="BS52" s="1037"/>
      <c r="BT52" s="1037"/>
      <c r="BU52" s="1037"/>
      <c r="BV52" s="1037"/>
      <c r="BW52" s="1037"/>
      <c r="BX52" s="1037"/>
      <c r="BY52" s="1036"/>
      <c r="BZ52" s="1037"/>
      <c r="CA52" s="1142">
        <f t="shared" si="2"/>
        <v>0</v>
      </c>
      <c r="CB52" s="1153"/>
      <c r="CC52" s="1134"/>
      <c r="CD52" s="1134"/>
      <c r="CE52" s="1151"/>
      <c r="CF52" s="1151"/>
      <c r="CG52" s="1151"/>
      <c r="CH52" s="1151"/>
      <c r="CI52" s="1151"/>
      <c r="CJ52" s="1151"/>
      <c r="CK52" s="1151"/>
      <c r="CL52" s="1151"/>
      <c r="CM52" s="1151"/>
      <c r="CN52" s="1151"/>
      <c r="CO52" s="1151"/>
      <c r="CP52" s="1151"/>
      <c r="CQ52" s="1151"/>
      <c r="CR52" s="1151"/>
      <c r="CS52" s="1151"/>
      <c r="CT52" s="1151"/>
      <c r="CU52" s="1151"/>
      <c r="CV52" s="1151"/>
      <c r="CW52" s="1151"/>
      <c r="CX52" s="1151"/>
      <c r="CY52" s="1151"/>
      <c r="CZ52" s="1151"/>
      <c r="DA52" s="1151"/>
      <c r="DB52" s="1151"/>
      <c r="DC52" s="1151"/>
      <c r="DD52" s="1151"/>
      <c r="DE52" s="1151"/>
      <c r="DF52" s="1151"/>
      <c r="DG52" s="1151"/>
      <c r="DH52" s="1151"/>
      <c r="DI52" s="1151"/>
      <c r="DJ52" s="1151"/>
      <c r="DK52" s="1151"/>
      <c r="DL52" s="1151"/>
      <c r="DM52" s="1151"/>
      <c r="DN52" s="1151"/>
      <c r="DO52" s="1151"/>
      <c r="DP52" s="1151"/>
      <c r="DQ52" s="1151"/>
      <c r="DR52" s="1151"/>
      <c r="DS52" s="1151"/>
      <c r="DT52" s="1151"/>
      <c r="DU52" s="1151"/>
      <c r="DV52" s="1151"/>
      <c r="DW52" s="1151"/>
      <c r="DX52" s="1151"/>
      <c r="DY52" s="1151"/>
      <c r="DZ52" s="1148"/>
      <c r="EA52" s="1021"/>
      <c r="EB52" s="1021"/>
      <c r="EC52" s="1021"/>
      <c r="ED52" s="1021"/>
      <c r="EE52" s="1021"/>
      <c r="EF52" s="1021"/>
      <c r="EG52" s="1021"/>
    </row>
    <row r="53" spans="1:137" s="824" customFormat="1" ht="39.950000000000003" hidden="1" customHeight="1">
      <c r="A53" s="825" t="s">
        <v>233</v>
      </c>
      <c r="B53" s="826" t="s">
        <v>234</v>
      </c>
      <c r="C53" s="1030"/>
      <c r="D53" s="1406"/>
      <c r="E53" s="1030"/>
      <c r="F53" s="1030"/>
      <c r="G53" s="1030"/>
      <c r="H53" s="1406"/>
      <c r="I53" s="1030"/>
      <c r="J53" s="1030"/>
      <c r="K53" s="1406"/>
      <c r="L53" s="1030"/>
      <c r="M53" s="1030"/>
      <c r="N53" s="1030"/>
      <c r="O53" s="1030"/>
      <c r="P53" s="1030"/>
      <c r="Q53" s="1030"/>
      <c r="R53" s="1030"/>
      <c r="S53" s="1030"/>
      <c r="T53" s="1030"/>
      <c r="U53" s="1030"/>
      <c r="V53" s="1030"/>
      <c r="W53" s="1030"/>
      <c r="X53" s="1394"/>
      <c r="Y53" s="1030"/>
      <c r="Z53" s="1030"/>
      <c r="AA53" s="1030"/>
      <c r="AB53" s="1030"/>
      <c r="AC53" s="1030"/>
      <c r="AD53" s="1035"/>
      <c r="AE53" s="1035"/>
      <c r="AF53" s="1423"/>
      <c r="AG53" s="1417"/>
      <c r="AH53" s="1035"/>
      <c r="AI53" s="1035"/>
      <c r="AJ53" s="1035"/>
      <c r="AK53" s="1417"/>
      <c r="AL53" s="1417"/>
      <c r="AM53" s="1417"/>
      <c r="AN53" s="1035"/>
      <c r="AO53" s="1035"/>
      <c r="AP53" s="1035"/>
      <c r="AQ53" s="1035"/>
      <c r="AR53" s="1035"/>
      <c r="AS53" s="1035"/>
      <c r="AT53" s="1035"/>
      <c r="AU53" s="1035"/>
      <c r="AV53" s="1417"/>
      <c r="AW53" s="1423"/>
      <c r="AX53" s="1035"/>
      <c r="AY53" s="1035"/>
      <c r="AZ53" s="1035"/>
      <c r="BA53" s="1035"/>
      <c r="BB53" s="1035"/>
      <c r="BC53" s="1035"/>
      <c r="BD53" s="1035"/>
      <c r="BE53" s="1035"/>
      <c r="BF53" s="1035"/>
      <c r="BG53" s="1035"/>
      <c r="BH53" s="1035"/>
      <c r="BI53" s="1035"/>
      <c r="BJ53" s="1035"/>
      <c r="BK53" s="1035"/>
      <c r="BL53" s="1035"/>
      <c r="BM53" s="1035"/>
      <c r="BN53" s="1035"/>
      <c r="BO53" s="1035"/>
      <c r="BP53" s="1035"/>
      <c r="BQ53" s="1035"/>
      <c r="BR53" s="1035"/>
      <c r="BS53" s="1035"/>
      <c r="BT53" s="1035"/>
      <c r="BU53" s="1035"/>
      <c r="BV53" s="1035"/>
      <c r="BW53" s="1035"/>
      <c r="BX53" s="1035"/>
      <c r="BY53" s="1030"/>
      <c r="BZ53" s="1035"/>
      <c r="CA53" s="1142">
        <f t="shared" si="2"/>
        <v>0</v>
      </c>
      <c r="CB53" s="1153"/>
      <c r="CC53" s="1134"/>
      <c r="CD53" s="1134"/>
      <c r="CE53" s="1134"/>
      <c r="CF53" s="1134"/>
      <c r="CG53" s="1134"/>
      <c r="CH53" s="1134"/>
      <c r="CI53" s="1134"/>
      <c r="CJ53" s="1134"/>
      <c r="CK53" s="1134"/>
      <c r="CL53" s="1134"/>
      <c r="CM53" s="1134"/>
      <c r="CN53" s="1134"/>
      <c r="CO53" s="1134"/>
      <c r="CP53" s="1134"/>
      <c r="CQ53" s="1134"/>
      <c r="CR53" s="1134"/>
      <c r="CS53" s="1134"/>
      <c r="CT53" s="1134"/>
      <c r="CU53" s="1134"/>
      <c r="CV53" s="1134"/>
      <c r="CW53" s="1134"/>
      <c r="CX53" s="1134"/>
      <c r="CY53" s="1134"/>
      <c r="CZ53" s="1134"/>
      <c r="DA53" s="1134"/>
      <c r="DB53" s="1134"/>
      <c r="DC53" s="1134"/>
      <c r="DD53" s="1134"/>
      <c r="DE53" s="1134"/>
      <c r="DF53" s="1134"/>
      <c r="DG53" s="1134"/>
      <c r="DH53" s="1134"/>
      <c r="DI53" s="1134"/>
      <c r="DJ53" s="1134"/>
      <c r="DK53" s="1134"/>
      <c r="DL53" s="1134"/>
      <c r="DM53" s="1134"/>
      <c r="DN53" s="1134"/>
      <c r="DO53" s="1134"/>
      <c r="DP53" s="1134"/>
      <c r="DQ53" s="1134"/>
      <c r="DR53" s="1134"/>
      <c r="DS53" s="1134"/>
      <c r="DT53" s="1134"/>
      <c r="DU53" s="1134"/>
      <c r="DV53" s="1134"/>
      <c r="DW53" s="1134"/>
      <c r="DX53" s="1134"/>
      <c r="DY53" s="1134"/>
      <c r="DZ53" s="1147"/>
      <c r="EA53" s="834"/>
      <c r="EB53" s="834"/>
      <c r="EC53" s="834"/>
      <c r="ED53" s="834"/>
      <c r="EE53" s="834"/>
      <c r="EF53" s="834"/>
      <c r="EG53" s="834"/>
    </row>
    <row r="54" spans="1:137" s="805" customFormat="1" ht="39.950000000000003" hidden="1" customHeight="1">
      <c r="A54" s="802" t="s">
        <v>235</v>
      </c>
      <c r="B54" s="826"/>
      <c r="C54" s="1030"/>
      <c r="D54" s="1406"/>
      <c r="E54" s="1030"/>
      <c r="F54" s="1030"/>
      <c r="G54" s="1030"/>
      <c r="H54" s="1406"/>
      <c r="I54" s="1030"/>
      <c r="J54" s="1030"/>
      <c r="K54" s="1406"/>
      <c r="L54" s="1030"/>
      <c r="M54" s="1030"/>
      <c r="N54" s="1030"/>
      <c r="O54" s="1030"/>
      <c r="P54" s="1030"/>
      <c r="Q54" s="1030"/>
      <c r="R54" s="1030"/>
      <c r="S54" s="1030"/>
      <c r="T54" s="1030"/>
      <c r="U54" s="1030"/>
      <c r="V54" s="1030"/>
      <c r="W54" s="1030"/>
      <c r="X54" s="1394"/>
      <c r="Y54" s="1030"/>
      <c r="Z54" s="1030"/>
      <c r="AA54" s="1030"/>
      <c r="AB54" s="1030"/>
      <c r="AC54" s="1030"/>
      <c r="AD54" s="1035"/>
      <c r="AE54" s="1035"/>
      <c r="AF54" s="1423"/>
      <c r="AG54" s="1417"/>
      <c r="AH54" s="1035"/>
      <c r="AI54" s="1035"/>
      <c r="AJ54" s="1035"/>
      <c r="AK54" s="1417"/>
      <c r="AL54" s="1417"/>
      <c r="AM54" s="1417"/>
      <c r="AN54" s="1035"/>
      <c r="AO54" s="1035"/>
      <c r="AP54" s="1035"/>
      <c r="AQ54" s="1035"/>
      <c r="AR54" s="1035"/>
      <c r="AS54" s="1035"/>
      <c r="AT54" s="1035"/>
      <c r="AU54" s="1035"/>
      <c r="AV54" s="1417"/>
      <c r="AW54" s="1423"/>
      <c r="AX54" s="1035"/>
      <c r="AY54" s="1035"/>
      <c r="AZ54" s="1035"/>
      <c r="BA54" s="1035"/>
      <c r="BB54" s="1035"/>
      <c r="BC54" s="1035"/>
      <c r="BD54" s="1035"/>
      <c r="BE54" s="1035"/>
      <c r="BF54" s="1035"/>
      <c r="BG54" s="1035"/>
      <c r="BH54" s="1035"/>
      <c r="BI54" s="1035"/>
      <c r="BJ54" s="1035"/>
      <c r="BK54" s="1035"/>
      <c r="BL54" s="1035"/>
      <c r="BM54" s="1035"/>
      <c r="BN54" s="1035"/>
      <c r="BO54" s="1035"/>
      <c r="BP54" s="1035"/>
      <c r="BQ54" s="1035"/>
      <c r="BR54" s="1035"/>
      <c r="BS54" s="1035"/>
      <c r="BT54" s="1035"/>
      <c r="BU54" s="1035"/>
      <c r="BV54" s="1035"/>
      <c r="BW54" s="1035"/>
      <c r="BX54" s="1035"/>
      <c r="BY54" s="1030"/>
      <c r="BZ54" s="1035"/>
      <c r="CA54" s="1142">
        <f t="shared" si="2"/>
        <v>0</v>
      </c>
      <c r="CB54" s="1153"/>
      <c r="CC54" s="1134"/>
      <c r="CD54" s="1134"/>
      <c r="CE54" s="1134"/>
      <c r="CF54" s="1134"/>
      <c r="CG54" s="1134"/>
      <c r="CH54" s="1134"/>
      <c r="CI54" s="1134"/>
      <c r="CJ54" s="1134"/>
      <c r="CK54" s="1134"/>
      <c r="CL54" s="1134"/>
      <c r="CM54" s="1134"/>
      <c r="CN54" s="1134"/>
      <c r="CO54" s="1134"/>
      <c r="CP54" s="1134"/>
      <c r="CQ54" s="1134"/>
      <c r="CR54" s="1134"/>
      <c r="CS54" s="1134"/>
      <c r="CT54" s="1134"/>
      <c r="CU54" s="1134"/>
      <c r="CV54" s="1134"/>
      <c r="CW54" s="1134"/>
      <c r="CX54" s="1134"/>
      <c r="CY54" s="1134"/>
      <c r="CZ54" s="1134"/>
      <c r="DA54" s="1134"/>
      <c r="DB54" s="1134"/>
      <c r="DC54" s="1134"/>
      <c r="DD54" s="1134"/>
      <c r="DE54" s="1134"/>
      <c r="DF54" s="1134"/>
      <c r="DG54" s="1134"/>
      <c r="DH54" s="1134"/>
      <c r="DI54" s="1134"/>
      <c r="DJ54" s="1134"/>
      <c r="DK54" s="1134"/>
      <c r="DL54" s="1134"/>
      <c r="DM54" s="1134"/>
      <c r="DN54" s="1134"/>
      <c r="DO54" s="1134"/>
      <c r="DP54" s="1134"/>
      <c r="DQ54" s="1134"/>
      <c r="DR54" s="1134"/>
      <c r="DS54" s="1134"/>
      <c r="DT54" s="1134"/>
      <c r="DU54" s="1134"/>
      <c r="DV54" s="1134"/>
      <c r="DW54" s="1134"/>
      <c r="DX54" s="1134"/>
      <c r="DY54" s="1134"/>
      <c r="DZ54" s="1147"/>
      <c r="EA54" s="834"/>
      <c r="EB54" s="834"/>
      <c r="EC54" s="834"/>
      <c r="ED54" s="834"/>
      <c r="EE54" s="834"/>
      <c r="EF54" s="834"/>
      <c r="EG54" s="834"/>
    </row>
    <row r="55" spans="1:137" s="806" customFormat="1" ht="39.950000000000003" hidden="1" customHeight="1">
      <c r="A55" s="923" t="s">
        <v>236</v>
      </c>
      <c r="B55" s="924" t="s">
        <v>237</v>
      </c>
      <c r="C55" s="1030"/>
      <c r="D55" s="1406"/>
      <c r="E55" s="1030"/>
      <c r="F55" s="1030"/>
      <c r="G55" s="1030"/>
      <c r="H55" s="1406"/>
      <c r="I55" s="1030"/>
      <c r="J55" s="1030"/>
      <c r="K55" s="1406"/>
      <c r="L55" s="1030"/>
      <c r="M55" s="1030"/>
      <c r="N55" s="1030"/>
      <c r="O55" s="1030"/>
      <c r="P55" s="1030"/>
      <c r="Q55" s="1030"/>
      <c r="R55" s="1030"/>
      <c r="S55" s="1030"/>
      <c r="T55" s="1030"/>
      <c r="U55" s="1030"/>
      <c r="V55" s="1030"/>
      <c r="W55" s="1030"/>
      <c r="X55" s="1394"/>
      <c r="Y55" s="1030"/>
      <c r="Z55" s="1030"/>
      <c r="AA55" s="1030"/>
      <c r="AB55" s="1030"/>
      <c r="AC55" s="1030"/>
      <c r="AD55" s="1035"/>
      <c r="AE55" s="1035"/>
      <c r="AF55" s="1423"/>
      <c r="AG55" s="1417"/>
      <c r="AH55" s="1035"/>
      <c r="AI55" s="1035"/>
      <c r="AJ55" s="1035"/>
      <c r="AK55" s="1417"/>
      <c r="AL55" s="1417"/>
      <c r="AM55" s="1417"/>
      <c r="AN55" s="1035"/>
      <c r="AO55" s="1035"/>
      <c r="AP55" s="1035"/>
      <c r="AQ55" s="1035"/>
      <c r="AR55" s="1035"/>
      <c r="AS55" s="1035"/>
      <c r="AT55" s="1035"/>
      <c r="AU55" s="1035"/>
      <c r="AV55" s="1417"/>
      <c r="AW55" s="1423"/>
      <c r="AX55" s="1035"/>
      <c r="AY55" s="1035"/>
      <c r="AZ55" s="1035"/>
      <c r="BA55" s="1035"/>
      <c r="BB55" s="1035"/>
      <c r="BC55" s="1035"/>
      <c r="BD55" s="1035"/>
      <c r="BE55" s="1035"/>
      <c r="BF55" s="1035"/>
      <c r="BG55" s="1035"/>
      <c r="BH55" s="1035"/>
      <c r="BI55" s="1035"/>
      <c r="BJ55" s="1035"/>
      <c r="BK55" s="1035"/>
      <c r="BL55" s="1035"/>
      <c r="BM55" s="1035"/>
      <c r="BN55" s="1035"/>
      <c r="BO55" s="1035"/>
      <c r="BP55" s="1035"/>
      <c r="BQ55" s="1035"/>
      <c r="BR55" s="1035"/>
      <c r="BS55" s="1035"/>
      <c r="BT55" s="1035"/>
      <c r="BU55" s="1035"/>
      <c r="BV55" s="1035"/>
      <c r="BW55" s="1035"/>
      <c r="BX55" s="1031"/>
      <c r="BY55" s="1030"/>
      <c r="BZ55" s="1035"/>
      <c r="CA55" s="1142">
        <f t="shared" si="2"/>
        <v>0</v>
      </c>
      <c r="CB55" s="1153"/>
      <c r="CC55" s="1134"/>
      <c r="CD55" s="1134"/>
      <c r="CE55" s="1134"/>
      <c r="CF55" s="1134"/>
      <c r="CG55" s="1134"/>
      <c r="CH55" s="1134"/>
      <c r="CI55" s="1134"/>
      <c r="CJ55" s="1134"/>
      <c r="CK55" s="1134"/>
      <c r="CL55" s="1134"/>
      <c r="CM55" s="1134"/>
      <c r="CN55" s="1134"/>
      <c r="CO55" s="1134"/>
      <c r="CP55" s="1134"/>
      <c r="CQ55" s="1134"/>
      <c r="CR55" s="1134"/>
      <c r="CS55" s="1134"/>
      <c r="CT55" s="1134"/>
      <c r="CU55" s="1134"/>
      <c r="CV55" s="1134"/>
      <c r="CW55" s="1134"/>
      <c r="CX55" s="1134"/>
      <c r="CY55" s="1134"/>
      <c r="CZ55" s="1134"/>
      <c r="DA55" s="1134"/>
      <c r="DB55" s="1134"/>
      <c r="DC55" s="1134"/>
      <c r="DD55" s="1134"/>
      <c r="DE55" s="1134"/>
      <c r="DF55" s="1134"/>
      <c r="DG55" s="1134"/>
      <c r="DH55" s="1134"/>
      <c r="DI55" s="1134"/>
      <c r="DJ55" s="1134"/>
      <c r="DK55" s="1134"/>
      <c r="DL55" s="1134"/>
      <c r="DM55" s="1134"/>
      <c r="DN55" s="1134"/>
      <c r="DO55" s="1134"/>
      <c r="DP55" s="1134"/>
      <c r="DQ55" s="1134"/>
      <c r="DR55" s="1134"/>
      <c r="DS55" s="1134"/>
      <c r="DT55" s="1134"/>
      <c r="DU55" s="1134"/>
      <c r="DV55" s="1134"/>
      <c r="DW55" s="1134"/>
      <c r="DX55" s="1134"/>
      <c r="DY55" s="1134"/>
      <c r="DZ55" s="1147"/>
      <c r="EA55" s="834"/>
      <c r="EB55" s="834"/>
      <c r="EC55" s="834"/>
      <c r="ED55" s="834"/>
      <c r="EE55" s="834"/>
      <c r="EF55" s="834"/>
      <c r="EG55" s="834"/>
    </row>
    <row r="56" spans="1:137" s="834" customFormat="1" ht="39.950000000000003" customHeight="1">
      <c r="A56" s="925" t="s">
        <v>238</v>
      </c>
      <c r="B56" s="925" t="s">
        <v>239</v>
      </c>
      <c r="C56" s="1027"/>
      <c r="D56" s="1406"/>
      <c r="E56" s="1027"/>
      <c r="F56" s="1027"/>
      <c r="G56" s="1027"/>
      <c r="H56" s="1406"/>
      <c r="I56" s="1027"/>
      <c r="J56" s="1027"/>
      <c r="K56" s="1406"/>
      <c r="L56" s="1027"/>
      <c r="M56" s="1027"/>
      <c r="N56" s="1027"/>
      <c r="O56" s="1027"/>
      <c r="P56" s="1027"/>
      <c r="Q56" s="1027"/>
      <c r="R56" s="1027"/>
      <c r="S56" s="1027"/>
      <c r="T56" s="1027"/>
      <c r="U56" s="1027"/>
      <c r="V56" s="1027"/>
      <c r="W56" s="1027"/>
      <c r="X56" s="1394"/>
      <c r="Y56" s="1027"/>
      <c r="Z56" s="1027"/>
      <c r="AA56" s="1027"/>
      <c r="AB56" s="1027"/>
      <c r="AC56" s="1027"/>
      <c r="AD56" s="1028"/>
      <c r="AE56" s="1028"/>
      <c r="AF56" s="1423"/>
      <c r="AG56" s="1417"/>
      <c r="AH56" s="1028"/>
      <c r="AI56" s="1028"/>
      <c r="AJ56" s="1028"/>
      <c r="AK56" s="1417"/>
      <c r="AL56" s="1417"/>
      <c r="AM56" s="1417"/>
      <c r="AN56" s="1028"/>
      <c r="AO56" s="1028"/>
      <c r="AP56" s="1028"/>
      <c r="AQ56" s="1028"/>
      <c r="AR56" s="1028"/>
      <c r="AS56" s="1028"/>
      <c r="AT56" s="1028"/>
      <c r="AU56" s="1028"/>
      <c r="AV56" s="1417"/>
      <c r="AW56" s="1423"/>
      <c r="AX56" s="1028"/>
      <c r="AY56" s="1028"/>
      <c r="AZ56" s="1028"/>
      <c r="BA56" s="1028"/>
      <c r="BB56" s="1028"/>
      <c r="BC56" s="1028"/>
      <c r="BD56" s="1028"/>
      <c r="BE56" s="1028"/>
      <c r="BF56" s="1028"/>
      <c r="BG56" s="1028"/>
      <c r="BH56" s="1028"/>
      <c r="BI56" s="1028">
        <f>BJ56+BK56</f>
        <v>13636689.800000001</v>
      </c>
      <c r="BJ56" s="1029">
        <f>Отчет!J180+Отчет!J195+Отчет!J196</f>
        <v>11917793.600000001</v>
      </c>
      <c r="BK56" s="1028">
        <f>Отчет!J201+Отчет!J230+Отчет!J214+Отчет!J217</f>
        <v>1718896.2</v>
      </c>
      <c r="BL56" s="1028"/>
      <c r="BM56" s="1028">
        <f>'FS-HF2'!I27-'АФН страх'!T24</f>
        <v>-10216773</v>
      </c>
      <c r="BN56" s="1028"/>
      <c r="BO56" s="1028"/>
      <c r="BP56" s="1028"/>
      <c r="BQ56" s="1028"/>
      <c r="BR56" s="1028"/>
      <c r="BS56" s="1028"/>
      <c r="BT56" s="1028"/>
      <c r="BU56" s="1028"/>
      <c r="BV56" s="1028"/>
      <c r="BW56" s="1028"/>
      <c r="BX56" s="1028"/>
      <c r="BY56" s="1027"/>
      <c r="BZ56" s="1028"/>
      <c r="CA56" s="1142">
        <f t="shared" si="2"/>
        <v>17056606.600000001</v>
      </c>
      <c r="CB56" s="1153"/>
      <c r="CC56" s="1134"/>
      <c r="CD56" s="1134"/>
      <c r="CE56" s="1134"/>
      <c r="CF56" s="1134"/>
      <c r="CG56" s="1134"/>
      <c r="CH56" s="1134"/>
      <c r="CI56" s="1134"/>
      <c r="CJ56" s="1134"/>
      <c r="CK56" s="1134"/>
      <c r="CL56" s="1134"/>
      <c r="CM56" s="1134"/>
      <c r="CN56" s="1134"/>
      <c r="CO56" s="1134"/>
      <c r="CP56" s="1134"/>
      <c r="CQ56" s="1134"/>
      <c r="CR56" s="1134"/>
      <c r="CS56" s="1134"/>
      <c r="CT56" s="1134"/>
      <c r="CU56" s="1134"/>
      <c r="CV56" s="1134"/>
      <c r="CW56" s="1134"/>
      <c r="CX56" s="1134"/>
      <c r="CY56" s="1134"/>
      <c r="CZ56" s="1134"/>
      <c r="DA56" s="1134"/>
      <c r="DB56" s="1134"/>
      <c r="DC56" s="1134"/>
      <c r="DD56" s="1134"/>
      <c r="DE56" s="1134"/>
      <c r="DF56" s="1134"/>
      <c r="DG56" s="1134"/>
      <c r="DH56" s="1134"/>
      <c r="DI56" s="1134"/>
      <c r="DJ56" s="1134"/>
      <c r="DK56" s="1134"/>
      <c r="DL56" s="1134"/>
      <c r="DM56" s="1134"/>
      <c r="DN56" s="1134"/>
      <c r="DO56" s="1134"/>
      <c r="DP56" s="1134"/>
      <c r="DQ56" s="1134"/>
      <c r="DR56" s="1134"/>
      <c r="DS56" s="1134"/>
      <c r="DT56" s="1134"/>
      <c r="DU56" s="1134"/>
      <c r="DV56" s="1134"/>
      <c r="DW56" s="1134"/>
      <c r="DX56" s="1134"/>
      <c r="DY56" s="1134"/>
      <c r="DZ56" s="1147"/>
    </row>
    <row r="57" spans="1:137" s="834" customFormat="1" ht="39.950000000000003" customHeight="1">
      <c r="A57" s="926" t="s">
        <v>240</v>
      </c>
      <c r="B57" s="927" t="s">
        <v>239</v>
      </c>
      <c r="C57" s="1030"/>
      <c r="D57" s="1406"/>
      <c r="E57" s="1030"/>
      <c r="F57" s="1030"/>
      <c r="G57" s="1030"/>
      <c r="H57" s="1406"/>
      <c r="I57" s="1030"/>
      <c r="J57" s="1030"/>
      <c r="K57" s="1406"/>
      <c r="L57" s="1030"/>
      <c r="M57" s="1030"/>
      <c r="N57" s="1030"/>
      <c r="O57" s="1030"/>
      <c r="P57" s="1030"/>
      <c r="Q57" s="1030"/>
      <c r="R57" s="1030"/>
      <c r="S57" s="1030"/>
      <c r="T57" s="1030"/>
      <c r="U57" s="1030"/>
      <c r="V57" s="1030"/>
      <c r="W57" s="1030"/>
      <c r="X57" s="1394"/>
      <c r="Y57" s="1030"/>
      <c r="Z57" s="1030"/>
      <c r="AA57" s="1030"/>
      <c r="AB57" s="1030"/>
      <c r="AC57" s="1030"/>
      <c r="AD57" s="1035"/>
      <c r="AE57" s="1035"/>
      <c r="AF57" s="1423"/>
      <c r="AG57" s="1417"/>
      <c r="AH57" s="1035"/>
      <c r="AI57" s="1035"/>
      <c r="AJ57" s="1035"/>
      <c r="AK57" s="1417"/>
      <c r="AL57" s="1417"/>
      <c r="AM57" s="1417"/>
      <c r="AN57" s="1035"/>
      <c r="AO57" s="1035"/>
      <c r="AP57" s="1035"/>
      <c r="AQ57" s="1035"/>
      <c r="AR57" s="1035"/>
      <c r="AS57" s="1035"/>
      <c r="AT57" s="1035"/>
      <c r="AU57" s="1035"/>
      <c r="AV57" s="1417"/>
      <c r="AW57" s="1423"/>
      <c r="AX57" s="1035"/>
      <c r="AY57" s="1035"/>
      <c r="AZ57" s="1035"/>
      <c r="BA57" s="1035"/>
      <c r="BB57" s="1035"/>
      <c r="BC57" s="1035"/>
      <c r="BD57" s="1035"/>
      <c r="BE57" s="1035"/>
      <c r="BF57" s="1035"/>
      <c r="BG57" s="1035"/>
      <c r="BH57" s="1035"/>
      <c r="BI57" s="1035"/>
      <c r="BJ57" s="1035"/>
      <c r="BK57" s="1035"/>
      <c r="BL57" s="1035"/>
      <c r="BM57" s="1035">
        <f>'HF-HP2'!Z63</f>
        <v>0</v>
      </c>
      <c r="BN57" s="1035"/>
      <c r="BO57" s="1035"/>
      <c r="BP57" s="1035"/>
      <c r="BQ57" s="1035"/>
      <c r="BR57" s="1035"/>
      <c r="BS57" s="1035"/>
      <c r="BT57" s="1035"/>
      <c r="BU57" s="1035"/>
      <c r="BV57" s="1035"/>
      <c r="BW57" s="1035"/>
      <c r="BX57" s="1035"/>
      <c r="BY57" s="1030"/>
      <c r="BZ57" s="1035"/>
      <c r="CA57" s="1142">
        <f t="shared" si="2"/>
        <v>0</v>
      </c>
      <c r="CB57" s="1153"/>
      <c r="CC57" s="1134"/>
      <c r="CD57" s="1134"/>
      <c r="CE57" s="1134"/>
      <c r="CF57" s="1134"/>
      <c r="CG57" s="1134"/>
      <c r="CH57" s="1134"/>
      <c r="CI57" s="1134"/>
      <c r="CJ57" s="1134"/>
      <c r="CK57" s="1134"/>
      <c r="CL57" s="1134"/>
      <c r="CM57" s="1134"/>
      <c r="CN57" s="1134"/>
      <c r="CO57" s="1134"/>
      <c r="CP57" s="1134"/>
      <c r="CQ57" s="1134"/>
      <c r="CR57" s="1134"/>
      <c r="CS57" s="1134"/>
      <c r="CT57" s="1134"/>
      <c r="CU57" s="1134"/>
      <c r="CV57" s="1134"/>
      <c r="CW57" s="1134"/>
      <c r="CX57" s="1134"/>
      <c r="CY57" s="1134"/>
      <c r="CZ57" s="1134"/>
      <c r="DA57" s="1134"/>
      <c r="DB57" s="1134"/>
      <c r="DC57" s="1134"/>
      <c r="DD57" s="1134"/>
      <c r="DE57" s="1134"/>
      <c r="DF57" s="1134"/>
      <c r="DG57" s="1134"/>
      <c r="DH57" s="1134"/>
      <c r="DI57" s="1134"/>
      <c r="DJ57" s="1134"/>
      <c r="DK57" s="1134"/>
      <c r="DL57" s="1134"/>
      <c r="DM57" s="1134"/>
      <c r="DN57" s="1134"/>
      <c r="DO57" s="1134"/>
      <c r="DP57" s="1134"/>
      <c r="DQ57" s="1134"/>
      <c r="DR57" s="1134"/>
      <c r="DS57" s="1134"/>
      <c r="DT57" s="1134"/>
      <c r="DU57" s="1134"/>
      <c r="DV57" s="1134"/>
      <c r="DW57" s="1134"/>
      <c r="DX57" s="1134"/>
      <c r="DY57" s="1134"/>
      <c r="DZ57" s="1147"/>
    </row>
    <row r="58" spans="1:137" s="834" customFormat="1" ht="47.25">
      <c r="A58" s="923" t="s">
        <v>241</v>
      </c>
      <c r="B58" s="924" t="s">
        <v>242</v>
      </c>
      <c r="C58" s="1032"/>
      <c r="D58" s="1406"/>
      <c r="E58" s="1032"/>
      <c r="F58" s="1032"/>
      <c r="G58" s="1032"/>
      <c r="H58" s="1406"/>
      <c r="I58" s="1032"/>
      <c r="J58" s="1032"/>
      <c r="K58" s="1406"/>
      <c r="L58" s="1032"/>
      <c r="M58" s="1032"/>
      <c r="N58" s="1032"/>
      <c r="O58" s="1032"/>
      <c r="P58" s="1032"/>
      <c r="Q58" s="1032"/>
      <c r="R58" s="1032"/>
      <c r="S58" s="1032"/>
      <c r="T58" s="1032"/>
      <c r="U58" s="1032"/>
      <c r="V58" s="1032"/>
      <c r="W58" s="1032"/>
      <c r="X58" s="1394"/>
      <c r="Y58" s="1032"/>
      <c r="Z58" s="1032"/>
      <c r="AA58" s="1032"/>
      <c r="AB58" s="1032"/>
      <c r="AC58" s="1032"/>
      <c r="AD58" s="1033"/>
      <c r="AE58" s="1033"/>
      <c r="AF58" s="1423"/>
      <c r="AG58" s="1417"/>
      <c r="AH58" s="1033"/>
      <c r="AI58" s="1033"/>
      <c r="AJ58" s="1033"/>
      <c r="AK58" s="1417"/>
      <c r="AL58" s="1417"/>
      <c r="AM58" s="1417"/>
      <c r="AN58" s="1033"/>
      <c r="AO58" s="1033"/>
      <c r="AP58" s="1033"/>
      <c r="AQ58" s="1033"/>
      <c r="AR58" s="1033"/>
      <c r="AS58" s="1033"/>
      <c r="AT58" s="1033"/>
      <c r="AU58" s="1033"/>
      <c r="AV58" s="1417"/>
      <c r="AW58" s="1423"/>
      <c r="AX58" s="1033"/>
      <c r="AY58" s="1033"/>
      <c r="AZ58" s="1033"/>
      <c r="BA58" s="1033"/>
      <c r="BB58" s="1033"/>
      <c r="BC58" s="1033"/>
      <c r="BD58" s="1033"/>
      <c r="BE58" s="1033"/>
      <c r="BF58" s="1033"/>
      <c r="BG58" s="1033"/>
      <c r="BH58" s="1033"/>
      <c r="BI58" s="1033"/>
      <c r="BJ58" s="806"/>
      <c r="BK58" s="1033"/>
      <c r="BL58" s="1033"/>
      <c r="BM58" s="1033"/>
      <c r="BN58" s="1033"/>
      <c r="BO58" s="1033"/>
      <c r="BP58" s="1033"/>
      <c r="BQ58" s="1033"/>
      <c r="BR58" s="1033"/>
      <c r="BS58" s="1033"/>
      <c r="BT58" s="1033"/>
      <c r="BU58" s="1033"/>
      <c r="BV58" s="1033"/>
      <c r="BW58" s="1033"/>
      <c r="BX58" s="1033"/>
      <c r="BY58" s="1032"/>
      <c r="BZ58" s="1033"/>
      <c r="CA58" s="1142">
        <f t="shared" si="2"/>
        <v>0</v>
      </c>
      <c r="CB58" s="1153"/>
      <c r="CC58" s="1134"/>
      <c r="CD58" s="1134"/>
      <c r="CE58" s="1134"/>
      <c r="CF58" s="1134"/>
      <c r="CG58" s="1134"/>
      <c r="CH58" s="1134"/>
      <c r="CI58" s="1134"/>
      <c r="CJ58" s="1134"/>
      <c r="CK58" s="1134"/>
      <c r="CL58" s="1134"/>
      <c r="CM58" s="1134"/>
      <c r="CN58" s="1134"/>
      <c r="CO58" s="1134"/>
      <c r="CP58" s="1134"/>
      <c r="CQ58" s="1134"/>
      <c r="CR58" s="1134"/>
      <c r="CS58" s="1134"/>
      <c r="CT58" s="1134"/>
      <c r="CU58" s="1134"/>
      <c r="CV58" s="1134"/>
      <c r="CW58" s="1134"/>
      <c r="CX58" s="1134"/>
      <c r="CY58" s="1134"/>
      <c r="CZ58" s="1134"/>
      <c r="DA58" s="1134"/>
      <c r="DB58" s="1134"/>
      <c r="DC58" s="1134"/>
      <c r="DD58" s="1134"/>
      <c r="DE58" s="1134"/>
      <c r="DF58" s="1134"/>
      <c r="DG58" s="1134"/>
      <c r="DH58" s="1134"/>
      <c r="DI58" s="1134"/>
      <c r="DJ58" s="1134"/>
      <c r="DK58" s="1134"/>
      <c r="DL58" s="1134"/>
      <c r="DM58" s="1134"/>
      <c r="DN58" s="1134"/>
      <c r="DO58" s="1134"/>
      <c r="DP58" s="1134"/>
      <c r="DQ58" s="1134"/>
      <c r="DR58" s="1134"/>
      <c r="DS58" s="1134"/>
      <c r="DT58" s="1134"/>
      <c r="DU58" s="1134"/>
      <c r="DV58" s="1134"/>
      <c r="DW58" s="1134"/>
      <c r="DX58" s="1134"/>
      <c r="DY58" s="1134"/>
      <c r="DZ58" s="1147"/>
    </row>
    <row r="59" spans="1:137" s="834" customFormat="1" ht="47.25">
      <c r="A59" s="923" t="s">
        <v>243</v>
      </c>
      <c r="B59" s="924" t="s">
        <v>244</v>
      </c>
      <c r="C59" s="1032"/>
      <c r="D59" s="1406"/>
      <c r="E59" s="1032"/>
      <c r="F59" s="1032"/>
      <c r="G59" s="1032"/>
      <c r="H59" s="1406"/>
      <c r="I59" s="1032"/>
      <c r="J59" s="1032"/>
      <c r="K59" s="1406"/>
      <c r="L59" s="1032"/>
      <c r="M59" s="1032"/>
      <c r="N59" s="1032"/>
      <c r="O59" s="1032"/>
      <c r="P59" s="1032"/>
      <c r="Q59" s="1032"/>
      <c r="R59" s="1032"/>
      <c r="S59" s="1032"/>
      <c r="T59" s="1032"/>
      <c r="U59" s="1032"/>
      <c r="V59" s="1032"/>
      <c r="W59" s="1032"/>
      <c r="X59" s="1394"/>
      <c r="Y59" s="1032"/>
      <c r="Z59" s="1032"/>
      <c r="AA59" s="1032"/>
      <c r="AB59" s="1032"/>
      <c r="AC59" s="1032"/>
      <c r="AD59" s="1033"/>
      <c r="AE59" s="1033"/>
      <c r="AF59" s="1423"/>
      <c r="AG59" s="1417"/>
      <c r="AH59" s="1033"/>
      <c r="AI59" s="1033"/>
      <c r="AJ59" s="1033"/>
      <c r="AK59" s="1417"/>
      <c r="AL59" s="1417"/>
      <c r="AM59" s="1417"/>
      <c r="AN59" s="1033"/>
      <c r="AO59" s="1033"/>
      <c r="AP59" s="1033"/>
      <c r="AQ59" s="1033"/>
      <c r="AR59" s="1033"/>
      <c r="AS59" s="1033"/>
      <c r="AT59" s="1033"/>
      <c r="AU59" s="1033"/>
      <c r="AV59" s="1417"/>
      <c r="AW59" s="1423"/>
      <c r="AX59" s="1033"/>
      <c r="AY59" s="1033"/>
      <c r="AZ59" s="1033"/>
      <c r="BA59" s="1033"/>
      <c r="BB59" s="1033"/>
      <c r="BC59" s="1033"/>
      <c r="BD59" s="1033"/>
      <c r="BE59" s="1033"/>
      <c r="BF59" s="1033"/>
      <c r="BG59" s="1033"/>
      <c r="BH59" s="1033"/>
      <c r="BI59" s="1033"/>
      <c r="BJ59" s="1033"/>
      <c r="BK59" s="1033"/>
      <c r="BL59" s="1033"/>
      <c r="BM59" s="1033"/>
      <c r="BN59" s="1033"/>
      <c r="BO59" s="1033"/>
      <c r="BP59" s="1033"/>
      <c r="BQ59" s="1033"/>
      <c r="BR59" s="1033"/>
      <c r="BS59" s="1033"/>
      <c r="BT59" s="1033"/>
      <c r="BU59" s="1033"/>
      <c r="BV59" s="1033"/>
      <c r="BW59" s="1033"/>
      <c r="BX59" s="1033"/>
      <c r="BY59" s="1032"/>
      <c r="BZ59" s="1033"/>
      <c r="CA59" s="1142">
        <f t="shared" si="2"/>
        <v>0</v>
      </c>
      <c r="CB59" s="1153"/>
      <c r="CC59" s="1134"/>
      <c r="CD59" s="1134"/>
      <c r="CE59" s="1134"/>
      <c r="CF59" s="1134"/>
      <c r="CG59" s="1134"/>
      <c r="CH59" s="1134"/>
      <c r="CI59" s="1134"/>
      <c r="CJ59" s="1134"/>
      <c r="CK59" s="1134"/>
      <c r="CL59" s="1134"/>
      <c r="CM59" s="1134"/>
      <c r="CN59" s="1134"/>
      <c r="CO59" s="1134"/>
      <c r="CP59" s="1134"/>
      <c r="CQ59" s="1134"/>
      <c r="CR59" s="1134"/>
      <c r="CS59" s="1134"/>
      <c r="CT59" s="1134"/>
      <c r="CU59" s="1134"/>
      <c r="CV59" s="1134"/>
      <c r="CW59" s="1134"/>
      <c r="CX59" s="1134"/>
      <c r="CY59" s="1134"/>
      <c r="CZ59" s="1134"/>
      <c r="DA59" s="1134"/>
      <c r="DB59" s="1134"/>
      <c r="DC59" s="1134"/>
      <c r="DD59" s="1134"/>
      <c r="DE59" s="1134"/>
      <c r="DF59" s="1134"/>
      <c r="DG59" s="1134"/>
      <c r="DH59" s="1134"/>
      <c r="DI59" s="1134"/>
      <c r="DJ59" s="1134"/>
      <c r="DK59" s="1134"/>
      <c r="DL59" s="1134"/>
      <c r="DM59" s="1134"/>
      <c r="DN59" s="1134"/>
      <c r="DO59" s="1134"/>
      <c r="DP59" s="1134"/>
      <c r="DQ59" s="1134"/>
      <c r="DR59" s="1134"/>
      <c r="DS59" s="1134"/>
      <c r="DT59" s="1134"/>
      <c r="DU59" s="1134"/>
      <c r="DV59" s="1134"/>
      <c r="DW59" s="1134"/>
      <c r="DX59" s="1134"/>
      <c r="DY59" s="1134"/>
      <c r="DZ59" s="1147"/>
    </row>
    <row r="60" spans="1:137" s="834" customFormat="1" ht="60" customHeight="1">
      <c r="A60" s="923" t="s">
        <v>245</v>
      </c>
      <c r="B60" s="924" t="s">
        <v>246</v>
      </c>
      <c r="C60" s="1032"/>
      <c r="D60" s="1406"/>
      <c r="E60" s="1032"/>
      <c r="F60" s="1032"/>
      <c r="G60" s="1032"/>
      <c r="H60" s="1406"/>
      <c r="I60" s="1032"/>
      <c r="J60" s="1032"/>
      <c r="K60" s="1406"/>
      <c r="L60" s="1032"/>
      <c r="M60" s="1032"/>
      <c r="N60" s="1032"/>
      <c r="O60" s="1032"/>
      <c r="P60" s="1032"/>
      <c r="Q60" s="1032"/>
      <c r="R60" s="1032"/>
      <c r="S60" s="1032"/>
      <c r="T60" s="1032"/>
      <c r="U60" s="1032"/>
      <c r="V60" s="1032"/>
      <c r="W60" s="1032"/>
      <c r="X60" s="1394"/>
      <c r="Y60" s="1032"/>
      <c r="Z60" s="1032"/>
      <c r="AA60" s="1032"/>
      <c r="AB60" s="1032"/>
      <c r="AC60" s="1032"/>
      <c r="AD60" s="1033"/>
      <c r="AE60" s="1033"/>
      <c r="AF60" s="1423"/>
      <c r="AG60" s="1417"/>
      <c r="AH60" s="1033"/>
      <c r="AI60" s="1033"/>
      <c r="AJ60" s="1033"/>
      <c r="AK60" s="1417"/>
      <c r="AL60" s="1417"/>
      <c r="AM60" s="1417"/>
      <c r="AN60" s="1033"/>
      <c r="AO60" s="1033"/>
      <c r="AP60" s="1033"/>
      <c r="AQ60" s="1033"/>
      <c r="AR60" s="1033"/>
      <c r="AS60" s="1033"/>
      <c r="AT60" s="1033"/>
      <c r="AU60" s="1033"/>
      <c r="AV60" s="1417"/>
      <c r="AW60" s="1423"/>
      <c r="AX60" s="1033"/>
      <c r="AY60" s="1033"/>
      <c r="AZ60" s="1033"/>
      <c r="BA60" s="1033"/>
      <c r="BB60" s="1033"/>
      <c r="BC60" s="1033"/>
      <c r="BD60" s="1033"/>
      <c r="BE60" s="1033"/>
      <c r="BF60" s="1033"/>
      <c r="BG60" s="1033"/>
      <c r="BH60" s="1033"/>
      <c r="BI60" s="1033"/>
      <c r="BJ60" s="1033"/>
      <c r="BK60" s="806"/>
      <c r="BL60" s="1033"/>
      <c r="BM60" s="1033"/>
      <c r="BN60" s="1033"/>
      <c r="BO60" s="1033"/>
      <c r="BP60" s="1033"/>
      <c r="BQ60" s="1033"/>
      <c r="BR60" s="1033"/>
      <c r="BS60" s="1033"/>
      <c r="BT60" s="1033"/>
      <c r="BU60" s="1033"/>
      <c r="BV60" s="1033"/>
      <c r="BW60" s="1033"/>
      <c r="BX60" s="1033"/>
      <c r="BY60" s="1032"/>
      <c r="BZ60" s="1033"/>
      <c r="CA60" s="1142">
        <f t="shared" si="2"/>
        <v>0</v>
      </c>
      <c r="CB60" s="1153"/>
      <c r="CC60" s="1134"/>
      <c r="CD60" s="1134"/>
      <c r="CE60" s="1134"/>
      <c r="CF60" s="1134"/>
      <c r="CG60" s="1134"/>
      <c r="CH60" s="1134"/>
      <c r="CI60" s="1134"/>
      <c r="CJ60" s="1134"/>
      <c r="CK60" s="1134"/>
      <c r="CL60" s="1134"/>
      <c r="CM60" s="1134"/>
      <c r="CN60" s="1134"/>
      <c r="CO60" s="1134"/>
      <c r="CP60" s="1134"/>
      <c r="CQ60" s="1134"/>
      <c r="CR60" s="1134"/>
      <c r="CS60" s="1134"/>
      <c r="CT60" s="1134"/>
      <c r="CU60" s="1134"/>
      <c r="CV60" s="1134"/>
      <c r="CW60" s="1134"/>
      <c r="CX60" s="1134"/>
      <c r="CY60" s="1134"/>
      <c r="CZ60" s="1134"/>
      <c r="DA60" s="1134"/>
      <c r="DB60" s="1134"/>
      <c r="DC60" s="1134"/>
      <c r="DD60" s="1134"/>
      <c r="DE60" s="1134"/>
      <c r="DF60" s="1134"/>
      <c r="DG60" s="1134"/>
      <c r="DH60" s="1134"/>
      <c r="DI60" s="1134"/>
      <c r="DJ60" s="1134"/>
      <c r="DK60" s="1134"/>
      <c r="DL60" s="1134"/>
      <c r="DM60" s="1134"/>
      <c r="DN60" s="1134"/>
      <c r="DO60" s="1134"/>
      <c r="DP60" s="1134"/>
      <c r="DQ60" s="1134"/>
      <c r="DR60" s="1134"/>
      <c r="DS60" s="1134"/>
      <c r="DT60" s="1134"/>
      <c r="DU60" s="1134"/>
      <c r="DV60" s="1134"/>
      <c r="DW60" s="1134"/>
      <c r="DX60" s="1134"/>
      <c r="DY60" s="1134"/>
      <c r="DZ60" s="1147"/>
    </row>
    <row r="61" spans="1:137" s="834" customFormat="1" ht="39.950000000000003" customHeight="1">
      <c r="A61" s="923" t="s">
        <v>247</v>
      </c>
      <c r="B61" s="924" t="s">
        <v>248</v>
      </c>
      <c r="C61" s="1032"/>
      <c r="D61" s="1406"/>
      <c r="E61" s="1032"/>
      <c r="F61" s="1032"/>
      <c r="G61" s="1032"/>
      <c r="H61" s="1406"/>
      <c r="I61" s="1032"/>
      <c r="J61" s="1032"/>
      <c r="K61" s="1406"/>
      <c r="L61" s="1032"/>
      <c r="M61" s="1032"/>
      <c r="N61" s="1032"/>
      <c r="O61" s="1032"/>
      <c r="P61" s="1032"/>
      <c r="Q61" s="1032"/>
      <c r="R61" s="1032"/>
      <c r="S61" s="1032"/>
      <c r="T61" s="1032"/>
      <c r="U61" s="1032"/>
      <c r="V61" s="1032"/>
      <c r="W61" s="1032"/>
      <c r="X61" s="1394"/>
      <c r="Y61" s="1032"/>
      <c r="Z61" s="1032"/>
      <c r="AA61" s="1032"/>
      <c r="AB61" s="1032"/>
      <c r="AC61" s="1032"/>
      <c r="AD61" s="1033"/>
      <c r="AE61" s="1033"/>
      <c r="AF61" s="1423"/>
      <c r="AG61" s="1417"/>
      <c r="AH61" s="1033"/>
      <c r="AI61" s="1033"/>
      <c r="AJ61" s="1033"/>
      <c r="AK61" s="1417"/>
      <c r="AL61" s="1417"/>
      <c r="AM61" s="1417"/>
      <c r="AN61" s="1033"/>
      <c r="AO61" s="1033"/>
      <c r="AP61" s="1033"/>
      <c r="AQ61" s="1033"/>
      <c r="AR61" s="1033"/>
      <c r="AS61" s="1033"/>
      <c r="AT61" s="1033"/>
      <c r="AU61" s="1033"/>
      <c r="AV61" s="1417"/>
      <c r="AW61" s="1423"/>
      <c r="AX61" s="1033"/>
      <c r="AY61" s="1033"/>
      <c r="AZ61" s="1033"/>
      <c r="BA61" s="1033"/>
      <c r="BB61" s="1033"/>
      <c r="BC61" s="1033"/>
      <c r="BD61" s="1033"/>
      <c r="BE61" s="1033"/>
      <c r="BF61" s="1038"/>
      <c r="BG61" s="1033"/>
      <c r="BH61" s="1033"/>
      <c r="BI61" s="1033"/>
      <c r="BJ61" s="806"/>
      <c r="BK61" s="1033"/>
      <c r="BL61" s="1033"/>
      <c r="BM61" s="1033"/>
      <c r="BN61" s="1033"/>
      <c r="BO61" s="1033"/>
      <c r="BP61" s="1033"/>
      <c r="BQ61" s="1033"/>
      <c r="BR61" s="1033"/>
      <c r="BS61" s="1033"/>
      <c r="BT61" s="1033"/>
      <c r="BU61" s="1033"/>
      <c r="BV61" s="1033"/>
      <c r="BW61" s="1033"/>
      <c r="BX61" s="1032">
        <f>Отчет!J192</f>
        <v>2557219</v>
      </c>
      <c r="BY61" s="1032"/>
      <c r="BZ61" s="1033"/>
      <c r="CA61" s="1142">
        <f t="shared" si="2"/>
        <v>2557219</v>
      </c>
      <c r="CB61" s="1153"/>
      <c r="CC61" s="1134"/>
      <c r="CD61" s="1134"/>
      <c r="CE61" s="1134"/>
      <c r="CF61" s="1134"/>
      <c r="CG61" s="1134"/>
      <c r="CH61" s="1134"/>
      <c r="CI61" s="1134"/>
      <c r="CJ61" s="1134"/>
      <c r="CK61" s="1134"/>
      <c r="CL61" s="1134"/>
      <c r="CM61" s="1134"/>
      <c r="CN61" s="1134"/>
      <c r="CO61" s="1134"/>
      <c r="CP61" s="1134"/>
      <c r="CQ61" s="1134"/>
      <c r="CR61" s="1134"/>
      <c r="CS61" s="1134"/>
      <c r="CT61" s="1134"/>
      <c r="CU61" s="1134"/>
      <c r="CV61" s="1134"/>
      <c r="CW61" s="1134"/>
      <c r="CX61" s="1134"/>
      <c r="CY61" s="1134"/>
      <c r="CZ61" s="1134"/>
      <c r="DA61" s="1134"/>
      <c r="DB61" s="1134"/>
      <c r="DC61" s="1134"/>
      <c r="DD61" s="1134"/>
      <c r="DE61" s="1134"/>
      <c r="DF61" s="1134"/>
      <c r="DG61" s="1134"/>
      <c r="DH61" s="1134"/>
      <c r="DI61" s="1134"/>
      <c r="DJ61" s="1134"/>
      <c r="DK61" s="1134"/>
      <c r="DL61" s="1134"/>
      <c r="DM61" s="1134"/>
      <c r="DN61" s="1134"/>
      <c r="DO61" s="1134"/>
      <c r="DP61" s="1134"/>
      <c r="DQ61" s="1134"/>
      <c r="DR61" s="1134"/>
      <c r="DS61" s="1134"/>
      <c r="DT61" s="1134"/>
      <c r="DU61" s="1134"/>
      <c r="DV61" s="1134"/>
      <c r="DW61" s="1134"/>
      <c r="DX61" s="1134"/>
      <c r="DY61" s="1134"/>
      <c r="DZ61" s="1147"/>
    </row>
    <row r="62" spans="1:137" s="805" customFormat="1" ht="39.950000000000003" customHeight="1">
      <c r="A62" s="926" t="s">
        <v>249</v>
      </c>
      <c r="B62" s="927" t="s">
        <v>250</v>
      </c>
      <c r="C62" s="1030"/>
      <c r="D62" s="1406"/>
      <c r="E62" s="1030"/>
      <c r="F62" s="1030"/>
      <c r="G62" s="1030"/>
      <c r="H62" s="1406"/>
      <c r="I62" s="1030"/>
      <c r="J62" s="1030"/>
      <c r="K62" s="1406"/>
      <c r="L62" s="1030"/>
      <c r="M62" s="1030"/>
      <c r="N62" s="1030"/>
      <c r="O62" s="1030"/>
      <c r="P62" s="1030"/>
      <c r="Q62" s="1030"/>
      <c r="R62" s="1030"/>
      <c r="S62" s="1030"/>
      <c r="T62" s="1030"/>
      <c r="U62" s="1030"/>
      <c r="V62" s="1030"/>
      <c r="W62" s="1030"/>
      <c r="X62" s="1394"/>
      <c r="Y62" s="1030"/>
      <c r="Z62" s="1030"/>
      <c r="AA62" s="1030"/>
      <c r="AB62" s="1030"/>
      <c r="AC62" s="1030"/>
      <c r="AD62" s="1035"/>
      <c r="AE62" s="1035"/>
      <c r="AF62" s="1423"/>
      <c r="AG62" s="1417"/>
      <c r="AH62" s="1035"/>
      <c r="AI62" s="1035"/>
      <c r="AJ62" s="1035"/>
      <c r="AK62" s="1417"/>
      <c r="AL62" s="1417"/>
      <c r="AM62" s="1417"/>
      <c r="AN62" s="1035"/>
      <c r="AO62" s="1035"/>
      <c r="AP62" s="1035"/>
      <c r="AQ62" s="1035"/>
      <c r="AR62" s="1035"/>
      <c r="AS62" s="1035"/>
      <c r="AT62" s="1035"/>
      <c r="AU62" s="1035"/>
      <c r="AV62" s="1417"/>
      <c r="AW62" s="1423"/>
      <c r="AX62" s="1035"/>
      <c r="AY62" s="1035"/>
      <c r="AZ62" s="1035"/>
      <c r="BA62" s="1035"/>
      <c r="BB62" s="1035"/>
      <c r="BC62" s="1035"/>
      <c r="BD62" s="1035"/>
      <c r="BE62" s="1035"/>
      <c r="BF62" s="1035"/>
      <c r="BG62" s="1035"/>
      <c r="BH62" s="1035"/>
      <c r="BI62" s="1035"/>
      <c r="BJ62" s="1030"/>
      <c r="BK62" s="1035"/>
      <c r="BL62" s="1035"/>
      <c r="BM62" s="1035">
        <f>'АФН страх'!T24</f>
        <v>10216773</v>
      </c>
      <c r="BN62" s="1035"/>
      <c r="BO62" s="1035"/>
      <c r="BP62" s="1035"/>
      <c r="BQ62" s="1035"/>
      <c r="BR62" s="1035"/>
      <c r="BS62" s="1035"/>
      <c r="BT62" s="1035"/>
      <c r="BU62" s="1035"/>
      <c r="BV62" s="1035"/>
      <c r="BW62" s="1035"/>
      <c r="BX62" s="1035"/>
      <c r="BY62" s="1030"/>
      <c r="BZ62" s="1035"/>
      <c r="CA62" s="1142">
        <v>0</v>
      </c>
      <c r="CB62" s="1153"/>
      <c r="CC62" s="1134"/>
      <c r="CD62" s="1134"/>
      <c r="CE62" s="1134"/>
      <c r="CF62" s="1134"/>
      <c r="CG62" s="1134"/>
      <c r="CH62" s="1134"/>
      <c r="CI62" s="1134"/>
      <c r="CJ62" s="1134"/>
      <c r="CK62" s="1134"/>
      <c r="CL62" s="1134"/>
      <c r="CM62" s="1134"/>
      <c r="CN62" s="1134"/>
      <c r="CO62" s="1134"/>
      <c r="CP62" s="1134"/>
      <c r="CQ62" s="1134"/>
      <c r="CR62" s="1134"/>
      <c r="CS62" s="1134"/>
      <c r="CT62" s="1134"/>
      <c r="CU62" s="1134"/>
      <c r="CV62" s="1134"/>
      <c r="CW62" s="1134"/>
      <c r="CX62" s="1134"/>
      <c r="CY62" s="1134"/>
      <c r="CZ62" s="1134"/>
      <c r="DA62" s="1134"/>
      <c r="DB62" s="1134"/>
      <c r="DC62" s="1134"/>
      <c r="DD62" s="1134"/>
      <c r="DE62" s="1134"/>
      <c r="DF62" s="1134"/>
      <c r="DG62" s="1134"/>
      <c r="DH62" s="1134"/>
      <c r="DI62" s="1134"/>
      <c r="DJ62" s="1134"/>
      <c r="DK62" s="1134"/>
      <c r="DL62" s="1134"/>
      <c r="DM62" s="1134"/>
      <c r="DN62" s="1134"/>
      <c r="DO62" s="1134"/>
      <c r="DP62" s="1134"/>
      <c r="DQ62" s="1134"/>
      <c r="DR62" s="1134"/>
      <c r="DS62" s="1134"/>
      <c r="DT62" s="1134"/>
      <c r="DU62" s="1134"/>
      <c r="DV62" s="1134"/>
      <c r="DW62" s="1134"/>
      <c r="DX62" s="1134"/>
      <c r="DY62" s="1134"/>
      <c r="DZ62" s="1147"/>
      <c r="EA62" s="834"/>
      <c r="EB62" s="834"/>
      <c r="EC62" s="834"/>
      <c r="ED62" s="834"/>
      <c r="EE62" s="834"/>
      <c r="EF62" s="834"/>
      <c r="EG62" s="834"/>
    </row>
    <row r="63" spans="1:137" s="805" customFormat="1" ht="39.950000000000003" customHeight="1">
      <c r="A63" s="925" t="s">
        <v>252</v>
      </c>
      <c r="B63" s="925" t="s">
        <v>253</v>
      </c>
      <c r="C63" s="1030"/>
      <c r="D63" s="1406"/>
      <c r="E63" s="1030"/>
      <c r="F63" s="1030"/>
      <c r="G63" s="1030"/>
      <c r="H63" s="1406"/>
      <c r="I63" s="1030"/>
      <c r="J63" s="1030"/>
      <c r="K63" s="1406"/>
      <c r="L63" s="1030"/>
      <c r="M63" s="1030"/>
      <c r="N63" s="1030"/>
      <c r="O63" s="1030"/>
      <c r="P63" s="1030"/>
      <c r="Q63" s="1030"/>
      <c r="R63" s="1030"/>
      <c r="S63" s="1030"/>
      <c r="T63" s="1030"/>
      <c r="U63" s="1030"/>
      <c r="V63" s="1030"/>
      <c r="W63" s="1030"/>
      <c r="X63" s="1394"/>
      <c r="Y63" s="1030"/>
      <c r="Z63" s="1030"/>
      <c r="AA63" s="1030"/>
      <c r="AB63" s="1030"/>
      <c r="AC63" s="1030"/>
      <c r="AD63" s="1035"/>
      <c r="AE63" s="1035"/>
      <c r="AF63" s="1423"/>
      <c r="AG63" s="1417"/>
      <c r="AH63" s="1035"/>
      <c r="AI63" s="1035"/>
      <c r="AJ63" s="1035"/>
      <c r="AK63" s="1417"/>
      <c r="AL63" s="1417"/>
      <c r="AM63" s="1417"/>
      <c r="AN63" s="1035"/>
      <c r="AO63" s="1035"/>
      <c r="AP63" s="1035"/>
      <c r="AQ63" s="1035"/>
      <c r="AR63" s="1035"/>
      <c r="AS63" s="1035"/>
      <c r="AT63" s="1035"/>
      <c r="AU63" s="1035"/>
      <c r="AV63" s="1417"/>
      <c r="AW63" s="1423"/>
      <c r="AX63" s="1035"/>
      <c r="AY63" s="1035"/>
      <c r="AZ63" s="1035"/>
      <c r="BA63" s="1035"/>
      <c r="BB63" s="1035"/>
      <c r="BC63" s="1035"/>
      <c r="BD63" s="1035"/>
      <c r="BE63" s="1035"/>
      <c r="BF63" s="1035"/>
      <c r="BG63" s="1035"/>
      <c r="BH63" s="1035"/>
      <c r="BI63" s="1035"/>
      <c r="BJ63" s="1035"/>
      <c r="BK63" s="1035"/>
      <c r="BL63" s="1035"/>
      <c r="BM63" s="1035"/>
      <c r="BN63" s="1035"/>
      <c r="BO63" s="1035"/>
      <c r="BP63" s="1035"/>
      <c r="BQ63" s="1035"/>
      <c r="BR63" s="1035"/>
      <c r="BS63" s="1035"/>
      <c r="BT63" s="1035"/>
      <c r="BU63" s="1035"/>
      <c r="BV63" s="1035"/>
      <c r="BW63" s="1035"/>
      <c r="BX63" s="1030">
        <v>67335.0117895</v>
      </c>
      <c r="BY63" s="1030"/>
      <c r="BZ63" s="1035"/>
      <c r="CA63" s="1142">
        <f t="shared" si="2"/>
        <v>67335.0117895</v>
      </c>
      <c r="CB63" s="1153"/>
      <c r="CC63" s="1134"/>
      <c r="CD63" s="1134"/>
      <c r="CE63" s="1134"/>
      <c r="CF63" s="1134"/>
      <c r="CG63" s="1134"/>
      <c r="CH63" s="1134"/>
      <c r="CI63" s="1134"/>
      <c r="CJ63" s="1134"/>
      <c r="CK63" s="1134"/>
      <c r="CL63" s="1134"/>
      <c r="CM63" s="1134"/>
      <c r="CN63" s="1134"/>
      <c r="CO63" s="1134"/>
      <c r="CP63" s="1134"/>
      <c r="CQ63" s="1134"/>
      <c r="CR63" s="1134"/>
      <c r="CS63" s="1134"/>
      <c r="CT63" s="1134"/>
      <c r="CU63" s="1134"/>
      <c r="CV63" s="1134"/>
      <c r="CW63" s="1134"/>
      <c r="CX63" s="1134"/>
      <c r="CY63" s="1134"/>
      <c r="CZ63" s="1134"/>
      <c r="DA63" s="1134"/>
      <c r="DB63" s="1134"/>
      <c r="DC63" s="1134"/>
      <c r="DD63" s="1134"/>
      <c r="DE63" s="1134"/>
      <c r="DF63" s="1134"/>
      <c r="DG63" s="1134"/>
      <c r="DH63" s="1134"/>
      <c r="DI63" s="1134"/>
      <c r="DJ63" s="1134"/>
      <c r="DK63" s="1134"/>
      <c r="DL63" s="1134"/>
      <c r="DM63" s="1134"/>
      <c r="DN63" s="1134"/>
      <c r="DO63" s="1134"/>
      <c r="DP63" s="1134"/>
      <c r="DQ63" s="1134"/>
      <c r="DR63" s="1134"/>
      <c r="DS63" s="1134"/>
      <c r="DT63" s="1134"/>
      <c r="DU63" s="1134"/>
      <c r="DV63" s="1134"/>
      <c r="DW63" s="1134"/>
      <c r="DX63" s="1134"/>
      <c r="DY63" s="1134"/>
      <c r="DZ63" s="1147"/>
      <c r="EA63" s="834"/>
      <c r="EB63" s="834"/>
      <c r="EC63" s="834"/>
      <c r="ED63" s="834"/>
      <c r="EE63" s="834"/>
      <c r="EF63" s="834"/>
      <c r="EG63" s="834"/>
    </row>
    <row r="64" spans="1:137" s="824" customFormat="1" ht="39.950000000000003" customHeight="1">
      <c r="A64" s="925" t="s">
        <v>254</v>
      </c>
      <c r="B64" s="925" t="s">
        <v>255</v>
      </c>
      <c r="C64" s="1027"/>
      <c r="D64" s="1406"/>
      <c r="E64" s="1027"/>
      <c r="F64" s="1027"/>
      <c r="G64" s="1027"/>
      <c r="H64" s="1406"/>
      <c r="I64" s="1027"/>
      <c r="J64" s="1027"/>
      <c r="K64" s="1406"/>
      <c r="L64" s="1027"/>
      <c r="M64" s="1027"/>
      <c r="N64" s="1027"/>
      <c r="O64" s="1027"/>
      <c r="P64" s="1027"/>
      <c r="Q64" s="1027"/>
      <c r="R64" s="1027"/>
      <c r="S64" s="1027"/>
      <c r="T64" s="1027"/>
      <c r="U64" s="1027"/>
      <c r="V64" s="1027"/>
      <c r="W64" s="1027"/>
      <c r="X64" s="1394"/>
      <c r="Y64" s="1027"/>
      <c r="Z64" s="1027"/>
      <c r="AA64" s="1027"/>
      <c r="AB64" s="1027"/>
      <c r="AC64" s="1027"/>
      <c r="AD64" s="1028"/>
      <c r="AE64" s="1028"/>
      <c r="AF64" s="1423"/>
      <c r="AG64" s="1417"/>
      <c r="AH64" s="1028"/>
      <c r="AI64" s="1028"/>
      <c r="AJ64" s="1028"/>
      <c r="AK64" s="1417"/>
      <c r="AL64" s="1417"/>
      <c r="AM64" s="1417"/>
      <c r="AN64" s="1028"/>
      <c r="AO64" s="1028"/>
      <c r="AP64" s="1028"/>
      <c r="AQ64" s="1028"/>
      <c r="AR64" s="1028"/>
      <c r="AS64" s="1028"/>
      <c r="AT64" s="1028"/>
      <c r="AU64" s="1028"/>
      <c r="AV64" s="1417"/>
      <c r="AW64" s="1423"/>
      <c r="AX64" s="1028"/>
      <c r="AY64" s="1028"/>
      <c r="AZ64" s="1028"/>
      <c r="BA64" s="1028"/>
      <c r="BB64" s="1028"/>
      <c r="BC64" s="1028"/>
      <c r="BD64" s="1028"/>
      <c r="BE64" s="1028"/>
      <c r="BF64" s="1028"/>
      <c r="BG64" s="1028"/>
      <c r="BH64" s="1028"/>
      <c r="BI64" s="1028"/>
      <c r="BJ64" s="1028"/>
      <c r="BK64" s="1028"/>
      <c r="BL64" s="1028"/>
      <c r="BM64" s="1028"/>
      <c r="BN64" s="1028"/>
      <c r="BO64" s="1028"/>
      <c r="BP64" s="1028"/>
      <c r="BQ64" s="1028"/>
      <c r="BR64" s="1028"/>
      <c r="BS64" s="1028"/>
      <c r="BT64" s="1028"/>
      <c r="BU64" s="1028"/>
      <c r="BV64" s="1028"/>
      <c r="BW64" s="1028"/>
      <c r="BX64" s="1028"/>
      <c r="BY64" s="1027"/>
      <c r="BZ64" s="1028"/>
      <c r="CA64" s="1142">
        <f t="shared" si="2"/>
        <v>0</v>
      </c>
      <c r="CB64" s="1153"/>
      <c r="CC64" s="1134"/>
      <c r="CD64" s="1134"/>
      <c r="CE64" s="1134"/>
      <c r="CF64" s="1134"/>
      <c r="CG64" s="1134"/>
      <c r="CH64" s="1134"/>
      <c r="CI64" s="1134"/>
      <c r="CJ64" s="1134"/>
      <c r="CK64" s="1134"/>
      <c r="CL64" s="1134"/>
      <c r="CM64" s="1134"/>
      <c r="CN64" s="1134"/>
      <c r="CO64" s="1134"/>
      <c r="CP64" s="1134"/>
      <c r="CQ64" s="1134"/>
      <c r="CR64" s="1134"/>
      <c r="CS64" s="1134"/>
      <c r="CT64" s="1134"/>
      <c r="CU64" s="1134"/>
      <c r="CV64" s="1134"/>
      <c r="CW64" s="1134"/>
      <c r="CX64" s="1134"/>
      <c r="CY64" s="1134"/>
      <c r="CZ64" s="1134"/>
      <c r="DA64" s="1134"/>
      <c r="DB64" s="1134"/>
      <c r="DC64" s="1134"/>
      <c r="DD64" s="1134"/>
      <c r="DE64" s="1134"/>
      <c r="DF64" s="1134"/>
      <c r="DG64" s="1134"/>
      <c r="DH64" s="1134"/>
      <c r="DI64" s="1134"/>
      <c r="DJ64" s="1134"/>
      <c r="DK64" s="1134"/>
      <c r="DL64" s="1134"/>
      <c r="DM64" s="1134"/>
      <c r="DN64" s="1134"/>
      <c r="DO64" s="1134"/>
      <c r="DP64" s="1134"/>
      <c r="DQ64" s="1134"/>
      <c r="DR64" s="1134"/>
      <c r="DS64" s="1134"/>
      <c r="DT64" s="1134"/>
      <c r="DU64" s="1134"/>
      <c r="DV64" s="1134"/>
      <c r="DW64" s="1134"/>
      <c r="DX64" s="1134"/>
      <c r="DY64" s="1134"/>
      <c r="DZ64" s="1147"/>
      <c r="EA64" s="834"/>
      <c r="EB64" s="834"/>
      <c r="EC64" s="834"/>
      <c r="ED64" s="834"/>
      <c r="EE64" s="834"/>
      <c r="EF64" s="834"/>
      <c r="EG64" s="834"/>
    </row>
    <row r="65" spans="1:137" s="805" customFormat="1" ht="46.5" customHeight="1">
      <c r="A65" s="925" t="s">
        <v>256</v>
      </c>
      <c r="B65" s="925" t="s">
        <v>257</v>
      </c>
      <c r="C65" s="1030"/>
      <c r="D65" s="1406"/>
      <c r="E65" s="1030"/>
      <c r="F65" s="1030"/>
      <c r="G65" s="1030"/>
      <c r="H65" s="1406"/>
      <c r="I65" s="1030"/>
      <c r="J65" s="1030"/>
      <c r="K65" s="1406"/>
      <c r="L65" s="1030"/>
      <c r="M65" s="1030"/>
      <c r="N65" s="1030"/>
      <c r="O65" s="1030"/>
      <c r="P65" s="1030"/>
      <c r="Q65" s="1030"/>
      <c r="R65" s="1030"/>
      <c r="S65" s="1030"/>
      <c r="T65" s="1030"/>
      <c r="U65" s="1030"/>
      <c r="V65" s="1030"/>
      <c r="W65" s="1030"/>
      <c r="X65" s="1394"/>
      <c r="Y65" s="1030"/>
      <c r="Z65" s="1030"/>
      <c r="AA65" s="1030"/>
      <c r="AB65" s="1030"/>
      <c r="AC65" s="1030"/>
      <c r="AD65" s="1035"/>
      <c r="AE65" s="1035"/>
      <c r="AF65" s="1423"/>
      <c r="AG65" s="1417"/>
      <c r="AH65" s="1035"/>
      <c r="AI65" s="1035"/>
      <c r="AJ65" s="1035"/>
      <c r="AK65" s="1417"/>
      <c r="AL65" s="1417"/>
      <c r="AM65" s="1417"/>
      <c r="AN65" s="1035"/>
      <c r="AO65" s="1035"/>
      <c r="AP65" s="1035"/>
      <c r="AQ65" s="1035"/>
      <c r="AR65" s="1035"/>
      <c r="AS65" s="1035"/>
      <c r="AT65" s="1035"/>
      <c r="AU65" s="1035"/>
      <c r="AV65" s="1417"/>
      <c r="AW65" s="1423"/>
      <c r="AX65" s="1035"/>
      <c r="AY65" s="1035"/>
      <c r="AZ65" s="1035"/>
      <c r="BA65" s="1035"/>
      <c r="BB65" s="1035"/>
      <c r="BC65" s="1035"/>
      <c r="BD65" s="1035"/>
      <c r="BE65" s="1035"/>
      <c r="BF65" s="1035"/>
      <c r="BG65" s="1035"/>
      <c r="BH65" s="1035"/>
      <c r="BI65" s="1035"/>
      <c r="BJ65" s="1035"/>
      <c r="BK65" s="1035"/>
      <c r="BL65" s="1035"/>
      <c r="BM65" s="1035"/>
      <c r="BN65" s="1035"/>
      <c r="BO65" s="1035"/>
      <c r="BP65" s="1035"/>
      <c r="BQ65" s="1035"/>
      <c r="BR65" s="1035"/>
      <c r="BS65" s="1035"/>
      <c r="BT65" s="1035"/>
      <c r="BU65" s="1035"/>
      <c r="BV65" s="1035"/>
      <c r="BW65" s="1035"/>
      <c r="BX65" s="1035"/>
      <c r="BY65" s="1030"/>
      <c r="BZ65" s="1035"/>
      <c r="CA65" s="1142">
        <f t="shared" si="2"/>
        <v>0</v>
      </c>
      <c r="CB65" s="1153"/>
      <c r="CC65" s="1134"/>
      <c r="CD65" s="1134"/>
      <c r="CE65" s="1134"/>
      <c r="CF65" s="1134"/>
      <c r="CG65" s="1134"/>
      <c r="CH65" s="1134"/>
      <c r="CI65" s="1134"/>
      <c r="CJ65" s="1134"/>
      <c r="CK65" s="1134"/>
      <c r="CL65" s="1134"/>
      <c r="CM65" s="1134"/>
      <c r="CN65" s="1134"/>
      <c r="CO65" s="1134"/>
      <c r="CP65" s="1134"/>
      <c r="CQ65" s="1134"/>
      <c r="CR65" s="1134"/>
      <c r="CS65" s="1134"/>
      <c r="CT65" s="1134"/>
      <c r="CU65" s="1134"/>
      <c r="CV65" s="1134"/>
      <c r="CW65" s="1134"/>
      <c r="CX65" s="1134"/>
      <c r="CY65" s="1134"/>
      <c r="CZ65" s="1134"/>
      <c r="DA65" s="1134"/>
      <c r="DB65" s="1134"/>
      <c r="DC65" s="1134"/>
      <c r="DD65" s="1134"/>
      <c r="DE65" s="1134"/>
      <c r="DF65" s="1134"/>
      <c r="DG65" s="1134"/>
      <c r="DH65" s="1134"/>
      <c r="DI65" s="1134"/>
      <c r="DJ65" s="1134"/>
      <c r="DK65" s="1134"/>
      <c r="DL65" s="1134"/>
      <c r="DM65" s="1134"/>
      <c r="DN65" s="1134"/>
      <c r="DO65" s="1134"/>
      <c r="DP65" s="1134"/>
      <c r="DQ65" s="1134"/>
      <c r="DR65" s="1134"/>
      <c r="DS65" s="1134"/>
      <c r="DT65" s="1134"/>
      <c r="DU65" s="1134"/>
      <c r="DV65" s="1134"/>
      <c r="DW65" s="1134"/>
      <c r="DX65" s="1134"/>
      <c r="DY65" s="1134"/>
      <c r="DZ65" s="1147"/>
      <c r="EA65" s="834"/>
      <c r="EB65" s="834"/>
      <c r="EC65" s="834"/>
      <c r="ED65" s="834"/>
      <c r="EE65" s="834"/>
      <c r="EF65" s="834"/>
      <c r="EG65" s="834"/>
    </row>
    <row r="66" spans="1:137" s="805" customFormat="1" ht="24.75" hidden="1" customHeight="1">
      <c r="A66" s="928" t="s">
        <v>258</v>
      </c>
      <c r="B66" s="927" t="s">
        <v>259</v>
      </c>
      <c r="C66" s="1030"/>
      <c r="D66" s="1406"/>
      <c r="E66" s="1030"/>
      <c r="F66" s="1030"/>
      <c r="G66" s="1030"/>
      <c r="H66" s="1406"/>
      <c r="I66" s="1030"/>
      <c r="J66" s="1030"/>
      <c r="K66" s="1406"/>
      <c r="L66" s="1030"/>
      <c r="M66" s="1030"/>
      <c r="N66" s="1030"/>
      <c r="O66" s="1030"/>
      <c r="P66" s="1030"/>
      <c r="Q66" s="1030"/>
      <c r="R66" s="1030"/>
      <c r="S66" s="1030"/>
      <c r="T66" s="1030"/>
      <c r="U66" s="1030"/>
      <c r="V66" s="1030"/>
      <c r="W66" s="1030"/>
      <c r="X66" s="1394"/>
      <c r="Y66" s="1030"/>
      <c r="Z66" s="1030"/>
      <c r="AA66" s="1030"/>
      <c r="AB66" s="1030"/>
      <c r="AC66" s="1030"/>
      <c r="AD66" s="1035"/>
      <c r="AE66" s="1035"/>
      <c r="AF66" s="1423"/>
      <c r="AG66" s="1417"/>
      <c r="AH66" s="1035"/>
      <c r="AI66" s="1035"/>
      <c r="AJ66" s="1035"/>
      <c r="AK66" s="1417"/>
      <c r="AL66" s="1417"/>
      <c r="AM66" s="1417"/>
      <c r="AN66" s="1035"/>
      <c r="AO66" s="1035"/>
      <c r="AP66" s="1035"/>
      <c r="AQ66" s="1035"/>
      <c r="AR66" s="1035"/>
      <c r="AS66" s="1035"/>
      <c r="AT66" s="1035"/>
      <c r="AU66" s="1035"/>
      <c r="AV66" s="1417"/>
      <c r="AW66" s="1423"/>
      <c r="AX66" s="1035"/>
      <c r="AY66" s="1035"/>
      <c r="AZ66" s="1035"/>
      <c r="BA66" s="1035"/>
      <c r="BB66" s="1035"/>
      <c r="BC66" s="1035"/>
      <c r="BD66" s="1035"/>
      <c r="BE66" s="1035"/>
      <c r="BF66" s="1035"/>
      <c r="BG66" s="1035"/>
      <c r="BH66" s="1035"/>
      <c r="BI66" s="1035"/>
      <c r="BJ66" s="1035"/>
      <c r="BK66" s="1035"/>
      <c r="BL66" s="1035"/>
      <c r="BM66" s="1035"/>
      <c r="BN66" s="1035"/>
      <c r="BO66" s="1035"/>
      <c r="BP66" s="1035"/>
      <c r="BQ66" s="1035"/>
      <c r="BR66" s="1035"/>
      <c r="BS66" s="1035"/>
      <c r="BT66" s="1035"/>
      <c r="BU66" s="1035"/>
      <c r="BV66" s="1035"/>
      <c r="BW66" s="1035"/>
      <c r="BX66" s="1035"/>
      <c r="BY66" s="1030"/>
      <c r="BZ66" s="1035"/>
      <c r="CA66" s="1142">
        <f t="shared" si="2"/>
        <v>0</v>
      </c>
      <c r="CB66" s="1153"/>
      <c r="CC66" s="1134"/>
      <c r="CD66" s="1134"/>
      <c r="CE66" s="1134"/>
      <c r="CF66" s="1134"/>
      <c r="CG66" s="1134"/>
      <c r="CH66" s="1134"/>
      <c r="CI66" s="1134"/>
      <c r="CJ66" s="1134"/>
      <c r="CK66" s="1134"/>
      <c r="CL66" s="1134"/>
      <c r="CM66" s="1134"/>
      <c r="CN66" s="1134"/>
      <c r="CO66" s="1134"/>
      <c r="CP66" s="1134"/>
      <c r="CQ66" s="1134"/>
      <c r="CR66" s="1134"/>
      <c r="CS66" s="1134"/>
      <c r="CT66" s="1134"/>
      <c r="CU66" s="1134"/>
      <c r="CV66" s="1134"/>
      <c r="CW66" s="1134"/>
      <c r="CX66" s="1134"/>
      <c r="CY66" s="1134"/>
      <c r="CZ66" s="1134"/>
      <c r="DA66" s="1134"/>
      <c r="DB66" s="1134"/>
      <c r="DC66" s="1134"/>
      <c r="DD66" s="1134"/>
      <c r="DE66" s="1134"/>
      <c r="DF66" s="1134"/>
      <c r="DG66" s="1134"/>
      <c r="DH66" s="1134"/>
      <c r="DI66" s="1134"/>
      <c r="DJ66" s="1134"/>
      <c r="DK66" s="1134"/>
      <c r="DL66" s="1134"/>
      <c r="DM66" s="1134"/>
      <c r="DN66" s="1134"/>
      <c r="DO66" s="1134"/>
      <c r="DP66" s="1134"/>
      <c r="DQ66" s="1134"/>
      <c r="DR66" s="1134"/>
      <c r="DS66" s="1134"/>
      <c r="DT66" s="1134"/>
      <c r="DU66" s="1134"/>
      <c r="DV66" s="1134"/>
      <c r="DW66" s="1134"/>
      <c r="DX66" s="1134"/>
      <c r="DY66" s="1134"/>
      <c r="DZ66" s="1147"/>
      <c r="EA66" s="834"/>
      <c r="EB66" s="834"/>
      <c r="EC66" s="834"/>
      <c r="ED66" s="834"/>
      <c r="EE66" s="834"/>
      <c r="EF66" s="834"/>
      <c r="EG66" s="834"/>
    </row>
    <row r="67" spans="1:137" s="806" customFormat="1" ht="22.5" hidden="1" customHeight="1">
      <c r="A67" s="928" t="s">
        <v>260</v>
      </c>
      <c r="B67" s="927" t="s">
        <v>261</v>
      </c>
      <c r="C67" s="1032"/>
      <c r="D67" s="1406"/>
      <c r="E67" s="1032"/>
      <c r="F67" s="1032"/>
      <c r="G67" s="1032"/>
      <c r="H67" s="1406"/>
      <c r="I67" s="1032"/>
      <c r="J67" s="1032"/>
      <c r="K67" s="1406"/>
      <c r="L67" s="1032"/>
      <c r="M67" s="1032"/>
      <c r="N67" s="1032"/>
      <c r="O67" s="1032"/>
      <c r="P67" s="1032"/>
      <c r="Q67" s="1032"/>
      <c r="R67" s="1032"/>
      <c r="S67" s="1032"/>
      <c r="T67" s="1032"/>
      <c r="U67" s="1032"/>
      <c r="V67" s="1032"/>
      <c r="W67" s="1032"/>
      <c r="X67" s="1394"/>
      <c r="Y67" s="1032"/>
      <c r="Z67" s="1032"/>
      <c r="AA67" s="1032"/>
      <c r="AB67" s="1032"/>
      <c r="AC67" s="1032"/>
      <c r="AD67" s="1033"/>
      <c r="AE67" s="1033"/>
      <c r="AF67" s="1423"/>
      <c r="AG67" s="1417"/>
      <c r="AH67" s="1033"/>
      <c r="AI67" s="1033"/>
      <c r="AJ67" s="1033"/>
      <c r="AK67" s="1417"/>
      <c r="AL67" s="1417"/>
      <c r="AM67" s="1417"/>
      <c r="AN67" s="1033"/>
      <c r="AO67" s="1033"/>
      <c r="AP67" s="1033"/>
      <c r="AQ67" s="1033"/>
      <c r="AR67" s="1033"/>
      <c r="AS67" s="1033"/>
      <c r="AT67" s="1033"/>
      <c r="AU67" s="1033"/>
      <c r="AV67" s="1417"/>
      <c r="AW67" s="1423"/>
      <c r="AX67" s="1033"/>
      <c r="AY67" s="1033"/>
      <c r="AZ67" s="1033"/>
      <c r="BA67" s="1033"/>
      <c r="BB67" s="1033"/>
      <c r="BC67" s="1033"/>
      <c r="BD67" s="1033"/>
      <c r="BE67" s="1033"/>
      <c r="BF67" s="1033"/>
      <c r="BG67" s="1033"/>
      <c r="BH67" s="1033"/>
      <c r="BI67" s="1033"/>
      <c r="BJ67" s="1033"/>
      <c r="BK67" s="1033"/>
      <c r="BL67" s="1033"/>
      <c r="BM67" s="1033"/>
      <c r="BN67" s="1033"/>
      <c r="BO67" s="1033"/>
      <c r="BP67" s="1033"/>
      <c r="BQ67" s="1033"/>
      <c r="BR67" s="1033"/>
      <c r="BS67" s="1033"/>
      <c r="BT67" s="1033"/>
      <c r="BU67" s="1033"/>
      <c r="BV67" s="1033"/>
      <c r="BW67" s="1033"/>
      <c r="BX67" s="1033"/>
      <c r="BY67" s="1032"/>
      <c r="BZ67" s="1033"/>
      <c r="CA67" s="1142">
        <f t="shared" si="2"/>
        <v>0</v>
      </c>
      <c r="CB67" s="1153"/>
      <c r="CC67" s="1134"/>
      <c r="CD67" s="1134"/>
      <c r="CE67" s="1134"/>
      <c r="CF67" s="1134"/>
      <c r="CG67" s="1134"/>
      <c r="CH67" s="1134"/>
      <c r="CI67" s="1134"/>
      <c r="CJ67" s="1134"/>
      <c r="CK67" s="1134"/>
      <c r="CL67" s="1134"/>
      <c r="CM67" s="1134"/>
      <c r="CN67" s="1134"/>
      <c r="CO67" s="1134"/>
      <c r="CP67" s="1134"/>
      <c r="CQ67" s="1134"/>
      <c r="CR67" s="1134"/>
      <c r="CS67" s="1134"/>
      <c r="CT67" s="1134"/>
      <c r="CU67" s="1134"/>
      <c r="CV67" s="1134"/>
      <c r="CW67" s="1134"/>
      <c r="CX67" s="1134"/>
      <c r="CY67" s="1134"/>
      <c r="CZ67" s="1134"/>
      <c r="DA67" s="1134"/>
      <c r="DB67" s="1134"/>
      <c r="DC67" s="1134"/>
      <c r="DD67" s="1134"/>
      <c r="DE67" s="1134"/>
      <c r="DF67" s="1134"/>
      <c r="DG67" s="1134"/>
      <c r="DH67" s="1134"/>
      <c r="DI67" s="1134"/>
      <c r="DJ67" s="1134"/>
      <c r="DK67" s="1134"/>
      <c r="DL67" s="1134"/>
      <c r="DM67" s="1134"/>
      <c r="DN67" s="1134"/>
      <c r="DO67" s="1134"/>
      <c r="DP67" s="1134"/>
      <c r="DQ67" s="1134"/>
      <c r="DR67" s="1134"/>
      <c r="DS67" s="1134"/>
      <c r="DT67" s="1134"/>
      <c r="DU67" s="1134"/>
      <c r="DV67" s="1134"/>
      <c r="DW67" s="1134"/>
      <c r="DX67" s="1134"/>
      <c r="DY67" s="1134"/>
      <c r="DZ67" s="1147"/>
      <c r="EA67" s="834"/>
      <c r="EB67" s="834"/>
      <c r="EC67" s="834"/>
      <c r="ED67" s="834"/>
      <c r="EE67" s="834"/>
      <c r="EF67" s="834"/>
      <c r="EG67" s="834"/>
    </row>
    <row r="68" spans="1:137" s="806" customFormat="1" ht="21.75" hidden="1" customHeight="1">
      <c r="A68" s="928" t="s">
        <v>262</v>
      </c>
      <c r="B68" s="927" t="s">
        <v>263</v>
      </c>
      <c r="C68" s="1032"/>
      <c r="D68" s="1406"/>
      <c r="E68" s="1032"/>
      <c r="F68" s="1032"/>
      <c r="G68" s="1032"/>
      <c r="H68" s="1406"/>
      <c r="I68" s="1032"/>
      <c r="J68" s="1032"/>
      <c r="K68" s="1406"/>
      <c r="L68" s="1032"/>
      <c r="M68" s="1032"/>
      <c r="N68" s="1032"/>
      <c r="O68" s="1032"/>
      <c r="P68" s="1032"/>
      <c r="Q68" s="1032"/>
      <c r="R68" s="1032"/>
      <c r="S68" s="1032"/>
      <c r="T68" s="1032"/>
      <c r="U68" s="1032"/>
      <c r="V68" s="1032"/>
      <c r="W68" s="1032"/>
      <c r="X68" s="1394"/>
      <c r="Y68" s="1032"/>
      <c r="Z68" s="1032"/>
      <c r="AA68" s="1032"/>
      <c r="AB68" s="1032"/>
      <c r="AC68" s="1032"/>
      <c r="AD68" s="1033"/>
      <c r="AE68" s="1033"/>
      <c r="AF68" s="1423"/>
      <c r="AG68" s="1417"/>
      <c r="AH68" s="1033"/>
      <c r="AI68" s="1033"/>
      <c r="AJ68" s="1033"/>
      <c r="AK68" s="1417"/>
      <c r="AL68" s="1417"/>
      <c r="AM68" s="1417"/>
      <c r="AN68" s="1033"/>
      <c r="AO68" s="1033"/>
      <c r="AP68" s="1033"/>
      <c r="AQ68" s="1033"/>
      <c r="AR68" s="1033"/>
      <c r="AS68" s="1033"/>
      <c r="AT68" s="1033"/>
      <c r="AU68" s="1033"/>
      <c r="AV68" s="1417"/>
      <c r="AW68" s="1423"/>
      <c r="AX68" s="1033"/>
      <c r="AY68" s="1033"/>
      <c r="AZ68" s="1033"/>
      <c r="BA68" s="1033"/>
      <c r="BB68" s="1033"/>
      <c r="BC68" s="1033"/>
      <c r="BD68" s="1033"/>
      <c r="BE68" s="1033"/>
      <c r="BF68" s="1033"/>
      <c r="BG68" s="1033"/>
      <c r="BH68" s="1033"/>
      <c r="BI68" s="1033"/>
      <c r="BJ68" s="1033"/>
      <c r="BK68" s="1033"/>
      <c r="BL68" s="1033"/>
      <c r="BM68" s="1033"/>
      <c r="BN68" s="1033"/>
      <c r="BO68" s="1033"/>
      <c r="BP68" s="1033"/>
      <c r="BQ68" s="1033"/>
      <c r="BR68" s="1033"/>
      <c r="BS68" s="1033"/>
      <c r="BT68" s="1033"/>
      <c r="BU68" s="1033"/>
      <c r="BV68" s="1033"/>
      <c r="BW68" s="1033"/>
      <c r="BX68" s="1033"/>
      <c r="BY68" s="1032"/>
      <c r="BZ68" s="1033"/>
      <c r="CA68" s="1142">
        <f t="shared" si="2"/>
        <v>0</v>
      </c>
      <c r="CB68" s="1153"/>
      <c r="CC68" s="1134"/>
      <c r="CD68" s="1134"/>
      <c r="CE68" s="1134"/>
      <c r="CF68" s="1134"/>
      <c r="CG68" s="1134"/>
      <c r="CH68" s="1134"/>
      <c r="CI68" s="1134"/>
      <c r="CJ68" s="1134"/>
      <c r="CK68" s="1134"/>
      <c r="CL68" s="1134"/>
      <c r="CM68" s="1134"/>
      <c r="CN68" s="1134"/>
      <c r="CO68" s="1134"/>
      <c r="CP68" s="1134"/>
      <c r="CQ68" s="1134"/>
      <c r="CR68" s="1134"/>
      <c r="CS68" s="1134"/>
      <c r="CT68" s="1134"/>
      <c r="CU68" s="1134"/>
      <c r="CV68" s="1134"/>
      <c r="CW68" s="1134"/>
      <c r="CX68" s="1134"/>
      <c r="CY68" s="1134"/>
      <c r="CZ68" s="1134"/>
      <c r="DA68" s="1134"/>
      <c r="DB68" s="1134"/>
      <c r="DC68" s="1134"/>
      <c r="DD68" s="1134"/>
      <c r="DE68" s="1134"/>
      <c r="DF68" s="1134"/>
      <c r="DG68" s="1134"/>
      <c r="DH68" s="1134"/>
      <c r="DI68" s="1134"/>
      <c r="DJ68" s="1134"/>
      <c r="DK68" s="1134"/>
      <c r="DL68" s="1134"/>
      <c r="DM68" s="1134"/>
      <c r="DN68" s="1134"/>
      <c r="DO68" s="1134"/>
      <c r="DP68" s="1134"/>
      <c r="DQ68" s="1134"/>
      <c r="DR68" s="1134"/>
      <c r="DS68" s="1134"/>
      <c r="DT68" s="1134"/>
      <c r="DU68" s="1134"/>
      <c r="DV68" s="1134"/>
      <c r="DW68" s="1134"/>
      <c r="DX68" s="1134"/>
      <c r="DY68" s="1134"/>
      <c r="DZ68" s="1147"/>
      <c r="EA68" s="834"/>
      <c r="EB68" s="834"/>
      <c r="EC68" s="834"/>
      <c r="ED68" s="834"/>
      <c r="EE68" s="834"/>
      <c r="EF68" s="834"/>
      <c r="EG68" s="834"/>
    </row>
    <row r="69" spans="1:137" s="806" customFormat="1" ht="39.950000000000003" customHeight="1">
      <c r="A69" s="925" t="s">
        <v>264</v>
      </c>
      <c r="B69" s="925" t="s">
        <v>265</v>
      </c>
      <c r="C69" s="1027"/>
      <c r="D69" s="1406"/>
      <c r="E69" s="1027"/>
      <c r="F69" s="1027"/>
      <c r="G69" s="1027"/>
      <c r="H69" s="1406"/>
      <c r="I69" s="1027"/>
      <c r="J69" s="1027"/>
      <c r="K69" s="1406"/>
      <c r="L69" s="1027"/>
      <c r="M69" s="1027"/>
      <c r="N69" s="1027"/>
      <c r="O69" s="1027"/>
      <c r="P69" s="1027"/>
      <c r="Q69" s="1027"/>
      <c r="R69" s="1027"/>
      <c r="S69" s="1027"/>
      <c r="T69" s="1027"/>
      <c r="U69" s="1027"/>
      <c r="V69" s="1027"/>
      <c r="W69" s="1027"/>
      <c r="X69" s="1394"/>
      <c r="Y69" s="1027"/>
      <c r="Z69" s="1027"/>
      <c r="AA69" s="1027"/>
      <c r="AB69" s="1027"/>
      <c r="AC69" s="1027"/>
      <c r="AD69" s="1028"/>
      <c r="AE69" s="1028"/>
      <c r="AF69" s="1423"/>
      <c r="AG69" s="1417"/>
      <c r="AH69" s="1028"/>
      <c r="AI69" s="1028"/>
      <c r="AJ69" s="1028"/>
      <c r="AK69" s="1417"/>
      <c r="AL69" s="1417"/>
      <c r="AM69" s="1417"/>
      <c r="AN69" s="1028"/>
      <c r="AO69" s="1028"/>
      <c r="AP69" s="1028"/>
      <c r="AQ69" s="1028"/>
      <c r="AR69" s="1028"/>
      <c r="AS69" s="1028"/>
      <c r="AT69" s="1028"/>
      <c r="AU69" s="1028"/>
      <c r="AV69" s="1417"/>
      <c r="AW69" s="1423"/>
      <c r="AX69" s="1028"/>
      <c r="AY69" s="1028"/>
      <c r="AZ69" s="1028"/>
      <c r="BA69" s="1028"/>
      <c r="BB69" s="1028"/>
      <c r="BC69" s="1028"/>
      <c r="BD69" s="1028"/>
      <c r="BE69" s="1028"/>
      <c r="BF69" s="1028"/>
      <c r="BG69" s="1029"/>
      <c r="BH69" s="1028"/>
      <c r="BI69" s="1028"/>
      <c r="BJ69" s="1028"/>
      <c r="BK69" s="1028"/>
      <c r="BL69" s="1028"/>
      <c r="BM69" s="1028"/>
      <c r="BN69" s="1028"/>
      <c r="BO69" s="1028"/>
      <c r="BP69" s="1028"/>
      <c r="BQ69" s="1028"/>
      <c r="BR69" s="1028"/>
      <c r="BS69" s="1028"/>
      <c r="BT69" s="1028"/>
      <c r="BU69" s="1028"/>
      <c r="BV69" s="824"/>
      <c r="BW69" s="1028"/>
      <c r="BX69" s="1028"/>
      <c r="BY69" s="1027"/>
      <c r="BZ69" s="1028"/>
      <c r="CA69" s="1142">
        <f t="shared" si="2"/>
        <v>0</v>
      </c>
      <c r="CB69" s="1153"/>
      <c r="CC69" s="1134"/>
      <c r="CD69" s="1134"/>
      <c r="CE69" s="1134"/>
      <c r="CF69" s="1134"/>
      <c r="CG69" s="1134"/>
      <c r="CH69" s="1134"/>
      <c r="CI69" s="1134"/>
      <c r="CJ69" s="1134"/>
      <c r="CK69" s="1134"/>
      <c r="CL69" s="1134"/>
      <c r="CM69" s="1134"/>
      <c r="CN69" s="1134"/>
      <c r="CO69" s="1134"/>
      <c r="CP69" s="1134"/>
      <c r="CQ69" s="1134"/>
      <c r="CR69" s="1134"/>
      <c r="CS69" s="1134"/>
      <c r="CT69" s="1134"/>
      <c r="CU69" s="1134"/>
      <c r="CV69" s="1134"/>
      <c r="CW69" s="1134"/>
      <c r="CX69" s="1134"/>
      <c r="CY69" s="1134"/>
      <c r="CZ69" s="1134"/>
      <c r="DA69" s="1134"/>
      <c r="DB69" s="1134"/>
      <c r="DC69" s="1134"/>
      <c r="DD69" s="1134"/>
      <c r="DE69" s="1134"/>
      <c r="DF69" s="1134"/>
      <c r="DG69" s="1134"/>
      <c r="DH69" s="1134"/>
      <c r="DI69" s="1134"/>
      <c r="DJ69" s="1134"/>
      <c r="DK69" s="1134"/>
      <c r="DL69" s="1134"/>
      <c r="DM69" s="1134"/>
      <c r="DN69" s="1134"/>
      <c r="DO69" s="1134"/>
      <c r="DP69" s="1134"/>
      <c r="DQ69" s="1134"/>
      <c r="DR69" s="1134"/>
      <c r="DS69" s="1134"/>
      <c r="DT69" s="1134"/>
      <c r="DU69" s="1134"/>
      <c r="DV69" s="1134"/>
      <c r="DW69" s="1134"/>
      <c r="DX69" s="1134"/>
      <c r="DY69" s="1134"/>
      <c r="DZ69" s="1147"/>
      <c r="EA69" s="834"/>
      <c r="EB69" s="834"/>
      <c r="EC69" s="834"/>
      <c r="ED69" s="834"/>
      <c r="EE69" s="834"/>
      <c r="EF69" s="834"/>
      <c r="EG69" s="834"/>
    </row>
    <row r="70" spans="1:137" s="806" customFormat="1" ht="39.950000000000003" customHeight="1">
      <c r="A70" s="928" t="s">
        <v>266</v>
      </c>
      <c r="B70" s="929" t="s">
        <v>2604</v>
      </c>
      <c r="C70" s="1030"/>
      <c r="D70" s="1406"/>
      <c r="E70" s="1030"/>
      <c r="F70" s="1030"/>
      <c r="G70" s="1030"/>
      <c r="H70" s="1406"/>
      <c r="I70" s="1030"/>
      <c r="J70" s="1030"/>
      <c r="K70" s="1406"/>
      <c r="L70" s="1030"/>
      <c r="M70" s="1030"/>
      <c r="N70" s="1030"/>
      <c r="O70" s="1030"/>
      <c r="P70" s="1030"/>
      <c r="Q70" s="1030"/>
      <c r="R70" s="1030"/>
      <c r="S70" s="1030"/>
      <c r="T70" s="1030"/>
      <c r="U70" s="1030"/>
      <c r="V70" s="1030"/>
      <c r="W70" s="1030"/>
      <c r="X70" s="1394">
        <f>Y70+AB70+AC70+AD70</f>
        <v>4122580.442981285</v>
      </c>
      <c r="Y70" s="1030"/>
      <c r="Z70" s="1030"/>
      <c r="AA70" s="1030"/>
      <c r="AB70" s="1030"/>
      <c r="AC70" s="1030"/>
      <c r="AD70" s="1035">
        <f>AE70</f>
        <v>4122580.442981285</v>
      </c>
      <c r="AE70" s="1035">
        <f>Отчет!J56+Отчет!J66+85893.7429812852+729587.7</f>
        <v>4122580.442981285</v>
      </c>
      <c r="AF70" s="1425"/>
      <c r="AG70" s="1417"/>
      <c r="AH70" s="1035"/>
      <c r="AI70" s="1035"/>
      <c r="AJ70" s="1035"/>
      <c r="AK70" s="1417"/>
      <c r="AL70" s="1417"/>
      <c r="AM70" s="1417"/>
      <c r="AN70" s="1035"/>
      <c r="AO70" s="1035"/>
      <c r="AP70" s="1035"/>
      <c r="AQ70" s="1035"/>
      <c r="AR70" s="1035"/>
      <c r="AS70" s="1035"/>
      <c r="AT70" s="1035"/>
      <c r="AU70" s="1035"/>
      <c r="AV70" s="1417"/>
      <c r="AW70" s="1423"/>
      <c r="AX70" s="1035"/>
      <c r="AY70" s="1035"/>
      <c r="AZ70" s="1035"/>
      <c r="BA70" s="1035"/>
      <c r="BB70" s="1035"/>
      <c r="BC70" s="1035"/>
      <c r="BD70" s="1035"/>
      <c r="BE70" s="1035"/>
      <c r="BF70" s="1035"/>
      <c r="BG70" s="1035"/>
      <c r="BH70" s="1035"/>
      <c r="BI70" s="1035"/>
      <c r="BJ70" s="1035"/>
      <c r="BK70" s="1035"/>
      <c r="BL70" s="1035"/>
      <c r="BM70" s="1035"/>
      <c r="BN70" s="1035"/>
      <c r="BO70" s="1035"/>
      <c r="BP70" s="1035"/>
      <c r="BQ70" s="1035"/>
      <c r="BR70" s="1035"/>
      <c r="BS70" s="1035"/>
      <c r="BT70" s="1035"/>
      <c r="BU70" s="1035"/>
      <c r="BV70" s="1035"/>
      <c r="BW70" s="1035"/>
      <c r="BX70" s="1035"/>
      <c r="BY70" s="1030"/>
      <c r="BZ70" s="1035"/>
      <c r="CA70" s="1142">
        <f t="shared" ref="CA70:CA96" si="4">SUM(C70:BZ70)</f>
        <v>12367741.328943856</v>
      </c>
      <c r="CB70" s="1153"/>
      <c r="CC70" s="1134"/>
      <c r="CD70" s="1134"/>
      <c r="CE70" s="1134"/>
      <c r="CF70" s="1134"/>
      <c r="CG70" s="1134"/>
      <c r="CH70" s="1134"/>
      <c r="CI70" s="1134"/>
      <c r="CJ70" s="1134"/>
      <c r="CK70" s="1134"/>
      <c r="CL70" s="1134"/>
      <c r="CM70" s="1134"/>
      <c r="CN70" s="1134"/>
      <c r="CO70" s="1134"/>
      <c r="CP70" s="1134"/>
      <c r="CQ70" s="1134"/>
      <c r="CR70" s="1134"/>
      <c r="CS70" s="1134"/>
      <c r="CT70" s="1134"/>
      <c r="CU70" s="1134"/>
      <c r="CV70" s="1134"/>
      <c r="CW70" s="1134"/>
      <c r="CX70" s="1134"/>
      <c r="CY70" s="1134"/>
      <c r="CZ70" s="1134"/>
      <c r="DA70" s="1134"/>
      <c r="DB70" s="1134"/>
      <c r="DC70" s="1134"/>
      <c r="DD70" s="1134"/>
      <c r="DE70" s="1134"/>
      <c r="DF70" s="1134"/>
      <c r="DG70" s="1134"/>
      <c r="DH70" s="1134"/>
      <c r="DI70" s="1134"/>
      <c r="DJ70" s="1134"/>
      <c r="DK70" s="1134"/>
      <c r="DL70" s="1134"/>
      <c r="DM70" s="1134"/>
      <c r="DN70" s="1134"/>
      <c r="DO70" s="1134"/>
      <c r="DP70" s="1134"/>
      <c r="DQ70" s="1134"/>
      <c r="DR70" s="1134"/>
      <c r="DS70" s="1134"/>
      <c r="DT70" s="1134"/>
      <c r="DU70" s="1134"/>
      <c r="DV70" s="1134"/>
      <c r="DW70" s="1134"/>
      <c r="DX70" s="1134"/>
      <c r="DY70" s="1134"/>
      <c r="DZ70" s="1147"/>
      <c r="EA70" s="834"/>
      <c r="EB70" s="834"/>
      <c r="EC70" s="834"/>
      <c r="ED70" s="834"/>
      <c r="EE70" s="834"/>
      <c r="EF70" s="834"/>
      <c r="EG70" s="834"/>
    </row>
    <row r="71" spans="1:137" s="806" customFormat="1" ht="39.950000000000003" customHeight="1">
      <c r="A71" s="928" t="s">
        <v>268</v>
      </c>
      <c r="B71" s="929" t="s">
        <v>269</v>
      </c>
      <c r="C71" s="1030"/>
      <c r="D71" s="1406"/>
      <c r="E71" s="1030"/>
      <c r="F71" s="1030"/>
      <c r="G71" s="1030"/>
      <c r="H71" s="1406"/>
      <c r="I71" s="1030"/>
      <c r="J71" s="1030"/>
      <c r="K71" s="1406"/>
      <c r="L71" s="1030"/>
      <c r="M71" s="1030"/>
      <c r="N71" s="1030"/>
      <c r="O71" s="1030"/>
      <c r="P71" s="1030"/>
      <c r="Q71" s="1030"/>
      <c r="R71" s="1030"/>
      <c r="S71" s="1030"/>
      <c r="T71" s="1030"/>
      <c r="U71" s="1030"/>
      <c r="V71" s="1030"/>
      <c r="W71" s="1030"/>
      <c r="X71" s="1394"/>
      <c r="Y71" s="1030"/>
      <c r="Z71" s="1030"/>
      <c r="AA71" s="1030"/>
      <c r="AB71" s="1030"/>
      <c r="AC71" s="1030"/>
      <c r="AD71" s="1035"/>
      <c r="AE71" s="1035"/>
      <c r="AF71" s="1423"/>
      <c r="AG71" s="1417"/>
      <c r="AH71" s="1035"/>
      <c r="AI71" s="1035"/>
      <c r="AJ71" s="1035"/>
      <c r="AK71" s="1417"/>
      <c r="AL71" s="1417"/>
      <c r="AM71" s="1417"/>
      <c r="AN71" s="1035"/>
      <c r="AO71" s="1035"/>
      <c r="AP71" s="1035"/>
      <c r="AQ71" s="1035"/>
      <c r="AR71" s="1035"/>
      <c r="AS71" s="1035"/>
      <c r="AT71" s="1035"/>
      <c r="AU71" s="1035"/>
      <c r="AV71" s="1417"/>
      <c r="AW71" s="1423"/>
      <c r="AX71" s="1035"/>
      <c r="AY71" s="1035"/>
      <c r="AZ71" s="1035"/>
      <c r="BA71" s="1035"/>
      <c r="BB71" s="1035"/>
      <c r="BC71" s="1035"/>
      <c r="BD71" s="1035"/>
      <c r="BE71" s="1035"/>
      <c r="BF71" s="1035"/>
      <c r="BG71" s="1035"/>
      <c r="BH71" s="1035"/>
      <c r="BI71" s="1035"/>
      <c r="BJ71" s="1035"/>
      <c r="BK71" s="1035"/>
      <c r="BL71" s="1035"/>
      <c r="BM71" s="1035"/>
      <c r="BN71" s="1035"/>
      <c r="BO71" s="1035"/>
      <c r="BP71" s="1035"/>
      <c r="BQ71" s="1035"/>
      <c r="BR71" s="1035"/>
      <c r="BS71" s="1035"/>
      <c r="BT71" s="1035"/>
      <c r="BU71" s="1035"/>
      <c r="BV71" s="1035"/>
      <c r="BW71" s="1035"/>
      <c r="BX71" s="1035"/>
      <c r="BY71" s="1030"/>
      <c r="BZ71" s="1035"/>
      <c r="CA71" s="1142">
        <f t="shared" si="4"/>
        <v>0</v>
      </c>
      <c r="CB71" s="1153"/>
      <c r="CC71" s="1134"/>
      <c r="CD71" s="1134"/>
      <c r="CE71" s="1134"/>
      <c r="CF71" s="1134"/>
      <c r="CG71" s="1134"/>
      <c r="CH71" s="1134"/>
      <c r="CI71" s="1134"/>
      <c r="CJ71" s="1134"/>
      <c r="CK71" s="1134"/>
      <c r="CL71" s="1134"/>
      <c r="CM71" s="1134"/>
      <c r="CN71" s="1134"/>
      <c r="CO71" s="1134"/>
      <c r="CP71" s="1134"/>
      <c r="CQ71" s="1134"/>
      <c r="CR71" s="1134"/>
      <c r="CS71" s="1134"/>
      <c r="CT71" s="1134"/>
      <c r="CU71" s="1134"/>
      <c r="CV71" s="1134"/>
      <c r="CW71" s="1134"/>
      <c r="CX71" s="1134"/>
      <c r="CY71" s="1134"/>
      <c r="CZ71" s="1134"/>
      <c r="DA71" s="1134"/>
      <c r="DB71" s="1134"/>
      <c r="DC71" s="1134"/>
      <c r="DD71" s="1134"/>
      <c r="DE71" s="1134"/>
      <c r="DF71" s="1134"/>
      <c r="DG71" s="1134"/>
      <c r="DH71" s="1134"/>
      <c r="DI71" s="1134"/>
      <c r="DJ71" s="1134"/>
      <c r="DK71" s="1134"/>
      <c r="DL71" s="1134"/>
      <c r="DM71" s="1134"/>
      <c r="DN71" s="1134"/>
      <c r="DO71" s="1134"/>
      <c r="DP71" s="1134"/>
      <c r="DQ71" s="1134"/>
      <c r="DR71" s="1134"/>
      <c r="DS71" s="1134"/>
      <c r="DT71" s="1134"/>
      <c r="DU71" s="1134"/>
      <c r="DV71" s="1134"/>
      <c r="DW71" s="1134"/>
      <c r="DX71" s="1134"/>
      <c r="DY71" s="1134"/>
      <c r="DZ71" s="1147"/>
      <c r="EA71" s="834"/>
      <c r="EB71" s="834"/>
      <c r="EC71" s="834"/>
      <c r="ED71" s="834"/>
      <c r="EE71" s="834"/>
      <c r="EF71" s="834"/>
      <c r="EG71" s="834"/>
    </row>
    <row r="72" spans="1:137" s="805" customFormat="1" ht="39.950000000000003" customHeight="1">
      <c r="A72" s="928" t="s">
        <v>270</v>
      </c>
      <c r="B72" s="929" t="s">
        <v>225</v>
      </c>
      <c r="C72" s="1030"/>
      <c r="D72" s="1406"/>
      <c r="E72" s="1030"/>
      <c r="F72" s="1030"/>
      <c r="G72" s="1030"/>
      <c r="H72" s="1406"/>
      <c r="I72" s="1030"/>
      <c r="J72" s="1030"/>
      <c r="K72" s="1406"/>
      <c r="L72" s="1030"/>
      <c r="M72" s="1030"/>
      <c r="N72" s="1030"/>
      <c r="O72" s="1030"/>
      <c r="P72" s="1030"/>
      <c r="Q72" s="1030"/>
      <c r="R72" s="1030"/>
      <c r="S72" s="1030"/>
      <c r="T72" s="1030"/>
      <c r="U72" s="1030"/>
      <c r="V72" s="1030"/>
      <c r="W72" s="1030"/>
      <c r="X72" s="1394"/>
      <c r="Y72" s="1030"/>
      <c r="Z72" s="1030"/>
      <c r="AA72" s="1030"/>
      <c r="AB72" s="1030"/>
      <c r="AC72" s="1030"/>
      <c r="AD72" s="1035"/>
      <c r="AE72" s="1035"/>
      <c r="AF72" s="1423"/>
      <c r="AG72" s="1417"/>
      <c r="AH72" s="1035"/>
      <c r="AI72" s="1035"/>
      <c r="AJ72" s="1035"/>
      <c r="AK72" s="1417"/>
      <c r="AL72" s="1417"/>
      <c r="AM72" s="1417"/>
      <c r="AN72" s="1035"/>
      <c r="AO72" s="1035"/>
      <c r="AP72" s="1035"/>
      <c r="AQ72" s="1035"/>
      <c r="AR72" s="1035"/>
      <c r="AS72" s="1035"/>
      <c r="AT72" s="1035"/>
      <c r="AU72" s="1035"/>
      <c r="AV72" s="1417"/>
      <c r="AW72" s="1423"/>
      <c r="AX72" s="1035"/>
      <c r="AY72" s="1035"/>
      <c r="AZ72" s="1035"/>
      <c r="BA72" s="1035"/>
      <c r="BB72" s="1035"/>
      <c r="BC72" s="1035"/>
      <c r="BD72" s="1035"/>
      <c r="BE72" s="1035"/>
      <c r="BF72" s="1035"/>
      <c r="BG72" s="1035">
        <f>Отчет!J60+Отчет!J70+Отчет!J62+Отчет!J72+Отчет!J202+Отчет!J231+Дэф!C4+13629.54866</f>
        <v>2853076.5486599999</v>
      </c>
      <c r="BH72" s="1035"/>
      <c r="BI72" s="1035"/>
      <c r="BJ72" s="1035"/>
      <c r="BK72" s="1035"/>
      <c r="BL72" s="1035"/>
      <c r="BM72" s="1035"/>
      <c r="BN72" s="1031"/>
      <c r="BO72" s="1035"/>
      <c r="BP72" s="1035"/>
      <c r="BQ72" s="1035"/>
      <c r="BR72" s="1035"/>
      <c r="BS72" s="1035"/>
      <c r="BT72" s="1035"/>
      <c r="BU72" s="1035"/>
      <c r="BW72" s="1035"/>
      <c r="BY72" s="1030"/>
      <c r="BZ72" s="1035"/>
      <c r="CA72" s="1142">
        <f t="shared" si="4"/>
        <v>2853076.5486599999</v>
      </c>
      <c r="CB72" s="1153"/>
      <c r="CC72" s="1134"/>
      <c r="CD72" s="1134"/>
      <c r="CE72" s="1134"/>
      <c r="CF72" s="1134"/>
      <c r="CG72" s="1134"/>
      <c r="CH72" s="1134"/>
      <c r="CI72" s="1134"/>
      <c r="CJ72" s="1134"/>
      <c r="CK72" s="1134"/>
      <c r="CL72" s="1134"/>
      <c r="CM72" s="1134"/>
      <c r="CN72" s="1134"/>
      <c r="CO72" s="1134"/>
      <c r="CP72" s="1134"/>
      <c r="CQ72" s="1134"/>
      <c r="CR72" s="1134"/>
      <c r="CS72" s="1134"/>
      <c r="CT72" s="1134"/>
      <c r="CU72" s="1134"/>
      <c r="CV72" s="1134"/>
      <c r="CW72" s="1134"/>
      <c r="CX72" s="1134"/>
      <c r="CY72" s="1134"/>
      <c r="CZ72" s="1134"/>
      <c r="DA72" s="1134"/>
      <c r="DB72" s="1134"/>
      <c r="DC72" s="1134"/>
      <c r="DD72" s="1134"/>
      <c r="DE72" s="1134"/>
      <c r="DF72" s="1134"/>
      <c r="DG72" s="1134"/>
      <c r="DH72" s="1134"/>
      <c r="DI72" s="1134"/>
      <c r="DJ72" s="1134"/>
      <c r="DK72" s="1134"/>
      <c r="DL72" s="1134"/>
      <c r="DM72" s="1134"/>
      <c r="DN72" s="1134"/>
      <c r="DO72" s="1134"/>
      <c r="DP72" s="1134"/>
      <c r="DQ72" s="1134"/>
      <c r="DR72" s="1134"/>
      <c r="DS72" s="1134"/>
      <c r="DT72" s="1134"/>
      <c r="DU72" s="1134"/>
      <c r="DV72" s="1134"/>
      <c r="DW72" s="1134"/>
      <c r="DX72" s="1134"/>
      <c r="DY72" s="1134"/>
      <c r="DZ72" s="1147"/>
      <c r="EA72" s="834"/>
      <c r="EB72" s="834"/>
      <c r="EC72" s="834"/>
      <c r="ED72" s="834"/>
      <c r="EE72" s="834"/>
      <c r="EF72" s="834"/>
      <c r="EG72" s="834"/>
    </row>
    <row r="73" spans="1:137" s="805" customFormat="1" ht="39.950000000000003" customHeight="1">
      <c r="A73" s="928" t="s">
        <v>271</v>
      </c>
      <c r="B73" s="929" t="s">
        <v>228</v>
      </c>
      <c r="C73" s="1030"/>
      <c r="D73" s="1406"/>
      <c r="E73" s="1030"/>
      <c r="F73" s="1030"/>
      <c r="G73" s="1030"/>
      <c r="H73" s="1406"/>
      <c r="I73" s="1030"/>
      <c r="J73" s="1030"/>
      <c r="K73" s="1406"/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394"/>
      <c r="Y73" s="1030"/>
      <c r="Z73" s="1030"/>
      <c r="AA73" s="1030"/>
      <c r="AB73" s="1030"/>
      <c r="AC73" s="1030"/>
      <c r="AD73" s="1035"/>
      <c r="AE73" s="1035"/>
      <c r="AF73" s="1423"/>
      <c r="AG73" s="1417"/>
      <c r="AH73" s="1035"/>
      <c r="AI73" s="1035"/>
      <c r="AJ73" s="1035"/>
      <c r="AK73" s="1417"/>
      <c r="AL73" s="1417"/>
      <c r="AM73" s="1417"/>
      <c r="AN73" s="1035"/>
      <c r="AO73" s="1035"/>
      <c r="AP73" s="1035"/>
      <c r="AQ73" s="1035"/>
      <c r="AR73" s="1035"/>
      <c r="AS73" s="1035"/>
      <c r="AT73" s="1035"/>
      <c r="AU73" s="1035"/>
      <c r="AV73" s="1417"/>
      <c r="AW73" s="1423"/>
      <c r="AX73" s="1035"/>
      <c r="AY73" s="1035"/>
      <c r="AZ73" s="1035"/>
      <c r="BA73" s="1035"/>
      <c r="BB73" s="1035"/>
      <c r="BC73" s="1035"/>
      <c r="BD73" s="1035"/>
      <c r="BE73" s="1035"/>
      <c r="BF73" s="1035"/>
      <c r="BG73" s="1035">
        <v>1892549.6760871985</v>
      </c>
      <c r="BH73" s="1035"/>
      <c r="BI73" s="1035"/>
      <c r="BJ73" s="1035"/>
      <c r="BK73" s="1035"/>
      <c r="BL73" s="1035"/>
      <c r="BM73" s="1035"/>
      <c r="BN73" s="1035"/>
      <c r="BO73" s="1035"/>
      <c r="BP73" s="1035"/>
      <c r="BQ73" s="1035"/>
      <c r="BR73" s="1035"/>
      <c r="BS73" s="1035"/>
      <c r="BT73" s="1035"/>
      <c r="BU73" s="1035"/>
      <c r="BV73" s="1035"/>
      <c r="BW73" s="1035"/>
      <c r="BX73" s="1035"/>
      <c r="BY73" s="1030"/>
      <c r="BZ73" s="1035"/>
      <c r="CA73" s="1142">
        <f t="shared" si="4"/>
        <v>1892549.6760871985</v>
      </c>
      <c r="CB73" s="1153"/>
      <c r="CC73" s="1134"/>
      <c r="CD73" s="1134"/>
      <c r="CE73" s="1134"/>
      <c r="CF73" s="1134"/>
      <c r="CG73" s="1134"/>
      <c r="CH73" s="1134"/>
      <c r="CI73" s="1134"/>
      <c r="CJ73" s="1134"/>
      <c r="CK73" s="1134"/>
      <c r="CL73" s="1134"/>
      <c r="CM73" s="1134"/>
      <c r="CN73" s="1134"/>
      <c r="CO73" s="1134"/>
      <c r="CP73" s="1134"/>
      <c r="CQ73" s="1134"/>
      <c r="CR73" s="1134"/>
      <c r="CS73" s="1134"/>
      <c r="CT73" s="1134"/>
      <c r="CU73" s="1134"/>
      <c r="CV73" s="1134"/>
      <c r="CW73" s="1134"/>
      <c r="CX73" s="1134"/>
      <c r="CY73" s="1134"/>
      <c r="CZ73" s="1134"/>
      <c r="DA73" s="1134"/>
      <c r="DB73" s="1134"/>
      <c r="DC73" s="1134"/>
      <c r="DD73" s="1134"/>
      <c r="DE73" s="1134"/>
      <c r="DF73" s="1134"/>
      <c r="DG73" s="1134"/>
      <c r="DH73" s="1134"/>
      <c r="DI73" s="1134"/>
      <c r="DJ73" s="1134"/>
      <c r="DK73" s="1134"/>
      <c r="DL73" s="1134"/>
      <c r="DM73" s="1134"/>
      <c r="DN73" s="1134"/>
      <c r="DO73" s="1134"/>
      <c r="DP73" s="1134"/>
      <c r="DQ73" s="1134"/>
      <c r="DR73" s="1134"/>
      <c r="DS73" s="1134"/>
      <c r="DT73" s="1134"/>
      <c r="DU73" s="1134"/>
      <c r="DV73" s="1134"/>
      <c r="DW73" s="1134"/>
      <c r="DX73" s="1134"/>
      <c r="DY73" s="1134"/>
      <c r="DZ73" s="1147"/>
      <c r="EA73" s="834"/>
      <c r="EB73" s="834"/>
      <c r="EC73" s="834"/>
      <c r="ED73" s="834"/>
      <c r="EE73" s="834"/>
      <c r="EF73" s="834"/>
      <c r="EG73" s="834"/>
    </row>
    <row r="74" spans="1:137" s="806" customFormat="1" ht="39.950000000000003" customHeight="1">
      <c r="A74" s="928" t="s">
        <v>272</v>
      </c>
      <c r="B74" s="929" t="s">
        <v>232</v>
      </c>
      <c r="C74" s="1030"/>
      <c r="D74" s="1406"/>
      <c r="E74" s="1030"/>
      <c r="F74" s="1030"/>
      <c r="G74" s="1030"/>
      <c r="H74" s="1406"/>
      <c r="I74" s="1030"/>
      <c r="J74" s="1030"/>
      <c r="K74" s="1406"/>
      <c r="L74" s="1030"/>
      <c r="M74" s="1030"/>
      <c r="N74" s="1030"/>
      <c r="O74" s="1030"/>
      <c r="P74" s="1030"/>
      <c r="Q74" s="1030"/>
      <c r="R74" s="1030"/>
      <c r="S74" s="1030"/>
      <c r="T74" s="1030"/>
      <c r="U74" s="1030"/>
      <c r="V74" s="1030"/>
      <c r="W74" s="1030"/>
      <c r="X74" s="1394"/>
      <c r="Y74" s="1030"/>
      <c r="Z74" s="1030"/>
      <c r="AA74" s="1030"/>
      <c r="AB74" s="1030"/>
      <c r="AC74" s="1030"/>
      <c r="AD74" s="1035"/>
      <c r="AE74" s="1035"/>
      <c r="AF74" s="1423"/>
      <c r="AG74" s="1417"/>
      <c r="AH74" s="1035"/>
      <c r="AI74" s="1035"/>
      <c r="AJ74" s="1035"/>
      <c r="AK74" s="1417"/>
      <c r="AL74" s="1417"/>
      <c r="AM74" s="1417"/>
      <c r="AN74" s="1035"/>
      <c r="AO74" s="1035"/>
      <c r="AP74" s="1035"/>
      <c r="AQ74" s="1035"/>
      <c r="AR74" s="1035"/>
      <c r="AS74" s="1035"/>
      <c r="AT74" s="1035"/>
      <c r="AU74" s="1035"/>
      <c r="AV74" s="1417"/>
      <c r="AW74" s="1423"/>
      <c r="AX74" s="1035"/>
      <c r="AY74" s="1035"/>
      <c r="AZ74" s="1035"/>
      <c r="BA74" s="1035"/>
      <c r="BB74" s="1035"/>
      <c r="BC74" s="1035"/>
      <c r="BD74" s="1035"/>
      <c r="BE74" s="1035"/>
      <c r="BF74" s="1035"/>
      <c r="BG74" s="1035"/>
      <c r="BH74" s="1035"/>
      <c r="BI74" s="1035"/>
      <c r="BJ74" s="1035"/>
      <c r="BK74" s="1035"/>
      <c r="BL74" s="1035"/>
      <c r="BM74" s="1035"/>
      <c r="BN74" s="1035"/>
      <c r="BO74" s="1035"/>
      <c r="BP74" s="1035"/>
      <c r="BQ74" s="1035"/>
      <c r="BR74" s="1035"/>
      <c r="BS74" s="1035"/>
      <c r="BT74" s="1035"/>
      <c r="BU74" s="1035"/>
      <c r="BV74" s="1035"/>
      <c r="BW74" s="1035"/>
      <c r="BX74" s="1035"/>
      <c r="BY74" s="1030"/>
      <c r="BZ74" s="1035"/>
      <c r="CA74" s="1142">
        <f t="shared" si="4"/>
        <v>0</v>
      </c>
      <c r="CB74" s="1153"/>
      <c r="CC74" s="1134"/>
      <c r="CD74" s="1134"/>
      <c r="CE74" s="1134"/>
      <c r="CF74" s="1134"/>
      <c r="CG74" s="1134"/>
      <c r="CH74" s="1134"/>
      <c r="CI74" s="1134"/>
      <c r="CJ74" s="1134"/>
      <c r="CK74" s="1134"/>
      <c r="CL74" s="1134"/>
      <c r="CM74" s="1134"/>
      <c r="CN74" s="1134"/>
      <c r="CO74" s="1134"/>
      <c r="CP74" s="1134"/>
      <c r="CQ74" s="1134"/>
      <c r="CR74" s="1134"/>
      <c r="CS74" s="1134"/>
      <c r="CT74" s="1134"/>
      <c r="CU74" s="1134"/>
      <c r="CV74" s="1134"/>
      <c r="CW74" s="1134"/>
      <c r="CX74" s="1134"/>
      <c r="CY74" s="1134"/>
      <c r="CZ74" s="1134"/>
      <c r="DA74" s="1134"/>
      <c r="DB74" s="1134"/>
      <c r="DC74" s="1134"/>
      <c r="DD74" s="1134"/>
      <c r="DE74" s="1134"/>
      <c r="DF74" s="1134"/>
      <c r="DG74" s="1134"/>
      <c r="DH74" s="1134"/>
      <c r="DI74" s="1134"/>
      <c r="DJ74" s="1134"/>
      <c r="DK74" s="1134"/>
      <c r="DL74" s="1134"/>
      <c r="DM74" s="1134"/>
      <c r="DN74" s="1134"/>
      <c r="DO74" s="1134"/>
      <c r="DP74" s="1134"/>
      <c r="DQ74" s="1134"/>
      <c r="DR74" s="1134"/>
      <c r="DS74" s="1134"/>
      <c r="DT74" s="1134"/>
      <c r="DU74" s="1134"/>
      <c r="DV74" s="1134"/>
      <c r="DW74" s="1134"/>
      <c r="DX74" s="1134"/>
      <c r="DY74" s="1134"/>
      <c r="DZ74" s="1147"/>
      <c r="EA74" s="834"/>
      <c r="EB74" s="834"/>
      <c r="EC74" s="834"/>
      <c r="ED74" s="834"/>
      <c r="EE74" s="834"/>
      <c r="EF74" s="834"/>
      <c r="EG74" s="834"/>
    </row>
    <row r="75" spans="1:137" s="806" customFormat="1" ht="39.950000000000003" customHeight="1">
      <c r="A75" s="928" t="s">
        <v>273</v>
      </c>
      <c r="B75" s="929" t="s">
        <v>274</v>
      </c>
      <c r="C75" s="1030"/>
      <c r="D75" s="1406"/>
      <c r="E75" s="1030"/>
      <c r="F75" s="1030"/>
      <c r="G75" s="1030"/>
      <c r="H75" s="1406"/>
      <c r="I75" s="1030"/>
      <c r="J75" s="1030"/>
      <c r="K75" s="1406"/>
      <c r="L75" s="1030"/>
      <c r="M75" s="1030"/>
      <c r="N75" s="1030"/>
      <c r="O75" s="1030"/>
      <c r="P75" s="1030"/>
      <c r="Q75" s="1030"/>
      <c r="R75" s="1030"/>
      <c r="S75" s="1030"/>
      <c r="T75" s="1030"/>
      <c r="U75" s="1030"/>
      <c r="V75" s="1030"/>
      <c r="W75" s="1030"/>
      <c r="X75" s="1394"/>
      <c r="Y75" s="1030"/>
      <c r="Z75" s="1030"/>
      <c r="AA75" s="1030"/>
      <c r="AB75" s="1030"/>
      <c r="AC75" s="1030"/>
      <c r="AD75" s="1035"/>
      <c r="AE75" s="1035"/>
      <c r="AF75" s="1423"/>
      <c r="AG75" s="1417"/>
      <c r="AH75" s="1035"/>
      <c r="AI75" s="1035"/>
      <c r="AJ75" s="1035"/>
      <c r="AK75" s="1417"/>
      <c r="AL75" s="1417"/>
      <c r="AM75" s="1417"/>
      <c r="AN75" s="1035"/>
      <c r="AO75" s="1035"/>
      <c r="AP75" s="1035"/>
      <c r="AQ75" s="1035"/>
      <c r="AR75" s="1035"/>
      <c r="AS75" s="1035"/>
      <c r="AT75" s="1035"/>
      <c r="AU75" s="1035"/>
      <c r="AV75" s="1417"/>
      <c r="AW75" s="1423"/>
      <c r="AX75" s="1035"/>
      <c r="AY75" s="1035"/>
      <c r="AZ75" s="1035"/>
      <c r="BA75" s="1035"/>
      <c r="BB75" s="1035"/>
      <c r="BC75" s="1035"/>
      <c r="BD75" s="1035"/>
      <c r="BE75" s="1035"/>
      <c r="BF75" s="1035"/>
      <c r="BG75" s="1035">
        <f>Отчет!J197</f>
        <v>39934</v>
      </c>
      <c r="BH75" s="1035"/>
      <c r="BI75" s="1035"/>
      <c r="BJ75" s="1035"/>
      <c r="BK75" s="1035"/>
      <c r="BL75" s="1035"/>
      <c r="BM75" s="1035"/>
      <c r="BN75" s="1035"/>
      <c r="BO75" s="1035"/>
      <c r="BP75" s="1035"/>
      <c r="BQ75" s="1035"/>
      <c r="BR75" s="1035"/>
      <c r="BS75" s="1035"/>
      <c r="BT75" s="1035"/>
      <c r="BU75" s="1035"/>
      <c r="BV75" s="1035"/>
      <c r="BW75" s="1035"/>
      <c r="BX75" s="1035"/>
      <c r="BY75" s="1030"/>
      <c r="BZ75" s="1035"/>
      <c r="CA75" s="1142">
        <f t="shared" si="4"/>
        <v>39934</v>
      </c>
      <c r="CB75" s="1153"/>
      <c r="CC75" s="1134"/>
      <c r="CD75" s="1134"/>
      <c r="CE75" s="1134"/>
      <c r="CF75" s="1134"/>
      <c r="CG75" s="1134"/>
      <c r="CH75" s="1134"/>
      <c r="CI75" s="1134"/>
      <c r="CJ75" s="1134"/>
      <c r="CK75" s="1134"/>
      <c r="CL75" s="1134"/>
      <c r="CM75" s="1134"/>
      <c r="CN75" s="1134"/>
      <c r="CO75" s="1134"/>
      <c r="CP75" s="1134"/>
      <c r="CQ75" s="1134"/>
      <c r="CR75" s="1134"/>
      <c r="CS75" s="1134"/>
      <c r="CT75" s="1134"/>
      <c r="CU75" s="1134"/>
      <c r="CV75" s="1134"/>
      <c r="CW75" s="1134"/>
      <c r="CX75" s="1134"/>
      <c r="CY75" s="1134"/>
      <c r="CZ75" s="1134"/>
      <c r="DA75" s="1134"/>
      <c r="DB75" s="1134"/>
      <c r="DC75" s="1134"/>
      <c r="DD75" s="1134"/>
      <c r="DE75" s="1134"/>
      <c r="DF75" s="1134"/>
      <c r="DG75" s="1134"/>
      <c r="DH75" s="1134"/>
      <c r="DI75" s="1134"/>
      <c r="DJ75" s="1134"/>
      <c r="DK75" s="1134"/>
      <c r="DL75" s="1134"/>
      <c r="DM75" s="1134"/>
      <c r="DN75" s="1134"/>
      <c r="DO75" s="1134"/>
      <c r="DP75" s="1134"/>
      <c r="DQ75" s="1134"/>
      <c r="DR75" s="1134"/>
      <c r="DS75" s="1134"/>
      <c r="DT75" s="1134"/>
      <c r="DU75" s="1134"/>
      <c r="DV75" s="1134"/>
      <c r="DW75" s="1134"/>
      <c r="DX75" s="1134"/>
      <c r="DY75" s="1134"/>
      <c r="DZ75" s="1147"/>
      <c r="EA75" s="834"/>
      <c r="EB75" s="834"/>
      <c r="EC75" s="834"/>
      <c r="ED75" s="834"/>
      <c r="EE75" s="834"/>
      <c r="EF75" s="834"/>
      <c r="EG75" s="834"/>
    </row>
    <row r="76" spans="1:137" s="806" customFormat="1" ht="39.950000000000003" customHeight="1">
      <c r="A76" s="925" t="s">
        <v>275</v>
      </c>
      <c r="B76" s="836" t="s">
        <v>276</v>
      </c>
      <c r="C76" s="1027"/>
      <c r="D76" s="1406"/>
      <c r="E76" s="1027"/>
      <c r="F76" s="1027"/>
      <c r="G76" s="1027"/>
      <c r="H76" s="1406"/>
      <c r="I76" s="1027"/>
      <c r="J76" s="1027"/>
      <c r="K76" s="1406"/>
      <c r="L76" s="1027"/>
      <c r="M76" s="1027"/>
      <c r="N76" s="1027"/>
      <c r="O76" s="1027"/>
      <c r="P76" s="1027"/>
      <c r="Q76" s="1027"/>
      <c r="R76" s="1027"/>
      <c r="S76" s="1027"/>
      <c r="T76" s="1027"/>
      <c r="U76" s="1027"/>
      <c r="V76" s="1027"/>
      <c r="W76" s="1027"/>
      <c r="X76" s="1394"/>
      <c r="Y76" s="1027"/>
      <c r="Z76" s="1027"/>
      <c r="AA76" s="1027"/>
      <c r="AB76" s="1027"/>
      <c r="AC76" s="1027"/>
      <c r="AD76" s="1028"/>
      <c r="AE76" s="1028"/>
      <c r="AF76" s="1423"/>
      <c r="AG76" s="1417"/>
      <c r="AH76" s="1028"/>
      <c r="AI76" s="1028"/>
      <c r="AJ76" s="1028"/>
      <c r="AK76" s="1417"/>
      <c r="AL76" s="1417"/>
      <c r="AM76" s="1417"/>
      <c r="AN76" s="1028"/>
      <c r="AO76" s="1028"/>
      <c r="AP76" s="1028"/>
      <c r="AQ76" s="1028"/>
      <c r="AR76" s="1028"/>
      <c r="AS76" s="1028"/>
      <c r="AT76" s="1028"/>
      <c r="AU76" s="1028"/>
      <c r="AV76" s="1417"/>
      <c r="AW76" s="1423"/>
      <c r="AX76" s="1028"/>
      <c r="AY76" s="1028"/>
      <c r="AZ76" s="1028"/>
      <c r="BA76" s="1028"/>
      <c r="BB76" s="1028"/>
      <c r="BC76" s="1028"/>
      <c r="BD76" s="1028"/>
      <c r="BE76" s="1028"/>
      <c r="BF76" s="1028"/>
      <c r="BG76" s="1028"/>
      <c r="BH76" s="1028"/>
      <c r="BI76" s="1028"/>
      <c r="BJ76" s="1028"/>
      <c r="BK76" s="1028"/>
      <c r="BL76" s="1028"/>
      <c r="BM76" s="1028"/>
      <c r="BN76" s="1028"/>
      <c r="BO76" s="1028"/>
      <c r="BP76" s="1028"/>
      <c r="BQ76" s="1028"/>
      <c r="BR76" s="1028"/>
      <c r="BS76" s="1028"/>
      <c r="BT76" s="1028"/>
      <c r="BU76" s="1028"/>
      <c r="BV76" s="1028"/>
      <c r="BW76" s="1028"/>
      <c r="BX76" s="1028"/>
      <c r="BY76" s="1027"/>
      <c r="BZ76" s="1028"/>
      <c r="CA76" s="1142">
        <f t="shared" si="4"/>
        <v>0</v>
      </c>
      <c r="CB76" s="1153"/>
      <c r="CC76" s="1134"/>
      <c r="CD76" s="1134"/>
      <c r="CE76" s="1134"/>
      <c r="CF76" s="1134"/>
      <c r="CG76" s="1134"/>
      <c r="CH76" s="1134"/>
      <c r="CI76" s="1134"/>
      <c r="CJ76" s="1134"/>
      <c r="CK76" s="1134"/>
      <c r="CL76" s="1134"/>
      <c r="CM76" s="1134"/>
      <c r="CN76" s="1134"/>
      <c r="CO76" s="1134"/>
      <c r="CP76" s="1134"/>
      <c r="CQ76" s="1134"/>
      <c r="CR76" s="1134"/>
      <c r="CS76" s="1134"/>
      <c r="CT76" s="1134"/>
      <c r="CU76" s="1134"/>
      <c r="CV76" s="1134"/>
      <c r="CW76" s="1134"/>
      <c r="CX76" s="1134"/>
      <c r="CY76" s="1134"/>
      <c r="CZ76" s="1134"/>
      <c r="DA76" s="1134"/>
      <c r="DB76" s="1134"/>
      <c r="DC76" s="1134"/>
      <c r="DD76" s="1134"/>
      <c r="DE76" s="1134"/>
      <c r="DF76" s="1134"/>
      <c r="DG76" s="1134"/>
      <c r="DH76" s="1134"/>
      <c r="DI76" s="1134"/>
      <c r="DJ76" s="1134"/>
      <c r="DK76" s="1134"/>
      <c r="DL76" s="1134"/>
      <c r="DM76" s="1134"/>
      <c r="DN76" s="1134"/>
      <c r="DO76" s="1134"/>
      <c r="DP76" s="1134"/>
      <c r="DQ76" s="1134"/>
      <c r="DR76" s="1134"/>
      <c r="DS76" s="1134"/>
      <c r="DT76" s="1134"/>
      <c r="DU76" s="1134"/>
      <c r="DV76" s="1134"/>
      <c r="DW76" s="1134"/>
      <c r="DX76" s="1134"/>
      <c r="DY76" s="1134"/>
      <c r="DZ76" s="1147"/>
      <c r="EA76" s="834"/>
      <c r="EB76" s="834"/>
      <c r="EC76" s="834"/>
      <c r="ED76" s="834"/>
      <c r="EE76" s="834"/>
      <c r="EF76" s="834"/>
      <c r="EG76" s="834"/>
    </row>
    <row r="77" spans="1:137" s="806" customFormat="1" ht="39.950000000000003" customHeight="1">
      <c r="A77" s="928" t="s">
        <v>277</v>
      </c>
      <c r="B77" s="837" t="s">
        <v>278</v>
      </c>
      <c r="C77" s="1030"/>
      <c r="D77" s="1406"/>
      <c r="E77" s="1030"/>
      <c r="F77" s="1030"/>
      <c r="G77" s="1030"/>
      <c r="H77" s="1406"/>
      <c r="I77" s="1030"/>
      <c r="J77" s="1030"/>
      <c r="K77" s="1406"/>
      <c r="L77" s="1030"/>
      <c r="M77" s="1030"/>
      <c r="N77" s="1030"/>
      <c r="O77" s="1030"/>
      <c r="P77" s="1030"/>
      <c r="Q77" s="1030"/>
      <c r="R77" s="1030"/>
      <c r="S77" s="1030"/>
      <c r="T77" s="1030"/>
      <c r="U77" s="1030"/>
      <c r="V77" s="1030"/>
      <c r="W77" s="1030"/>
      <c r="X77" s="1394"/>
      <c r="Y77" s="1030"/>
      <c r="Z77" s="1030"/>
      <c r="AA77" s="1030"/>
      <c r="AB77" s="1030"/>
      <c r="AC77" s="1030"/>
      <c r="AD77" s="1035"/>
      <c r="AE77" s="1035"/>
      <c r="AF77" s="1423"/>
      <c r="AG77" s="1417"/>
      <c r="AH77" s="1035"/>
      <c r="AI77" s="1035"/>
      <c r="AJ77" s="1035"/>
      <c r="AK77" s="1417"/>
      <c r="AL77" s="1417"/>
      <c r="AM77" s="1417"/>
      <c r="AN77" s="1035"/>
      <c r="AO77" s="1035"/>
      <c r="AP77" s="1035"/>
      <c r="AQ77" s="1035"/>
      <c r="AR77" s="1035"/>
      <c r="AS77" s="1035"/>
      <c r="AT77" s="1035"/>
      <c r="AU77" s="1035"/>
      <c r="AV77" s="1417"/>
      <c r="AW77" s="1423"/>
      <c r="AX77" s="1035"/>
      <c r="AY77" s="1035"/>
      <c r="AZ77" s="1035"/>
      <c r="BA77" s="1035"/>
      <c r="BB77" s="1035"/>
      <c r="BC77" s="1035"/>
      <c r="BD77" s="1035"/>
      <c r="BE77" s="1035"/>
      <c r="BF77" s="1035"/>
      <c r="BG77" s="1035"/>
      <c r="BH77" s="1035"/>
      <c r="BI77" s="1035"/>
      <c r="BJ77" s="1035"/>
      <c r="BK77" s="1035"/>
      <c r="BL77" s="1035"/>
      <c r="BM77" s="1035"/>
      <c r="BN77" s="1035"/>
      <c r="BO77" s="1035"/>
      <c r="BP77" s="1035"/>
      <c r="BQ77" s="1035"/>
      <c r="BR77" s="1035"/>
      <c r="BS77" s="1035"/>
      <c r="BT77" s="1035"/>
      <c r="BU77" s="1035"/>
      <c r="BV77" s="1035"/>
      <c r="BW77" s="1035"/>
      <c r="BX77" s="1035"/>
      <c r="BY77" s="1030"/>
      <c r="BZ77" s="1035"/>
      <c r="CA77" s="1142">
        <f t="shared" si="4"/>
        <v>0</v>
      </c>
      <c r="CB77" s="1153"/>
      <c r="CC77" s="1134"/>
      <c r="CD77" s="1134"/>
      <c r="CE77" s="1134"/>
      <c r="CF77" s="1134"/>
      <c r="CG77" s="1134"/>
      <c r="CH77" s="1134"/>
      <c r="CI77" s="1134"/>
      <c r="CJ77" s="1134"/>
      <c r="CK77" s="1134"/>
      <c r="CL77" s="1134"/>
      <c r="CM77" s="1134"/>
      <c r="CN77" s="1134"/>
      <c r="CO77" s="1134"/>
      <c r="CP77" s="1134"/>
      <c r="CQ77" s="1134"/>
      <c r="CR77" s="1134"/>
      <c r="CS77" s="1134"/>
      <c r="CT77" s="1134"/>
      <c r="CU77" s="1134"/>
      <c r="CV77" s="1134"/>
      <c r="CW77" s="1134"/>
      <c r="CX77" s="1134"/>
      <c r="CY77" s="1134"/>
      <c r="CZ77" s="1134"/>
      <c r="DA77" s="1134"/>
      <c r="DB77" s="1134"/>
      <c r="DC77" s="1134"/>
      <c r="DD77" s="1134"/>
      <c r="DE77" s="1134"/>
      <c r="DF77" s="1134"/>
      <c r="DG77" s="1134"/>
      <c r="DH77" s="1134"/>
      <c r="DI77" s="1134"/>
      <c r="DJ77" s="1134"/>
      <c r="DK77" s="1134"/>
      <c r="DL77" s="1134"/>
      <c r="DM77" s="1134"/>
      <c r="DN77" s="1134"/>
      <c r="DO77" s="1134"/>
      <c r="DP77" s="1134"/>
      <c r="DQ77" s="1134"/>
      <c r="DR77" s="1134"/>
      <c r="DS77" s="1134"/>
      <c r="DT77" s="1134"/>
      <c r="DU77" s="1134"/>
      <c r="DV77" s="1134"/>
      <c r="DW77" s="1134"/>
      <c r="DX77" s="1134"/>
      <c r="DY77" s="1134"/>
      <c r="DZ77" s="1147"/>
      <c r="EA77" s="834"/>
      <c r="EB77" s="834"/>
      <c r="EC77" s="834"/>
      <c r="ED77" s="834"/>
      <c r="EE77" s="834"/>
      <c r="EF77" s="834"/>
      <c r="EG77" s="834"/>
    </row>
    <row r="78" spans="1:137" s="805" customFormat="1" ht="39.950000000000003" customHeight="1">
      <c r="A78" s="928" t="s">
        <v>279</v>
      </c>
      <c r="B78" s="837" t="s">
        <v>280</v>
      </c>
      <c r="C78" s="1030"/>
      <c r="D78" s="1406"/>
      <c r="E78" s="1030"/>
      <c r="F78" s="1030"/>
      <c r="G78" s="1030"/>
      <c r="H78" s="1406"/>
      <c r="I78" s="1030"/>
      <c r="J78" s="1030"/>
      <c r="K78" s="1406"/>
      <c r="L78" s="1030"/>
      <c r="M78" s="1030"/>
      <c r="N78" s="1030"/>
      <c r="O78" s="1030"/>
      <c r="P78" s="1030"/>
      <c r="Q78" s="1030"/>
      <c r="R78" s="1030"/>
      <c r="S78" s="1030"/>
      <c r="T78" s="1030"/>
      <c r="U78" s="1030"/>
      <c r="V78" s="1030"/>
      <c r="W78" s="1030"/>
      <c r="X78" s="1394"/>
      <c r="Y78" s="1030"/>
      <c r="Z78" s="1030"/>
      <c r="AA78" s="1030"/>
      <c r="AB78" s="1030"/>
      <c r="AC78" s="1030"/>
      <c r="AD78" s="1035"/>
      <c r="AE78" s="1035"/>
      <c r="AF78" s="1423"/>
      <c r="AG78" s="1417"/>
      <c r="AH78" s="1035"/>
      <c r="AI78" s="1035"/>
      <c r="AJ78" s="1035"/>
      <c r="AK78" s="1417"/>
      <c r="AL78" s="1417"/>
      <c r="AM78" s="1417"/>
      <c r="AN78" s="1035"/>
      <c r="AO78" s="1035"/>
      <c r="AP78" s="1035"/>
      <c r="AQ78" s="1035"/>
      <c r="AR78" s="1035"/>
      <c r="AS78" s="1035"/>
      <c r="AT78" s="1035"/>
      <c r="AU78" s="1035"/>
      <c r="AV78" s="1417"/>
      <c r="AW78" s="1423"/>
      <c r="AX78" s="1035"/>
      <c r="AY78" s="1035"/>
      <c r="AZ78" s="1035"/>
      <c r="BA78" s="1035"/>
      <c r="BB78" s="1035"/>
      <c r="BC78" s="1035"/>
      <c r="BD78" s="1035"/>
      <c r="BE78" s="1035"/>
      <c r="BF78" s="1035"/>
      <c r="BG78" s="1035"/>
      <c r="BH78" s="1035"/>
      <c r="BI78" s="1035"/>
      <c r="BJ78" s="1035"/>
      <c r="BK78" s="1035"/>
      <c r="BL78" s="1035"/>
      <c r="BM78" s="1035"/>
      <c r="BN78" s="1035"/>
      <c r="BO78" s="1035"/>
      <c r="BP78" s="1035"/>
      <c r="BQ78" s="1035"/>
      <c r="BR78" s="1035"/>
      <c r="BS78" s="1035"/>
      <c r="BT78" s="1035"/>
      <c r="BU78" s="1035"/>
      <c r="BV78" s="1035"/>
      <c r="BW78" s="1035"/>
      <c r="BX78" s="1035"/>
      <c r="BY78" s="1030"/>
      <c r="BZ78" s="1035"/>
      <c r="CA78" s="1142">
        <f t="shared" si="4"/>
        <v>0</v>
      </c>
      <c r="CB78" s="1153"/>
      <c r="CC78" s="1134"/>
      <c r="CD78" s="1134"/>
      <c r="CE78" s="1134"/>
      <c r="CF78" s="1134"/>
      <c r="CG78" s="1134"/>
      <c r="CH78" s="1134"/>
      <c r="CI78" s="1134"/>
      <c r="CJ78" s="1134"/>
      <c r="CK78" s="1134"/>
      <c r="CL78" s="1134"/>
      <c r="CM78" s="1134"/>
      <c r="CN78" s="1134"/>
      <c r="CO78" s="1134"/>
      <c r="CP78" s="1134"/>
      <c r="CQ78" s="1134"/>
      <c r="CR78" s="1134"/>
      <c r="CS78" s="1134"/>
      <c r="CT78" s="1134"/>
      <c r="CU78" s="1134"/>
      <c r="CV78" s="1134"/>
      <c r="CW78" s="1134"/>
      <c r="CX78" s="1134"/>
      <c r="CY78" s="1134"/>
      <c r="CZ78" s="1134"/>
      <c r="DA78" s="1134"/>
      <c r="DB78" s="1134"/>
      <c r="DC78" s="1134"/>
      <c r="DD78" s="1134"/>
      <c r="DE78" s="1134"/>
      <c r="DF78" s="1134"/>
      <c r="DG78" s="1134"/>
      <c r="DH78" s="1134"/>
      <c r="DI78" s="1134"/>
      <c r="DJ78" s="1134"/>
      <c r="DK78" s="1134"/>
      <c r="DL78" s="1134"/>
      <c r="DM78" s="1134"/>
      <c r="DN78" s="1134"/>
      <c r="DO78" s="1134"/>
      <c r="DP78" s="1134"/>
      <c r="DQ78" s="1134"/>
      <c r="DR78" s="1134"/>
      <c r="DS78" s="1134"/>
      <c r="DT78" s="1134"/>
      <c r="DU78" s="1134"/>
      <c r="DV78" s="1134"/>
      <c r="DW78" s="1134"/>
      <c r="DX78" s="1134"/>
      <c r="DY78" s="1134"/>
      <c r="DZ78" s="1147"/>
      <c r="EA78" s="834"/>
      <c r="EB78" s="834"/>
      <c r="EC78" s="834"/>
      <c r="ED78" s="834"/>
      <c r="EE78" s="834"/>
      <c r="EF78" s="834"/>
      <c r="EG78" s="834"/>
    </row>
    <row r="79" spans="1:137" s="806" customFormat="1" ht="39.950000000000003" customHeight="1">
      <c r="A79" s="928" t="s">
        <v>281</v>
      </c>
      <c r="B79" s="837" t="s">
        <v>282</v>
      </c>
      <c r="C79" s="1030"/>
      <c r="D79" s="1406"/>
      <c r="E79" s="1030"/>
      <c r="F79" s="1030"/>
      <c r="G79" s="1030"/>
      <c r="H79" s="1406"/>
      <c r="I79" s="1030"/>
      <c r="J79" s="1030"/>
      <c r="K79" s="1406"/>
      <c r="L79" s="1030"/>
      <c r="M79" s="1030"/>
      <c r="N79" s="1030"/>
      <c r="O79" s="1030"/>
      <c r="P79" s="1030"/>
      <c r="Q79" s="1030"/>
      <c r="R79" s="1030"/>
      <c r="S79" s="1030"/>
      <c r="T79" s="1030"/>
      <c r="U79" s="1030"/>
      <c r="V79" s="1030"/>
      <c r="W79" s="1030"/>
      <c r="X79" s="1394"/>
      <c r="Y79" s="1030"/>
      <c r="Z79" s="1030"/>
      <c r="AA79" s="1030"/>
      <c r="AB79" s="1030"/>
      <c r="AC79" s="1030"/>
      <c r="AD79" s="1035"/>
      <c r="AE79" s="1035"/>
      <c r="AF79" s="1423"/>
      <c r="AG79" s="1417"/>
      <c r="AH79" s="1035"/>
      <c r="AI79" s="1035"/>
      <c r="AJ79" s="1035"/>
      <c r="AK79" s="1417"/>
      <c r="AL79" s="1417"/>
      <c r="AM79" s="1417"/>
      <c r="AN79" s="1035"/>
      <c r="AO79" s="1035"/>
      <c r="AP79" s="1035"/>
      <c r="AQ79" s="1035"/>
      <c r="AR79" s="1035"/>
      <c r="AS79" s="1035"/>
      <c r="AT79" s="1035"/>
      <c r="AU79" s="1035"/>
      <c r="AV79" s="1417"/>
      <c r="AW79" s="1423"/>
      <c r="AX79" s="1035"/>
      <c r="AY79" s="1035"/>
      <c r="AZ79" s="1035"/>
      <c r="BA79" s="1035"/>
      <c r="BB79" s="1035"/>
      <c r="BC79" s="1035"/>
      <c r="BD79" s="1035"/>
      <c r="BE79" s="1035"/>
      <c r="BF79" s="1035"/>
      <c r="BG79" s="1035"/>
      <c r="BH79" s="1035"/>
      <c r="BI79" s="1035"/>
      <c r="BJ79" s="1035"/>
      <c r="BK79" s="1035"/>
      <c r="BL79" s="1035"/>
      <c r="BM79" s="1035"/>
      <c r="BN79" s="1035"/>
      <c r="BO79" s="1035"/>
      <c r="BP79" s="1035"/>
      <c r="BQ79" s="1035"/>
      <c r="BR79" s="1035"/>
      <c r="BS79" s="1035"/>
      <c r="BT79" s="1035"/>
      <c r="BU79" s="1035"/>
      <c r="BV79" s="1035"/>
      <c r="BW79" s="1035"/>
      <c r="BX79" s="1035"/>
      <c r="BY79" s="1030"/>
      <c r="BZ79" s="1035"/>
      <c r="CA79" s="1142">
        <f t="shared" si="4"/>
        <v>0</v>
      </c>
      <c r="CB79" s="1153"/>
      <c r="CC79" s="1134"/>
      <c r="CD79" s="1134"/>
      <c r="CE79" s="1134"/>
      <c r="CF79" s="1134"/>
      <c r="CG79" s="1134"/>
      <c r="CH79" s="1134"/>
      <c r="CI79" s="1134"/>
      <c r="CJ79" s="1134"/>
      <c r="CK79" s="1134"/>
      <c r="CL79" s="1134"/>
      <c r="CM79" s="1134"/>
      <c r="CN79" s="1134"/>
      <c r="CO79" s="1134"/>
      <c r="CP79" s="1134"/>
      <c r="CQ79" s="1134"/>
      <c r="CR79" s="1134"/>
      <c r="CS79" s="1134"/>
      <c r="CT79" s="1134"/>
      <c r="CU79" s="1134"/>
      <c r="CV79" s="1134"/>
      <c r="CW79" s="1134"/>
      <c r="CX79" s="1134"/>
      <c r="CY79" s="1134"/>
      <c r="CZ79" s="1134"/>
      <c r="DA79" s="1134"/>
      <c r="DB79" s="1134"/>
      <c r="DC79" s="1134"/>
      <c r="DD79" s="1134"/>
      <c r="DE79" s="1134"/>
      <c r="DF79" s="1134"/>
      <c r="DG79" s="1134"/>
      <c r="DH79" s="1134"/>
      <c r="DI79" s="1134"/>
      <c r="DJ79" s="1134"/>
      <c r="DK79" s="1134"/>
      <c r="DL79" s="1134"/>
      <c r="DM79" s="1134"/>
      <c r="DN79" s="1134"/>
      <c r="DO79" s="1134"/>
      <c r="DP79" s="1134"/>
      <c r="DQ79" s="1134"/>
      <c r="DR79" s="1134"/>
      <c r="DS79" s="1134"/>
      <c r="DT79" s="1134"/>
      <c r="DU79" s="1134"/>
      <c r="DV79" s="1134"/>
      <c r="DW79" s="1134"/>
      <c r="DX79" s="1134"/>
      <c r="DY79" s="1134"/>
      <c r="DZ79" s="1147"/>
      <c r="EA79" s="834"/>
      <c r="EB79" s="834"/>
      <c r="EC79" s="834"/>
      <c r="ED79" s="834"/>
      <c r="EE79" s="834"/>
      <c r="EF79" s="834"/>
      <c r="EG79" s="834"/>
    </row>
    <row r="80" spans="1:137" s="806" customFormat="1" ht="39.950000000000003" customHeight="1">
      <c r="A80" s="928" t="s">
        <v>283</v>
      </c>
      <c r="B80" s="837" t="s">
        <v>284</v>
      </c>
      <c r="C80" s="1030"/>
      <c r="D80" s="1406"/>
      <c r="E80" s="1030"/>
      <c r="F80" s="1030"/>
      <c r="G80" s="1030"/>
      <c r="H80" s="1406"/>
      <c r="I80" s="1030"/>
      <c r="J80" s="1030"/>
      <c r="K80" s="1406"/>
      <c r="L80" s="1030"/>
      <c r="M80" s="1030"/>
      <c r="N80" s="1030"/>
      <c r="O80" s="1030"/>
      <c r="P80" s="1030"/>
      <c r="Q80" s="1030"/>
      <c r="R80" s="1030"/>
      <c r="S80" s="1030"/>
      <c r="T80" s="1030"/>
      <c r="U80" s="1030"/>
      <c r="V80" s="1030"/>
      <c r="W80" s="1030"/>
      <c r="X80" s="1394"/>
      <c r="Y80" s="1030"/>
      <c r="Z80" s="1030"/>
      <c r="AA80" s="1030"/>
      <c r="AB80" s="1030"/>
      <c r="AC80" s="1030"/>
      <c r="AD80" s="1035"/>
      <c r="AE80" s="1035"/>
      <c r="AF80" s="1423"/>
      <c r="AG80" s="1417"/>
      <c r="AH80" s="1035"/>
      <c r="AI80" s="1035"/>
      <c r="AJ80" s="1035"/>
      <c r="AK80" s="1417"/>
      <c r="AL80" s="1417"/>
      <c r="AM80" s="1417"/>
      <c r="AN80" s="1035"/>
      <c r="AO80" s="1035"/>
      <c r="AP80" s="1035"/>
      <c r="AQ80" s="1035"/>
      <c r="AR80" s="1035"/>
      <c r="AS80" s="1035"/>
      <c r="AT80" s="1035"/>
      <c r="AU80" s="1035"/>
      <c r="AV80" s="1417"/>
      <c r="AW80" s="1423"/>
      <c r="AX80" s="1035"/>
      <c r="AY80" s="1035"/>
      <c r="AZ80" s="1035"/>
      <c r="BA80" s="1035"/>
      <c r="BB80" s="1035"/>
      <c r="BC80" s="1035"/>
      <c r="BD80" s="1035"/>
      <c r="BE80" s="1035"/>
      <c r="BF80" s="1035"/>
      <c r="BG80" s="1035"/>
      <c r="BH80" s="1035"/>
      <c r="BI80" s="1035"/>
      <c r="BJ80" s="1035"/>
      <c r="BK80" s="1035"/>
      <c r="BL80" s="1035"/>
      <c r="BM80" s="1035"/>
      <c r="BN80" s="1035"/>
      <c r="BO80" s="1035"/>
      <c r="BP80" s="1035"/>
      <c r="BQ80" s="1035"/>
      <c r="BR80" s="1035"/>
      <c r="BS80" s="1035"/>
      <c r="BT80" s="1035"/>
      <c r="BU80" s="805"/>
      <c r="BV80" s="1035"/>
      <c r="BW80" s="1035"/>
      <c r="BX80" s="1035"/>
      <c r="BY80" s="1030"/>
      <c r="BZ80" s="1035"/>
      <c r="CA80" s="1142">
        <f t="shared" si="4"/>
        <v>0</v>
      </c>
      <c r="CB80" s="1153"/>
      <c r="CC80" s="1134"/>
      <c r="CD80" s="1134"/>
      <c r="CE80" s="1134"/>
      <c r="CF80" s="1134"/>
      <c r="CG80" s="1134"/>
      <c r="CH80" s="1134"/>
      <c r="CI80" s="1134"/>
      <c r="CJ80" s="1134"/>
      <c r="CK80" s="1134"/>
      <c r="CL80" s="1134"/>
      <c r="CM80" s="1134"/>
      <c r="CN80" s="1134"/>
      <c r="CO80" s="1134"/>
      <c r="CP80" s="1134"/>
      <c r="CQ80" s="1134"/>
      <c r="CR80" s="1134"/>
      <c r="CS80" s="1134"/>
      <c r="CT80" s="1134"/>
      <c r="CU80" s="1134"/>
      <c r="CV80" s="1134"/>
      <c r="CW80" s="1134"/>
      <c r="CX80" s="1134"/>
      <c r="CY80" s="1134"/>
      <c r="CZ80" s="1134"/>
      <c r="DA80" s="1134"/>
      <c r="DB80" s="1134"/>
      <c r="DC80" s="1134"/>
      <c r="DD80" s="1134"/>
      <c r="DE80" s="1134"/>
      <c r="DF80" s="1134"/>
      <c r="DG80" s="1134"/>
      <c r="DH80" s="1134"/>
      <c r="DI80" s="1134"/>
      <c r="DJ80" s="1134"/>
      <c r="DK80" s="1134"/>
      <c r="DL80" s="1134"/>
      <c r="DM80" s="1134"/>
      <c r="DN80" s="1134"/>
      <c r="DO80" s="1134"/>
      <c r="DP80" s="1134"/>
      <c r="DQ80" s="1134"/>
      <c r="DR80" s="1134"/>
      <c r="DS80" s="1134"/>
      <c r="DT80" s="1134"/>
      <c r="DU80" s="1134"/>
      <c r="DV80" s="1134"/>
      <c r="DW80" s="1134"/>
      <c r="DX80" s="1134"/>
      <c r="DY80" s="1134"/>
      <c r="DZ80" s="1147"/>
      <c r="EA80" s="834"/>
      <c r="EB80" s="834"/>
      <c r="EC80" s="834"/>
      <c r="ED80" s="834"/>
      <c r="EE80" s="834"/>
      <c r="EF80" s="834"/>
      <c r="EG80" s="834"/>
    </row>
    <row r="81" spans="1:137" s="805" customFormat="1" ht="39.950000000000003" hidden="1" customHeight="1">
      <c r="A81" s="928" t="s">
        <v>285</v>
      </c>
      <c r="B81" s="837" t="s">
        <v>286</v>
      </c>
      <c r="C81" s="1030"/>
      <c r="D81" s="1406"/>
      <c r="E81" s="1030"/>
      <c r="F81" s="1030"/>
      <c r="G81" s="1030"/>
      <c r="H81" s="1406"/>
      <c r="I81" s="1030"/>
      <c r="J81" s="1030"/>
      <c r="K81" s="1406"/>
      <c r="L81" s="1030"/>
      <c r="M81" s="1030"/>
      <c r="N81" s="1030"/>
      <c r="O81" s="1030"/>
      <c r="P81" s="1030"/>
      <c r="Q81" s="1030"/>
      <c r="R81" s="1030"/>
      <c r="S81" s="1030"/>
      <c r="T81" s="1030"/>
      <c r="U81" s="1030"/>
      <c r="V81" s="1030"/>
      <c r="W81" s="1030"/>
      <c r="X81" s="1394"/>
      <c r="Y81" s="1030"/>
      <c r="Z81" s="1030"/>
      <c r="AA81" s="1030"/>
      <c r="AB81" s="1030"/>
      <c r="AC81" s="1030"/>
      <c r="AD81" s="1035"/>
      <c r="AE81" s="1035"/>
      <c r="AF81" s="1423"/>
      <c r="AG81" s="1417"/>
      <c r="AH81" s="1035"/>
      <c r="AI81" s="1035"/>
      <c r="AJ81" s="1035"/>
      <c r="AK81" s="1417"/>
      <c r="AL81" s="1417"/>
      <c r="AM81" s="1417"/>
      <c r="AN81" s="1035"/>
      <c r="AO81" s="1035"/>
      <c r="AP81" s="1035"/>
      <c r="AQ81" s="1035"/>
      <c r="AR81" s="1035"/>
      <c r="AS81" s="1035"/>
      <c r="AT81" s="1035"/>
      <c r="AU81" s="1035"/>
      <c r="AV81" s="1417"/>
      <c r="AW81" s="1423"/>
      <c r="AX81" s="1035"/>
      <c r="AY81" s="1035"/>
      <c r="AZ81" s="1035"/>
      <c r="BA81" s="1035"/>
      <c r="BB81" s="1035"/>
      <c r="BC81" s="1035"/>
      <c r="BD81" s="1035"/>
      <c r="BE81" s="1035"/>
      <c r="BF81" s="1035"/>
      <c r="BG81" s="1035"/>
      <c r="BH81" s="1035"/>
      <c r="BI81" s="1035"/>
      <c r="BJ81" s="1035"/>
      <c r="BK81" s="1035"/>
      <c r="BL81" s="1035"/>
      <c r="BM81" s="1035"/>
      <c r="BN81" s="1035"/>
      <c r="BO81" s="1035"/>
      <c r="BP81" s="1035"/>
      <c r="BQ81" s="1035"/>
      <c r="BR81" s="1035"/>
      <c r="BS81" s="1035"/>
      <c r="BT81" s="1035"/>
      <c r="BU81" s="1035"/>
      <c r="BV81" s="1035"/>
      <c r="BW81" s="1035"/>
      <c r="BX81" s="1035"/>
      <c r="BY81" s="1030"/>
      <c r="BZ81" s="1035"/>
      <c r="CA81" s="1142">
        <f t="shared" si="4"/>
        <v>0</v>
      </c>
      <c r="CB81" s="1153"/>
      <c r="CC81" s="1134"/>
      <c r="CD81" s="1134"/>
      <c r="CE81" s="1134"/>
      <c r="CF81" s="1134"/>
      <c r="CG81" s="1134"/>
      <c r="CH81" s="1134"/>
      <c r="CI81" s="1134"/>
      <c r="CJ81" s="1134"/>
      <c r="CK81" s="1134"/>
      <c r="CL81" s="1134"/>
      <c r="CM81" s="1134"/>
      <c r="CN81" s="1134"/>
      <c r="CO81" s="1134"/>
      <c r="CP81" s="1134"/>
      <c r="CQ81" s="1134"/>
      <c r="CR81" s="1134"/>
      <c r="CS81" s="1134"/>
      <c r="CT81" s="1134"/>
      <c r="CU81" s="1134"/>
      <c r="CV81" s="1134"/>
      <c r="CW81" s="1134"/>
      <c r="CX81" s="1134"/>
      <c r="CY81" s="1134"/>
      <c r="CZ81" s="1134"/>
      <c r="DA81" s="1134"/>
      <c r="DB81" s="1134"/>
      <c r="DC81" s="1134"/>
      <c r="DD81" s="1134"/>
      <c r="DE81" s="1134"/>
      <c r="DF81" s="1134"/>
      <c r="DG81" s="1134"/>
      <c r="DH81" s="1134"/>
      <c r="DI81" s="1134"/>
      <c r="DJ81" s="1134"/>
      <c r="DK81" s="1134"/>
      <c r="DL81" s="1134"/>
      <c r="DM81" s="1134"/>
      <c r="DN81" s="1134"/>
      <c r="DO81" s="1134"/>
      <c r="DP81" s="1134"/>
      <c r="DQ81" s="1134"/>
      <c r="DR81" s="1134"/>
      <c r="DS81" s="1134"/>
      <c r="DT81" s="1134"/>
      <c r="DU81" s="1134"/>
      <c r="DV81" s="1134"/>
      <c r="DW81" s="1134"/>
      <c r="DX81" s="1134"/>
      <c r="DY81" s="1134"/>
      <c r="DZ81" s="1147"/>
      <c r="EA81" s="834"/>
      <c r="EB81" s="834"/>
      <c r="EC81" s="834"/>
      <c r="ED81" s="834"/>
      <c r="EE81" s="834"/>
      <c r="EF81" s="834"/>
      <c r="EG81" s="834"/>
    </row>
    <row r="82" spans="1:137" s="806" customFormat="1" ht="39.950000000000003" customHeight="1">
      <c r="A82" s="925" t="s">
        <v>287</v>
      </c>
      <c r="B82" s="836" t="s">
        <v>288</v>
      </c>
      <c r="C82" s="1027"/>
      <c r="D82" s="1406"/>
      <c r="E82" s="1027"/>
      <c r="F82" s="1027"/>
      <c r="G82" s="1027"/>
      <c r="H82" s="1406"/>
      <c r="I82" s="1027"/>
      <c r="J82" s="1027"/>
      <c r="K82" s="1406"/>
      <c r="L82" s="1027"/>
      <c r="M82" s="1027"/>
      <c r="N82" s="1027"/>
      <c r="O82" s="1027"/>
      <c r="P82" s="1027"/>
      <c r="Q82" s="1027"/>
      <c r="R82" s="1027"/>
      <c r="S82" s="1027"/>
      <c r="T82" s="1027"/>
      <c r="U82" s="1027"/>
      <c r="V82" s="1027"/>
      <c r="W82" s="1027"/>
      <c r="X82" s="1394"/>
      <c r="Y82" s="1027"/>
      <c r="Z82" s="1027"/>
      <c r="AA82" s="1027"/>
      <c r="AB82" s="1027"/>
      <c r="AC82" s="1027"/>
      <c r="AD82" s="1028"/>
      <c r="AE82" s="1028"/>
      <c r="AF82" s="1423"/>
      <c r="AG82" s="1417"/>
      <c r="AH82" s="1028"/>
      <c r="AI82" s="1028"/>
      <c r="AJ82" s="1028"/>
      <c r="AK82" s="1417"/>
      <c r="AL82" s="1417"/>
      <c r="AM82" s="1417"/>
      <c r="AN82" s="1028"/>
      <c r="AO82" s="1028"/>
      <c r="AP82" s="1028"/>
      <c r="AQ82" s="1028"/>
      <c r="AR82" s="1028"/>
      <c r="AS82" s="1028"/>
      <c r="AT82" s="1028"/>
      <c r="AU82" s="1028"/>
      <c r="AV82" s="1417"/>
      <c r="AW82" s="1423"/>
      <c r="AX82" s="1028"/>
      <c r="AY82" s="1028"/>
      <c r="AZ82" s="1028"/>
      <c r="BA82" s="1028"/>
      <c r="BB82" s="1028"/>
      <c r="BC82" s="1028"/>
      <c r="BD82" s="1028"/>
      <c r="BE82" s="1028"/>
      <c r="BF82" s="1028"/>
      <c r="BG82" s="1028"/>
      <c r="BH82" s="1028"/>
      <c r="BI82" s="1028"/>
      <c r="BJ82" s="1028"/>
      <c r="BK82" s="1028"/>
      <c r="BL82" s="1028"/>
      <c r="BM82" s="1028"/>
      <c r="BN82" s="1028"/>
      <c r="BO82" s="1028"/>
      <c r="BP82" s="1028"/>
      <c r="BQ82" s="1028"/>
      <c r="BR82" s="1028"/>
      <c r="BS82" s="1028"/>
      <c r="BT82" s="1028"/>
      <c r="BU82" s="1028"/>
      <c r="BV82" s="1028"/>
      <c r="BW82" s="824"/>
      <c r="BX82" s="1028"/>
      <c r="BY82" s="1028"/>
      <c r="BZ82" s="1028"/>
      <c r="CA82" s="1142"/>
      <c r="CB82" s="1153"/>
      <c r="CC82" s="1134"/>
      <c r="CD82" s="1134"/>
      <c r="CE82" s="1134"/>
      <c r="CF82" s="1134"/>
      <c r="CG82" s="1134"/>
      <c r="CH82" s="1134"/>
      <c r="CI82" s="1134"/>
      <c r="CJ82" s="1134"/>
      <c r="CK82" s="1134"/>
      <c r="CL82" s="1134"/>
      <c r="CM82" s="1134"/>
      <c r="CN82" s="1134"/>
      <c r="CO82" s="1134"/>
      <c r="CP82" s="1134"/>
      <c r="CQ82" s="1134"/>
      <c r="CR82" s="1134"/>
      <c r="CS82" s="1134"/>
      <c r="CT82" s="1134"/>
      <c r="CU82" s="1134"/>
      <c r="CV82" s="1134"/>
      <c r="CW82" s="1134"/>
      <c r="CX82" s="1134"/>
      <c r="CY82" s="1134"/>
      <c r="CZ82" s="1134"/>
      <c r="DA82" s="1134"/>
      <c r="DB82" s="1134"/>
      <c r="DC82" s="1134"/>
      <c r="DD82" s="1134"/>
      <c r="DE82" s="1134"/>
      <c r="DF82" s="1134"/>
      <c r="DG82" s="1134"/>
      <c r="DH82" s="1134"/>
      <c r="DI82" s="1134"/>
      <c r="DJ82" s="1134"/>
      <c r="DK82" s="1134"/>
      <c r="DL82" s="1134"/>
      <c r="DM82" s="1134"/>
      <c r="DN82" s="1134"/>
      <c r="DO82" s="1134"/>
      <c r="DP82" s="1134"/>
      <c r="DQ82" s="1134"/>
      <c r="DR82" s="1134"/>
      <c r="DS82" s="1134"/>
      <c r="DT82" s="1134"/>
      <c r="DU82" s="1134"/>
      <c r="DV82" s="1134"/>
      <c r="DW82" s="1134"/>
      <c r="DX82" s="1134"/>
      <c r="DY82" s="1134"/>
      <c r="DZ82" s="1147"/>
      <c r="EA82" s="834"/>
      <c r="EB82" s="834"/>
      <c r="EC82" s="834"/>
      <c r="ED82" s="834"/>
      <c r="EE82" s="834"/>
      <c r="EF82" s="834"/>
      <c r="EG82" s="834"/>
    </row>
    <row r="83" spans="1:137" s="806" customFormat="1" ht="39.950000000000003" customHeight="1">
      <c r="A83" s="925" t="s">
        <v>289</v>
      </c>
      <c r="B83" s="1025" t="s">
        <v>290</v>
      </c>
      <c r="C83" s="1027"/>
      <c r="D83" s="1406"/>
      <c r="E83" s="1027"/>
      <c r="F83" s="1027"/>
      <c r="G83" s="1027"/>
      <c r="H83" s="1406"/>
      <c r="I83" s="1027"/>
      <c r="J83" s="1027"/>
      <c r="K83" s="1406"/>
      <c r="L83" s="1027"/>
      <c r="M83" s="1027"/>
      <c r="N83" s="1027"/>
      <c r="O83" s="1027"/>
      <c r="P83" s="1027"/>
      <c r="Q83" s="1027"/>
      <c r="R83" s="1027"/>
      <c r="S83" s="1027"/>
      <c r="T83" s="1027"/>
      <c r="U83" s="1027"/>
      <c r="V83" s="1027"/>
      <c r="W83" s="1027"/>
      <c r="X83" s="1394"/>
      <c r="Y83" s="1027"/>
      <c r="Z83" s="1027"/>
      <c r="AA83" s="1027"/>
      <c r="AB83" s="1027"/>
      <c r="AC83" s="1027"/>
      <c r="AD83" s="1028"/>
      <c r="AE83" s="1028"/>
      <c r="AF83" s="1423"/>
      <c r="AG83" s="1417"/>
      <c r="AH83" s="1028"/>
      <c r="AI83" s="1028"/>
      <c r="AJ83" s="1028"/>
      <c r="AK83" s="1417"/>
      <c r="AL83" s="1417"/>
      <c r="AM83" s="1417"/>
      <c r="AN83" s="1028"/>
      <c r="AO83" s="1028"/>
      <c r="AP83" s="1028"/>
      <c r="AQ83" s="1028"/>
      <c r="AR83" s="1028"/>
      <c r="AS83" s="1028"/>
      <c r="AT83" s="1028"/>
      <c r="AU83" s="1028"/>
      <c r="AV83" s="1417"/>
      <c r="AW83" s="1423"/>
      <c r="AX83" s="1028"/>
      <c r="AY83" s="1028"/>
      <c r="AZ83" s="1028"/>
      <c r="BA83" s="1028"/>
      <c r="BB83" s="1028"/>
      <c r="BC83" s="1028"/>
      <c r="BD83" s="1028"/>
      <c r="BE83" s="1028"/>
      <c r="BF83" s="1028"/>
      <c r="BG83" s="1028"/>
      <c r="BH83" s="1028"/>
      <c r="BI83" s="1028"/>
      <c r="BJ83" s="1028"/>
      <c r="BK83" s="1028"/>
      <c r="BL83" s="1028"/>
      <c r="BM83" s="1028"/>
      <c r="BN83" s="1028"/>
      <c r="BO83" s="1028"/>
      <c r="BP83" s="1028"/>
      <c r="BQ83" s="1028"/>
      <c r="BR83" s="1028"/>
      <c r="BS83" s="1028"/>
      <c r="BT83" s="1028"/>
      <c r="BU83" s="1028">
        <f>Отчет!J183+1276.67982</f>
        <v>1704168.67982</v>
      </c>
      <c r="BV83" s="1028"/>
      <c r="BW83" s="1028"/>
      <c r="BX83" s="824"/>
      <c r="BY83" s="1027"/>
      <c r="BZ83" s="1028"/>
      <c r="CA83" s="1142">
        <f t="shared" si="4"/>
        <v>1704168.67982</v>
      </c>
      <c r="CB83" s="1153"/>
      <c r="CC83" s="1134"/>
      <c r="CD83" s="1134"/>
      <c r="CE83" s="1134"/>
      <c r="CF83" s="1134"/>
      <c r="CG83" s="1134"/>
      <c r="CH83" s="1134"/>
      <c r="CI83" s="1134"/>
      <c r="CJ83" s="1134"/>
      <c r="CK83" s="1134"/>
      <c r="CL83" s="1134"/>
      <c r="CM83" s="1134"/>
      <c r="CN83" s="1134"/>
      <c r="CO83" s="1134"/>
      <c r="CP83" s="1134"/>
      <c r="CQ83" s="1134"/>
      <c r="CR83" s="1134"/>
      <c r="CS83" s="1134"/>
      <c r="CT83" s="1134"/>
      <c r="CU83" s="1134"/>
      <c r="CV83" s="1134"/>
      <c r="CW83" s="1134"/>
      <c r="CX83" s="1134"/>
      <c r="CY83" s="1134"/>
      <c r="CZ83" s="1134"/>
      <c r="DA83" s="1134"/>
      <c r="DB83" s="1134"/>
      <c r="DC83" s="1134"/>
      <c r="DD83" s="1134"/>
      <c r="DE83" s="1134"/>
      <c r="DF83" s="1134"/>
      <c r="DG83" s="1134"/>
      <c r="DH83" s="1134"/>
      <c r="DI83" s="1134"/>
      <c r="DJ83" s="1134"/>
      <c r="DK83" s="1134"/>
      <c r="DL83" s="1134"/>
      <c r="DM83" s="1134"/>
      <c r="DN83" s="1134"/>
      <c r="DO83" s="1134"/>
      <c r="DP83" s="1134"/>
      <c r="DQ83" s="1134"/>
      <c r="DR83" s="1134"/>
      <c r="DS83" s="1134"/>
      <c r="DT83" s="1134"/>
      <c r="DU83" s="1134"/>
      <c r="DV83" s="1134"/>
      <c r="DW83" s="1134"/>
      <c r="DX83" s="1134"/>
      <c r="DY83" s="1134"/>
      <c r="DZ83" s="1147"/>
      <c r="EA83" s="834"/>
      <c r="EB83" s="834"/>
      <c r="EC83" s="834"/>
      <c r="ED83" s="834"/>
      <c r="EE83" s="834"/>
      <c r="EF83" s="834"/>
      <c r="EG83" s="834"/>
    </row>
    <row r="84" spans="1:137" s="806" customFormat="1" ht="39.950000000000003" customHeight="1">
      <c r="A84" s="925" t="s">
        <v>291</v>
      </c>
      <c r="B84" s="836" t="s">
        <v>292</v>
      </c>
      <c r="C84" s="1027"/>
      <c r="D84" s="1406"/>
      <c r="E84" s="1027"/>
      <c r="F84" s="1027"/>
      <c r="G84" s="1027"/>
      <c r="H84" s="1406"/>
      <c r="I84" s="1027"/>
      <c r="J84" s="1027"/>
      <c r="K84" s="1406"/>
      <c r="L84" s="1027"/>
      <c r="M84" s="1027"/>
      <c r="N84" s="1027"/>
      <c r="O84" s="1027"/>
      <c r="P84" s="1027"/>
      <c r="Q84" s="1027"/>
      <c r="R84" s="1027"/>
      <c r="S84" s="1027"/>
      <c r="T84" s="1027"/>
      <c r="U84" s="1027"/>
      <c r="V84" s="1027"/>
      <c r="W84" s="1027"/>
      <c r="X84" s="1394"/>
      <c r="Y84" s="1027"/>
      <c r="Z84" s="1027"/>
      <c r="AA84" s="1027"/>
      <c r="AB84" s="1027"/>
      <c r="AC84" s="1027"/>
      <c r="AD84" s="1028"/>
      <c r="AE84" s="1028"/>
      <c r="AF84" s="1423"/>
      <c r="AG84" s="1417"/>
      <c r="AH84" s="1028"/>
      <c r="AI84" s="1028"/>
      <c r="AJ84" s="1028"/>
      <c r="AK84" s="1417"/>
      <c r="AL84" s="1417"/>
      <c r="AM84" s="1417"/>
      <c r="AN84" s="1028"/>
      <c r="AO84" s="1028"/>
      <c r="AP84" s="1028"/>
      <c r="AQ84" s="1028"/>
      <c r="AR84" s="1028"/>
      <c r="AS84" s="1028"/>
      <c r="AT84" s="1028"/>
      <c r="AU84" s="1028"/>
      <c r="AV84" s="1417"/>
      <c r="AW84" s="1423"/>
      <c r="AX84" s="1028"/>
      <c r="AY84" s="1028"/>
      <c r="AZ84" s="1028">
        <f>Отчет!J80</f>
        <v>121090</v>
      </c>
      <c r="BA84" s="1028"/>
      <c r="BB84" s="1028"/>
      <c r="BC84" s="1028"/>
      <c r="BD84" s="1028"/>
      <c r="BE84" s="1028"/>
      <c r="BF84" s="1028"/>
      <c r="BG84" s="1028"/>
      <c r="BH84" s="1028"/>
      <c r="BI84" s="1028"/>
      <c r="BJ84" s="1028">
        <f>+Отчет!J48</f>
        <v>10833032</v>
      </c>
      <c r="BK84" s="1028"/>
      <c r="BL84" s="1028"/>
      <c r="BM84" s="1028"/>
      <c r="BN84" s="824"/>
      <c r="BO84" s="1028"/>
      <c r="BP84" s="1028"/>
      <c r="BQ84" s="1028"/>
      <c r="BR84" s="1028"/>
      <c r="BS84" s="1028"/>
      <c r="BT84" s="1028"/>
      <c r="BU84" s="1028"/>
      <c r="BV84" s="1028"/>
      <c r="BW84" s="1028"/>
      <c r="BX84" s="1028"/>
      <c r="BY84" s="1027"/>
      <c r="BZ84" s="1028"/>
      <c r="CA84" s="1142">
        <f t="shared" si="4"/>
        <v>10954122</v>
      </c>
      <c r="CB84" s="1153"/>
      <c r="CC84" s="1134"/>
      <c r="CD84" s="1134"/>
      <c r="CE84" s="1134"/>
      <c r="CF84" s="1134"/>
      <c r="CG84" s="1134"/>
      <c r="CH84" s="1134"/>
      <c r="CI84" s="1134"/>
      <c r="CJ84" s="1134"/>
      <c r="CK84" s="1134"/>
      <c r="CL84" s="1134"/>
      <c r="CM84" s="1134"/>
      <c r="CN84" s="1134"/>
      <c r="CO84" s="1134"/>
      <c r="CP84" s="1134"/>
      <c r="CQ84" s="1134"/>
      <c r="CR84" s="1134"/>
      <c r="CS84" s="1134"/>
      <c r="CT84" s="1134"/>
      <c r="CU84" s="1134"/>
      <c r="CV84" s="1134"/>
      <c r="CW84" s="1134"/>
      <c r="CX84" s="1134"/>
      <c r="CY84" s="1134"/>
      <c r="CZ84" s="1134"/>
      <c r="DA84" s="1134"/>
      <c r="DB84" s="1134"/>
      <c r="DC84" s="1134"/>
      <c r="DD84" s="1134"/>
      <c r="DE84" s="1134"/>
      <c r="DF84" s="1134"/>
      <c r="DG84" s="1134"/>
      <c r="DH84" s="1134"/>
      <c r="DI84" s="1134"/>
      <c r="DJ84" s="1134"/>
      <c r="DK84" s="1134"/>
      <c r="DL84" s="1134"/>
      <c r="DM84" s="1134"/>
      <c r="DN84" s="1134"/>
      <c r="DO84" s="1134"/>
      <c r="DP84" s="1134"/>
      <c r="DQ84" s="1134"/>
      <c r="DR84" s="1134"/>
      <c r="DS84" s="1134"/>
      <c r="DT84" s="1134"/>
      <c r="DU84" s="1134"/>
      <c r="DV84" s="1134"/>
      <c r="DW84" s="1134"/>
      <c r="DX84" s="1134"/>
      <c r="DY84" s="1134"/>
      <c r="DZ84" s="1147"/>
      <c r="EA84" s="834"/>
      <c r="EB84" s="834"/>
      <c r="EC84" s="834"/>
      <c r="ED84" s="834"/>
      <c r="EE84" s="834"/>
      <c r="EF84" s="834"/>
      <c r="EG84" s="834"/>
    </row>
    <row r="85" spans="1:137" s="805" customFormat="1" ht="39.950000000000003" customHeight="1">
      <c r="A85" s="928" t="s">
        <v>293</v>
      </c>
      <c r="B85" s="1039" t="s">
        <v>294</v>
      </c>
      <c r="C85" s="1040"/>
      <c r="D85" s="1409"/>
      <c r="E85" s="1040"/>
      <c r="F85" s="1040"/>
      <c r="G85" s="1040"/>
      <c r="H85" s="1409"/>
      <c r="I85" s="1040"/>
      <c r="J85" s="1040"/>
      <c r="K85" s="1409"/>
      <c r="L85" s="1040"/>
      <c r="M85" s="1040"/>
      <c r="N85" s="1040"/>
      <c r="O85" s="1040"/>
      <c r="P85" s="1040"/>
      <c r="Q85" s="1040"/>
      <c r="R85" s="1040"/>
      <c r="S85" s="1040"/>
      <c r="T85" s="1040"/>
      <c r="U85" s="1040"/>
      <c r="V85" s="1040"/>
      <c r="W85" s="1040"/>
      <c r="X85" s="1396"/>
      <c r="Y85" s="1040"/>
      <c r="Z85" s="1040"/>
      <c r="AA85" s="1040"/>
      <c r="AB85" s="1040"/>
      <c r="AC85" s="1040"/>
      <c r="AD85" s="1041"/>
      <c r="AE85" s="1041"/>
      <c r="AF85" s="1426"/>
      <c r="AG85" s="1431"/>
      <c r="AH85" s="1041"/>
      <c r="AI85" s="1041"/>
      <c r="AJ85" s="1041"/>
      <c r="AK85" s="1431"/>
      <c r="AL85" s="1431"/>
      <c r="AM85" s="1431"/>
      <c r="AN85" s="1041"/>
      <c r="AO85" s="1041"/>
      <c r="AP85" s="1041"/>
      <c r="AQ85" s="1041"/>
      <c r="AR85" s="1041"/>
      <c r="AS85" s="1041"/>
      <c r="AT85" s="1041"/>
      <c r="AU85" s="1041"/>
      <c r="AV85" s="1431"/>
      <c r="AW85" s="1426"/>
      <c r="AX85" s="1041"/>
      <c r="AY85" s="1041"/>
      <c r="AZ85" s="1041"/>
      <c r="BA85" s="1041"/>
      <c r="BB85" s="1041"/>
      <c r="BC85" s="1041"/>
      <c r="BD85" s="1041"/>
      <c r="BE85" s="1041"/>
      <c r="BF85" s="1041"/>
      <c r="BG85" s="1041"/>
      <c r="BH85" s="1041"/>
      <c r="BI85" s="1041"/>
      <c r="BJ85" s="1041"/>
      <c r="BK85" s="1041"/>
      <c r="BL85" s="1041"/>
      <c r="BM85" s="1041"/>
      <c r="BN85" s="1041"/>
      <c r="BO85" s="1041"/>
      <c r="BP85" s="1041"/>
      <c r="BQ85" s="1041"/>
      <c r="BR85" s="1041"/>
      <c r="BS85" s="1041"/>
      <c r="BT85" s="1041"/>
      <c r="BU85" s="1041"/>
      <c r="BV85" s="1041"/>
      <c r="BW85" s="1041"/>
      <c r="BX85" s="1041"/>
      <c r="BY85" s="1040"/>
      <c r="BZ85" s="1041"/>
      <c r="CA85" s="1142">
        <f t="shared" si="4"/>
        <v>0</v>
      </c>
      <c r="CB85" s="1153"/>
      <c r="CC85" s="1134"/>
      <c r="CD85" s="1134"/>
      <c r="CE85" s="1134"/>
      <c r="CF85" s="1134"/>
      <c r="CG85" s="1134"/>
      <c r="CH85" s="1134"/>
      <c r="CI85" s="1134"/>
      <c r="CJ85" s="1134"/>
      <c r="CK85" s="1134"/>
      <c r="CL85" s="1134"/>
      <c r="CM85" s="1134"/>
      <c r="CN85" s="1134"/>
      <c r="CO85" s="1134"/>
      <c r="CP85" s="1134"/>
      <c r="CQ85" s="1134"/>
      <c r="CR85" s="1134"/>
      <c r="CS85" s="1134"/>
      <c r="CT85" s="1134"/>
      <c r="CU85" s="1134"/>
      <c r="CV85" s="1134"/>
      <c r="CW85" s="1134"/>
      <c r="CX85" s="1134"/>
      <c r="CY85" s="1134"/>
      <c r="CZ85" s="1134"/>
      <c r="DA85" s="1134"/>
      <c r="DB85" s="1134"/>
      <c r="DC85" s="1134"/>
      <c r="DD85" s="1134"/>
      <c r="DE85" s="1134"/>
      <c r="DF85" s="1134"/>
      <c r="DG85" s="1134"/>
      <c r="DH85" s="1134"/>
      <c r="DI85" s="1134"/>
      <c r="DJ85" s="1134"/>
      <c r="DK85" s="1134"/>
      <c r="DL85" s="1134"/>
      <c r="DM85" s="1134"/>
      <c r="DN85" s="1134"/>
      <c r="DO85" s="1134"/>
      <c r="DP85" s="1134"/>
      <c r="DQ85" s="1134"/>
      <c r="DR85" s="1134"/>
      <c r="DS85" s="1134"/>
      <c r="DT85" s="1134"/>
      <c r="DU85" s="1134"/>
      <c r="DV85" s="1134"/>
      <c r="DW85" s="1134"/>
      <c r="DX85" s="1134"/>
      <c r="DY85" s="1134"/>
      <c r="DZ85" s="1147"/>
      <c r="EA85" s="834"/>
      <c r="EB85" s="834"/>
      <c r="EC85" s="834"/>
      <c r="ED85" s="834"/>
      <c r="EE85" s="834"/>
      <c r="EF85" s="834"/>
      <c r="EG85" s="834"/>
    </row>
    <row r="86" spans="1:137" s="805" customFormat="1" ht="39.950000000000003" customHeight="1">
      <c r="A86" s="928" t="s">
        <v>295</v>
      </c>
      <c r="B86" s="1039" t="s">
        <v>296</v>
      </c>
      <c r="C86" s="1040"/>
      <c r="D86" s="1409"/>
      <c r="E86" s="1040"/>
      <c r="F86" s="1040"/>
      <c r="G86" s="1040"/>
      <c r="H86" s="1409"/>
      <c r="I86" s="1040"/>
      <c r="J86" s="1040"/>
      <c r="K86" s="1409"/>
      <c r="L86" s="1040"/>
      <c r="M86" s="1040"/>
      <c r="N86" s="1040"/>
      <c r="O86" s="1040"/>
      <c r="P86" s="1040"/>
      <c r="Q86" s="1040"/>
      <c r="R86" s="1040"/>
      <c r="S86" s="1040"/>
      <c r="T86" s="1040"/>
      <c r="U86" s="1040"/>
      <c r="V86" s="1040"/>
      <c r="W86" s="1040"/>
      <c r="X86" s="1396"/>
      <c r="Y86" s="1040"/>
      <c r="Z86" s="1040"/>
      <c r="AA86" s="1040"/>
      <c r="AB86" s="1040"/>
      <c r="AC86" s="1040"/>
      <c r="AD86" s="1041"/>
      <c r="AE86" s="1041"/>
      <c r="AF86" s="1426"/>
      <c r="AG86" s="1431"/>
      <c r="AH86" s="1041"/>
      <c r="AI86" s="1041"/>
      <c r="AJ86" s="1041"/>
      <c r="AK86" s="1431"/>
      <c r="AL86" s="1431"/>
      <c r="AM86" s="1431"/>
      <c r="AN86" s="1041"/>
      <c r="AO86" s="1041"/>
      <c r="AP86" s="1041"/>
      <c r="AQ86" s="1041"/>
      <c r="AR86" s="1041"/>
      <c r="AS86" s="1041"/>
      <c r="AT86" s="1041"/>
      <c r="AU86" s="1041"/>
      <c r="AV86" s="1431"/>
      <c r="AW86" s="1426"/>
      <c r="AX86" s="1041"/>
      <c r="AY86" s="1041"/>
      <c r="AZ86" s="1041"/>
      <c r="BA86" s="1041"/>
      <c r="BB86" s="1041"/>
      <c r="BC86" s="1041"/>
      <c r="BD86" s="1041"/>
      <c r="BE86" s="1041"/>
      <c r="BF86" s="1041"/>
      <c r="BG86" s="1041"/>
      <c r="BH86" s="1041"/>
      <c r="BI86" s="1041"/>
      <c r="BJ86" s="1041"/>
      <c r="BK86" s="1041"/>
      <c r="BL86" s="1041"/>
      <c r="BM86" s="1041"/>
      <c r="BN86" s="1041"/>
      <c r="BO86" s="1041"/>
      <c r="BP86" s="1041"/>
      <c r="BQ86" s="1041"/>
      <c r="BR86" s="1041"/>
      <c r="BS86" s="1041"/>
      <c r="BT86" s="1041"/>
      <c r="BU86" s="1041"/>
      <c r="BV86" s="1041"/>
      <c r="BW86" s="1041"/>
      <c r="BX86" s="1041"/>
      <c r="BY86" s="1040"/>
      <c r="BZ86" s="1041"/>
      <c r="CA86" s="1142">
        <f t="shared" si="4"/>
        <v>0</v>
      </c>
      <c r="CB86" s="1153"/>
      <c r="CC86" s="1134"/>
      <c r="CD86" s="1134"/>
      <c r="CE86" s="1134"/>
      <c r="CF86" s="1134"/>
      <c r="CG86" s="1134"/>
      <c r="CH86" s="1134"/>
      <c r="CI86" s="1134"/>
      <c r="CJ86" s="1134"/>
      <c r="CK86" s="1134"/>
      <c r="CL86" s="1134"/>
      <c r="CM86" s="1134"/>
      <c r="CN86" s="1134"/>
      <c r="CO86" s="1134"/>
      <c r="CP86" s="1134"/>
      <c r="CQ86" s="1134"/>
      <c r="CR86" s="1134"/>
      <c r="CS86" s="1134"/>
      <c r="CT86" s="1134"/>
      <c r="CU86" s="1134"/>
      <c r="CV86" s="1134"/>
      <c r="CW86" s="1134"/>
      <c r="CX86" s="1134"/>
      <c r="CY86" s="1134"/>
      <c r="CZ86" s="1134"/>
      <c r="DA86" s="1134"/>
      <c r="DB86" s="1134"/>
      <c r="DC86" s="1134"/>
      <c r="DD86" s="1134"/>
      <c r="DE86" s="1134"/>
      <c r="DF86" s="1134"/>
      <c r="DG86" s="1134"/>
      <c r="DH86" s="1134"/>
      <c r="DI86" s="1134"/>
      <c r="DJ86" s="1134"/>
      <c r="DK86" s="1134"/>
      <c r="DL86" s="1134"/>
      <c r="DM86" s="1134"/>
      <c r="DN86" s="1134"/>
      <c r="DO86" s="1134"/>
      <c r="DP86" s="1134"/>
      <c r="DQ86" s="1134"/>
      <c r="DR86" s="1134"/>
      <c r="DS86" s="1134"/>
      <c r="DT86" s="1134"/>
      <c r="DU86" s="1134"/>
      <c r="DV86" s="1134"/>
      <c r="DW86" s="1134"/>
      <c r="DX86" s="1134"/>
      <c r="DY86" s="1134"/>
      <c r="DZ86" s="1147"/>
      <c r="EA86" s="834"/>
      <c r="EB86" s="834"/>
      <c r="EC86" s="834"/>
      <c r="ED86" s="834"/>
      <c r="EE86" s="834"/>
      <c r="EF86" s="834"/>
      <c r="EG86" s="834"/>
    </row>
    <row r="87" spans="1:137" s="805" customFormat="1" ht="39.950000000000003" customHeight="1">
      <c r="A87" s="928" t="s">
        <v>297</v>
      </c>
      <c r="B87" s="1039" t="s">
        <v>298</v>
      </c>
      <c r="C87" s="1040"/>
      <c r="D87" s="1409"/>
      <c r="E87" s="1040"/>
      <c r="F87" s="1040"/>
      <c r="G87" s="1040"/>
      <c r="H87" s="1409"/>
      <c r="I87" s="1040"/>
      <c r="J87" s="1040"/>
      <c r="K87" s="1409"/>
      <c r="L87" s="1040"/>
      <c r="M87" s="1040"/>
      <c r="N87" s="1040"/>
      <c r="O87" s="1040"/>
      <c r="P87" s="1040"/>
      <c r="Q87" s="1040"/>
      <c r="R87" s="1040"/>
      <c r="S87" s="1040"/>
      <c r="T87" s="1040"/>
      <c r="U87" s="1040"/>
      <c r="V87" s="1040"/>
      <c r="W87" s="1040"/>
      <c r="X87" s="1396"/>
      <c r="Y87" s="1040"/>
      <c r="Z87" s="1040"/>
      <c r="AA87" s="1040"/>
      <c r="AB87" s="1040"/>
      <c r="AC87" s="1040"/>
      <c r="AD87" s="1041"/>
      <c r="AE87" s="1041"/>
      <c r="AF87" s="1426"/>
      <c r="AG87" s="1431"/>
      <c r="AH87" s="1041"/>
      <c r="AI87" s="1041"/>
      <c r="AJ87" s="1041"/>
      <c r="AK87" s="1431"/>
      <c r="AL87" s="1431"/>
      <c r="AM87" s="1431"/>
      <c r="AN87" s="1041"/>
      <c r="AO87" s="1041"/>
      <c r="AP87" s="1041"/>
      <c r="AQ87" s="1041"/>
      <c r="AR87" s="1041"/>
      <c r="AS87" s="1041"/>
      <c r="AT87" s="1041"/>
      <c r="AU87" s="1041"/>
      <c r="AV87" s="1431"/>
      <c r="AW87" s="1426"/>
      <c r="AX87" s="1041"/>
      <c r="AY87" s="1041"/>
      <c r="AZ87" s="1041"/>
      <c r="BA87" s="1041"/>
      <c r="BB87" s="1041"/>
      <c r="BC87" s="1041"/>
      <c r="BD87" s="1041"/>
      <c r="BE87" s="1041"/>
      <c r="BF87" s="1041"/>
      <c r="BG87" s="1041"/>
      <c r="BH87" s="1041"/>
      <c r="BI87" s="1041"/>
      <c r="BJ87" s="1041"/>
      <c r="BK87" s="1041"/>
      <c r="BL87" s="1041"/>
      <c r="BM87" s="1041"/>
      <c r="BN87" s="1041"/>
      <c r="BO87" s="1041"/>
      <c r="BP87" s="1041"/>
      <c r="BQ87" s="1041"/>
      <c r="BR87" s="1041"/>
      <c r="BS87" s="1041"/>
      <c r="BT87" s="1041"/>
      <c r="BU87" s="1041"/>
      <c r="BV87" s="1041"/>
      <c r="BW87" s="1041"/>
      <c r="BX87" s="1041"/>
      <c r="BY87" s="1040"/>
      <c r="BZ87" s="1041"/>
      <c r="CA87" s="1142">
        <f t="shared" si="4"/>
        <v>0</v>
      </c>
      <c r="CB87" s="1153"/>
      <c r="CC87" s="1134"/>
      <c r="CD87" s="1134"/>
      <c r="CE87" s="1134"/>
      <c r="CF87" s="1134"/>
      <c r="CG87" s="1134"/>
      <c r="CH87" s="1134"/>
      <c r="CI87" s="1134"/>
      <c r="CJ87" s="1134"/>
      <c r="CK87" s="1134"/>
      <c r="CL87" s="1134"/>
      <c r="CM87" s="1134"/>
      <c r="CN87" s="1134"/>
      <c r="CO87" s="1134"/>
      <c r="CP87" s="1134"/>
      <c r="CQ87" s="1134"/>
      <c r="CR87" s="1134"/>
      <c r="CS87" s="1134"/>
      <c r="CT87" s="1134"/>
      <c r="CU87" s="1134"/>
      <c r="CV87" s="1134"/>
      <c r="CW87" s="1134"/>
      <c r="CX87" s="1134"/>
      <c r="CY87" s="1134"/>
      <c r="CZ87" s="1134"/>
      <c r="DA87" s="1134"/>
      <c r="DB87" s="1134"/>
      <c r="DC87" s="1134"/>
      <c r="DD87" s="1134"/>
      <c r="DE87" s="1134"/>
      <c r="DF87" s="1134"/>
      <c r="DG87" s="1134"/>
      <c r="DH87" s="1134"/>
      <c r="DI87" s="1134"/>
      <c r="DJ87" s="1134"/>
      <c r="DK87" s="1134"/>
      <c r="DL87" s="1134"/>
      <c r="DM87" s="1134"/>
      <c r="DN87" s="1134"/>
      <c r="DO87" s="1134"/>
      <c r="DP87" s="1134"/>
      <c r="DQ87" s="1134"/>
      <c r="DR87" s="1134"/>
      <c r="DS87" s="1134"/>
      <c r="DT87" s="1134"/>
      <c r="DU87" s="1134"/>
      <c r="DV87" s="1134"/>
      <c r="DW87" s="1134"/>
      <c r="DX87" s="1134"/>
      <c r="DY87" s="1134"/>
      <c r="DZ87" s="1147"/>
      <c r="EA87" s="834"/>
      <c r="EB87" s="834"/>
      <c r="EC87" s="834"/>
      <c r="ED87" s="834"/>
      <c r="EE87" s="834"/>
      <c r="EF87" s="834"/>
      <c r="EG87" s="834"/>
    </row>
    <row r="88" spans="1:137" ht="39.950000000000003" customHeight="1">
      <c r="A88" s="928" t="s">
        <v>299</v>
      </c>
      <c r="B88" s="1039" t="s">
        <v>300</v>
      </c>
      <c r="C88" s="1042"/>
      <c r="D88" s="1410"/>
      <c r="E88" s="1042"/>
      <c r="F88" s="1042"/>
      <c r="G88" s="1042"/>
      <c r="H88" s="1410"/>
      <c r="I88" s="1042"/>
      <c r="J88" s="1042"/>
      <c r="K88" s="1410"/>
      <c r="L88" s="1042"/>
      <c r="M88" s="1042"/>
      <c r="N88" s="1042"/>
      <c r="O88" s="1042"/>
      <c r="P88" s="1042"/>
      <c r="Q88" s="1042"/>
      <c r="R88" s="1042"/>
      <c r="S88" s="1042"/>
      <c r="T88" s="1042"/>
      <c r="U88" s="1042"/>
      <c r="V88" s="1042"/>
      <c r="W88" s="1042"/>
      <c r="X88" s="1397"/>
      <c r="Y88" s="1042"/>
      <c r="Z88" s="1042"/>
      <c r="AA88" s="1042"/>
      <c r="AB88" s="1042"/>
      <c r="AC88" s="1042"/>
      <c r="AD88" s="1042"/>
      <c r="AE88" s="1042"/>
      <c r="AF88" s="1397"/>
      <c r="AG88" s="1410"/>
      <c r="AH88" s="1042"/>
      <c r="AI88" s="1042"/>
      <c r="AJ88" s="1042"/>
      <c r="AK88" s="1410"/>
      <c r="AL88" s="1410"/>
      <c r="AM88" s="1410"/>
      <c r="AN88" s="1042"/>
      <c r="AO88" s="1042"/>
      <c r="AP88" s="1042"/>
      <c r="AQ88" s="1042"/>
      <c r="AR88" s="1042"/>
      <c r="AS88" s="1042"/>
      <c r="AT88" s="1042"/>
      <c r="AU88" s="1042"/>
      <c r="AV88" s="1410"/>
      <c r="AW88" s="1397"/>
      <c r="AX88" s="1042"/>
      <c r="AY88" s="1042"/>
      <c r="AZ88" s="1042"/>
      <c r="BA88" s="1042"/>
      <c r="BB88" s="1042"/>
      <c r="BC88" s="1042"/>
      <c r="BD88" s="1042"/>
      <c r="BE88" s="1042"/>
      <c r="BF88" s="1042"/>
      <c r="BG88" s="1042"/>
      <c r="BH88" s="1042"/>
      <c r="BI88" s="1042"/>
      <c r="BJ88" s="1042"/>
      <c r="BK88" s="1042"/>
      <c r="BL88" s="1042"/>
      <c r="BM88" s="1042"/>
      <c r="BN88" s="1042"/>
      <c r="BO88" s="1042"/>
      <c r="BP88" s="1042"/>
      <c r="BQ88" s="1042"/>
      <c r="BR88" s="1042"/>
      <c r="BS88" s="1042"/>
      <c r="BT88" s="1042"/>
      <c r="BU88" s="1042"/>
      <c r="BV88" s="1042"/>
      <c r="BW88" s="1042"/>
      <c r="BX88" s="1042"/>
      <c r="BY88" s="1042"/>
      <c r="BZ88" s="1042"/>
      <c r="CA88" s="1142">
        <f t="shared" si="4"/>
        <v>0</v>
      </c>
    </row>
    <row r="89" spans="1:137">
      <c r="A89" s="925" t="s">
        <v>301</v>
      </c>
      <c r="B89" s="1025" t="s">
        <v>302</v>
      </c>
      <c r="C89" s="1029"/>
      <c r="D89" s="1407"/>
      <c r="E89" s="1029"/>
      <c r="F89" s="1029"/>
      <c r="G89" s="1029"/>
      <c r="H89" s="1407"/>
      <c r="I89" s="1029"/>
      <c r="J89" s="1029"/>
      <c r="K89" s="1407"/>
      <c r="L89" s="1029"/>
      <c r="M89" s="1029"/>
      <c r="N89" s="1029"/>
      <c r="O89" s="1029"/>
      <c r="P89" s="1029"/>
      <c r="Q89" s="1029"/>
      <c r="R89" s="1029"/>
      <c r="S89" s="1029"/>
      <c r="T89" s="1029"/>
      <c r="U89" s="1029"/>
      <c r="V89" s="1029"/>
      <c r="W89" s="1029"/>
      <c r="X89" s="1398"/>
      <c r="Y89" s="1029"/>
      <c r="Z89" s="1029"/>
      <c r="AA89" s="1029"/>
      <c r="AB89" s="1029"/>
      <c r="AC89" s="1029"/>
      <c r="AD89" s="1029"/>
      <c r="AE89" s="1029"/>
      <c r="AF89" s="1398"/>
      <c r="AG89" s="1407"/>
      <c r="AH89" s="1029"/>
      <c r="AI89" s="1029"/>
      <c r="AJ89" s="1029"/>
      <c r="AK89" s="1407"/>
      <c r="AL89" s="1407"/>
      <c r="AM89" s="1407"/>
      <c r="AN89" s="1029"/>
      <c r="AO89" s="1029"/>
      <c r="AP89" s="1029"/>
      <c r="AQ89" s="1029"/>
      <c r="AR89" s="1029"/>
      <c r="AS89" s="1029"/>
      <c r="AT89" s="1029"/>
      <c r="AU89" s="1029"/>
      <c r="AV89" s="1407"/>
      <c r="AW89" s="1398"/>
      <c r="AX89" s="1029"/>
      <c r="AY89" s="1029"/>
      <c r="AZ89" s="1029"/>
      <c r="BA89" s="1029"/>
      <c r="BB89" s="1029"/>
      <c r="BC89" s="1029"/>
      <c r="BD89" s="1029"/>
      <c r="BE89" s="1029"/>
      <c r="BF89" s="1029"/>
      <c r="BG89" s="1029">
        <v>8628.0353710395102</v>
      </c>
      <c r="BH89" s="1029"/>
      <c r="BI89" s="1029"/>
      <c r="BJ89" s="1029"/>
      <c r="BK89" s="1029"/>
      <c r="BL89" s="1029"/>
      <c r="BM89" s="1029"/>
      <c r="BN89" s="1029"/>
      <c r="BO89" s="1029"/>
      <c r="BP89" s="1029"/>
      <c r="BQ89" s="1029"/>
      <c r="BR89" s="1029"/>
      <c r="BS89" s="1029"/>
      <c r="BT89" s="1029"/>
      <c r="BU89" s="1029"/>
      <c r="BV89" s="1029"/>
      <c r="BW89" s="1029"/>
      <c r="BX89" s="1029"/>
      <c r="BY89" s="1029"/>
      <c r="BZ89" s="1029"/>
      <c r="CA89" s="1142">
        <f t="shared" si="4"/>
        <v>8628.0353710395102</v>
      </c>
    </row>
    <row r="90" spans="1:137" ht="31.5">
      <c r="A90" s="928" t="s">
        <v>303</v>
      </c>
      <c r="B90" s="929" t="s">
        <v>304</v>
      </c>
      <c r="C90" s="1031"/>
      <c r="D90" s="1407"/>
      <c r="E90" s="1031"/>
      <c r="F90" s="1031"/>
      <c r="G90" s="1031"/>
      <c r="H90" s="1407"/>
      <c r="I90" s="1031"/>
      <c r="J90" s="1031"/>
      <c r="K90" s="1407"/>
      <c r="L90" s="1031"/>
      <c r="M90" s="1031"/>
      <c r="N90" s="1031"/>
      <c r="O90" s="1031"/>
      <c r="P90" s="1031"/>
      <c r="Q90" s="1031"/>
      <c r="R90" s="1031"/>
      <c r="S90" s="1031"/>
      <c r="T90" s="1031"/>
      <c r="U90" s="1031"/>
      <c r="V90" s="1031"/>
      <c r="W90" s="1031"/>
      <c r="X90" s="1398"/>
      <c r="Y90" s="1031"/>
      <c r="Z90" s="1031"/>
      <c r="AA90" s="1031"/>
      <c r="AB90" s="1031"/>
      <c r="AC90" s="1031"/>
      <c r="AD90" s="1031"/>
      <c r="AE90" s="1031"/>
      <c r="AF90" s="1398"/>
      <c r="AG90" s="1407"/>
      <c r="AH90" s="1031"/>
      <c r="AI90" s="1031"/>
      <c r="AJ90" s="1031"/>
      <c r="AK90" s="1407"/>
      <c r="AL90" s="1407"/>
      <c r="AM90" s="1407"/>
      <c r="AN90" s="1031"/>
      <c r="AO90" s="1031"/>
      <c r="AP90" s="1031"/>
      <c r="AQ90" s="1031"/>
      <c r="AR90" s="1031"/>
      <c r="AS90" s="1031"/>
      <c r="AT90" s="1031"/>
      <c r="AU90" s="1031"/>
      <c r="AV90" s="1407"/>
      <c r="AW90" s="1398"/>
      <c r="AX90" s="1031"/>
      <c r="AY90" s="1031"/>
      <c r="AZ90" s="1031"/>
      <c r="BA90" s="1031"/>
      <c r="BB90" s="1031"/>
      <c r="BC90" s="1031"/>
      <c r="BD90" s="1031"/>
      <c r="BE90" s="1031"/>
      <c r="BF90" s="1031"/>
      <c r="BG90" s="1031"/>
      <c r="BH90" s="1031"/>
      <c r="BI90" s="1031"/>
      <c r="BJ90" s="1031"/>
      <c r="BK90" s="1031"/>
      <c r="BL90" s="1031"/>
      <c r="BM90" s="1031"/>
      <c r="BN90" s="1031"/>
      <c r="BO90" s="1031"/>
      <c r="BP90" s="1031"/>
      <c r="BQ90" s="1031"/>
      <c r="BR90" s="1031"/>
      <c r="BS90" s="1031"/>
      <c r="BT90" s="1031"/>
      <c r="BU90" s="1031"/>
      <c r="BV90" s="1031"/>
      <c r="BW90" s="1031"/>
      <c r="BX90" s="1031"/>
      <c r="BY90" s="1031"/>
      <c r="BZ90" s="1031"/>
      <c r="CA90" s="1142">
        <f t="shared" si="4"/>
        <v>0</v>
      </c>
    </row>
    <row r="91" spans="1:137" ht="63">
      <c r="A91" s="928" t="s">
        <v>305</v>
      </c>
      <c r="B91" s="927" t="s">
        <v>306</v>
      </c>
      <c r="C91" s="1031"/>
      <c r="D91" s="1407"/>
      <c r="E91" s="1031"/>
      <c r="F91" s="1031"/>
      <c r="G91" s="1031"/>
      <c r="H91" s="1407"/>
      <c r="I91" s="1031"/>
      <c r="J91" s="1031"/>
      <c r="K91" s="1407"/>
      <c r="L91" s="1031"/>
      <c r="M91" s="1031"/>
      <c r="N91" s="1031"/>
      <c r="O91" s="1031"/>
      <c r="P91" s="1031"/>
      <c r="Q91" s="1031"/>
      <c r="R91" s="1031"/>
      <c r="S91" s="1031"/>
      <c r="T91" s="1031"/>
      <c r="U91" s="1031"/>
      <c r="V91" s="1031"/>
      <c r="W91" s="1031"/>
      <c r="X91" s="1398"/>
      <c r="Y91" s="1031"/>
      <c r="Z91" s="1031"/>
      <c r="AA91" s="1031"/>
      <c r="AB91" s="1031"/>
      <c r="AC91" s="1031"/>
      <c r="AD91" s="1031"/>
      <c r="AE91" s="1031"/>
      <c r="AF91" s="1398"/>
      <c r="AG91" s="1407"/>
      <c r="AH91" s="1031"/>
      <c r="AI91" s="1031"/>
      <c r="AJ91" s="1031"/>
      <c r="AK91" s="1407"/>
      <c r="AL91" s="1407"/>
      <c r="AM91" s="1407"/>
      <c r="AN91" s="1031"/>
      <c r="AO91" s="1031"/>
      <c r="AP91" s="1031"/>
      <c r="AQ91" s="1031"/>
      <c r="AR91" s="1031"/>
      <c r="AS91" s="1031"/>
      <c r="AT91" s="1031"/>
      <c r="AU91" s="1031"/>
      <c r="AV91" s="1407"/>
      <c r="AW91" s="1398"/>
      <c r="AX91" s="1031"/>
      <c r="AY91" s="1031"/>
      <c r="AZ91" s="1031"/>
      <c r="BA91" s="1031"/>
      <c r="BB91" s="1031"/>
      <c r="BC91" s="1031"/>
      <c r="BD91" s="1031"/>
      <c r="BE91" s="1031"/>
      <c r="BF91" s="1031"/>
      <c r="BG91" s="1031"/>
      <c r="BH91" s="1031"/>
      <c r="BI91" s="1031"/>
      <c r="BJ91" s="1031"/>
      <c r="BK91" s="1031"/>
      <c r="BL91" s="1031"/>
      <c r="BM91" s="1031"/>
      <c r="BN91" s="1031"/>
      <c r="BO91" s="1031"/>
      <c r="BP91" s="1031"/>
      <c r="BQ91" s="1031"/>
      <c r="BR91" s="1031"/>
      <c r="BS91" s="1031"/>
      <c r="BT91" s="1031"/>
      <c r="BU91" s="1031"/>
      <c r="BV91" s="1031"/>
      <c r="BW91" s="1031"/>
      <c r="BX91" s="1031"/>
      <c r="BY91" s="1031"/>
      <c r="BZ91" s="1031"/>
      <c r="CA91" s="1142">
        <f t="shared" si="4"/>
        <v>0</v>
      </c>
    </row>
    <row r="92" spans="1:137" ht="27">
      <c r="A92" s="925" t="s">
        <v>307</v>
      </c>
      <c r="B92" s="1043" t="s">
        <v>308</v>
      </c>
      <c r="C92" s="1029"/>
      <c r="D92" s="1407"/>
      <c r="E92" s="1029"/>
      <c r="F92" s="1029"/>
      <c r="G92" s="1029"/>
      <c r="H92" s="1407"/>
      <c r="I92" s="1029"/>
      <c r="J92" s="1029"/>
      <c r="K92" s="1407"/>
      <c r="L92" s="1029"/>
      <c r="M92" s="1029"/>
      <c r="N92" s="1029"/>
      <c r="O92" s="1029"/>
      <c r="P92" s="1029"/>
      <c r="Q92" s="1029"/>
      <c r="R92" s="1029"/>
      <c r="S92" s="1029"/>
      <c r="T92" s="1029"/>
      <c r="U92" s="1029"/>
      <c r="V92" s="1029"/>
      <c r="W92" s="1029"/>
      <c r="X92" s="1398"/>
      <c r="Y92" s="1029"/>
      <c r="Z92" s="1029"/>
      <c r="AA92" s="1029"/>
      <c r="AB92" s="1029"/>
      <c r="AC92" s="1029"/>
      <c r="AD92" s="1029"/>
      <c r="AE92" s="1029"/>
      <c r="AF92" s="1398"/>
      <c r="AG92" s="1407"/>
      <c r="AH92" s="1029"/>
      <c r="AI92" s="1029"/>
      <c r="AJ92" s="1029"/>
      <c r="AK92" s="1407"/>
      <c r="AL92" s="1407"/>
      <c r="AM92" s="1407"/>
      <c r="AN92" s="1029"/>
      <c r="AO92" s="1029"/>
      <c r="AP92" s="1029"/>
      <c r="AQ92" s="1029"/>
      <c r="AR92" s="1029"/>
      <c r="AS92" s="1029"/>
      <c r="AT92" s="1029"/>
      <c r="AU92" s="1029"/>
      <c r="AV92" s="1407"/>
      <c r="AW92" s="1398"/>
      <c r="AX92" s="1029"/>
      <c r="AY92" s="1029"/>
      <c r="AZ92" s="1029"/>
      <c r="BA92" s="1029"/>
      <c r="BB92" s="1029"/>
      <c r="BC92" s="1029"/>
      <c r="BD92" s="1029"/>
      <c r="BE92" s="1029"/>
      <c r="BF92" s="1029"/>
      <c r="BG92" s="1029"/>
      <c r="BH92" s="1029"/>
      <c r="BI92" s="1029"/>
      <c r="BJ92" s="1029"/>
      <c r="BK92" s="1029"/>
      <c r="BL92" s="1029"/>
      <c r="BM92" s="1029"/>
      <c r="BN92" s="1029"/>
      <c r="BO92" s="1029"/>
      <c r="BP92" s="1029"/>
      <c r="BQ92" s="1029"/>
      <c r="BR92" s="1029"/>
      <c r="BS92" s="1029"/>
      <c r="BT92" s="1029"/>
      <c r="BU92" s="1029"/>
      <c r="BV92" s="1029"/>
      <c r="BW92" s="824"/>
      <c r="BX92" s="1029">
        <f>BX93+BX94+BX95+BX96+BX97</f>
        <v>28648471</v>
      </c>
      <c r="BY92" s="1029"/>
      <c r="BZ92" s="1029"/>
      <c r="CA92" s="1142">
        <f t="shared" si="4"/>
        <v>28648471</v>
      </c>
    </row>
    <row r="93" spans="1:137">
      <c r="A93" s="928" t="s">
        <v>309</v>
      </c>
      <c r="B93" s="1044" t="s">
        <v>310</v>
      </c>
      <c r="C93" s="1031"/>
      <c r="D93" s="1407"/>
      <c r="E93" s="1031"/>
      <c r="F93" s="1031"/>
      <c r="G93" s="1031"/>
      <c r="H93" s="1407"/>
      <c r="I93" s="1031"/>
      <c r="J93" s="1031"/>
      <c r="K93" s="1407"/>
      <c r="L93" s="1031"/>
      <c r="M93" s="1031"/>
      <c r="N93" s="1031"/>
      <c r="O93" s="1031"/>
      <c r="P93" s="1031"/>
      <c r="Q93" s="1031"/>
      <c r="R93" s="1031"/>
      <c r="S93" s="1031"/>
      <c r="T93" s="1031"/>
      <c r="U93" s="1031"/>
      <c r="V93" s="1031"/>
      <c r="W93" s="1031"/>
      <c r="X93" s="1398"/>
      <c r="Y93" s="1031"/>
      <c r="Z93" s="1031"/>
      <c r="AA93" s="1031"/>
      <c r="AB93" s="1031"/>
      <c r="AC93" s="1031"/>
      <c r="AD93" s="1031"/>
      <c r="AE93" s="1031"/>
      <c r="AF93" s="1398"/>
      <c r="AG93" s="1407"/>
      <c r="AH93" s="1031"/>
      <c r="AI93" s="1031"/>
      <c r="AJ93" s="1031"/>
      <c r="AK93" s="1407"/>
      <c r="AL93" s="1407"/>
      <c r="AM93" s="1407"/>
      <c r="AN93" s="1031"/>
      <c r="AO93" s="1031"/>
      <c r="AP93" s="1031"/>
      <c r="AQ93" s="1031"/>
      <c r="AR93" s="1031"/>
      <c r="AS93" s="1031"/>
      <c r="AT93" s="1031"/>
      <c r="AU93" s="1031"/>
      <c r="AV93" s="1407"/>
      <c r="AW93" s="1398"/>
      <c r="AX93" s="1031"/>
      <c r="AY93" s="1031"/>
      <c r="AZ93" s="1031">
        <f>+Отчет!J187</f>
        <v>2146492</v>
      </c>
      <c r="BA93" s="1031"/>
      <c r="BB93" s="1031"/>
      <c r="BC93" s="1031"/>
      <c r="BD93" s="1031"/>
      <c r="BE93" s="1031"/>
      <c r="BF93" s="1031"/>
      <c r="BG93" s="1031"/>
      <c r="BH93" s="1031"/>
      <c r="BI93" s="1031"/>
      <c r="BJ93" s="1031"/>
      <c r="BK93" s="1031"/>
      <c r="BL93" s="1031"/>
      <c r="BM93" s="1031"/>
      <c r="BN93" s="1031"/>
      <c r="BO93" s="1031"/>
      <c r="BP93" s="1031"/>
      <c r="BQ93" s="1031"/>
      <c r="BR93" s="1031"/>
      <c r="BS93" s="1031"/>
      <c r="BT93" s="1031"/>
      <c r="BU93" s="1031"/>
      <c r="BV93" s="1031"/>
      <c r="BW93" s="1031"/>
      <c r="BY93" s="1031"/>
      <c r="BZ93" s="1031"/>
      <c r="CA93" s="1142">
        <f t="shared" si="4"/>
        <v>2146492</v>
      </c>
    </row>
    <row r="94" spans="1:137" ht="25.5">
      <c r="A94" s="928" t="s">
        <v>311</v>
      </c>
      <c r="B94" s="1044" t="s">
        <v>312</v>
      </c>
      <c r="C94" s="1031"/>
      <c r="D94" s="1407"/>
      <c r="E94" s="1031"/>
      <c r="F94" s="1031"/>
      <c r="G94" s="1031"/>
      <c r="H94" s="1407"/>
      <c r="I94" s="1031"/>
      <c r="J94" s="1031"/>
      <c r="K94" s="1407"/>
      <c r="L94" s="1031"/>
      <c r="M94" s="1031"/>
      <c r="N94" s="1031"/>
      <c r="O94" s="1031"/>
      <c r="P94" s="1031"/>
      <c r="Q94" s="1031"/>
      <c r="R94" s="1031"/>
      <c r="S94" s="1031"/>
      <c r="T94" s="1031"/>
      <c r="U94" s="1031"/>
      <c r="V94" s="1031"/>
      <c r="W94" s="1031"/>
      <c r="X94" s="1398"/>
      <c r="Y94" s="1031"/>
      <c r="Z94" s="1031"/>
      <c r="AA94" s="1031"/>
      <c r="AB94" s="1031"/>
      <c r="AC94" s="1031"/>
      <c r="AD94" s="1031"/>
      <c r="AE94" s="1031"/>
      <c r="AF94" s="1398"/>
      <c r="AG94" s="1407"/>
      <c r="AH94" s="1031"/>
      <c r="AI94" s="1031"/>
      <c r="AJ94" s="1031"/>
      <c r="AK94" s="1407"/>
      <c r="AL94" s="1407"/>
      <c r="AM94" s="1407"/>
      <c r="AN94" s="1031"/>
      <c r="AO94" s="1031"/>
      <c r="AP94" s="1031"/>
      <c r="AQ94" s="1031"/>
      <c r="AR94" s="1031"/>
      <c r="AS94" s="1031"/>
      <c r="AT94" s="1031"/>
      <c r="AU94" s="1031"/>
      <c r="AV94" s="1407"/>
      <c r="AW94" s="1398"/>
      <c r="AX94" s="1031"/>
      <c r="AY94" s="1031"/>
      <c r="AZ94" s="1031"/>
      <c r="BA94" s="1031"/>
      <c r="BB94" s="1031"/>
      <c r="BC94" s="1031"/>
      <c r="BD94" s="1031"/>
      <c r="BE94" s="1031"/>
      <c r="BF94" s="1031"/>
      <c r="BG94" s="1031"/>
      <c r="BH94" s="1031"/>
      <c r="BI94" s="1031"/>
      <c r="BJ94" s="1031"/>
      <c r="BK94" s="1031"/>
      <c r="BL94" s="1031"/>
      <c r="BM94" s="1031"/>
      <c r="BN94" s="1031"/>
      <c r="BO94" s="1031"/>
      <c r="BP94" s="1031"/>
      <c r="BQ94" s="1031"/>
      <c r="BR94" s="1031"/>
      <c r="BS94" s="1031"/>
      <c r="BT94" s="1031"/>
      <c r="BU94" s="1031"/>
      <c r="BV94" s="1031"/>
      <c r="BW94" s="1031"/>
      <c r="BX94" s="1031">
        <f>Отчет!J188+Отчет!J285+Отчет!J182</f>
        <v>1148758.8999999999</v>
      </c>
      <c r="BY94" s="1031"/>
      <c r="BZ94" s="1031"/>
      <c r="CA94" s="1142">
        <f t="shared" si="4"/>
        <v>1148758.8999999999</v>
      </c>
    </row>
    <row r="95" spans="1:137" ht="38.25">
      <c r="A95" s="928" t="s">
        <v>313</v>
      </c>
      <c r="B95" s="1044" t="s">
        <v>314</v>
      </c>
      <c r="C95" s="1031"/>
      <c r="D95" s="1407"/>
      <c r="E95" s="1031"/>
      <c r="F95" s="1031"/>
      <c r="G95" s="1031"/>
      <c r="H95" s="1407"/>
      <c r="I95" s="1031"/>
      <c r="J95" s="1031"/>
      <c r="K95" s="1407"/>
      <c r="L95" s="1031"/>
      <c r="M95" s="1031"/>
      <c r="N95" s="1031"/>
      <c r="O95" s="1031"/>
      <c r="P95" s="1031"/>
      <c r="Q95" s="1031"/>
      <c r="R95" s="1031"/>
      <c r="S95" s="1031"/>
      <c r="T95" s="1031"/>
      <c r="U95" s="1031"/>
      <c r="V95" s="1031"/>
      <c r="W95" s="1031"/>
      <c r="X95" s="1398"/>
      <c r="Y95" s="1031"/>
      <c r="Z95" s="1031"/>
      <c r="AA95" s="1031"/>
      <c r="AB95" s="1031"/>
      <c r="AC95" s="1031"/>
      <c r="AD95" s="1031"/>
      <c r="AE95" s="1031"/>
      <c r="AF95" s="1398"/>
      <c r="AG95" s="1407"/>
      <c r="AH95" s="1031"/>
      <c r="AI95" s="1031"/>
      <c r="AJ95" s="1031"/>
      <c r="AK95" s="1407"/>
      <c r="AL95" s="1407"/>
      <c r="AM95" s="1407"/>
      <c r="AN95" s="1031"/>
      <c r="AO95" s="1031"/>
      <c r="AP95" s="1031"/>
      <c r="AQ95" s="1031"/>
      <c r="AR95" s="1031"/>
      <c r="AS95" s="1031"/>
      <c r="AT95" s="1031"/>
      <c r="AU95" s="1031"/>
      <c r="AV95" s="1407"/>
      <c r="AW95" s="1398"/>
      <c r="AX95" s="1031"/>
      <c r="AY95" s="1031"/>
      <c r="AZ95" s="1031"/>
      <c r="BA95" s="1031"/>
      <c r="BB95" s="1031"/>
      <c r="BC95" s="1031"/>
      <c r="BD95" s="1031"/>
      <c r="BE95" s="1031"/>
      <c r="BF95" s="1031"/>
      <c r="BG95" s="1031"/>
      <c r="BH95" s="1031"/>
      <c r="BI95" s="1031"/>
      <c r="BJ95" s="1031"/>
      <c r="BK95" s="1031"/>
      <c r="BL95" s="1031"/>
      <c r="BM95" s="1031"/>
      <c r="BN95" s="1031"/>
      <c r="BO95" s="1031"/>
      <c r="BP95" s="1031"/>
      <c r="BQ95" s="1031"/>
      <c r="BR95" s="1031"/>
      <c r="BS95" s="1031"/>
      <c r="BT95" s="1031"/>
      <c r="BU95" s="1031"/>
      <c r="BV95" s="1031"/>
      <c r="BW95" s="1031"/>
      <c r="BX95" s="1031">
        <f>Отчет!J189+Отчет!J257+Отчет!J206+Отчет!J236+Отчет!J255</f>
        <v>1902272.5</v>
      </c>
      <c r="BY95" s="1031"/>
      <c r="BZ95" s="1031"/>
      <c r="CA95" s="1142">
        <f t="shared" si="4"/>
        <v>1902272.5</v>
      </c>
    </row>
    <row r="96" spans="1:137" ht="25.5">
      <c r="A96" s="928" t="s">
        <v>315</v>
      </c>
      <c r="B96" s="1045" t="s">
        <v>316</v>
      </c>
      <c r="C96" s="1031"/>
      <c r="D96" s="1407"/>
      <c r="E96" s="1031"/>
      <c r="F96" s="1031"/>
      <c r="G96" s="1031"/>
      <c r="H96" s="1407"/>
      <c r="I96" s="1031"/>
      <c r="J96" s="1031"/>
      <c r="K96" s="1407"/>
      <c r="L96" s="1031"/>
      <c r="M96" s="1031"/>
      <c r="N96" s="1031"/>
      <c r="O96" s="1031"/>
      <c r="P96" s="1031"/>
      <c r="Q96" s="1031"/>
      <c r="R96" s="1031"/>
      <c r="S96" s="1031"/>
      <c r="T96" s="1031"/>
      <c r="U96" s="1031"/>
      <c r="V96" s="1031"/>
      <c r="W96" s="1031"/>
      <c r="X96" s="1398"/>
      <c r="Y96" s="1031"/>
      <c r="Z96" s="1031"/>
      <c r="AA96" s="1031"/>
      <c r="AB96" s="1031"/>
      <c r="AC96" s="1031"/>
      <c r="AD96" s="1031"/>
      <c r="AE96" s="1031"/>
      <c r="AF96" s="1398"/>
      <c r="AG96" s="1407"/>
      <c r="AH96" s="1031"/>
      <c r="AI96" s="1031"/>
      <c r="AJ96" s="1031"/>
      <c r="AK96" s="1407"/>
      <c r="AL96" s="1407"/>
      <c r="AM96" s="1407"/>
      <c r="AN96" s="1031"/>
      <c r="AO96" s="1031"/>
      <c r="AP96" s="1031"/>
      <c r="AQ96" s="1031"/>
      <c r="AR96" s="1031"/>
      <c r="AS96" s="1031"/>
      <c r="AT96" s="1031"/>
      <c r="AU96" s="1031"/>
      <c r="AV96" s="1407"/>
      <c r="AW96" s="1398"/>
      <c r="AX96" s="1031"/>
      <c r="AY96" s="1031"/>
      <c r="AZ96" s="1031"/>
      <c r="BA96" s="1031"/>
      <c r="BB96" s="1031"/>
      <c r="BC96" s="1031"/>
      <c r="BD96" s="1031"/>
      <c r="BE96" s="1031"/>
      <c r="BF96" s="1031"/>
      <c r="BG96" s="1031"/>
      <c r="BH96" s="1031"/>
      <c r="BI96" s="1031"/>
      <c r="BK96" s="1031"/>
      <c r="BL96" s="1031"/>
      <c r="BM96" s="1031"/>
      <c r="BN96" s="1031"/>
      <c r="BO96" s="1031"/>
      <c r="BP96" s="1031"/>
      <c r="BQ96" s="1031"/>
      <c r="BR96" s="1031"/>
      <c r="BS96" s="1031"/>
      <c r="BT96" s="1031"/>
      <c r="BU96" s="1031"/>
      <c r="BV96" s="1031"/>
      <c r="BW96" s="1031"/>
      <c r="BX96" s="1031">
        <f>Отчет!J52+Отчет!J177+Отчет!J191+Отчет!J278+Отчет!J194</f>
        <v>24747814</v>
      </c>
      <c r="BY96" s="1031"/>
      <c r="BZ96" s="1031"/>
      <c r="CA96" s="1142">
        <f t="shared" si="4"/>
        <v>24747814</v>
      </c>
    </row>
    <row r="97" spans="1:137" ht="25.5">
      <c r="A97" s="928" t="s">
        <v>2607</v>
      </c>
      <c r="B97" s="1045" t="s">
        <v>2608</v>
      </c>
      <c r="C97" s="1031"/>
      <c r="D97" s="1407"/>
      <c r="E97" s="1031"/>
      <c r="F97" s="1031"/>
      <c r="G97" s="1031"/>
      <c r="H97" s="1407"/>
      <c r="I97" s="1031"/>
      <c r="J97" s="1031"/>
      <c r="K97" s="1407"/>
      <c r="L97" s="1031"/>
      <c r="M97" s="1031"/>
      <c r="N97" s="1031"/>
      <c r="O97" s="1031"/>
      <c r="P97" s="1031"/>
      <c r="Q97" s="1031"/>
      <c r="R97" s="1031"/>
      <c r="S97" s="1031"/>
      <c r="T97" s="1031"/>
      <c r="U97" s="1031"/>
      <c r="V97" s="1031"/>
      <c r="W97" s="1031"/>
      <c r="X97" s="1398"/>
      <c r="Y97" s="1031"/>
      <c r="Z97" s="1031"/>
      <c r="AA97" s="1031"/>
      <c r="AB97" s="1031"/>
      <c r="AC97" s="1031"/>
      <c r="AD97" s="1031"/>
      <c r="AE97" s="1031"/>
      <c r="AF97" s="1398"/>
      <c r="AG97" s="1407"/>
      <c r="AH97" s="1031"/>
      <c r="AI97" s="1031"/>
      <c r="AJ97" s="1031"/>
      <c r="AK97" s="1407"/>
      <c r="AL97" s="1407"/>
      <c r="AM97" s="1407"/>
      <c r="AN97" s="1031"/>
      <c r="AO97" s="1031"/>
      <c r="AP97" s="1031"/>
      <c r="AQ97" s="1031"/>
      <c r="AR97" s="1031"/>
      <c r="AS97" s="1031"/>
      <c r="AT97" s="1031"/>
      <c r="AU97" s="1031"/>
      <c r="AV97" s="1407"/>
      <c r="AW97" s="1398"/>
      <c r="AX97" s="1031"/>
      <c r="AY97" s="1031"/>
      <c r="AZ97" s="1031"/>
      <c r="BA97" s="1031"/>
      <c r="BB97" s="1031"/>
      <c r="BC97" s="1031"/>
      <c r="BD97" s="1031"/>
      <c r="BE97" s="1031"/>
      <c r="BF97" s="1031"/>
      <c r="BG97" s="1031"/>
      <c r="BH97" s="1031"/>
      <c r="BI97" s="1031"/>
      <c r="BK97" s="1031"/>
      <c r="BL97" s="1031"/>
      <c r="BM97" s="1031"/>
      <c r="BN97" s="1031"/>
      <c r="BO97" s="1031"/>
      <c r="BP97" s="1031"/>
      <c r="BQ97" s="1031"/>
      <c r="BR97" s="1031"/>
      <c r="BS97" s="1031"/>
      <c r="BT97" s="1031"/>
      <c r="BU97" s="1031"/>
      <c r="BV97" s="1031"/>
      <c r="BW97" s="1031"/>
      <c r="BX97" s="1035">
        <f>Отчет!J181+Отчет!J208</f>
        <v>849625.59999999998</v>
      </c>
      <c r="BY97" s="1031"/>
      <c r="BZ97" s="1031"/>
      <c r="CA97" s="1142">
        <f>SUM(C97:BZ97)</f>
        <v>849625.59999999998</v>
      </c>
    </row>
    <row r="98" spans="1:137" ht="47.25">
      <c r="A98" s="925" t="s">
        <v>317</v>
      </c>
      <c r="B98" s="924" t="s">
        <v>318</v>
      </c>
      <c r="C98" s="1029"/>
      <c r="D98" s="1407"/>
      <c r="E98" s="1029"/>
      <c r="F98" s="1029"/>
      <c r="G98" s="1029"/>
      <c r="H98" s="1407"/>
      <c r="I98" s="1029"/>
      <c r="J98" s="1029"/>
      <c r="K98" s="1407"/>
      <c r="L98" s="1029"/>
      <c r="M98" s="1029"/>
      <c r="N98" s="1029"/>
      <c r="O98" s="1029"/>
      <c r="P98" s="1029"/>
      <c r="Q98" s="1029"/>
      <c r="R98" s="1029"/>
      <c r="S98" s="1029"/>
      <c r="T98" s="1029"/>
      <c r="U98" s="1029"/>
      <c r="V98" s="1029"/>
      <c r="W98" s="1029"/>
      <c r="X98" s="1398"/>
      <c r="Y98" s="1029"/>
      <c r="Z98" s="1029"/>
      <c r="AA98" s="1029"/>
      <c r="AB98" s="1029"/>
      <c r="AC98" s="1029"/>
      <c r="AD98" s="1029"/>
      <c r="AE98" s="1029"/>
      <c r="AF98" s="1398"/>
      <c r="AG98" s="1407"/>
      <c r="AH98" s="1029"/>
      <c r="AI98" s="1029"/>
      <c r="AJ98" s="1029"/>
      <c r="AK98" s="1407"/>
      <c r="AL98" s="1407"/>
      <c r="AM98" s="1407"/>
      <c r="AN98" s="1029"/>
      <c r="AO98" s="1029"/>
      <c r="AP98" s="1029"/>
      <c r="AQ98" s="1029"/>
      <c r="AR98" s="1029"/>
      <c r="AS98" s="1029"/>
      <c r="AT98" s="1029"/>
      <c r="AU98" s="1029"/>
      <c r="AV98" s="1407"/>
      <c r="AW98" s="1398"/>
      <c r="AX98" s="1029"/>
      <c r="AY98" s="1029"/>
      <c r="AZ98" s="1029"/>
      <c r="BA98" s="1029"/>
      <c r="BB98" s="1029"/>
      <c r="BC98" s="1029"/>
      <c r="BD98" s="1029"/>
      <c r="BE98" s="1029"/>
      <c r="BF98" s="1029"/>
      <c r="BG98" s="1029"/>
      <c r="BH98" s="1029"/>
      <c r="BI98" s="1029"/>
      <c r="BJ98" s="1029"/>
      <c r="BK98" s="1029"/>
      <c r="BL98" s="1029"/>
      <c r="BM98" s="1029"/>
      <c r="BN98" s="1029"/>
      <c r="BO98" s="1029"/>
      <c r="BP98" s="1029"/>
      <c r="BQ98" s="1029"/>
      <c r="BR98" s="1029"/>
      <c r="BS98" s="1029"/>
      <c r="BT98" s="1029"/>
      <c r="BU98" s="1029"/>
      <c r="BV98" s="1029"/>
      <c r="BW98" s="1029"/>
      <c r="BX98" s="1029">
        <f>BZ98</f>
        <v>655615.80000000005</v>
      </c>
      <c r="BY98" s="1029"/>
      <c r="BZ98" s="1029">
        <f>Отчет!J166+Отчет!J170+Отчет!J215+Отчет!J49+Отчет!J199</f>
        <v>655615.80000000005</v>
      </c>
      <c r="CA98" s="1142">
        <f t="shared" ref="CA98:CA105" si="5">SUM(C98:BZ98)</f>
        <v>1311231.6000000001</v>
      </c>
    </row>
    <row r="99" spans="1:137">
      <c r="A99" s="925" t="s">
        <v>319</v>
      </c>
      <c r="B99" s="924" t="s">
        <v>320</v>
      </c>
      <c r="C99" s="1029"/>
      <c r="D99" s="1407"/>
      <c r="E99" s="1029"/>
      <c r="F99" s="1029"/>
      <c r="G99" s="1029"/>
      <c r="H99" s="1407"/>
      <c r="I99" s="1029"/>
      <c r="J99" s="1029"/>
      <c r="K99" s="1407"/>
      <c r="L99" s="1029"/>
      <c r="M99" s="1029"/>
      <c r="N99" s="1029"/>
      <c r="O99" s="1029"/>
      <c r="P99" s="1029"/>
      <c r="Q99" s="1029"/>
      <c r="R99" s="1029"/>
      <c r="S99" s="1029"/>
      <c r="T99" s="1029"/>
      <c r="U99" s="1029"/>
      <c r="V99" s="1029"/>
      <c r="W99" s="1029"/>
      <c r="X99" s="1398"/>
      <c r="Y99" s="1029"/>
      <c r="Z99" s="1029"/>
      <c r="AA99" s="1029"/>
      <c r="AB99" s="1029"/>
      <c r="AC99" s="1029"/>
      <c r="AD99" s="1029"/>
      <c r="AE99" s="1029"/>
      <c r="AF99" s="1398"/>
      <c r="AG99" s="1407"/>
      <c r="AH99" s="1029"/>
      <c r="AI99" s="1029"/>
      <c r="AJ99" s="1029"/>
      <c r="AK99" s="1407"/>
      <c r="AL99" s="1407"/>
      <c r="AM99" s="1407"/>
      <c r="AN99" s="1029"/>
      <c r="AO99" s="1029"/>
      <c r="AP99" s="1029"/>
      <c r="AQ99" s="1029"/>
      <c r="AR99" s="1029"/>
      <c r="AS99" s="1029"/>
      <c r="AT99" s="1029"/>
      <c r="AU99" s="1029"/>
      <c r="AV99" s="1407"/>
      <c r="AW99" s="1398"/>
      <c r="AX99" s="1029"/>
      <c r="AY99" s="1029"/>
      <c r="AZ99" s="1029"/>
      <c r="BA99" s="1029"/>
      <c r="BB99" s="1029"/>
      <c r="BC99" s="1029"/>
      <c r="BD99" s="1029"/>
      <c r="BE99" s="1029"/>
      <c r="BF99" s="1029"/>
      <c r="BG99" s="1029"/>
      <c r="BH99" s="1029"/>
      <c r="BI99" s="1029"/>
      <c r="BJ99" s="1029"/>
      <c r="BK99" s="1029"/>
      <c r="BL99" s="1029"/>
      <c r="BM99" s="1029"/>
      <c r="BN99" s="1029"/>
      <c r="BO99" s="1029"/>
      <c r="BP99" s="1029"/>
      <c r="BQ99" s="1029"/>
      <c r="BR99" s="1029"/>
      <c r="BS99" s="1029"/>
      <c r="BT99" s="1029"/>
      <c r="BU99" s="1029"/>
      <c r="BV99" s="1029"/>
      <c r="BW99" s="1029"/>
      <c r="BX99" s="1439">
        <f>Отчет!J209+Отчет!J198+'036 гобм'!P9+Отчет!J216+'HF-HP2'!AA73+'036 гобм'!AL9+'HF-HC '!AH98</f>
        <v>9488622.3497982956</v>
      </c>
      <c r="BY99" s="1029"/>
      <c r="BZ99" s="1029"/>
      <c r="CA99" s="1142">
        <f t="shared" si="5"/>
        <v>9488622.3497982956</v>
      </c>
    </row>
    <row r="100" spans="1:137">
      <c r="A100" s="925" t="s">
        <v>321</v>
      </c>
      <c r="B100" s="924" t="s">
        <v>322</v>
      </c>
      <c r="C100" s="1029"/>
      <c r="D100" s="1407"/>
      <c r="E100" s="1029"/>
      <c r="F100" s="1029"/>
      <c r="G100" s="1029"/>
      <c r="H100" s="1407"/>
      <c r="I100" s="1029"/>
      <c r="J100" s="1029"/>
      <c r="K100" s="1407"/>
      <c r="L100" s="1029"/>
      <c r="M100" s="1029"/>
      <c r="N100" s="1029"/>
      <c r="O100" s="1029"/>
      <c r="P100" s="1029"/>
      <c r="Q100" s="1029"/>
      <c r="R100" s="1029"/>
      <c r="S100" s="1029"/>
      <c r="T100" s="1029"/>
      <c r="U100" s="1029"/>
      <c r="V100" s="1029"/>
      <c r="W100" s="1029"/>
      <c r="X100" s="1398"/>
      <c r="Y100" s="1029"/>
      <c r="Z100" s="1029"/>
      <c r="AA100" s="1029"/>
      <c r="AB100" s="1029"/>
      <c r="AC100" s="1029"/>
      <c r="AD100" s="1029"/>
      <c r="AE100" s="1029"/>
      <c r="AF100" s="1398"/>
      <c r="AG100" s="1407"/>
      <c r="AH100" s="1029"/>
      <c r="AI100" s="1029"/>
      <c r="AJ100" s="1029"/>
      <c r="AK100" s="1407"/>
      <c r="AL100" s="1407"/>
      <c r="AM100" s="1407"/>
      <c r="AN100" s="1029"/>
      <c r="AO100" s="1029"/>
      <c r="AP100" s="1029"/>
      <c r="AQ100" s="1029"/>
      <c r="AR100" s="1029"/>
      <c r="AS100" s="1029"/>
      <c r="AT100" s="1029"/>
      <c r="AU100" s="1029"/>
      <c r="AV100" s="1407"/>
      <c r="AW100" s="1398"/>
      <c r="AX100" s="1029"/>
      <c r="AY100" s="1029"/>
      <c r="AZ100" s="1029"/>
      <c r="BA100" s="1029"/>
      <c r="BB100" s="1029"/>
      <c r="BC100" s="1029"/>
      <c r="BD100" s="1029"/>
      <c r="BE100" s="1029"/>
      <c r="BF100" s="1029"/>
      <c r="BG100" s="1029"/>
      <c r="BH100" s="1029"/>
      <c r="BI100" s="1029"/>
      <c r="BJ100" s="1029"/>
      <c r="BK100" s="1029"/>
      <c r="BL100" s="1029"/>
      <c r="BM100" s="1029"/>
      <c r="BN100" s="1029"/>
      <c r="BO100" s="1029"/>
      <c r="BP100" s="1029"/>
      <c r="BQ100" s="1029"/>
      <c r="BR100" s="1029"/>
      <c r="BS100" s="1029"/>
      <c r="BT100" s="1029"/>
      <c r="BU100" s="1029"/>
      <c r="BV100" s="1029"/>
      <c r="BW100" s="1029"/>
      <c r="BX100" s="1439"/>
      <c r="BY100" s="1029"/>
      <c r="BZ100" s="1029"/>
      <c r="CA100" s="1142">
        <f t="shared" si="5"/>
        <v>0</v>
      </c>
    </row>
    <row r="101" spans="1:137" hidden="1">
      <c r="A101" s="1046" t="s">
        <v>323</v>
      </c>
      <c r="B101" s="1047"/>
      <c r="C101" s="1029"/>
      <c r="D101" s="1407"/>
      <c r="E101" s="841"/>
      <c r="F101" s="841"/>
      <c r="G101" s="841"/>
      <c r="H101" s="1407"/>
      <c r="I101" s="841"/>
      <c r="J101" s="841"/>
      <c r="K101" s="1407"/>
      <c r="L101" s="841"/>
      <c r="M101" s="841"/>
      <c r="N101" s="841"/>
      <c r="O101" s="841"/>
      <c r="P101" s="841"/>
      <c r="Q101" s="841"/>
      <c r="R101" s="841"/>
      <c r="S101" s="841"/>
      <c r="T101" s="841"/>
      <c r="U101" s="1029"/>
      <c r="V101" s="1031"/>
      <c r="W101" s="841"/>
      <c r="X101" s="1398"/>
      <c r="Y101" s="1031"/>
      <c r="Z101" s="1031"/>
      <c r="AA101" s="1031"/>
      <c r="AB101" s="1031"/>
      <c r="AC101" s="1029"/>
      <c r="AD101" s="1031"/>
      <c r="AE101" s="1031"/>
      <c r="AF101" s="1398"/>
      <c r="AG101" s="1407"/>
      <c r="AH101" s="841"/>
      <c r="AI101" s="841"/>
      <c r="AJ101" s="841"/>
      <c r="AK101" s="1407"/>
      <c r="AL101" s="1407"/>
      <c r="AM101" s="1407"/>
      <c r="AN101" s="841"/>
      <c r="AO101" s="1048"/>
      <c r="AP101" s="1031"/>
      <c r="AQ101" s="841"/>
      <c r="AR101" s="841"/>
      <c r="AS101" s="841"/>
      <c r="AT101" s="841"/>
      <c r="AU101" s="1029"/>
      <c r="AV101" s="1407"/>
      <c r="AW101" s="1398"/>
      <c r="AX101" s="1031"/>
      <c r="AY101" s="841"/>
      <c r="AZ101" s="841"/>
      <c r="BA101" s="1031"/>
      <c r="BB101" s="1031"/>
      <c r="BC101" s="841"/>
      <c r="BD101" s="1031"/>
      <c r="BE101" s="1029"/>
      <c r="BF101" s="1029"/>
      <c r="BG101" s="1031"/>
      <c r="BH101" s="841"/>
      <c r="BI101" s="841"/>
      <c r="BJ101" s="1031"/>
      <c r="BK101" s="1031"/>
      <c r="BL101" s="1031"/>
      <c r="BM101" s="841"/>
      <c r="BN101" s="841"/>
      <c r="BO101" s="1029"/>
      <c r="BP101" s="1031"/>
      <c r="BQ101" s="1031"/>
      <c r="BR101" s="1031"/>
      <c r="BS101" s="841"/>
      <c r="BT101" s="1029"/>
      <c r="BU101" s="1031"/>
      <c r="BV101" s="1031"/>
      <c r="BW101" s="841"/>
      <c r="BX101" s="1031"/>
      <c r="BY101" s="841"/>
      <c r="BZ101" s="841"/>
      <c r="CA101" s="1142">
        <f t="shared" si="5"/>
        <v>0</v>
      </c>
    </row>
    <row r="102" spans="1:137" hidden="1">
      <c r="A102" s="927" t="s">
        <v>324</v>
      </c>
      <c r="B102" s="927" t="s">
        <v>325</v>
      </c>
      <c r="C102" s="1029"/>
      <c r="D102" s="1407"/>
      <c r="E102" s="841"/>
      <c r="F102" s="841"/>
      <c r="G102" s="841"/>
      <c r="H102" s="1407"/>
      <c r="I102" s="841"/>
      <c r="J102" s="841"/>
      <c r="K102" s="1407"/>
      <c r="L102" s="841"/>
      <c r="M102" s="841"/>
      <c r="N102" s="841"/>
      <c r="O102" s="841"/>
      <c r="P102" s="841"/>
      <c r="Q102" s="841"/>
      <c r="R102" s="841"/>
      <c r="S102" s="841"/>
      <c r="T102" s="841"/>
      <c r="U102" s="1029"/>
      <c r="V102" s="1031"/>
      <c r="W102" s="841"/>
      <c r="X102" s="1398"/>
      <c r="Y102" s="1031"/>
      <c r="Z102" s="1031"/>
      <c r="AA102" s="1031"/>
      <c r="AB102" s="1031"/>
      <c r="AC102" s="1029"/>
      <c r="AD102" s="1031"/>
      <c r="AE102" s="1031"/>
      <c r="AF102" s="1398"/>
      <c r="AG102" s="1407"/>
      <c r="AH102" s="841"/>
      <c r="AI102" s="841"/>
      <c r="AJ102" s="841"/>
      <c r="AK102" s="1407"/>
      <c r="AL102" s="1407"/>
      <c r="AM102" s="1407"/>
      <c r="AN102" s="841"/>
      <c r="AO102" s="1048"/>
      <c r="AP102" s="1031"/>
      <c r="AQ102" s="841"/>
      <c r="AR102" s="841"/>
      <c r="AS102" s="841"/>
      <c r="AT102" s="841"/>
      <c r="AU102" s="1029"/>
      <c r="AV102" s="1407"/>
      <c r="AW102" s="1398"/>
      <c r="AX102" s="1031"/>
      <c r="AY102" s="841"/>
      <c r="AZ102" s="841"/>
      <c r="BA102" s="1031"/>
      <c r="BB102" s="1031"/>
      <c r="BC102" s="841"/>
      <c r="BD102" s="1031"/>
      <c r="BE102" s="1029"/>
      <c r="BF102" s="1029"/>
      <c r="BG102" s="1031"/>
      <c r="BH102" s="841"/>
      <c r="BI102" s="841"/>
      <c r="BJ102" s="1031"/>
      <c r="BK102" s="1031"/>
      <c r="BL102" s="1031"/>
      <c r="BM102" s="841"/>
      <c r="BN102" s="841"/>
      <c r="BO102" s="1029"/>
      <c r="BP102" s="1031"/>
      <c r="BQ102" s="1031"/>
      <c r="BR102" s="1031"/>
      <c r="BS102" s="841"/>
      <c r="BT102" s="1029"/>
      <c r="BU102" s="1031"/>
      <c r="BV102" s="1031"/>
      <c r="BW102" s="841"/>
      <c r="BX102" s="1031"/>
      <c r="BY102" s="841"/>
      <c r="BZ102" s="841"/>
      <c r="CA102" s="1142">
        <f t="shared" si="5"/>
        <v>0</v>
      </c>
    </row>
    <row r="103" spans="1:137" ht="31.5" hidden="1">
      <c r="A103" s="927" t="s">
        <v>326</v>
      </c>
      <c r="B103" s="927" t="s">
        <v>327</v>
      </c>
      <c r="C103" s="1029"/>
      <c r="D103" s="1407"/>
      <c r="E103" s="841"/>
      <c r="F103" s="841"/>
      <c r="G103" s="841"/>
      <c r="H103" s="1407"/>
      <c r="I103" s="841"/>
      <c r="J103" s="841"/>
      <c r="K103" s="1407"/>
      <c r="L103" s="841"/>
      <c r="M103" s="841"/>
      <c r="N103" s="841"/>
      <c r="O103" s="841"/>
      <c r="P103" s="841"/>
      <c r="Q103" s="841"/>
      <c r="R103" s="841"/>
      <c r="S103" s="841"/>
      <c r="T103" s="841"/>
      <c r="U103" s="1029"/>
      <c r="V103" s="1031"/>
      <c r="W103" s="841"/>
      <c r="X103" s="1398"/>
      <c r="Y103" s="1031"/>
      <c r="Z103" s="1031"/>
      <c r="AA103" s="1031"/>
      <c r="AB103" s="1031"/>
      <c r="AC103" s="1029"/>
      <c r="AD103" s="1031"/>
      <c r="AE103" s="1031"/>
      <c r="AF103" s="1398"/>
      <c r="AG103" s="1407"/>
      <c r="AH103" s="841"/>
      <c r="AI103" s="841"/>
      <c r="AJ103" s="841"/>
      <c r="AK103" s="1407"/>
      <c r="AL103" s="1407"/>
      <c r="AM103" s="1407"/>
      <c r="AN103" s="841"/>
      <c r="AO103" s="1048"/>
      <c r="AP103" s="1031"/>
      <c r="AQ103" s="841"/>
      <c r="AR103" s="841"/>
      <c r="AS103" s="841"/>
      <c r="AT103" s="841"/>
      <c r="AU103" s="1029"/>
      <c r="AV103" s="1407"/>
      <c r="AW103" s="1398"/>
      <c r="AX103" s="1031"/>
      <c r="AY103" s="841"/>
      <c r="AZ103" s="841"/>
      <c r="BA103" s="1031"/>
      <c r="BB103" s="1031"/>
      <c r="BC103" s="841"/>
      <c r="BD103" s="1031"/>
      <c r="BE103" s="1029"/>
      <c r="BF103" s="1029"/>
      <c r="BG103" s="1031"/>
      <c r="BH103" s="841"/>
      <c r="BI103" s="841"/>
      <c r="BJ103" s="1031"/>
      <c r="BK103" s="1031"/>
      <c r="BL103" s="1031"/>
      <c r="BM103" s="841"/>
      <c r="BN103" s="841"/>
      <c r="BO103" s="1029"/>
      <c r="BP103" s="1031"/>
      <c r="BQ103" s="1031"/>
      <c r="BR103" s="1031"/>
      <c r="BS103" s="841"/>
      <c r="BT103" s="1029"/>
      <c r="BU103" s="1031"/>
      <c r="BV103" s="1031"/>
      <c r="BW103" s="841"/>
      <c r="BX103" s="1031"/>
      <c r="BY103" s="841"/>
      <c r="BZ103" s="841"/>
      <c r="CA103" s="1142">
        <f t="shared" si="5"/>
        <v>0</v>
      </c>
    </row>
    <row r="104" spans="1:137" hidden="1">
      <c r="A104" s="927" t="s">
        <v>328</v>
      </c>
      <c r="B104" s="927" t="s">
        <v>329</v>
      </c>
      <c r="C104" s="1029"/>
      <c r="D104" s="1407"/>
      <c r="E104" s="841"/>
      <c r="F104" s="841"/>
      <c r="G104" s="841"/>
      <c r="H104" s="1407"/>
      <c r="I104" s="841"/>
      <c r="J104" s="841"/>
      <c r="K104" s="1407"/>
      <c r="L104" s="841"/>
      <c r="M104" s="841"/>
      <c r="N104" s="841"/>
      <c r="O104" s="841"/>
      <c r="P104" s="841"/>
      <c r="Q104" s="841"/>
      <c r="R104" s="841"/>
      <c r="S104" s="841"/>
      <c r="T104" s="841"/>
      <c r="U104" s="1029"/>
      <c r="V104" s="1031"/>
      <c r="W104" s="841"/>
      <c r="X104" s="1398"/>
      <c r="Y104" s="1031"/>
      <c r="Z104" s="1031"/>
      <c r="AA104" s="1031"/>
      <c r="AB104" s="1031"/>
      <c r="AC104" s="1029"/>
      <c r="AD104" s="1031"/>
      <c r="AE104" s="1031"/>
      <c r="AF104" s="1398"/>
      <c r="AG104" s="1407"/>
      <c r="AH104" s="841"/>
      <c r="AI104" s="841"/>
      <c r="AJ104" s="841"/>
      <c r="AK104" s="1407"/>
      <c r="AL104" s="1407"/>
      <c r="AM104" s="1407"/>
      <c r="AN104" s="841"/>
      <c r="AO104" s="1048"/>
      <c r="AP104" s="1031"/>
      <c r="AQ104" s="841"/>
      <c r="AR104" s="841"/>
      <c r="AS104" s="841"/>
      <c r="AT104" s="841"/>
      <c r="AU104" s="1029"/>
      <c r="AV104" s="1407"/>
      <c r="AW104" s="1398"/>
      <c r="AX104" s="1031"/>
      <c r="AY104" s="841"/>
      <c r="AZ104" s="841"/>
      <c r="BA104" s="1031"/>
      <c r="BB104" s="1031"/>
      <c r="BC104" s="841"/>
      <c r="BD104" s="1031"/>
      <c r="BE104" s="1029"/>
      <c r="BF104" s="1029"/>
      <c r="BG104" s="1031"/>
      <c r="BH104" s="841"/>
      <c r="BI104" s="841"/>
      <c r="BJ104" s="1031"/>
      <c r="BK104" s="1031"/>
      <c r="BL104" s="1031"/>
      <c r="BM104" s="841"/>
      <c r="BN104" s="841"/>
      <c r="BO104" s="1029"/>
      <c r="BP104" s="1031"/>
      <c r="BQ104" s="1031"/>
      <c r="BR104" s="1031"/>
      <c r="BS104" s="841"/>
      <c r="BT104" s="1029"/>
      <c r="BU104" s="1031"/>
      <c r="BV104" s="1031"/>
      <c r="BW104" s="841"/>
      <c r="BX104" s="1031"/>
      <c r="BY104" s="841"/>
      <c r="BZ104" s="841"/>
      <c r="CA104" s="1142">
        <f t="shared" si="5"/>
        <v>0</v>
      </c>
    </row>
    <row r="105" spans="1:137" ht="31.5" hidden="1">
      <c r="A105" s="927" t="s">
        <v>330</v>
      </c>
      <c r="B105" s="927" t="s">
        <v>331</v>
      </c>
      <c r="C105" s="1029"/>
      <c r="D105" s="1407"/>
      <c r="E105" s="841"/>
      <c r="F105" s="841"/>
      <c r="G105" s="841"/>
      <c r="H105" s="1407"/>
      <c r="I105" s="841"/>
      <c r="J105" s="841"/>
      <c r="K105" s="1407"/>
      <c r="L105" s="841"/>
      <c r="M105" s="841"/>
      <c r="N105" s="841"/>
      <c r="O105" s="841"/>
      <c r="P105" s="841"/>
      <c r="Q105" s="841"/>
      <c r="R105" s="841"/>
      <c r="S105" s="841"/>
      <c r="T105" s="841"/>
      <c r="U105" s="1029"/>
      <c r="V105" s="1031"/>
      <c r="W105" s="841"/>
      <c r="X105" s="1398"/>
      <c r="Y105" s="1031"/>
      <c r="Z105" s="1031"/>
      <c r="AA105" s="1031"/>
      <c r="AB105" s="1031"/>
      <c r="AC105" s="1029"/>
      <c r="AD105" s="1031"/>
      <c r="AE105" s="1031"/>
      <c r="AF105" s="1398"/>
      <c r="AG105" s="1407"/>
      <c r="AH105" s="841"/>
      <c r="AI105" s="841"/>
      <c r="AJ105" s="841"/>
      <c r="AK105" s="1407"/>
      <c r="AL105" s="1407"/>
      <c r="AM105" s="1407"/>
      <c r="AN105" s="841"/>
      <c r="AO105" s="1048"/>
      <c r="AP105" s="1031"/>
      <c r="AQ105" s="841"/>
      <c r="AR105" s="841"/>
      <c r="AS105" s="841"/>
      <c r="AT105" s="841"/>
      <c r="AU105" s="1029"/>
      <c r="AV105" s="1407"/>
      <c r="AW105" s="1398"/>
      <c r="AX105" s="1031"/>
      <c r="AY105" s="841"/>
      <c r="AZ105" s="841"/>
      <c r="BA105" s="1031"/>
      <c r="BB105" s="1031"/>
      <c r="BC105" s="841"/>
      <c r="BD105" s="1031"/>
      <c r="BE105" s="1029"/>
      <c r="BF105" s="1029"/>
      <c r="BG105" s="1031"/>
      <c r="BH105" s="841"/>
      <c r="BI105" s="841"/>
      <c r="BJ105" s="1031"/>
      <c r="BK105" s="1031"/>
      <c r="BL105" s="1031"/>
      <c r="BM105" s="841"/>
      <c r="BN105" s="841"/>
      <c r="BO105" s="1029"/>
      <c r="BP105" s="1031"/>
      <c r="BQ105" s="1031"/>
      <c r="BR105" s="1031"/>
      <c r="BS105" s="841"/>
      <c r="BT105" s="1029"/>
      <c r="BU105" s="1031"/>
      <c r="BV105" s="1031"/>
      <c r="BW105" s="841"/>
      <c r="BX105" s="1031"/>
      <c r="BY105" s="841"/>
      <c r="BZ105" s="841"/>
      <c r="CA105" s="1142">
        <f t="shared" si="5"/>
        <v>0</v>
      </c>
    </row>
    <row r="106" spans="1:137" s="1135" customFormat="1" ht="18">
      <c r="B106" s="1135" t="s">
        <v>2355</v>
      </c>
      <c r="D106" s="1411">
        <f t="shared" ref="D106:R106" si="6">SUM(D3:D105)</f>
        <v>523761115.261648</v>
      </c>
      <c r="E106" s="1135">
        <f t="shared" si="6"/>
        <v>481854796.46344411</v>
      </c>
      <c r="F106" s="1135">
        <f t="shared" si="6"/>
        <v>33449469.930748645</v>
      </c>
      <c r="G106" s="1135">
        <f t="shared" si="6"/>
        <v>8456848.867455285</v>
      </c>
      <c r="H106" s="1411">
        <f t="shared" si="6"/>
        <v>50228060.559388518</v>
      </c>
      <c r="I106" s="1135">
        <f t="shared" si="6"/>
        <v>0</v>
      </c>
      <c r="J106" s="1135">
        <f t="shared" si="6"/>
        <v>0</v>
      </c>
      <c r="K106" s="1411">
        <f t="shared" si="6"/>
        <v>390093970.94172442</v>
      </c>
      <c r="L106" s="1135">
        <f t="shared" si="6"/>
        <v>7522932.61442619</v>
      </c>
      <c r="M106" s="1135">
        <f t="shared" si="6"/>
        <v>0</v>
      </c>
      <c r="N106" s="1135">
        <f t="shared" si="6"/>
        <v>25952129.861298155</v>
      </c>
      <c r="O106" s="1135">
        <f t="shared" si="6"/>
        <v>0</v>
      </c>
      <c r="P106" s="1135">
        <f t="shared" si="6"/>
        <v>304096.7</v>
      </c>
      <c r="Q106" s="1135">
        <f t="shared" si="6"/>
        <v>0</v>
      </c>
      <c r="R106" s="1135">
        <f t="shared" si="6"/>
        <v>1407027.4312104108</v>
      </c>
      <c r="S106" s="1135">
        <f>SUM(S4:S105)</f>
        <v>28421452.757159524</v>
      </c>
      <c r="T106" s="1135">
        <f t="shared" ref="T106:AY106" si="7">SUM(T3:T105)</f>
        <v>279033.33019158785</v>
      </c>
      <c r="U106" s="1135">
        <f t="shared" si="7"/>
        <v>0</v>
      </c>
      <c r="V106" s="1135">
        <f t="shared" si="7"/>
        <v>4882386.8845837582</v>
      </c>
      <c r="W106" s="1135">
        <f t="shared" si="7"/>
        <v>26741142.44752986</v>
      </c>
      <c r="X106" s="1399">
        <f t="shared" si="7"/>
        <v>4122580.442981285</v>
      </c>
      <c r="Y106" s="1135">
        <f t="shared" si="7"/>
        <v>0</v>
      </c>
      <c r="Z106" s="1135">
        <f t="shared" si="7"/>
        <v>0</v>
      </c>
      <c r="AA106" s="1135">
        <f t="shared" si="7"/>
        <v>0</v>
      </c>
      <c r="AB106" s="1135">
        <f t="shared" si="7"/>
        <v>0</v>
      </c>
      <c r="AC106" s="1135">
        <f t="shared" si="7"/>
        <v>0</v>
      </c>
      <c r="AD106" s="1135">
        <f t="shared" si="7"/>
        <v>4122580.442981285</v>
      </c>
      <c r="AE106" s="1135">
        <f t="shared" si="7"/>
        <v>4122580.442981285</v>
      </c>
      <c r="AF106" s="1399">
        <f t="shared" si="7"/>
        <v>175831115.77266294</v>
      </c>
      <c r="AG106" s="1411">
        <f t="shared" si="7"/>
        <v>0</v>
      </c>
      <c r="AH106" s="1135">
        <f t="shared" si="7"/>
        <v>0</v>
      </c>
      <c r="AI106" s="1135">
        <f t="shared" si="7"/>
        <v>0</v>
      </c>
      <c r="AJ106" s="1135">
        <f t="shared" si="7"/>
        <v>0</v>
      </c>
      <c r="AK106" s="1411">
        <f t="shared" si="7"/>
        <v>10220064</v>
      </c>
      <c r="AL106" s="1411">
        <f t="shared" si="7"/>
        <v>3295343</v>
      </c>
      <c r="AM106" s="1411">
        <f t="shared" si="7"/>
        <v>648962.59038147365</v>
      </c>
      <c r="AN106" s="1135">
        <f t="shared" si="7"/>
        <v>0</v>
      </c>
      <c r="AO106" s="1135">
        <f t="shared" si="7"/>
        <v>0</v>
      </c>
      <c r="AP106" s="1135">
        <f t="shared" si="7"/>
        <v>0</v>
      </c>
      <c r="AQ106" s="1135">
        <f t="shared" si="7"/>
        <v>642182.55220278248</v>
      </c>
      <c r="AR106" s="1135">
        <f t="shared" si="7"/>
        <v>0</v>
      </c>
      <c r="AS106" s="1135">
        <f t="shared" si="7"/>
        <v>0</v>
      </c>
      <c r="AT106" s="1135">
        <f t="shared" si="7"/>
        <v>0</v>
      </c>
      <c r="AU106" s="1135">
        <f t="shared" si="7"/>
        <v>6780.0381786911175</v>
      </c>
      <c r="AV106" s="1411">
        <f t="shared" si="7"/>
        <v>0</v>
      </c>
      <c r="AW106" s="1399">
        <f t="shared" si="7"/>
        <v>0</v>
      </c>
      <c r="AX106" s="1135">
        <f t="shared" si="7"/>
        <v>36364385.493299603</v>
      </c>
      <c r="AY106" s="1135">
        <f t="shared" si="7"/>
        <v>0</v>
      </c>
      <c r="AZ106" s="1135">
        <f t="shared" ref="AZ106:CA106" si="8">SUM(AZ3:AZ105)</f>
        <v>16726028</v>
      </c>
      <c r="BA106" s="1135">
        <f t="shared" si="8"/>
        <v>37086094</v>
      </c>
      <c r="BB106" s="1135">
        <f t="shared" si="8"/>
        <v>37086094</v>
      </c>
      <c r="BC106" s="1135">
        <f t="shared" si="8"/>
        <v>0</v>
      </c>
      <c r="BD106" s="1135">
        <f t="shared" si="8"/>
        <v>0</v>
      </c>
      <c r="BE106" s="1135">
        <f t="shared" si="8"/>
        <v>0</v>
      </c>
      <c r="BF106" s="1135">
        <f t="shared" si="8"/>
        <v>0</v>
      </c>
      <c r="BG106" s="1135">
        <f t="shared" si="8"/>
        <v>8187145.1280117165</v>
      </c>
      <c r="BH106" s="1135">
        <f t="shared" si="8"/>
        <v>0</v>
      </c>
      <c r="BI106" s="1135">
        <f t="shared" si="8"/>
        <v>13636689.800000001</v>
      </c>
      <c r="BJ106" s="1135">
        <f t="shared" si="8"/>
        <v>22750825.600000001</v>
      </c>
      <c r="BK106" s="1135">
        <f t="shared" si="8"/>
        <v>1718896.2</v>
      </c>
      <c r="BL106" s="1135">
        <f t="shared" si="8"/>
        <v>0</v>
      </c>
      <c r="BM106" s="1135">
        <f t="shared" si="8"/>
        <v>0</v>
      </c>
      <c r="BN106" s="1135">
        <f t="shared" si="8"/>
        <v>0</v>
      </c>
      <c r="BO106" s="1135">
        <f t="shared" si="8"/>
        <v>0</v>
      </c>
      <c r="BP106" s="1135">
        <f t="shared" si="8"/>
        <v>0</v>
      </c>
      <c r="BQ106" s="1135">
        <f t="shared" si="8"/>
        <v>0</v>
      </c>
      <c r="BR106" s="1135">
        <f t="shared" si="8"/>
        <v>0</v>
      </c>
      <c r="BS106" s="1135">
        <f t="shared" si="8"/>
        <v>0</v>
      </c>
      <c r="BT106" s="1135">
        <f t="shared" si="8"/>
        <v>0</v>
      </c>
      <c r="BU106" s="1135">
        <f t="shared" si="8"/>
        <v>6436118.9188969228</v>
      </c>
      <c r="BV106" s="1135">
        <f t="shared" si="8"/>
        <v>0</v>
      </c>
      <c r="BW106" s="1135">
        <f t="shared" si="8"/>
        <v>0</v>
      </c>
      <c r="BX106" s="1135">
        <f t="shared" si="8"/>
        <v>70087865.16158779</v>
      </c>
      <c r="BY106" s="1135">
        <f t="shared" si="8"/>
        <v>0</v>
      </c>
      <c r="BZ106" s="1135">
        <f t="shared" si="8"/>
        <v>655615.80000000005</v>
      </c>
      <c r="CA106" s="1143">
        <f t="shared" si="8"/>
        <v>2365991121.8370957</v>
      </c>
      <c r="CB106" s="1154"/>
      <c r="CC106" s="1152"/>
      <c r="CD106" s="1152"/>
      <c r="CE106" s="1152"/>
      <c r="CF106" s="1152"/>
      <c r="CG106" s="1152"/>
      <c r="CH106" s="1152"/>
      <c r="CI106" s="1152"/>
      <c r="CJ106" s="1152"/>
      <c r="CK106" s="1152"/>
      <c r="CL106" s="1152"/>
      <c r="CM106" s="1152"/>
      <c r="CN106" s="1152"/>
      <c r="CO106" s="1152"/>
      <c r="CP106" s="1152"/>
      <c r="CQ106" s="1152"/>
      <c r="CR106" s="1152"/>
      <c r="CS106" s="1152"/>
      <c r="CT106" s="1152"/>
      <c r="CU106" s="1152"/>
      <c r="CV106" s="1152"/>
      <c r="CW106" s="1152"/>
      <c r="CX106" s="1152"/>
      <c r="CY106" s="1152"/>
      <c r="CZ106" s="1152"/>
      <c r="DA106" s="1152"/>
      <c r="DB106" s="1152"/>
      <c r="DC106" s="1152"/>
      <c r="DD106" s="1152"/>
      <c r="DE106" s="1152"/>
      <c r="DF106" s="1152"/>
      <c r="DG106" s="1152"/>
      <c r="DH106" s="1152"/>
      <c r="DI106" s="1152"/>
      <c r="DJ106" s="1152"/>
      <c r="DK106" s="1152"/>
      <c r="DL106" s="1152"/>
      <c r="DM106" s="1152"/>
      <c r="DN106" s="1152"/>
      <c r="DO106" s="1152"/>
      <c r="DP106" s="1152"/>
      <c r="DQ106" s="1152"/>
      <c r="DR106" s="1152"/>
      <c r="DS106" s="1152"/>
      <c r="DT106" s="1152"/>
      <c r="DU106" s="1152"/>
      <c r="DV106" s="1152"/>
      <c r="DW106" s="1152"/>
      <c r="DX106" s="1152"/>
      <c r="DY106" s="1152"/>
      <c r="DZ106" s="1149"/>
      <c r="EA106" s="1136"/>
      <c r="EB106" s="1136"/>
      <c r="EC106" s="1136"/>
      <c r="ED106" s="1136"/>
      <c r="EE106" s="1136"/>
      <c r="EF106" s="1136"/>
      <c r="EG106" s="1136"/>
    </row>
    <row r="107" spans="1:137" s="1138" customFormat="1" ht="21" customHeight="1">
      <c r="D107" s="1421">
        <f>SUM(D4:D106)</f>
        <v>868593219.98445487</v>
      </c>
      <c r="H107" s="1412"/>
      <c r="K107" s="1412"/>
      <c r="X107" s="1400"/>
      <c r="AF107" s="1400"/>
      <c r="AG107" s="1412"/>
      <c r="AK107" s="1412"/>
      <c r="AL107" s="1412"/>
      <c r="AM107" s="1412"/>
      <c r="AV107" s="1412"/>
      <c r="AW107" s="1400"/>
      <c r="CA107" s="1139"/>
      <c r="CB107" s="1153"/>
      <c r="CC107" s="1134"/>
      <c r="CD107" s="1134"/>
      <c r="CE107" s="1134"/>
      <c r="CF107" s="1134"/>
      <c r="CG107" s="1134"/>
      <c r="CH107" s="1134"/>
      <c r="CI107" s="1134"/>
      <c r="CJ107" s="1134"/>
      <c r="CK107" s="1134"/>
      <c r="CL107" s="1134"/>
      <c r="CM107" s="1134"/>
      <c r="CN107" s="1134"/>
      <c r="CO107" s="1134"/>
      <c r="CP107" s="1134"/>
      <c r="CQ107" s="1134"/>
      <c r="CR107" s="1134"/>
      <c r="CS107" s="1134"/>
      <c r="CT107" s="1134"/>
      <c r="CU107" s="1134"/>
      <c r="CV107" s="1134"/>
      <c r="CW107" s="1134"/>
      <c r="CX107" s="1134"/>
      <c r="CY107" s="1134"/>
      <c r="CZ107" s="1134"/>
      <c r="DA107" s="1134"/>
      <c r="DB107" s="1134"/>
      <c r="DC107" s="1134"/>
      <c r="DD107" s="1134"/>
      <c r="DE107" s="1134"/>
      <c r="DF107" s="1134"/>
      <c r="DG107" s="1134"/>
      <c r="DH107" s="1134"/>
      <c r="DI107" s="1134"/>
      <c r="DJ107" s="1134"/>
      <c r="DK107" s="1134"/>
      <c r="DL107" s="1134"/>
      <c r="DM107" s="1134"/>
      <c r="DN107" s="1134"/>
      <c r="DO107" s="1134"/>
      <c r="DP107" s="1134"/>
      <c r="DQ107" s="1134"/>
      <c r="DR107" s="1134"/>
      <c r="DS107" s="1134"/>
      <c r="DT107" s="1134"/>
      <c r="DU107" s="1134"/>
      <c r="DV107" s="1134"/>
      <c r="DW107" s="1134"/>
      <c r="DX107" s="1134"/>
      <c r="DY107" s="1134"/>
    </row>
    <row r="108" spans="1:137" s="1134" customFormat="1" ht="12.75">
      <c r="D108" s="1413"/>
      <c r="H108" s="1413"/>
      <c r="K108" s="1413"/>
      <c r="X108" s="1401"/>
      <c r="AF108" s="1401"/>
      <c r="AG108" s="1413"/>
      <c r="AK108" s="1413"/>
      <c r="AL108" s="1413"/>
      <c r="AM108" s="1413"/>
      <c r="AV108" s="1413"/>
      <c r="AW108" s="1401"/>
      <c r="CB108" s="1153"/>
    </row>
    <row r="109" spans="1:137" s="1134" customFormat="1">
      <c r="D109" s="1413"/>
      <c r="H109" s="1413"/>
      <c r="K109" s="1413"/>
      <c r="X109" s="1401"/>
      <c r="AF109" s="1401"/>
      <c r="AG109" s="1413"/>
      <c r="AK109" s="1413"/>
      <c r="AL109" s="1413"/>
      <c r="AM109" s="1413"/>
      <c r="AV109" s="1413"/>
      <c r="AW109" s="1401"/>
      <c r="CA109" s="1137"/>
      <c r="CB109" s="1153"/>
    </row>
    <row r="110" spans="1:137" s="1134" customFormat="1">
      <c r="D110" s="1413"/>
      <c r="F110" s="1134" t="s">
        <v>846</v>
      </c>
      <c r="H110" s="1413"/>
      <c r="K110" s="1413"/>
      <c r="X110" s="1401"/>
      <c r="AF110" s="1401"/>
      <c r="AG110" s="1413"/>
      <c r="AK110" s="1413"/>
      <c r="AL110" s="1413"/>
      <c r="AM110" s="1413"/>
      <c r="AV110" s="1413"/>
      <c r="AW110" s="1401"/>
      <c r="CA110" s="1137"/>
      <c r="CB110" s="1153"/>
    </row>
    <row r="111" spans="1:137" s="1134" customFormat="1">
      <c r="D111" s="1413"/>
      <c r="H111" s="1413"/>
      <c r="K111" s="1413"/>
      <c r="X111" s="1401"/>
      <c r="AF111" s="1401"/>
      <c r="AG111" s="1413"/>
      <c r="AK111" s="1413"/>
      <c r="AL111" s="1413"/>
      <c r="AM111" s="1413"/>
      <c r="AV111" s="1413"/>
      <c r="AW111" s="1401"/>
      <c r="CA111" s="1137"/>
      <c r="CB111" s="1153"/>
    </row>
    <row r="112" spans="1:137" s="1134" customFormat="1">
      <c r="D112" s="1413"/>
      <c r="H112" s="1413"/>
      <c r="K112" s="1413"/>
      <c r="X112" s="1401"/>
      <c r="AF112" s="1401"/>
      <c r="AG112" s="1413"/>
      <c r="AK112" s="1413"/>
      <c r="AL112" s="1413"/>
      <c r="AM112" s="1413"/>
      <c r="AV112" s="1413"/>
      <c r="AW112" s="1401"/>
      <c r="CA112" s="1137"/>
      <c r="CB112" s="1153"/>
    </row>
    <row r="113" spans="4:80" s="1134" customFormat="1">
      <c r="D113" s="1413"/>
      <c r="H113" s="1413"/>
      <c r="K113" s="1413"/>
      <c r="X113" s="1401"/>
      <c r="AF113" s="1401"/>
      <c r="AG113" s="1413"/>
      <c r="AK113" s="1413"/>
      <c r="AL113" s="1413"/>
      <c r="AM113" s="1413"/>
      <c r="AV113" s="1413"/>
      <c r="AW113" s="1401"/>
      <c r="CA113" s="1137"/>
      <c r="CB113" s="1153"/>
    </row>
    <row r="114" spans="4:80" s="1134" customFormat="1">
      <c r="D114" s="1413"/>
      <c r="H114" s="1413"/>
      <c r="K114" s="1413"/>
      <c r="X114" s="1401"/>
      <c r="AF114" s="1401"/>
      <c r="AG114" s="1413"/>
      <c r="AK114" s="1413"/>
      <c r="AL114" s="1413"/>
      <c r="AM114" s="1413"/>
      <c r="AV114" s="1413"/>
      <c r="AW114" s="1401"/>
      <c r="CA114" s="1137"/>
      <c r="CB114" s="1153"/>
    </row>
    <row r="115" spans="4:80" s="1134" customFormat="1">
      <c r="D115" s="1413"/>
      <c r="H115" s="1413"/>
      <c r="K115" s="1413"/>
      <c r="X115" s="1401"/>
      <c r="AF115" s="1401"/>
      <c r="AG115" s="1413"/>
      <c r="AK115" s="1413"/>
      <c r="AL115" s="1413"/>
      <c r="AM115" s="1413"/>
      <c r="AV115" s="1413"/>
      <c r="AW115" s="1401"/>
      <c r="CA115" s="1137"/>
      <c r="CB115" s="1153"/>
    </row>
    <row r="116" spans="4:80" s="1134" customFormat="1">
      <c r="D116" s="1413"/>
      <c r="H116" s="1413"/>
      <c r="K116" s="1413"/>
      <c r="X116" s="1401"/>
      <c r="AF116" s="1401"/>
      <c r="AG116" s="1413"/>
      <c r="AK116" s="1413"/>
      <c r="AL116" s="1413"/>
      <c r="AM116" s="1413"/>
      <c r="AV116" s="1413"/>
      <c r="AW116" s="1401"/>
      <c r="CA116" s="1137"/>
      <c r="CB116" s="1153"/>
    </row>
    <row r="117" spans="4:80" s="1134" customFormat="1">
      <c r="D117" s="1413"/>
      <c r="H117" s="1413"/>
      <c r="K117" s="1413"/>
      <c r="X117" s="1401"/>
      <c r="AF117" s="1401"/>
      <c r="AG117" s="1413"/>
      <c r="AK117" s="1413"/>
      <c r="AL117" s="1413"/>
      <c r="AM117" s="1413"/>
      <c r="AV117" s="1413"/>
      <c r="AW117" s="1401"/>
      <c r="CA117" s="1137"/>
      <c r="CB117" s="1153"/>
    </row>
    <row r="118" spans="4:80" s="1134" customFormat="1">
      <c r="D118" s="1413"/>
      <c r="H118" s="1413"/>
      <c r="K118" s="1413"/>
      <c r="X118" s="1401"/>
      <c r="AF118" s="1401"/>
      <c r="AG118" s="1413"/>
      <c r="AK118" s="1413"/>
      <c r="AL118" s="1413"/>
      <c r="AM118" s="1413"/>
      <c r="AV118" s="1413"/>
      <c r="AW118" s="1401"/>
      <c r="CA118" s="1137"/>
      <c r="CB118" s="1153"/>
    </row>
    <row r="119" spans="4:80" s="1134" customFormat="1">
      <c r="D119" s="1413"/>
      <c r="H119" s="1413"/>
      <c r="K119" s="1413"/>
      <c r="X119" s="1401"/>
      <c r="AF119" s="1401"/>
      <c r="AG119" s="1413"/>
      <c r="AK119" s="1413"/>
      <c r="AL119" s="1413"/>
      <c r="AM119" s="1413"/>
      <c r="AV119" s="1413"/>
      <c r="AW119" s="1401"/>
      <c r="CA119" s="1137"/>
      <c r="CB119" s="1153"/>
    </row>
    <row r="120" spans="4:80" s="1134" customFormat="1">
      <c r="D120" s="1413"/>
      <c r="H120" s="1413"/>
      <c r="K120" s="1413"/>
      <c r="X120" s="1401"/>
      <c r="AF120" s="1401"/>
      <c r="AG120" s="1413"/>
      <c r="AK120" s="1413"/>
      <c r="AL120" s="1413"/>
      <c r="AM120" s="1413"/>
      <c r="AV120" s="1413"/>
      <c r="AW120" s="1401"/>
      <c r="CA120" s="1137"/>
      <c r="CB120" s="1153"/>
    </row>
    <row r="121" spans="4:80" s="1134" customFormat="1">
      <c r="D121" s="1413"/>
      <c r="H121" s="1413"/>
      <c r="K121" s="1413"/>
      <c r="X121" s="1401"/>
      <c r="AF121" s="1401"/>
      <c r="AG121" s="1413"/>
      <c r="AK121" s="1413"/>
      <c r="AL121" s="1413"/>
      <c r="AM121" s="1413"/>
      <c r="AV121" s="1413"/>
      <c r="AW121" s="1401"/>
      <c r="CA121" s="1137"/>
      <c r="CB121" s="1153"/>
    </row>
    <row r="122" spans="4:80" s="1134" customFormat="1">
      <c r="D122" s="1413"/>
      <c r="H122" s="1413"/>
      <c r="K122" s="1413"/>
      <c r="X122" s="1401"/>
      <c r="AF122" s="1401"/>
      <c r="AG122" s="1413"/>
      <c r="AK122" s="1413"/>
      <c r="AL122" s="1413"/>
      <c r="AM122" s="1413"/>
      <c r="AV122" s="1413"/>
      <c r="AW122" s="1401"/>
      <c r="CA122" s="1137"/>
      <c r="CB122" s="1153"/>
    </row>
    <row r="123" spans="4:80" s="1134" customFormat="1">
      <c r="D123" s="1413"/>
      <c r="H123" s="1413"/>
      <c r="K123" s="1413"/>
      <c r="X123" s="1401"/>
      <c r="AF123" s="1401"/>
      <c r="AG123" s="1413"/>
      <c r="AK123" s="1413"/>
      <c r="AL123" s="1413"/>
      <c r="AM123" s="1413"/>
      <c r="AV123" s="1413"/>
      <c r="AW123" s="1401"/>
      <c r="CA123" s="1137"/>
      <c r="CB123" s="1153"/>
    </row>
    <row r="124" spans="4:80" s="1134" customFormat="1">
      <c r="D124" s="1413"/>
      <c r="H124" s="1413"/>
      <c r="K124" s="1413"/>
      <c r="X124" s="1401"/>
      <c r="AF124" s="1401"/>
      <c r="AG124" s="1413"/>
      <c r="AK124" s="1413"/>
      <c r="AL124" s="1413"/>
      <c r="AM124" s="1413"/>
      <c r="AV124" s="1413"/>
      <c r="AW124" s="1401"/>
      <c r="CA124" s="1137"/>
      <c r="CB124" s="1153"/>
    </row>
    <row r="125" spans="4:80" s="1134" customFormat="1">
      <c r="D125" s="1413"/>
      <c r="H125" s="1413"/>
      <c r="K125" s="1413"/>
      <c r="X125" s="1401"/>
      <c r="AF125" s="1401"/>
      <c r="AG125" s="1413"/>
      <c r="AK125" s="1413"/>
      <c r="AL125" s="1413"/>
      <c r="AM125" s="1413"/>
      <c r="AV125" s="1413"/>
      <c r="AW125" s="1401"/>
      <c r="CA125" s="1137"/>
      <c r="CB125" s="1153"/>
    </row>
    <row r="126" spans="4:80" s="1134" customFormat="1">
      <c r="D126" s="1413"/>
      <c r="H126" s="1413"/>
      <c r="K126" s="1413"/>
      <c r="X126" s="1401"/>
      <c r="AF126" s="1401"/>
      <c r="AG126" s="1413"/>
      <c r="AK126" s="1413"/>
      <c r="AL126" s="1413"/>
      <c r="AM126" s="1413"/>
      <c r="AV126" s="1413"/>
      <c r="AW126" s="1401"/>
      <c r="CA126" s="1137"/>
      <c r="CB126" s="1153"/>
    </row>
    <row r="127" spans="4:80" s="1134" customFormat="1">
      <c r="D127" s="1413"/>
      <c r="H127" s="1413"/>
      <c r="K127" s="1413"/>
      <c r="X127" s="1401"/>
      <c r="AF127" s="1401"/>
      <c r="AG127" s="1413"/>
      <c r="AK127" s="1413"/>
      <c r="AL127" s="1413"/>
      <c r="AM127" s="1413"/>
      <c r="AV127" s="1413"/>
      <c r="AW127" s="1401"/>
      <c r="CA127" s="1137"/>
      <c r="CB127" s="1153"/>
    </row>
    <row r="128" spans="4:80" s="1134" customFormat="1">
      <c r="D128" s="1413"/>
      <c r="H128" s="1413"/>
      <c r="K128" s="1413"/>
      <c r="X128" s="1401"/>
      <c r="AF128" s="1401"/>
      <c r="AG128" s="1413"/>
      <c r="AK128" s="1413"/>
      <c r="AL128" s="1413"/>
      <c r="AM128" s="1413"/>
      <c r="AV128" s="1413"/>
      <c r="AW128" s="1401"/>
      <c r="CA128" s="1137"/>
      <c r="CB128" s="1153"/>
    </row>
    <row r="129" spans="4:80" s="1134" customFormat="1">
      <c r="D129" s="1413"/>
      <c r="H129" s="1413"/>
      <c r="K129" s="1413"/>
      <c r="X129" s="1401"/>
      <c r="AF129" s="1401"/>
      <c r="AG129" s="1413"/>
      <c r="AK129" s="1413"/>
      <c r="AL129" s="1413"/>
      <c r="AM129" s="1413"/>
      <c r="AV129" s="1413"/>
      <c r="AW129" s="1401"/>
      <c r="CA129" s="1137"/>
      <c r="CB129" s="1153"/>
    </row>
    <row r="130" spans="4:80" s="1134" customFormat="1">
      <c r="D130" s="1413"/>
      <c r="H130" s="1413"/>
      <c r="K130" s="1413"/>
      <c r="X130" s="1401"/>
      <c r="AF130" s="1401"/>
      <c r="AG130" s="1413"/>
      <c r="AK130" s="1413"/>
      <c r="AL130" s="1413"/>
      <c r="AM130" s="1413"/>
      <c r="AV130" s="1413"/>
      <c r="AW130" s="1401"/>
      <c r="CA130" s="1137"/>
      <c r="CB130" s="1153"/>
    </row>
    <row r="131" spans="4:80" s="1134" customFormat="1">
      <c r="D131" s="1413"/>
      <c r="H131" s="1413"/>
      <c r="K131" s="1413"/>
      <c r="X131" s="1401"/>
      <c r="AF131" s="1401"/>
      <c r="AG131" s="1413"/>
      <c r="AK131" s="1413"/>
      <c r="AL131" s="1413"/>
      <c r="AM131" s="1413"/>
      <c r="AV131" s="1413"/>
      <c r="AW131" s="1401"/>
      <c r="CA131" s="1137"/>
      <c r="CB131" s="1153"/>
    </row>
    <row r="132" spans="4:80" s="1134" customFormat="1">
      <c r="D132" s="1413"/>
      <c r="H132" s="1413"/>
      <c r="K132" s="1413"/>
      <c r="X132" s="1401"/>
      <c r="AF132" s="1401"/>
      <c r="AG132" s="1413"/>
      <c r="AK132" s="1413"/>
      <c r="AL132" s="1413"/>
      <c r="AM132" s="1413"/>
      <c r="AV132" s="1413"/>
      <c r="AW132" s="1401"/>
      <c r="CA132" s="1137"/>
      <c r="CB132" s="1153"/>
    </row>
    <row r="133" spans="4:80" s="1134" customFormat="1">
      <c r="D133" s="1413"/>
      <c r="H133" s="1413"/>
      <c r="K133" s="1413"/>
      <c r="X133" s="1401"/>
      <c r="AF133" s="1401"/>
      <c r="AG133" s="1413"/>
      <c r="AK133" s="1413"/>
      <c r="AL133" s="1413"/>
      <c r="AM133" s="1413"/>
      <c r="AV133" s="1413"/>
      <c r="AW133" s="1401"/>
      <c r="CA133" s="1137"/>
      <c r="CB133" s="1153"/>
    </row>
    <row r="134" spans="4:80" s="1134" customFormat="1">
      <c r="D134" s="1413"/>
      <c r="H134" s="1413"/>
      <c r="K134" s="1413"/>
      <c r="X134" s="1401"/>
      <c r="AF134" s="1401"/>
      <c r="AG134" s="1413"/>
      <c r="AK134" s="1413"/>
      <c r="AL134" s="1413"/>
      <c r="AM134" s="1413"/>
      <c r="AV134" s="1413"/>
      <c r="AW134" s="1401"/>
      <c r="CA134" s="1137"/>
      <c r="CB134" s="1153"/>
    </row>
    <row r="135" spans="4:80" s="1134" customFormat="1">
      <c r="D135" s="1413"/>
      <c r="H135" s="1413"/>
      <c r="K135" s="1413"/>
      <c r="X135" s="1401"/>
      <c r="AF135" s="1401"/>
      <c r="AG135" s="1413"/>
      <c r="AK135" s="1413"/>
      <c r="AL135" s="1413"/>
      <c r="AM135" s="1413"/>
      <c r="AV135" s="1413"/>
      <c r="AW135" s="1401"/>
      <c r="CA135" s="1137"/>
      <c r="CB135" s="1153"/>
    </row>
    <row r="136" spans="4:80" s="1134" customFormat="1">
      <c r="D136" s="1413"/>
      <c r="H136" s="1413"/>
      <c r="K136" s="1413"/>
      <c r="X136" s="1401"/>
      <c r="AF136" s="1401"/>
      <c r="AG136" s="1413"/>
      <c r="AK136" s="1413"/>
      <c r="AL136" s="1413"/>
      <c r="AM136" s="1413"/>
      <c r="AV136" s="1413"/>
      <c r="AW136" s="1401"/>
      <c r="CA136" s="1137"/>
      <c r="CB136" s="1153"/>
    </row>
    <row r="137" spans="4:80" s="1134" customFormat="1">
      <c r="D137" s="1413"/>
      <c r="H137" s="1413"/>
      <c r="K137" s="1413"/>
      <c r="X137" s="1401"/>
      <c r="AF137" s="1401"/>
      <c r="AG137" s="1413"/>
      <c r="AK137" s="1413"/>
      <c r="AL137" s="1413"/>
      <c r="AM137" s="1413"/>
      <c r="AV137" s="1413"/>
      <c r="AW137" s="1401"/>
      <c r="CA137" s="1137"/>
      <c r="CB137" s="1153"/>
    </row>
    <row r="138" spans="4:80" s="1134" customFormat="1">
      <c r="D138" s="1413"/>
      <c r="H138" s="1413"/>
      <c r="K138" s="1413"/>
      <c r="X138" s="1401"/>
      <c r="AF138" s="1401"/>
      <c r="AG138" s="1413"/>
      <c r="AK138" s="1413"/>
      <c r="AL138" s="1413"/>
      <c r="AM138" s="1413"/>
      <c r="AV138" s="1413"/>
      <c r="AW138" s="1401"/>
      <c r="CA138" s="1137"/>
      <c r="CB138" s="1153"/>
    </row>
    <row r="139" spans="4:80" s="1134" customFormat="1">
      <c r="D139" s="1413"/>
      <c r="H139" s="1413"/>
      <c r="K139" s="1413"/>
      <c r="X139" s="1401"/>
      <c r="AF139" s="1401"/>
      <c r="AG139" s="1413"/>
      <c r="AK139" s="1413"/>
      <c r="AL139" s="1413"/>
      <c r="AM139" s="1413"/>
      <c r="AV139" s="1413"/>
      <c r="AW139" s="1401"/>
      <c r="CA139" s="1137"/>
      <c r="CB139" s="1153"/>
    </row>
    <row r="140" spans="4:80" s="1134" customFormat="1">
      <c r="D140" s="1413"/>
      <c r="H140" s="1413"/>
      <c r="K140" s="1413"/>
      <c r="X140" s="1401"/>
      <c r="AF140" s="1401"/>
      <c r="AG140" s="1413"/>
      <c r="AK140" s="1413"/>
      <c r="AL140" s="1413"/>
      <c r="AM140" s="1413"/>
      <c r="AV140" s="1413"/>
      <c r="AW140" s="1401"/>
      <c r="CA140" s="1137"/>
      <c r="CB140" s="1153"/>
    </row>
    <row r="141" spans="4:80" s="1134" customFormat="1">
      <c r="D141" s="1413"/>
      <c r="H141" s="1413"/>
      <c r="K141" s="1413"/>
      <c r="X141" s="1401"/>
      <c r="AF141" s="1401"/>
      <c r="AG141" s="1413"/>
      <c r="AK141" s="1413"/>
      <c r="AL141" s="1413"/>
      <c r="AM141" s="1413"/>
      <c r="AV141" s="1413"/>
      <c r="AW141" s="1401"/>
      <c r="CA141" s="1137"/>
      <c r="CB141" s="1153"/>
    </row>
    <row r="142" spans="4:80" s="1134" customFormat="1">
      <c r="D142" s="1413"/>
      <c r="H142" s="1413"/>
      <c r="K142" s="1413"/>
      <c r="X142" s="1401"/>
      <c r="AF142" s="1401"/>
      <c r="AG142" s="1413"/>
      <c r="AK142" s="1413"/>
      <c r="AL142" s="1413"/>
      <c r="AM142" s="1413"/>
      <c r="AV142" s="1413"/>
      <c r="AW142" s="1401"/>
      <c r="CA142" s="1137"/>
      <c r="CB142" s="1153"/>
    </row>
    <row r="143" spans="4:80" s="1134" customFormat="1">
      <c r="D143" s="1413"/>
      <c r="H143" s="1413"/>
      <c r="K143" s="1413"/>
      <c r="X143" s="1401"/>
      <c r="AF143" s="1401"/>
      <c r="AG143" s="1413"/>
      <c r="AK143" s="1413"/>
      <c r="AL143" s="1413"/>
      <c r="AM143" s="1413"/>
      <c r="AV143" s="1413"/>
      <c r="AW143" s="1401"/>
      <c r="CA143" s="1137"/>
      <c r="CB143" s="1153"/>
    </row>
    <row r="144" spans="4:80" s="1134" customFormat="1">
      <c r="D144" s="1413"/>
      <c r="H144" s="1413"/>
      <c r="K144" s="1413"/>
      <c r="X144" s="1401"/>
      <c r="AF144" s="1401"/>
      <c r="AG144" s="1413"/>
      <c r="AK144" s="1413"/>
      <c r="AL144" s="1413"/>
      <c r="AM144" s="1413"/>
      <c r="AV144" s="1413"/>
      <c r="AW144" s="1401"/>
      <c r="CA144" s="1137"/>
      <c r="CB144" s="1153"/>
    </row>
    <row r="145" spans="4:80" s="1134" customFormat="1">
      <c r="D145" s="1413"/>
      <c r="H145" s="1413"/>
      <c r="K145" s="1413"/>
      <c r="X145" s="1401"/>
      <c r="AF145" s="1401"/>
      <c r="AG145" s="1413"/>
      <c r="AK145" s="1413"/>
      <c r="AL145" s="1413"/>
      <c r="AM145" s="1413"/>
      <c r="AV145" s="1413"/>
      <c r="AW145" s="1401"/>
      <c r="CA145" s="1137"/>
      <c r="CB145" s="1153"/>
    </row>
    <row r="146" spans="4:80" s="1134" customFormat="1">
      <c r="D146" s="1413"/>
      <c r="H146" s="1413"/>
      <c r="K146" s="1413"/>
      <c r="X146" s="1401"/>
      <c r="AF146" s="1401"/>
      <c r="AG146" s="1413"/>
      <c r="AK146" s="1413"/>
      <c r="AL146" s="1413"/>
      <c r="AM146" s="1413"/>
      <c r="AV146" s="1413"/>
      <c r="AW146" s="1401"/>
      <c r="CA146" s="1137"/>
      <c r="CB146" s="1153"/>
    </row>
    <row r="147" spans="4:80" s="1134" customFormat="1">
      <c r="D147" s="1413"/>
      <c r="H147" s="1413"/>
      <c r="K147" s="1413"/>
      <c r="X147" s="1401"/>
      <c r="AF147" s="1401"/>
      <c r="AG147" s="1413"/>
      <c r="AK147" s="1413"/>
      <c r="AL147" s="1413"/>
      <c r="AM147" s="1413"/>
      <c r="AV147" s="1413"/>
      <c r="AW147" s="1401"/>
      <c r="CA147" s="1137"/>
      <c r="CB147" s="1153"/>
    </row>
    <row r="148" spans="4:80" s="1134" customFormat="1">
      <c r="D148" s="1413"/>
      <c r="H148" s="1413"/>
      <c r="K148" s="1413"/>
      <c r="X148" s="1401"/>
      <c r="AF148" s="1401"/>
      <c r="AG148" s="1413"/>
      <c r="AK148" s="1413"/>
      <c r="AL148" s="1413"/>
      <c r="AM148" s="1413"/>
      <c r="AV148" s="1413"/>
      <c r="AW148" s="1401"/>
      <c r="CA148" s="1137"/>
      <c r="CB148" s="1153"/>
    </row>
    <row r="149" spans="4:80" s="1134" customFormat="1">
      <c r="D149" s="1413"/>
      <c r="H149" s="1413"/>
      <c r="K149" s="1413"/>
      <c r="X149" s="1401"/>
      <c r="AF149" s="1401"/>
      <c r="AG149" s="1413"/>
      <c r="AK149" s="1413"/>
      <c r="AL149" s="1413"/>
      <c r="AM149" s="1413"/>
      <c r="AV149" s="1413"/>
      <c r="AW149" s="1401"/>
      <c r="CA149" s="1137"/>
      <c r="CB149" s="1153"/>
    </row>
    <row r="150" spans="4:80" s="1134" customFormat="1">
      <c r="D150" s="1413"/>
      <c r="H150" s="1413"/>
      <c r="K150" s="1413"/>
      <c r="X150" s="1401"/>
      <c r="AF150" s="1401"/>
      <c r="AG150" s="1413"/>
      <c r="AK150" s="1413"/>
      <c r="AL150" s="1413"/>
      <c r="AM150" s="1413"/>
      <c r="AV150" s="1413"/>
      <c r="AW150" s="1401"/>
      <c r="CA150" s="1137"/>
      <c r="CB150" s="1153"/>
    </row>
    <row r="151" spans="4:80" s="1134" customFormat="1">
      <c r="D151" s="1413"/>
      <c r="H151" s="1413"/>
      <c r="K151" s="1413"/>
      <c r="X151" s="1401"/>
      <c r="AF151" s="1401"/>
      <c r="AG151" s="1413"/>
      <c r="AK151" s="1413"/>
      <c r="AL151" s="1413"/>
      <c r="AM151" s="1413"/>
      <c r="AV151" s="1413"/>
      <c r="AW151" s="1401"/>
      <c r="CA151" s="1137"/>
      <c r="CB151" s="1153"/>
    </row>
    <row r="152" spans="4:80" s="1134" customFormat="1">
      <c r="D152" s="1413"/>
      <c r="H152" s="1413"/>
      <c r="K152" s="1413"/>
      <c r="X152" s="1401"/>
      <c r="AF152" s="1401"/>
      <c r="AG152" s="1413"/>
      <c r="AK152" s="1413"/>
      <c r="AL152" s="1413"/>
      <c r="AM152" s="1413"/>
      <c r="AV152" s="1413"/>
      <c r="AW152" s="1401"/>
      <c r="CA152" s="1137"/>
      <c r="CB152" s="1153"/>
    </row>
    <row r="153" spans="4:80" s="1134" customFormat="1">
      <c r="D153" s="1413"/>
      <c r="H153" s="1413"/>
      <c r="K153" s="1413"/>
      <c r="X153" s="1401"/>
      <c r="AF153" s="1401"/>
      <c r="AG153" s="1413"/>
      <c r="AK153" s="1413"/>
      <c r="AL153" s="1413"/>
      <c r="AM153" s="1413"/>
      <c r="AV153" s="1413"/>
      <c r="AW153" s="1401"/>
      <c r="CA153" s="1137"/>
      <c r="CB153" s="1153"/>
    </row>
    <row r="154" spans="4:80" s="1134" customFormat="1">
      <c r="D154" s="1413"/>
      <c r="H154" s="1413"/>
      <c r="K154" s="1413"/>
      <c r="X154" s="1401"/>
      <c r="AF154" s="1401"/>
      <c r="AG154" s="1413"/>
      <c r="AK154" s="1413"/>
      <c r="AL154" s="1413"/>
      <c r="AM154" s="1413"/>
      <c r="AV154" s="1413"/>
      <c r="AW154" s="1401"/>
      <c r="CA154" s="1137"/>
      <c r="CB154" s="1153"/>
    </row>
    <row r="155" spans="4:80" s="1134" customFormat="1">
      <c r="D155" s="1413"/>
      <c r="H155" s="1413"/>
      <c r="K155" s="1413"/>
      <c r="X155" s="1401"/>
      <c r="AF155" s="1401"/>
      <c r="AG155" s="1413"/>
      <c r="AK155" s="1413"/>
      <c r="AL155" s="1413"/>
      <c r="AM155" s="1413"/>
      <c r="AV155" s="1413"/>
      <c r="AW155" s="1401"/>
      <c r="CA155" s="1137"/>
      <c r="CB155" s="1153"/>
    </row>
    <row r="156" spans="4:80" s="1134" customFormat="1">
      <c r="D156" s="1413"/>
      <c r="H156" s="1413"/>
      <c r="K156" s="1413"/>
      <c r="X156" s="1401"/>
      <c r="AF156" s="1401"/>
      <c r="AG156" s="1413"/>
      <c r="AK156" s="1413"/>
      <c r="AL156" s="1413"/>
      <c r="AM156" s="1413"/>
      <c r="AV156" s="1413"/>
      <c r="AW156" s="1401"/>
      <c r="CA156" s="1137"/>
      <c r="CB156" s="1153"/>
    </row>
    <row r="157" spans="4:80" s="1134" customFormat="1">
      <c r="D157" s="1413"/>
      <c r="H157" s="1413"/>
      <c r="K157" s="1413"/>
      <c r="X157" s="1401"/>
      <c r="AF157" s="1401"/>
      <c r="AG157" s="1413"/>
      <c r="AK157" s="1413"/>
      <c r="AL157" s="1413"/>
      <c r="AM157" s="1413"/>
      <c r="AV157" s="1413"/>
      <c r="AW157" s="1401"/>
      <c r="CA157" s="1137"/>
      <c r="CB157" s="1153"/>
    </row>
    <row r="158" spans="4:80" s="1134" customFormat="1">
      <c r="D158" s="1413"/>
      <c r="H158" s="1413"/>
      <c r="K158" s="1413"/>
      <c r="X158" s="1401"/>
      <c r="AF158" s="1401"/>
      <c r="AG158" s="1413"/>
      <c r="AK158" s="1413"/>
      <c r="AL158" s="1413"/>
      <c r="AM158" s="1413"/>
      <c r="AV158" s="1413"/>
      <c r="AW158" s="1401"/>
      <c r="CA158" s="1137"/>
      <c r="CB158" s="1153"/>
    </row>
    <row r="159" spans="4:80" s="1134" customFormat="1">
      <c r="D159" s="1413"/>
      <c r="H159" s="1413"/>
      <c r="K159" s="1413"/>
      <c r="X159" s="1401"/>
      <c r="AF159" s="1401"/>
      <c r="AG159" s="1413"/>
      <c r="AK159" s="1413"/>
      <c r="AL159" s="1413"/>
      <c r="AM159" s="1413"/>
      <c r="AV159" s="1413"/>
      <c r="AW159" s="1401"/>
      <c r="CA159" s="1137"/>
      <c r="CB159" s="1153"/>
    </row>
    <row r="160" spans="4:80" s="1134" customFormat="1">
      <c r="D160" s="1413"/>
      <c r="H160" s="1413"/>
      <c r="K160" s="1413"/>
      <c r="X160" s="1401"/>
      <c r="AF160" s="1401"/>
      <c r="AG160" s="1413"/>
      <c r="AK160" s="1413"/>
      <c r="AL160" s="1413"/>
      <c r="AM160" s="1413"/>
      <c r="AV160" s="1413"/>
      <c r="AW160" s="1401"/>
      <c r="CA160" s="1137"/>
      <c r="CB160" s="1153"/>
    </row>
    <row r="161" spans="4:80" s="1134" customFormat="1">
      <c r="D161" s="1413"/>
      <c r="H161" s="1413"/>
      <c r="K161" s="1413"/>
      <c r="X161" s="1401"/>
      <c r="AF161" s="1401"/>
      <c r="AG161" s="1413"/>
      <c r="AK161" s="1413"/>
      <c r="AL161" s="1413"/>
      <c r="AM161" s="1413"/>
      <c r="AV161" s="1413"/>
      <c r="AW161" s="1401"/>
      <c r="CA161" s="1137"/>
      <c r="CB161" s="1153"/>
    </row>
    <row r="162" spans="4:80" s="1134" customFormat="1">
      <c r="D162" s="1413"/>
      <c r="H162" s="1413"/>
      <c r="K162" s="1413"/>
      <c r="X162" s="1401"/>
      <c r="AF162" s="1401"/>
      <c r="AG162" s="1413"/>
      <c r="AK162" s="1413"/>
      <c r="AL162" s="1413"/>
      <c r="AM162" s="1413"/>
      <c r="AV162" s="1413"/>
      <c r="AW162" s="1401"/>
      <c r="CA162" s="1137"/>
      <c r="CB162" s="1153"/>
    </row>
    <row r="163" spans="4:80" s="1134" customFormat="1">
      <c r="D163" s="1413"/>
      <c r="H163" s="1413"/>
      <c r="K163" s="1413"/>
      <c r="X163" s="1401"/>
      <c r="AF163" s="1401"/>
      <c r="AG163" s="1413"/>
      <c r="AK163" s="1413"/>
      <c r="AL163" s="1413"/>
      <c r="AM163" s="1413"/>
      <c r="AV163" s="1413"/>
      <c r="AW163" s="1401"/>
      <c r="CA163" s="1137"/>
      <c r="CB163" s="1153"/>
    </row>
    <row r="164" spans="4:80" s="1134" customFormat="1">
      <c r="D164" s="1413"/>
      <c r="H164" s="1413"/>
      <c r="K164" s="1413"/>
      <c r="X164" s="1401"/>
      <c r="AF164" s="1401"/>
      <c r="AG164" s="1413"/>
      <c r="AK164" s="1413"/>
      <c r="AL164" s="1413"/>
      <c r="AM164" s="1413"/>
      <c r="AV164" s="1413"/>
      <c r="AW164" s="1401"/>
      <c r="CA164" s="1137"/>
      <c r="CB164" s="1153"/>
    </row>
    <row r="165" spans="4:80" s="1134" customFormat="1">
      <c r="D165" s="1413"/>
      <c r="H165" s="1413"/>
      <c r="K165" s="1413"/>
      <c r="X165" s="1401"/>
      <c r="AF165" s="1401"/>
      <c r="AG165" s="1413"/>
      <c r="AK165" s="1413"/>
      <c r="AL165" s="1413"/>
      <c r="AM165" s="1413"/>
      <c r="AV165" s="1413"/>
      <c r="AW165" s="1401"/>
      <c r="CA165" s="1137"/>
      <c r="CB165" s="1153"/>
    </row>
    <row r="166" spans="4:80" s="1134" customFormat="1">
      <c r="D166" s="1413"/>
      <c r="H166" s="1413"/>
      <c r="K166" s="1413"/>
      <c r="X166" s="1401"/>
      <c r="AF166" s="1401"/>
      <c r="AG166" s="1413"/>
      <c r="AK166" s="1413"/>
      <c r="AL166" s="1413"/>
      <c r="AM166" s="1413"/>
      <c r="AV166" s="1413"/>
      <c r="AW166" s="1401"/>
      <c r="CA166" s="1137"/>
      <c r="CB166" s="1153"/>
    </row>
    <row r="167" spans="4:80" s="1134" customFormat="1">
      <c r="D167" s="1413"/>
      <c r="H167" s="1413"/>
      <c r="K167" s="1413"/>
      <c r="X167" s="1401"/>
      <c r="AF167" s="1401"/>
      <c r="AG167" s="1413"/>
      <c r="AK167" s="1413"/>
      <c r="AL167" s="1413"/>
      <c r="AM167" s="1413"/>
      <c r="AV167" s="1413"/>
      <c r="AW167" s="1401"/>
      <c r="CA167" s="1137"/>
      <c r="CB167" s="1153"/>
    </row>
    <row r="168" spans="4:80" s="1134" customFormat="1">
      <c r="D168" s="1413"/>
      <c r="H168" s="1413"/>
      <c r="K168" s="1413"/>
      <c r="X168" s="1401"/>
      <c r="AF168" s="1401"/>
      <c r="AG168" s="1413"/>
      <c r="AK168" s="1413"/>
      <c r="AL168" s="1413"/>
      <c r="AM168" s="1413"/>
      <c r="AV168" s="1413"/>
      <c r="AW168" s="1401"/>
      <c r="CA168" s="1137"/>
      <c r="CB168" s="1153"/>
    </row>
    <row r="169" spans="4:80" s="1134" customFormat="1">
      <c r="D169" s="1413"/>
      <c r="H169" s="1413"/>
      <c r="K169" s="1413"/>
      <c r="X169" s="1401"/>
      <c r="AF169" s="1401"/>
      <c r="AG169" s="1413"/>
      <c r="AK169" s="1413"/>
      <c r="AL169" s="1413"/>
      <c r="AM169" s="1413"/>
      <c r="AV169" s="1413"/>
      <c r="AW169" s="1401"/>
      <c r="CA169" s="1137"/>
      <c r="CB169" s="1153"/>
    </row>
    <row r="170" spans="4:80" s="1134" customFormat="1">
      <c r="D170" s="1413"/>
      <c r="H170" s="1413"/>
      <c r="K170" s="1413"/>
      <c r="X170" s="1401"/>
      <c r="AF170" s="1401"/>
      <c r="AG170" s="1413"/>
      <c r="AK170" s="1413"/>
      <c r="AL170" s="1413"/>
      <c r="AM170" s="1413"/>
      <c r="AV170" s="1413"/>
      <c r="AW170" s="1401"/>
      <c r="CA170" s="1137"/>
      <c r="CB170" s="1153"/>
    </row>
    <row r="171" spans="4:80" s="1134" customFormat="1">
      <c r="D171" s="1413"/>
      <c r="H171" s="1413"/>
      <c r="K171" s="1413"/>
      <c r="X171" s="1401"/>
      <c r="AF171" s="1401"/>
      <c r="AG171" s="1413"/>
      <c r="AK171" s="1413"/>
      <c r="AL171" s="1413"/>
      <c r="AM171" s="1413"/>
      <c r="AV171" s="1413"/>
      <c r="AW171" s="1401"/>
      <c r="CA171" s="1137"/>
      <c r="CB171" s="1153"/>
    </row>
    <row r="172" spans="4:80" s="1134" customFormat="1">
      <c r="D172" s="1413"/>
      <c r="H172" s="1413"/>
      <c r="K172" s="1413"/>
      <c r="X172" s="1401"/>
      <c r="AF172" s="1401"/>
      <c r="AG172" s="1413"/>
      <c r="AK172" s="1413"/>
      <c r="AL172" s="1413"/>
      <c r="AM172" s="1413"/>
      <c r="AV172" s="1413"/>
      <c r="AW172" s="1401"/>
      <c r="CA172" s="1137"/>
      <c r="CB172" s="1153"/>
    </row>
    <row r="173" spans="4:80" s="1134" customFormat="1">
      <c r="D173" s="1413"/>
      <c r="H173" s="1413"/>
      <c r="K173" s="1413"/>
      <c r="X173" s="1401"/>
      <c r="AF173" s="1401"/>
      <c r="AG173" s="1413"/>
      <c r="AK173" s="1413"/>
      <c r="AL173" s="1413"/>
      <c r="AM173" s="1413"/>
      <c r="AV173" s="1413"/>
      <c r="AW173" s="1401"/>
      <c r="CA173" s="1137"/>
      <c r="CB173" s="1153"/>
    </row>
    <row r="174" spans="4:80" s="1134" customFormat="1">
      <c r="D174" s="1413"/>
      <c r="H174" s="1413"/>
      <c r="K174" s="1413"/>
      <c r="X174" s="1401"/>
      <c r="AF174" s="1401"/>
      <c r="AG174" s="1413"/>
      <c r="AK174" s="1413"/>
      <c r="AL174" s="1413"/>
      <c r="AM174" s="1413"/>
      <c r="AV174" s="1413"/>
      <c r="AW174" s="1401"/>
      <c r="CA174" s="1137"/>
      <c r="CB174" s="1153"/>
    </row>
    <row r="175" spans="4:80" s="1134" customFormat="1">
      <c r="D175" s="1413"/>
      <c r="H175" s="1413"/>
      <c r="K175" s="1413"/>
      <c r="X175" s="1401"/>
      <c r="AF175" s="1401"/>
      <c r="AG175" s="1413"/>
      <c r="AK175" s="1413"/>
      <c r="AL175" s="1413"/>
      <c r="AM175" s="1413"/>
      <c r="AV175" s="1413"/>
      <c r="AW175" s="1401"/>
      <c r="CA175" s="1137"/>
      <c r="CB175" s="1153"/>
    </row>
    <row r="176" spans="4:80" s="1134" customFormat="1">
      <c r="D176" s="1413"/>
      <c r="H176" s="1413"/>
      <c r="K176" s="1413"/>
      <c r="X176" s="1401"/>
      <c r="AF176" s="1401"/>
      <c r="AG176" s="1413"/>
      <c r="AK176" s="1413"/>
      <c r="AL176" s="1413"/>
      <c r="AM176" s="1413"/>
      <c r="AV176" s="1413"/>
      <c r="AW176" s="1401"/>
      <c r="CA176" s="1137"/>
      <c r="CB176" s="1153"/>
    </row>
    <row r="177" spans="4:80" s="1134" customFormat="1">
      <c r="D177" s="1413"/>
      <c r="H177" s="1413"/>
      <c r="K177" s="1413"/>
      <c r="X177" s="1401"/>
      <c r="AF177" s="1401"/>
      <c r="AG177" s="1413"/>
      <c r="AK177" s="1413"/>
      <c r="AL177" s="1413"/>
      <c r="AM177" s="1413"/>
      <c r="AV177" s="1413"/>
      <c r="AW177" s="1401"/>
      <c r="CA177" s="1137"/>
      <c r="CB177" s="1153"/>
    </row>
    <row r="178" spans="4:80" s="1134" customFormat="1">
      <c r="D178" s="1413"/>
      <c r="H178" s="1413"/>
      <c r="K178" s="1413"/>
      <c r="X178" s="1401"/>
      <c r="AF178" s="1401"/>
      <c r="AG178" s="1413"/>
      <c r="AK178" s="1413"/>
      <c r="AL178" s="1413"/>
      <c r="AM178" s="1413"/>
      <c r="AV178" s="1413"/>
      <c r="AW178" s="1401"/>
      <c r="CA178" s="1137"/>
      <c r="CB178" s="1153"/>
    </row>
    <row r="179" spans="4:80" s="1134" customFormat="1">
      <c r="D179" s="1413"/>
      <c r="H179" s="1413"/>
      <c r="K179" s="1413"/>
      <c r="X179" s="1401"/>
      <c r="AF179" s="1401"/>
      <c r="AG179" s="1413"/>
      <c r="AK179" s="1413"/>
      <c r="AL179" s="1413"/>
      <c r="AM179" s="1413"/>
      <c r="AV179" s="1413"/>
      <c r="AW179" s="1401"/>
      <c r="CA179" s="1137"/>
      <c r="CB179" s="1153"/>
    </row>
    <row r="180" spans="4:80" s="1134" customFormat="1">
      <c r="D180" s="1413"/>
      <c r="H180" s="1413"/>
      <c r="K180" s="1413"/>
      <c r="X180" s="1401"/>
      <c r="AF180" s="1401"/>
      <c r="AG180" s="1413"/>
      <c r="AK180" s="1413"/>
      <c r="AL180" s="1413"/>
      <c r="AM180" s="1413"/>
      <c r="AV180" s="1413"/>
      <c r="AW180" s="1401"/>
      <c r="CA180" s="1137"/>
      <c r="CB180" s="1153"/>
    </row>
    <row r="181" spans="4:80" s="1134" customFormat="1">
      <c r="D181" s="1413"/>
      <c r="H181" s="1413"/>
      <c r="K181" s="1413"/>
      <c r="X181" s="1401"/>
      <c r="AF181" s="1401"/>
      <c r="AG181" s="1413"/>
      <c r="AK181" s="1413"/>
      <c r="AL181" s="1413"/>
      <c r="AM181" s="1413"/>
      <c r="AV181" s="1413"/>
      <c r="AW181" s="1401"/>
      <c r="CA181" s="1137"/>
      <c r="CB181" s="1153"/>
    </row>
    <row r="182" spans="4:80" s="1134" customFormat="1">
      <c r="D182" s="1413"/>
      <c r="H182" s="1413"/>
      <c r="K182" s="1413"/>
      <c r="X182" s="1401"/>
      <c r="AF182" s="1401"/>
      <c r="AG182" s="1413"/>
      <c r="AK182" s="1413"/>
      <c r="AL182" s="1413"/>
      <c r="AM182" s="1413"/>
      <c r="AV182" s="1413"/>
      <c r="AW182" s="1401"/>
      <c r="CA182" s="1137"/>
      <c r="CB182" s="1153"/>
    </row>
    <row r="183" spans="4:80" s="1134" customFormat="1">
      <c r="D183" s="1413"/>
      <c r="H183" s="1413"/>
      <c r="K183" s="1413"/>
      <c r="X183" s="1401"/>
      <c r="AF183" s="1401"/>
      <c r="AG183" s="1413"/>
      <c r="AK183" s="1413"/>
      <c r="AL183" s="1413"/>
      <c r="AM183" s="1413"/>
      <c r="AV183" s="1413"/>
      <c r="AW183" s="1401"/>
      <c r="CA183" s="1137"/>
      <c r="CB183" s="1153"/>
    </row>
    <row r="184" spans="4:80" s="1134" customFormat="1">
      <c r="D184" s="1413"/>
      <c r="H184" s="1413"/>
      <c r="K184" s="1413"/>
      <c r="X184" s="1401"/>
      <c r="AF184" s="1401"/>
      <c r="AG184" s="1413"/>
      <c r="AK184" s="1413"/>
      <c r="AL184" s="1413"/>
      <c r="AM184" s="1413"/>
      <c r="AV184" s="1413"/>
      <c r="AW184" s="1401"/>
      <c r="CA184" s="1137"/>
      <c r="CB184" s="1153"/>
    </row>
    <row r="185" spans="4:80" s="1134" customFormat="1">
      <c r="D185" s="1413"/>
      <c r="H185" s="1413"/>
      <c r="K185" s="1413"/>
      <c r="X185" s="1401"/>
      <c r="AF185" s="1401"/>
      <c r="AG185" s="1413"/>
      <c r="AK185" s="1413"/>
      <c r="AL185" s="1413"/>
      <c r="AM185" s="1413"/>
      <c r="AV185" s="1413"/>
      <c r="AW185" s="1401"/>
      <c r="CA185" s="1137"/>
      <c r="CB185" s="1153"/>
    </row>
    <row r="186" spans="4:80" s="1134" customFormat="1">
      <c r="D186" s="1413"/>
      <c r="H186" s="1413"/>
      <c r="K186" s="1413"/>
      <c r="X186" s="1401"/>
      <c r="AF186" s="1401"/>
      <c r="AG186" s="1413"/>
      <c r="AK186" s="1413"/>
      <c r="AL186" s="1413"/>
      <c r="AM186" s="1413"/>
      <c r="AV186" s="1413"/>
      <c r="AW186" s="1401"/>
      <c r="CA186" s="1137"/>
      <c r="CB186" s="1153"/>
    </row>
    <row r="187" spans="4:80" s="1134" customFormat="1">
      <c r="D187" s="1413"/>
      <c r="H187" s="1413"/>
      <c r="K187" s="1413"/>
      <c r="X187" s="1401"/>
      <c r="AF187" s="1401"/>
      <c r="AG187" s="1413"/>
      <c r="AK187" s="1413"/>
      <c r="AL187" s="1413"/>
      <c r="AM187" s="1413"/>
      <c r="AV187" s="1413"/>
      <c r="AW187" s="1401"/>
      <c r="CA187" s="1137"/>
      <c r="CB187" s="1153"/>
    </row>
    <row r="188" spans="4:80" s="1134" customFormat="1">
      <c r="D188" s="1413"/>
      <c r="H188" s="1413"/>
      <c r="K188" s="1413"/>
      <c r="X188" s="1401"/>
      <c r="AF188" s="1401"/>
      <c r="AG188" s="1413"/>
      <c r="AK188" s="1413"/>
      <c r="AL188" s="1413"/>
      <c r="AM188" s="1413"/>
      <c r="AV188" s="1413"/>
      <c r="AW188" s="1401"/>
      <c r="CA188" s="1137"/>
      <c r="CB188" s="1153"/>
    </row>
    <row r="189" spans="4:80" s="1134" customFormat="1">
      <c r="D189" s="1413"/>
      <c r="H189" s="1413"/>
      <c r="K189" s="1413"/>
      <c r="X189" s="1401"/>
      <c r="AF189" s="1401"/>
      <c r="AG189" s="1413"/>
      <c r="AK189" s="1413"/>
      <c r="AL189" s="1413"/>
      <c r="AM189" s="1413"/>
      <c r="AV189" s="1413"/>
      <c r="AW189" s="1401"/>
      <c r="CA189" s="1137"/>
      <c r="CB189" s="1153"/>
    </row>
    <row r="190" spans="4:80" s="1134" customFormat="1">
      <c r="D190" s="1413"/>
      <c r="H190" s="1413"/>
      <c r="K190" s="1413"/>
      <c r="X190" s="1401"/>
      <c r="AF190" s="1401"/>
      <c r="AG190" s="1413"/>
      <c r="AK190" s="1413"/>
      <c r="AL190" s="1413"/>
      <c r="AM190" s="1413"/>
      <c r="AV190" s="1413"/>
      <c r="AW190" s="1401"/>
      <c r="CA190" s="1137"/>
      <c r="CB190" s="1153"/>
    </row>
    <row r="191" spans="4:80" s="1134" customFormat="1">
      <c r="D191" s="1413"/>
      <c r="H191" s="1413"/>
      <c r="K191" s="1413"/>
      <c r="X191" s="1401"/>
      <c r="AF191" s="1401"/>
      <c r="AG191" s="1413"/>
      <c r="AK191" s="1413"/>
      <c r="AL191" s="1413"/>
      <c r="AM191" s="1413"/>
      <c r="AV191" s="1413"/>
      <c r="AW191" s="1401"/>
      <c r="CA191" s="1137"/>
      <c r="CB191" s="1153"/>
    </row>
    <row r="192" spans="4:80" s="1134" customFormat="1">
      <c r="D192" s="1413"/>
      <c r="H192" s="1413"/>
      <c r="K192" s="1413"/>
      <c r="X192" s="1401"/>
      <c r="AF192" s="1401"/>
      <c r="AG192" s="1413"/>
      <c r="AK192" s="1413"/>
      <c r="AL192" s="1413"/>
      <c r="AM192" s="1413"/>
      <c r="AV192" s="1413"/>
      <c r="AW192" s="1401"/>
      <c r="CA192" s="1137"/>
      <c r="CB192" s="1153"/>
    </row>
    <row r="193" spans="4:80" s="1134" customFormat="1">
      <c r="D193" s="1413"/>
      <c r="H193" s="1413"/>
      <c r="K193" s="1413"/>
      <c r="X193" s="1401"/>
      <c r="AF193" s="1401"/>
      <c r="AG193" s="1413"/>
      <c r="AK193" s="1413"/>
      <c r="AL193" s="1413"/>
      <c r="AM193" s="1413"/>
      <c r="AV193" s="1413"/>
      <c r="AW193" s="1401"/>
      <c r="CA193" s="1137"/>
      <c r="CB193" s="1153"/>
    </row>
    <row r="194" spans="4:80" s="1134" customFormat="1">
      <c r="D194" s="1413"/>
      <c r="H194" s="1413"/>
      <c r="K194" s="1413"/>
      <c r="X194" s="1401"/>
      <c r="AF194" s="1401"/>
      <c r="AG194" s="1413"/>
      <c r="AK194" s="1413"/>
      <c r="AL194" s="1413"/>
      <c r="AM194" s="1413"/>
      <c r="AV194" s="1413"/>
      <c r="AW194" s="1401"/>
      <c r="CA194" s="1137"/>
      <c r="CB194" s="1153"/>
    </row>
    <row r="195" spans="4:80" s="1134" customFormat="1">
      <c r="D195" s="1413"/>
      <c r="H195" s="1413"/>
      <c r="K195" s="1413"/>
      <c r="X195" s="1401"/>
      <c r="AF195" s="1401"/>
      <c r="AG195" s="1413"/>
      <c r="AK195" s="1413"/>
      <c r="AL195" s="1413"/>
      <c r="AM195" s="1413"/>
      <c r="AV195" s="1413"/>
      <c r="AW195" s="1401"/>
      <c r="CA195" s="1137"/>
      <c r="CB195" s="1153"/>
    </row>
    <row r="196" spans="4:80" s="1134" customFormat="1">
      <c r="D196" s="1413"/>
      <c r="H196" s="1413"/>
      <c r="K196" s="1413"/>
      <c r="X196" s="1401"/>
      <c r="AF196" s="1401"/>
      <c r="AG196" s="1413"/>
      <c r="AK196" s="1413"/>
      <c r="AL196" s="1413"/>
      <c r="AM196" s="1413"/>
      <c r="AV196" s="1413"/>
      <c r="AW196" s="1401"/>
      <c r="CA196" s="1137"/>
      <c r="CB196" s="1153"/>
    </row>
    <row r="197" spans="4:80" s="1134" customFormat="1">
      <c r="D197" s="1413"/>
      <c r="H197" s="1413"/>
      <c r="K197" s="1413"/>
      <c r="X197" s="1401"/>
      <c r="AF197" s="1401"/>
      <c r="AG197" s="1413"/>
      <c r="AK197" s="1413"/>
      <c r="AL197" s="1413"/>
      <c r="AM197" s="1413"/>
      <c r="AV197" s="1413"/>
      <c r="AW197" s="1401"/>
      <c r="CA197" s="1137"/>
      <c r="CB197" s="1153"/>
    </row>
    <row r="198" spans="4:80" s="1134" customFormat="1">
      <c r="D198" s="1413"/>
      <c r="H198" s="1413"/>
      <c r="K198" s="1413"/>
      <c r="X198" s="1401"/>
      <c r="AF198" s="1401"/>
      <c r="AG198" s="1413"/>
      <c r="AK198" s="1413"/>
      <c r="AL198" s="1413"/>
      <c r="AM198" s="1413"/>
      <c r="AV198" s="1413"/>
      <c r="AW198" s="1401"/>
      <c r="CA198" s="1137"/>
      <c r="CB198" s="1153"/>
    </row>
    <row r="199" spans="4:80" s="1134" customFormat="1">
      <c r="D199" s="1413"/>
      <c r="H199" s="1413"/>
      <c r="K199" s="1413"/>
      <c r="X199" s="1401"/>
      <c r="AF199" s="1401"/>
      <c r="AG199" s="1413"/>
      <c r="AK199" s="1413"/>
      <c r="AL199" s="1413"/>
      <c r="AM199" s="1413"/>
      <c r="AV199" s="1413"/>
      <c r="AW199" s="1401"/>
      <c r="CA199" s="1137"/>
      <c r="CB199" s="1153"/>
    </row>
    <row r="200" spans="4:80" s="1134" customFormat="1">
      <c r="D200" s="1413"/>
      <c r="H200" s="1413"/>
      <c r="K200" s="1413"/>
      <c r="X200" s="1401"/>
      <c r="AF200" s="1401"/>
      <c r="AG200" s="1413"/>
      <c r="AK200" s="1413"/>
      <c r="AL200" s="1413"/>
      <c r="AM200" s="1413"/>
      <c r="AV200" s="1413"/>
      <c r="AW200" s="1401"/>
      <c r="CA200" s="1137"/>
      <c r="CB200" s="1153"/>
    </row>
    <row r="201" spans="4:80" s="1134" customFormat="1">
      <c r="D201" s="1413"/>
      <c r="H201" s="1413"/>
      <c r="K201" s="1413"/>
      <c r="X201" s="1401"/>
      <c r="AF201" s="1401"/>
      <c r="AG201" s="1413"/>
      <c r="AK201" s="1413"/>
      <c r="AL201" s="1413"/>
      <c r="AM201" s="1413"/>
      <c r="AV201" s="1413"/>
      <c r="AW201" s="1401"/>
      <c r="CA201" s="1137"/>
      <c r="CB201" s="1153"/>
    </row>
    <row r="202" spans="4:80" s="1134" customFormat="1">
      <c r="D202" s="1413"/>
      <c r="H202" s="1413"/>
      <c r="K202" s="1413"/>
      <c r="X202" s="1401"/>
      <c r="AF202" s="1401"/>
      <c r="AG202" s="1413"/>
      <c r="AK202" s="1413"/>
      <c r="AL202" s="1413"/>
      <c r="AM202" s="1413"/>
      <c r="AV202" s="1413"/>
      <c r="AW202" s="1401"/>
      <c r="CA202" s="1137"/>
      <c r="CB202" s="1153"/>
    </row>
    <row r="203" spans="4:80" s="1134" customFormat="1">
      <c r="D203" s="1413"/>
      <c r="H203" s="1413"/>
      <c r="K203" s="1413"/>
      <c r="X203" s="1401"/>
      <c r="AF203" s="1401"/>
      <c r="AG203" s="1413"/>
      <c r="AK203" s="1413"/>
      <c r="AL203" s="1413"/>
      <c r="AM203" s="1413"/>
      <c r="AV203" s="1413"/>
      <c r="AW203" s="1401"/>
      <c r="CA203" s="1137"/>
      <c r="CB203" s="1153"/>
    </row>
    <row r="204" spans="4:80" s="1134" customFormat="1">
      <c r="D204" s="1413"/>
      <c r="H204" s="1413"/>
      <c r="K204" s="1413"/>
      <c r="X204" s="1401"/>
      <c r="AF204" s="1401"/>
      <c r="AG204" s="1413"/>
      <c r="AK204" s="1413"/>
      <c r="AL204" s="1413"/>
      <c r="AM204" s="1413"/>
      <c r="AV204" s="1413"/>
      <c r="AW204" s="1401"/>
      <c r="CA204" s="1137"/>
      <c r="CB204" s="1153"/>
    </row>
    <row r="205" spans="4:80" s="1134" customFormat="1">
      <c r="D205" s="1413"/>
      <c r="H205" s="1413"/>
      <c r="K205" s="1413"/>
      <c r="X205" s="1401"/>
      <c r="AF205" s="1401"/>
      <c r="AG205" s="1413"/>
      <c r="AK205" s="1413"/>
      <c r="AL205" s="1413"/>
      <c r="AM205" s="1413"/>
      <c r="AV205" s="1413"/>
      <c r="AW205" s="1401"/>
      <c r="CA205" s="1137"/>
      <c r="CB205" s="1153"/>
    </row>
    <row r="206" spans="4:80" s="1134" customFormat="1">
      <c r="D206" s="1413"/>
      <c r="H206" s="1413"/>
      <c r="K206" s="1413"/>
      <c r="X206" s="1401"/>
      <c r="AF206" s="1401"/>
      <c r="AG206" s="1413"/>
      <c r="AK206" s="1413"/>
      <c r="AL206" s="1413"/>
      <c r="AM206" s="1413"/>
      <c r="AV206" s="1413"/>
      <c r="AW206" s="1401"/>
      <c r="CA206" s="1137"/>
      <c r="CB206" s="1153"/>
    </row>
    <row r="207" spans="4:80" s="1134" customFormat="1">
      <c r="D207" s="1413"/>
      <c r="H207" s="1413"/>
      <c r="K207" s="1413"/>
      <c r="X207" s="1401"/>
      <c r="AF207" s="1401"/>
      <c r="AG207" s="1413"/>
      <c r="AK207" s="1413"/>
      <c r="AL207" s="1413"/>
      <c r="AM207" s="1413"/>
      <c r="AV207" s="1413"/>
      <c r="AW207" s="1401"/>
      <c r="CA207" s="1137"/>
      <c r="CB207" s="1153"/>
    </row>
    <row r="208" spans="4:80" s="1134" customFormat="1">
      <c r="D208" s="1413"/>
      <c r="H208" s="1413"/>
      <c r="K208" s="1413"/>
      <c r="X208" s="1401"/>
      <c r="AF208" s="1401"/>
      <c r="AG208" s="1413"/>
      <c r="AK208" s="1413"/>
      <c r="AL208" s="1413"/>
      <c r="AM208" s="1413"/>
      <c r="AV208" s="1413"/>
      <c r="AW208" s="1401"/>
      <c r="CA208" s="1137"/>
      <c r="CB208" s="1153"/>
    </row>
    <row r="209" spans="4:80" s="1134" customFormat="1">
      <c r="D209" s="1413"/>
      <c r="H209" s="1413"/>
      <c r="K209" s="1413"/>
      <c r="X209" s="1401"/>
      <c r="AF209" s="1401"/>
      <c r="AG209" s="1413"/>
      <c r="AK209" s="1413"/>
      <c r="AL209" s="1413"/>
      <c r="AM209" s="1413"/>
      <c r="AV209" s="1413"/>
      <c r="AW209" s="1401"/>
      <c r="CA209" s="1137"/>
      <c r="CB209" s="1153"/>
    </row>
    <row r="210" spans="4:80" s="1134" customFormat="1">
      <c r="D210" s="1413"/>
      <c r="H210" s="1413"/>
      <c r="K210" s="1413"/>
      <c r="X210" s="1401"/>
      <c r="AF210" s="1401"/>
      <c r="AG210" s="1413"/>
      <c r="AK210" s="1413"/>
      <c r="AL210" s="1413"/>
      <c r="AM210" s="1413"/>
      <c r="AV210" s="1413"/>
      <c r="AW210" s="1401"/>
      <c r="CA210" s="1137"/>
      <c r="CB210" s="1153"/>
    </row>
    <row r="211" spans="4:80" s="1134" customFormat="1">
      <c r="D211" s="1413"/>
      <c r="H211" s="1413"/>
      <c r="K211" s="1413"/>
      <c r="X211" s="1401"/>
      <c r="AF211" s="1401"/>
      <c r="AG211" s="1413"/>
      <c r="AK211" s="1413"/>
      <c r="AL211" s="1413"/>
      <c r="AM211" s="1413"/>
      <c r="AV211" s="1413"/>
      <c r="AW211" s="1401"/>
      <c r="CA211" s="1137"/>
      <c r="CB211" s="1153"/>
    </row>
    <row r="212" spans="4:80" s="1134" customFormat="1">
      <c r="D212" s="1413"/>
      <c r="H212" s="1413"/>
      <c r="K212" s="1413"/>
      <c r="X212" s="1401"/>
      <c r="AF212" s="1401"/>
      <c r="AG212" s="1413"/>
      <c r="AK212" s="1413"/>
      <c r="AL212" s="1413"/>
      <c r="AM212" s="1413"/>
      <c r="AV212" s="1413"/>
      <c r="AW212" s="1401"/>
      <c r="CA212" s="1137"/>
      <c r="CB212" s="1153"/>
    </row>
    <row r="213" spans="4:80" s="1134" customFormat="1">
      <c r="D213" s="1413"/>
      <c r="H213" s="1413"/>
      <c r="K213" s="1413"/>
      <c r="X213" s="1401"/>
      <c r="AF213" s="1401"/>
      <c r="AG213" s="1413"/>
      <c r="AK213" s="1413"/>
      <c r="AL213" s="1413"/>
      <c r="AM213" s="1413"/>
      <c r="AV213" s="1413"/>
      <c r="AW213" s="1401"/>
      <c r="CA213" s="1137"/>
      <c r="CB213" s="1153"/>
    </row>
    <row r="214" spans="4:80" s="1134" customFormat="1">
      <c r="D214" s="1413"/>
      <c r="H214" s="1413"/>
      <c r="K214" s="1413"/>
      <c r="X214" s="1401"/>
      <c r="AF214" s="1401"/>
      <c r="AG214" s="1413"/>
      <c r="AK214" s="1413"/>
      <c r="AL214" s="1413"/>
      <c r="AM214" s="1413"/>
      <c r="AV214" s="1413"/>
      <c r="AW214" s="1401"/>
      <c r="CA214" s="1137"/>
      <c r="CB214" s="1153"/>
    </row>
    <row r="215" spans="4:80" s="1134" customFormat="1">
      <c r="D215" s="1413"/>
      <c r="H215" s="1413"/>
      <c r="K215" s="1413"/>
      <c r="X215" s="1401"/>
      <c r="AF215" s="1401"/>
      <c r="AG215" s="1413"/>
      <c r="AK215" s="1413"/>
      <c r="AL215" s="1413"/>
      <c r="AM215" s="1413"/>
      <c r="AV215" s="1413"/>
      <c r="AW215" s="1401"/>
      <c r="CA215" s="1137"/>
      <c r="CB215" s="1153"/>
    </row>
    <row r="216" spans="4:80" s="1134" customFormat="1">
      <c r="D216" s="1413"/>
      <c r="H216" s="1413"/>
      <c r="K216" s="1413"/>
      <c r="X216" s="1401"/>
      <c r="AF216" s="1401"/>
      <c r="AG216" s="1413"/>
      <c r="AK216" s="1413"/>
      <c r="AL216" s="1413"/>
      <c r="AM216" s="1413"/>
      <c r="AV216" s="1413"/>
      <c r="AW216" s="1401"/>
      <c r="CA216" s="1137"/>
      <c r="CB216" s="1153"/>
    </row>
    <row r="217" spans="4:80" s="1134" customFormat="1">
      <c r="D217" s="1413"/>
      <c r="H217" s="1413"/>
      <c r="K217" s="1413"/>
      <c r="X217" s="1401"/>
      <c r="AF217" s="1401"/>
      <c r="AG217" s="1413"/>
      <c r="AK217" s="1413"/>
      <c r="AL217" s="1413"/>
      <c r="AM217" s="1413"/>
      <c r="AV217" s="1413"/>
      <c r="AW217" s="1401"/>
      <c r="CA217" s="1137"/>
      <c r="CB217" s="1153"/>
    </row>
    <row r="218" spans="4:80" s="1134" customFormat="1">
      <c r="D218" s="1413"/>
      <c r="H218" s="1413"/>
      <c r="K218" s="1413"/>
      <c r="X218" s="1401"/>
      <c r="AF218" s="1401"/>
      <c r="AG218" s="1413"/>
      <c r="AK218" s="1413"/>
      <c r="AL218" s="1413"/>
      <c r="AM218" s="1413"/>
      <c r="AV218" s="1413"/>
      <c r="AW218" s="1401"/>
      <c r="CA218" s="1137"/>
      <c r="CB218" s="1153"/>
    </row>
    <row r="219" spans="4:80" s="1134" customFormat="1">
      <c r="D219" s="1413"/>
      <c r="H219" s="1413"/>
      <c r="K219" s="1413"/>
      <c r="X219" s="1401"/>
      <c r="AF219" s="1401"/>
      <c r="AG219" s="1413"/>
      <c r="AK219" s="1413"/>
      <c r="AL219" s="1413"/>
      <c r="AM219" s="1413"/>
      <c r="AV219" s="1413"/>
      <c r="AW219" s="1401"/>
      <c r="CA219" s="1137"/>
      <c r="CB219" s="1153"/>
    </row>
    <row r="220" spans="4:80" s="1134" customFormat="1">
      <c r="D220" s="1413"/>
      <c r="H220" s="1413"/>
      <c r="K220" s="1413"/>
      <c r="X220" s="1401"/>
      <c r="AF220" s="1401"/>
      <c r="AG220" s="1413"/>
      <c r="AK220" s="1413"/>
      <c r="AL220" s="1413"/>
      <c r="AM220" s="1413"/>
      <c r="AV220" s="1413"/>
      <c r="AW220" s="1401"/>
      <c r="CA220" s="1137"/>
      <c r="CB220" s="1153"/>
    </row>
    <row r="221" spans="4:80" s="1134" customFormat="1">
      <c r="D221" s="1413"/>
      <c r="H221" s="1413"/>
      <c r="K221" s="1413"/>
      <c r="X221" s="1401"/>
      <c r="AF221" s="1401"/>
      <c r="AG221" s="1413"/>
      <c r="AK221" s="1413"/>
      <c r="AL221" s="1413"/>
      <c r="AM221" s="1413"/>
      <c r="AV221" s="1413"/>
      <c r="AW221" s="1401"/>
      <c r="CA221" s="1137"/>
      <c r="CB221" s="1153"/>
    </row>
    <row r="222" spans="4:80" s="1134" customFormat="1">
      <c r="D222" s="1413"/>
      <c r="H222" s="1413"/>
      <c r="K222" s="1413"/>
      <c r="X222" s="1401"/>
      <c r="AF222" s="1401"/>
      <c r="AG222" s="1413"/>
      <c r="AK222" s="1413"/>
      <c r="AL222" s="1413"/>
      <c r="AM222" s="1413"/>
      <c r="AV222" s="1413"/>
      <c r="AW222" s="1401"/>
      <c r="CA222" s="1137"/>
      <c r="CB222" s="1153"/>
    </row>
    <row r="223" spans="4:80" s="1134" customFormat="1">
      <c r="D223" s="1413"/>
      <c r="H223" s="1413"/>
      <c r="K223" s="1413"/>
      <c r="X223" s="1401"/>
      <c r="AF223" s="1401"/>
      <c r="AG223" s="1413"/>
      <c r="AK223" s="1413"/>
      <c r="AL223" s="1413"/>
      <c r="AM223" s="1413"/>
      <c r="AV223" s="1413"/>
      <c r="AW223" s="1401"/>
      <c r="CA223" s="1137"/>
      <c r="CB223" s="1153"/>
    </row>
    <row r="224" spans="4:80" s="1134" customFormat="1">
      <c r="D224" s="1413"/>
      <c r="H224" s="1413"/>
      <c r="K224" s="1413"/>
      <c r="X224" s="1401"/>
      <c r="AF224" s="1401"/>
      <c r="AG224" s="1413"/>
      <c r="AK224" s="1413"/>
      <c r="AL224" s="1413"/>
      <c r="AM224" s="1413"/>
      <c r="AV224" s="1413"/>
      <c r="AW224" s="1401"/>
      <c r="CA224" s="1137"/>
      <c r="CB224" s="1153"/>
    </row>
    <row r="225" spans="4:80" s="1134" customFormat="1">
      <c r="D225" s="1413"/>
      <c r="H225" s="1413"/>
      <c r="K225" s="1413"/>
      <c r="X225" s="1401"/>
      <c r="AF225" s="1401"/>
      <c r="AG225" s="1413"/>
      <c r="AK225" s="1413"/>
      <c r="AL225" s="1413"/>
      <c r="AM225" s="1413"/>
      <c r="AV225" s="1413"/>
      <c r="AW225" s="1401"/>
      <c r="CA225" s="1137"/>
      <c r="CB225" s="1153"/>
    </row>
    <row r="226" spans="4:80" s="1134" customFormat="1">
      <c r="D226" s="1413"/>
      <c r="H226" s="1413"/>
      <c r="K226" s="1413"/>
      <c r="X226" s="1401"/>
      <c r="AF226" s="1401"/>
      <c r="AG226" s="1413"/>
      <c r="AK226" s="1413"/>
      <c r="AL226" s="1413"/>
      <c r="AM226" s="1413"/>
      <c r="AV226" s="1413"/>
      <c r="AW226" s="1401"/>
      <c r="CA226" s="1137"/>
      <c r="CB226" s="1153"/>
    </row>
    <row r="227" spans="4:80" s="1134" customFormat="1">
      <c r="D227" s="1413"/>
      <c r="H227" s="1413"/>
      <c r="K227" s="1413"/>
      <c r="X227" s="1401"/>
      <c r="AF227" s="1401"/>
      <c r="AG227" s="1413"/>
      <c r="AK227" s="1413"/>
      <c r="AL227" s="1413"/>
      <c r="AM227" s="1413"/>
      <c r="AV227" s="1413"/>
      <c r="AW227" s="1401"/>
      <c r="CA227" s="1137"/>
      <c r="CB227" s="1153"/>
    </row>
    <row r="228" spans="4:80" s="1134" customFormat="1">
      <c r="D228" s="1413"/>
      <c r="H228" s="1413"/>
      <c r="K228" s="1413"/>
      <c r="X228" s="1401"/>
      <c r="AF228" s="1401"/>
      <c r="AG228" s="1413"/>
      <c r="AK228" s="1413"/>
      <c r="AL228" s="1413"/>
      <c r="AM228" s="1413"/>
      <c r="AV228" s="1413"/>
      <c r="AW228" s="1401"/>
      <c r="CA228" s="1137"/>
      <c r="CB228" s="1153"/>
    </row>
    <row r="229" spans="4:80" s="1134" customFormat="1">
      <c r="D229" s="1413"/>
      <c r="H229" s="1413"/>
      <c r="K229" s="1413"/>
      <c r="X229" s="1401"/>
      <c r="AF229" s="1401"/>
      <c r="AG229" s="1413"/>
      <c r="AK229" s="1413"/>
      <c r="AL229" s="1413"/>
      <c r="AM229" s="1413"/>
      <c r="AV229" s="1413"/>
      <c r="AW229" s="1401"/>
      <c r="CA229" s="1137"/>
      <c r="CB229" s="1153"/>
    </row>
    <row r="230" spans="4:80" s="1134" customFormat="1">
      <c r="D230" s="1413"/>
      <c r="H230" s="1413"/>
      <c r="K230" s="1413"/>
      <c r="X230" s="1401"/>
      <c r="AF230" s="1401"/>
      <c r="AG230" s="1413"/>
      <c r="AK230" s="1413"/>
      <c r="AL230" s="1413"/>
      <c r="AM230" s="1413"/>
      <c r="AV230" s="1413"/>
      <c r="AW230" s="1401"/>
      <c r="CA230" s="1137"/>
      <c r="CB230" s="1153"/>
    </row>
    <row r="231" spans="4:80" s="1134" customFormat="1">
      <c r="D231" s="1413"/>
      <c r="H231" s="1413"/>
      <c r="K231" s="1413"/>
      <c r="X231" s="1401"/>
      <c r="AF231" s="1401"/>
      <c r="AG231" s="1413"/>
      <c r="AK231" s="1413"/>
      <c r="AL231" s="1413"/>
      <c r="AM231" s="1413"/>
      <c r="AV231" s="1413"/>
      <c r="AW231" s="1401"/>
      <c r="CA231" s="1137"/>
      <c r="CB231" s="1153"/>
    </row>
    <row r="232" spans="4:80" s="1134" customFormat="1">
      <c r="D232" s="1413"/>
      <c r="H232" s="1413"/>
      <c r="K232" s="1413"/>
      <c r="X232" s="1401"/>
      <c r="AF232" s="1401"/>
      <c r="AG232" s="1413"/>
      <c r="AK232" s="1413"/>
      <c r="AL232" s="1413"/>
      <c r="AM232" s="1413"/>
      <c r="AV232" s="1413"/>
      <c r="AW232" s="1401"/>
      <c r="CA232" s="1137"/>
      <c r="CB232" s="1153"/>
    </row>
    <row r="233" spans="4:80" s="1134" customFormat="1">
      <c r="D233" s="1413"/>
      <c r="H233" s="1413"/>
      <c r="K233" s="1413"/>
      <c r="X233" s="1401"/>
      <c r="AF233" s="1401"/>
      <c r="AG233" s="1413"/>
      <c r="AK233" s="1413"/>
      <c r="AL233" s="1413"/>
      <c r="AM233" s="1413"/>
      <c r="AV233" s="1413"/>
      <c r="AW233" s="1401"/>
      <c r="CA233" s="1137"/>
      <c r="CB233" s="1153"/>
    </row>
    <row r="234" spans="4:80" s="1134" customFormat="1">
      <c r="D234" s="1413"/>
      <c r="H234" s="1413"/>
      <c r="K234" s="1413"/>
      <c r="X234" s="1401"/>
      <c r="AF234" s="1401"/>
      <c r="AG234" s="1413"/>
      <c r="AK234" s="1413"/>
      <c r="AL234" s="1413"/>
      <c r="AM234" s="1413"/>
      <c r="AV234" s="1413"/>
      <c r="AW234" s="1401"/>
      <c r="CA234" s="1137"/>
      <c r="CB234" s="1153"/>
    </row>
    <row r="235" spans="4:80" s="1134" customFormat="1">
      <c r="D235" s="1413"/>
      <c r="H235" s="1413"/>
      <c r="K235" s="1413"/>
      <c r="X235" s="1401"/>
      <c r="AF235" s="1401"/>
      <c r="AG235" s="1413"/>
      <c r="AK235" s="1413"/>
      <c r="AL235" s="1413"/>
      <c r="AM235" s="1413"/>
      <c r="AV235" s="1413"/>
      <c r="AW235" s="1401"/>
      <c r="CA235" s="1137"/>
      <c r="CB235" s="1153"/>
    </row>
    <row r="236" spans="4:80" s="1134" customFormat="1">
      <c r="D236" s="1413"/>
      <c r="H236" s="1413"/>
      <c r="K236" s="1413"/>
      <c r="X236" s="1401"/>
      <c r="AF236" s="1401"/>
      <c r="AG236" s="1413"/>
      <c r="AK236" s="1413"/>
      <c r="AL236" s="1413"/>
      <c r="AM236" s="1413"/>
      <c r="AV236" s="1413"/>
      <c r="AW236" s="1401"/>
      <c r="CA236" s="1137"/>
      <c r="CB236" s="1153"/>
    </row>
    <row r="237" spans="4:80" s="1134" customFormat="1">
      <c r="D237" s="1413"/>
      <c r="H237" s="1413"/>
      <c r="K237" s="1413"/>
      <c r="X237" s="1401"/>
      <c r="AF237" s="1401"/>
      <c r="AG237" s="1413"/>
      <c r="AK237" s="1413"/>
      <c r="AL237" s="1413"/>
      <c r="AM237" s="1413"/>
      <c r="AV237" s="1413"/>
      <c r="AW237" s="1401"/>
      <c r="CA237" s="1137"/>
      <c r="CB237" s="1153"/>
    </row>
    <row r="238" spans="4:80" s="1134" customFormat="1">
      <c r="D238" s="1413"/>
      <c r="H238" s="1413"/>
      <c r="K238" s="1413"/>
      <c r="X238" s="1401"/>
      <c r="AF238" s="1401"/>
      <c r="AG238" s="1413"/>
      <c r="AK238" s="1413"/>
      <c r="AL238" s="1413"/>
      <c r="AM238" s="1413"/>
      <c r="AV238" s="1413"/>
      <c r="AW238" s="1401"/>
      <c r="CA238" s="1137"/>
      <c r="CB238" s="1153"/>
    </row>
    <row r="239" spans="4:80" s="1134" customFormat="1">
      <c r="D239" s="1413"/>
      <c r="H239" s="1413"/>
      <c r="K239" s="1413"/>
      <c r="X239" s="1401"/>
      <c r="AF239" s="1401"/>
      <c r="AG239" s="1413"/>
      <c r="AK239" s="1413"/>
      <c r="AL239" s="1413"/>
      <c r="AM239" s="1413"/>
      <c r="AV239" s="1413"/>
      <c r="AW239" s="1401"/>
      <c r="CA239" s="1137"/>
      <c r="CB239" s="1153"/>
    </row>
    <row r="240" spans="4:80" s="1134" customFormat="1">
      <c r="D240" s="1413"/>
      <c r="H240" s="1413"/>
      <c r="K240" s="1413"/>
      <c r="X240" s="1401"/>
      <c r="AF240" s="1401"/>
      <c r="AG240" s="1413"/>
      <c r="AK240" s="1413"/>
      <c r="AL240" s="1413"/>
      <c r="AM240" s="1413"/>
      <c r="AV240" s="1413"/>
      <c r="AW240" s="1401"/>
      <c r="CA240" s="1137"/>
      <c r="CB240" s="1153"/>
    </row>
    <row r="241" spans="4:80" s="1134" customFormat="1">
      <c r="D241" s="1413"/>
      <c r="H241" s="1413"/>
      <c r="K241" s="1413"/>
      <c r="X241" s="1401"/>
      <c r="AF241" s="1401"/>
      <c r="AG241" s="1413"/>
      <c r="AK241" s="1413"/>
      <c r="AL241" s="1413"/>
      <c r="AM241" s="1413"/>
      <c r="AV241" s="1413"/>
      <c r="AW241" s="1401"/>
      <c r="CA241" s="1137"/>
      <c r="CB241" s="1153"/>
    </row>
    <row r="242" spans="4:80" s="1134" customFormat="1">
      <c r="D242" s="1413"/>
      <c r="H242" s="1413"/>
      <c r="K242" s="1413"/>
      <c r="X242" s="1401"/>
      <c r="AF242" s="1401"/>
      <c r="AG242" s="1413"/>
      <c r="AK242" s="1413"/>
      <c r="AL242" s="1413"/>
      <c r="AM242" s="1413"/>
      <c r="AV242" s="1413"/>
      <c r="AW242" s="1401"/>
      <c r="CA242" s="1137"/>
      <c r="CB242" s="1153"/>
    </row>
    <row r="243" spans="4:80" s="1134" customFormat="1">
      <c r="D243" s="1413"/>
      <c r="H243" s="1413"/>
      <c r="K243" s="1413"/>
      <c r="X243" s="1401"/>
      <c r="AF243" s="1401"/>
      <c r="AG243" s="1413"/>
      <c r="AK243" s="1413"/>
      <c r="AL243" s="1413"/>
      <c r="AM243" s="1413"/>
      <c r="AV243" s="1413"/>
      <c r="AW243" s="1401"/>
      <c r="CA243" s="1137"/>
      <c r="CB243" s="1153"/>
    </row>
    <row r="244" spans="4:80" s="1134" customFormat="1">
      <c r="D244" s="1413"/>
      <c r="H244" s="1413"/>
      <c r="K244" s="1413"/>
      <c r="X244" s="1401"/>
      <c r="AF244" s="1401"/>
      <c r="AG244" s="1413"/>
      <c r="AK244" s="1413"/>
      <c r="AL244" s="1413"/>
      <c r="AM244" s="1413"/>
      <c r="AV244" s="1413"/>
      <c r="AW244" s="1401"/>
      <c r="CA244" s="1137"/>
      <c r="CB244" s="1153"/>
    </row>
    <row r="245" spans="4:80" s="1134" customFormat="1">
      <c r="D245" s="1413"/>
      <c r="H245" s="1413"/>
      <c r="K245" s="1413"/>
      <c r="X245" s="1401"/>
      <c r="AF245" s="1401"/>
      <c r="AG245" s="1413"/>
      <c r="AK245" s="1413"/>
      <c r="AL245" s="1413"/>
      <c r="AM245" s="1413"/>
      <c r="AV245" s="1413"/>
      <c r="AW245" s="1401"/>
      <c r="CA245" s="1137"/>
      <c r="CB245" s="1153"/>
    </row>
    <row r="246" spans="4:80" s="1134" customFormat="1">
      <c r="D246" s="1413"/>
      <c r="H246" s="1413"/>
      <c r="K246" s="1413"/>
      <c r="X246" s="1401"/>
      <c r="AF246" s="1401"/>
      <c r="AG246" s="1413"/>
      <c r="AK246" s="1413"/>
      <c r="AL246" s="1413"/>
      <c r="AM246" s="1413"/>
      <c r="AV246" s="1413"/>
      <c r="AW246" s="1401"/>
      <c r="CA246" s="1137"/>
      <c r="CB246" s="1153"/>
    </row>
    <row r="247" spans="4:80" s="1134" customFormat="1">
      <c r="D247" s="1413"/>
      <c r="H247" s="1413"/>
      <c r="K247" s="1413"/>
      <c r="X247" s="1401"/>
      <c r="AF247" s="1401"/>
      <c r="AG247" s="1413"/>
      <c r="AK247" s="1413"/>
      <c r="AL247" s="1413"/>
      <c r="AM247" s="1413"/>
      <c r="AV247" s="1413"/>
      <c r="AW247" s="1401"/>
      <c r="CA247" s="1137"/>
      <c r="CB247" s="1153"/>
    </row>
    <row r="248" spans="4:80" s="1134" customFormat="1">
      <c r="D248" s="1413"/>
      <c r="H248" s="1413"/>
      <c r="K248" s="1413"/>
      <c r="X248" s="1401"/>
      <c r="AF248" s="1401"/>
      <c r="AG248" s="1413"/>
      <c r="AK248" s="1413"/>
      <c r="AL248" s="1413"/>
      <c r="AM248" s="1413"/>
      <c r="AV248" s="1413"/>
      <c r="AW248" s="1401"/>
      <c r="CA248" s="1137"/>
      <c r="CB248" s="1153"/>
    </row>
    <row r="249" spans="4:80" s="1134" customFormat="1">
      <c r="D249" s="1413"/>
      <c r="H249" s="1413"/>
      <c r="K249" s="1413"/>
      <c r="X249" s="1401"/>
      <c r="AF249" s="1401"/>
      <c r="AG249" s="1413"/>
      <c r="AK249" s="1413"/>
      <c r="AL249" s="1413"/>
      <c r="AM249" s="1413"/>
      <c r="AV249" s="1413"/>
      <c r="AW249" s="1401"/>
      <c r="CA249" s="1137"/>
      <c r="CB249" s="1153"/>
    </row>
    <row r="250" spans="4:80" s="1134" customFormat="1">
      <c r="D250" s="1413"/>
      <c r="H250" s="1413"/>
      <c r="K250" s="1413"/>
      <c r="X250" s="1401"/>
      <c r="AF250" s="1401"/>
      <c r="AG250" s="1413"/>
      <c r="AK250" s="1413"/>
      <c r="AL250" s="1413"/>
      <c r="AM250" s="1413"/>
      <c r="AV250" s="1413"/>
      <c r="AW250" s="1401"/>
      <c r="CA250" s="1137"/>
      <c r="CB250" s="1153"/>
    </row>
    <row r="251" spans="4:80" s="1134" customFormat="1">
      <c r="D251" s="1413"/>
      <c r="H251" s="1413"/>
      <c r="K251" s="1413"/>
      <c r="X251" s="1401"/>
      <c r="AF251" s="1401"/>
      <c r="AG251" s="1413"/>
      <c r="AK251" s="1413"/>
      <c r="AL251" s="1413"/>
      <c r="AM251" s="1413"/>
      <c r="AV251" s="1413"/>
      <c r="AW251" s="1401"/>
      <c r="CA251" s="1137"/>
      <c r="CB251" s="1153"/>
    </row>
    <row r="252" spans="4:80" s="1134" customFormat="1">
      <c r="D252" s="1413"/>
      <c r="H252" s="1413"/>
      <c r="K252" s="1413"/>
      <c r="X252" s="1401"/>
      <c r="AF252" s="1401"/>
      <c r="AG252" s="1413"/>
      <c r="AK252" s="1413"/>
      <c r="AL252" s="1413"/>
      <c r="AM252" s="1413"/>
      <c r="AV252" s="1413"/>
      <c r="AW252" s="1401"/>
      <c r="CA252" s="1137"/>
      <c r="CB252" s="1153"/>
    </row>
    <row r="253" spans="4:80" s="1134" customFormat="1">
      <c r="D253" s="1413"/>
      <c r="H253" s="1413"/>
      <c r="K253" s="1413"/>
      <c r="X253" s="1401"/>
      <c r="AF253" s="1401"/>
      <c r="AG253" s="1413"/>
      <c r="AK253" s="1413"/>
      <c r="AL253" s="1413"/>
      <c r="AM253" s="1413"/>
      <c r="AV253" s="1413"/>
      <c r="AW253" s="1401"/>
      <c r="CA253" s="1137"/>
      <c r="CB253" s="1153"/>
    </row>
    <row r="254" spans="4:80" s="1134" customFormat="1">
      <c r="D254" s="1413"/>
      <c r="H254" s="1413"/>
      <c r="K254" s="1413"/>
      <c r="X254" s="1401"/>
      <c r="AF254" s="1401"/>
      <c r="AG254" s="1413"/>
      <c r="AK254" s="1413"/>
      <c r="AL254" s="1413"/>
      <c r="AM254" s="1413"/>
      <c r="AV254" s="1413"/>
      <c r="AW254" s="1401"/>
      <c r="CA254" s="1137"/>
      <c r="CB254" s="1153"/>
    </row>
    <row r="255" spans="4:80" s="1134" customFormat="1">
      <c r="D255" s="1413"/>
      <c r="H255" s="1413"/>
      <c r="K255" s="1413"/>
      <c r="X255" s="1401"/>
      <c r="AF255" s="1401"/>
      <c r="AG255" s="1413"/>
      <c r="AK255" s="1413"/>
      <c r="AL255" s="1413"/>
      <c r="AM255" s="1413"/>
      <c r="AV255" s="1413"/>
      <c r="AW255" s="1401"/>
      <c r="CA255" s="1137"/>
      <c r="CB255" s="1153"/>
    </row>
    <row r="256" spans="4:80" s="1134" customFormat="1">
      <c r="D256" s="1413"/>
      <c r="H256" s="1413"/>
      <c r="K256" s="1413"/>
      <c r="X256" s="1401"/>
      <c r="AF256" s="1401"/>
      <c r="AG256" s="1413"/>
      <c r="AK256" s="1413"/>
      <c r="AL256" s="1413"/>
      <c r="AM256" s="1413"/>
      <c r="AV256" s="1413"/>
      <c r="AW256" s="1401"/>
      <c r="CA256" s="1137"/>
      <c r="CB256" s="1153"/>
    </row>
    <row r="257" spans="4:80" s="1134" customFormat="1">
      <c r="D257" s="1413"/>
      <c r="H257" s="1413"/>
      <c r="K257" s="1413"/>
      <c r="X257" s="1401"/>
      <c r="AF257" s="1401"/>
      <c r="AG257" s="1413"/>
      <c r="AK257" s="1413"/>
      <c r="AL257" s="1413"/>
      <c r="AM257" s="1413"/>
      <c r="AV257" s="1413"/>
      <c r="AW257" s="1401"/>
      <c r="CA257" s="1137"/>
      <c r="CB257" s="1153"/>
    </row>
    <row r="258" spans="4:80" s="1134" customFormat="1">
      <c r="D258" s="1413"/>
      <c r="H258" s="1413"/>
      <c r="K258" s="1413"/>
      <c r="X258" s="1401"/>
      <c r="AF258" s="1401"/>
      <c r="AG258" s="1413"/>
      <c r="AK258" s="1413"/>
      <c r="AL258" s="1413"/>
      <c r="AM258" s="1413"/>
      <c r="AV258" s="1413"/>
      <c r="AW258" s="1401"/>
      <c r="CA258" s="1137"/>
      <c r="CB258" s="1153"/>
    </row>
    <row r="259" spans="4:80" s="1134" customFormat="1">
      <c r="D259" s="1413"/>
      <c r="H259" s="1413"/>
      <c r="K259" s="1413"/>
      <c r="X259" s="1401"/>
      <c r="AF259" s="1401"/>
      <c r="AG259" s="1413"/>
      <c r="AK259" s="1413"/>
      <c r="AL259" s="1413"/>
      <c r="AM259" s="1413"/>
      <c r="AV259" s="1413"/>
      <c r="AW259" s="1401"/>
      <c r="CA259" s="1137"/>
      <c r="CB259" s="1153"/>
    </row>
    <row r="260" spans="4:80" s="1134" customFormat="1">
      <c r="D260" s="1413"/>
      <c r="H260" s="1413"/>
      <c r="K260" s="1413"/>
      <c r="X260" s="1401"/>
      <c r="AF260" s="1401"/>
      <c r="AG260" s="1413"/>
      <c r="AK260" s="1413"/>
      <c r="AL260" s="1413"/>
      <c r="AM260" s="1413"/>
      <c r="AV260" s="1413"/>
      <c r="AW260" s="1401"/>
      <c r="CA260" s="1137"/>
      <c r="CB260" s="1153"/>
    </row>
    <row r="261" spans="4:80" s="1134" customFormat="1">
      <c r="D261" s="1413"/>
      <c r="H261" s="1413"/>
      <c r="K261" s="1413"/>
      <c r="X261" s="1401"/>
      <c r="AF261" s="1401"/>
      <c r="AG261" s="1413"/>
      <c r="AK261" s="1413"/>
      <c r="AL261" s="1413"/>
      <c r="AM261" s="1413"/>
      <c r="AV261" s="1413"/>
      <c r="AW261" s="1401"/>
      <c r="CA261" s="1137"/>
      <c r="CB261" s="1153"/>
    </row>
    <row r="262" spans="4:80" s="1134" customFormat="1">
      <c r="D262" s="1413"/>
      <c r="H262" s="1413"/>
      <c r="K262" s="1413"/>
      <c r="X262" s="1401"/>
      <c r="AF262" s="1401"/>
      <c r="AG262" s="1413"/>
      <c r="AK262" s="1413"/>
      <c r="AL262" s="1413"/>
      <c r="AM262" s="1413"/>
      <c r="AV262" s="1413"/>
      <c r="AW262" s="1401"/>
      <c r="CA262" s="1137"/>
      <c r="CB262" s="1153"/>
    </row>
    <row r="263" spans="4:80" s="1134" customFormat="1">
      <c r="D263" s="1413"/>
      <c r="H263" s="1413"/>
      <c r="K263" s="1413"/>
      <c r="X263" s="1401"/>
      <c r="AF263" s="1401"/>
      <c r="AG263" s="1413"/>
      <c r="AK263" s="1413"/>
      <c r="AL263" s="1413"/>
      <c r="AM263" s="1413"/>
      <c r="AV263" s="1413"/>
      <c r="AW263" s="1401"/>
      <c r="CA263" s="1137"/>
      <c r="CB263" s="1153"/>
    </row>
    <row r="264" spans="4:80" s="1134" customFormat="1">
      <c r="D264" s="1413"/>
      <c r="H264" s="1413"/>
      <c r="K264" s="1413"/>
      <c r="X264" s="1401"/>
      <c r="AF264" s="1401"/>
      <c r="AG264" s="1413"/>
      <c r="AK264" s="1413"/>
      <c r="AL264" s="1413"/>
      <c r="AM264" s="1413"/>
      <c r="AV264" s="1413"/>
      <c r="AW264" s="1401"/>
      <c r="CA264" s="1137"/>
      <c r="CB264" s="1153"/>
    </row>
    <row r="265" spans="4:80" s="1134" customFormat="1">
      <c r="D265" s="1413"/>
      <c r="H265" s="1413"/>
      <c r="K265" s="1413"/>
      <c r="X265" s="1401"/>
      <c r="AF265" s="1401"/>
      <c r="AG265" s="1413"/>
      <c r="AK265" s="1413"/>
      <c r="AL265" s="1413"/>
      <c r="AM265" s="1413"/>
      <c r="AV265" s="1413"/>
      <c r="AW265" s="1401"/>
      <c r="CA265" s="1137"/>
      <c r="CB265" s="1153"/>
    </row>
    <row r="266" spans="4:80" s="1134" customFormat="1">
      <c r="D266" s="1413"/>
      <c r="H266" s="1413"/>
      <c r="K266" s="1413"/>
      <c r="X266" s="1401"/>
      <c r="AF266" s="1401"/>
      <c r="AG266" s="1413"/>
      <c r="AK266" s="1413"/>
      <c r="AL266" s="1413"/>
      <c r="AM266" s="1413"/>
      <c r="AV266" s="1413"/>
      <c r="AW266" s="1401"/>
      <c r="CA266" s="1137"/>
      <c r="CB266" s="1153"/>
    </row>
    <row r="267" spans="4:80" s="1134" customFormat="1">
      <c r="D267" s="1413"/>
      <c r="H267" s="1413"/>
      <c r="K267" s="1413"/>
      <c r="X267" s="1401"/>
      <c r="AF267" s="1401"/>
      <c r="AG267" s="1413"/>
      <c r="AK267" s="1413"/>
      <c r="AL267" s="1413"/>
      <c r="AM267" s="1413"/>
      <c r="AV267" s="1413"/>
      <c r="AW267" s="1401"/>
      <c r="CA267" s="1137"/>
      <c r="CB267" s="1153"/>
    </row>
    <row r="268" spans="4:80" s="1134" customFormat="1">
      <c r="D268" s="1413"/>
      <c r="H268" s="1413"/>
      <c r="K268" s="1413"/>
      <c r="X268" s="1401"/>
      <c r="AF268" s="1401"/>
      <c r="AG268" s="1413"/>
      <c r="AK268" s="1413"/>
      <c r="AL268" s="1413"/>
      <c r="AM268" s="1413"/>
      <c r="AV268" s="1413"/>
      <c r="AW268" s="1401"/>
      <c r="CA268" s="1137"/>
      <c r="CB268" s="1153"/>
    </row>
    <row r="269" spans="4:80" s="1134" customFormat="1">
      <c r="D269" s="1413"/>
      <c r="H269" s="1413"/>
      <c r="K269" s="1413"/>
      <c r="X269" s="1401"/>
      <c r="AF269" s="1401"/>
      <c r="AG269" s="1413"/>
      <c r="AK269" s="1413"/>
      <c r="AL269" s="1413"/>
      <c r="AM269" s="1413"/>
      <c r="AV269" s="1413"/>
      <c r="AW269" s="1401"/>
      <c r="CA269" s="1137"/>
      <c r="CB269" s="1153"/>
    </row>
    <row r="270" spans="4:80" s="1134" customFormat="1">
      <c r="D270" s="1413"/>
      <c r="H270" s="1413"/>
      <c r="K270" s="1413"/>
      <c r="X270" s="1401"/>
      <c r="AF270" s="1401"/>
      <c r="AG270" s="1413"/>
      <c r="AK270" s="1413"/>
      <c r="AL270" s="1413"/>
      <c r="AM270" s="1413"/>
      <c r="AV270" s="1413"/>
      <c r="AW270" s="1401"/>
      <c r="CA270" s="1137"/>
      <c r="CB270" s="1153"/>
    </row>
    <row r="271" spans="4:80" s="1134" customFormat="1">
      <c r="D271" s="1413"/>
      <c r="H271" s="1413"/>
      <c r="K271" s="1413"/>
      <c r="X271" s="1401"/>
      <c r="AF271" s="1401"/>
      <c r="AG271" s="1413"/>
      <c r="AK271" s="1413"/>
      <c r="AL271" s="1413"/>
      <c r="AM271" s="1413"/>
      <c r="AV271" s="1413"/>
      <c r="AW271" s="1401"/>
      <c r="CA271" s="1137"/>
      <c r="CB271" s="1153"/>
    </row>
    <row r="272" spans="4:80" s="1134" customFormat="1">
      <c r="D272" s="1413"/>
      <c r="H272" s="1413"/>
      <c r="K272" s="1413"/>
      <c r="X272" s="1401"/>
      <c r="AF272" s="1401"/>
      <c r="AG272" s="1413"/>
      <c r="AK272" s="1413"/>
      <c r="AL272" s="1413"/>
      <c r="AM272" s="1413"/>
      <c r="AV272" s="1413"/>
      <c r="AW272" s="1401"/>
      <c r="CA272" s="1137"/>
      <c r="CB272" s="1153"/>
    </row>
    <row r="273" spans="4:80" s="1134" customFormat="1">
      <c r="D273" s="1413"/>
      <c r="H273" s="1413"/>
      <c r="K273" s="1413"/>
      <c r="X273" s="1401"/>
      <c r="AF273" s="1401"/>
      <c r="AG273" s="1413"/>
      <c r="AK273" s="1413"/>
      <c r="AL273" s="1413"/>
      <c r="AM273" s="1413"/>
      <c r="AV273" s="1413"/>
      <c r="AW273" s="1401"/>
      <c r="CA273" s="1137"/>
      <c r="CB273" s="1153"/>
    </row>
    <row r="274" spans="4:80" s="1134" customFormat="1">
      <c r="D274" s="1413"/>
      <c r="H274" s="1413"/>
      <c r="K274" s="1413"/>
      <c r="X274" s="1401"/>
      <c r="AF274" s="1401"/>
      <c r="AG274" s="1413"/>
      <c r="AK274" s="1413"/>
      <c r="AL274" s="1413"/>
      <c r="AM274" s="1413"/>
      <c r="AV274" s="1413"/>
      <c r="AW274" s="1401"/>
      <c r="CA274" s="1137"/>
      <c r="CB274" s="1153"/>
    </row>
    <row r="275" spans="4:80" s="1134" customFormat="1">
      <c r="D275" s="1413"/>
      <c r="H275" s="1413"/>
      <c r="K275" s="1413"/>
      <c r="X275" s="1401"/>
      <c r="AF275" s="1401"/>
      <c r="AG275" s="1413"/>
      <c r="AK275" s="1413"/>
      <c r="AL275" s="1413"/>
      <c r="AM275" s="1413"/>
      <c r="AV275" s="1413"/>
      <c r="AW275" s="1401"/>
      <c r="CA275" s="1137"/>
      <c r="CB275" s="1153"/>
    </row>
    <row r="276" spans="4:80" s="1134" customFormat="1">
      <c r="D276" s="1413"/>
      <c r="H276" s="1413"/>
      <c r="K276" s="1413"/>
      <c r="X276" s="1401"/>
      <c r="AF276" s="1401"/>
      <c r="AG276" s="1413"/>
      <c r="AK276" s="1413"/>
      <c r="AL276" s="1413"/>
      <c r="AM276" s="1413"/>
      <c r="AV276" s="1413"/>
      <c r="AW276" s="1401"/>
      <c r="CA276" s="1137"/>
      <c r="CB276" s="1153"/>
    </row>
    <row r="277" spans="4:80" s="1134" customFormat="1">
      <c r="D277" s="1413"/>
      <c r="H277" s="1413"/>
      <c r="K277" s="1413"/>
      <c r="X277" s="1401"/>
      <c r="AF277" s="1401"/>
      <c r="AG277" s="1413"/>
      <c r="AK277" s="1413"/>
      <c r="AL277" s="1413"/>
      <c r="AM277" s="1413"/>
      <c r="AV277" s="1413"/>
      <c r="AW277" s="1401"/>
      <c r="CA277" s="1137"/>
      <c r="CB277" s="1153"/>
    </row>
    <row r="278" spans="4:80" s="1134" customFormat="1">
      <c r="D278" s="1413"/>
      <c r="H278" s="1413"/>
      <c r="K278" s="1413"/>
      <c r="X278" s="1401"/>
      <c r="AF278" s="1401"/>
      <c r="AG278" s="1413"/>
      <c r="AK278" s="1413"/>
      <c r="AL278" s="1413"/>
      <c r="AM278" s="1413"/>
      <c r="AV278" s="1413"/>
      <c r="AW278" s="1401"/>
      <c r="CA278" s="1137"/>
      <c r="CB278" s="1153"/>
    </row>
    <row r="279" spans="4:80" s="1134" customFormat="1">
      <c r="D279" s="1413"/>
      <c r="H279" s="1413"/>
      <c r="K279" s="1413"/>
      <c r="X279" s="1401"/>
      <c r="AF279" s="1401"/>
      <c r="AG279" s="1413"/>
      <c r="AK279" s="1413"/>
      <c r="AL279" s="1413"/>
      <c r="AM279" s="1413"/>
      <c r="AV279" s="1413"/>
      <c r="AW279" s="1401"/>
      <c r="CA279" s="1137"/>
      <c r="CB279" s="1153"/>
    </row>
    <row r="280" spans="4:80" s="1134" customFormat="1">
      <c r="D280" s="1413"/>
      <c r="H280" s="1413"/>
      <c r="K280" s="1413"/>
      <c r="X280" s="1401"/>
      <c r="AF280" s="1401"/>
      <c r="AG280" s="1413"/>
      <c r="AK280" s="1413"/>
      <c r="AL280" s="1413"/>
      <c r="AM280" s="1413"/>
      <c r="AV280" s="1413"/>
      <c r="AW280" s="1401"/>
      <c r="CA280" s="1137"/>
      <c r="CB280" s="1153"/>
    </row>
    <row r="281" spans="4:80" s="1134" customFormat="1">
      <c r="D281" s="1413"/>
      <c r="H281" s="1413"/>
      <c r="K281" s="1413"/>
      <c r="X281" s="1401"/>
      <c r="AF281" s="1401"/>
      <c r="AG281" s="1413"/>
      <c r="AK281" s="1413"/>
      <c r="AL281" s="1413"/>
      <c r="AM281" s="1413"/>
      <c r="AV281" s="1413"/>
      <c r="AW281" s="1401"/>
      <c r="CA281" s="1137"/>
      <c r="CB281" s="1153"/>
    </row>
    <row r="282" spans="4:80" s="1134" customFormat="1">
      <c r="D282" s="1413"/>
      <c r="H282" s="1413"/>
      <c r="K282" s="1413"/>
      <c r="X282" s="1401"/>
      <c r="AF282" s="1401"/>
      <c r="AG282" s="1413"/>
      <c r="AK282" s="1413"/>
      <c r="AL282" s="1413"/>
      <c r="AM282" s="1413"/>
      <c r="AV282" s="1413"/>
      <c r="AW282" s="1401"/>
      <c r="CA282" s="1137"/>
      <c r="CB282" s="1153"/>
    </row>
    <row r="283" spans="4:80" s="1134" customFormat="1">
      <c r="D283" s="1413"/>
      <c r="H283" s="1413"/>
      <c r="K283" s="1413"/>
      <c r="X283" s="1401"/>
      <c r="AF283" s="1401"/>
      <c r="AG283" s="1413"/>
      <c r="AK283" s="1413"/>
      <c r="AL283" s="1413"/>
      <c r="AM283" s="1413"/>
      <c r="AV283" s="1413"/>
      <c r="AW283" s="1401"/>
      <c r="CA283" s="1137"/>
      <c r="CB283" s="1153"/>
    </row>
    <row r="284" spans="4:80" s="1134" customFormat="1">
      <c r="D284" s="1413"/>
      <c r="H284" s="1413"/>
      <c r="K284" s="1413"/>
      <c r="X284" s="1401"/>
      <c r="AF284" s="1401"/>
      <c r="AG284" s="1413"/>
      <c r="AK284" s="1413"/>
      <c r="AL284" s="1413"/>
      <c r="AM284" s="1413"/>
      <c r="AV284" s="1413"/>
      <c r="AW284" s="1401"/>
      <c r="CA284" s="1137"/>
      <c r="CB284" s="1153"/>
    </row>
    <row r="285" spans="4:80" s="1134" customFormat="1">
      <c r="D285" s="1413"/>
      <c r="H285" s="1413"/>
      <c r="K285" s="1413"/>
      <c r="X285" s="1401"/>
      <c r="AF285" s="1401"/>
      <c r="AG285" s="1413"/>
      <c r="AK285" s="1413"/>
      <c r="AL285" s="1413"/>
      <c r="AM285" s="1413"/>
      <c r="AV285" s="1413"/>
      <c r="AW285" s="1401"/>
      <c r="CA285" s="1137"/>
      <c r="CB285" s="1153"/>
    </row>
    <row r="286" spans="4:80" s="1134" customFormat="1">
      <c r="D286" s="1413"/>
      <c r="H286" s="1413"/>
      <c r="K286" s="1413"/>
      <c r="X286" s="1401"/>
      <c r="AF286" s="1401"/>
      <c r="AG286" s="1413"/>
      <c r="AK286" s="1413"/>
      <c r="AL286" s="1413"/>
      <c r="AM286" s="1413"/>
      <c r="AV286" s="1413"/>
      <c r="AW286" s="1401"/>
      <c r="CA286" s="1137"/>
      <c r="CB286" s="1153"/>
    </row>
    <row r="287" spans="4:80" s="1134" customFormat="1">
      <c r="D287" s="1413"/>
      <c r="H287" s="1413"/>
      <c r="K287" s="1413"/>
      <c r="X287" s="1401"/>
      <c r="AF287" s="1401"/>
      <c r="AG287" s="1413"/>
      <c r="AK287" s="1413"/>
      <c r="AL287" s="1413"/>
      <c r="AM287" s="1413"/>
      <c r="AV287" s="1413"/>
      <c r="AW287" s="1401"/>
      <c r="CA287" s="1137"/>
      <c r="CB287" s="1153"/>
    </row>
    <row r="288" spans="4:80" s="1134" customFormat="1">
      <c r="D288" s="1413"/>
      <c r="H288" s="1413"/>
      <c r="K288" s="1413"/>
      <c r="X288" s="1401"/>
      <c r="AF288" s="1401"/>
      <c r="AG288" s="1413"/>
      <c r="AK288" s="1413"/>
      <c r="AL288" s="1413"/>
      <c r="AM288" s="1413"/>
      <c r="AV288" s="1413"/>
      <c r="AW288" s="1401"/>
      <c r="CA288" s="1137"/>
      <c r="CB288" s="1153"/>
    </row>
    <row r="289" spans="4:130" s="1134" customFormat="1">
      <c r="D289" s="1413"/>
      <c r="H289" s="1413"/>
      <c r="K289" s="1413"/>
      <c r="X289" s="1401"/>
      <c r="AF289" s="1401"/>
      <c r="AG289" s="1413"/>
      <c r="AK289" s="1413"/>
      <c r="AL289" s="1413"/>
      <c r="AM289" s="1413"/>
      <c r="AV289" s="1413"/>
      <c r="AW289" s="1401"/>
      <c r="CA289" s="1137"/>
      <c r="CB289" s="1153"/>
    </row>
    <row r="290" spans="4:130" s="1134" customFormat="1">
      <c r="D290" s="1413"/>
      <c r="H290" s="1413"/>
      <c r="K290" s="1413"/>
      <c r="X290" s="1401"/>
      <c r="AF290" s="1401"/>
      <c r="AG290" s="1413"/>
      <c r="AK290" s="1413"/>
      <c r="AL290" s="1413"/>
      <c r="AM290" s="1413"/>
      <c r="AV290" s="1413"/>
      <c r="AW290" s="1401"/>
      <c r="CA290" s="1137"/>
      <c r="CB290" s="1153"/>
    </row>
    <row r="291" spans="4:130" s="1134" customFormat="1">
      <c r="D291" s="1413"/>
      <c r="H291" s="1413"/>
      <c r="K291" s="1413"/>
      <c r="X291" s="1401"/>
      <c r="AF291" s="1401"/>
      <c r="AG291" s="1413"/>
      <c r="AK291" s="1413"/>
      <c r="AL291" s="1413"/>
      <c r="AM291" s="1413"/>
      <c r="AV291" s="1413"/>
      <c r="AW291" s="1401"/>
      <c r="CA291" s="1137"/>
      <c r="CB291" s="1153"/>
    </row>
    <row r="292" spans="4:130" s="1134" customFormat="1">
      <c r="D292" s="1413"/>
      <c r="H292" s="1413"/>
      <c r="K292" s="1413"/>
      <c r="X292" s="1401"/>
      <c r="AF292" s="1401"/>
      <c r="AG292" s="1413"/>
      <c r="AK292" s="1413"/>
      <c r="AL292" s="1413"/>
      <c r="AM292" s="1413"/>
      <c r="AV292" s="1413"/>
      <c r="AW292" s="1401"/>
      <c r="CA292" s="1137"/>
      <c r="CB292" s="1153"/>
    </row>
    <row r="293" spans="4:130" s="1134" customFormat="1">
      <c r="D293" s="1413"/>
      <c r="H293" s="1413"/>
      <c r="K293" s="1413"/>
      <c r="X293" s="1401"/>
      <c r="AF293" s="1401"/>
      <c r="AG293" s="1413"/>
      <c r="AK293" s="1413"/>
      <c r="AL293" s="1413"/>
      <c r="AM293" s="1413"/>
      <c r="AV293" s="1413"/>
      <c r="AW293" s="1401"/>
      <c r="CA293" s="1137"/>
      <c r="CB293" s="1153"/>
    </row>
    <row r="294" spans="4:130" s="1134" customFormat="1">
      <c r="D294" s="1413"/>
      <c r="H294" s="1413"/>
      <c r="K294" s="1413"/>
      <c r="X294" s="1401"/>
      <c r="AF294" s="1401"/>
      <c r="AG294" s="1413"/>
      <c r="AK294" s="1413"/>
      <c r="AL294" s="1413"/>
      <c r="AM294" s="1413"/>
      <c r="AV294" s="1413"/>
      <c r="AW294" s="1401"/>
      <c r="CA294" s="1137"/>
      <c r="CB294" s="1153"/>
    </row>
    <row r="295" spans="4:130" s="1134" customFormat="1">
      <c r="D295" s="1413"/>
      <c r="H295" s="1413"/>
      <c r="K295" s="1413"/>
      <c r="X295" s="1401"/>
      <c r="AF295" s="1401"/>
      <c r="AG295" s="1413"/>
      <c r="AK295" s="1413"/>
      <c r="AL295" s="1413"/>
      <c r="AM295" s="1413"/>
      <c r="AV295" s="1413"/>
      <c r="AW295" s="1401"/>
      <c r="CA295" s="1137"/>
      <c r="CB295" s="1153"/>
    </row>
    <row r="296" spans="4:130" s="1134" customFormat="1">
      <c r="D296" s="1413"/>
      <c r="H296" s="1413"/>
      <c r="K296" s="1413"/>
      <c r="X296" s="1401"/>
      <c r="AF296" s="1401"/>
      <c r="AG296" s="1413"/>
      <c r="AK296" s="1413"/>
      <c r="AL296" s="1413"/>
      <c r="AM296" s="1413"/>
      <c r="AV296" s="1413"/>
      <c r="AW296" s="1401"/>
      <c r="CA296" s="1137"/>
      <c r="CB296" s="1153"/>
    </row>
    <row r="297" spans="4:130" s="1134" customFormat="1">
      <c r="D297" s="1413"/>
      <c r="H297" s="1413"/>
      <c r="K297" s="1413"/>
      <c r="X297" s="1401"/>
      <c r="AF297" s="1401"/>
      <c r="AG297" s="1413"/>
      <c r="AK297" s="1413"/>
      <c r="AL297" s="1413"/>
      <c r="AM297" s="1413"/>
      <c r="AV297" s="1413"/>
      <c r="AW297" s="1401"/>
      <c r="CA297" s="1137"/>
      <c r="CB297" s="1153"/>
    </row>
    <row r="298" spans="4:130" s="1134" customFormat="1">
      <c r="D298" s="1413"/>
      <c r="H298" s="1413"/>
      <c r="K298" s="1413"/>
      <c r="X298" s="1401"/>
      <c r="AF298" s="1401"/>
      <c r="AG298" s="1413"/>
      <c r="AK298" s="1413"/>
      <c r="AL298" s="1413"/>
      <c r="AM298" s="1413"/>
      <c r="AV298" s="1413"/>
      <c r="AW298" s="1401"/>
      <c r="CA298" s="1137"/>
      <c r="CB298" s="1153"/>
    </row>
    <row r="299" spans="4:130" s="1134" customFormat="1">
      <c r="D299" s="1413"/>
      <c r="H299" s="1413"/>
      <c r="K299" s="1413"/>
      <c r="X299" s="1401"/>
      <c r="AF299" s="1401"/>
      <c r="AG299" s="1413"/>
      <c r="AK299" s="1413"/>
      <c r="AL299" s="1413"/>
      <c r="AM299" s="1413"/>
      <c r="AV299" s="1413"/>
      <c r="AW299" s="1401"/>
      <c r="CA299" s="1137"/>
      <c r="CB299" s="1153"/>
    </row>
    <row r="300" spans="4:130" s="1128" customFormat="1">
      <c r="D300" s="1414"/>
      <c r="H300" s="1414"/>
      <c r="K300" s="1414"/>
      <c r="X300" s="1402"/>
      <c r="AF300" s="1402"/>
      <c r="AG300" s="1414"/>
      <c r="AK300" s="1414"/>
      <c r="AL300" s="1414"/>
      <c r="AM300" s="1414"/>
      <c r="AV300" s="1414"/>
      <c r="AW300" s="1402"/>
      <c r="CA300" s="1144"/>
      <c r="CB300" s="1153"/>
      <c r="CC300" s="1134"/>
      <c r="CD300" s="1134"/>
      <c r="CE300" s="1134"/>
      <c r="CF300" s="1134"/>
      <c r="CG300" s="1134"/>
      <c r="CH300" s="1134"/>
      <c r="CI300" s="1134"/>
      <c r="CJ300" s="1134"/>
      <c r="CK300" s="1134"/>
      <c r="CL300" s="1134"/>
      <c r="CM300" s="1134"/>
      <c r="CN300" s="1134"/>
      <c r="CO300" s="1134"/>
      <c r="CP300" s="1134"/>
      <c r="CQ300" s="1134"/>
      <c r="CR300" s="1134"/>
      <c r="CS300" s="1134"/>
      <c r="CT300" s="1134"/>
      <c r="CU300" s="1134"/>
      <c r="CV300" s="1134"/>
      <c r="CW300" s="1134"/>
      <c r="CX300" s="1134"/>
      <c r="CY300" s="1134"/>
      <c r="CZ300" s="1134"/>
      <c r="DA300" s="1134"/>
      <c r="DB300" s="1134"/>
      <c r="DC300" s="1134"/>
      <c r="DD300" s="1134"/>
      <c r="DE300" s="1134"/>
      <c r="DF300" s="1134"/>
      <c r="DG300" s="1134"/>
      <c r="DH300" s="1134"/>
      <c r="DI300" s="1134"/>
      <c r="DJ300" s="1134"/>
      <c r="DK300" s="1134"/>
      <c r="DL300" s="1134"/>
      <c r="DM300" s="1134"/>
      <c r="DN300" s="1134"/>
      <c r="DO300" s="1134"/>
      <c r="DP300" s="1134"/>
      <c r="DQ300" s="1134"/>
      <c r="DR300" s="1134"/>
      <c r="DS300" s="1134"/>
      <c r="DT300" s="1134"/>
      <c r="DU300" s="1134"/>
      <c r="DV300" s="1134"/>
      <c r="DW300" s="1134"/>
      <c r="DX300" s="1134"/>
      <c r="DY300" s="1134"/>
      <c r="DZ300" s="1150"/>
    </row>
    <row r="301" spans="4:130" s="834" customFormat="1">
      <c r="D301" s="1415"/>
      <c r="H301" s="1415"/>
      <c r="K301" s="1415"/>
      <c r="X301" s="1403"/>
      <c r="AF301" s="1403"/>
      <c r="AG301" s="1415"/>
      <c r="AK301" s="1415"/>
      <c r="AL301" s="1415"/>
      <c r="AM301" s="1415"/>
      <c r="AV301" s="1415"/>
      <c r="AW301" s="1403"/>
      <c r="CA301" s="1145"/>
      <c r="CB301" s="1153"/>
      <c r="CC301" s="1134"/>
      <c r="CD301" s="1134"/>
      <c r="CE301" s="1134"/>
      <c r="CF301" s="1134"/>
      <c r="CG301" s="1134"/>
      <c r="CH301" s="1134"/>
      <c r="CI301" s="1134"/>
      <c r="CJ301" s="1134"/>
      <c r="CK301" s="1134"/>
      <c r="CL301" s="1134"/>
      <c r="CM301" s="1134"/>
      <c r="CN301" s="1134"/>
      <c r="CO301" s="1134"/>
      <c r="CP301" s="1134"/>
      <c r="CQ301" s="1134"/>
      <c r="CR301" s="1134"/>
      <c r="CS301" s="1134"/>
      <c r="CT301" s="1134"/>
      <c r="CU301" s="1134"/>
      <c r="CV301" s="1134"/>
      <c r="CW301" s="1134"/>
      <c r="CX301" s="1134"/>
      <c r="CY301" s="1134"/>
      <c r="CZ301" s="1134"/>
      <c r="DA301" s="1134"/>
      <c r="DB301" s="1134"/>
      <c r="DC301" s="1134"/>
      <c r="DD301" s="1134"/>
      <c r="DE301" s="1134"/>
      <c r="DF301" s="1134"/>
      <c r="DG301" s="1134"/>
      <c r="DH301" s="1134"/>
      <c r="DI301" s="1134"/>
      <c r="DJ301" s="1134"/>
      <c r="DK301" s="1134"/>
      <c r="DL301" s="1134"/>
      <c r="DM301" s="1134"/>
      <c r="DN301" s="1134"/>
      <c r="DO301" s="1134"/>
      <c r="DP301" s="1134"/>
      <c r="DQ301" s="1134"/>
      <c r="DR301" s="1134"/>
      <c r="DS301" s="1134"/>
      <c r="DT301" s="1134"/>
      <c r="DU301" s="1134"/>
      <c r="DV301" s="1134"/>
      <c r="DW301" s="1134"/>
      <c r="DX301" s="1134"/>
      <c r="DY301" s="1134"/>
      <c r="DZ301" s="1147"/>
    </row>
    <row r="302" spans="4:130" s="834" customFormat="1">
      <c r="D302" s="1415"/>
      <c r="H302" s="1415"/>
      <c r="K302" s="1415"/>
      <c r="X302" s="1403"/>
      <c r="AF302" s="1403"/>
      <c r="AG302" s="1415"/>
      <c r="AK302" s="1415"/>
      <c r="AL302" s="1415"/>
      <c r="AM302" s="1415"/>
      <c r="AV302" s="1415"/>
      <c r="AW302" s="1403"/>
      <c r="CA302" s="1145"/>
      <c r="CB302" s="1153"/>
      <c r="CC302" s="1134"/>
      <c r="CD302" s="1134"/>
      <c r="CE302" s="1134"/>
      <c r="CF302" s="1134"/>
      <c r="CG302" s="1134"/>
      <c r="CH302" s="1134"/>
      <c r="CI302" s="1134"/>
      <c r="CJ302" s="1134"/>
      <c r="CK302" s="1134"/>
      <c r="CL302" s="1134"/>
      <c r="CM302" s="1134"/>
      <c r="CN302" s="1134"/>
      <c r="CO302" s="1134"/>
      <c r="CP302" s="1134"/>
      <c r="CQ302" s="1134"/>
      <c r="CR302" s="1134"/>
      <c r="CS302" s="1134"/>
      <c r="CT302" s="1134"/>
      <c r="CU302" s="1134"/>
      <c r="CV302" s="1134"/>
      <c r="CW302" s="1134"/>
      <c r="CX302" s="1134"/>
      <c r="CY302" s="1134"/>
      <c r="CZ302" s="1134"/>
      <c r="DA302" s="1134"/>
      <c r="DB302" s="1134"/>
      <c r="DC302" s="1134"/>
      <c r="DD302" s="1134"/>
      <c r="DE302" s="1134"/>
      <c r="DF302" s="1134"/>
      <c r="DG302" s="1134"/>
      <c r="DH302" s="1134"/>
      <c r="DI302" s="1134"/>
      <c r="DJ302" s="1134"/>
      <c r="DK302" s="1134"/>
      <c r="DL302" s="1134"/>
      <c r="DM302" s="1134"/>
      <c r="DN302" s="1134"/>
      <c r="DO302" s="1134"/>
      <c r="DP302" s="1134"/>
      <c r="DQ302" s="1134"/>
      <c r="DR302" s="1134"/>
      <c r="DS302" s="1134"/>
      <c r="DT302" s="1134"/>
      <c r="DU302" s="1134"/>
      <c r="DV302" s="1134"/>
      <c r="DW302" s="1134"/>
      <c r="DX302" s="1134"/>
      <c r="DY302" s="1134"/>
      <c r="DZ302" s="1147"/>
    </row>
    <row r="303" spans="4:130" s="834" customFormat="1">
      <c r="D303" s="1415"/>
      <c r="H303" s="1415"/>
      <c r="K303" s="1415"/>
      <c r="X303" s="1403"/>
      <c r="AF303" s="1403"/>
      <c r="AG303" s="1415"/>
      <c r="AK303" s="1415"/>
      <c r="AL303" s="1415"/>
      <c r="AM303" s="1415"/>
      <c r="AV303" s="1415"/>
      <c r="AW303" s="1403"/>
      <c r="CA303" s="1145"/>
      <c r="CB303" s="1153"/>
      <c r="CC303" s="1134"/>
      <c r="CD303" s="1134"/>
      <c r="CE303" s="1134"/>
      <c r="CF303" s="1134"/>
      <c r="CG303" s="1134"/>
      <c r="CH303" s="1134"/>
      <c r="CI303" s="1134"/>
      <c r="CJ303" s="1134"/>
      <c r="CK303" s="1134"/>
      <c r="CL303" s="1134"/>
      <c r="CM303" s="1134"/>
      <c r="CN303" s="1134"/>
      <c r="CO303" s="1134"/>
      <c r="CP303" s="1134"/>
      <c r="CQ303" s="1134"/>
      <c r="CR303" s="1134"/>
      <c r="CS303" s="1134"/>
      <c r="CT303" s="1134"/>
      <c r="CU303" s="1134"/>
      <c r="CV303" s="1134"/>
      <c r="CW303" s="1134"/>
      <c r="CX303" s="1134"/>
      <c r="CY303" s="1134"/>
      <c r="CZ303" s="1134"/>
      <c r="DA303" s="1134"/>
      <c r="DB303" s="1134"/>
      <c r="DC303" s="1134"/>
      <c r="DD303" s="1134"/>
      <c r="DE303" s="1134"/>
      <c r="DF303" s="1134"/>
      <c r="DG303" s="1134"/>
      <c r="DH303" s="1134"/>
      <c r="DI303" s="1134"/>
      <c r="DJ303" s="1134"/>
      <c r="DK303" s="1134"/>
      <c r="DL303" s="1134"/>
      <c r="DM303" s="1134"/>
      <c r="DN303" s="1134"/>
      <c r="DO303" s="1134"/>
      <c r="DP303" s="1134"/>
      <c r="DQ303" s="1134"/>
      <c r="DR303" s="1134"/>
      <c r="DS303" s="1134"/>
      <c r="DT303" s="1134"/>
      <c r="DU303" s="1134"/>
      <c r="DV303" s="1134"/>
      <c r="DW303" s="1134"/>
      <c r="DX303" s="1134"/>
      <c r="DY303" s="1134"/>
      <c r="DZ303" s="1147"/>
    </row>
    <row r="304" spans="4:130" s="834" customFormat="1">
      <c r="D304" s="1415"/>
      <c r="H304" s="1415"/>
      <c r="K304" s="1415"/>
      <c r="X304" s="1403"/>
      <c r="AF304" s="1403"/>
      <c r="AG304" s="1415"/>
      <c r="AK304" s="1415"/>
      <c r="AL304" s="1415"/>
      <c r="AM304" s="1415"/>
      <c r="AV304" s="1415"/>
      <c r="AW304" s="1403"/>
      <c r="CA304" s="1145"/>
      <c r="CB304" s="1153"/>
      <c r="CC304" s="1134"/>
      <c r="CD304" s="1134"/>
      <c r="CE304" s="1134"/>
      <c r="CF304" s="1134"/>
      <c r="CG304" s="1134"/>
      <c r="CH304" s="1134"/>
      <c r="CI304" s="1134"/>
      <c r="CJ304" s="1134"/>
      <c r="CK304" s="1134"/>
      <c r="CL304" s="1134"/>
      <c r="CM304" s="1134"/>
      <c r="CN304" s="1134"/>
      <c r="CO304" s="1134"/>
      <c r="CP304" s="1134"/>
      <c r="CQ304" s="1134"/>
      <c r="CR304" s="1134"/>
      <c r="CS304" s="1134"/>
      <c r="CT304" s="1134"/>
      <c r="CU304" s="1134"/>
      <c r="CV304" s="1134"/>
      <c r="CW304" s="1134"/>
      <c r="CX304" s="1134"/>
      <c r="CY304" s="1134"/>
      <c r="CZ304" s="1134"/>
      <c r="DA304" s="1134"/>
      <c r="DB304" s="1134"/>
      <c r="DC304" s="1134"/>
      <c r="DD304" s="1134"/>
      <c r="DE304" s="1134"/>
      <c r="DF304" s="1134"/>
      <c r="DG304" s="1134"/>
      <c r="DH304" s="1134"/>
      <c r="DI304" s="1134"/>
      <c r="DJ304" s="1134"/>
      <c r="DK304" s="1134"/>
      <c r="DL304" s="1134"/>
      <c r="DM304" s="1134"/>
      <c r="DN304" s="1134"/>
      <c r="DO304" s="1134"/>
      <c r="DP304" s="1134"/>
      <c r="DQ304" s="1134"/>
      <c r="DR304" s="1134"/>
      <c r="DS304" s="1134"/>
      <c r="DT304" s="1134"/>
      <c r="DU304" s="1134"/>
      <c r="DV304" s="1134"/>
      <c r="DW304" s="1134"/>
      <c r="DX304" s="1134"/>
      <c r="DY304" s="1134"/>
      <c r="DZ304" s="1147"/>
    </row>
    <row r="305" spans="4:130" s="834" customFormat="1">
      <c r="D305" s="1415"/>
      <c r="H305" s="1415"/>
      <c r="K305" s="1415"/>
      <c r="X305" s="1403"/>
      <c r="AF305" s="1403"/>
      <c r="AG305" s="1415"/>
      <c r="AK305" s="1415"/>
      <c r="AL305" s="1415"/>
      <c r="AM305" s="1415"/>
      <c r="AV305" s="1415"/>
      <c r="AW305" s="1403"/>
      <c r="CA305" s="1145"/>
      <c r="CB305" s="1153"/>
      <c r="CC305" s="1134"/>
      <c r="CD305" s="1134"/>
      <c r="CE305" s="1134"/>
      <c r="CF305" s="1134"/>
      <c r="CG305" s="1134"/>
      <c r="CH305" s="1134"/>
      <c r="CI305" s="1134"/>
      <c r="CJ305" s="1134"/>
      <c r="CK305" s="1134"/>
      <c r="CL305" s="1134"/>
      <c r="CM305" s="1134"/>
      <c r="CN305" s="1134"/>
      <c r="CO305" s="1134"/>
      <c r="CP305" s="1134"/>
      <c r="CQ305" s="1134"/>
      <c r="CR305" s="1134"/>
      <c r="CS305" s="1134"/>
      <c r="CT305" s="1134"/>
      <c r="CU305" s="1134"/>
      <c r="CV305" s="1134"/>
      <c r="CW305" s="1134"/>
      <c r="CX305" s="1134"/>
      <c r="CY305" s="1134"/>
      <c r="CZ305" s="1134"/>
      <c r="DA305" s="1134"/>
      <c r="DB305" s="1134"/>
      <c r="DC305" s="1134"/>
      <c r="DD305" s="1134"/>
      <c r="DE305" s="1134"/>
      <c r="DF305" s="1134"/>
      <c r="DG305" s="1134"/>
      <c r="DH305" s="1134"/>
      <c r="DI305" s="1134"/>
      <c r="DJ305" s="1134"/>
      <c r="DK305" s="1134"/>
      <c r="DL305" s="1134"/>
      <c r="DM305" s="1134"/>
      <c r="DN305" s="1134"/>
      <c r="DO305" s="1134"/>
      <c r="DP305" s="1134"/>
      <c r="DQ305" s="1134"/>
      <c r="DR305" s="1134"/>
      <c r="DS305" s="1134"/>
      <c r="DT305" s="1134"/>
      <c r="DU305" s="1134"/>
      <c r="DV305" s="1134"/>
      <c r="DW305" s="1134"/>
      <c r="DX305" s="1134"/>
      <c r="DY305" s="1134"/>
      <c r="DZ305" s="1147"/>
    </row>
    <row r="306" spans="4:130" s="834" customFormat="1">
      <c r="D306" s="1415"/>
      <c r="H306" s="1415"/>
      <c r="K306" s="1415"/>
      <c r="X306" s="1403"/>
      <c r="AF306" s="1403"/>
      <c r="AG306" s="1415"/>
      <c r="AK306" s="1415"/>
      <c r="AL306" s="1415"/>
      <c r="AM306" s="1415"/>
      <c r="AV306" s="1415"/>
      <c r="AW306" s="1403"/>
      <c r="CA306" s="1145"/>
      <c r="CB306" s="1153"/>
      <c r="CC306" s="1134"/>
      <c r="CD306" s="1134"/>
      <c r="CE306" s="1134"/>
      <c r="CF306" s="1134"/>
      <c r="CG306" s="1134"/>
      <c r="CH306" s="1134"/>
      <c r="CI306" s="1134"/>
      <c r="CJ306" s="1134"/>
      <c r="CK306" s="1134"/>
      <c r="CL306" s="1134"/>
      <c r="CM306" s="1134"/>
      <c r="CN306" s="1134"/>
      <c r="CO306" s="1134"/>
      <c r="CP306" s="1134"/>
      <c r="CQ306" s="1134"/>
      <c r="CR306" s="1134"/>
      <c r="CS306" s="1134"/>
      <c r="CT306" s="1134"/>
      <c r="CU306" s="1134"/>
      <c r="CV306" s="1134"/>
      <c r="CW306" s="1134"/>
      <c r="CX306" s="1134"/>
      <c r="CY306" s="1134"/>
      <c r="CZ306" s="1134"/>
      <c r="DA306" s="1134"/>
      <c r="DB306" s="1134"/>
      <c r="DC306" s="1134"/>
      <c r="DD306" s="1134"/>
      <c r="DE306" s="1134"/>
      <c r="DF306" s="1134"/>
      <c r="DG306" s="1134"/>
      <c r="DH306" s="1134"/>
      <c r="DI306" s="1134"/>
      <c r="DJ306" s="1134"/>
      <c r="DK306" s="1134"/>
      <c r="DL306" s="1134"/>
      <c r="DM306" s="1134"/>
      <c r="DN306" s="1134"/>
      <c r="DO306" s="1134"/>
      <c r="DP306" s="1134"/>
      <c r="DQ306" s="1134"/>
      <c r="DR306" s="1134"/>
      <c r="DS306" s="1134"/>
      <c r="DT306" s="1134"/>
      <c r="DU306" s="1134"/>
      <c r="DV306" s="1134"/>
      <c r="DW306" s="1134"/>
      <c r="DX306" s="1134"/>
      <c r="DY306" s="1134"/>
      <c r="DZ306" s="1147"/>
    </row>
    <row r="307" spans="4:130" s="834" customFormat="1">
      <c r="D307" s="1415"/>
      <c r="H307" s="1415"/>
      <c r="K307" s="1415"/>
      <c r="X307" s="1403"/>
      <c r="AF307" s="1403"/>
      <c r="AG307" s="1415"/>
      <c r="AK307" s="1415"/>
      <c r="AL307" s="1415"/>
      <c r="AM307" s="1415"/>
      <c r="AV307" s="1415"/>
      <c r="AW307" s="1403"/>
      <c r="CA307" s="1145"/>
      <c r="CB307" s="1153"/>
      <c r="CC307" s="1134"/>
      <c r="CD307" s="1134"/>
      <c r="CE307" s="1134"/>
      <c r="CF307" s="1134"/>
      <c r="CG307" s="1134"/>
      <c r="CH307" s="1134"/>
      <c r="CI307" s="1134"/>
      <c r="CJ307" s="1134"/>
      <c r="CK307" s="1134"/>
      <c r="CL307" s="1134"/>
      <c r="CM307" s="1134"/>
      <c r="CN307" s="1134"/>
      <c r="CO307" s="1134"/>
      <c r="CP307" s="1134"/>
      <c r="CQ307" s="1134"/>
      <c r="CR307" s="1134"/>
      <c r="CS307" s="1134"/>
      <c r="CT307" s="1134"/>
      <c r="CU307" s="1134"/>
      <c r="CV307" s="1134"/>
      <c r="CW307" s="1134"/>
      <c r="CX307" s="1134"/>
      <c r="CY307" s="1134"/>
      <c r="CZ307" s="1134"/>
      <c r="DA307" s="1134"/>
      <c r="DB307" s="1134"/>
      <c r="DC307" s="1134"/>
      <c r="DD307" s="1134"/>
      <c r="DE307" s="1134"/>
      <c r="DF307" s="1134"/>
      <c r="DG307" s="1134"/>
      <c r="DH307" s="1134"/>
      <c r="DI307" s="1134"/>
      <c r="DJ307" s="1134"/>
      <c r="DK307" s="1134"/>
      <c r="DL307" s="1134"/>
      <c r="DM307" s="1134"/>
      <c r="DN307" s="1134"/>
      <c r="DO307" s="1134"/>
      <c r="DP307" s="1134"/>
      <c r="DQ307" s="1134"/>
      <c r="DR307" s="1134"/>
      <c r="DS307" s="1134"/>
      <c r="DT307" s="1134"/>
      <c r="DU307" s="1134"/>
      <c r="DV307" s="1134"/>
      <c r="DW307" s="1134"/>
      <c r="DX307" s="1134"/>
      <c r="DY307" s="1134"/>
      <c r="DZ307" s="1147"/>
    </row>
    <row r="308" spans="4:130" s="834" customFormat="1">
      <c r="D308" s="1415"/>
      <c r="H308" s="1415"/>
      <c r="K308" s="1415"/>
      <c r="X308" s="1403"/>
      <c r="AF308" s="1403"/>
      <c r="AG308" s="1415"/>
      <c r="AK308" s="1415"/>
      <c r="AL308" s="1415"/>
      <c r="AM308" s="1415"/>
      <c r="AV308" s="1415"/>
      <c r="AW308" s="1403"/>
      <c r="CA308" s="1145"/>
      <c r="CB308" s="1153"/>
      <c r="CC308" s="1134"/>
      <c r="CD308" s="1134"/>
      <c r="CE308" s="1134"/>
      <c r="CF308" s="1134"/>
      <c r="CG308" s="1134"/>
      <c r="CH308" s="1134"/>
      <c r="CI308" s="1134"/>
      <c r="CJ308" s="1134"/>
      <c r="CK308" s="1134"/>
      <c r="CL308" s="1134"/>
      <c r="CM308" s="1134"/>
      <c r="CN308" s="1134"/>
      <c r="CO308" s="1134"/>
      <c r="CP308" s="1134"/>
      <c r="CQ308" s="1134"/>
      <c r="CR308" s="1134"/>
      <c r="CS308" s="1134"/>
      <c r="CT308" s="1134"/>
      <c r="CU308" s="1134"/>
      <c r="CV308" s="1134"/>
      <c r="CW308" s="1134"/>
      <c r="CX308" s="1134"/>
      <c r="CY308" s="1134"/>
      <c r="CZ308" s="1134"/>
      <c r="DA308" s="1134"/>
      <c r="DB308" s="1134"/>
      <c r="DC308" s="1134"/>
      <c r="DD308" s="1134"/>
      <c r="DE308" s="1134"/>
      <c r="DF308" s="1134"/>
      <c r="DG308" s="1134"/>
      <c r="DH308" s="1134"/>
      <c r="DI308" s="1134"/>
      <c r="DJ308" s="1134"/>
      <c r="DK308" s="1134"/>
      <c r="DL308" s="1134"/>
      <c r="DM308" s="1134"/>
      <c r="DN308" s="1134"/>
      <c r="DO308" s="1134"/>
      <c r="DP308" s="1134"/>
      <c r="DQ308" s="1134"/>
      <c r="DR308" s="1134"/>
      <c r="DS308" s="1134"/>
      <c r="DT308" s="1134"/>
      <c r="DU308" s="1134"/>
      <c r="DV308" s="1134"/>
      <c r="DW308" s="1134"/>
      <c r="DX308" s="1134"/>
      <c r="DY308" s="1134"/>
      <c r="DZ308" s="1147"/>
    </row>
    <row r="309" spans="4:130" s="834" customFormat="1">
      <c r="D309" s="1415"/>
      <c r="H309" s="1415"/>
      <c r="K309" s="1415"/>
      <c r="X309" s="1403"/>
      <c r="AF309" s="1403"/>
      <c r="AG309" s="1415"/>
      <c r="AK309" s="1415"/>
      <c r="AL309" s="1415"/>
      <c r="AM309" s="1415"/>
      <c r="AV309" s="1415"/>
      <c r="AW309" s="1403"/>
      <c r="CA309" s="1145"/>
      <c r="CB309" s="1153"/>
      <c r="CC309" s="1134"/>
      <c r="CD309" s="1134"/>
      <c r="CE309" s="1134"/>
      <c r="CF309" s="1134"/>
      <c r="CG309" s="1134"/>
      <c r="CH309" s="1134"/>
      <c r="CI309" s="1134"/>
      <c r="CJ309" s="1134"/>
      <c r="CK309" s="1134"/>
      <c r="CL309" s="1134"/>
      <c r="CM309" s="1134"/>
      <c r="CN309" s="1134"/>
      <c r="CO309" s="1134"/>
      <c r="CP309" s="1134"/>
      <c r="CQ309" s="1134"/>
      <c r="CR309" s="1134"/>
      <c r="CS309" s="1134"/>
      <c r="CT309" s="1134"/>
      <c r="CU309" s="1134"/>
      <c r="CV309" s="1134"/>
      <c r="CW309" s="1134"/>
      <c r="CX309" s="1134"/>
      <c r="CY309" s="1134"/>
      <c r="CZ309" s="1134"/>
      <c r="DA309" s="1134"/>
      <c r="DB309" s="1134"/>
      <c r="DC309" s="1134"/>
      <c r="DD309" s="1134"/>
      <c r="DE309" s="1134"/>
      <c r="DF309" s="1134"/>
      <c r="DG309" s="1134"/>
      <c r="DH309" s="1134"/>
      <c r="DI309" s="1134"/>
      <c r="DJ309" s="1134"/>
      <c r="DK309" s="1134"/>
      <c r="DL309" s="1134"/>
      <c r="DM309" s="1134"/>
      <c r="DN309" s="1134"/>
      <c r="DO309" s="1134"/>
      <c r="DP309" s="1134"/>
      <c r="DQ309" s="1134"/>
      <c r="DR309" s="1134"/>
      <c r="DS309" s="1134"/>
      <c r="DT309" s="1134"/>
      <c r="DU309" s="1134"/>
      <c r="DV309" s="1134"/>
      <c r="DW309" s="1134"/>
      <c r="DX309" s="1134"/>
      <c r="DY309" s="1134"/>
      <c r="DZ309" s="1147"/>
    </row>
    <row r="310" spans="4:130" s="834" customFormat="1">
      <c r="D310" s="1415"/>
      <c r="H310" s="1415"/>
      <c r="K310" s="1415"/>
      <c r="X310" s="1403"/>
      <c r="AF310" s="1403"/>
      <c r="AG310" s="1415"/>
      <c r="AK310" s="1415"/>
      <c r="AL310" s="1415"/>
      <c r="AM310" s="1415"/>
      <c r="AV310" s="1415"/>
      <c r="AW310" s="1403"/>
      <c r="CA310" s="1145"/>
      <c r="CB310" s="1153"/>
      <c r="CC310" s="1134"/>
      <c r="CD310" s="1134"/>
      <c r="CE310" s="1134"/>
      <c r="CF310" s="1134"/>
      <c r="CG310" s="1134"/>
      <c r="CH310" s="1134"/>
      <c r="CI310" s="1134"/>
      <c r="CJ310" s="1134"/>
      <c r="CK310" s="1134"/>
      <c r="CL310" s="1134"/>
      <c r="CM310" s="1134"/>
      <c r="CN310" s="1134"/>
      <c r="CO310" s="1134"/>
      <c r="CP310" s="1134"/>
      <c r="CQ310" s="1134"/>
      <c r="CR310" s="1134"/>
      <c r="CS310" s="1134"/>
      <c r="CT310" s="1134"/>
      <c r="CU310" s="1134"/>
      <c r="CV310" s="1134"/>
      <c r="CW310" s="1134"/>
      <c r="CX310" s="1134"/>
      <c r="CY310" s="1134"/>
      <c r="CZ310" s="1134"/>
      <c r="DA310" s="1134"/>
      <c r="DB310" s="1134"/>
      <c r="DC310" s="1134"/>
      <c r="DD310" s="1134"/>
      <c r="DE310" s="1134"/>
      <c r="DF310" s="1134"/>
      <c r="DG310" s="1134"/>
      <c r="DH310" s="1134"/>
      <c r="DI310" s="1134"/>
      <c r="DJ310" s="1134"/>
      <c r="DK310" s="1134"/>
      <c r="DL310" s="1134"/>
      <c r="DM310" s="1134"/>
      <c r="DN310" s="1134"/>
      <c r="DO310" s="1134"/>
      <c r="DP310" s="1134"/>
      <c r="DQ310" s="1134"/>
      <c r="DR310" s="1134"/>
      <c r="DS310" s="1134"/>
      <c r="DT310" s="1134"/>
      <c r="DU310" s="1134"/>
      <c r="DV310" s="1134"/>
      <c r="DW310" s="1134"/>
      <c r="DX310" s="1134"/>
      <c r="DY310" s="1134"/>
      <c r="DZ310" s="1147"/>
    </row>
    <row r="311" spans="4:130" s="834" customFormat="1">
      <c r="D311" s="1415"/>
      <c r="H311" s="1415"/>
      <c r="K311" s="1415"/>
      <c r="X311" s="1403"/>
      <c r="AF311" s="1403"/>
      <c r="AG311" s="1415"/>
      <c r="AK311" s="1415"/>
      <c r="AL311" s="1415"/>
      <c r="AM311" s="1415"/>
      <c r="AV311" s="1415"/>
      <c r="AW311" s="1403"/>
      <c r="CA311" s="1145"/>
      <c r="CB311" s="1153"/>
      <c r="CC311" s="1134"/>
      <c r="CD311" s="1134"/>
      <c r="CE311" s="1134"/>
      <c r="CF311" s="1134"/>
      <c r="CG311" s="1134"/>
      <c r="CH311" s="1134"/>
      <c r="CI311" s="1134"/>
      <c r="CJ311" s="1134"/>
      <c r="CK311" s="1134"/>
      <c r="CL311" s="1134"/>
      <c r="CM311" s="1134"/>
      <c r="CN311" s="1134"/>
      <c r="CO311" s="1134"/>
      <c r="CP311" s="1134"/>
      <c r="CQ311" s="1134"/>
      <c r="CR311" s="1134"/>
      <c r="CS311" s="1134"/>
      <c r="CT311" s="1134"/>
      <c r="CU311" s="1134"/>
      <c r="CV311" s="1134"/>
      <c r="CW311" s="1134"/>
      <c r="CX311" s="1134"/>
      <c r="CY311" s="1134"/>
      <c r="CZ311" s="1134"/>
      <c r="DA311" s="1134"/>
      <c r="DB311" s="1134"/>
      <c r="DC311" s="1134"/>
      <c r="DD311" s="1134"/>
      <c r="DE311" s="1134"/>
      <c r="DF311" s="1134"/>
      <c r="DG311" s="1134"/>
      <c r="DH311" s="1134"/>
      <c r="DI311" s="1134"/>
      <c r="DJ311" s="1134"/>
      <c r="DK311" s="1134"/>
      <c r="DL311" s="1134"/>
      <c r="DM311" s="1134"/>
      <c r="DN311" s="1134"/>
      <c r="DO311" s="1134"/>
      <c r="DP311" s="1134"/>
      <c r="DQ311" s="1134"/>
      <c r="DR311" s="1134"/>
      <c r="DS311" s="1134"/>
      <c r="DT311" s="1134"/>
      <c r="DU311" s="1134"/>
      <c r="DV311" s="1134"/>
      <c r="DW311" s="1134"/>
      <c r="DX311" s="1134"/>
      <c r="DY311" s="1134"/>
      <c r="DZ311" s="1147"/>
    </row>
    <row r="312" spans="4:130" s="834" customFormat="1">
      <c r="D312" s="1415"/>
      <c r="H312" s="1415"/>
      <c r="K312" s="1415"/>
      <c r="X312" s="1403"/>
      <c r="AF312" s="1403"/>
      <c r="AG312" s="1415"/>
      <c r="AK312" s="1415"/>
      <c r="AL312" s="1415"/>
      <c r="AM312" s="1415"/>
      <c r="AV312" s="1415"/>
      <c r="AW312" s="1403"/>
      <c r="CA312" s="1145"/>
      <c r="CB312" s="1153"/>
      <c r="CC312" s="1134"/>
      <c r="CD312" s="1134"/>
      <c r="CE312" s="1134"/>
      <c r="CF312" s="1134"/>
      <c r="CG312" s="1134"/>
      <c r="CH312" s="1134"/>
      <c r="CI312" s="1134"/>
      <c r="CJ312" s="1134"/>
      <c r="CK312" s="1134"/>
      <c r="CL312" s="1134"/>
      <c r="CM312" s="1134"/>
      <c r="CN312" s="1134"/>
      <c r="CO312" s="1134"/>
      <c r="CP312" s="1134"/>
      <c r="CQ312" s="1134"/>
      <c r="CR312" s="1134"/>
      <c r="CS312" s="1134"/>
      <c r="CT312" s="1134"/>
      <c r="CU312" s="1134"/>
      <c r="CV312" s="1134"/>
      <c r="CW312" s="1134"/>
      <c r="CX312" s="1134"/>
      <c r="CY312" s="1134"/>
      <c r="CZ312" s="1134"/>
      <c r="DA312" s="1134"/>
      <c r="DB312" s="1134"/>
      <c r="DC312" s="1134"/>
      <c r="DD312" s="1134"/>
      <c r="DE312" s="1134"/>
      <c r="DF312" s="1134"/>
      <c r="DG312" s="1134"/>
      <c r="DH312" s="1134"/>
      <c r="DI312" s="1134"/>
      <c r="DJ312" s="1134"/>
      <c r="DK312" s="1134"/>
      <c r="DL312" s="1134"/>
      <c r="DM312" s="1134"/>
      <c r="DN312" s="1134"/>
      <c r="DO312" s="1134"/>
      <c r="DP312" s="1134"/>
      <c r="DQ312" s="1134"/>
      <c r="DR312" s="1134"/>
      <c r="DS312" s="1134"/>
      <c r="DT312" s="1134"/>
      <c r="DU312" s="1134"/>
      <c r="DV312" s="1134"/>
      <c r="DW312" s="1134"/>
      <c r="DX312" s="1134"/>
      <c r="DY312" s="1134"/>
      <c r="DZ312" s="1147"/>
    </row>
    <row r="313" spans="4:130" s="834" customFormat="1">
      <c r="D313" s="1415"/>
      <c r="H313" s="1415"/>
      <c r="K313" s="1415"/>
      <c r="X313" s="1403"/>
      <c r="AF313" s="1403"/>
      <c r="AG313" s="1415"/>
      <c r="AK313" s="1415"/>
      <c r="AL313" s="1415"/>
      <c r="AM313" s="1415"/>
      <c r="AV313" s="1415"/>
      <c r="AW313" s="1403"/>
      <c r="CA313" s="1145"/>
      <c r="CB313" s="1153"/>
      <c r="CC313" s="1134"/>
      <c r="CD313" s="1134"/>
      <c r="CE313" s="1134"/>
      <c r="CF313" s="1134"/>
      <c r="CG313" s="1134"/>
      <c r="CH313" s="1134"/>
      <c r="CI313" s="1134"/>
      <c r="CJ313" s="1134"/>
      <c r="CK313" s="1134"/>
      <c r="CL313" s="1134"/>
      <c r="CM313" s="1134"/>
      <c r="CN313" s="1134"/>
      <c r="CO313" s="1134"/>
      <c r="CP313" s="1134"/>
      <c r="CQ313" s="1134"/>
      <c r="CR313" s="1134"/>
      <c r="CS313" s="1134"/>
      <c r="CT313" s="1134"/>
      <c r="CU313" s="1134"/>
      <c r="CV313" s="1134"/>
      <c r="CW313" s="1134"/>
      <c r="CX313" s="1134"/>
      <c r="CY313" s="1134"/>
      <c r="CZ313" s="1134"/>
      <c r="DA313" s="1134"/>
      <c r="DB313" s="1134"/>
      <c r="DC313" s="1134"/>
      <c r="DD313" s="1134"/>
      <c r="DE313" s="1134"/>
      <c r="DF313" s="1134"/>
      <c r="DG313" s="1134"/>
      <c r="DH313" s="1134"/>
      <c r="DI313" s="1134"/>
      <c r="DJ313" s="1134"/>
      <c r="DK313" s="1134"/>
      <c r="DL313" s="1134"/>
      <c r="DM313" s="1134"/>
      <c r="DN313" s="1134"/>
      <c r="DO313" s="1134"/>
      <c r="DP313" s="1134"/>
      <c r="DQ313" s="1134"/>
      <c r="DR313" s="1134"/>
      <c r="DS313" s="1134"/>
      <c r="DT313" s="1134"/>
      <c r="DU313" s="1134"/>
      <c r="DV313" s="1134"/>
      <c r="DW313" s="1134"/>
      <c r="DX313" s="1134"/>
      <c r="DY313" s="1134"/>
      <c r="DZ313" s="1147"/>
    </row>
    <row r="314" spans="4:130" s="834" customFormat="1">
      <c r="D314" s="1415"/>
      <c r="H314" s="1415"/>
      <c r="K314" s="1415"/>
      <c r="X314" s="1403"/>
      <c r="AF314" s="1403"/>
      <c r="AG314" s="1415"/>
      <c r="AK314" s="1415"/>
      <c r="AL314" s="1415"/>
      <c r="AM314" s="1415"/>
      <c r="AV314" s="1415"/>
      <c r="AW314" s="1403"/>
      <c r="CA314" s="1145"/>
      <c r="CB314" s="1153"/>
      <c r="CC314" s="1134"/>
      <c r="CD314" s="1134"/>
      <c r="CE314" s="1134"/>
      <c r="CF314" s="1134"/>
      <c r="CG314" s="1134"/>
      <c r="CH314" s="1134"/>
      <c r="CI314" s="1134"/>
      <c r="CJ314" s="1134"/>
      <c r="CK314" s="1134"/>
      <c r="CL314" s="1134"/>
      <c r="CM314" s="1134"/>
      <c r="CN314" s="1134"/>
      <c r="CO314" s="1134"/>
      <c r="CP314" s="1134"/>
      <c r="CQ314" s="1134"/>
      <c r="CR314" s="1134"/>
      <c r="CS314" s="1134"/>
      <c r="CT314" s="1134"/>
      <c r="CU314" s="1134"/>
      <c r="CV314" s="1134"/>
      <c r="CW314" s="1134"/>
      <c r="CX314" s="1134"/>
      <c r="CY314" s="1134"/>
      <c r="CZ314" s="1134"/>
      <c r="DA314" s="1134"/>
      <c r="DB314" s="1134"/>
      <c r="DC314" s="1134"/>
      <c r="DD314" s="1134"/>
      <c r="DE314" s="1134"/>
      <c r="DF314" s="1134"/>
      <c r="DG314" s="1134"/>
      <c r="DH314" s="1134"/>
      <c r="DI314" s="1134"/>
      <c r="DJ314" s="1134"/>
      <c r="DK314" s="1134"/>
      <c r="DL314" s="1134"/>
      <c r="DM314" s="1134"/>
      <c r="DN314" s="1134"/>
      <c r="DO314" s="1134"/>
      <c r="DP314" s="1134"/>
      <c r="DQ314" s="1134"/>
      <c r="DR314" s="1134"/>
      <c r="DS314" s="1134"/>
      <c r="DT314" s="1134"/>
      <c r="DU314" s="1134"/>
      <c r="DV314" s="1134"/>
      <c r="DW314" s="1134"/>
      <c r="DX314" s="1134"/>
      <c r="DY314" s="1134"/>
      <c r="DZ314" s="1147"/>
    </row>
    <row r="315" spans="4:130" s="834" customFormat="1">
      <c r="D315" s="1415"/>
      <c r="H315" s="1415"/>
      <c r="K315" s="1415"/>
      <c r="X315" s="1403"/>
      <c r="AF315" s="1403"/>
      <c r="AG315" s="1415"/>
      <c r="AK315" s="1415"/>
      <c r="AL315" s="1415"/>
      <c r="AM315" s="1415"/>
      <c r="AV315" s="1415"/>
      <c r="AW315" s="1403"/>
      <c r="CA315" s="1145"/>
      <c r="CB315" s="1153"/>
      <c r="CC315" s="1134"/>
      <c r="CD315" s="1134"/>
      <c r="CE315" s="1134"/>
      <c r="CF315" s="1134"/>
      <c r="CG315" s="1134"/>
      <c r="CH315" s="1134"/>
      <c r="CI315" s="1134"/>
      <c r="CJ315" s="1134"/>
      <c r="CK315" s="1134"/>
      <c r="CL315" s="1134"/>
      <c r="CM315" s="1134"/>
      <c r="CN315" s="1134"/>
      <c r="CO315" s="1134"/>
      <c r="CP315" s="1134"/>
      <c r="CQ315" s="1134"/>
      <c r="CR315" s="1134"/>
      <c r="CS315" s="1134"/>
      <c r="CT315" s="1134"/>
      <c r="CU315" s="1134"/>
      <c r="CV315" s="1134"/>
      <c r="CW315" s="1134"/>
      <c r="CX315" s="1134"/>
      <c r="CY315" s="1134"/>
      <c r="CZ315" s="1134"/>
      <c r="DA315" s="1134"/>
      <c r="DB315" s="1134"/>
      <c r="DC315" s="1134"/>
      <c r="DD315" s="1134"/>
      <c r="DE315" s="1134"/>
      <c r="DF315" s="1134"/>
      <c r="DG315" s="1134"/>
      <c r="DH315" s="1134"/>
      <c r="DI315" s="1134"/>
      <c r="DJ315" s="1134"/>
      <c r="DK315" s="1134"/>
      <c r="DL315" s="1134"/>
      <c r="DM315" s="1134"/>
      <c r="DN315" s="1134"/>
      <c r="DO315" s="1134"/>
      <c r="DP315" s="1134"/>
      <c r="DQ315" s="1134"/>
      <c r="DR315" s="1134"/>
      <c r="DS315" s="1134"/>
      <c r="DT315" s="1134"/>
      <c r="DU315" s="1134"/>
      <c r="DV315" s="1134"/>
      <c r="DW315" s="1134"/>
      <c r="DX315" s="1134"/>
      <c r="DY315" s="1134"/>
      <c r="DZ315" s="1147"/>
    </row>
    <row r="316" spans="4:130" s="834" customFormat="1">
      <c r="D316" s="1415"/>
      <c r="H316" s="1415"/>
      <c r="K316" s="1415"/>
      <c r="X316" s="1403"/>
      <c r="AF316" s="1403"/>
      <c r="AG316" s="1415"/>
      <c r="AK316" s="1415"/>
      <c r="AL316" s="1415"/>
      <c r="AM316" s="1415"/>
      <c r="AV316" s="1415"/>
      <c r="AW316" s="1403"/>
      <c r="CA316" s="1145"/>
      <c r="CB316" s="1153"/>
      <c r="CC316" s="1134"/>
      <c r="CD316" s="1134"/>
      <c r="CE316" s="1134"/>
      <c r="CF316" s="1134"/>
      <c r="CG316" s="1134"/>
      <c r="CH316" s="1134"/>
      <c r="CI316" s="1134"/>
      <c r="CJ316" s="1134"/>
      <c r="CK316" s="1134"/>
      <c r="CL316" s="1134"/>
      <c r="CM316" s="1134"/>
      <c r="CN316" s="1134"/>
      <c r="CO316" s="1134"/>
      <c r="CP316" s="1134"/>
      <c r="CQ316" s="1134"/>
      <c r="CR316" s="1134"/>
      <c r="CS316" s="1134"/>
      <c r="CT316" s="1134"/>
      <c r="CU316" s="1134"/>
      <c r="CV316" s="1134"/>
      <c r="CW316" s="1134"/>
      <c r="CX316" s="1134"/>
      <c r="CY316" s="1134"/>
      <c r="CZ316" s="1134"/>
      <c r="DA316" s="1134"/>
      <c r="DB316" s="1134"/>
      <c r="DC316" s="1134"/>
      <c r="DD316" s="1134"/>
      <c r="DE316" s="1134"/>
      <c r="DF316" s="1134"/>
      <c r="DG316" s="1134"/>
      <c r="DH316" s="1134"/>
      <c r="DI316" s="1134"/>
      <c r="DJ316" s="1134"/>
      <c r="DK316" s="1134"/>
      <c r="DL316" s="1134"/>
      <c r="DM316" s="1134"/>
      <c r="DN316" s="1134"/>
      <c r="DO316" s="1134"/>
      <c r="DP316" s="1134"/>
      <c r="DQ316" s="1134"/>
      <c r="DR316" s="1134"/>
      <c r="DS316" s="1134"/>
      <c r="DT316" s="1134"/>
      <c r="DU316" s="1134"/>
      <c r="DV316" s="1134"/>
      <c r="DW316" s="1134"/>
      <c r="DX316" s="1134"/>
      <c r="DY316" s="1134"/>
      <c r="DZ316" s="1147"/>
    </row>
    <row r="317" spans="4:130" s="834" customFormat="1">
      <c r="D317" s="1415"/>
      <c r="H317" s="1415"/>
      <c r="K317" s="1415"/>
      <c r="X317" s="1403"/>
      <c r="AF317" s="1403"/>
      <c r="AG317" s="1415"/>
      <c r="AK317" s="1415"/>
      <c r="AL317" s="1415"/>
      <c r="AM317" s="1415"/>
      <c r="AV317" s="1415"/>
      <c r="AW317" s="1403"/>
      <c r="CA317" s="1145"/>
      <c r="CB317" s="1153"/>
      <c r="CC317" s="1134"/>
      <c r="CD317" s="1134"/>
      <c r="CE317" s="1134"/>
      <c r="CF317" s="1134"/>
      <c r="CG317" s="1134"/>
      <c r="CH317" s="1134"/>
      <c r="CI317" s="1134"/>
      <c r="CJ317" s="1134"/>
      <c r="CK317" s="1134"/>
      <c r="CL317" s="1134"/>
      <c r="CM317" s="1134"/>
      <c r="CN317" s="1134"/>
      <c r="CO317" s="1134"/>
      <c r="CP317" s="1134"/>
      <c r="CQ317" s="1134"/>
      <c r="CR317" s="1134"/>
      <c r="CS317" s="1134"/>
      <c r="CT317" s="1134"/>
      <c r="CU317" s="1134"/>
      <c r="CV317" s="1134"/>
      <c r="CW317" s="1134"/>
      <c r="CX317" s="1134"/>
      <c r="CY317" s="1134"/>
      <c r="CZ317" s="1134"/>
      <c r="DA317" s="1134"/>
      <c r="DB317" s="1134"/>
      <c r="DC317" s="1134"/>
      <c r="DD317" s="1134"/>
      <c r="DE317" s="1134"/>
      <c r="DF317" s="1134"/>
      <c r="DG317" s="1134"/>
      <c r="DH317" s="1134"/>
      <c r="DI317" s="1134"/>
      <c r="DJ317" s="1134"/>
      <c r="DK317" s="1134"/>
      <c r="DL317" s="1134"/>
      <c r="DM317" s="1134"/>
      <c r="DN317" s="1134"/>
      <c r="DO317" s="1134"/>
      <c r="DP317" s="1134"/>
      <c r="DQ317" s="1134"/>
      <c r="DR317" s="1134"/>
      <c r="DS317" s="1134"/>
      <c r="DT317" s="1134"/>
      <c r="DU317" s="1134"/>
      <c r="DV317" s="1134"/>
      <c r="DW317" s="1134"/>
      <c r="DX317" s="1134"/>
      <c r="DY317" s="1134"/>
      <c r="DZ317" s="1147"/>
    </row>
    <row r="318" spans="4:130" s="834" customFormat="1">
      <c r="D318" s="1415"/>
      <c r="H318" s="1415"/>
      <c r="K318" s="1415"/>
      <c r="X318" s="1403"/>
      <c r="AF318" s="1403"/>
      <c r="AG318" s="1415"/>
      <c r="AK318" s="1415"/>
      <c r="AL318" s="1415"/>
      <c r="AM318" s="1415"/>
      <c r="AV318" s="1415"/>
      <c r="AW318" s="1403"/>
      <c r="CA318" s="1145"/>
      <c r="CB318" s="1153"/>
      <c r="CC318" s="1134"/>
      <c r="CD318" s="1134"/>
      <c r="CE318" s="1134"/>
      <c r="CF318" s="1134"/>
      <c r="CG318" s="1134"/>
      <c r="CH318" s="1134"/>
      <c r="CI318" s="1134"/>
      <c r="CJ318" s="1134"/>
      <c r="CK318" s="1134"/>
      <c r="CL318" s="1134"/>
      <c r="CM318" s="1134"/>
      <c r="CN318" s="1134"/>
      <c r="CO318" s="1134"/>
      <c r="CP318" s="1134"/>
      <c r="CQ318" s="1134"/>
      <c r="CR318" s="1134"/>
      <c r="CS318" s="1134"/>
      <c r="CT318" s="1134"/>
      <c r="CU318" s="1134"/>
      <c r="CV318" s="1134"/>
      <c r="CW318" s="1134"/>
      <c r="CX318" s="1134"/>
      <c r="CY318" s="1134"/>
      <c r="CZ318" s="1134"/>
      <c r="DA318" s="1134"/>
      <c r="DB318" s="1134"/>
      <c r="DC318" s="1134"/>
      <c r="DD318" s="1134"/>
      <c r="DE318" s="1134"/>
      <c r="DF318" s="1134"/>
      <c r="DG318" s="1134"/>
      <c r="DH318" s="1134"/>
      <c r="DI318" s="1134"/>
      <c r="DJ318" s="1134"/>
      <c r="DK318" s="1134"/>
      <c r="DL318" s="1134"/>
      <c r="DM318" s="1134"/>
      <c r="DN318" s="1134"/>
      <c r="DO318" s="1134"/>
      <c r="DP318" s="1134"/>
      <c r="DQ318" s="1134"/>
      <c r="DR318" s="1134"/>
      <c r="DS318" s="1134"/>
      <c r="DT318" s="1134"/>
      <c r="DU318" s="1134"/>
      <c r="DV318" s="1134"/>
      <c r="DW318" s="1134"/>
      <c r="DX318" s="1134"/>
      <c r="DY318" s="1134"/>
      <c r="DZ318" s="1147"/>
    </row>
    <row r="319" spans="4:130" s="834" customFormat="1">
      <c r="D319" s="1415"/>
      <c r="H319" s="1415"/>
      <c r="K319" s="1415"/>
      <c r="X319" s="1403"/>
      <c r="AF319" s="1403"/>
      <c r="AG319" s="1415"/>
      <c r="AK319" s="1415"/>
      <c r="AL319" s="1415"/>
      <c r="AM319" s="1415"/>
      <c r="AV319" s="1415"/>
      <c r="AW319" s="1403"/>
      <c r="CA319" s="1145"/>
      <c r="CB319" s="1153"/>
      <c r="CC319" s="1134"/>
      <c r="CD319" s="1134"/>
      <c r="CE319" s="1134"/>
      <c r="CF319" s="1134"/>
      <c r="CG319" s="1134"/>
      <c r="CH319" s="1134"/>
      <c r="CI319" s="1134"/>
      <c r="CJ319" s="1134"/>
      <c r="CK319" s="1134"/>
      <c r="CL319" s="1134"/>
      <c r="CM319" s="1134"/>
      <c r="CN319" s="1134"/>
      <c r="CO319" s="1134"/>
      <c r="CP319" s="1134"/>
      <c r="CQ319" s="1134"/>
      <c r="CR319" s="1134"/>
      <c r="CS319" s="1134"/>
      <c r="CT319" s="1134"/>
      <c r="CU319" s="1134"/>
      <c r="CV319" s="1134"/>
      <c r="CW319" s="1134"/>
      <c r="CX319" s="1134"/>
      <c r="CY319" s="1134"/>
      <c r="CZ319" s="1134"/>
      <c r="DA319" s="1134"/>
      <c r="DB319" s="1134"/>
      <c r="DC319" s="1134"/>
      <c r="DD319" s="1134"/>
      <c r="DE319" s="1134"/>
      <c r="DF319" s="1134"/>
      <c r="DG319" s="1134"/>
      <c r="DH319" s="1134"/>
      <c r="DI319" s="1134"/>
      <c r="DJ319" s="1134"/>
      <c r="DK319" s="1134"/>
      <c r="DL319" s="1134"/>
      <c r="DM319" s="1134"/>
      <c r="DN319" s="1134"/>
      <c r="DO319" s="1134"/>
      <c r="DP319" s="1134"/>
      <c r="DQ319" s="1134"/>
      <c r="DR319" s="1134"/>
      <c r="DS319" s="1134"/>
      <c r="DT319" s="1134"/>
      <c r="DU319" s="1134"/>
      <c r="DV319" s="1134"/>
      <c r="DW319" s="1134"/>
      <c r="DX319" s="1134"/>
      <c r="DY319" s="1134"/>
      <c r="DZ319" s="1147"/>
    </row>
    <row r="320" spans="4:130" s="834" customFormat="1">
      <c r="D320" s="1415"/>
      <c r="H320" s="1415"/>
      <c r="K320" s="1415"/>
      <c r="X320" s="1403"/>
      <c r="AF320" s="1403"/>
      <c r="AG320" s="1415"/>
      <c r="AK320" s="1415"/>
      <c r="AL320" s="1415"/>
      <c r="AM320" s="1415"/>
      <c r="AV320" s="1415"/>
      <c r="AW320" s="1403"/>
      <c r="CA320" s="1145"/>
      <c r="CB320" s="1153"/>
      <c r="CC320" s="1134"/>
      <c r="CD320" s="1134"/>
      <c r="CE320" s="1134"/>
      <c r="CF320" s="1134"/>
      <c r="CG320" s="1134"/>
      <c r="CH320" s="1134"/>
      <c r="CI320" s="1134"/>
      <c r="CJ320" s="1134"/>
      <c r="CK320" s="1134"/>
      <c r="CL320" s="1134"/>
      <c r="CM320" s="1134"/>
      <c r="CN320" s="1134"/>
      <c r="CO320" s="1134"/>
      <c r="CP320" s="1134"/>
      <c r="CQ320" s="1134"/>
      <c r="CR320" s="1134"/>
      <c r="CS320" s="1134"/>
      <c r="CT320" s="1134"/>
      <c r="CU320" s="1134"/>
      <c r="CV320" s="1134"/>
      <c r="CW320" s="1134"/>
      <c r="CX320" s="1134"/>
      <c r="CY320" s="1134"/>
      <c r="CZ320" s="1134"/>
      <c r="DA320" s="1134"/>
      <c r="DB320" s="1134"/>
      <c r="DC320" s="1134"/>
      <c r="DD320" s="1134"/>
      <c r="DE320" s="1134"/>
      <c r="DF320" s="1134"/>
      <c r="DG320" s="1134"/>
      <c r="DH320" s="1134"/>
      <c r="DI320" s="1134"/>
      <c r="DJ320" s="1134"/>
      <c r="DK320" s="1134"/>
      <c r="DL320" s="1134"/>
      <c r="DM320" s="1134"/>
      <c r="DN320" s="1134"/>
      <c r="DO320" s="1134"/>
      <c r="DP320" s="1134"/>
      <c r="DQ320" s="1134"/>
      <c r="DR320" s="1134"/>
      <c r="DS320" s="1134"/>
      <c r="DT320" s="1134"/>
      <c r="DU320" s="1134"/>
      <c r="DV320" s="1134"/>
      <c r="DW320" s="1134"/>
      <c r="DX320" s="1134"/>
      <c r="DY320" s="1134"/>
      <c r="DZ320" s="1147"/>
    </row>
    <row r="321" spans="4:130" s="834" customFormat="1">
      <c r="D321" s="1415"/>
      <c r="H321" s="1415"/>
      <c r="K321" s="1415"/>
      <c r="X321" s="1403"/>
      <c r="AF321" s="1403"/>
      <c r="AG321" s="1415"/>
      <c r="AK321" s="1415"/>
      <c r="AL321" s="1415"/>
      <c r="AM321" s="1415"/>
      <c r="AV321" s="1415"/>
      <c r="AW321" s="1403"/>
      <c r="CA321" s="1145"/>
      <c r="CB321" s="1153"/>
      <c r="CC321" s="1134"/>
      <c r="CD321" s="1134"/>
      <c r="CE321" s="1134"/>
      <c r="CF321" s="1134"/>
      <c r="CG321" s="1134"/>
      <c r="CH321" s="1134"/>
      <c r="CI321" s="1134"/>
      <c r="CJ321" s="1134"/>
      <c r="CK321" s="1134"/>
      <c r="CL321" s="1134"/>
      <c r="CM321" s="1134"/>
      <c r="CN321" s="1134"/>
      <c r="CO321" s="1134"/>
      <c r="CP321" s="1134"/>
      <c r="CQ321" s="1134"/>
      <c r="CR321" s="1134"/>
      <c r="CS321" s="1134"/>
      <c r="CT321" s="1134"/>
      <c r="CU321" s="1134"/>
      <c r="CV321" s="1134"/>
      <c r="CW321" s="1134"/>
      <c r="CX321" s="1134"/>
      <c r="CY321" s="1134"/>
      <c r="CZ321" s="1134"/>
      <c r="DA321" s="1134"/>
      <c r="DB321" s="1134"/>
      <c r="DC321" s="1134"/>
      <c r="DD321" s="1134"/>
      <c r="DE321" s="1134"/>
      <c r="DF321" s="1134"/>
      <c r="DG321" s="1134"/>
      <c r="DH321" s="1134"/>
      <c r="DI321" s="1134"/>
      <c r="DJ321" s="1134"/>
      <c r="DK321" s="1134"/>
      <c r="DL321" s="1134"/>
      <c r="DM321" s="1134"/>
      <c r="DN321" s="1134"/>
      <c r="DO321" s="1134"/>
      <c r="DP321" s="1134"/>
      <c r="DQ321" s="1134"/>
      <c r="DR321" s="1134"/>
      <c r="DS321" s="1134"/>
      <c r="DT321" s="1134"/>
      <c r="DU321" s="1134"/>
      <c r="DV321" s="1134"/>
      <c r="DW321" s="1134"/>
      <c r="DX321" s="1134"/>
      <c r="DY321" s="1134"/>
      <c r="DZ321" s="1147"/>
    </row>
    <row r="322" spans="4:130" s="834" customFormat="1">
      <c r="D322" s="1415"/>
      <c r="H322" s="1415"/>
      <c r="K322" s="1415"/>
      <c r="X322" s="1403"/>
      <c r="AF322" s="1403"/>
      <c r="AG322" s="1415"/>
      <c r="AK322" s="1415"/>
      <c r="AL322" s="1415"/>
      <c r="AM322" s="1415"/>
      <c r="AV322" s="1415"/>
      <c r="AW322" s="1403"/>
      <c r="CA322" s="1145"/>
      <c r="CB322" s="1153"/>
      <c r="CC322" s="1134"/>
      <c r="CD322" s="1134"/>
      <c r="CE322" s="1134"/>
      <c r="CF322" s="1134"/>
      <c r="CG322" s="1134"/>
      <c r="CH322" s="1134"/>
      <c r="CI322" s="1134"/>
      <c r="CJ322" s="1134"/>
      <c r="CK322" s="1134"/>
      <c r="CL322" s="1134"/>
      <c r="CM322" s="1134"/>
      <c r="CN322" s="1134"/>
      <c r="CO322" s="1134"/>
      <c r="CP322" s="1134"/>
      <c r="CQ322" s="1134"/>
      <c r="CR322" s="1134"/>
      <c r="CS322" s="1134"/>
      <c r="CT322" s="1134"/>
      <c r="CU322" s="1134"/>
      <c r="CV322" s="1134"/>
      <c r="CW322" s="1134"/>
      <c r="CX322" s="1134"/>
      <c r="CY322" s="1134"/>
      <c r="CZ322" s="1134"/>
      <c r="DA322" s="1134"/>
      <c r="DB322" s="1134"/>
      <c r="DC322" s="1134"/>
      <c r="DD322" s="1134"/>
      <c r="DE322" s="1134"/>
      <c r="DF322" s="1134"/>
      <c r="DG322" s="1134"/>
      <c r="DH322" s="1134"/>
      <c r="DI322" s="1134"/>
      <c r="DJ322" s="1134"/>
      <c r="DK322" s="1134"/>
      <c r="DL322" s="1134"/>
      <c r="DM322" s="1134"/>
      <c r="DN322" s="1134"/>
      <c r="DO322" s="1134"/>
      <c r="DP322" s="1134"/>
      <c r="DQ322" s="1134"/>
      <c r="DR322" s="1134"/>
      <c r="DS322" s="1134"/>
      <c r="DT322" s="1134"/>
      <c r="DU322" s="1134"/>
      <c r="DV322" s="1134"/>
      <c r="DW322" s="1134"/>
      <c r="DX322" s="1134"/>
      <c r="DY322" s="1134"/>
      <c r="DZ322" s="1147"/>
    </row>
    <row r="323" spans="4:130" s="834" customFormat="1">
      <c r="D323" s="1415"/>
      <c r="H323" s="1415"/>
      <c r="K323" s="1415"/>
      <c r="X323" s="1403"/>
      <c r="AF323" s="1403"/>
      <c r="AG323" s="1415"/>
      <c r="AK323" s="1415"/>
      <c r="AL323" s="1415"/>
      <c r="AM323" s="1415"/>
      <c r="AV323" s="1415"/>
      <c r="AW323" s="1403"/>
      <c r="CA323" s="1145"/>
      <c r="CB323" s="1153"/>
      <c r="CC323" s="1134"/>
      <c r="CD323" s="1134"/>
      <c r="CE323" s="1134"/>
      <c r="CF323" s="1134"/>
      <c r="CG323" s="1134"/>
      <c r="CH323" s="1134"/>
      <c r="CI323" s="1134"/>
      <c r="CJ323" s="1134"/>
      <c r="CK323" s="1134"/>
      <c r="CL323" s="1134"/>
      <c r="CM323" s="1134"/>
      <c r="CN323" s="1134"/>
      <c r="CO323" s="1134"/>
      <c r="CP323" s="1134"/>
      <c r="CQ323" s="1134"/>
      <c r="CR323" s="1134"/>
      <c r="CS323" s="1134"/>
      <c r="CT323" s="1134"/>
      <c r="CU323" s="1134"/>
      <c r="CV323" s="1134"/>
      <c r="CW323" s="1134"/>
      <c r="CX323" s="1134"/>
      <c r="CY323" s="1134"/>
      <c r="CZ323" s="1134"/>
      <c r="DA323" s="1134"/>
      <c r="DB323" s="1134"/>
      <c r="DC323" s="1134"/>
      <c r="DD323" s="1134"/>
      <c r="DE323" s="1134"/>
      <c r="DF323" s="1134"/>
      <c r="DG323" s="1134"/>
      <c r="DH323" s="1134"/>
      <c r="DI323" s="1134"/>
      <c r="DJ323" s="1134"/>
      <c r="DK323" s="1134"/>
      <c r="DL323" s="1134"/>
      <c r="DM323" s="1134"/>
      <c r="DN323" s="1134"/>
      <c r="DO323" s="1134"/>
      <c r="DP323" s="1134"/>
      <c r="DQ323" s="1134"/>
      <c r="DR323" s="1134"/>
      <c r="DS323" s="1134"/>
      <c r="DT323" s="1134"/>
      <c r="DU323" s="1134"/>
      <c r="DV323" s="1134"/>
      <c r="DW323" s="1134"/>
      <c r="DX323" s="1134"/>
      <c r="DY323" s="1134"/>
      <c r="DZ323" s="1147"/>
    </row>
    <row r="324" spans="4:130" s="834" customFormat="1">
      <c r="D324" s="1415"/>
      <c r="H324" s="1415"/>
      <c r="K324" s="1415"/>
      <c r="X324" s="1403"/>
      <c r="AF324" s="1403"/>
      <c r="AG324" s="1415"/>
      <c r="AK324" s="1415"/>
      <c r="AL324" s="1415"/>
      <c r="AM324" s="1415"/>
      <c r="AV324" s="1415"/>
      <c r="AW324" s="1403"/>
      <c r="CA324" s="1145"/>
      <c r="CB324" s="1153"/>
      <c r="CC324" s="1134"/>
      <c r="CD324" s="1134"/>
      <c r="CE324" s="1134"/>
      <c r="CF324" s="1134"/>
      <c r="CG324" s="1134"/>
      <c r="CH324" s="1134"/>
      <c r="CI324" s="1134"/>
      <c r="CJ324" s="1134"/>
      <c r="CK324" s="1134"/>
      <c r="CL324" s="1134"/>
      <c r="CM324" s="1134"/>
      <c r="CN324" s="1134"/>
      <c r="CO324" s="1134"/>
      <c r="CP324" s="1134"/>
      <c r="CQ324" s="1134"/>
      <c r="CR324" s="1134"/>
      <c r="CS324" s="1134"/>
      <c r="CT324" s="1134"/>
      <c r="CU324" s="1134"/>
      <c r="CV324" s="1134"/>
      <c r="CW324" s="1134"/>
      <c r="CX324" s="1134"/>
      <c r="CY324" s="1134"/>
      <c r="CZ324" s="1134"/>
      <c r="DA324" s="1134"/>
      <c r="DB324" s="1134"/>
      <c r="DC324" s="1134"/>
      <c r="DD324" s="1134"/>
      <c r="DE324" s="1134"/>
      <c r="DF324" s="1134"/>
      <c r="DG324" s="1134"/>
      <c r="DH324" s="1134"/>
      <c r="DI324" s="1134"/>
      <c r="DJ324" s="1134"/>
      <c r="DK324" s="1134"/>
      <c r="DL324" s="1134"/>
      <c r="DM324" s="1134"/>
      <c r="DN324" s="1134"/>
      <c r="DO324" s="1134"/>
      <c r="DP324" s="1134"/>
      <c r="DQ324" s="1134"/>
      <c r="DR324" s="1134"/>
      <c r="DS324" s="1134"/>
      <c r="DT324" s="1134"/>
      <c r="DU324" s="1134"/>
      <c r="DV324" s="1134"/>
      <c r="DW324" s="1134"/>
      <c r="DX324" s="1134"/>
      <c r="DY324" s="1134"/>
      <c r="DZ324" s="1147"/>
    </row>
    <row r="325" spans="4:130" s="834" customFormat="1">
      <c r="D325" s="1415"/>
      <c r="H325" s="1415"/>
      <c r="K325" s="1415"/>
      <c r="X325" s="1403"/>
      <c r="AF325" s="1403"/>
      <c r="AG325" s="1415"/>
      <c r="AK325" s="1415"/>
      <c r="AL325" s="1415"/>
      <c r="AM325" s="1415"/>
      <c r="AV325" s="1415"/>
      <c r="AW325" s="1403"/>
      <c r="CA325" s="1145"/>
      <c r="CB325" s="1153"/>
      <c r="CC325" s="1134"/>
      <c r="CD325" s="1134"/>
      <c r="CE325" s="1134"/>
      <c r="CF325" s="1134"/>
      <c r="CG325" s="1134"/>
      <c r="CH325" s="1134"/>
      <c r="CI325" s="1134"/>
      <c r="CJ325" s="1134"/>
      <c r="CK325" s="1134"/>
      <c r="CL325" s="1134"/>
      <c r="CM325" s="1134"/>
      <c r="CN325" s="1134"/>
      <c r="CO325" s="1134"/>
      <c r="CP325" s="1134"/>
      <c r="CQ325" s="1134"/>
      <c r="CR325" s="1134"/>
      <c r="CS325" s="1134"/>
      <c r="CT325" s="1134"/>
      <c r="CU325" s="1134"/>
      <c r="CV325" s="1134"/>
      <c r="CW325" s="1134"/>
      <c r="CX325" s="1134"/>
      <c r="CY325" s="1134"/>
      <c r="CZ325" s="1134"/>
      <c r="DA325" s="1134"/>
      <c r="DB325" s="1134"/>
      <c r="DC325" s="1134"/>
      <c r="DD325" s="1134"/>
      <c r="DE325" s="1134"/>
      <c r="DF325" s="1134"/>
      <c r="DG325" s="1134"/>
      <c r="DH325" s="1134"/>
      <c r="DI325" s="1134"/>
      <c r="DJ325" s="1134"/>
      <c r="DK325" s="1134"/>
      <c r="DL325" s="1134"/>
      <c r="DM325" s="1134"/>
      <c r="DN325" s="1134"/>
      <c r="DO325" s="1134"/>
      <c r="DP325" s="1134"/>
      <c r="DQ325" s="1134"/>
      <c r="DR325" s="1134"/>
      <c r="DS325" s="1134"/>
      <c r="DT325" s="1134"/>
      <c r="DU325" s="1134"/>
      <c r="DV325" s="1134"/>
      <c r="DW325" s="1134"/>
      <c r="DX325" s="1134"/>
      <c r="DY325" s="1134"/>
      <c r="DZ325" s="1147"/>
    </row>
    <row r="326" spans="4:130" s="834" customFormat="1">
      <c r="D326" s="1415"/>
      <c r="H326" s="1415"/>
      <c r="K326" s="1415"/>
      <c r="X326" s="1403"/>
      <c r="AF326" s="1403"/>
      <c r="AG326" s="1415"/>
      <c r="AK326" s="1415"/>
      <c r="AL326" s="1415"/>
      <c r="AM326" s="1415"/>
      <c r="AV326" s="1415"/>
      <c r="AW326" s="1403"/>
      <c r="CA326" s="1145"/>
      <c r="CB326" s="1153"/>
      <c r="CC326" s="1134"/>
      <c r="CD326" s="1134"/>
      <c r="CE326" s="1134"/>
      <c r="CF326" s="1134"/>
      <c r="CG326" s="1134"/>
      <c r="CH326" s="1134"/>
      <c r="CI326" s="1134"/>
      <c r="CJ326" s="1134"/>
      <c r="CK326" s="1134"/>
      <c r="CL326" s="1134"/>
      <c r="CM326" s="1134"/>
      <c r="CN326" s="1134"/>
      <c r="CO326" s="1134"/>
      <c r="CP326" s="1134"/>
      <c r="CQ326" s="1134"/>
      <c r="CR326" s="1134"/>
      <c r="CS326" s="1134"/>
      <c r="CT326" s="1134"/>
      <c r="CU326" s="1134"/>
      <c r="CV326" s="1134"/>
      <c r="CW326" s="1134"/>
      <c r="CX326" s="1134"/>
      <c r="CY326" s="1134"/>
      <c r="CZ326" s="1134"/>
      <c r="DA326" s="1134"/>
      <c r="DB326" s="1134"/>
      <c r="DC326" s="1134"/>
      <c r="DD326" s="1134"/>
      <c r="DE326" s="1134"/>
      <c r="DF326" s="1134"/>
      <c r="DG326" s="1134"/>
      <c r="DH326" s="1134"/>
      <c r="DI326" s="1134"/>
      <c r="DJ326" s="1134"/>
      <c r="DK326" s="1134"/>
      <c r="DL326" s="1134"/>
      <c r="DM326" s="1134"/>
      <c r="DN326" s="1134"/>
      <c r="DO326" s="1134"/>
      <c r="DP326" s="1134"/>
      <c r="DQ326" s="1134"/>
      <c r="DR326" s="1134"/>
      <c r="DS326" s="1134"/>
      <c r="DT326" s="1134"/>
      <c r="DU326" s="1134"/>
      <c r="DV326" s="1134"/>
      <c r="DW326" s="1134"/>
      <c r="DX326" s="1134"/>
      <c r="DY326" s="1134"/>
      <c r="DZ326" s="1147"/>
    </row>
    <row r="327" spans="4:130" s="834" customFormat="1">
      <c r="D327" s="1415"/>
      <c r="H327" s="1415"/>
      <c r="K327" s="1415"/>
      <c r="X327" s="1403"/>
      <c r="AF327" s="1403"/>
      <c r="AG327" s="1415"/>
      <c r="AK327" s="1415"/>
      <c r="AL327" s="1415"/>
      <c r="AM327" s="1415"/>
      <c r="AV327" s="1415"/>
      <c r="AW327" s="1403"/>
      <c r="CA327" s="1145"/>
      <c r="CB327" s="1153"/>
      <c r="CC327" s="1134"/>
      <c r="CD327" s="1134"/>
      <c r="CE327" s="1134"/>
      <c r="CF327" s="1134"/>
      <c r="CG327" s="1134"/>
      <c r="CH327" s="1134"/>
      <c r="CI327" s="1134"/>
      <c r="CJ327" s="1134"/>
      <c r="CK327" s="1134"/>
      <c r="CL327" s="1134"/>
      <c r="CM327" s="1134"/>
      <c r="CN327" s="1134"/>
      <c r="CO327" s="1134"/>
      <c r="CP327" s="1134"/>
      <c r="CQ327" s="1134"/>
      <c r="CR327" s="1134"/>
      <c r="CS327" s="1134"/>
      <c r="CT327" s="1134"/>
      <c r="CU327" s="1134"/>
      <c r="CV327" s="1134"/>
      <c r="CW327" s="1134"/>
      <c r="CX327" s="1134"/>
      <c r="CY327" s="1134"/>
      <c r="CZ327" s="1134"/>
      <c r="DA327" s="1134"/>
      <c r="DB327" s="1134"/>
      <c r="DC327" s="1134"/>
      <c r="DD327" s="1134"/>
      <c r="DE327" s="1134"/>
      <c r="DF327" s="1134"/>
      <c r="DG327" s="1134"/>
      <c r="DH327" s="1134"/>
      <c r="DI327" s="1134"/>
      <c r="DJ327" s="1134"/>
      <c r="DK327" s="1134"/>
      <c r="DL327" s="1134"/>
      <c r="DM327" s="1134"/>
      <c r="DN327" s="1134"/>
      <c r="DO327" s="1134"/>
      <c r="DP327" s="1134"/>
      <c r="DQ327" s="1134"/>
      <c r="DR327" s="1134"/>
      <c r="DS327" s="1134"/>
      <c r="DT327" s="1134"/>
      <c r="DU327" s="1134"/>
      <c r="DV327" s="1134"/>
      <c r="DW327" s="1134"/>
      <c r="DX327" s="1134"/>
      <c r="DY327" s="1134"/>
      <c r="DZ327" s="1147"/>
    </row>
    <row r="328" spans="4:130" s="834" customFormat="1">
      <c r="D328" s="1415"/>
      <c r="H328" s="1415"/>
      <c r="K328" s="1415"/>
      <c r="X328" s="1403"/>
      <c r="AF328" s="1403"/>
      <c r="AG328" s="1415"/>
      <c r="AK328" s="1415"/>
      <c r="AL328" s="1415"/>
      <c r="AM328" s="1415"/>
      <c r="AV328" s="1415"/>
      <c r="AW328" s="1403"/>
      <c r="CA328" s="1145"/>
      <c r="CB328" s="1153"/>
      <c r="CC328" s="1134"/>
      <c r="CD328" s="1134"/>
      <c r="CE328" s="1134"/>
      <c r="CF328" s="1134"/>
      <c r="CG328" s="1134"/>
      <c r="CH328" s="1134"/>
      <c r="CI328" s="1134"/>
      <c r="CJ328" s="1134"/>
      <c r="CK328" s="1134"/>
      <c r="CL328" s="1134"/>
      <c r="CM328" s="1134"/>
      <c r="CN328" s="1134"/>
      <c r="CO328" s="1134"/>
      <c r="CP328" s="1134"/>
      <c r="CQ328" s="1134"/>
      <c r="CR328" s="1134"/>
      <c r="CS328" s="1134"/>
      <c r="CT328" s="1134"/>
      <c r="CU328" s="1134"/>
      <c r="CV328" s="1134"/>
      <c r="CW328" s="1134"/>
      <c r="CX328" s="1134"/>
      <c r="CY328" s="1134"/>
      <c r="CZ328" s="1134"/>
      <c r="DA328" s="1134"/>
      <c r="DB328" s="1134"/>
      <c r="DC328" s="1134"/>
      <c r="DD328" s="1134"/>
      <c r="DE328" s="1134"/>
      <c r="DF328" s="1134"/>
      <c r="DG328" s="1134"/>
      <c r="DH328" s="1134"/>
      <c r="DI328" s="1134"/>
      <c r="DJ328" s="1134"/>
      <c r="DK328" s="1134"/>
      <c r="DL328" s="1134"/>
      <c r="DM328" s="1134"/>
      <c r="DN328" s="1134"/>
      <c r="DO328" s="1134"/>
      <c r="DP328" s="1134"/>
      <c r="DQ328" s="1134"/>
      <c r="DR328" s="1134"/>
      <c r="DS328" s="1134"/>
      <c r="DT328" s="1134"/>
      <c r="DU328" s="1134"/>
      <c r="DV328" s="1134"/>
      <c r="DW328" s="1134"/>
      <c r="DX328" s="1134"/>
      <c r="DY328" s="1134"/>
      <c r="DZ328" s="1147"/>
    </row>
    <row r="329" spans="4:130" s="834" customFormat="1">
      <c r="D329" s="1415"/>
      <c r="H329" s="1415"/>
      <c r="K329" s="1415"/>
      <c r="X329" s="1403"/>
      <c r="AF329" s="1403"/>
      <c r="AG329" s="1415"/>
      <c r="AK329" s="1415"/>
      <c r="AL329" s="1415"/>
      <c r="AM329" s="1415"/>
      <c r="AV329" s="1415"/>
      <c r="AW329" s="1403"/>
      <c r="CA329" s="1145"/>
      <c r="CB329" s="1153"/>
      <c r="CC329" s="1134"/>
      <c r="CD329" s="1134"/>
      <c r="CE329" s="1134"/>
      <c r="CF329" s="1134"/>
      <c r="CG329" s="1134"/>
      <c r="CH329" s="1134"/>
      <c r="CI329" s="1134"/>
      <c r="CJ329" s="1134"/>
      <c r="CK329" s="1134"/>
      <c r="CL329" s="1134"/>
      <c r="CM329" s="1134"/>
      <c r="CN329" s="1134"/>
      <c r="CO329" s="1134"/>
      <c r="CP329" s="1134"/>
      <c r="CQ329" s="1134"/>
      <c r="CR329" s="1134"/>
      <c r="CS329" s="1134"/>
      <c r="CT329" s="1134"/>
      <c r="CU329" s="1134"/>
      <c r="CV329" s="1134"/>
      <c r="CW329" s="1134"/>
      <c r="CX329" s="1134"/>
      <c r="CY329" s="1134"/>
      <c r="CZ329" s="1134"/>
      <c r="DA329" s="1134"/>
      <c r="DB329" s="1134"/>
      <c r="DC329" s="1134"/>
      <c r="DD329" s="1134"/>
      <c r="DE329" s="1134"/>
      <c r="DF329" s="1134"/>
      <c r="DG329" s="1134"/>
      <c r="DH329" s="1134"/>
      <c r="DI329" s="1134"/>
      <c r="DJ329" s="1134"/>
      <c r="DK329" s="1134"/>
      <c r="DL329" s="1134"/>
      <c r="DM329" s="1134"/>
      <c r="DN329" s="1134"/>
      <c r="DO329" s="1134"/>
      <c r="DP329" s="1134"/>
      <c r="DQ329" s="1134"/>
      <c r="DR329" s="1134"/>
      <c r="DS329" s="1134"/>
      <c r="DT329" s="1134"/>
      <c r="DU329" s="1134"/>
      <c r="DV329" s="1134"/>
      <c r="DW329" s="1134"/>
      <c r="DX329" s="1134"/>
      <c r="DY329" s="1134"/>
      <c r="DZ329" s="1147"/>
    </row>
    <row r="330" spans="4:130" s="834" customFormat="1">
      <c r="D330" s="1415"/>
      <c r="H330" s="1415"/>
      <c r="K330" s="1415"/>
      <c r="X330" s="1403"/>
      <c r="AF330" s="1403"/>
      <c r="AG330" s="1415"/>
      <c r="AK330" s="1415"/>
      <c r="AL330" s="1415"/>
      <c r="AM330" s="1415"/>
      <c r="AV330" s="1415"/>
      <c r="AW330" s="1403"/>
      <c r="CA330" s="1145"/>
      <c r="CB330" s="1153"/>
      <c r="CC330" s="1134"/>
      <c r="CD330" s="1134"/>
      <c r="CE330" s="1134"/>
      <c r="CF330" s="1134"/>
      <c r="CG330" s="1134"/>
      <c r="CH330" s="1134"/>
      <c r="CI330" s="1134"/>
      <c r="CJ330" s="1134"/>
      <c r="CK330" s="1134"/>
      <c r="CL330" s="1134"/>
      <c r="CM330" s="1134"/>
      <c r="CN330" s="1134"/>
      <c r="CO330" s="1134"/>
      <c r="CP330" s="1134"/>
      <c r="CQ330" s="1134"/>
      <c r="CR330" s="1134"/>
      <c r="CS330" s="1134"/>
      <c r="CT330" s="1134"/>
      <c r="CU330" s="1134"/>
      <c r="CV330" s="1134"/>
      <c r="CW330" s="1134"/>
      <c r="CX330" s="1134"/>
      <c r="CY330" s="1134"/>
      <c r="CZ330" s="1134"/>
      <c r="DA330" s="1134"/>
      <c r="DB330" s="1134"/>
      <c r="DC330" s="1134"/>
      <c r="DD330" s="1134"/>
      <c r="DE330" s="1134"/>
      <c r="DF330" s="1134"/>
      <c r="DG330" s="1134"/>
      <c r="DH330" s="1134"/>
      <c r="DI330" s="1134"/>
      <c r="DJ330" s="1134"/>
      <c r="DK330" s="1134"/>
      <c r="DL330" s="1134"/>
      <c r="DM330" s="1134"/>
      <c r="DN330" s="1134"/>
      <c r="DO330" s="1134"/>
      <c r="DP330" s="1134"/>
      <c r="DQ330" s="1134"/>
      <c r="DR330" s="1134"/>
      <c r="DS330" s="1134"/>
      <c r="DT330" s="1134"/>
      <c r="DU330" s="1134"/>
      <c r="DV330" s="1134"/>
      <c r="DW330" s="1134"/>
      <c r="DX330" s="1134"/>
      <c r="DY330" s="1134"/>
      <c r="DZ330" s="1147"/>
    </row>
    <row r="331" spans="4:130" s="834" customFormat="1">
      <c r="D331" s="1415"/>
      <c r="H331" s="1415"/>
      <c r="K331" s="1415"/>
      <c r="X331" s="1403"/>
      <c r="AF331" s="1403"/>
      <c r="AG331" s="1415"/>
      <c r="AK331" s="1415"/>
      <c r="AL331" s="1415"/>
      <c r="AM331" s="1415"/>
      <c r="AV331" s="1415"/>
      <c r="AW331" s="1403"/>
      <c r="CA331" s="1145"/>
      <c r="CB331" s="1153"/>
      <c r="CC331" s="1134"/>
      <c r="CD331" s="1134"/>
      <c r="CE331" s="1134"/>
      <c r="CF331" s="1134"/>
      <c r="CG331" s="1134"/>
      <c r="CH331" s="1134"/>
      <c r="CI331" s="1134"/>
      <c r="CJ331" s="1134"/>
      <c r="CK331" s="1134"/>
      <c r="CL331" s="1134"/>
      <c r="CM331" s="1134"/>
      <c r="CN331" s="1134"/>
      <c r="CO331" s="1134"/>
      <c r="CP331" s="1134"/>
      <c r="CQ331" s="1134"/>
      <c r="CR331" s="1134"/>
      <c r="CS331" s="1134"/>
      <c r="CT331" s="1134"/>
      <c r="CU331" s="1134"/>
      <c r="CV331" s="1134"/>
      <c r="CW331" s="1134"/>
      <c r="CX331" s="1134"/>
      <c r="CY331" s="1134"/>
      <c r="CZ331" s="1134"/>
      <c r="DA331" s="1134"/>
      <c r="DB331" s="1134"/>
      <c r="DC331" s="1134"/>
      <c r="DD331" s="1134"/>
      <c r="DE331" s="1134"/>
      <c r="DF331" s="1134"/>
      <c r="DG331" s="1134"/>
      <c r="DH331" s="1134"/>
      <c r="DI331" s="1134"/>
      <c r="DJ331" s="1134"/>
      <c r="DK331" s="1134"/>
      <c r="DL331" s="1134"/>
      <c r="DM331" s="1134"/>
      <c r="DN331" s="1134"/>
      <c r="DO331" s="1134"/>
      <c r="DP331" s="1134"/>
      <c r="DQ331" s="1134"/>
      <c r="DR331" s="1134"/>
      <c r="DS331" s="1134"/>
      <c r="DT331" s="1134"/>
      <c r="DU331" s="1134"/>
      <c r="DV331" s="1134"/>
      <c r="DW331" s="1134"/>
      <c r="DX331" s="1134"/>
      <c r="DY331" s="1134"/>
      <c r="DZ331" s="1147"/>
    </row>
    <row r="332" spans="4:130" s="834" customFormat="1">
      <c r="D332" s="1415"/>
      <c r="H332" s="1415"/>
      <c r="K332" s="1415"/>
      <c r="X332" s="1403"/>
      <c r="AF332" s="1403"/>
      <c r="AG332" s="1415"/>
      <c r="AK332" s="1415"/>
      <c r="AL332" s="1415"/>
      <c r="AM332" s="1415"/>
      <c r="AV332" s="1415"/>
      <c r="AW332" s="1403"/>
      <c r="CA332" s="1145"/>
      <c r="CB332" s="1153"/>
      <c r="CC332" s="1134"/>
      <c r="CD332" s="1134"/>
      <c r="CE332" s="1134"/>
      <c r="CF332" s="1134"/>
      <c r="CG332" s="1134"/>
      <c r="CH332" s="1134"/>
      <c r="CI332" s="1134"/>
      <c r="CJ332" s="1134"/>
      <c r="CK332" s="1134"/>
      <c r="CL332" s="1134"/>
      <c r="CM332" s="1134"/>
      <c r="CN332" s="1134"/>
      <c r="CO332" s="1134"/>
      <c r="CP332" s="1134"/>
      <c r="CQ332" s="1134"/>
      <c r="CR332" s="1134"/>
      <c r="CS332" s="1134"/>
      <c r="CT332" s="1134"/>
      <c r="CU332" s="1134"/>
      <c r="CV332" s="1134"/>
      <c r="CW332" s="1134"/>
      <c r="CX332" s="1134"/>
      <c r="CY332" s="1134"/>
      <c r="CZ332" s="1134"/>
      <c r="DA332" s="1134"/>
      <c r="DB332" s="1134"/>
      <c r="DC332" s="1134"/>
      <c r="DD332" s="1134"/>
      <c r="DE332" s="1134"/>
      <c r="DF332" s="1134"/>
      <c r="DG332" s="1134"/>
      <c r="DH332" s="1134"/>
      <c r="DI332" s="1134"/>
      <c r="DJ332" s="1134"/>
      <c r="DK332" s="1134"/>
      <c r="DL332" s="1134"/>
      <c r="DM332" s="1134"/>
      <c r="DN332" s="1134"/>
      <c r="DO332" s="1134"/>
      <c r="DP332" s="1134"/>
      <c r="DQ332" s="1134"/>
      <c r="DR332" s="1134"/>
      <c r="DS332" s="1134"/>
      <c r="DT332" s="1134"/>
      <c r="DU332" s="1134"/>
      <c r="DV332" s="1134"/>
      <c r="DW332" s="1134"/>
      <c r="DX332" s="1134"/>
      <c r="DY332" s="1134"/>
      <c r="DZ332" s="1147"/>
    </row>
    <row r="333" spans="4:130" s="834" customFormat="1">
      <c r="D333" s="1415"/>
      <c r="H333" s="1415"/>
      <c r="K333" s="1415"/>
      <c r="X333" s="1403"/>
      <c r="AF333" s="1403"/>
      <c r="AG333" s="1415"/>
      <c r="AK333" s="1415"/>
      <c r="AL333" s="1415"/>
      <c r="AM333" s="1415"/>
      <c r="AV333" s="1415"/>
      <c r="AW333" s="1403"/>
      <c r="CA333" s="1145"/>
      <c r="CB333" s="1153"/>
      <c r="CC333" s="1134"/>
      <c r="CD333" s="1134"/>
      <c r="CE333" s="1134"/>
      <c r="CF333" s="1134"/>
      <c r="CG333" s="1134"/>
      <c r="CH333" s="1134"/>
      <c r="CI333" s="1134"/>
      <c r="CJ333" s="1134"/>
      <c r="CK333" s="1134"/>
      <c r="CL333" s="1134"/>
      <c r="CM333" s="1134"/>
      <c r="CN333" s="1134"/>
      <c r="CO333" s="1134"/>
      <c r="CP333" s="1134"/>
      <c r="CQ333" s="1134"/>
      <c r="CR333" s="1134"/>
      <c r="CS333" s="1134"/>
      <c r="CT333" s="1134"/>
      <c r="CU333" s="1134"/>
      <c r="CV333" s="1134"/>
      <c r="CW333" s="1134"/>
      <c r="CX333" s="1134"/>
      <c r="CY333" s="1134"/>
      <c r="CZ333" s="1134"/>
      <c r="DA333" s="1134"/>
      <c r="DB333" s="1134"/>
      <c r="DC333" s="1134"/>
      <c r="DD333" s="1134"/>
      <c r="DE333" s="1134"/>
      <c r="DF333" s="1134"/>
      <c r="DG333" s="1134"/>
      <c r="DH333" s="1134"/>
      <c r="DI333" s="1134"/>
      <c r="DJ333" s="1134"/>
      <c r="DK333" s="1134"/>
      <c r="DL333" s="1134"/>
      <c r="DM333" s="1134"/>
      <c r="DN333" s="1134"/>
      <c r="DO333" s="1134"/>
      <c r="DP333" s="1134"/>
      <c r="DQ333" s="1134"/>
      <c r="DR333" s="1134"/>
      <c r="DS333" s="1134"/>
      <c r="DT333" s="1134"/>
      <c r="DU333" s="1134"/>
      <c r="DV333" s="1134"/>
      <c r="DW333" s="1134"/>
      <c r="DX333" s="1134"/>
      <c r="DY333" s="1134"/>
      <c r="DZ333" s="1147"/>
    </row>
    <row r="334" spans="4:130" s="834" customFormat="1">
      <c r="D334" s="1415"/>
      <c r="H334" s="1415"/>
      <c r="K334" s="1415"/>
      <c r="X334" s="1403"/>
      <c r="AF334" s="1403"/>
      <c r="AG334" s="1415"/>
      <c r="AK334" s="1415"/>
      <c r="AL334" s="1415"/>
      <c r="AM334" s="1415"/>
      <c r="AV334" s="1415"/>
      <c r="AW334" s="1403"/>
      <c r="CA334" s="1145"/>
      <c r="CB334" s="1153"/>
      <c r="CC334" s="1134"/>
      <c r="CD334" s="1134"/>
      <c r="CE334" s="1134"/>
      <c r="CF334" s="1134"/>
      <c r="CG334" s="1134"/>
      <c r="CH334" s="1134"/>
      <c r="CI334" s="1134"/>
      <c r="CJ334" s="1134"/>
      <c r="CK334" s="1134"/>
      <c r="CL334" s="1134"/>
      <c r="CM334" s="1134"/>
      <c r="CN334" s="1134"/>
      <c r="CO334" s="1134"/>
      <c r="CP334" s="1134"/>
      <c r="CQ334" s="1134"/>
      <c r="CR334" s="1134"/>
      <c r="CS334" s="1134"/>
      <c r="CT334" s="1134"/>
      <c r="CU334" s="1134"/>
      <c r="CV334" s="1134"/>
      <c r="CW334" s="1134"/>
      <c r="CX334" s="1134"/>
      <c r="CY334" s="1134"/>
      <c r="CZ334" s="1134"/>
      <c r="DA334" s="1134"/>
      <c r="DB334" s="1134"/>
      <c r="DC334" s="1134"/>
      <c r="DD334" s="1134"/>
      <c r="DE334" s="1134"/>
      <c r="DF334" s="1134"/>
      <c r="DG334" s="1134"/>
      <c r="DH334" s="1134"/>
      <c r="DI334" s="1134"/>
      <c r="DJ334" s="1134"/>
      <c r="DK334" s="1134"/>
      <c r="DL334" s="1134"/>
      <c r="DM334" s="1134"/>
      <c r="DN334" s="1134"/>
      <c r="DO334" s="1134"/>
      <c r="DP334" s="1134"/>
      <c r="DQ334" s="1134"/>
      <c r="DR334" s="1134"/>
      <c r="DS334" s="1134"/>
      <c r="DT334" s="1134"/>
      <c r="DU334" s="1134"/>
      <c r="DV334" s="1134"/>
      <c r="DW334" s="1134"/>
      <c r="DX334" s="1134"/>
      <c r="DY334" s="1134"/>
      <c r="DZ334" s="1147"/>
    </row>
    <row r="335" spans="4:130" s="834" customFormat="1">
      <c r="D335" s="1415"/>
      <c r="H335" s="1415"/>
      <c r="K335" s="1415"/>
      <c r="X335" s="1403"/>
      <c r="AF335" s="1403"/>
      <c r="AG335" s="1415"/>
      <c r="AK335" s="1415"/>
      <c r="AL335" s="1415"/>
      <c r="AM335" s="1415"/>
      <c r="AV335" s="1415"/>
      <c r="AW335" s="1403"/>
      <c r="CA335" s="1145"/>
      <c r="CB335" s="1153"/>
      <c r="CC335" s="1134"/>
      <c r="CD335" s="1134"/>
      <c r="CE335" s="1134"/>
      <c r="CF335" s="1134"/>
      <c r="CG335" s="1134"/>
      <c r="CH335" s="1134"/>
      <c r="CI335" s="1134"/>
      <c r="CJ335" s="1134"/>
      <c r="CK335" s="1134"/>
      <c r="CL335" s="1134"/>
      <c r="CM335" s="1134"/>
      <c r="CN335" s="1134"/>
      <c r="CO335" s="1134"/>
      <c r="CP335" s="1134"/>
      <c r="CQ335" s="1134"/>
      <c r="CR335" s="1134"/>
      <c r="CS335" s="1134"/>
      <c r="CT335" s="1134"/>
      <c r="CU335" s="1134"/>
      <c r="CV335" s="1134"/>
      <c r="CW335" s="1134"/>
      <c r="CX335" s="1134"/>
      <c r="CY335" s="1134"/>
      <c r="CZ335" s="1134"/>
      <c r="DA335" s="1134"/>
      <c r="DB335" s="1134"/>
      <c r="DC335" s="1134"/>
      <c r="DD335" s="1134"/>
      <c r="DE335" s="1134"/>
      <c r="DF335" s="1134"/>
      <c r="DG335" s="1134"/>
      <c r="DH335" s="1134"/>
      <c r="DI335" s="1134"/>
      <c r="DJ335" s="1134"/>
      <c r="DK335" s="1134"/>
      <c r="DL335" s="1134"/>
      <c r="DM335" s="1134"/>
      <c r="DN335" s="1134"/>
      <c r="DO335" s="1134"/>
      <c r="DP335" s="1134"/>
      <c r="DQ335" s="1134"/>
      <c r="DR335" s="1134"/>
      <c r="DS335" s="1134"/>
      <c r="DT335" s="1134"/>
      <c r="DU335" s="1134"/>
      <c r="DV335" s="1134"/>
      <c r="DW335" s="1134"/>
      <c r="DX335" s="1134"/>
      <c r="DY335" s="1134"/>
      <c r="DZ335" s="1147"/>
    </row>
    <row r="336" spans="4:130" s="834" customFormat="1">
      <c r="D336" s="1415"/>
      <c r="H336" s="1415"/>
      <c r="K336" s="1415"/>
      <c r="X336" s="1403"/>
      <c r="AF336" s="1403"/>
      <c r="AG336" s="1415"/>
      <c r="AK336" s="1415"/>
      <c r="AL336" s="1415"/>
      <c r="AM336" s="1415"/>
      <c r="AV336" s="1415"/>
      <c r="AW336" s="1403"/>
      <c r="CA336" s="1145"/>
      <c r="CB336" s="1153"/>
      <c r="CC336" s="1134"/>
      <c r="CD336" s="1134"/>
      <c r="CE336" s="1134"/>
      <c r="CF336" s="1134"/>
      <c r="CG336" s="1134"/>
      <c r="CH336" s="1134"/>
      <c r="CI336" s="1134"/>
      <c r="CJ336" s="1134"/>
      <c r="CK336" s="1134"/>
      <c r="CL336" s="1134"/>
      <c r="CM336" s="1134"/>
      <c r="CN336" s="1134"/>
      <c r="CO336" s="1134"/>
      <c r="CP336" s="1134"/>
      <c r="CQ336" s="1134"/>
      <c r="CR336" s="1134"/>
      <c r="CS336" s="1134"/>
      <c r="CT336" s="1134"/>
      <c r="CU336" s="1134"/>
      <c r="CV336" s="1134"/>
      <c r="CW336" s="1134"/>
      <c r="CX336" s="1134"/>
      <c r="CY336" s="1134"/>
      <c r="CZ336" s="1134"/>
      <c r="DA336" s="1134"/>
      <c r="DB336" s="1134"/>
      <c r="DC336" s="1134"/>
      <c r="DD336" s="1134"/>
      <c r="DE336" s="1134"/>
      <c r="DF336" s="1134"/>
      <c r="DG336" s="1134"/>
      <c r="DH336" s="1134"/>
      <c r="DI336" s="1134"/>
      <c r="DJ336" s="1134"/>
      <c r="DK336" s="1134"/>
      <c r="DL336" s="1134"/>
      <c r="DM336" s="1134"/>
      <c r="DN336" s="1134"/>
      <c r="DO336" s="1134"/>
      <c r="DP336" s="1134"/>
      <c r="DQ336" s="1134"/>
      <c r="DR336" s="1134"/>
      <c r="DS336" s="1134"/>
      <c r="DT336" s="1134"/>
      <c r="DU336" s="1134"/>
      <c r="DV336" s="1134"/>
      <c r="DW336" s="1134"/>
      <c r="DX336" s="1134"/>
      <c r="DY336" s="1134"/>
      <c r="DZ336" s="1147"/>
    </row>
    <row r="337" spans="4:130" s="834" customFormat="1">
      <c r="D337" s="1415"/>
      <c r="H337" s="1415"/>
      <c r="K337" s="1415"/>
      <c r="X337" s="1403"/>
      <c r="AF337" s="1403"/>
      <c r="AG337" s="1415"/>
      <c r="AK337" s="1415"/>
      <c r="AL337" s="1415"/>
      <c r="AM337" s="1415"/>
      <c r="AV337" s="1415"/>
      <c r="AW337" s="1403"/>
      <c r="CA337" s="1145"/>
      <c r="CB337" s="1153"/>
      <c r="CC337" s="1134"/>
      <c r="CD337" s="1134"/>
      <c r="CE337" s="1134"/>
      <c r="CF337" s="1134"/>
      <c r="CG337" s="1134"/>
      <c r="CH337" s="1134"/>
      <c r="CI337" s="1134"/>
      <c r="CJ337" s="1134"/>
      <c r="CK337" s="1134"/>
      <c r="CL337" s="1134"/>
      <c r="CM337" s="1134"/>
      <c r="CN337" s="1134"/>
      <c r="CO337" s="1134"/>
      <c r="CP337" s="1134"/>
      <c r="CQ337" s="1134"/>
      <c r="CR337" s="1134"/>
      <c r="CS337" s="1134"/>
      <c r="CT337" s="1134"/>
      <c r="CU337" s="1134"/>
      <c r="CV337" s="1134"/>
      <c r="CW337" s="1134"/>
      <c r="CX337" s="1134"/>
      <c r="CY337" s="1134"/>
      <c r="CZ337" s="1134"/>
      <c r="DA337" s="1134"/>
      <c r="DB337" s="1134"/>
      <c r="DC337" s="1134"/>
      <c r="DD337" s="1134"/>
      <c r="DE337" s="1134"/>
      <c r="DF337" s="1134"/>
      <c r="DG337" s="1134"/>
      <c r="DH337" s="1134"/>
      <c r="DI337" s="1134"/>
      <c r="DJ337" s="1134"/>
      <c r="DK337" s="1134"/>
      <c r="DL337" s="1134"/>
      <c r="DM337" s="1134"/>
      <c r="DN337" s="1134"/>
      <c r="DO337" s="1134"/>
      <c r="DP337" s="1134"/>
      <c r="DQ337" s="1134"/>
      <c r="DR337" s="1134"/>
      <c r="DS337" s="1134"/>
      <c r="DT337" s="1134"/>
      <c r="DU337" s="1134"/>
      <c r="DV337" s="1134"/>
      <c r="DW337" s="1134"/>
      <c r="DX337" s="1134"/>
      <c r="DY337" s="1134"/>
      <c r="DZ337" s="1147"/>
    </row>
    <row r="338" spans="4:130" s="834" customFormat="1">
      <c r="D338" s="1415"/>
      <c r="H338" s="1415"/>
      <c r="K338" s="1415"/>
      <c r="X338" s="1403"/>
      <c r="AF338" s="1403"/>
      <c r="AG338" s="1415"/>
      <c r="AK338" s="1415"/>
      <c r="AL338" s="1415"/>
      <c r="AM338" s="1415"/>
      <c r="AV338" s="1415"/>
      <c r="AW338" s="1403"/>
      <c r="CA338" s="1145"/>
      <c r="CB338" s="1153"/>
      <c r="CC338" s="1134"/>
      <c r="CD338" s="1134"/>
      <c r="CE338" s="1134"/>
      <c r="CF338" s="1134"/>
      <c r="CG338" s="1134"/>
      <c r="CH338" s="1134"/>
      <c r="CI338" s="1134"/>
      <c r="CJ338" s="1134"/>
      <c r="CK338" s="1134"/>
      <c r="CL338" s="1134"/>
      <c r="CM338" s="1134"/>
      <c r="CN338" s="1134"/>
      <c r="CO338" s="1134"/>
      <c r="CP338" s="1134"/>
      <c r="CQ338" s="1134"/>
      <c r="CR338" s="1134"/>
      <c r="CS338" s="1134"/>
      <c r="CT338" s="1134"/>
      <c r="CU338" s="1134"/>
      <c r="CV338" s="1134"/>
      <c r="CW338" s="1134"/>
      <c r="CX338" s="1134"/>
      <c r="CY338" s="1134"/>
      <c r="CZ338" s="1134"/>
      <c r="DA338" s="1134"/>
      <c r="DB338" s="1134"/>
      <c r="DC338" s="1134"/>
      <c r="DD338" s="1134"/>
      <c r="DE338" s="1134"/>
      <c r="DF338" s="1134"/>
      <c r="DG338" s="1134"/>
      <c r="DH338" s="1134"/>
      <c r="DI338" s="1134"/>
      <c r="DJ338" s="1134"/>
      <c r="DK338" s="1134"/>
      <c r="DL338" s="1134"/>
      <c r="DM338" s="1134"/>
      <c r="DN338" s="1134"/>
      <c r="DO338" s="1134"/>
      <c r="DP338" s="1134"/>
      <c r="DQ338" s="1134"/>
      <c r="DR338" s="1134"/>
      <c r="DS338" s="1134"/>
      <c r="DT338" s="1134"/>
      <c r="DU338" s="1134"/>
      <c r="DV338" s="1134"/>
      <c r="DW338" s="1134"/>
      <c r="DX338" s="1134"/>
      <c r="DY338" s="1134"/>
      <c r="DZ338" s="1147"/>
    </row>
    <row r="339" spans="4:130" s="834" customFormat="1">
      <c r="D339" s="1415"/>
      <c r="H339" s="1415"/>
      <c r="K339" s="1415"/>
      <c r="X339" s="1403"/>
      <c r="AF339" s="1403"/>
      <c r="AG339" s="1415"/>
      <c r="AK339" s="1415"/>
      <c r="AL339" s="1415"/>
      <c r="AM339" s="1415"/>
      <c r="AV339" s="1415"/>
      <c r="AW339" s="1403"/>
      <c r="CA339" s="1145"/>
      <c r="CB339" s="1153"/>
      <c r="CC339" s="1134"/>
      <c r="CD339" s="1134"/>
      <c r="CE339" s="1134"/>
      <c r="CF339" s="1134"/>
      <c r="CG339" s="1134"/>
      <c r="CH339" s="1134"/>
      <c r="CI339" s="1134"/>
      <c r="CJ339" s="1134"/>
      <c r="CK339" s="1134"/>
      <c r="CL339" s="1134"/>
      <c r="CM339" s="1134"/>
      <c r="CN339" s="1134"/>
      <c r="CO339" s="1134"/>
      <c r="CP339" s="1134"/>
      <c r="CQ339" s="1134"/>
      <c r="CR339" s="1134"/>
      <c r="CS339" s="1134"/>
      <c r="CT339" s="1134"/>
      <c r="CU339" s="1134"/>
      <c r="CV339" s="1134"/>
      <c r="CW339" s="1134"/>
      <c r="CX339" s="1134"/>
      <c r="CY339" s="1134"/>
      <c r="CZ339" s="1134"/>
      <c r="DA339" s="1134"/>
      <c r="DB339" s="1134"/>
      <c r="DC339" s="1134"/>
      <c r="DD339" s="1134"/>
      <c r="DE339" s="1134"/>
      <c r="DF339" s="1134"/>
      <c r="DG339" s="1134"/>
      <c r="DH339" s="1134"/>
      <c r="DI339" s="1134"/>
      <c r="DJ339" s="1134"/>
      <c r="DK339" s="1134"/>
      <c r="DL339" s="1134"/>
      <c r="DM339" s="1134"/>
      <c r="DN339" s="1134"/>
      <c r="DO339" s="1134"/>
      <c r="DP339" s="1134"/>
      <c r="DQ339" s="1134"/>
      <c r="DR339" s="1134"/>
      <c r="DS339" s="1134"/>
      <c r="DT339" s="1134"/>
      <c r="DU339" s="1134"/>
      <c r="DV339" s="1134"/>
      <c r="DW339" s="1134"/>
      <c r="DX339" s="1134"/>
      <c r="DY339" s="1134"/>
      <c r="DZ339" s="1147"/>
    </row>
    <row r="340" spans="4:130" s="834" customFormat="1">
      <c r="D340" s="1415"/>
      <c r="H340" s="1415"/>
      <c r="K340" s="1415"/>
      <c r="X340" s="1403"/>
      <c r="AF340" s="1403"/>
      <c r="AG340" s="1415"/>
      <c r="AK340" s="1415"/>
      <c r="AL340" s="1415"/>
      <c r="AM340" s="1415"/>
      <c r="AV340" s="1415"/>
      <c r="AW340" s="1403"/>
      <c r="CA340" s="1145"/>
      <c r="CB340" s="1153"/>
      <c r="CC340" s="1134"/>
      <c r="CD340" s="1134"/>
      <c r="CE340" s="1134"/>
      <c r="CF340" s="1134"/>
      <c r="CG340" s="1134"/>
      <c r="CH340" s="1134"/>
      <c r="CI340" s="1134"/>
      <c r="CJ340" s="1134"/>
      <c r="CK340" s="1134"/>
      <c r="CL340" s="1134"/>
      <c r="CM340" s="1134"/>
      <c r="CN340" s="1134"/>
      <c r="CO340" s="1134"/>
      <c r="CP340" s="1134"/>
      <c r="CQ340" s="1134"/>
      <c r="CR340" s="1134"/>
      <c r="CS340" s="1134"/>
      <c r="CT340" s="1134"/>
      <c r="CU340" s="1134"/>
      <c r="CV340" s="1134"/>
      <c r="CW340" s="1134"/>
      <c r="CX340" s="1134"/>
      <c r="CY340" s="1134"/>
      <c r="CZ340" s="1134"/>
      <c r="DA340" s="1134"/>
      <c r="DB340" s="1134"/>
      <c r="DC340" s="1134"/>
      <c r="DD340" s="1134"/>
      <c r="DE340" s="1134"/>
      <c r="DF340" s="1134"/>
      <c r="DG340" s="1134"/>
      <c r="DH340" s="1134"/>
      <c r="DI340" s="1134"/>
      <c r="DJ340" s="1134"/>
      <c r="DK340" s="1134"/>
      <c r="DL340" s="1134"/>
      <c r="DM340" s="1134"/>
      <c r="DN340" s="1134"/>
      <c r="DO340" s="1134"/>
      <c r="DP340" s="1134"/>
      <c r="DQ340" s="1134"/>
      <c r="DR340" s="1134"/>
      <c r="DS340" s="1134"/>
      <c r="DT340" s="1134"/>
      <c r="DU340" s="1134"/>
      <c r="DV340" s="1134"/>
      <c r="DW340" s="1134"/>
      <c r="DX340" s="1134"/>
      <c r="DY340" s="1134"/>
      <c r="DZ340" s="1147"/>
    </row>
    <row r="341" spans="4:130" s="834" customFormat="1">
      <c r="D341" s="1415"/>
      <c r="H341" s="1415"/>
      <c r="K341" s="1415"/>
      <c r="X341" s="1403"/>
      <c r="AF341" s="1403"/>
      <c r="AG341" s="1415"/>
      <c r="AK341" s="1415"/>
      <c r="AL341" s="1415"/>
      <c r="AM341" s="1415"/>
      <c r="AV341" s="1415"/>
      <c r="AW341" s="1403"/>
      <c r="CA341" s="1145"/>
      <c r="CB341" s="1153"/>
      <c r="CC341" s="1134"/>
      <c r="CD341" s="1134"/>
      <c r="CE341" s="1134"/>
      <c r="CF341" s="1134"/>
      <c r="CG341" s="1134"/>
      <c r="CH341" s="1134"/>
      <c r="CI341" s="1134"/>
      <c r="CJ341" s="1134"/>
      <c r="CK341" s="1134"/>
      <c r="CL341" s="1134"/>
      <c r="CM341" s="1134"/>
      <c r="CN341" s="1134"/>
      <c r="CO341" s="1134"/>
      <c r="CP341" s="1134"/>
      <c r="CQ341" s="1134"/>
      <c r="CR341" s="1134"/>
      <c r="CS341" s="1134"/>
      <c r="CT341" s="1134"/>
      <c r="CU341" s="1134"/>
      <c r="CV341" s="1134"/>
      <c r="CW341" s="1134"/>
      <c r="CX341" s="1134"/>
      <c r="CY341" s="1134"/>
      <c r="CZ341" s="1134"/>
      <c r="DA341" s="1134"/>
      <c r="DB341" s="1134"/>
      <c r="DC341" s="1134"/>
      <c r="DD341" s="1134"/>
      <c r="DE341" s="1134"/>
      <c r="DF341" s="1134"/>
      <c r="DG341" s="1134"/>
      <c r="DH341" s="1134"/>
      <c r="DI341" s="1134"/>
      <c r="DJ341" s="1134"/>
      <c r="DK341" s="1134"/>
      <c r="DL341" s="1134"/>
      <c r="DM341" s="1134"/>
      <c r="DN341" s="1134"/>
      <c r="DO341" s="1134"/>
      <c r="DP341" s="1134"/>
      <c r="DQ341" s="1134"/>
      <c r="DR341" s="1134"/>
      <c r="DS341" s="1134"/>
      <c r="DT341" s="1134"/>
      <c r="DU341" s="1134"/>
      <c r="DV341" s="1134"/>
      <c r="DW341" s="1134"/>
      <c r="DX341" s="1134"/>
      <c r="DY341" s="1134"/>
      <c r="DZ341" s="1147"/>
    </row>
    <row r="342" spans="4:130" s="834" customFormat="1">
      <c r="D342" s="1415"/>
      <c r="H342" s="1415"/>
      <c r="K342" s="1415"/>
      <c r="X342" s="1403"/>
      <c r="AF342" s="1403"/>
      <c r="AG342" s="1415"/>
      <c r="AK342" s="1415"/>
      <c r="AL342" s="1415"/>
      <c r="AM342" s="1415"/>
      <c r="AV342" s="1415"/>
      <c r="AW342" s="1403"/>
      <c r="CA342" s="1145"/>
      <c r="CB342" s="1153"/>
      <c r="CC342" s="1134"/>
      <c r="CD342" s="1134"/>
      <c r="CE342" s="1134"/>
      <c r="CF342" s="1134"/>
      <c r="CG342" s="1134"/>
      <c r="CH342" s="1134"/>
      <c r="CI342" s="1134"/>
      <c r="CJ342" s="1134"/>
      <c r="CK342" s="1134"/>
      <c r="CL342" s="1134"/>
      <c r="CM342" s="1134"/>
      <c r="CN342" s="1134"/>
      <c r="CO342" s="1134"/>
      <c r="CP342" s="1134"/>
      <c r="CQ342" s="1134"/>
      <c r="CR342" s="1134"/>
      <c r="CS342" s="1134"/>
      <c r="CT342" s="1134"/>
      <c r="CU342" s="1134"/>
      <c r="CV342" s="1134"/>
      <c r="CW342" s="1134"/>
      <c r="CX342" s="1134"/>
      <c r="CY342" s="1134"/>
      <c r="CZ342" s="1134"/>
      <c r="DA342" s="1134"/>
      <c r="DB342" s="1134"/>
      <c r="DC342" s="1134"/>
      <c r="DD342" s="1134"/>
      <c r="DE342" s="1134"/>
      <c r="DF342" s="1134"/>
      <c r="DG342" s="1134"/>
      <c r="DH342" s="1134"/>
      <c r="DI342" s="1134"/>
      <c r="DJ342" s="1134"/>
      <c r="DK342" s="1134"/>
      <c r="DL342" s="1134"/>
      <c r="DM342" s="1134"/>
      <c r="DN342" s="1134"/>
      <c r="DO342" s="1134"/>
      <c r="DP342" s="1134"/>
      <c r="DQ342" s="1134"/>
      <c r="DR342" s="1134"/>
      <c r="DS342" s="1134"/>
      <c r="DT342" s="1134"/>
      <c r="DU342" s="1134"/>
      <c r="DV342" s="1134"/>
      <c r="DW342" s="1134"/>
      <c r="DX342" s="1134"/>
      <c r="DY342" s="1134"/>
      <c r="DZ342" s="1147"/>
    </row>
    <row r="343" spans="4:130" s="834" customFormat="1">
      <c r="D343" s="1415"/>
      <c r="H343" s="1415"/>
      <c r="K343" s="1415"/>
      <c r="X343" s="1403"/>
      <c r="AF343" s="1403"/>
      <c r="AG343" s="1415"/>
      <c r="AK343" s="1415"/>
      <c r="AL343" s="1415"/>
      <c r="AM343" s="1415"/>
      <c r="AV343" s="1415"/>
      <c r="AW343" s="1403"/>
      <c r="CA343" s="1145"/>
      <c r="CB343" s="1153"/>
      <c r="CC343" s="1134"/>
      <c r="CD343" s="1134"/>
      <c r="CE343" s="1134"/>
      <c r="CF343" s="1134"/>
      <c r="CG343" s="1134"/>
      <c r="CH343" s="1134"/>
      <c r="CI343" s="1134"/>
      <c r="CJ343" s="1134"/>
      <c r="CK343" s="1134"/>
      <c r="CL343" s="1134"/>
      <c r="CM343" s="1134"/>
      <c r="CN343" s="1134"/>
      <c r="CO343" s="1134"/>
      <c r="CP343" s="1134"/>
      <c r="CQ343" s="1134"/>
      <c r="CR343" s="1134"/>
      <c r="CS343" s="1134"/>
      <c r="CT343" s="1134"/>
      <c r="CU343" s="1134"/>
      <c r="CV343" s="1134"/>
      <c r="CW343" s="1134"/>
      <c r="CX343" s="1134"/>
      <c r="CY343" s="1134"/>
      <c r="CZ343" s="1134"/>
      <c r="DA343" s="1134"/>
      <c r="DB343" s="1134"/>
      <c r="DC343" s="1134"/>
      <c r="DD343" s="1134"/>
      <c r="DE343" s="1134"/>
      <c r="DF343" s="1134"/>
      <c r="DG343" s="1134"/>
      <c r="DH343" s="1134"/>
      <c r="DI343" s="1134"/>
      <c r="DJ343" s="1134"/>
      <c r="DK343" s="1134"/>
      <c r="DL343" s="1134"/>
      <c r="DM343" s="1134"/>
      <c r="DN343" s="1134"/>
      <c r="DO343" s="1134"/>
      <c r="DP343" s="1134"/>
      <c r="DQ343" s="1134"/>
      <c r="DR343" s="1134"/>
      <c r="DS343" s="1134"/>
      <c r="DT343" s="1134"/>
      <c r="DU343" s="1134"/>
      <c r="DV343" s="1134"/>
      <c r="DW343" s="1134"/>
      <c r="DX343" s="1134"/>
      <c r="DY343" s="1134"/>
      <c r="DZ343" s="1147"/>
    </row>
    <row r="344" spans="4:130" s="834" customFormat="1">
      <c r="D344" s="1415"/>
      <c r="H344" s="1415"/>
      <c r="K344" s="1415"/>
      <c r="X344" s="1403"/>
      <c r="AF344" s="1403"/>
      <c r="AG344" s="1415"/>
      <c r="AK344" s="1415"/>
      <c r="AL344" s="1415"/>
      <c r="AM344" s="1415"/>
      <c r="AV344" s="1415"/>
      <c r="AW344" s="1403"/>
      <c r="CA344" s="1145"/>
      <c r="CB344" s="1153"/>
      <c r="CC344" s="1134"/>
      <c r="CD344" s="1134"/>
      <c r="CE344" s="1134"/>
      <c r="CF344" s="1134"/>
      <c r="CG344" s="1134"/>
      <c r="CH344" s="1134"/>
      <c r="CI344" s="1134"/>
      <c r="CJ344" s="1134"/>
      <c r="CK344" s="1134"/>
      <c r="CL344" s="1134"/>
      <c r="CM344" s="1134"/>
      <c r="CN344" s="1134"/>
      <c r="CO344" s="1134"/>
      <c r="CP344" s="1134"/>
      <c r="CQ344" s="1134"/>
      <c r="CR344" s="1134"/>
      <c r="CS344" s="1134"/>
      <c r="CT344" s="1134"/>
      <c r="CU344" s="1134"/>
      <c r="CV344" s="1134"/>
      <c r="CW344" s="1134"/>
      <c r="CX344" s="1134"/>
      <c r="CY344" s="1134"/>
      <c r="CZ344" s="1134"/>
      <c r="DA344" s="1134"/>
      <c r="DB344" s="1134"/>
      <c r="DC344" s="1134"/>
      <c r="DD344" s="1134"/>
      <c r="DE344" s="1134"/>
      <c r="DF344" s="1134"/>
      <c r="DG344" s="1134"/>
      <c r="DH344" s="1134"/>
      <c r="DI344" s="1134"/>
      <c r="DJ344" s="1134"/>
      <c r="DK344" s="1134"/>
      <c r="DL344" s="1134"/>
      <c r="DM344" s="1134"/>
      <c r="DN344" s="1134"/>
      <c r="DO344" s="1134"/>
      <c r="DP344" s="1134"/>
      <c r="DQ344" s="1134"/>
      <c r="DR344" s="1134"/>
      <c r="DS344" s="1134"/>
      <c r="DT344" s="1134"/>
      <c r="DU344" s="1134"/>
      <c r="DV344" s="1134"/>
      <c r="DW344" s="1134"/>
      <c r="DX344" s="1134"/>
      <c r="DY344" s="1134"/>
      <c r="DZ344" s="1147"/>
    </row>
    <row r="345" spans="4:130" s="834" customFormat="1">
      <c r="D345" s="1415"/>
      <c r="H345" s="1415"/>
      <c r="K345" s="1415"/>
      <c r="X345" s="1403"/>
      <c r="AF345" s="1403"/>
      <c r="AG345" s="1415"/>
      <c r="AK345" s="1415"/>
      <c r="AL345" s="1415"/>
      <c r="AM345" s="1415"/>
      <c r="AV345" s="1415"/>
      <c r="AW345" s="1403"/>
      <c r="CA345" s="1145"/>
      <c r="CB345" s="1153"/>
      <c r="CC345" s="1134"/>
      <c r="CD345" s="1134"/>
      <c r="CE345" s="1134"/>
      <c r="CF345" s="1134"/>
      <c r="CG345" s="1134"/>
      <c r="CH345" s="1134"/>
      <c r="CI345" s="1134"/>
      <c r="CJ345" s="1134"/>
      <c r="CK345" s="1134"/>
      <c r="CL345" s="1134"/>
      <c r="CM345" s="1134"/>
      <c r="CN345" s="1134"/>
      <c r="CO345" s="1134"/>
      <c r="CP345" s="1134"/>
      <c r="CQ345" s="1134"/>
      <c r="CR345" s="1134"/>
      <c r="CS345" s="1134"/>
      <c r="CT345" s="1134"/>
      <c r="CU345" s="1134"/>
      <c r="CV345" s="1134"/>
      <c r="CW345" s="1134"/>
      <c r="CX345" s="1134"/>
      <c r="CY345" s="1134"/>
      <c r="CZ345" s="1134"/>
      <c r="DA345" s="1134"/>
      <c r="DB345" s="1134"/>
      <c r="DC345" s="1134"/>
      <c r="DD345" s="1134"/>
      <c r="DE345" s="1134"/>
      <c r="DF345" s="1134"/>
      <c r="DG345" s="1134"/>
      <c r="DH345" s="1134"/>
      <c r="DI345" s="1134"/>
      <c r="DJ345" s="1134"/>
      <c r="DK345" s="1134"/>
      <c r="DL345" s="1134"/>
      <c r="DM345" s="1134"/>
      <c r="DN345" s="1134"/>
      <c r="DO345" s="1134"/>
      <c r="DP345" s="1134"/>
      <c r="DQ345" s="1134"/>
      <c r="DR345" s="1134"/>
      <c r="DS345" s="1134"/>
      <c r="DT345" s="1134"/>
      <c r="DU345" s="1134"/>
      <c r="DV345" s="1134"/>
      <c r="DW345" s="1134"/>
      <c r="DX345" s="1134"/>
      <c r="DY345" s="1134"/>
      <c r="DZ345" s="1147"/>
    </row>
    <row r="346" spans="4:130" s="834" customFormat="1">
      <c r="D346" s="1415"/>
      <c r="H346" s="1415"/>
      <c r="K346" s="1415"/>
      <c r="X346" s="1403"/>
      <c r="AF346" s="1403"/>
      <c r="AG346" s="1415"/>
      <c r="AK346" s="1415"/>
      <c r="AL346" s="1415"/>
      <c r="AM346" s="1415"/>
      <c r="AV346" s="1415"/>
      <c r="AW346" s="1403"/>
      <c r="CA346" s="1145"/>
      <c r="CB346" s="1153"/>
      <c r="CC346" s="1134"/>
      <c r="CD346" s="1134"/>
      <c r="CE346" s="1134"/>
      <c r="CF346" s="1134"/>
      <c r="CG346" s="1134"/>
      <c r="CH346" s="1134"/>
      <c r="CI346" s="1134"/>
      <c r="CJ346" s="1134"/>
      <c r="CK346" s="1134"/>
      <c r="CL346" s="1134"/>
      <c r="CM346" s="1134"/>
      <c r="CN346" s="1134"/>
      <c r="CO346" s="1134"/>
      <c r="CP346" s="1134"/>
      <c r="CQ346" s="1134"/>
      <c r="CR346" s="1134"/>
      <c r="CS346" s="1134"/>
      <c r="CT346" s="1134"/>
      <c r="CU346" s="1134"/>
      <c r="CV346" s="1134"/>
      <c r="CW346" s="1134"/>
      <c r="CX346" s="1134"/>
      <c r="CY346" s="1134"/>
      <c r="CZ346" s="1134"/>
      <c r="DA346" s="1134"/>
      <c r="DB346" s="1134"/>
      <c r="DC346" s="1134"/>
      <c r="DD346" s="1134"/>
      <c r="DE346" s="1134"/>
      <c r="DF346" s="1134"/>
      <c r="DG346" s="1134"/>
      <c r="DH346" s="1134"/>
      <c r="DI346" s="1134"/>
      <c r="DJ346" s="1134"/>
      <c r="DK346" s="1134"/>
      <c r="DL346" s="1134"/>
      <c r="DM346" s="1134"/>
      <c r="DN346" s="1134"/>
      <c r="DO346" s="1134"/>
      <c r="DP346" s="1134"/>
      <c r="DQ346" s="1134"/>
      <c r="DR346" s="1134"/>
      <c r="DS346" s="1134"/>
      <c r="DT346" s="1134"/>
      <c r="DU346" s="1134"/>
      <c r="DV346" s="1134"/>
      <c r="DW346" s="1134"/>
      <c r="DX346" s="1134"/>
      <c r="DY346" s="1134"/>
      <c r="DZ346" s="1147"/>
    </row>
    <row r="347" spans="4:130" s="834" customFormat="1">
      <c r="D347" s="1415"/>
      <c r="H347" s="1415"/>
      <c r="K347" s="1415"/>
      <c r="X347" s="1403"/>
      <c r="AF347" s="1403"/>
      <c r="AG347" s="1415"/>
      <c r="AK347" s="1415"/>
      <c r="AL347" s="1415"/>
      <c r="AM347" s="1415"/>
      <c r="AV347" s="1415"/>
      <c r="AW347" s="1403"/>
      <c r="CA347" s="1145"/>
      <c r="CB347" s="1153"/>
      <c r="CC347" s="1134"/>
      <c r="CD347" s="1134"/>
      <c r="CE347" s="1134"/>
      <c r="CF347" s="1134"/>
      <c r="CG347" s="1134"/>
      <c r="CH347" s="1134"/>
      <c r="CI347" s="1134"/>
      <c r="CJ347" s="1134"/>
      <c r="CK347" s="1134"/>
      <c r="CL347" s="1134"/>
      <c r="CM347" s="1134"/>
      <c r="CN347" s="1134"/>
      <c r="CO347" s="1134"/>
      <c r="CP347" s="1134"/>
      <c r="CQ347" s="1134"/>
      <c r="CR347" s="1134"/>
      <c r="CS347" s="1134"/>
      <c r="CT347" s="1134"/>
      <c r="CU347" s="1134"/>
      <c r="CV347" s="1134"/>
      <c r="CW347" s="1134"/>
      <c r="CX347" s="1134"/>
      <c r="CY347" s="1134"/>
      <c r="CZ347" s="1134"/>
      <c r="DA347" s="1134"/>
      <c r="DB347" s="1134"/>
      <c r="DC347" s="1134"/>
      <c r="DD347" s="1134"/>
      <c r="DE347" s="1134"/>
      <c r="DF347" s="1134"/>
      <c r="DG347" s="1134"/>
      <c r="DH347" s="1134"/>
      <c r="DI347" s="1134"/>
      <c r="DJ347" s="1134"/>
      <c r="DK347" s="1134"/>
      <c r="DL347" s="1134"/>
      <c r="DM347" s="1134"/>
      <c r="DN347" s="1134"/>
      <c r="DO347" s="1134"/>
      <c r="DP347" s="1134"/>
      <c r="DQ347" s="1134"/>
      <c r="DR347" s="1134"/>
      <c r="DS347" s="1134"/>
      <c r="DT347" s="1134"/>
      <c r="DU347" s="1134"/>
      <c r="DV347" s="1134"/>
      <c r="DW347" s="1134"/>
      <c r="DX347" s="1134"/>
      <c r="DY347" s="1134"/>
      <c r="DZ347" s="1147"/>
    </row>
    <row r="348" spans="4:130" s="834" customFormat="1">
      <c r="D348" s="1415"/>
      <c r="H348" s="1415"/>
      <c r="K348" s="1415"/>
      <c r="X348" s="1403"/>
      <c r="AF348" s="1403"/>
      <c r="AG348" s="1415"/>
      <c r="AK348" s="1415"/>
      <c r="AL348" s="1415"/>
      <c r="AM348" s="1415"/>
      <c r="AV348" s="1415"/>
      <c r="AW348" s="1403"/>
      <c r="CA348" s="1145"/>
      <c r="CB348" s="1153"/>
      <c r="CC348" s="1134"/>
      <c r="CD348" s="1134"/>
      <c r="CE348" s="1134"/>
      <c r="CF348" s="1134"/>
      <c r="CG348" s="1134"/>
      <c r="CH348" s="1134"/>
      <c r="CI348" s="1134"/>
      <c r="CJ348" s="1134"/>
      <c r="CK348" s="1134"/>
      <c r="CL348" s="1134"/>
      <c r="CM348" s="1134"/>
      <c r="CN348" s="1134"/>
      <c r="CO348" s="1134"/>
      <c r="CP348" s="1134"/>
      <c r="CQ348" s="1134"/>
      <c r="CR348" s="1134"/>
      <c r="CS348" s="1134"/>
      <c r="CT348" s="1134"/>
      <c r="CU348" s="1134"/>
      <c r="CV348" s="1134"/>
      <c r="CW348" s="1134"/>
      <c r="CX348" s="1134"/>
      <c r="CY348" s="1134"/>
      <c r="CZ348" s="1134"/>
      <c r="DA348" s="1134"/>
      <c r="DB348" s="1134"/>
      <c r="DC348" s="1134"/>
      <c r="DD348" s="1134"/>
      <c r="DE348" s="1134"/>
      <c r="DF348" s="1134"/>
      <c r="DG348" s="1134"/>
      <c r="DH348" s="1134"/>
      <c r="DI348" s="1134"/>
      <c r="DJ348" s="1134"/>
      <c r="DK348" s="1134"/>
      <c r="DL348" s="1134"/>
      <c r="DM348" s="1134"/>
      <c r="DN348" s="1134"/>
      <c r="DO348" s="1134"/>
      <c r="DP348" s="1134"/>
      <c r="DQ348" s="1134"/>
      <c r="DR348" s="1134"/>
      <c r="DS348" s="1134"/>
      <c r="DT348" s="1134"/>
      <c r="DU348" s="1134"/>
      <c r="DV348" s="1134"/>
      <c r="DW348" s="1134"/>
      <c r="DX348" s="1134"/>
      <c r="DY348" s="1134"/>
      <c r="DZ348" s="1147"/>
    </row>
    <row r="349" spans="4:130" s="834" customFormat="1">
      <c r="D349" s="1415"/>
      <c r="H349" s="1415"/>
      <c r="K349" s="1415"/>
      <c r="X349" s="1403"/>
      <c r="AF349" s="1403"/>
      <c r="AG349" s="1415"/>
      <c r="AK349" s="1415"/>
      <c r="AL349" s="1415"/>
      <c r="AM349" s="1415"/>
      <c r="AV349" s="1415"/>
      <c r="AW349" s="1403"/>
      <c r="CA349" s="1145"/>
      <c r="CB349" s="1153"/>
      <c r="CC349" s="1134"/>
      <c r="CD349" s="1134"/>
      <c r="CE349" s="1134"/>
      <c r="CF349" s="1134"/>
      <c r="CG349" s="1134"/>
      <c r="CH349" s="1134"/>
      <c r="CI349" s="1134"/>
      <c r="CJ349" s="1134"/>
      <c r="CK349" s="1134"/>
      <c r="CL349" s="1134"/>
      <c r="CM349" s="1134"/>
      <c r="CN349" s="1134"/>
      <c r="CO349" s="1134"/>
      <c r="CP349" s="1134"/>
      <c r="CQ349" s="1134"/>
      <c r="CR349" s="1134"/>
      <c r="CS349" s="1134"/>
      <c r="CT349" s="1134"/>
      <c r="CU349" s="1134"/>
      <c r="CV349" s="1134"/>
      <c r="CW349" s="1134"/>
      <c r="CX349" s="1134"/>
      <c r="CY349" s="1134"/>
      <c r="CZ349" s="1134"/>
      <c r="DA349" s="1134"/>
      <c r="DB349" s="1134"/>
      <c r="DC349" s="1134"/>
      <c r="DD349" s="1134"/>
      <c r="DE349" s="1134"/>
      <c r="DF349" s="1134"/>
      <c r="DG349" s="1134"/>
      <c r="DH349" s="1134"/>
      <c r="DI349" s="1134"/>
      <c r="DJ349" s="1134"/>
      <c r="DK349" s="1134"/>
      <c r="DL349" s="1134"/>
      <c r="DM349" s="1134"/>
      <c r="DN349" s="1134"/>
      <c r="DO349" s="1134"/>
      <c r="DP349" s="1134"/>
      <c r="DQ349" s="1134"/>
      <c r="DR349" s="1134"/>
      <c r="DS349" s="1134"/>
      <c r="DT349" s="1134"/>
      <c r="DU349" s="1134"/>
      <c r="DV349" s="1134"/>
      <c r="DW349" s="1134"/>
      <c r="DX349" s="1134"/>
      <c r="DY349" s="1134"/>
      <c r="DZ349" s="1147"/>
    </row>
    <row r="350" spans="4:130" s="834" customFormat="1">
      <c r="D350" s="1415"/>
      <c r="H350" s="1415"/>
      <c r="K350" s="1415"/>
      <c r="X350" s="1403"/>
      <c r="AF350" s="1403"/>
      <c r="AG350" s="1415"/>
      <c r="AK350" s="1415"/>
      <c r="AL350" s="1415"/>
      <c r="AM350" s="1415"/>
      <c r="AV350" s="1415"/>
      <c r="AW350" s="1403"/>
      <c r="CA350" s="1145"/>
      <c r="CB350" s="1153"/>
      <c r="CC350" s="1134"/>
      <c r="CD350" s="1134"/>
      <c r="CE350" s="1134"/>
      <c r="CF350" s="1134"/>
      <c r="CG350" s="1134"/>
      <c r="CH350" s="1134"/>
      <c r="CI350" s="1134"/>
      <c r="CJ350" s="1134"/>
      <c r="CK350" s="1134"/>
      <c r="CL350" s="1134"/>
      <c r="CM350" s="1134"/>
      <c r="CN350" s="1134"/>
      <c r="CO350" s="1134"/>
      <c r="CP350" s="1134"/>
      <c r="CQ350" s="1134"/>
      <c r="CR350" s="1134"/>
      <c r="CS350" s="1134"/>
      <c r="CT350" s="1134"/>
      <c r="CU350" s="1134"/>
      <c r="CV350" s="1134"/>
      <c r="CW350" s="1134"/>
      <c r="CX350" s="1134"/>
      <c r="CY350" s="1134"/>
      <c r="CZ350" s="1134"/>
      <c r="DA350" s="1134"/>
      <c r="DB350" s="1134"/>
      <c r="DC350" s="1134"/>
      <c r="DD350" s="1134"/>
      <c r="DE350" s="1134"/>
      <c r="DF350" s="1134"/>
      <c r="DG350" s="1134"/>
      <c r="DH350" s="1134"/>
      <c r="DI350" s="1134"/>
      <c r="DJ350" s="1134"/>
      <c r="DK350" s="1134"/>
      <c r="DL350" s="1134"/>
      <c r="DM350" s="1134"/>
      <c r="DN350" s="1134"/>
      <c r="DO350" s="1134"/>
      <c r="DP350" s="1134"/>
      <c r="DQ350" s="1134"/>
      <c r="DR350" s="1134"/>
      <c r="DS350" s="1134"/>
      <c r="DT350" s="1134"/>
      <c r="DU350" s="1134"/>
      <c r="DV350" s="1134"/>
      <c r="DW350" s="1134"/>
      <c r="DX350" s="1134"/>
      <c r="DY350" s="1134"/>
      <c r="DZ350" s="1147"/>
    </row>
    <row r="351" spans="4:130" s="834" customFormat="1">
      <c r="D351" s="1415"/>
      <c r="H351" s="1415"/>
      <c r="K351" s="1415"/>
      <c r="X351" s="1403"/>
      <c r="AF351" s="1403"/>
      <c r="AG351" s="1415"/>
      <c r="AK351" s="1415"/>
      <c r="AL351" s="1415"/>
      <c r="AM351" s="1415"/>
      <c r="AV351" s="1415"/>
      <c r="AW351" s="1403"/>
      <c r="CA351" s="1145"/>
      <c r="CB351" s="1153"/>
      <c r="CC351" s="1134"/>
      <c r="CD351" s="1134"/>
      <c r="CE351" s="1134"/>
      <c r="CF351" s="1134"/>
      <c r="CG351" s="1134"/>
      <c r="CH351" s="1134"/>
      <c r="CI351" s="1134"/>
      <c r="CJ351" s="1134"/>
      <c r="CK351" s="1134"/>
      <c r="CL351" s="1134"/>
      <c r="CM351" s="1134"/>
      <c r="CN351" s="1134"/>
      <c r="CO351" s="1134"/>
      <c r="CP351" s="1134"/>
      <c r="CQ351" s="1134"/>
      <c r="CR351" s="1134"/>
      <c r="CS351" s="1134"/>
      <c r="CT351" s="1134"/>
      <c r="CU351" s="1134"/>
      <c r="CV351" s="1134"/>
      <c r="CW351" s="1134"/>
      <c r="CX351" s="1134"/>
      <c r="CY351" s="1134"/>
      <c r="CZ351" s="1134"/>
      <c r="DA351" s="1134"/>
      <c r="DB351" s="1134"/>
      <c r="DC351" s="1134"/>
      <c r="DD351" s="1134"/>
      <c r="DE351" s="1134"/>
      <c r="DF351" s="1134"/>
      <c r="DG351" s="1134"/>
      <c r="DH351" s="1134"/>
      <c r="DI351" s="1134"/>
      <c r="DJ351" s="1134"/>
      <c r="DK351" s="1134"/>
      <c r="DL351" s="1134"/>
      <c r="DM351" s="1134"/>
      <c r="DN351" s="1134"/>
      <c r="DO351" s="1134"/>
      <c r="DP351" s="1134"/>
      <c r="DQ351" s="1134"/>
      <c r="DR351" s="1134"/>
      <c r="DS351" s="1134"/>
      <c r="DT351" s="1134"/>
      <c r="DU351" s="1134"/>
      <c r="DV351" s="1134"/>
      <c r="DW351" s="1134"/>
      <c r="DX351" s="1134"/>
      <c r="DY351" s="1134"/>
      <c r="DZ351" s="1147"/>
    </row>
    <row r="352" spans="4:130" s="834" customFormat="1">
      <c r="D352" s="1415"/>
      <c r="H352" s="1415"/>
      <c r="K352" s="1415"/>
      <c r="X352" s="1403"/>
      <c r="AF352" s="1403"/>
      <c r="AG352" s="1415"/>
      <c r="AK352" s="1415"/>
      <c r="AL352" s="1415"/>
      <c r="AM352" s="1415"/>
      <c r="AV352" s="1415"/>
      <c r="AW352" s="1403"/>
      <c r="CA352" s="1145"/>
      <c r="CB352" s="1153"/>
      <c r="CC352" s="1134"/>
      <c r="CD352" s="1134"/>
      <c r="CE352" s="1134"/>
      <c r="CF352" s="1134"/>
      <c r="CG352" s="1134"/>
      <c r="CH352" s="1134"/>
      <c r="CI352" s="1134"/>
      <c r="CJ352" s="1134"/>
      <c r="CK352" s="1134"/>
      <c r="CL352" s="1134"/>
      <c r="CM352" s="1134"/>
      <c r="CN352" s="1134"/>
      <c r="CO352" s="1134"/>
      <c r="CP352" s="1134"/>
      <c r="CQ352" s="1134"/>
      <c r="CR352" s="1134"/>
      <c r="CS352" s="1134"/>
      <c r="CT352" s="1134"/>
      <c r="CU352" s="1134"/>
      <c r="CV352" s="1134"/>
      <c r="CW352" s="1134"/>
      <c r="CX352" s="1134"/>
      <c r="CY352" s="1134"/>
      <c r="CZ352" s="1134"/>
      <c r="DA352" s="1134"/>
      <c r="DB352" s="1134"/>
      <c r="DC352" s="1134"/>
      <c r="DD352" s="1134"/>
      <c r="DE352" s="1134"/>
      <c r="DF352" s="1134"/>
      <c r="DG352" s="1134"/>
      <c r="DH352" s="1134"/>
      <c r="DI352" s="1134"/>
      <c r="DJ352" s="1134"/>
      <c r="DK352" s="1134"/>
      <c r="DL352" s="1134"/>
      <c r="DM352" s="1134"/>
      <c r="DN352" s="1134"/>
      <c r="DO352" s="1134"/>
      <c r="DP352" s="1134"/>
      <c r="DQ352" s="1134"/>
      <c r="DR352" s="1134"/>
      <c r="DS352" s="1134"/>
      <c r="DT352" s="1134"/>
      <c r="DU352" s="1134"/>
      <c r="DV352" s="1134"/>
      <c r="DW352" s="1134"/>
      <c r="DX352" s="1134"/>
      <c r="DY352" s="1134"/>
      <c r="DZ352" s="1147"/>
    </row>
    <row r="353" spans="4:130" s="834" customFormat="1">
      <c r="D353" s="1415"/>
      <c r="H353" s="1415"/>
      <c r="K353" s="1415"/>
      <c r="X353" s="1403"/>
      <c r="AF353" s="1403"/>
      <c r="AG353" s="1415"/>
      <c r="AK353" s="1415"/>
      <c r="AL353" s="1415"/>
      <c r="AM353" s="1415"/>
      <c r="AV353" s="1415"/>
      <c r="AW353" s="1403"/>
      <c r="CA353" s="1145"/>
      <c r="CB353" s="1153"/>
      <c r="CC353" s="1134"/>
      <c r="CD353" s="1134"/>
      <c r="CE353" s="1134"/>
      <c r="CF353" s="1134"/>
      <c r="CG353" s="1134"/>
      <c r="CH353" s="1134"/>
      <c r="CI353" s="1134"/>
      <c r="CJ353" s="1134"/>
      <c r="CK353" s="1134"/>
      <c r="CL353" s="1134"/>
      <c r="CM353" s="1134"/>
      <c r="CN353" s="1134"/>
      <c r="CO353" s="1134"/>
      <c r="CP353" s="1134"/>
      <c r="CQ353" s="1134"/>
      <c r="CR353" s="1134"/>
      <c r="CS353" s="1134"/>
      <c r="CT353" s="1134"/>
      <c r="CU353" s="1134"/>
      <c r="CV353" s="1134"/>
      <c r="CW353" s="1134"/>
      <c r="CX353" s="1134"/>
      <c r="CY353" s="1134"/>
      <c r="CZ353" s="1134"/>
      <c r="DA353" s="1134"/>
      <c r="DB353" s="1134"/>
      <c r="DC353" s="1134"/>
      <c r="DD353" s="1134"/>
      <c r="DE353" s="1134"/>
      <c r="DF353" s="1134"/>
      <c r="DG353" s="1134"/>
      <c r="DH353" s="1134"/>
      <c r="DI353" s="1134"/>
      <c r="DJ353" s="1134"/>
      <c r="DK353" s="1134"/>
      <c r="DL353" s="1134"/>
      <c r="DM353" s="1134"/>
      <c r="DN353" s="1134"/>
      <c r="DO353" s="1134"/>
      <c r="DP353" s="1134"/>
      <c r="DQ353" s="1134"/>
      <c r="DR353" s="1134"/>
      <c r="DS353" s="1134"/>
      <c r="DT353" s="1134"/>
      <c r="DU353" s="1134"/>
      <c r="DV353" s="1134"/>
      <c r="DW353" s="1134"/>
      <c r="DX353" s="1134"/>
      <c r="DY353" s="1134"/>
      <c r="DZ353" s="1147"/>
    </row>
    <row r="354" spans="4:130" s="834" customFormat="1">
      <c r="D354" s="1415"/>
      <c r="H354" s="1415"/>
      <c r="K354" s="1415"/>
      <c r="X354" s="1403"/>
      <c r="AF354" s="1403"/>
      <c r="AG354" s="1415"/>
      <c r="AK354" s="1415"/>
      <c r="AL354" s="1415"/>
      <c r="AM354" s="1415"/>
      <c r="AV354" s="1415"/>
      <c r="AW354" s="1403"/>
      <c r="CA354" s="1145"/>
      <c r="CB354" s="1153"/>
      <c r="CC354" s="1134"/>
      <c r="CD354" s="1134"/>
      <c r="CE354" s="1134"/>
      <c r="CF354" s="1134"/>
      <c r="CG354" s="1134"/>
      <c r="CH354" s="1134"/>
      <c r="CI354" s="1134"/>
      <c r="CJ354" s="1134"/>
      <c r="CK354" s="1134"/>
      <c r="CL354" s="1134"/>
      <c r="CM354" s="1134"/>
      <c r="CN354" s="1134"/>
      <c r="CO354" s="1134"/>
      <c r="CP354" s="1134"/>
      <c r="CQ354" s="1134"/>
      <c r="CR354" s="1134"/>
      <c r="CS354" s="1134"/>
      <c r="CT354" s="1134"/>
      <c r="CU354" s="1134"/>
      <c r="CV354" s="1134"/>
      <c r="CW354" s="1134"/>
      <c r="CX354" s="1134"/>
      <c r="CY354" s="1134"/>
      <c r="CZ354" s="1134"/>
      <c r="DA354" s="1134"/>
      <c r="DB354" s="1134"/>
      <c r="DC354" s="1134"/>
      <c r="DD354" s="1134"/>
      <c r="DE354" s="1134"/>
      <c r="DF354" s="1134"/>
      <c r="DG354" s="1134"/>
      <c r="DH354" s="1134"/>
      <c r="DI354" s="1134"/>
      <c r="DJ354" s="1134"/>
      <c r="DK354" s="1134"/>
      <c r="DL354" s="1134"/>
      <c r="DM354" s="1134"/>
      <c r="DN354" s="1134"/>
      <c r="DO354" s="1134"/>
      <c r="DP354" s="1134"/>
      <c r="DQ354" s="1134"/>
      <c r="DR354" s="1134"/>
      <c r="DS354" s="1134"/>
      <c r="DT354" s="1134"/>
      <c r="DU354" s="1134"/>
      <c r="DV354" s="1134"/>
      <c r="DW354" s="1134"/>
      <c r="DX354" s="1134"/>
      <c r="DY354" s="1134"/>
      <c r="DZ354" s="1147"/>
    </row>
    <row r="355" spans="4:130" s="834" customFormat="1">
      <c r="D355" s="1415"/>
      <c r="H355" s="1415"/>
      <c r="K355" s="1415"/>
      <c r="X355" s="1403"/>
      <c r="AF355" s="1403"/>
      <c r="AG355" s="1415"/>
      <c r="AK355" s="1415"/>
      <c r="AL355" s="1415"/>
      <c r="AM355" s="1415"/>
      <c r="AV355" s="1415"/>
      <c r="AW355" s="1403"/>
      <c r="CA355" s="1145"/>
      <c r="CB355" s="1153"/>
      <c r="CC355" s="1134"/>
      <c r="CD355" s="1134"/>
      <c r="CE355" s="1134"/>
      <c r="CF355" s="1134"/>
      <c r="CG355" s="1134"/>
      <c r="CH355" s="1134"/>
      <c r="CI355" s="1134"/>
      <c r="CJ355" s="1134"/>
      <c r="CK355" s="1134"/>
      <c r="CL355" s="1134"/>
      <c r="CM355" s="1134"/>
      <c r="CN355" s="1134"/>
      <c r="CO355" s="1134"/>
      <c r="CP355" s="1134"/>
      <c r="CQ355" s="1134"/>
      <c r="CR355" s="1134"/>
      <c r="CS355" s="1134"/>
      <c r="CT355" s="1134"/>
      <c r="CU355" s="1134"/>
      <c r="CV355" s="1134"/>
      <c r="CW355" s="1134"/>
      <c r="CX355" s="1134"/>
      <c r="CY355" s="1134"/>
      <c r="CZ355" s="1134"/>
      <c r="DA355" s="1134"/>
      <c r="DB355" s="1134"/>
      <c r="DC355" s="1134"/>
      <c r="DD355" s="1134"/>
      <c r="DE355" s="1134"/>
      <c r="DF355" s="1134"/>
      <c r="DG355" s="1134"/>
      <c r="DH355" s="1134"/>
      <c r="DI355" s="1134"/>
      <c r="DJ355" s="1134"/>
      <c r="DK355" s="1134"/>
      <c r="DL355" s="1134"/>
      <c r="DM355" s="1134"/>
      <c r="DN355" s="1134"/>
      <c r="DO355" s="1134"/>
      <c r="DP355" s="1134"/>
      <c r="DQ355" s="1134"/>
      <c r="DR355" s="1134"/>
      <c r="DS355" s="1134"/>
      <c r="DT355" s="1134"/>
      <c r="DU355" s="1134"/>
      <c r="DV355" s="1134"/>
      <c r="DW355" s="1134"/>
      <c r="DX355" s="1134"/>
      <c r="DY355" s="1134"/>
      <c r="DZ355" s="1147"/>
    </row>
    <row r="356" spans="4:130" s="834" customFormat="1">
      <c r="D356" s="1415"/>
      <c r="H356" s="1415"/>
      <c r="K356" s="1415"/>
      <c r="X356" s="1403"/>
      <c r="AF356" s="1403"/>
      <c r="AG356" s="1415"/>
      <c r="AK356" s="1415"/>
      <c r="AL356" s="1415"/>
      <c r="AM356" s="1415"/>
      <c r="AV356" s="1415"/>
      <c r="AW356" s="1403"/>
      <c r="CA356" s="1145"/>
      <c r="CB356" s="1153"/>
      <c r="CC356" s="1134"/>
      <c r="CD356" s="1134"/>
      <c r="CE356" s="1134"/>
      <c r="CF356" s="1134"/>
      <c r="CG356" s="1134"/>
      <c r="CH356" s="1134"/>
      <c r="CI356" s="1134"/>
      <c r="CJ356" s="1134"/>
      <c r="CK356" s="1134"/>
      <c r="CL356" s="1134"/>
      <c r="CM356" s="1134"/>
      <c r="CN356" s="1134"/>
      <c r="CO356" s="1134"/>
      <c r="CP356" s="1134"/>
      <c r="CQ356" s="1134"/>
      <c r="CR356" s="1134"/>
      <c r="CS356" s="1134"/>
      <c r="CT356" s="1134"/>
      <c r="CU356" s="1134"/>
      <c r="CV356" s="1134"/>
      <c r="CW356" s="1134"/>
      <c r="CX356" s="1134"/>
      <c r="CY356" s="1134"/>
      <c r="CZ356" s="1134"/>
      <c r="DA356" s="1134"/>
      <c r="DB356" s="1134"/>
      <c r="DC356" s="1134"/>
      <c r="DD356" s="1134"/>
      <c r="DE356" s="1134"/>
      <c r="DF356" s="1134"/>
      <c r="DG356" s="1134"/>
      <c r="DH356" s="1134"/>
      <c r="DI356" s="1134"/>
      <c r="DJ356" s="1134"/>
      <c r="DK356" s="1134"/>
      <c r="DL356" s="1134"/>
      <c r="DM356" s="1134"/>
      <c r="DN356" s="1134"/>
      <c r="DO356" s="1134"/>
      <c r="DP356" s="1134"/>
      <c r="DQ356" s="1134"/>
      <c r="DR356" s="1134"/>
      <c r="DS356" s="1134"/>
      <c r="DT356" s="1134"/>
      <c r="DU356" s="1134"/>
      <c r="DV356" s="1134"/>
      <c r="DW356" s="1134"/>
      <c r="DX356" s="1134"/>
      <c r="DY356" s="1134"/>
      <c r="DZ356" s="1147"/>
    </row>
    <row r="357" spans="4:130" s="834" customFormat="1">
      <c r="D357" s="1415"/>
      <c r="H357" s="1415"/>
      <c r="K357" s="1415"/>
      <c r="X357" s="1403"/>
      <c r="AF357" s="1403"/>
      <c r="AG357" s="1415"/>
      <c r="AK357" s="1415"/>
      <c r="AL357" s="1415"/>
      <c r="AM357" s="1415"/>
      <c r="AV357" s="1415"/>
      <c r="AW357" s="1403"/>
      <c r="CA357" s="1145"/>
      <c r="CB357" s="1153"/>
      <c r="CC357" s="1134"/>
      <c r="CD357" s="1134"/>
      <c r="CE357" s="1134"/>
      <c r="CF357" s="1134"/>
      <c r="CG357" s="1134"/>
      <c r="CH357" s="1134"/>
      <c r="CI357" s="1134"/>
      <c r="CJ357" s="1134"/>
      <c r="CK357" s="1134"/>
      <c r="CL357" s="1134"/>
      <c r="CM357" s="1134"/>
      <c r="CN357" s="1134"/>
      <c r="CO357" s="1134"/>
      <c r="CP357" s="1134"/>
      <c r="CQ357" s="1134"/>
      <c r="CR357" s="1134"/>
      <c r="CS357" s="1134"/>
      <c r="CT357" s="1134"/>
      <c r="CU357" s="1134"/>
      <c r="CV357" s="1134"/>
      <c r="CW357" s="1134"/>
      <c r="CX357" s="1134"/>
      <c r="CY357" s="1134"/>
      <c r="CZ357" s="1134"/>
      <c r="DA357" s="1134"/>
      <c r="DB357" s="1134"/>
      <c r="DC357" s="1134"/>
      <c r="DD357" s="1134"/>
      <c r="DE357" s="1134"/>
      <c r="DF357" s="1134"/>
      <c r="DG357" s="1134"/>
      <c r="DH357" s="1134"/>
      <c r="DI357" s="1134"/>
      <c r="DJ357" s="1134"/>
      <c r="DK357" s="1134"/>
      <c r="DL357" s="1134"/>
      <c r="DM357" s="1134"/>
      <c r="DN357" s="1134"/>
      <c r="DO357" s="1134"/>
      <c r="DP357" s="1134"/>
      <c r="DQ357" s="1134"/>
      <c r="DR357" s="1134"/>
      <c r="DS357" s="1134"/>
      <c r="DT357" s="1134"/>
      <c r="DU357" s="1134"/>
      <c r="DV357" s="1134"/>
      <c r="DW357" s="1134"/>
      <c r="DX357" s="1134"/>
      <c r="DY357" s="1134"/>
      <c r="DZ357" s="1147"/>
    </row>
    <row r="358" spans="4:130" s="834" customFormat="1">
      <c r="D358" s="1415"/>
      <c r="H358" s="1415"/>
      <c r="K358" s="1415"/>
      <c r="X358" s="1403"/>
      <c r="AF358" s="1403"/>
      <c r="AG358" s="1415"/>
      <c r="AK358" s="1415"/>
      <c r="AL358" s="1415"/>
      <c r="AM358" s="1415"/>
      <c r="AV358" s="1415"/>
      <c r="AW358" s="1403"/>
      <c r="CA358" s="1145"/>
      <c r="CB358" s="1153"/>
      <c r="CC358" s="1134"/>
      <c r="CD358" s="1134"/>
      <c r="CE358" s="1134"/>
      <c r="CF358" s="1134"/>
      <c r="CG358" s="1134"/>
      <c r="CH358" s="1134"/>
      <c r="CI358" s="1134"/>
      <c r="CJ358" s="1134"/>
      <c r="CK358" s="1134"/>
      <c r="CL358" s="1134"/>
      <c r="CM358" s="1134"/>
      <c r="CN358" s="1134"/>
      <c r="CO358" s="1134"/>
      <c r="CP358" s="1134"/>
      <c r="CQ358" s="1134"/>
      <c r="CR358" s="1134"/>
      <c r="CS358" s="1134"/>
      <c r="CT358" s="1134"/>
      <c r="CU358" s="1134"/>
      <c r="CV358" s="1134"/>
      <c r="CW358" s="1134"/>
      <c r="CX358" s="1134"/>
      <c r="CY358" s="1134"/>
      <c r="CZ358" s="1134"/>
      <c r="DA358" s="1134"/>
      <c r="DB358" s="1134"/>
      <c r="DC358" s="1134"/>
      <c r="DD358" s="1134"/>
      <c r="DE358" s="1134"/>
      <c r="DF358" s="1134"/>
      <c r="DG358" s="1134"/>
      <c r="DH358" s="1134"/>
      <c r="DI358" s="1134"/>
      <c r="DJ358" s="1134"/>
      <c r="DK358" s="1134"/>
      <c r="DL358" s="1134"/>
      <c r="DM358" s="1134"/>
      <c r="DN358" s="1134"/>
      <c r="DO358" s="1134"/>
      <c r="DP358" s="1134"/>
      <c r="DQ358" s="1134"/>
      <c r="DR358" s="1134"/>
      <c r="DS358" s="1134"/>
      <c r="DT358" s="1134"/>
      <c r="DU358" s="1134"/>
      <c r="DV358" s="1134"/>
      <c r="DW358" s="1134"/>
      <c r="DX358" s="1134"/>
      <c r="DY358" s="1134"/>
      <c r="DZ358" s="1147"/>
    </row>
    <row r="359" spans="4:130" s="834" customFormat="1">
      <c r="D359" s="1415"/>
      <c r="H359" s="1415"/>
      <c r="K359" s="1415"/>
      <c r="X359" s="1403"/>
      <c r="AF359" s="1403"/>
      <c r="AG359" s="1415"/>
      <c r="AK359" s="1415"/>
      <c r="AL359" s="1415"/>
      <c r="AM359" s="1415"/>
      <c r="AV359" s="1415"/>
      <c r="AW359" s="1403"/>
      <c r="CA359" s="1145"/>
      <c r="CB359" s="1153"/>
      <c r="CC359" s="1134"/>
      <c r="CD359" s="1134"/>
      <c r="CE359" s="1134"/>
      <c r="CF359" s="1134"/>
      <c r="CG359" s="1134"/>
      <c r="CH359" s="1134"/>
      <c r="CI359" s="1134"/>
      <c r="CJ359" s="1134"/>
      <c r="CK359" s="1134"/>
      <c r="CL359" s="1134"/>
      <c r="CM359" s="1134"/>
      <c r="CN359" s="1134"/>
      <c r="CO359" s="1134"/>
      <c r="CP359" s="1134"/>
      <c r="CQ359" s="1134"/>
      <c r="CR359" s="1134"/>
      <c r="CS359" s="1134"/>
      <c r="CT359" s="1134"/>
      <c r="CU359" s="1134"/>
      <c r="CV359" s="1134"/>
      <c r="CW359" s="1134"/>
      <c r="CX359" s="1134"/>
      <c r="CY359" s="1134"/>
      <c r="CZ359" s="1134"/>
      <c r="DA359" s="1134"/>
      <c r="DB359" s="1134"/>
      <c r="DC359" s="1134"/>
      <c r="DD359" s="1134"/>
      <c r="DE359" s="1134"/>
      <c r="DF359" s="1134"/>
      <c r="DG359" s="1134"/>
      <c r="DH359" s="1134"/>
      <c r="DI359" s="1134"/>
      <c r="DJ359" s="1134"/>
      <c r="DK359" s="1134"/>
      <c r="DL359" s="1134"/>
      <c r="DM359" s="1134"/>
      <c r="DN359" s="1134"/>
      <c r="DO359" s="1134"/>
      <c r="DP359" s="1134"/>
      <c r="DQ359" s="1134"/>
      <c r="DR359" s="1134"/>
      <c r="DS359" s="1134"/>
      <c r="DT359" s="1134"/>
      <c r="DU359" s="1134"/>
      <c r="DV359" s="1134"/>
      <c r="DW359" s="1134"/>
      <c r="DX359" s="1134"/>
      <c r="DY359" s="1134"/>
      <c r="DZ359" s="1147"/>
    </row>
    <row r="360" spans="4:130" s="834" customFormat="1">
      <c r="D360" s="1415"/>
      <c r="H360" s="1415"/>
      <c r="K360" s="1415"/>
      <c r="X360" s="1403"/>
      <c r="AF360" s="1403"/>
      <c r="AG360" s="1415"/>
      <c r="AK360" s="1415"/>
      <c r="AL360" s="1415"/>
      <c r="AM360" s="1415"/>
      <c r="AV360" s="1415"/>
      <c r="AW360" s="1403"/>
      <c r="CA360" s="1145"/>
      <c r="CB360" s="1153"/>
      <c r="CC360" s="1134"/>
      <c r="CD360" s="1134"/>
      <c r="CE360" s="1134"/>
      <c r="CF360" s="1134"/>
      <c r="CG360" s="1134"/>
      <c r="CH360" s="1134"/>
      <c r="CI360" s="1134"/>
      <c r="CJ360" s="1134"/>
      <c r="CK360" s="1134"/>
      <c r="CL360" s="1134"/>
      <c r="CM360" s="1134"/>
      <c r="CN360" s="1134"/>
      <c r="CO360" s="1134"/>
      <c r="CP360" s="1134"/>
      <c r="CQ360" s="1134"/>
      <c r="CR360" s="1134"/>
      <c r="CS360" s="1134"/>
      <c r="CT360" s="1134"/>
      <c r="CU360" s="1134"/>
      <c r="CV360" s="1134"/>
      <c r="CW360" s="1134"/>
      <c r="CX360" s="1134"/>
      <c r="CY360" s="1134"/>
      <c r="CZ360" s="1134"/>
      <c r="DA360" s="1134"/>
      <c r="DB360" s="1134"/>
      <c r="DC360" s="1134"/>
      <c r="DD360" s="1134"/>
      <c r="DE360" s="1134"/>
      <c r="DF360" s="1134"/>
      <c r="DG360" s="1134"/>
      <c r="DH360" s="1134"/>
      <c r="DI360" s="1134"/>
      <c r="DJ360" s="1134"/>
      <c r="DK360" s="1134"/>
      <c r="DL360" s="1134"/>
      <c r="DM360" s="1134"/>
      <c r="DN360" s="1134"/>
      <c r="DO360" s="1134"/>
      <c r="DP360" s="1134"/>
      <c r="DQ360" s="1134"/>
      <c r="DR360" s="1134"/>
      <c r="DS360" s="1134"/>
      <c r="DT360" s="1134"/>
      <c r="DU360" s="1134"/>
      <c r="DV360" s="1134"/>
      <c r="DW360" s="1134"/>
      <c r="DX360" s="1134"/>
      <c r="DY360" s="1134"/>
      <c r="DZ360" s="1147"/>
    </row>
    <row r="361" spans="4:130" s="834" customFormat="1">
      <c r="D361" s="1415"/>
      <c r="H361" s="1415"/>
      <c r="K361" s="1415"/>
      <c r="X361" s="1403"/>
      <c r="AF361" s="1403"/>
      <c r="AG361" s="1415"/>
      <c r="AK361" s="1415"/>
      <c r="AL361" s="1415"/>
      <c r="AM361" s="1415"/>
      <c r="AV361" s="1415"/>
      <c r="AW361" s="1403"/>
      <c r="CA361" s="1145"/>
      <c r="CB361" s="1153"/>
      <c r="CC361" s="1134"/>
      <c r="CD361" s="1134"/>
      <c r="CE361" s="1134"/>
      <c r="CF361" s="1134"/>
      <c r="CG361" s="1134"/>
      <c r="CH361" s="1134"/>
      <c r="CI361" s="1134"/>
      <c r="CJ361" s="1134"/>
      <c r="CK361" s="1134"/>
      <c r="CL361" s="1134"/>
      <c r="CM361" s="1134"/>
      <c r="CN361" s="1134"/>
      <c r="CO361" s="1134"/>
      <c r="CP361" s="1134"/>
      <c r="CQ361" s="1134"/>
      <c r="CR361" s="1134"/>
      <c r="CS361" s="1134"/>
      <c r="CT361" s="1134"/>
      <c r="CU361" s="1134"/>
      <c r="CV361" s="1134"/>
      <c r="CW361" s="1134"/>
      <c r="CX361" s="1134"/>
      <c r="CY361" s="1134"/>
      <c r="CZ361" s="1134"/>
      <c r="DA361" s="1134"/>
      <c r="DB361" s="1134"/>
      <c r="DC361" s="1134"/>
      <c r="DD361" s="1134"/>
      <c r="DE361" s="1134"/>
      <c r="DF361" s="1134"/>
      <c r="DG361" s="1134"/>
      <c r="DH361" s="1134"/>
      <c r="DI361" s="1134"/>
      <c r="DJ361" s="1134"/>
      <c r="DK361" s="1134"/>
      <c r="DL361" s="1134"/>
      <c r="DM361" s="1134"/>
      <c r="DN361" s="1134"/>
      <c r="DO361" s="1134"/>
      <c r="DP361" s="1134"/>
      <c r="DQ361" s="1134"/>
      <c r="DR361" s="1134"/>
      <c r="DS361" s="1134"/>
      <c r="DT361" s="1134"/>
      <c r="DU361" s="1134"/>
      <c r="DV361" s="1134"/>
      <c r="DW361" s="1134"/>
      <c r="DX361" s="1134"/>
      <c r="DY361" s="1134"/>
      <c r="DZ361" s="1147"/>
    </row>
    <row r="362" spans="4:130" s="834" customFormat="1">
      <c r="D362" s="1415"/>
      <c r="H362" s="1415"/>
      <c r="K362" s="1415"/>
      <c r="X362" s="1403"/>
      <c r="AF362" s="1403"/>
      <c r="AG362" s="1415"/>
      <c r="AK362" s="1415"/>
      <c r="AL362" s="1415"/>
      <c r="AM362" s="1415"/>
      <c r="AV362" s="1415"/>
      <c r="AW362" s="1403"/>
      <c r="CA362" s="1145"/>
      <c r="CB362" s="1153"/>
      <c r="CC362" s="1134"/>
      <c r="CD362" s="1134"/>
      <c r="CE362" s="1134"/>
      <c r="CF362" s="1134"/>
      <c r="CG362" s="1134"/>
      <c r="CH362" s="1134"/>
      <c r="CI362" s="1134"/>
      <c r="CJ362" s="1134"/>
      <c r="CK362" s="1134"/>
      <c r="CL362" s="1134"/>
      <c r="CM362" s="1134"/>
      <c r="CN362" s="1134"/>
      <c r="CO362" s="1134"/>
      <c r="CP362" s="1134"/>
      <c r="CQ362" s="1134"/>
      <c r="CR362" s="1134"/>
      <c r="CS362" s="1134"/>
      <c r="CT362" s="1134"/>
      <c r="CU362" s="1134"/>
      <c r="CV362" s="1134"/>
      <c r="CW362" s="1134"/>
      <c r="CX362" s="1134"/>
      <c r="CY362" s="1134"/>
      <c r="CZ362" s="1134"/>
      <c r="DA362" s="1134"/>
      <c r="DB362" s="1134"/>
      <c r="DC362" s="1134"/>
      <c r="DD362" s="1134"/>
      <c r="DE362" s="1134"/>
      <c r="DF362" s="1134"/>
      <c r="DG362" s="1134"/>
      <c r="DH362" s="1134"/>
      <c r="DI362" s="1134"/>
      <c r="DJ362" s="1134"/>
      <c r="DK362" s="1134"/>
      <c r="DL362" s="1134"/>
      <c r="DM362" s="1134"/>
      <c r="DN362" s="1134"/>
      <c r="DO362" s="1134"/>
      <c r="DP362" s="1134"/>
      <c r="DQ362" s="1134"/>
      <c r="DR362" s="1134"/>
      <c r="DS362" s="1134"/>
      <c r="DT362" s="1134"/>
      <c r="DU362" s="1134"/>
      <c r="DV362" s="1134"/>
      <c r="DW362" s="1134"/>
      <c r="DX362" s="1134"/>
      <c r="DY362" s="1134"/>
      <c r="DZ362" s="1147"/>
    </row>
    <row r="363" spans="4:130" s="834" customFormat="1">
      <c r="D363" s="1415"/>
      <c r="H363" s="1415"/>
      <c r="K363" s="1415"/>
      <c r="X363" s="1403"/>
      <c r="AF363" s="1403"/>
      <c r="AG363" s="1415"/>
      <c r="AK363" s="1415"/>
      <c r="AL363" s="1415"/>
      <c r="AM363" s="1415"/>
      <c r="AV363" s="1415"/>
      <c r="AW363" s="1403"/>
      <c r="CA363" s="1145"/>
      <c r="CB363" s="1153"/>
      <c r="CC363" s="1134"/>
      <c r="CD363" s="1134"/>
      <c r="CE363" s="1134"/>
      <c r="CF363" s="1134"/>
      <c r="CG363" s="1134"/>
      <c r="CH363" s="1134"/>
      <c r="CI363" s="1134"/>
      <c r="CJ363" s="1134"/>
      <c r="CK363" s="1134"/>
      <c r="CL363" s="1134"/>
      <c r="CM363" s="1134"/>
      <c r="CN363" s="1134"/>
      <c r="CO363" s="1134"/>
      <c r="CP363" s="1134"/>
      <c r="CQ363" s="1134"/>
      <c r="CR363" s="1134"/>
      <c r="CS363" s="1134"/>
      <c r="CT363" s="1134"/>
      <c r="CU363" s="1134"/>
      <c r="CV363" s="1134"/>
      <c r="CW363" s="1134"/>
      <c r="CX363" s="1134"/>
      <c r="CY363" s="1134"/>
      <c r="CZ363" s="1134"/>
      <c r="DA363" s="1134"/>
      <c r="DB363" s="1134"/>
      <c r="DC363" s="1134"/>
      <c r="DD363" s="1134"/>
      <c r="DE363" s="1134"/>
      <c r="DF363" s="1134"/>
      <c r="DG363" s="1134"/>
      <c r="DH363" s="1134"/>
      <c r="DI363" s="1134"/>
      <c r="DJ363" s="1134"/>
      <c r="DK363" s="1134"/>
      <c r="DL363" s="1134"/>
      <c r="DM363" s="1134"/>
      <c r="DN363" s="1134"/>
      <c r="DO363" s="1134"/>
      <c r="DP363" s="1134"/>
      <c r="DQ363" s="1134"/>
      <c r="DR363" s="1134"/>
      <c r="DS363" s="1134"/>
      <c r="DT363" s="1134"/>
      <c r="DU363" s="1134"/>
      <c r="DV363" s="1134"/>
      <c r="DW363" s="1134"/>
      <c r="DX363" s="1134"/>
      <c r="DY363" s="1134"/>
      <c r="DZ363" s="1147"/>
    </row>
    <row r="364" spans="4:130" s="834" customFormat="1">
      <c r="D364" s="1415"/>
      <c r="H364" s="1415"/>
      <c r="K364" s="1415"/>
      <c r="X364" s="1403"/>
      <c r="AF364" s="1403"/>
      <c r="AG364" s="1415"/>
      <c r="AK364" s="1415"/>
      <c r="AL364" s="1415"/>
      <c r="AM364" s="1415"/>
      <c r="AV364" s="1415"/>
      <c r="AW364" s="1403"/>
      <c r="CA364" s="1145"/>
      <c r="CB364" s="1153"/>
      <c r="CC364" s="1134"/>
      <c r="CD364" s="1134"/>
      <c r="CE364" s="1134"/>
      <c r="CF364" s="1134"/>
      <c r="CG364" s="1134"/>
      <c r="CH364" s="1134"/>
      <c r="CI364" s="1134"/>
      <c r="CJ364" s="1134"/>
      <c r="CK364" s="1134"/>
      <c r="CL364" s="1134"/>
      <c r="CM364" s="1134"/>
      <c r="CN364" s="1134"/>
      <c r="CO364" s="1134"/>
      <c r="CP364" s="1134"/>
      <c r="CQ364" s="1134"/>
      <c r="CR364" s="1134"/>
      <c r="CS364" s="1134"/>
      <c r="CT364" s="1134"/>
      <c r="CU364" s="1134"/>
      <c r="CV364" s="1134"/>
      <c r="CW364" s="1134"/>
      <c r="CX364" s="1134"/>
      <c r="CY364" s="1134"/>
      <c r="CZ364" s="1134"/>
      <c r="DA364" s="1134"/>
      <c r="DB364" s="1134"/>
      <c r="DC364" s="1134"/>
      <c r="DD364" s="1134"/>
      <c r="DE364" s="1134"/>
      <c r="DF364" s="1134"/>
      <c r="DG364" s="1134"/>
      <c r="DH364" s="1134"/>
      <c r="DI364" s="1134"/>
      <c r="DJ364" s="1134"/>
      <c r="DK364" s="1134"/>
      <c r="DL364" s="1134"/>
      <c r="DM364" s="1134"/>
      <c r="DN364" s="1134"/>
      <c r="DO364" s="1134"/>
      <c r="DP364" s="1134"/>
      <c r="DQ364" s="1134"/>
      <c r="DR364" s="1134"/>
      <c r="DS364" s="1134"/>
      <c r="DT364" s="1134"/>
      <c r="DU364" s="1134"/>
      <c r="DV364" s="1134"/>
      <c r="DW364" s="1134"/>
      <c r="DX364" s="1134"/>
      <c r="DY364" s="1134"/>
      <c r="DZ364" s="1147"/>
    </row>
    <row r="365" spans="4:130" s="834" customFormat="1">
      <c r="D365" s="1415"/>
      <c r="H365" s="1415"/>
      <c r="K365" s="1415"/>
      <c r="X365" s="1403"/>
      <c r="AF365" s="1403"/>
      <c r="AG365" s="1415"/>
      <c r="AK365" s="1415"/>
      <c r="AL365" s="1415"/>
      <c r="AM365" s="1415"/>
      <c r="AV365" s="1415"/>
      <c r="AW365" s="1403"/>
      <c r="CA365" s="1145"/>
      <c r="CB365" s="1153"/>
      <c r="CC365" s="1134"/>
      <c r="CD365" s="1134"/>
      <c r="CE365" s="1134"/>
      <c r="CF365" s="1134"/>
      <c r="CG365" s="1134"/>
      <c r="CH365" s="1134"/>
      <c r="CI365" s="1134"/>
      <c r="CJ365" s="1134"/>
      <c r="CK365" s="1134"/>
      <c r="CL365" s="1134"/>
      <c r="CM365" s="1134"/>
      <c r="CN365" s="1134"/>
      <c r="CO365" s="1134"/>
      <c r="CP365" s="1134"/>
      <c r="CQ365" s="1134"/>
      <c r="CR365" s="1134"/>
      <c r="CS365" s="1134"/>
      <c r="CT365" s="1134"/>
      <c r="CU365" s="1134"/>
      <c r="CV365" s="1134"/>
      <c r="CW365" s="1134"/>
      <c r="CX365" s="1134"/>
      <c r="CY365" s="1134"/>
      <c r="CZ365" s="1134"/>
      <c r="DA365" s="1134"/>
      <c r="DB365" s="1134"/>
      <c r="DC365" s="1134"/>
      <c r="DD365" s="1134"/>
      <c r="DE365" s="1134"/>
      <c r="DF365" s="1134"/>
      <c r="DG365" s="1134"/>
      <c r="DH365" s="1134"/>
      <c r="DI365" s="1134"/>
      <c r="DJ365" s="1134"/>
      <c r="DK365" s="1134"/>
      <c r="DL365" s="1134"/>
      <c r="DM365" s="1134"/>
      <c r="DN365" s="1134"/>
      <c r="DO365" s="1134"/>
      <c r="DP365" s="1134"/>
      <c r="DQ365" s="1134"/>
      <c r="DR365" s="1134"/>
      <c r="DS365" s="1134"/>
      <c r="DT365" s="1134"/>
      <c r="DU365" s="1134"/>
      <c r="DV365" s="1134"/>
      <c r="DW365" s="1134"/>
      <c r="DX365" s="1134"/>
      <c r="DY365" s="1134"/>
      <c r="DZ365" s="1147"/>
    </row>
    <row r="366" spans="4:130" s="834" customFormat="1">
      <c r="D366" s="1415"/>
      <c r="H366" s="1415"/>
      <c r="K366" s="1415"/>
      <c r="X366" s="1403"/>
      <c r="AF366" s="1403"/>
      <c r="AG366" s="1415"/>
      <c r="AK366" s="1415"/>
      <c r="AL366" s="1415"/>
      <c r="AM366" s="1415"/>
      <c r="AV366" s="1415"/>
      <c r="AW366" s="1403"/>
      <c r="CA366" s="1145"/>
      <c r="CB366" s="1153"/>
      <c r="CC366" s="1134"/>
      <c r="CD366" s="1134"/>
      <c r="CE366" s="1134"/>
      <c r="CF366" s="1134"/>
      <c r="CG366" s="1134"/>
      <c r="CH366" s="1134"/>
      <c r="CI366" s="1134"/>
      <c r="CJ366" s="1134"/>
      <c r="CK366" s="1134"/>
      <c r="CL366" s="1134"/>
      <c r="CM366" s="1134"/>
      <c r="CN366" s="1134"/>
      <c r="CO366" s="1134"/>
      <c r="CP366" s="1134"/>
      <c r="CQ366" s="1134"/>
      <c r="CR366" s="1134"/>
      <c r="CS366" s="1134"/>
      <c r="CT366" s="1134"/>
      <c r="CU366" s="1134"/>
      <c r="CV366" s="1134"/>
      <c r="CW366" s="1134"/>
      <c r="CX366" s="1134"/>
      <c r="CY366" s="1134"/>
      <c r="CZ366" s="1134"/>
      <c r="DA366" s="1134"/>
      <c r="DB366" s="1134"/>
      <c r="DC366" s="1134"/>
      <c r="DD366" s="1134"/>
      <c r="DE366" s="1134"/>
      <c r="DF366" s="1134"/>
      <c r="DG366" s="1134"/>
      <c r="DH366" s="1134"/>
      <c r="DI366" s="1134"/>
      <c r="DJ366" s="1134"/>
      <c r="DK366" s="1134"/>
      <c r="DL366" s="1134"/>
      <c r="DM366" s="1134"/>
      <c r="DN366" s="1134"/>
      <c r="DO366" s="1134"/>
      <c r="DP366" s="1134"/>
      <c r="DQ366" s="1134"/>
      <c r="DR366" s="1134"/>
      <c r="DS366" s="1134"/>
      <c r="DT366" s="1134"/>
      <c r="DU366" s="1134"/>
      <c r="DV366" s="1134"/>
      <c r="DW366" s="1134"/>
      <c r="DX366" s="1134"/>
      <c r="DY366" s="1134"/>
      <c r="DZ366" s="1147"/>
    </row>
    <row r="367" spans="4:130" s="834" customFormat="1">
      <c r="D367" s="1415"/>
      <c r="H367" s="1415"/>
      <c r="K367" s="1415"/>
      <c r="X367" s="1403"/>
      <c r="AF367" s="1403"/>
      <c r="AG367" s="1415"/>
      <c r="AK367" s="1415"/>
      <c r="AL367" s="1415"/>
      <c r="AM367" s="1415"/>
      <c r="AV367" s="1415"/>
      <c r="AW367" s="1403"/>
      <c r="CA367" s="1145"/>
      <c r="CB367" s="1153"/>
      <c r="CC367" s="1134"/>
      <c r="CD367" s="1134"/>
      <c r="CE367" s="1134"/>
      <c r="CF367" s="1134"/>
      <c r="CG367" s="1134"/>
      <c r="CH367" s="1134"/>
      <c r="CI367" s="1134"/>
      <c r="CJ367" s="1134"/>
      <c r="CK367" s="1134"/>
      <c r="CL367" s="1134"/>
      <c r="CM367" s="1134"/>
      <c r="CN367" s="1134"/>
      <c r="CO367" s="1134"/>
      <c r="CP367" s="1134"/>
      <c r="CQ367" s="1134"/>
      <c r="CR367" s="1134"/>
      <c r="CS367" s="1134"/>
      <c r="CT367" s="1134"/>
      <c r="CU367" s="1134"/>
      <c r="CV367" s="1134"/>
      <c r="CW367" s="1134"/>
      <c r="CX367" s="1134"/>
      <c r="CY367" s="1134"/>
      <c r="CZ367" s="1134"/>
      <c r="DA367" s="1134"/>
      <c r="DB367" s="1134"/>
      <c r="DC367" s="1134"/>
      <c r="DD367" s="1134"/>
      <c r="DE367" s="1134"/>
      <c r="DF367" s="1134"/>
      <c r="DG367" s="1134"/>
      <c r="DH367" s="1134"/>
      <c r="DI367" s="1134"/>
      <c r="DJ367" s="1134"/>
      <c r="DK367" s="1134"/>
      <c r="DL367" s="1134"/>
      <c r="DM367" s="1134"/>
      <c r="DN367" s="1134"/>
      <c r="DO367" s="1134"/>
      <c r="DP367" s="1134"/>
      <c r="DQ367" s="1134"/>
      <c r="DR367" s="1134"/>
      <c r="DS367" s="1134"/>
      <c r="DT367" s="1134"/>
      <c r="DU367" s="1134"/>
      <c r="DV367" s="1134"/>
      <c r="DW367" s="1134"/>
      <c r="DX367" s="1134"/>
      <c r="DY367" s="1134"/>
      <c r="DZ367" s="1147"/>
    </row>
    <row r="368" spans="4:130" s="834" customFormat="1">
      <c r="D368" s="1415"/>
      <c r="H368" s="1415"/>
      <c r="K368" s="1415"/>
      <c r="X368" s="1403"/>
      <c r="AF368" s="1403"/>
      <c r="AG368" s="1415"/>
      <c r="AK368" s="1415"/>
      <c r="AL368" s="1415"/>
      <c r="AM368" s="1415"/>
      <c r="AV368" s="1415"/>
      <c r="AW368" s="1403"/>
      <c r="CA368" s="1145"/>
      <c r="CB368" s="1153"/>
      <c r="CC368" s="1134"/>
      <c r="CD368" s="1134"/>
      <c r="CE368" s="1134"/>
      <c r="CF368" s="1134"/>
      <c r="CG368" s="1134"/>
      <c r="CH368" s="1134"/>
      <c r="CI368" s="1134"/>
      <c r="CJ368" s="1134"/>
      <c r="CK368" s="1134"/>
      <c r="CL368" s="1134"/>
      <c r="CM368" s="1134"/>
      <c r="CN368" s="1134"/>
      <c r="CO368" s="1134"/>
      <c r="CP368" s="1134"/>
      <c r="CQ368" s="1134"/>
      <c r="CR368" s="1134"/>
      <c r="CS368" s="1134"/>
      <c r="CT368" s="1134"/>
      <c r="CU368" s="1134"/>
      <c r="CV368" s="1134"/>
      <c r="CW368" s="1134"/>
      <c r="CX368" s="1134"/>
      <c r="CY368" s="1134"/>
      <c r="CZ368" s="1134"/>
      <c r="DA368" s="1134"/>
      <c r="DB368" s="1134"/>
      <c r="DC368" s="1134"/>
      <c r="DD368" s="1134"/>
      <c r="DE368" s="1134"/>
      <c r="DF368" s="1134"/>
      <c r="DG368" s="1134"/>
      <c r="DH368" s="1134"/>
      <c r="DI368" s="1134"/>
      <c r="DJ368" s="1134"/>
      <c r="DK368" s="1134"/>
      <c r="DL368" s="1134"/>
      <c r="DM368" s="1134"/>
      <c r="DN368" s="1134"/>
      <c r="DO368" s="1134"/>
      <c r="DP368" s="1134"/>
      <c r="DQ368" s="1134"/>
      <c r="DR368" s="1134"/>
      <c r="DS368" s="1134"/>
      <c r="DT368" s="1134"/>
      <c r="DU368" s="1134"/>
      <c r="DV368" s="1134"/>
      <c r="DW368" s="1134"/>
      <c r="DX368" s="1134"/>
      <c r="DY368" s="1134"/>
      <c r="DZ368" s="1147"/>
    </row>
    <row r="369" spans="4:130" s="834" customFormat="1">
      <c r="D369" s="1415"/>
      <c r="H369" s="1415"/>
      <c r="K369" s="1415"/>
      <c r="X369" s="1403"/>
      <c r="AF369" s="1403"/>
      <c r="AG369" s="1415"/>
      <c r="AK369" s="1415"/>
      <c r="AL369" s="1415"/>
      <c r="AM369" s="1415"/>
      <c r="AV369" s="1415"/>
      <c r="AW369" s="1403"/>
      <c r="CA369" s="1145"/>
      <c r="CB369" s="1153"/>
      <c r="CC369" s="1134"/>
      <c r="CD369" s="1134"/>
      <c r="CE369" s="1134"/>
      <c r="CF369" s="1134"/>
      <c r="CG369" s="1134"/>
      <c r="CH369" s="1134"/>
      <c r="CI369" s="1134"/>
      <c r="CJ369" s="1134"/>
      <c r="CK369" s="1134"/>
      <c r="CL369" s="1134"/>
      <c r="CM369" s="1134"/>
      <c r="CN369" s="1134"/>
      <c r="CO369" s="1134"/>
      <c r="CP369" s="1134"/>
      <c r="CQ369" s="1134"/>
      <c r="CR369" s="1134"/>
      <c r="CS369" s="1134"/>
      <c r="CT369" s="1134"/>
      <c r="CU369" s="1134"/>
      <c r="CV369" s="1134"/>
      <c r="CW369" s="1134"/>
      <c r="CX369" s="1134"/>
      <c r="CY369" s="1134"/>
      <c r="CZ369" s="1134"/>
      <c r="DA369" s="1134"/>
      <c r="DB369" s="1134"/>
      <c r="DC369" s="1134"/>
      <c r="DD369" s="1134"/>
      <c r="DE369" s="1134"/>
      <c r="DF369" s="1134"/>
      <c r="DG369" s="1134"/>
      <c r="DH369" s="1134"/>
      <c r="DI369" s="1134"/>
      <c r="DJ369" s="1134"/>
      <c r="DK369" s="1134"/>
      <c r="DL369" s="1134"/>
      <c r="DM369" s="1134"/>
      <c r="DN369" s="1134"/>
      <c r="DO369" s="1134"/>
      <c r="DP369" s="1134"/>
      <c r="DQ369" s="1134"/>
      <c r="DR369" s="1134"/>
      <c r="DS369" s="1134"/>
      <c r="DT369" s="1134"/>
      <c r="DU369" s="1134"/>
      <c r="DV369" s="1134"/>
      <c r="DW369" s="1134"/>
      <c r="DX369" s="1134"/>
      <c r="DY369" s="1134"/>
      <c r="DZ369" s="1147"/>
    </row>
    <row r="370" spans="4:130" s="834" customFormat="1">
      <c r="D370" s="1415"/>
      <c r="H370" s="1415"/>
      <c r="K370" s="1415"/>
      <c r="X370" s="1403"/>
      <c r="AF370" s="1403"/>
      <c r="AG370" s="1415"/>
      <c r="AK370" s="1415"/>
      <c r="AL370" s="1415"/>
      <c r="AM370" s="1415"/>
      <c r="AV370" s="1415"/>
      <c r="AW370" s="1403"/>
      <c r="CA370" s="1145"/>
      <c r="CB370" s="1153"/>
      <c r="CC370" s="1134"/>
      <c r="CD370" s="1134"/>
      <c r="CE370" s="1134"/>
      <c r="CF370" s="1134"/>
      <c r="CG370" s="1134"/>
      <c r="CH370" s="1134"/>
      <c r="CI370" s="1134"/>
      <c r="CJ370" s="1134"/>
      <c r="CK370" s="1134"/>
      <c r="CL370" s="1134"/>
      <c r="CM370" s="1134"/>
      <c r="CN370" s="1134"/>
      <c r="CO370" s="1134"/>
      <c r="CP370" s="1134"/>
      <c r="CQ370" s="1134"/>
      <c r="CR370" s="1134"/>
      <c r="CS370" s="1134"/>
      <c r="CT370" s="1134"/>
      <c r="CU370" s="1134"/>
      <c r="CV370" s="1134"/>
      <c r="CW370" s="1134"/>
      <c r="CX370" s="1134"/>
      <c r="CY370" s="1134"/>
      <c r="CZ370" s="1134"/>
      <c r="DA370" s="1134"/>
      <c r="DB370" s="1134"/>
      <c r="DC370" s="1134"/>
      <c r="DD370" s="1134"/>
      <c r="DE370" s="1134"/>
      <c r="DF370" s="1134"/>
      <c r="DG370" s="1134"/>
      <c r="DH370" s="1134"/>
      <c r="DI370" s="1134"/>
      <c r="DJ370" s="1134"/>
      <c r="DK370" s="1134"/>
      <c r="DL370" s="1134"/>
      <c r="DM370" s="1134"/>
      <c r="DN370" s="1134"/>
      <c r="DO370" s="1134"/>
      <c r="DP370" s="1134"/>
      <c r="DQ370" s="1134"/>
      <c r="DR370" s="1134"/>
      <c r="DS370" s="1134"/>
      <c r="DT370" s="1134"/>
      <c r="DU370" s="1134"/>
      <c r="DV370" s="1134"/>
      <c r="DW370" s="1134"/>
      <c r="DX370" s="1134"/>
      <c r="DY370" s="1134"/>
      <c r="DZ370" s="1147"/>
    </row>
    <row r="371" spans="4:130" s="834" customFormat="1">
      <c r="D371" s="1415"/>
      <c r="H371" s="1415"/>
      <c r="K371" s="1415"/>
      <c r="X371" s="1403"/>
      <c r="AF371" s="1403"/>
      <c r="AG371" s="1415"/>
      <c r="AK371" s="1415"/>
      <c r="AL371" s="1415"/>
      <c r="AM371" s="1415"/>
      <c r="AV371" s="1415"/>
      <c r="AW371" s="1403"/>
      <c r="CA371" s="1145"/>
      <c r="CB371" s="1153"/>
      <c r="CC371" s="1134"/>
      <c r="CD371" s="1134"/>
      <c r="CE371" s="1134"/>
      <c r="CF371" s="1134"/>
      <c r="CG371" s="1134"/>
      <c r="CH371" s="1134"/>
      <c r="CI371" s="1134"/>
      <c r="CJ371" s="1134"/>
      <c r="CK371" s="1134"/>
      <c r="CL371" s="1134"/>
      <c r="CM371" s="1134"/>
      <c r="CN371" s="1134"/>
      <c r="CO371" s="1134"/>
      <c r="CP371" s="1134"/>
      <c r="CQ371" s="1134"/>
      <c r="CR371" s="1134"/>
      <c r="CS371" s="1134"/>
      <c r="CT371" s="1134"/>
      <c r="CU371" s="1134"/>
      <c r="CV371" s="1134"/>
      <c r="CW371" s="1134"/>
      <c r="CX371" s="1134"/>
      <c r="CY371" s="1134"/>
      <c r="CZ371" s="1134"/>
      <c r="DA371" s="1134"/>
      <c r="DB371" s="1134"/>
      <c r="DC371" s="1134"/>
      <c r="DD371" s="1134"/>
      <c r="DE371" s="1134"/>
      <c r="DF371" s="1134"/>
      <c r="DG371" s="1134"/>
      <c r="DH371" s="1134"/>
      <c r="DI371" s="1134"/>
      <c r="DJ371" s="1134"/>
      <c r="DK371" s="1134"/>
      <c r="DL371" s="1134"/>
      <c r="DM371" s="1134"/>
      <c r="DN371" s="1134"/>
      <c r="DO371" s="1134"/>
      <c r="DP371" s="1134"/>
      <c r="DQ371" s="1134"/>
      <c r="DR371" s="1134"/>
      <c r="DS371" s="1134"/>
      <c r="DT371" s="1134"/>
      <c r="DU371" s="1134"/>
      <c r="DV371" s="1134"/>
      <c r="DW371" s="1134"/>
      <c r="DX371" s="1134"/>
      <c r="DY371" s="1134"/>
      <c r="DZ371" s="1147"/>
    </row>
    <row r="372" spans="4:130" s="834" customFormat="1">
      <c r="D372" s="1415"/>
      <c r="H372" s="1415"/>
      <c r="K372" s="1415"/>
      <c r="X372" s="1403"/>
      <c r="AF372" s="1403"/>
      <c r="AG372" s="1415"/>
      <c r="AK372" s="1415"/>
      <c r="AL372" s="1415"/>
      <c r="AM372" s="1415"/>
      <c r="AV372" s="1415"/>
      <c r="AW372" s="1403"/>
      <c r="CA372" s="1145"/>
      <c r="CB372" s="1153"/>
      <c r="CC372" s="1134"/>
      <c r="CD372" s="1134"/>
      <c r="CE372" s="1134"/>
      <c r="CF372" s="1134"/>
      <c r="CG372" s="1134"/>
      <c r="CH372" s="1134"/>
      <c r="CI372" s="1134"/>
      <c r="CJ372" s="1134"/>
      <c r="CK372" s="1134"/>
      <c r="CL372" s="1134"/>
      <c r="CM372" s="1134"/>
      <c r="CN372" s="1134"/>
      <c r="CO372" s="1134"/>
      <c r="CP372" s="1134"/>
      <c r="CQ372" s="1134"/>
      <c r="CR372" s="1134"/>
      <c r="CS372" s="1134"/>
      <c r="CT372" s="1134"/>
      <c r="CU372" s="1134"/>
      <c r="CV372" s="1134"/>
      <c r="CW372" s="1134"/>
      <c r="CX372" s="1134"/>
      <c r="CY372" s="1134"/>
      <c r="CZ372" s="1134"/>
      <c r="DA372" s="1134"/>
      <c r="DB372" s="1134"/>
      <c r="DC372" s="1134"/>
      <c r="DD372" s="1134"/>
      <c r="DE372" s="1134"/>
      <c r="DF372" s="1134"/>
      <c r="DG372" s="1134"/>
      <c r="DH372" s="1134"/>
      <c r="DI372" s="1134"/>
      <c r="DJ372" s="1134"/>
      <c r="DK372" s="1134"/>
      <c r="DL372" s="1134"/>
      <c r="DM372" s="1134"/>
      <c r="DN372" s="1134"/>
      <c r="DO372" s="1134"/>
      <c r="DP372" s="1134"/>
      <c r="DQ372" s="1134"/>
      <c r="DR372" s="1134"/>
      <c r="DS372" s="1134"/>
      <c r="DT372" s="1134"/>
      <c r="DU372" s="1134"/>
      <c r="DV372" s="1134"/>
      <c r="DW372" s="1134"/>
      <c r="DX372" s="1134"/>
      <c r="DY372" s="1134"/>
      <c r="DZ372" s="1147"/>
    </row>
    <row r="373" spans="4:130" s="834" customFormat="1">
      <c r="D373" s="1415"/>
      <c r="H373" s="1415"/>
      <c r="K373" s="1415"/>
      <c r="X373" s="1403"/>
      <c r="AF373" s="1403"/>
      <c r="AG373" s="1415"/>
      <c r="AK373" s="1415"/>
      <c r="AL373" s="1415"/>
      <c r="AM373" s="1415"/>
      <c r="AV373" s="1415"/>
      <c r="AW373" s="1403"/>
      <c r="CA373" s="1145"/>
      <c r="CB373" s="1153"/>
      <c r="CC373" s="1134"/>
      <c r="CD373" s="1134"/>
      <c r="CE373" s="1134"/>
      <c r="CF373" s="1134"/>
      <c r="CG373" s="1134"/>
      <c r="CH373" s="1134"/>
      <c r="CI373" s="1134"/>
      <c r="CJ373" s="1134"/>
      <c r="CK373" s="1134"/>
      <c r="CL373" s="1134"/>
      <c r="CM373" s="1134"/>
      <c r="CN373" s="1134"/>
      <c r="CO373" s="1134"/>
      <c r="CP373" s="1134"/>
      <c r="CQ373" s="1134"/>
      <c r="CR373" s="1134"/>
      <c r="CS373" s="1134"/>
      <c r="CT373" s="1134"/>
      <c r="CU373" s="1134"/>
      <c r="CV373" s="1134"/>
      <c r="CW373" s="1134"/>
      <c r="CX373" s="1134"/>
      <c r="CY373" s="1134"/>
      <c r="CZ373" s="1134"/>
      <c r="DA373" s="1134"/>
      <c r="DB373" s="1134"/>
      <c r="DC373" s="1134"/>
      <c r="DD373" s="1134"/>
      <c r="DE373" s="1134"/>
      <c r="DF373" s="1134"/>
      <c r="DG373" s="1134"/>
      <c r="DH373" s="1134"/>
      <c r="DI373" s="1134"/>
      <c r="DJ373" s="1134"/>
      <c r="DK373" s="1134"/>
      <c r="DL373" s="1134"/>
      <c r="DM373" s="1134"/>
      <c r="DN373" s="1134"/>
      <c r="DO373" s="1134"/>
      <c r="DP373" s="1134"/>
      <c r="DQ373" s="1134"/>
      <c r="DR373" s="1134"/>
      <c r="DS373" s="1134"/>
      <c r="DT373" s="1134"/>
      <c r="DU373" s="1134"/>
      <c r="DV373" s="1134"/>
      <c r="DW373" s="1134"/>
      <c r="DX373" s="1134"/>
      <c r="DY373" s="1134"/>
      <c r="DZ373" s="1147"/>
    </row>
    <row r="374" spans="4:130" s="834" customFormat="1">
      <c r="D374" s="1415"/>
      <c r="H374" s="1415"/>
      <c r="K374" s="1415"/>
      <c r="X374" s="1403"/>
      <c r="AF374" s="1403"/>
      <c r="AG374" s="1415"/>
      <c r="AK374" s="1415"/>
      <c r="AL374" s="1415"/>
      <c r="AM374" s="1415"/>
      <c r="AV374" s="1415"/>
      <c r="AW374" s="1403"/>
      <c r="CA374" s="1145"/>
      <c r="CB374" s="1153"/>
      <c r="CC374" s="1134"/>
      <c r="CD374" s="1134"/>
      <c r="CE374" s="1134"/>
      <c r="CF374" s="1134"/>
      <c r="CG374" s="1134"/>
      <c r="CH374" s="1134"/>
      <c r="CI374" s="1134"/>
      <c r="CJ374" s="1134"/>
      <c r="CK374" s="1134"/>
      <c r="CL374" s="1134"/>
      <c r="CM374" s="1134"/>
      <c r="CN374" s="1134"/>
      <c r="CO374" s="1134"/>
      <c r="CP374" s="1134"/>
      <c r="CQ374" s="1134"/>
      <c r="CR374" s="1134"/>
      <c r="CS374" s="1134"/>
      <c r="CT374" s="1134"/>
      <c r="CU374" s="1134"/>
      <c r="CV374" s="1134"/>
      <c r="CW374" s="1134"/>
      <c r="CX374" s="1134"/>
      <c r="CY374" s="1134"/>
      <c r="CZ374" s="1134"/>
      <c r="DA374" s="1134"/>
      <c r="DB374" s="1134"/>
      <c r="DC374" s="1134"/>
      <c r="DD374" s="1134"/>
      <c r="DE374" s="1134"/>
      <c r="DF374" s="1134"/>
      <c r="DG374" s="1134"/>
      <c r="DH374" s="1134"/>
      <c r="DI374" s="1134"/>
      <c r="DJ374" s="1134"/>
      <c r="DK374" s="1134"/>
      <c r="DL374" s="1134"/>
      <c r="DM374" s="1134"/>
      <c r="DN374" s="1134"/>
      <c r="DO374" s="1134"/>
      <c r="DP374" s="1134"/>
      <c r="DQ374" s="1134"/>
      <c r="DR374" s="1134"/>
      <c r="DS374" s="1134"/>
      <c r="DT374" s="1134"/>
      <c r="DU374" s="1134"/>
      <c r="DV374" s="1134"/>
      <c r="DW374" s="1134"/>
      <c r="DX374" s="1134"/>
      <c r="DY374" s="1134"/>
      <c r="DZ374" s="1147"/>
    </row>
    <row r="375" spans="4:130" s="834" customFormat="1">
      <c r="D375" s="1415"/>
      <c r="H375" s="1415"/>
      <c r="K375" s="1415"/>
      <c r="X375" s="1403"/>
      <c r="AF375" s="1403"/>
      <c r="AG375" s="1415"/>
      <c r="AK375" s="1415"/>
      <c r="AL375" s="1415"/>
      <c r="AM375" s="1415"/>
      <c r="AV375" s="1415"/>
      <c r="AW375" s="1403"/>
      <c r="CA375" s="1145"/>
      <c r="CB375" s="1153"/>
      <c r="CC375" s="1134"/>
      <c r="CD375" s="1134"/>
      <c r="CE375" s="1134"/>
      <c r="CF375" s="1134"/>
      <c r="CG375" s="1134"/>
      <c r="CH375" s="1134"/>
      <c r="CI375" s="1134"/>
      <c r="CJ375" s="1134"/>
      <c r="CK375" s="1134"/>
      <c r="CL375" s="1134"/>
      <c r="CM375" s="1134"/>
      <c r="CN375" s="1134"/>
      <c r="CO375" s="1134"/>
      <c r="CP375" s="1134"/>
      <c r="CQ375" s="1134"/>
      <c r="CR375" s="1134"/>
      <c r="CS375" s="1134"/>
      <c r="CT375" s="1134"/>
      <c r="CU375" s="1134"/>
      <c r="CV375" s="1134"/>
      <c r="CW375" s="1134"/>
      <c r="CX375" s="1134"/>
      <c r="CY375" s="1134"/>
      <c r="CZ375" s="1134"/>
      <c r="DA375" s="1134"/>
      <c r="DB375" s="1134"/>
      <c r="DC375" s="1134"/>
      <c r="DD375" s="1134"/>
      <c r="DE375" s="1134"/>
      <c r="DF375" s="1134"/>
      <c r="DG375" s="1134"/>
      <c r="DH375" s="1134"/>
      <c r="DI375" s="1134"/>
      <c r="DJ375" s="1134"/>
      <c r="DK375" s="1134"/>
      <c r="DL375" s="1134"/>
      <c r="DM375" s="1134"/>
      <c r="DN375" s="1134"/>
      <c r="DO375" s="1134"/>
      <c r="DP375" s="1134"/>
      <c r="DQ375" s="1134"/>
      <c r="DR375" s="1134"/>
      <c r="DS375" s="1134"/>
      <c r="DT375" s="1134"/>
      <c r="DU375" s="1134"/>
      <c r="DV375" s="1134"/>
      <c r="DW375" s="1134"/>
      <c r="DX375" s="1134"/>
      <c r="DY375" s="1134"/>
      <c r="DZ375" s="1147"/>
    </row>
    <row r="376" spans="4:130" s="834" customFormat="1">
      <c r="D376" s="1415"/>
      <c r="H376" s="1415"/>
      <c r="K376" s="1415"/>
      <c r="X376" s="1403"/>
      <c r="AF376" s="1403"/>
      <c r="AG376" s="1415"/>
      <c r="AK376" s="1415"/>
      <c r="AL376" s="1415"/>
      <c r="AM376" s="1415"/>
      <c r="AV376" s="1415"/>
      <c r="AW376" s="1403"/>
      <c r="CA376" s="1145"/>
      <c r="CB376" s="1153"/>
      <c r="CC376" s="1134"/>
      <c r="CD376" s="1134"/>
      <c r="CE376" s="1134"/>
      <c r="CF376" s="1134"/>
      <c r="CG376" s="1134"/>
      <c r="CH376" s="1134"/>
      <c r="CI376" s="1134"/>
      <c r="CJ376" s="1134"/>
      <c r="CK376" s="1134"/>
      <c r="CL376" s="1134"/>
      <c r="CM376" s="1134"/>
      <c r="CN376" s="1134"/>
      <c r="CO376" s="1134"/>
      <c r="CP376" s="1134"/>
      <c r="CQ376" s="1134"/>
      <c r="CR376" s="1134"/>
      <c r="CS376" s="1134"/>
      <c r="CT376" s="1134"/>
      <c r="CU376" s="1134"/>
      <c r="CV376" s="1134"/>
      <c r="CW376" s="1134"/>
      <c r="CX376" s="1134"/>
      <c r="CY376" s="1134"/>
      <c r="CZ376" s="1134"/>
      <c r="DA376" s="1134"/>
      <c r="DB376" s="1134"/>
      <c r="DC376" s="1134"/>
      <c r="DD376" s="1134"/>
      <c r="DE376" s="1134"/>
      <c r="DF376" s="1134"/>
      <c r="DG376" s="1134"/>
      <c r="DH376" s="1134"/>
      <c r="DI376" s="1134"/>
      <c r="DJ376" s="1134"/>
      <c r="DK376" s="1134"/>
      <c r="DL376" s="1134"/>
      <c r="DM376" s="1134"/>
      <c r="DN376" s="1134"/>
      <c r="DO376" s="1134"/>
      <c r="DP376" s="1134"/>
      <c r="DQ376" s="1134"/>
      <c r="DR376" s="1134"/>
      <c r="DS376" s="1134"/>
      <c r="DT376" s="1134"/>
      <c r="DU376" s="1134"/>
      <c r="DV376" s="1134"/>
      <c r="DW376" s="1134"/>
      <c r="DX376" s="1134"/>
      <c r="DY376" s="1134"/>
      <c r="DZ376" s="1147"/>
    </row>
    <row r="377" spans="4:130" s="834" customFormat="1">
      <c r="D377" s="1415"/>
      <c r="H377" s="1415"/>
      <c r="K377" s="1415"/>
      <c r="X377" s="1403"/>
      <c r="AF377" s="1403"/>
      <c r="AG377" s="1415"/>
      <c r="AK377" s="1415"/>
      <c r="AL377" s="1415"/>
      <c r="AM377" s="1415"/>
      <c r="AV377" s="1415"/>
      <c r="AW377" s="1403"/>
      <c r="CA377" s="1145"/>
      <c r="CB377" s="1153"/>
      <c r="CC377" s="1134"/>
      <c r="CD377" s="1134"/>
      <c r="CE377" s="1134"/>
      <c r="CF377" s="1134"/>
      <c r="CG377" s="1134"/>
      <c r="CH377" s="1134"/>
      <c r="CI377" s="1134"/>
      <c r="CJ377" s="1134"/>
      <c r="CK377" s="1134"/>
      <c r="CL377" s="1134"/>
      <c r="CM377" s="1134"/>
      <c r="CN377" s="1134"/>
      <c r="CO377" s="1134"/>
      <c r="CP377" s="1134"/>
      <c r="CQ377" s="1134"/>
      <c r="CR377" s="1134"/>
      <c r="CS377" s="1134"/>
      <c r="CT377" s="1134"/>
      <c r="CU377" s="1134"/>
      <c r="CV377" s="1134"/>
      <c r="CW377" s="1134"/>
      <c r="CX377" s="1134"/>
      <c r="CY377" s="1134"/>
      <c r="CZ377" s="1134"/>
      <c r="DA377" s="1134"/>
      <c r="DB377" s="1134"/>
      <c r="DC377" s="1134"/>
      <c r="DD377" s="1134"/>
      <c r="DE377" s="1134"/>
      <c r="DF377" s="1134"/>
      <c r="DG377" s="1134"/>
      <c r="DH377" s="1134"/>
      <c r="DI377" s="1134"/>
      <c r="DJ377" s="1134"/>
      <c r="DK377" s="1134"/>
      <c r="DL377" s="1134"/>
      <c r="DM377" s="1134"/>
      <c r="DN377" s="1134"/>
      <c r="DO377" s="1134"/>
      <c r="DP377" s="1134"/>
      <c r="DQ377" s="1134"/>
      <c r="DR377" s="1134"/>
      <c r="DS377" s="1134"/>
      <c r="DT377" s="1134"/>
      <c r="DU377" s="1134"/>
      <c r="DV377" s="1134"/>
      <c r="DW377" s="1134"/>
      <c r="DX377" s="1134"/>
      <c r="DY377" s="1134"/>
      <c r="DZ377" s="1147"/>
    </row>
    <row r="378" spans="4:130" s="834" customFormat="1">
      <c r="D378" s="1415"/>
      <c r="H378" s="1415"/>
      <c r="K378" s="1415"/>
      <c r="X378" s="1403"/>
      <c r="AF378" s="1403"/>
      <c r="AG378" s="1415"/>
      <c r="AK378" s="1415"/>
      <c r="AL378" s="1415"/>
      <c r="AM378" s="1415"/>
      <c r="AV378" s="1415"/>
      <c r="AW378" s="1403"/>
      <c r="CA378" s="1145"/>
      <c r="CB378" s="1153"/>
      <c r="CC378" s="1134"/>
      <c r="CD378" s="1134"/>
      <c r="CE378" s="1134"/>
      <c r="CF378" s="1134"/>
      <c r="CG378" s="1134"/>
      <c r="CH378" s="1134"/>
      <c r="CI378" s="1134"/>
      <c r="CJ378" s="1134"/>
      <c r="CK378" s="1134"/>
      <c r="CL378" s="1134"/>
      <c r="CM378" s="1134"/>
      <c r="CN378" s="1134"/>
      <c r="CO378" s="1134"/>
      <c r="CP378" s="1134"/>
      <c r="CQ378" s="1134"/>
      <c r="CR378" s="1134"/>
      <c r="CS378" s="1134"/>
      <c r="CT378" s="1134"/>
      <c r="CU378" s="1134"/>
      <c r="CV378" s="1134"/>
      <c r="CW378" s="1134"/>
      <c r="CX378" s="1134"/>
      <c r="CY378" s="1134"/>
      <c r="CZ378" s="1134"/>
      <c r="DA378" s="1134"/>
      <c r="DB378" s="1134"/>
      <c r="DC378" s="1134"/>
      <c r="DD378" s="1134"/>
      <c r="DE378" s="1134"/>
      <c r="DF378" s="1134"/>
      <c r="DG378" s="1134"/>
      <c r="DH378" s="1134"/>
      <c r="DI378" s="1134"/>
      <c r="DJ378" s="1134"/>
      <c r="DK378" s="1134"/>
      <c r="DL378" s="1134"/>
      <c r="DM378" s="1134"/>
      <c r="DN378" s="1134"/>
      <c r="DO378" s="1134"/>
      <c r="DP378" s="1134"/>
      <c r="DQ378" s="1134"/>
      <c r="DR378" s="1134"/>
      <c r="DS378" s="1134"/>
      <c r="DT378" s="1134"/>
      <c r="DU378" s="1134"/>
      <c r="DV378" s="1134"/>
      <c r="DW378" s="1134"/>
      <c r="DX378" s="1134"/>
      <c r="DY378" s="1134"/>
      <c r="DZ378" s="1147"/>
    </row>
    <row r="379" spans="4:130" s="834" customFormat="1">
      <c r="D379" s="1415"/>
      <c r="H379" s="1415"/>
      <c r="K379" s="1415"/>
      <c r="X379" s="1403"/>
      <c r="AF379" s="1403"/>
      <c r="AG379" s="1415"/>
      <c r="AK379" s="1415"/>
      <c r="AL379" s="1415"/>
      <c r="AM379" s="1415"/>
      <c r="AV379" s="1415"/>
      <c r="AW379" s="1403"/>
      <c r="CA379" s="1145"/>
      <c r="CB379" s="1153"/>
      <c r="CC379" s="1134"/>
      <c r="CD379" s="1134"/>
      <c r="CE379" s="1134"/>
      <c r="CF379" s="1134"/>
      <c r="CG379" s="1134"/>
      <c r="CH379" s="1134"/>
      <c r="CI379" s="1134"/>
      <c r="CJ379" s="1134"/>
      <c r="CK379" s="1134"/>
      <c r="CL379" s="1134"/>
      <c r="CM379" s="1134"/>
      <c r="CN379" s="1134"/>
      <c r="CO379" s="1134"/>
      <c r="CP379" s="1134"/>
      <c r="CQ379" s="1134"/>
      <c r="CR379" s="1134"/>
      <c r="CS379" s="1134"/>
      <c r="CT379" s="1134"/>
      <c r="CU379" s="1134"/>
      <c r="CV379" s="1134"/>
      <c r="CW379" s="1134"/>
      <c r="CX379" s="1134"/>
      <c r="CY379" s="1134"/>
      <c r="CZ379" s="1134"/>
      <c r="DA379" s="1134"/>
      <c r="DB379" s="1134"/>
      <c r="DC379" s="1134"/>
      <c r="DD379" s="1134"/>
      <c r="DE379" s="1134"/>
      <c r="DF379" s="1134"/>
      <c r="DG379" s="1134"/>
      <c r="DH379" s="1134"/>
      <c r="DI379" s="1134"/>
      <c r="DJ379" s="1134"/>
      <c r="DK379" s="1134"/>
      <c r="DL379" s="1134"/>
      <c r="DM379" s="1134"/>
      <c r="DN379" s="1134"/>
      <c r="DO379" s="1134"/>
      <c r="DP379" s="1134"/>
      <c r="DQ379" s="1134"/>
      <c r="DR379" s="1134"/>
      <c r="DS379" s="1134"/>
      <c r="DT379" s="1134"/>
      <c r="DU379" s="1134"/>
      <c r="DV379" s="1134"/>
      <c r="DW379" s="1134"/>
      <c r="DX379" s="1134"/>
      <c r="DY379" s="1134"/>
      <c r="DZ379" s="1147"/>
    </row>
    <row r="380" spans="4:130" s="834" customFormat="1">
      <c r="D380" s="1415"/>
      <c r="H380" s="1415"/>
      <c r="K380" s="1415"/>
      <c r="X380" s="1403"/>
      <c r="AF380" s="1403"/>
      <c r="AG380" s="1415"/>
      <c r="AK380" s="1415"/>
      <c r="AL380" s="1415"/>
      <c r="AM380" s="1415"/>
      <c r="AV380" s="1415"/>
      <c r="AW380" s="1403"/>
      <c r="CA380" s="1145"/>
      <c r="CB380" s="1153"/>
      <c r="CC380" s="1134"/>
      <c r="CD380" s="1134"/>
      <c r="CE380" s="1134"/>
      <c r="CF380" s="1134"/>
      <c r="CG380" s="1134"/>
      <c r="CH380" s="1134"/>
      <c r="CI380" s="1134"/>
      <c r="CJ380" s="1134"/>
      <c r="CK380" s="1134"/>
      <c r="CL380" s="1134"/>
      <c r="CM380" s="1134"/>
      <c r="CN380" s="1134"/>
      <c r="CO380" s="1134"/>
      <c r="CP380" s="1134"/>
      <c r="CQ380" s="1134"/>
      <c r="CR380" s="1134"/>
      <c r="CS380" s="1134"/>
      <c r="CT380" s="1134"/>
      <c r="CU380" s="1134"/>
      <c r="CV380" s="1134"/>
      <c r="CW380" s="1134"/>
      <c r="CX380" s="1134"/>
      <c r="CY380" s="1134"/>
      <c r="CZ380" s="1134"/>
      <c r="DA380" s="1134"/>
      <c r="DB380" s="1134"/>
      <c r="DC380" s="1134"/>
      <c r="DD380" s="1134"/>
      <c r="DE380" s="1134"/>
      <c r="DF380" s="1134"/>
      <c r="DG380" s="1134"/>
      <c r="DH380" s="1134"/>
      <c r="DI380" s="1134"/>
      <c r="DJ380" s="1134"/>
      <c r="DK380" s="1134"/>
      <c r="DL380" s="1134"/>
      <c r="DM380" s="1134"/>
      <c r="DN380" s="1134"/>
      <c r="DO380" s="1134"/>
      <c r="DP380" s="1134"/>
      <c r="DQ380" s="1134"/>
      <c r="DR380" s="1134"/>
      <c r="DS380" s="1134"/>
      <c r="DT380" s="1134"/>
      <c r="DU380" s="1134"/>
      <c r="DV380" s="1134"/>
      <c r="DW380" s="1134"/>
      <c r="DX380" s="1134"/>
      <c r="DY380" s="1134"/>
      <c r="DZ380" s="1147"/>
    </row>
    <row r="381" spans="4:130" s="834" customFormat="1">
      <c r="D381" s="1415"/>
      <c r="H381" s="1415"/>
      <c r="K381" s="1415"/>
      <c r="X381" s="1403"/>
      <c r="AF381" s="1403"/>
      <c r="AG381" s="1415"/>
      <c r="AK381" s="1415"/>
      <c r="AL381" s="1415"/>
      <c r="AM381" s="1415"/>
      <c r="AV381" s="1415"/>
      <c r="AW381" s="1403"/>
      <c r="CA381" s="1145"/>
      <c r="CB381" s="1153"/>
      <c r="CC381" s="1134"/>
      <c r="CD381" s="1134"/>
      <c r="CE381" s="1134"/>
      <c r="CF381" s="1134"/>
      <c r="CG381" s="1134"/>
      <c r="CH381" s="1134"/>
      <c r="CI381" s="1134"/>
      <c r="CJ381" s="1134"/>
      <c r="CK381" s="1134"/>
      <c r="CL381" s="1134"/>
      <c r="CM381" s="1134"/>
      <c r="CN381" s="1134"/>
      <c r="CO381" s="1134"/>
      <c r="CP381" s="1134"/>
      <c r="CQ381" s="1134"/>
      <c r="CR381" s="1134"/>
      <c r="CS381" s="1134"/>
      <c r="CT381" s="1134"/>
      <c r="CU381" s="1134"/>
      <c r="CV381" s="1134"/>
      <c r="CW381" s="1134"/>
      <c r="CX381" s="1134"/>
      <c r="CY381" s="1134"/>
      <c r="CZ381" s="1134"/>
      <c r="DA381" s="1134"/>
      <c r="DB381" s="1134"/>
      <c r="DC381" s="1134"/>
      <c r="DD381" s="1134"/>
      <c r="DE381" s="1134"/>
      <c r="DF381" s="1134"/>
      <c r="DG381" s="1134"/>
      <c r="DH381" s="1134"/>
      <c r="DI381" s="1134"/>
      <c r="DJ381" s="1134"/>
      <c r="DK381" s="1134"/>
      <c r="DL381" s="1134"/>
      <c r="DM381" s="1134"/>
      <c r="DN381" s="1134"/>
      <c r="DO381" s="1134"/>
      <c r="DP381" s="1134"/>
      <c r="DQ381" s="1134"/>
      <c r="DR381" s="1134"/>
      <c r="DS381" s="1134"/>
      <c r="DT381" s="1134"/>
      <c r="DU381" s="1134"/>
      <c r="DV381" s="1134"/>
      <c r="DW381" s="1134"/>
      <c r="DX381" s="1134"/>
      <c r="DY381" s="1134"/>
      <c r="DZ381" s="1147"/>
    </row>
    <row r="382" spans="4:130" s="834" customFormat="1">
      <c r="D382" s="1415"/>
      <c r="H382" s="1415"/>
      <c r="K382" s="1415"/>
      <c r="X382" s="1403"/>
      <c r="AF382" s="1403"/>
      <c r="AG382" s="1415"/>
      <c r="AK382" s="1415"/>
      <c r="AL382" s="1415"/>
      <c r="AM382" s="1415"/>
      <c r="AV382" s="1415"/>
      <c r="AW382" s="1403"/>
      <c r="CA382" s="1145"/>
      <c r="CB382" s="1153"/>
      <c r="CC382" s="1134"/>
      <c r="CD382" s="1134"/>
      <c r="CE382" s="1134"/>
      <c r="CF382" s="1134"/>
      <c r="CG382" s="1134"/>
      <c r="CH382" s="1134"/>
      <c r="CI382" s="1134"/>
      <c r="CJ382" s="1134"/>
      <c r="CK382" s="1134"/>
      <c r="CL382" s="1134"/>
      <c r="CM382" s="1134"/>
      <c r="CN382" s="1134"/>
      <c r="CO382" s="1134"/>
      <c r="CP382" s="1134"/>
      <c r="CQ382" s="1134"/>
      <c r="CR382" s="1134"/>
      <c r="CS382" s="1134"/>
      <c r="CT382" s="1134"/>
      <c r="CU382" s="1134"/>
      <c r="CV382" s="1134"/>
      <c r="CW382" s="1134"/>
      <c r="CX382" s="1134"/>
      <c r="CY382" s="1134"/>
      <c r="CZ382" s="1134"/>
      <c r="DA382" s="1134"/>
      <c r="DB382" s="1134"/>
      <c r="DC382" s="1134"/>
      <c r="DD382" s="1134"/>
      <c r="DE382" s="1134"/>
      <c r="DF382" s="1134"/>
      <c r="DG382" s="1134"/>
      <c r="DH382" s="1134"/>
      <c r="DI382" s="1134"/>
      <c r="DJ382" s="1134"/>
      <c r="DK382" s="1134"/>
      <c r="DL382" s="1134"/>
      <c r="DM382" s="1134"/>
      <c r="DN382" s="1134"/>
      <c r="DO382" s="1134"/>
      <c r="DP382" s="1134"/>
      <c r="DQ382" s="1134"/>
      <c r="DR382" s="1134"/>
      <c r="DS382" s="1134"/>
      <c r="DT382" s="1134"/>
      <c r="DU382" s="1134"/>
      <c r="DV382" s="1134"/>
      <c r="DW382" s="1134"/>
      <c r="DX382" s="1134"/>
      <c r="DY382" s="1134"/>
      <c r="DZ382" s="1147"/>
    </row>
    <row r="383" spans="4:130" s="834" customFormat="1">
      <c r="D383" s="1415"/>
      <c r="H383" s="1415"/>
      <c r="K383" s="1415"/>
      <c r="X383" s="1403"/>
      <c r="AF383" s="1403"/>
      <c r="AG383" s="1415"/>
      <c r="AK383" s="1415"/>
      <c r="AL383" s="1415"/>
      <c r="AM383" s="1415"/>
      <c r="AV383" s="1415"/>
      <c r="AW383" s="1403"/>
      <c r="CA383" s="1145"/>
      <c r="CB383" s="1153"/>
      <c r="CC383" s="1134"/>
      <c r="CD383" s="1134"/>
      <c r="CE383" s="1134"/>
      <c r="CF383" s="1134"/>
      <c r="CG383" s="1134"/>
      <c r="CH383" s="1134"/>
      <c r="CI383" s="1134"/>
      <c r="CJ383" s="1134"/>
      <c r="CK383" s="1134"/>
      <c r="CL383" s="1134"/>
      <c r="CM383" s="1134"/>
      <c r="CN383" s="1134"/>
      <c r="CO383" s="1134"/>
      <c r="CP383" s="1134"/>
      <c r="CQ383" s="1134"/>
      <c r="CR383" s="1134"/>
      <c r="CS383" s="1134"/>
      <c r="CT383" s="1134"/>
      <c r="CU383" s="1134"/>
      <c r="CV383" s="1134"/>
      <c r="CW383" s="1134"/>
      <c r="CX383" s="1134"/>
      <c r="CY383" s="1134"/>
      <c r="CZ383" s="1134"/>
      <c r="DA383" s="1134"/>
      <c r="DB383" s="1134"/>
      <c r="DC383" s="1134"/>
      <c r="DD383" s="1134"/>
      <c r="DE383" s="1134"/>
      <c r="DF383" s="1134"/>
      <c r="DG383" s="1134"/>
      <c r="DH383" s="1134"/>
      <c r="DI383" s="1134"/>
      <c r="DJ383" s="1134"/>
      <c r="DK383" s="1134"/>
      <c r="DL383" s="1134"/>
      <c r="DM383" s="1134"/>
      <c r="DN383" s="1134"/>
      <c r="DO383" s="1134"/>
      <c r="DP383" s="1134"/>
      <c r="DQ383" s="1134"/>
      <c r="DR383" s="1134"/>
      <c r="DS383" s="1134"/>
      <c r="DT383" s="1134"/>
      <c r="DU383" s="1134"/>
      <c r="DV383" s="1134"/>
      <c r="DW383" s="1134"/>
      <c r="DX383" s="1134"/>
      <c r="DY383" s="1134"/>
      <c r="DZ383" s="1147"/>
    </row>
    <row r="384" spans="4:130" s="834" customFormat="1">
      <c r="D384" s="1415"/>
      <c r="H384" s="1415"/>
      <c r="K384" s="1415"/>
      <c r="X384" s="1403"/>
      <c r="AF384" s="1403"/>
      <c r="AG384" s="1415"/>
      <c r="AK384" s="1415"/>
      <c r="AL384" s="1415"/>
      <c r="AM384" s="1415"/>
      <c r="AV384" s="1415"/>
      <c r="AW384" s="1403"/>
      <c r="CA384" s="1145"/>
      <c r="CB384" s="1153"/>
      <c r="CC384" s="1134"/>
      <c r="CD384" s="1134"/>
      <c r="CE384" s="1134"/>
      <c r="CF384" s="1134"/>
      <c r="CG384" s="1134"/>
      <c r="CH384" s="1134"/>
      <c r="CI384" s="1134"/>
      <c r="CJ384" s="1134"/>
      <c r="CK384" s="1134"/>
      <c r="CL384" s="1134"/>
      <c r="CM384" s="1134"/>
      <c r="CN384" s="1134"/>
      <c r="CO384" s="1134"/>
      <c r="CP384" s="1134"/>
      <c r="CQ384" s="1134"/>
      <c r="CR384" s="1134"/>
      <c r="CS384" s="1134"/>
      <c r="CT384" s="1134"/>
      <c r="CU384" s="1134"/>
      <c r="CV384" s="1134"/>
      <c r="CW384" s="1134"/>
      <c r="CX384" s="1134"/>
      <c r="CY384" s="1134"/>
      <c r="CZ384" s="1134"/>
      <c r="DA384" s="1134"/>
      <c r="DB384" s="1134"/>
      <c r="DC384" s="1134"/>
      <c r="DD384" s="1134"/>
      <c r="DE384" s="1134"/>
      <c r="DF384" s="1134"/>
      <c r="DG384" s="1134"/>
      <c r="DH384" s="1134"/>
      <c r="DI384" s="1134"/>
      <c r="DJ384" s="1134"/>
      <c r="DK384" s="1134"/>
      <c r="DL384" s="1134"/>
      <c r="DM384" s="1134"/>
      <c r="DN384" s="1134"/>
      <c r="DO384" s="1134"/>
      <c r="DP384" s="1134"/>
      <c r="DQ384" s="1134"/>
      <c r="DR384" s="1134"/>
      <c r="DS384" s="1134"/>
      <c r="DT384" s="1134"/>
      <c r="DU384" s="1134"/>
      <c r="DV384" s="1134"/>
      <c r="DW384" s="1134"/>
      <c r="DX384" s="1134"/>
      <c r="DY384" s="1134"/>
      <c r="DZ384" s="1147"/>
    </row>
    <row r="385" spans="4:130" s="834" customFormat="1">
      <c r="D385" s="1415"/>
      <c r="H385" s="1415"/>
      <c r="K385" s="1415"/>
      <c r="X385" s="1403"/>
      <c r="AF385" s="1403"/>
      <c r="AG385" s="1415"/>
      <c r="AK385" s="1415"/>
      <c r="AL385" s="1415"/>
      <c r="AM385" s="1415"/>
      <c r="AV385" s="1415"/>
      <c r="AW385" s="1403"/>
      <c r="CA385" s="1145"/>
      <c r="CB385" s="1153"/>
      <c r="CC385" s="1134"/>
      <c r="CD385" s="1134"/>
      <c r="CE385" s="1134"/>
      <c r="CF385" s="1134"/>
      <c r="CG385" s="1134"/>
      <c r="CH385" s="1134"/>
      <c r="CI385" s="1134"/>
      <c r="CJ385" s="1134"/>
      <c r="CK385" s="1134"/>
      <c r="CL385" s="1134"/>
      <c r="CM385" s="1134"/>
      <c r="CN385" s="1134"/>
      <c r="CO385" s="1134"/>
      <c r="CP385" s="1134"/>
      <c r="CQ385" s="1134"/>
      <c r="CR385" s="1134"/>
      <c r="CS385" s="1134"/>
      <c r="CT385" s="1134"/>
      <c r="CU385" s="1134"/>
      <c r="CV385" s="1134"/>
      <c r="CW385" s="1134"/>
      <c r="CX385" s="1134"/>
      <c r="CY385" s="1134"/>
      <c r="CZ385" s="1134"/>
      <c r="DA385" s="1134"/>
      <c r="DB385" s="1134"/>
      <c r="DC385" s="1134"/>
      <c r="DD385" s="1134"/>
      <c r="DE385" s="1134"/>
      <c r="DF385" s="1134"/>
      <c r="DG385" s="1134"/>
      <c r="DH385" s="1134"/>
      <c r="DI385" s="1134"/>
      <c r="DJ385" s="1134"/>
      <c r="DK385" s="1134"/>
      <c r="DL385" s="1134"/>
      <c r="DM385" s="1134"/>
      <c r="DN385" s="1134"/>
      <c r="DO385" s="1134"/>
      <c r="DP385" s="1134"/>
      <c r="DQ385" s="1134"/>
      <c r="DR385" s="1134"/>
      <c r="DS385" s="1134"/>
      <c r="DT385" s="1134"/>
      <c r="DU385" s="1134"/>
      <c r="DV385" s="1134"/>
      <c r="DW385" s="1134"/>
      <c r="DX385" s="1134"/>
      <c r="DY385" s="1134"/>
      <c r="DZ385" s="1147"/>
    </row>
    <row r="386" spans="4:130" s="834" customFormat="1">
      <c r="D386" s="1415"/>
      <c r="H386" s="1415"/>
      <c r="K386" s="1415"/>
      <c r="X386" s="1403"/>
      <c r="AF386" s="1403"/>
      <c r="AG386" s="1415"/>
      <c r="AK386" s="1415"/>
      <c r="AL386" s="1415"/>
      <c r="AM386" s="1415"/>
      <c r="AV386" s="1415"/>
      <c r="AW386" s="1403"/>
      <c r="CA386" s="1145"/>
      <c r="CB386" s="1153"/>
      <c r="CC386" s="1134"/>
      <c r="CD386" s="1134"/>
      <c r="CE386" s="1134"/>
      <c r="CF386" s="1134"/>
      <c r="CG386" s="1134"/>
      <c r="CH386" s="1134"/>
      <c r="CI386" s="1134"/>
      <c r="CJ386" s="1134"/>
      <c r="CK386" s="1134"/>
      <c r="CL386" s="1134"/>
      <c r="CM386" s="1134"/>
      <c r="CN386" s="1134"/>
      <c r="CO386" s="1134"/>
      <c r="CP386" s="1134"/>
      <c r="CQ386" s="1134"/>
      <c r="CR386" s="1134"/>
      <c r="CS386" s="1134"/>
      <c r="CT386" s="1134"/>
      <c r="CU386" s="1134"/>
      <c r="CV386" s="1134"/>
      <c r="CW386" s="1134"/>
      <c r="CX386" s="1134"/>
      <c r="CY386" s="1134"/>
      <c r="CZ386" s="1134"/>
      <c r="DA386" s="1134"/>
      <c r="DB386" s="1134"/>
      <c r="DC386" s="1134"/>
      <c r="DD386" s="1134"/>
      <c r="DE386" s="1134"/>
      <c r="DF386" s="1134"/>
      <c r="DG386" s="1134"/>
      <c r="DH386" s="1134"/>
      <c r="DI386" s="1134"/>
      <c r="DJ386" s="1134"/>
      <c r="DK386" s="1134"/>
      <c r="DL386" s="1134"/>
      <c r="DM386" s="1134"/>
      <c r="DN386" s="1134"/>
      <c r="DO386" s="1134"/>
      <c r="DP386" s="1134"/>
      <c r="DQ386" s="1134"/>
      <c r="DR386" s="1134"/>
      <c r="DS386" s="1134"/>
      <c r="DT386" s="1134"/>
      <c r="DU386" s="1134"/>
      <c r="DV386" s="1134"/>
      <c r="DW386" s="1134"/>
      <c r="DX386" s="1134"/>
      <c r="DY386" s="1134"/>
      <c r="DZ386" s="1147"/>
    </row>
    <row r="387" spans="4:130" s="834" customFormat="1">
      <c r="D387" s="1415"/>
      <c r="H387" s="1415"/>
      <c r="K387" s="1415"/>
      <c r="X387" s="1403"/>
      <c r="AF387" s="1403"/>
      <c r="AG387" s="1415"/>
      <c r="AK387" s="1415"/>
      <c r="AL387" s="1415"/>
      <c r="AM387" s="1415"/>
      <c r="AV387" s="1415"/>
      <c r="AW387" s="1403"/>
      <c r="CA387" s="1145"/>
      <c r="CB387" s="1153"/>
      <c r="CC387" s="1134"/>
      <c r="CD387" s="1134"/>
      <c r="CE387" s="1134"/>
      <c r="CF387" s="1134"/>
      <c r="CG387" s="1134"/>
      <c r="CH387" s="1134"/>
      <c r="CI387" s="1134"/>
      <c r="CJ387" s="1134"/>
      <c r="CK387" s="1134"/>
      <c r="CL387" s="1134"/>
      <c r="CM387" s="1134"/>
      <c r="CN387" s="1134"/>
      <c r="CO387" s="1134"/>
      <c r="CP387" s="1134"/>
      <c r="CQ387" s="1134"/>
      <c r="CR387" s="1134"/>
      <c r="CS387" s="1134"/>
      <c r="CT387" s="1134"/>
      <c r="CU387" s="1134"/>
      <c r="CV387" s="1134"/>
      <c r="CW387" s="1134"/>
      <c r="CX387" s="1134"/>
      <c r="CY387" s="1134"/>
      <c r="CZ387" s="1134"/>
      <c r="DA387" s="1134"/>
      <c r="DB387" s="1134"/>
      <c r="DC387" s="1134"/>
      <c r="DD387" s="1134"/>
      <c r="DE387" s="1134"/>
      <c r="DF387" s="1134"/>
      <c r="DG387" s="1134"/>
      <c r="DH387" s="1134"/>
      <c r="DI387" s="1134"/>
      <c r="DJ387" s="1134"/>
      <c r="DK387" s="1134"/>
      <c r="DL387" s="1134"/>
      <c r="DM387" s="1134"/>
      <c r="DN387" s="1134"/>
      <c r="DO387" s="1134"/>
      <c r="DP387" s="1134"/>
      <c r="DQ387" s="1134"/>
      <c r="DR387" s="1134"/>
      <c r="DS387" s="1134"/>
      <c r="DT387" s="1134"/>
      <c r="DU387" s="1134"/>
      <c r="DV387" s="1134"/>
      <c r="DW387" s="1134"/>
      <c r="DX387" s="1134"/>
      <c r="DY387" s="1134"/>
      <c r="DZ387" s="1147"/>
    </row>
    <row r="388" spans="4:130" s="834" customFormat="1">
      <c r="D388" s="1415"/>
      <c r="H388" s="1415"/>
      <c r="K388" s="1415"/>
      <c r="X388" s="1403"/>
      <c r="AF388" s="1403"/>
      <c r="AG388" s="1415"/>
      <c r="AK388" s="1415"/>
      <c r="AL388" s="1415"/>
      <c r="AM388" s="1415"/>
      <c r="AV388" s="1415"/>
      <c r="AW388" s="1403"/>
      <c r="CA388" s="1145"/>
      <c r="CB388" s="1153"/>
      <c r="CC388" s="1134"/>
      <c r="CD388" s="1134"/>
      <c r="CE388" s="1134"/>
      <c r="CF388" s="1134"/>
      <c r="CG388" s="1134"/>
      <c r="CH388" s="1134"/>
      <c r="CI388" s="1134"/>
      <c r="CJ388" s="1134"/>
      <c r="CK388" s="1134"/>
      <c r="CL388" s="1134"/>
      <c r="CM388" s="1134"/>
      <c r="CN388" s="1134"/>
      <c r="CO388" s="1134"/>
      <c r="CP388" s="1134"/>
      <c r="CQ388" s="1134"/>
      <c r="CR388" s="1134"/>
      <c r="CS388" s="1134"/>
      <c r="CT388" s="1134"/>
      <c r="CU388" s="1134"/>
      <c r="CV388" s="1134"/>
      <c r="CW388" s="1134"/>
      <c r="CX388" s="1134"/>
      <c r="CY388" s="1134"/>
      <c r="CZ388" s="1134"/>
      <c r="DA388" s="1134"/>
      <c r="DB388" s="1134"/>
      <c r="DC388" s="1134"/>
      <c r="DD388" s="1134"/>
      <c r="DE388" s="1134"/>
      <c r="DF388" s="1134"/>
      <c r="DG388" s="1134"/>
      <c r="DH388" s="1134"/>
      <c r="DI388" s="1134"/>
      <c r="DJ388" s="1134"/>
      <c r="DK388" s="1134"/>
      <c r="DL388" s="1134"/>
      <c r="DM388" s="1134"/>
      <c r="DN388" s="1134"/>
      <c r="DO388" s="1134"/>
      <c r="DP388" s="1134"/>
      <c r="DQ388" s="1134"/>
      <c r="DR388" s="1134"/>
      <c r="DS388" s="1134"/>
      <c r="DT388" s="1134"/>
      <c r="DU388" s="1134"/>
      <c r="DV388" s="1134"/>
      <c r="DW388" s="1134"/>
      <c r="DX388" s="1134"/>
      <c r="DY388" s="1134"/>
      <c r="DZ388" s="1147"/>
    </row>
    <row r="389" spans="4:130" s="834" customFormat="1">
      <c r="D389" s="1415"/>
      <c r="H389" s="1415"/>
      <c r="K389" s="1415"/>
      <c r="X389" s="1403"/>
      <c r="AF389" s="1403"/>
      <c r="AG389" s="1415"/>
      <c r="AK389" s="1415"/>
      <c r="AL389" s="1415"/>
      <c r="AM389" s="1415"/>
      <c r="AV389" s="1415"/>
      <c r="AW389" s="1403"/>
      <c r="CA389" s="1145"/>
      <c r="CB389" s="1153"/>
      <c r="CC389" s="1134"/>
      <c r="CD389" s="1134"/>
      <c r="CE389" s="1134"/>
      <c r="CF389" s="1134"/>
      <c r="CG389" s="1134"/>
      <c r="CH389" s="1134"/>
      <c r="CI389" s="1134"/>
      <c r="CJ389" s="1134"/>
      <c r="CK389" s="1134"/>
      <c r="CL389" s="1134"/>
      <c r="CM389" s="1134"/>
      <c r="CN389" s="1134"/>
      <c r="CO389" s="1134"/>
      <c r="CP389" s="1134"/>
      <c r="CQ389" s="1134"/>
      <c r="CR389" s="1134"/>
      <c r="CS389" s="1134"/>
      <c r="CT389" s="1134"/>
      <c r="CU389" s="1134"/>
      <c r="CV389" s="1134"/>
      <c r="CW389" s="1134"/>
      <c r="CX389" s="1134"/>
      <c r="CY389" s="1134"/>
      <c r="CZ389" s="1134"/>
      <c r="DA389" s="1134"/>
      <c r="DB389" s="1134"/>
      <c r="DC389" s="1134"/>
      <c r="DD389" s="1134"/>
      <c r="DE389" s="1134"/>
      <c r="DF389" s="1134"/>
      <c r="DG389" s="1134"/>
      <c r="DH389" s="1134"/>
      <c r="DI389" s="1134"/>
      <c r="DJ389" s="1134"/>
      <c r="DK389" s="1134"/>
      <c r="DL389" s="1134"/>
      <c r="DM389" s="1134"/>
      <c r="DN389" s="1134"/>
      <c r="DO389" s="1134"/>
      <c r="DP389" s="1134"/>
      <c r="DQ389" s="1134"/>
      <c r="DR389" s="1134"/>
      <c r="DS389" s="1134"/>
      <c r="DT389" s="1134"/>
      <c r="DU389" s="1134"/>
      <c r="DV389" s="1134"/>
      <c r="DW389" s="1134"/>
      <c r="DX389" s="1134"/>
      <c r="DY389" s="1134"/>
      <c r="DZ389" s="1147"/>
    </row>
    <row r="390" spans="4:130" s="834" customFormat="1">
      <c r="D390" s="1415"/>
      <c r="H390" s="1415"/>
      <c r="K390" s="1415"/>
      <c r="X390" s="1403"/>
      <c r="AF390" s="1403"/>
      <c r="AG390" s="1415"/>
      <c r="AK390" s="1415"/>
      <c r="AL390" s="1415"/>
      <c r="AM390" s="1415"/>
      <c r="AV390" s="1415"/>
      <c r="AW390" s="1403"/>
      <c r="CA390" s="1145"/>
      <c r="CB390" s="1153"/>
      <c r="CC390" s="1134"/>
      <c r="CD390" s="1134"/>
      <c r="CE390" s="1134"/>
      <c r="CF390" s="1134"/>
      <c r="CG390" s="1134"/>
      <c r="CH390" s="1134"/>
      <c r="CI390" s="1134"/>
      <c r="CJ390" s="1134"/>
      <c r="CK390" s="1134"/>
      <c r="CL390" s="1134"/>
      <c r="CM390" s="1134"/>
      <c r="CN390" s="1134"/>
      <c r="CO390" s="1134"/>
      <c r="CP390" s="1134"/>
      <c r="CQ390" s="1134"/>
      <c r="CR390" s="1134"/>
      <c r="CS390" s="1134"/>
      <c r="CT390" s="1134"/>
      <c r="CU390" s="1134"/>
      <c r="CV390" s="1134"/>
      <c r="CW390" s="1134"/>
      <c r="CX390" s="1134"/>
      <c r="CY390" s="1134"/>
      <c r="CZ390" s="1134"/>
      <c r="DA390" s="1134"/>
      <c r="DB390" s="1134"/>
      <c r="DC390" s="1134"/>
      <c r="DD390" s="1134"/>
      <c r="DE390" s="1134"/>
      <c r="DF390" s="1134"/>
      <c r="DG390" s="1134"/>
      <c r="DH390" s="1134"/>
      <c r="DI390" s="1134"/>
      <c r="DJ390" s="1134"/>
      <c r="DK390" s="1134"/>
      <c r="DL390" s="1134"/>
      <c r="DM390" s="1134"/>
      <c r="DN390" s="1134"/>
      <c r="DO390" s="1134"/>
      <c r="DP390" s="1134"/>
      <c r="DQ390" s="1134"/>
      <c r="DR390" s="1134"/>
      <c r="DS390" s="1134"/>
      <c r="DT390" s="1134"/>
      <c r="DU390" s="1134"/>
      <c r="DV390" s="1134"/>
      <c r="DW390" s="1134"/>
      <c r="DX390" s="1134"/>
      <c r="DY390" s="1134"/>
      <c r="DZ390" s="1147"/>
    </row>
    <row r="391" spans="4:130" s="834" customFormat="1">
      <c r="D391" s="1415"/>
      <c r="H391" s="1415"/>
      <c r="K391" s="1415"/>
      <c r="X391" s="1403"/>
      <c r="AF391" s="1403"/>
      <c r="AG391" s="1415"/>
      <c r="AK391" s="1415"/>
      <c r="AL391" s="1415"/>
      <c r="AM391" s="1415"/>
      <c r="AV391" s="1415"/>
      <c r="AW391" s="1403"/>
      <c r="CA391" s="1145"/>
      <c r="CB391" s="1153"/>
      <c r="CC391" s="1134"/>
      <c r="CD391" s="1134"/>
      <c r="CE391" s="1134"/>
      <c r="CF391" s="1134"/>
      <c r="CG391" s="1134"/>
      <c r="CH391" s="1134"/>
      <c r="CI391" s="1134"/>
      <c r="CJ391" s="1134"/>
      <c r="CK391" s="1134"/>
      <c r="CL391" s="1134"/>
      <c r="CM391" s="1134"/>
      <c r="CN391" s="1134"/>
      <c r="CO391" s="1134"/>
      <c r="CP391" s="1134"/>
      <c r="CQ391" s="1134"/>
      <c r="CR391" s="1134"/>
      <c r="CS391" s="1134"/>
      <c r="CT391" s="1134"/>
      <c r="CU391" s="1134"/>
      <c r="CV391" s="1134"/>
      <c r="CW391" s="1134"/>
      <c r="CX391" s="1134"/>
      <c r="CY391" s="1134"/>
      <c r="CZ391" s="1134"/>
      <c r="DA391" s="1134"/>
      <c r="DB391" s="1134"/>
      <c r="DC391" s="1134"/>
      <c r="DD391" s="1134"/>
      <c r="DE391" s="1134"/>
      <c r="DF391" s="1134"/>
      <c r="DG391" s="1134"/>
      <c r="DH391" s="1134"/>
      <c r="DI391" s="1134"/>
      <c r="DJ391" s="1134"/>
      <c r="DK391" s="1134"/>
      <c r="DL391" s="1134"/>
      <c r="DM391" s="1134"/>
      <c r="DN391" s="1134"/>
      <c r="DO391" s="1134"/>
      <c r="DP391" s="1134"/>
      <c r="DQ391" s="1134"/>
      <c r="DR391" s="1134"/>
      <c r="DS391" s="1134"/>
      <c r="DT391" s="1134"/>
      <c r="DU391" s="1134"/>
      <c r="DV391" s="1134"/>
      <c r="DW391" s="1134"/>
      <c r="DX391" s="1134"/>
      <c r="DY391" s="1134"/>
      <c r="DZ391" s="1147"/>
    </row>
    <row r="392" spans="4:130" s="834" customFormat="1">
      <c r="D392" s="1415"/>
      <c r="H392" s="1415"/>
      <c r="K392" s="1415"/>
      <c r="X392" s="1403"/>
      <c r="AF392" s="1403"/>
      <c r="AG392" s="1415"/>
      <c r="AK392" s="1415"/>
      <c r="AL392" s="1415"/>
      <c r="AM392" s="1415"/>
      <c r="AV392" s="1415"/>
      <c r="AW392" s="1403"/>
      <c r="CA392" s="1145"/>
      <c r="CB392" s="1153"/>
      <c r="CC392" s="1134"/>
      <c r="CD392" s="1134"/>
      <c r="CE392" s="1134"/>
      <c r="CF392" s="1134"/>
      <c r="CG392" s="1134"/>
      <c r="CH392" s="1134"/>
      <c r="CI392" s="1134"/>
      <c r="CJ392" s="1134"/>
      <c r="CK392" s="1134"/>
      <c r="CL392" s="1134"/>
      <c r="CM392" s="1134"/>
      <c r="CN392" s="1134"/>
      <c r="CO392" s="1134"/>
      <c r="CP392" s="1134"/>
      <c r="CQ392" s="1134"/>
      <c r="CR392" s="1134"/>
      <c r="CS392" s="1134"/>
      <c r="CT392" s="1134"/>
      <c r="CU392" s="1134"/>
      <c r="CV392" s="1134"/>
      <c r="CW392" s="1134"/>
      <c r="CX392" s="1134"/>
      <c r="CY392" s="1134"/>
      <c r="CZ392" s="1134"/>
      <c r="DA392" s="1134"/>
      <c r="DB392" s="1134"/>
      <c r="DC392" s="1134"/>
      <c r="DD392" s="1134"/>
      <c r="DE392" s="1134"/>
      <c r="DF392" s="1134"/>
      <c r="DG392" s="1134"/>
      <c r="DH392" s="1134"/>
      <c r="DI392" s="1134"/>
      <c r="DJ392" s="1134"/>
      <c r="DK392" s="1134"/>
      <c r="DL392" s="1134"/>
      <c r="DM392" s="1134"/>
      <c r="DN392" s="1134"/>
      <c r="DO392" s="1134"/>
      <c r="DP392" s="1134"/>
      <c r="DQ392" s="1134"/>
      <c r="DR392" s="1134"/>
      <c r="DS392" s="1134"/>
      <c r="DT392" s="1134"/>
      <c r="DU392" s="1134"/>
      <c r="DV392" s="1134"/>
      <c r="DW392" s="1134"/>
      <c r="DX392" s="1134"/>
      <c r="DY392" s="1134"/>
      <c r="DZ392" s="1147"/>
    </row>
    <row r="393" spans="4:130" s="834" customFormat="1">
      <c r="D393" s="1415"/>
      <c r="H393" s="1415"/>
      <c r="K393" s="1415"/>
      <c r="X393" s="1403"/>
      <c r="AF393" s="1403"/>
      <c r="AG393" s="1415"/>
      <c r="AK393" s="1415"/>
      <c r="AL393" s="1415"/>
      <c r="AM393" s="1415"/>
      <c r="AV393" s="1415"/>
      <c r="AW393" s="1403"/>
      <c r="CA393" s="1145"/>
      <c r="CB393" s="1153"/>
      <c r="CC393" s="1134"/>
      <c r="CD393" s="1134"/>
      <c r="CE393" s="1134"/>
      <c r="CF393" s="1134"/>
      <c r="CG393" s="1134"/>
      <c r="CH393" s="1134"/>
      <c r="CI393" s="1134"/>
      <c r="CJ393" s="1134"/>
      <c r="CK393" s="1134"/>
      <c r="CL393" s="1134"/>
      <c r="CM393" s="1134"/>
      <c r="CN393" s="1134"/>
      <c r="CO393" s="1134"/>
      <c r="CP393" s="1134"/>
      <c r="CQ393" s="1134"/>
      <c r="CR393" s="1134"/>
      <c r="CS393" s="1134"/>
      <c r="CT393" s="1134"/>
      <c r="CU393" s="1134"/>
      <c r="CV393" s="1134"/>
      <c r="CW393" s="1134"/>
      <c r="CX393" s="1134"/>
      <c r="CY393" s="1134"/>
      <c r="CZ393" s="1134"/>
      <c r="DA393" s="1134"/>
      <c r="DB393" s="1134"/>
      <c r="DC393" s="1134"/>
      <c r="DD393" s="1134"/>
      <c r="DE393" s="1134"/>
      <c r="DF393" s="1134"/>
      <c r="DG393" s="1134"/>
      <c r="DH393" s="1134"/>
      <c r="DI393" s="1134"/>
      <c r="DJ393" s="1134"/>
      <c r="DK393" s="1134"/>
      <c r="DL393" s="1134"/>
      <c r="DM393" s="1134"/>
      <c r="DN393" s="1134"/>
      <c r="DO393" s="1134"/>
      <c r="DP393" s="1134"/>
      <c r="DQ393" s="1134"/>
      <c r="DR393" s="1134"/>
      <c r="DS393" s="1134"/>
      <c r="DT393" s="1134"/>
      <c r="DU393" s="1134"/>
      <c r="DV393" s="1134"/>
      <c r="DW393" s="1134"/>
      <c r="DX393" s="1134"/>
      <c r="DY393" s="1134"/>
      <c r="DZ393" s="1147"/>
    </row>
    <row r="394" spans="4:130" s="834" customFormat="1">
      <c r="D394" s="1415"/>
      <c r="H394" s="1415"/>
      <c r="K394" s="1415"/>
      <c r="X394" s="1403"/>
      <c r="AF394" s="1403"/>
      <c r="AG394" s="1415"/>
      <c r="AK394" s="1415"/>
      <c r="AL394" s="1415"/>
      <c r="AM394" s="1415"/>
      <c r="AV394" s="1415"/>
      <c r="AW394" s="1403"/>
      <c r="CA394" s="1145"/>
      <c r="CB394" s="1153"/>
      <c r="CC394" s="1134"/>
      <c r="CD394" s="1134"/>
      <c r="CE394" s="1134"/>
      <c r="CF394" s="1134"/>
      <c r="CG394" s="1134"/>
      <c r="CH394" s="1134"/>
      <c r="CI394" s="1134"/>
      <c r="CJ394" s="1134"/>
      <c r="CK394" s="1134"/>
      <c r="CL394" s="1134"/>
      <c r="CM394" s="1134"/>
      <c r="CN394" s="1134"/>
      <c r="CO394" s="1134"/>
      <c r="CP394" s="1134"/>
      <c r="CQ394" s="1134"/>
      <c r="CR394" s="1134"/>
      <c r="CS394" s="1134"/>
      <c r="CT394" s="1134"/>
      <c r="CU394" s="1134"/>
      <c r="CV394" s="1134"/>
      <c r="CW394" s="1134"/>
      <c r="CX394" s="1134"/>
      <c r="CY394" s="1134"/>
      <c r="CZ394" s="1134"/>
      <c r="DA394" s="1134"/>
      <c r="DB394" s="1134"/>
      <c r="DC394" s="1134"/>
      <c r="DD394" s="1134"/>
      <c r="DE394" s="1134"/>
      <c r="DF394" s="1134"/>
      <c r="DG394" s="1134"/>
      <c r="DH394" s="1134"/>
      <c r="DI394" s="1134"/>
      <c r="DJ394" s="1134"/>
      <c r="DK394" s="1134"/>
      <c r="DL394" s="1134"/>
      <c r="DM394" s="1134"/>
      <c r="DN394" s="1134"/>
      <c r="DO394" s="1134"/>
      <c r="DP394" s="1134"/>
      <c r="DQ394" s="1134"/>
      <c r="DR394" s="1134"/>
      <c r="DS394" s="1134"/>
      <c r="DT394" s="1134"/>
      <c r="DU394" s="1134"/>
      <c r="DV394" s="1134"/>
      <c r="DW394" s="1134"/>
      <c r="DX394" s="1134"/>
      <c r="DY394" s="1134"/>
      <c r="DZ394" s="1147"/>
    </row>
    <row r="395" spans="4:130" s="834" customFormat="1">
      <c r="D395" s="1415"/>
      <c r="H395" s="1415"/>
      <c r="K395" s="1415"/>
      <c r="X395" s="1403"/>
      <c r="AF395" s="1403"/>
      <c r="AG395" s="1415"/>
      <c r="AK395" s="1415"/>
      <c r="AL395" s="1415"/>
      <c r="AM395" s="1415"/>
      <c r="AV395" s="1415"/>
      <c r="AW395" s="1403"/>
      <c r="CA395" s="1145"/>
      <c r="CB395" s="1153"/>
      <c r="CC395" s="1134"/>
      <c r="CD395" s="1134"/>
      <c r="CE395" s="1134"/>
      <c r="CF395" s="1134"/>
      <c r="CG395" s="1134"/>
      <c r="CH395" s="1134"/>
      <c r="CI395" s="1134"/>
      <c r="CJ395" s="1134"/>
      <c r="CK395" s="1134"/>
      <c r="CL395" s="1134"/>
      <c r="CM395" s="1134"/>
      <c r="CN395" s="1134"/>
      <c r="CO395" s="1134"/>
      <c r="CP395" s="1134"/>
      <c r="CQ395" s="1134"/>
      <c r="CR395" s="1134"/>
      <c r="CS395" s="1134"/>
      <c r="CT395" s="1134"/>
      <c r="CU395" s="1134"/>
      <c r="CV395" s="1134"/>
      <c r="CW395" s="1134"/>
      <c r="CX395" s="1134"/>
      <c r="CY395" s="1134"/>
      <c r="CZ395" s="1134"/>
      <c r="DA395" s="1134"/>
      <c r="DB395" s="1134"/>
      <c r="DC395" s="1134"/>
      <c r="DD395" s="1134"/>
      <c r="DE395" s="1134"/>
      <c r="DF395" s="1134"/>
      <c r="DG395" s="1134"/>
      <c r="DH395" s="1134"/>
      <c r="DI395" s="1134"/>
      <c r="DJ395" s="1134"/>
      <c r="DK395" s="1134"/>
      <c r="DL395" s="1134"/>
      <c r="DM395" s="1134"/>
      <c r="DN395" s="1134"/>
      <c r="DO395" s="1134"/>
      <c r="DP395" s="1134"/>
      <c r="DQ395" s="1134"/>
      <c r="DR395" s="1134"/>
      <c r="DS395" s="1134"/>
      <c r="DT395" s="1134"/>
      <c r="DU395" s="1134"/>
      <c r="DV395" s="1134"/>
      <c r="DW395" s="1134"/>
      <c r="DX395" s="1134"/>
      <c r="DY395" s="1134"/>
      <c r="DZ395" s="1147"/>
    </row>
    <row r="396" spans="4:130" s="834" customFormat="1">
      <c r="D396" s="1415"/>
      <c r="H396" s="1415"/>
      <c r="K396" s="1415"/>
      <c r="X396" s="1403"/>
      <c r="AF396" s="1403"/>
      <c r="AG396" s="1415"/>
      <c r="AK396" s="1415"/>
      <c r="AL396" s="1415"/>
      <c r="AM396" s="1415"/>
      <c r="AV396" s="1415"/>
      <c r="AW396" s="1403"/>
      <c r="CA396" s="1145"/>
      <c r="CB396" s="1153"/>
      <c r="CC396" s="1134"/>
      <c r="CD396" s="1134"/>
      <c r="CE396" s="1134"/>
      <c r="CF396" s="1134"/>
      <c r="CG396" s="1134"/>
      <c r="CH396" s="1134"/>
      <c r="CI396" s="1134"/>
      <c r="CJ396" s="1134"/>
      <c r="CK396" s="1134"/>
      <c r="CL396" s="1134"/>
      <c r="CM396" s="1134"/>
      <c r="CN396" s="1134"/>
      <c r="CO396" s="1134"/>
      <c r="CP396" s="1134"/>
      <c r="CQ396" s="1134"/>
      <c r="CR396" s="1134"/>
      <c r="CS396" s="1134"/>
      <c r="CT396" s="1134"/>
      <c r="CU396" s="1134"/>
      <c r="CV396" s="1134"/>
      <c r="CW396" s="1134"/>
      <c r="CX396" s="1134"/>
      <c r="CY396" s="1134"/>
      <c r="CZ396" s="1134"/>
      <c r="DA396" s="1134"/>
      <c r="DB396" s="1134"/>
      <c r="DC396" s="1134"/>
      <c r="DD396" s="1134"/>
      <c r="DE396" s="1134"/>
      <c r="DF396" s="1134"/>
      <c r="DG396" s="1134"/>
      <c r="DH396" s="1134"/>
      <c r="DI396" s="1134"/>
      <c r="DJ396" s="1134"/>
      <c r="DK396" s="1134"/>
      <c r="DL396" s="1134"/>
      <c r="DM396" s="1134"/>
      <c r="DN396" s="1134"/>
      <c r="DO396" s="1134"/>
      <c r="DP396" s="1134"/>
      <c r="DQ396" s="1134"/>
      <c r="DR396" s="1134"/>
      <c r="DS396" s="1134"/>
      <c r="DT396" s="1134"/>
      <c r="DU396" s="1134"/>
      <c r="DV396" s="1134"/>
      <c r="DW396" s="1134"/>
      <c r="DX396" s="1134"/>
      <c r="DY396" s="1134"/>
      <c r="DZ396" s="1147"/>
    </row>
    <row r="397" spans="4:130" s="834" customFormat="1">
      <c r="D397" s="1415"/>
      <c r="H397" s="1415"/>
      <c r="K397" s="1415"/>
      <c r="X397" s="1403"/>
      <c r="AF397" s="1403"/>
      <c r="AG397" s="1415"/>
      <c r="AK397" s="1415"/>
      <c r="AL397" s="1415"/>
      <c r="AM397" s="1415"/>
      <c r="AV397" s="1415"/>
      <c r="AW397" s="1403"/>
      <c r="CA397" s="1145"/>
      <c r="CB397" s="1153"/>
      <c r="CC397" s="1134"/>
      <c r="CD397" s="1134"/>
      <c r="CE397" s="1134"/>
      <c r="CF397" s="1134"/>
      <c r="CG397" s="1134"/>
      <c r="CH397" s="1134"/>
      <c r="CI397" s="1134"/>
      <c r="CJ397" s="1134"/>
      <c r="CK397" s="1134"/>
      <c r="CL397" s="1134"/>
      <c r="CM397" s="1134"/>
      <c r="CN397" s="1134"/>
      <c r="CO397" s="1134"/>
      <c r="CP397" s="1134"/>
      <c r="CQ397" s="1134"/>
      <c r="CR397" s="1134"/>
      <c r="CS397" s="1134"/>
      <c r="CT397" s="1134"/>
      <c r="CU397" s="1134"/>
      <c r="CV397" s="1134"/>
      <c r="CW397" s="1134"/>
      <c r="CX397" s="1134"/>
      <c r="CY397" s="1134"/>
      <c r="CZ397" s="1134"/>
      <c r="DA397" s="1134"/>
      <c r="DB397" s="1134"/>
      <c r="DC397" s="1134"/>
      <c r="DD397" s="1134"/>
      <c r="DE397" s="1134"/>
      <c r="DF397" s="1134"/>
      <c r="DG397" s="1134"/>
      <c r="DH397" s="1134"/>
      <c r="DI397" s="1134"/>
      <c r="DJ397" s="1134"/>
      <c r="DK397" s="1134"/>
      <c r="DL397" s="1134"/>
      <c r="DM397" s="1134"/>
      <c r="DN397" s="1134"/>
      <c r="DO397" s="1134"/>
      <c r="DP397" s="1134"/>
      <c r="DQ397" s="1134"/>
      <c r="DR397" s="1134"/>
      <c r="DS397" s="1134"/>
      <c r="DT397" s="1134"/>
      <c r="DU397" s="1134"/>
      <c r="DV397" s="1134"/>
      <c r="DW397" s="1134"/>
      <c r="DX397" s="1134"/>
      <c r="DY397" s="1134"/>
      <c r="DZ397" s="1147"/>
    </row>
  </sheetData>
  <mergeCells count="1">
    <mergeCell ref="A1:B2"/>
  </mergeCells>
  <conditionalFormatting sqref="C70:BZ71 C69:BF69 BH69:BU69 BW69:BZ69 C59:BZ59 C61:BI61 BX92 C60:BJ60 BL60:BZ60 C58:BI58 BK58:BZ58 C55:BW55 BY55:BZ55 BY5:BZ5 BY3:BZ3 AG3:BW3 BO72:BU72 BW72 BY72:BZ72 C35:BZ35 C36:R36 T36:BZ36 BO33:BU33 C11:AF13 AH11:BZ13 C18:F18 H18:BZ18 H9:BZ9 N8:BZ8 C81:BZ81 C82:BV82 C80:BT80 BV80:BZ80 C14:AK14 AM14:BZ15 C16:BZ17 T3:AE3 C32:BU32 C33:BM33 BW32:BZ34 C34:BU34 C94:BZ95 W5:BW5 BY83:BZ83 C98:BZ105 C96:BI97 BK96:BV97 BX96:BZ97 BW97 AH15:AK15 C15:AF15 BO84:BZ84 C84:BM84 C19:BZ22 C24:BZ31 BW23:BZ23 C23:BU23 J5:U5 T4:BZ4 BY92:BZ93 C93:BW93 C92:BV92 BK61:BZ61 C62:BZ68 C37:BZ54 C56:BZ57 C72:BM72 C85:BZ91 BX82:BZ82 C83:BW83 C73:BZ79 F9:F10 C10:BZ10 C3:R3 E4:R4 E5:H5 E6:BZ7 E8:J8 C4:D9">
    <cfRule type="duplicateValues" dxfId="9" priority="12"/>
  </conditionalFormatting>
  <conditionalFormatting sqref="BW96">
    <cfRule type="duplicateValues" dxfId="8" priority="2"/>
  </conditionalFormatting>
  <conditionalFormatting sqref="BV23">
    <cfRule type="duplicateValues" dxfId="7" priority="1"/>
  </conditionalFormatting>
  <pageMargins left="0.23622047244094491" right="0.23622047244094491" top="0.74803149606299213" bottom="0.74803149606299213" header="0.31496062992125984" footer="0.31496062992125984"/>
  <pageSetup paperSize="9" scale="35" orientation="portrait" horizontalDpi="4294967293" verticalDpi="300" r:id="rId1"/>
  <colBreaks count="1" manualBreakCount="1">
    <brk id="15" max="102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topLeftCell="B10" workbookViewId="0">
      <selection activeCell="J23" sqref="J23"/>
    </sheetView>
  </sheetViews>
  <sheetFormatPr defaultRowHeight="12.75"/>
  <cols>
    <col min="1" max="1" width="34.85546875" style="561" customWidth="1"/>
    <col min="2" max="2" width="13.42578125" style="561" customWidth="1"/>
    <col min="3" max="3" width="13.5703125" style="561" customWidth="1"/>
    <col min="4" max="4" width="13.140625" style="561" customWidth="1"/>
    <col min="5" max="5" width="12.7109375" style="561" customWidth="1"/>
    <col min="6" max="6" width="12.42578125" style="561" customWidth="1"/>
    <col min="7" max="7" width="35.42578125" style="561" customWidth="1"/>
    <col min="8" max="8" width="8.5703125" style="561" customWidth="1"/>
    <col min="9" max="9" width="9.85546875" style="561" customWidth="1"/>
    <col min="10" max="256" width="9.140625" style="561"/>
    <col min="257" max="257" width="34.85546875" style="561" customWidth="1"/>
    <col min="258" max="258" width="13.42578125" style="561" customWidth="1"/>
    <col min="259" max="259" width="13.5703125" style="561" customWidth="1"/>
    <col min="260" max="260" width="13.140625" style="561" customWidth="1"/>
    <col min="261" max="261" width="12.7109375" style="561" customWidth="1"/>
    <col min="262" max="262" width="12.42578125" style="561" customWidth="1"/>
    <col min="263" max="263" width="35.42578125" style="561" customWidth="1"/>
    <col min="264" max="264" width="8.5703125" style="561" customWidth="1"/>
    <col min="265" max="265" width="9.85546875" style="561" customWidth="1"/>
    <col min="266" max="512" width="9.140625" style="561"/>
    <col min="513" max="513" width="34.85546875" style="561" customWidth="1"/>
    <col min="514" max="514" width="13.42578125" style="561" customWidth="1"/>
    <col min="515" max="515" width="13.5703125" style="561" customWidth="1"/>
    <col min="516" max="516" width="13.140625" style="561" customWidth="1"/>
    <col min="517" max="517" width="12.7109375" style="561" customWidth="1"/>
    <col min="518" max="518" width="12.42578125" style="561" customWidth="1"/>
    <col min="519" max="519" width="35.42578125" style="561" customWidth="1"/>
    <col min="520" max="520" width="8.5703125" style="561" customWidth="1"/>
    <col min="521" max="521" width="9.85546875" style="561" customWidth="1"/>
    <col min="522" max="768" width="9.140625" style="561"/>
    <col min="769" max="769" width="34.85546875" style="561" customWidth="1"/>
    <col min="770" max="770" width="13.42578125" style="561" customWidth="1"/>
    <col min="771" max="771" width="13.5703125" style="561" customWidth="1"/>
    <col min="772" max="772" width="13.140625" style="561" customWidth="1"/>
    <col min="773" max="773" width="12.7109375" style="561" customWidth="1"/>
    <col min="774" max="774" width="12.42578125" style="561" customWidth="1"/>
    <col min="775" max="775" width="35.42578125" style="561" customWidth="1"/>
    <col min="776" max="776" width="8.5703125" style="561" customWidth="1"/>
    <col min="777" max="777" width="9.85546875" style="561" customWidth="1"/>
    <col min="778" max="1024" width="9.140625" style="561"/>
    <col min="1025" max="1025" width="34.85546875" style="561" customWidth="1"/>
    <col min="1026" max="1026" width="13.42578125" style="561" customWidth="1"/>
    <col min="1027" max="1027" width="13.5703125" style="561" customWidth="1"/>
    <col min="1028" max="1028" width="13.140625" style="561" customWidth="1"/>
    <col min="1029" max="1029" width="12.7109375" style="561" customWidth="1"/>
    <col min="1030" max="1030" width="12.42578125" style="561" customWidth="1"/>
    <col min="1031" max="1031" width="35.42578125" style="561" customWidth="1"/>
    <col min="1032" max="1032" width="8.5703125" style="561" customWidth="1"/>
    <col min="1033" max="1033" width="9.85546875" style="561" customWidth="1"/>
    <col min="1034" max="1280" width="9.140625" style="561"/>
    <col min="1281" max="1281" width="34.85546875" style="561" customWidth="1"/>
    <col min="1282" max="1282" width="13.42578125" style="561" customWidth="1"/>
    <col min="1283" max="1283" width="13.5703125" style="561" customWidth="1"/>
    <col min="1284" max="1284" width="13.140625" style="561" customWidth="1"/>
    <col min="1285" max="1285" width="12.7109375" style="561" customWidth="1"/>
    <col min="1286" max="1286" width="12.42578125" style="561" customWidth="1"/>
    <col min="1287" max="1287" width="35.42578125" style="561" customWidth="1"/>
    <col min="1288" max="1288" width="8.5703125" style="561" customWidth="1"/>
    <col min="1289" max="1289" width="9.85546875" style="561" customWidth="1"/>
    <col min="1290" max="1536" width="9.140625" style="561"/>
    <col min="1537" max="1537" width="34.85546875" style="561" customWidth="1"/>
    <col min="1538" max="1538" width="13.42578125" style="561" customWidth="1"/>
    <col min="1539" max="1539" width="13.5703125" style="561" customWidth="1"/>
    <col min="1540" max="1540" width="13.140625" style="561" customWidth="1"/>
    <col min="1541" max="1541" width="12.7109375" style="561" customWidth="1"/>
    <col min="1542" max="1542" width="12.42578125" style="561" customWidth="1"/>
    <col min="1543" max="1543" width="35.42578125" style="561" customWidth="1"/>
    <col min="1544" max="1544" width="8.5703125" style="561" customWidth="1"/>
    <col min="1545" max="1545" width="9.85546875" style="561" customWidth="1"/>
    <col min="1546" max="1792" width="9.140625" style="561"/>
    <col min="1793" max="1793" width="34.85546875" style="561" customWidth="1"/>
    <col min="1794" max="1794" width="13.42578125" style="561" customWidth="1"/>
    <col min="1795" max="1795" width="13.5703125" style="561" customWidth="1"/>
    <col min="1796" max="1796" width="13.140625" style="561" customWidth="1"/>
    <col min="1797" max="1797" width="12.7109375" style="561" customWidth="1"/>
    <col min="1798" max="1798" width="12.42578125" style="561" customWidth="1"/>
    <col min="1799" max="1799" width="35.42578125" style="561" customWidth="1"/>
    <col min="1800" max="1800" width="8.5703125" style="561" customWidth="1"/>
    <col min="1801" max="1801" width="9.85546875" style="561" customWidth="1"/>
    <col min="1802" max="2048" width="9.140625" style="561"/>
    <col min="2049" max="2049" width="34.85546875" style="561" customWidth="1"/>
    <col min="2050" max="2050" width="13.42578125" style="561" customWidth="1"/>
    <col min="2051" max="2051" width="13.5703125" style="561" customWidth="1"/>
    <col min="2052" max="2052" width="13.140625" style="561" customWidth="1"/>
    <col min="2053" max="2053" width="12.7109375" style="561" customWidth="1"/>
    <col min="2054" max="2054" width="12.42578125" style="561" customWidth="1"/>
    <col min="2055" max="2055" width="35.42578125" style="561" customWidth="1"/>
    <col min="2056" max="2056" width="8.5703125" style="561" customWidth="1"/>
    <col min="2057" max="2057" width="9.85546875" style="561" customWidth="1"/>
    <col min="2058" max="2304" width="9.140625" style="561"/>
    <col min="2305" max="2305" width="34.85546875" style="561" customWidth="1"/>
    <col min="2306" max="2306" width="13.42578125" style="561" customWidth="1"/>
    <col min="2307" max="2307" width="13.5703125" style="561" customWidth="1"/>
    <col min="2308" max="2308" width="13.140625" style="561" customWidth="1"/>
    <col min="2309" max="2309" width="12.7109375" style="561" customWidth="1"/>
    <col min="2310" max="2310" width="12.42578125" style="561" customWidth="1"/>
    <col min="2311" max="2311" width="35.42578125" style="561" customWidth="1"/>
    <col min="2312" max="2312" width="8.5703125" style="561" customWidth="1"/>
    <col min="2313" max="2313" width="9.85546875" style="561" customWidth="1"/>
    <col min="2314" max="2560" width="9.140625" style="561"/>
    <col min="2561" max="2561" width="34.85546875" style="561" customWidth="1"/>
    <col min="2562" max="2562" width="13.42578125" style="561" customWidth="1"/>
    <col min="2563" max="2563" width="13.5703125" style="561" customWidth="1"/>
    <col min="2564" max="2564" width="13.140625" style="561" customWidth="1"/>
    <col min="2565" max="2565" width="12.7109375" style="561" customWidth="1"/>
    <col min="2566" max="2566" width="12.42578125" style="561" customWidth="1"/>
    <col min="2567" max="2567" width="35.42578125" style="561" customWidth="1"/>
    <col min="2568" max="2568" width="8.5703125" style="561" customWidth="1"/>
    <col min="2569" max="2569" width="9.85546875" style="561" customWidth="1"/>
    <col min="2570" max="2816" width="9.140625" style="561"/>
    <col min="2817" max="2817" width="34.85546875" style="561" customWidth="1"/>
    <col min="2818" max="2818" width="13.42578125" style="561" customWidth="1"/>
    <col min="2819" max="2819" width="13.5703125" style="561" customWidth="1"/>
    <col min="2820" max="2820" width="13.140625" style="561" customWidth="1"/>
    <col min="2821" max="2821" width="12.7109375" style="561" customWidth="1"/>
    <col min="2822" max="2822" width="12.42578125" style="561" customWidth="1"/>
    <col min="2823" max="2823" width="35.42578125" style="561" customWidth="1"/>
    <col min="2824" max="2824" width="8.5703125" style="561" customWidth="1"/>
    <col min="2825" max="2825" width="9.85546875" style="561" customWidth="1"/>
    <col min="2826" max="3072" width="9.140625" style="561"/>
    <col min="3073" max="3073" width="34.85546875" style="561" customWidth="1"/>
    <col min="3074" max="3074" width="13.42578125" style="561" customWidth="1"/>
    <col min="3075" max="3075" width="13.5703125" style="561" customWidth="1"/>
    <col min="3076" max="3076" width="13.140625" style="561" customWidth="1"/>
    <col min="3077" max="3077" width="12.7109375" style="561" customWidth="1"/>
    <col min="3078" max="3078" width="12.42578125" style="561" customWidth="1"/>
    <col min="3079" max="3079" width="35.42578125" style="561" customWidth="1"/>
    <col min="3080" max="3080" width="8.5703125" style="561" customWidth="1"/>
    <col min="3081" max="3081" width="9.85546875" style="561" customWidth="1"/>
    <col min="3082" max="3328" width="9.140625" style="561"/>
    <col min="3329" max="3329" width="34.85546875" style="561" customWidth="1"/>
    <col min="3330" max="3330" width="13.42578125" style="561" customWidth="1"/>
    <col min="3331" max="3331" width="13.5703125" style="561" customWidth="1"/>
    <col min="3332" max="3332" width="13.140625" style="561" customWidth="1"/>
    <col min="3333" max="3333" width="12.7109375" style="561" customWidth="1"/>
    <col min="3334" max="3334" width="12.42578125" style="561" customWidth="1"/>
    <col min="3335" max="3335" width="35.42578125" style="561" customWidth="1"/>
    <col min="3336" max="3336" width="8.5703125" style="561" customWidth="1"/>
    <col min="3337" max="3337" width="9.85546875" style="561" customWidth="1"/>
    <col min="3338" max="3584" width="9.140625" style="561"/>
    <col min="3585" max="3585" width="34.85546875" style="561" customWidth="1"/>
    <col min="3586" max="3586" width="13.42578125" style="561" customWidth="1"/>
    <col min="3587" max="3587" width="13.5703125" style="561" customWidth="1"/>
    <col min="3588" max="3588" width="13.140625" style="561" customWidth="1"/>
    <col min="3589" max="3589" width="12.7109375" style="561" customWidth="1"/>
    <col min="3590" max="3590" width="12.42578125" style="561" customWidth="1"/>
    <col min="3591" max="3591" width="35.42578125" style="561" customWidth="1"/>
    <col min="3592" max="3592" width="8.5703125" style="561" customWidth="1"/>
    <col min="3593" max="3593" width="9.85546875" style="561" customWidth="1"/>
    <col min="3594" max="3840" width="9.140625" style="561"/>
    <col min="3841" max="3841" width="34.85546875" style="561" customWidth="1"/>
    <col min="3842" max="3842" width="13.42578125" style="561" customWidth="1"/>
    <col min="3843" max="3843" width="13.5703125" style="561" customWidth="1"/>
    <col min="3844" max="3844" width="13.140625" style="561" customWidth="1"/>
    <col min="3845" max="3845" width="12.7109375" style="561" customWidth="1"/>
    <col min="3846" max="3846" width="12.42578125" style="561" customWidth="1"/>
    <col min="3847" max="3847" width="35.42578125" style="561" customWidth="1"/>
    <col min="3848" max="3848" width="8.5703125" style="561" customWidth="1"/>
    <col min="3849" max="3849" width="9.85546875" style="561" customWidth="1"/>
    <col min="3850" max="4096" width="9.140625" style="561"/>
    <col min="4097" max="4097" width="34.85546875" style="561" customWidth="1"/>
    <col min="4098" max="4098" width="13.42578125" style="561" customWidth="1"/>
    <col min="4099" max="4099" width="13.5703125" style="561" customWidth="1"/>
    <col min="4100" max="4100" width="13.140625" style="561" customWidth="1"/>
    <col min="4101" max="4101" width="12.7109375" style="561" customWidth="1"/>
    <col min="4102" max="4102" width="12.42578125" style="561" customWidth="1"/>
    <col min="4103" max="4103" width="35.42578125" style="561" customWidth="1"/>
    <col min="4104" max="4104" width="8.5703125" style="561" customWidth="1"/>
    <col min="4105" max="4105" width="9.85546875" style="561" customWidth="1"/>
    <col min="4106" max="4352" width="9.140625" style="561"/>
    <col min="4353" max="4353" width="34.85546875" style="561" customWidth="1"/>
    <col min="4354" max="4354" width="13.42578125" style="561" customWidth="1"/>
    <col min="4355" max="4355" width="13.5703125" style="561" customWidth="1"/>
    <col min="4356" max="4356" width="13.140625" style="561" customWidth="1"/>
    <col min="4357" max="4357" width="12.7109375" style="561" customWidth="1"/>
    <col min="4358" max="4358" width="12.42578125" style="561" customWidth="1"/>
    <col min="4359" max="4359" width="35.42578125" style="561" customWidth="1"/>
    <col min="4360" max="4360" width="8.5703125" style="561" customWidth="1"/>
    <col min="4361" max="4361" width="9.85546875" style="561" customWidth="1"/>
    <col min="4362" max="4608" width="9.140625" style="561"/>
    <col min="4609" max="4609" width="34.85546875" style="561" customWidth="1"/>
    <col min="4610" max="4610" width="13.42578125" style="561" customWidth="1"/>
    <col min="4611" max="4611" width="13.5703125" style="561" customWidth="1"/>
    <col min="4612" max="4612" width="13.140625" style="561" customWidth="1"/>
    <col min="4613" max="4613" width="12.7109375" style="561" customWidth="1"/>
    <col min="4614" max="4614" width="12.42578125" style="561" customWidth="1"/>
    <col min="4615" max="4615" width="35.42578125" style="561" customWidth="1"/>
    <col min="4616" max="4616" width="8.5703125" style="561" customWidth="1"/>
    <col min="4617" max="4617" width="9.85546875" style="561" customWidth="1"/>
    <col min="4618" max="4864" width="9.140625" style="561"/>
    <col min="4865" max="4865" width="34.85546875" style="561" customWidth="1"/>
    <col min="4866" max="4866" width="13.42578125" style="561" customWidth="1"/>
    <col min="4867" max="4867" width="13.5703125" style="561" customWidth="1"/>
    <col min="4868" max="4868" width="13.140625" style="561" customWidth="1"/>
    <col min="4869" max="4869" width="12.7109375" style="561" customWidth="1"/>
    <col min="4870" max="4870" width="12.42578125" style="561" customWidth="1"/>
    <col min="4871" max="4871" width="35.42578125" style="561" customWidth="1"/>
    <col min="4872" max="4872" width="8.5703125" style="561" customWidth="1"/>
    <col min="4873" max="4873" width="9.85546875" style="561" customWidth="1"/>
    <col min="4874" max="5120" width="9.140625" style="561"/>
    <col min="5121" max="5121" width="34.85546875" style="561" customWidth="1"/>
    <col min="5122" max="5122" width="13.42578125" style="561" customWidth="1"/>
    <col min="5123" max="5123" width="13.5703125" style="561" customWidth="1"/>
    <col min="5124" max="5124" width="13.140625" style="561" customWidth="1"/>
    <col min="5125" max="5125" width="12.7109375" style="561" customWidth="1"/>
    <col min="5126" max="5126" width="12.42578125" style="561" customWidth="1"/>
    <col min="5127" max="5127" width="35.42578125" style="561" customWidth="1"/>
    <col min="5128" max="5128" width="8.5703125" style="561" customWidth="1"/>
    <col min="5129" max="5129" width="9.85546875" style="561" customWidth="1"/>
    <col min="5130" max="5376" width="9.140625" style="561"/>
    <col min="5377" max="5377" width="34.85546875" style="561" customWidth="1"/>
    <col min="5378" max="5378" width="13.42578125" style="561" customWidth="1"/>
    <col min="5379" max="5379" width="13.5703125" style="561" customWidth="1"/>
    <col min="5380" max="5380" width="13.140625" style="561" customWidth="1"/>
    <col min="5381" max="5381" width="12.7109375" style="561" customWidth="1"/>
    <col min="5382" max="5382" width="12.42578125" style="561" customWidth="1"/>
    <col min="5383" max="5383" width="35.42578125" style="561" customWidth="1"/>
    <col min="5384" max="5384" width="8.5703125" style="561" customWidth="1"/>
    <col min="5385" max="5385" width="9.85546875" style="561" customWidth="1"/>
    <col min="5386" max="5632" width="9.140625" style="561"/>
    <col min="5633" max="5633" width="34.85546875" style="561" customWidth="1"/>
    <col min="5634" max="5634" width="13.42578125" style="561" customWidth="1"/>
    <col min="5635" max="5635" width="13.5703125" style="561" customWidth="1"/>
    <col min="5636" max="5636" width="13.140625" style="561" customWidth="1"/>
    <col min="5637" max="5637" width="12.7109375" style="561" customWidth="1"/>
    <col min="5638" max="5638" width="12.42578125" style="561" customWidth="1"/>
    <col min="5639" max="5639" width="35.42578125" style="561" customWidth="1"/>
    <col min="5640" max="5640" width="8.5703125" style="561" customWidth="1"/>
    <col min="5641" max="5641" width="9.85546875" style="561" customWidth="1"/>
    <col min="5642" max="5888" width="9.140625" style="561"/>
    <col min="5889" max="5889" width="34.85546875" style="561" customWidth="1"/>
    <col min="5890" max="5890" width="13.42578125" style="561" customWidth="1"/>
    <col min="5891" max="5891" width="13.5703125" style="561" customWidth="1"/>
    <col min="5892" max="5892" width="13.140625" style="561" customWidth="1"/>
    <col min="5893" max="5893" width="12.7109375" style="561" customWidth="1"/>
    <col min="5894" max="5894" width="12.42578125" style="561" customWidth="1"/>
    <col min="5895" max="5895" width="35.42578125" style="561" customWidth="1"/>
    <col min="5896" max="5896" width="8.5703125" style="561" customWidth="1"/>
    <col min="5897" max="5897" width="9.85546875" style="561" customWidth="1"/>
    <col min="5898" max="6144" width="9.140625" style="561"/>
    <col min="6145" max="6145" width="34.85546875" style="561" customWidth="1"/>
    <col min="6146" max="6146" width="13.42578125" style="561" customWidth="1"/>
    <col min="6147" max="6147" width="13.5703125" style="561" customWidth="1"/>
    <col min="6148" max="6148" width="13.140625" style="561" customWidth="1"/>
    <col min="6149" max="6149" width="12.7109375" style="561" customWidth="1"/>
    <col min="6150" max="6150" width="12.42578125" style="561" customWidth="1"/>
    <col min="6151" max="6151" width="35.42578125" style="561" customWidth="1"/>
    <col min="6152" max="6152" width="8.5703125" style="561" customWidth="1"/>
    <col min="6153" max="6153" width="9.85546875" style="561" customWidth="1"/>
    <col min="6154" max="6400" width="9.140625" style="561"/>
    <col min="6401" max="6401" width="34.85546875" style="561" customWidth="1"/>
    <col min="6402" max="6402" width="13.42578125" style="561" customWidth="1"/>
    <col min="6403" max="6403" width="13.5703125" style="561" customWidth="1"/>
    <col min="6404" max="6404" width="13.140625" style="561" customWidth="1"/>
    <col min="6405" max="6405" width="12.7109375" style="561" customWidth="1"/>
    <col min="6406" max="6406" width="12.42578125" style="561" customWidth="1"/>
    <col min="6407" max="6407" width="35.42578125" style="561" customWidth="1"/>
    <col min="6408" max="6408" width="8.5703125" style="561" customWidth="1"/>
    <col min="6409" max="6409" width="9.85546875" style="561" customWidth="1"/>
    <col min="6410" max="6656" width="9.140625" style="561"/>
    <col min="6657" max="6657" width="34.85546875" style="561" customWidth="1"/>
    <col min="6658" max="6658" width="13.42578125" style="561" customWidth="1"/>
    <col min="6659" max="6659" width="13.5703125" style="561" customWidth="1"/>
    <col min="6660" max="6660" width="13.140625" style="561" customWidth="1"/>
    <col min="6661" max="6661" width="12.7109375" style="561" customWidth="1"/>
    <col min="6662" max="6662" width="12.42578125" style="561" customWidth="1"/>
    <col min="6663" max="6663" width="35.42578125" style="561" customWidth="1"/>
    <col min="6664" max="6664" width="8.5703125" style="561" customWidth="1"/>
    <col min="6665" max="6665" width="9.85546875" style="561" customWidth="1"/>
    <col min="6666" max="6912" width="9.140625" style="561"/>
    <col min="6913" max="6913" width="34.85546875" style="561" customWidth="1"/>
    <col min="6914" max="6914" width="13.42578125" style="561" customWidth="1"/>
    <col min="6915" max="6915" width="13.5703125" style="561" customWidth="1"/>
    <col min="6916" max="6916" width="13.140625" style="561" customWidth="1"/>
    <col min="6917" max="6917" width="12.7109375" style="561" customWidth="1"/>
    <col min="6918" max="6918" width="12.42578125" style="561" customWidth="1"/>
    <col min="6919" max="6919" width="35.42578125" style="561" customWidth="1"/>
    <col min="6920" max="6920" width="8.5703125" style="561" customWidth="1"/>
    <col min="6921" max="6921" width="9.85546875" style="561" customWidth="1"/>
    <col min="6922" max="7168" width="9.140625" style="561"/>
    <col min="7169" max="7169" width="34.85546875" style="561" customWidth="1"/>
    <col min="7170" max="7170" width="13.42578125" style="561" customWidth="1"/>
    <col min="7171" max="7171" width="13.5703125" style="561" customWidth="1"/>
    <col min="7172" max="7172" width="13.140625" style="561" customWidth="1"/>
    <col min="7173" max="7173" width="12.7109375" style="561" customWidth="1"/>
    <col min="7174" max="7174" width="12.42578125" style="561" customWidth="1"/>
    <col min="7175" max="7175" width="35.42578125" style="561" customWidth="1"/>
    <col min="7176" max="7176" width="8.5703125" style="561" customWidth="1"/>
    <col min="7177" max="7177" width="9.85546875" style="561" customWidth="1"/>
    <col min="7178" max="7424" width="9.140625" style="561"/>
    <col min="7425" max="7425" width="34.85546875" style="561" customWidth="1"/>
    <col min="7426" max="7426" width="13.42578125" style="561" customWidth="1"/>
    <col min="7427" max="7427" width="13.5703125" style="561" customWidth="1"/>
    <col min="7428" max="7428" width="13.140625" style="561" customWidth="1"/>
    <col min="7429" max="7429" width="12.7109375" style="561" customWidth="1"/>
    <col min="7430" max="7430" width="12.42578125" style="561" customWidth="1"/>
    <col min="7431" max="7431" width="35.42578125" style="561" customWidth="1"/>
    <col min="7432" max="7432" width="8.5703125" style="561" customWidth="1"/>
    <col min="7433" max="7433" width="9.85546875" style="561" customWidth="1"/>
    <col min="7434" max="7680" width="9.140625" style="561"/>
    <col min="7681" max="7681" width="34.85546875" style="561" customWidth="1"/>
    <col min="7682" max="7682" width="13.42578125" style="561" customWidth="1"/>
    <col min="7683" max="7683" width="13.5703125" style="561" customWidth="1"/>
    <col min="7684" max="7684" width="13.140625" style="561" customWidth="1"/>
    <col min="7685" max="7685" width="12.7109375" style="561" customWidth="1"/>
    <col min="7686" max="7686" width="12.42578125" style="561" customWidth="1"/>
    <col min="7687" max="7687" width="35.42578125" style="561" customWidth="1"/>
    <col min="7688" max="7688" width="8.5703125" style="561" customWidth="1"/>
    <col min="7689" max="7689" width="9.85546875" style="561" customWidth="1"/>
    <col min="7690" max="7936" width="9.140625" style="561"/>
    <col min="7937" max="7937" width="34.85546875" style="561" customWidth="1"/>
    <col min="7938" max="7938" width="13.42578125" style="561" customWidth="1"/>
    <col min="7939" max="7939" width="13.5703125" style="561" customWidth="1"/>
    <col min="7940" max="7940" width="13.140625" style="561" customWidth="1"/>
    <col min="7941" max="7941" width="12.7109375" style="561" customWidth="1"/>
    <col min="7942" max="7942" width="12.42578125" style="561" customWidth="1"/>
    <col min="7943" max="7943" width="35.42578125" style="561" customWidth="1"/>
    <col min="7944" max="7944" width="8.5703125" style="561" customWidth="1"/>
    <col min="7945" max="7945" width="9.85546875" style="561" customWidth="1"/>
    <col min="7946" max="8192" width="9.140625" style="561"/>
    <col min="8193" max="8193" width="34.85546875" style="561" customWidth="1"/>
    <col min="8194" max="8194" width="13.42578125" style="561" customWidth="1"/>
    <col min="8195" max="8195" width="13.5703125" style="561" customWidth="1"/>
    <col min="8196" max="8196" width="13.140625" style="561" customWidth="1"/>
    <col min="8197" max="8197" width="12.7109375" style="561" customWidth="1"/>
    <col min="8198" max="8198" width="12.42578125" style="561" customWidth="1"/>
    <col min="8199" max="8199" width="35.42578125" style="561" customWidth="1"/>
    <col min="8200" max="8200" width="8.5703125" style="561" customWidth="1"/>
    <col min="8201" max="8201" width="9.85546875" style="561" customWidth="1"/>
    <col min="8202" max="8448" width="9.140625" style="561"/>
    <col min="8449" max="8449" width="34.85546875" style="561" customWidth="1"/>
    <col min="8450" max="8450" width="13.42578125" style="561" customWidth="1"/>
    <col min="8451" max="8451" width="13.5703125" style="561" customWidth="1"/>
    <col min="8452" max="8452" width="13.140625" style="561" customWidth="1"/>
    <col min="8453" max="8453" width="12.7109375" style="561" customWidth="1"/>
    <col min="8454" max="8454" width="12.42578125" style="561" customWidth="1"/>
    <col min="8455" max="8455" width="35.42578125" style="561" customWidth="1"/>
    <col min="8456" max="8456" width="8.5703125" style="561" customWidth="1"/>
    <col min="8457" max="8457" width="9.85546875" style="561" customWidth="1"/>
    <col min="8458" max="8704" width="9.140625" style="561"/>
    <col min="8705" max="8705" width="34.85546875" style="561" customWidth="1"/>
    <col min="8706" max="8706" width="13.42578125" style="561" customWidth="1"/>
    <col min="8707" max="8707" width="13.5703125" style="561" customWidth="1"/>
    <col min="8708" max="8708" width="13.140625" style="561" customWidth="1"/>
    <col min="8709" max="8709" width="12.7109375" style="561" customWidth="1"/>
    <col min="8710" max="8710" width="12.42578125" style="561" customWidth="1"/>
    <col min="8711" max="8711" width="35.42578125" style="561" customWidth="1"/>
    <col min="8712" max="8712" width="8.5703125" style="561" customWidth="1"/>
    <col min="8713" max="8713" width="9.85546875" style="561" customWidth="1"/>
    <col min="8714" max="8960" width="9.140625" style="561"/>
    <col min="8961" max="8961" width="34.85546875" style="561" customWidth="1"/>
    <col min="8962" max="8962" width="13.42578125" style="561" customWidth="1"/>
    <col min="8963" max="8963" width="13.5703125" style="561" customWidth="1"/>
    <col min="8964" max="8964" width="13.140625" style="561" customWidth="1"/>
    <col min="8965" max="8965" width="12.7109375" style="561" customWidth="1"/>
    <col min="8966" max="8966" width="12.42578125" style="561" customWidth="1"/>
    <col min="8967" max="8967" width="35.42578125" style="561" customWidth="1"/>
    <col min="8968" max="8968" width="8.5703125" style="561" customWidth="1"/>
    <col min="8969" max="8969" width="9.85546875" style="561" customWidth="1"/>
    <col min="8970" max="9216" width="9.140625" style="561"/>
    <col min="9217" max="9217" width="34.85546875" style="561" customWidth="1"/>
    <col min="9218" max="9218" width="13.42578125" style="561" customWidth="1"/>
    <col min="9219" max="9219" width="13.5703125" style="561" customWidth="1"/>
    <col min="9220" max="9220" width="13.140625" style="561" customWidth="1"/>
    <col min="9221" max="9221" width="12.7109375" style="561" customWidth="1"/>
    <col min="9222" max="9222" width="12.42578125" style="561" customWidth="1"/>
    <col min="9223" max="9223" width="35.42578125" style="561" customWidth="1"/>
    <col min="9224" max="9224" width="8.5703125" style="561" customWidth="1"/>
    <col min="9225" max="9225" width="9.85546875" style="561" customWidth="1"/>
    <col min="9226" max="9472" width="9.140625" style="561"/>
    <col min="9473" max="9473" width="34.85546875" style="561" customWidth="1"/>
    <col min="9474" max="9474" width="13.42578125" style="561" customWidth="1"/>
    <col min="9475" max="9475" width="13.5703125" style="561" customWidth="1"/>
    <col min="9476" max="9476" width="13.140625" style="561" customWidth="1"/>
    <col min="9477" max="9477" width="12.7109375" style="561" customWidth="1"/>
    <col min="9478" max="9478" width="12.42578125" style="561" customWidth="1"/>
    <col min="9479" max="9479" width="35.42578125" style="561" customWidth="1"/>
    <col min="9480" max="9480" width="8.5703125" style="561" customWidth="1"/>
    <col min="9481" max="9481" width="9.85546875" style="561" customWidth="1"/>
    <col min="9482" max="9728" width="9.140625" style="561"/>
    <col min="9729" max="9729" width="34.85546875" style="561" customWidth="1"/>
    <col min="9730" max="9730" width="13.42578125" style="561" customWidth="1"/>
    <col min="9731" max="9731" width="13.5703125" style="561" customWidth="1"/>
    <col min="9732" max="9732" width="13.140625" style="561" customWidth="1"/>
    <col min="9733" max="9733" width="12.7109375" style="561" customWidth="1"/>
    <col min="9734" max="9734" width="12.42578125" style="561" customWidth="1"/>
    <col min="9735" max="9735" width="35.42578125" style="561" customWidth="1"/>
    <col min="9736" max="9736" width="8.5703125" style="561" customWidth="1"/>
    <col min="9737" max="9737" width="9.85546875" style="561" customWidth="1"/>
    <col min="9738" max="9984" width="9.140625" style="561"/>
    <col min="9985" max="9985" width="34.85546875" style="561" customWidth="1"/>
    <col min="9986" max="9986" width="13.42578125" style="561" customWidth="1"/>
    <col min="9987" max="9987" width="13.5703125" style="561" customWidth="1"/>
    <col min="9988" max="9988" width="13.140625" style="561" customWidth="1"/>
    <col min="9989" max="9989" width="12.7109375" style="561" customWidth="1"/>
    <col min="9990" max="9990" width="12.42578125" style="561" customWidth="1"/>
    <col min="9991" max="9991" width="35.42578125" style="561" customWidth="1"/>
    <col min="9992" max="9992" width="8.5703125" style="561" customWidth="1"/>
    <col min="9993" max="9993" width="9.85546875" style="561" customWidth="1"/>
    <col min="9994" max="10240" width="9.140625" style="561"/>
    <col min="10241" max="10241" width="34.85546875" style="561" customWidth="1"/>
    <col min="10242" max="10242" width="13.42578125" style="561" customWidth="1"/>
    <col min="10243" max="10243" width="13.5703125" style="561" customWidth="1"/>
    <col min="10244" max="10244" width="13.140625" style="561" customWidth="1"/>
    <col min="10245" max="10245" width="12.7109375" style="561" customWidth="1"/>
    <col min="10246" max="10246" width="12.42578125" style="561" customWidth="1"/>
    <col min="10247" max="10247" width="35.42578125" style="561" customWidth="1"/>
    <col min="10248" max="10248" width="8.5703125" style="561" customWidth="1"/>
    <col min="10249" max="10249" width="9.85546875" style="561" customWidth="1"/>
    <col min="10250" max="10496" width="9.140625" style="561"/>
    <col min="10497" max="10497" width="34.85546875" style="561" customWidth="1"/>
    <col min="10498" max="10498" width="13.42578125" style="561" customWidth="1"/>
    <col min="10499" max="10499" width="13.5703125" style="561" customWidth="1"/>
    <col min="10500" max="10500" width="13.140625" style="561" customWidth="1"/>
    <col min="10501" max="10501" width="12.7109375" style="561" customWidth="1"/>
    <col min="10502" max="10502" width="12.42578125" style="561" customWidth="1"/>
    <col min="10503" max="10503" width="35.42578125" style="561" customWidth="1"/>
    <col min="10504" max="10504" width="8.5703125" style="561" customWidth="1"/>
    <col min="10505" max="10505" width="9.85546875" style="561" customWidth="1"/>
    <col min="10506" max="10752" width="9.140625" style="561"/>
    <col min="10753" max="10753" width="34.85546875" style="561" customWidth="1"/>
    <col min="10754" max="10754" width="13.42578125" style="561" customWidth="1"/>
    <col min="10755" max="10755" width="13.5703125" style="561" customWidth="1"/>
    <col min="10756" max="10756" width="13.140625" style="561" customWidth="1"/>
    <col min="10757" max="10757" width="12.7109375" style="561" customWidth="1"/>
    <col min="10758" max="10758" width="12.42578125" style="561" customWidth="1"/>
    <col min="10759" max="10759" width="35.42578125" style="561" customWidth="1"/>
    <col min="10760" max="10760" width="8.5703125" style="561" customWidth="1"/>
    <col min="10761" max="10761" width="9.85546875" style="561" customWidth="1"/>
    <col min="10762" max="11008" width="9.140625" style="561"/>
    <col min="11009" max="11009" width="34.85546875" style="561" customWidth="1"/>
    <col min="11010" max="11010" width="13.42578125" style="561" customWidth="1"/>
    <col min="11011" max="11011" width="13.5703125" style="561" customWidth="1"/>
    <col min="11012" max="11012" width="13.140625" style="561" customWidth="1"/>
    <col min="11013" max="11013" width="12.7109375" style="561" customWidth="1"/>
    <col min="11014" max="11014" width="12.42578125" style="561" customWidth="1"/>
    <col min="11015" max="11015" width="35.42578125" style="561" customWidth="1"/>
    <col min="11016" max="11016" width="8.5703125" style="561" customWidth="1"/>
    <col min="11017" max="11017" width="9.85546875" style="561" customWidth="1"/>
    <col min="11018" max="11264" width="9.140625" style="561"/>
    <col min="11265" max="11265" width="34.85546875" style="561" customWidth="1"/>
    <col min="11266" max="11266" width="13.42578125" style="561" customWidth="1"/>
    <col min="11267" max="11267" width="13.5703125" style="561" customWidth="1"/>
    <col min="11268" max="11268" width="13.140625" style="561" customWidth="1"/>
    <col min="11269" max="11269" width="12.7109375" style="561" customWidth="1"/>
    <col min="11270" max="11270" width="12.42578125" style="561" customWidth="1"/>
    <col min="11271" max="11271" width="35.42578125" style="561" customWidth="1"/>
    <col min="11272" max="11272" width="8.5703125" style="561" customWidth="1"/>
    <col min="11273" max="11273" width="9.85546875" style="561" customWidth="1"/>
    <col min="11274" max="11520" width="9.140625" style="561"/>
    <col min="11521" max="11521" width="34.85546875" style="561" customWidth="1"/>
    <col min="11522" max="11522" width="13.42578125" style="561" customWidth="1"/>
    <col min="11523" max="11523" width="13.5703125" style="561" customWidth="1"/>
    <col min="11524" max="11524" width="13.140625" style="561" customWidth="1"/>
    <col min="11525" max="11525" width="12.7109375" style="561" customWidth="1"/>
    <col min="11526" max="11526" width="12.42578125" style="561" customWidth="1"/>
    <col min="11527" max="11527" width="35.42578125" style="561" customWidth="1"/>
    <col min="11528" max="11528" width="8.5703125" style="561" customWidth="1"/>
    <col min="11529" max="11529" width="9.85546875" style="561" customWidth="1"/>
    <col min="11530" max="11776" width="9.140625" style="561"/>
    <col min="11777" max="11777" width="34.85546875" style="561" customWidth="1"/>
    <col min="11778" max="11778" width="13.42578125" style="561" customWidth="1"/>
    <col min="11779" max="11779" width="13.5703125" style="561" customWidth="1"/>
    <col min="11780" max="11780" width="13.140625" style="561" customWidth="1"/>
    <col min="11781" max="11781" width="12.7109375" style="561" customWidth="1"/>
    <col min="11782" max="11782" width="12.42578125" style="561" customWidth="1"/>
    <col min="11783" max="11783" width="35.42578125" style="561" customWidth="1"/>
    <col min="11784" max="11784" width="8.5703125" style="561" customWidth="1"/>
    <col min="11785" max="11785" width="9.85546875" style="561" customWidth="1"/>
    <col min="11786" max="12032" width="9.140625" style="561"/>
    <col min="12033" max="12033" width="34.85546875" style="561" customWidth="1"/>
    <col min="12034" max="12034" width="13.42578125" style="561" customWidth="1"/>
    <col min="12035" max="12035" width="13.5703125" style="561" customWidth="1"/>
    <col min="12036" max="12036" width="13.140625" style="561" customWidth="1"/>
    <col min="12037" max="12037" width="12.7109375" style="561" customWidth="1"/>
    <col min="12038" max="12038" width="12.42578125" style="561" customWidth="1"/>
    <col min="12039" max="12039" width="35.42578125" style="561" customWidth="1"/>
    <col min="12040" max="12040" width="8.5703125" style="561" customWidth="1"/>
    <col min="12041" max="12041" width="9.85546875" style="561" customWidth="1"/>
    <col min="12042" max="12288" width="9.140625" style="561"/>
    <col min="12289" max="12289" width="34.85546875" style="561" customWidth="1"/>
    <col min="12290" max="12290" width="13.42578125" style="561" customWidth="1"/>
    <col min="12291" max="12291" width="13.5703125" style="561" customWidth="1"/>
    <col min="12292" max="12292" width="13.140625" style="561" customWidth="1"/>
    <col min="12293" max="12293" width="12.7109375" style="561" customWidth="1"/>
    <col min="12294" max="12294" width="12.42578125" style="561" customWidth="1"/>
    <col min="12295" max="12295" width="35.42578125" style="561" customWidth="1"/>
    <col min="12296" max="12296" width="8.5703125" style="561" customWidth="1"/>
    <col min="12297" max="12297" width="9.85546875" style="561" customWidth="1"/>
    <col min="12298" max="12544" width="9.140625" style="561"/>
    <col min="12545" max="12545" width="34.85546875" style="561" customWidth="1"/>
    <col min="12546" max="12546" width="13.42578125" style="561" customWidth="1"/>
    <col min="12547" max="12547" width="13.5703125" style="561" customWidth="1"/>
    <col min="12548" max="12548" width="13.140625" style="561" customWidth="1"/>
    <col min="12549" max="12549" width="12.7109375" style="561" customWidth="1"/>
    <col min="12550" max="12550" width="12.42578125" style="561" customWidth="1"/>
    <col min="12551" max="12551" width="35.42578125" style="561" customWidth="1"/>
    <col min="12552" max="12552" width="8.5703125" style="561" customWidth="1"/>
    <col min="12553" max="12553" width="9.85546875" style="561" customWidth="1"/>
    <col min="12554" max="12800" width="9.140625" style="561"/>
    <col min="12801" max="12801" width="34.85546875" style="561" customWidth="1"/>
    <col min="12802" max="12802" width="13.42578125" style="561" customWidth="1"/>
    <col min="12803" max="12803" width="13.5703125" style="561" customWidth="1"/>
    <col min="12804" max="12804" width="13.140625" style="561" customWidth="1"/>
    <col min="12805" max="12805" width="12.7109375" style="561" customWidth="1"/>
    <col min="12806" max="12806" width="12.42578125" style="561" customWidth="1"/>
    <col min="12807" max="12807" width="35.42578125" style="561" customWidth="1"/>
    <col min="12808" max="12808" width="8.5703125" style="561" customWidth="1"/>
    <col min="12809" max="12809" width="9.85546875" style="561" customWidth="1"/>
    <col min="12810" max="13056" width="9.140625" style="561"/>
    <col min="13057" max="13057" width="34.85546875" style="561" customWidth="1"/>
    <col min="13058" max="13058" width="13.42578125" style="561" customWidth="1"/>
    <col min="13059" max="13059" width="13.5703125" style="561" customWidth="1"/>
    <col min="13060" max="13060" width="13.140625" style="561" customWidth="1"/>
    <col min="13061" max="13061" width="12.7109375" style="561" customWidth="1"/>
    <col min="13062" max="13062" width="12.42578125" style="561" customWidth="1"/>
    <col min="13063" max="13063" width="35.42578125" style="561" customWidth="1"/>
    <col min="13064" max="13064" width="8.5703125" style="561" customWidth="1"/>
    <col min="13065" max="13065" width="9.85546875" style="561" customWidth="1"/>
    <col min="13066" max="13312" width="9.140625" style="561"/>
    <col min="13313" max="13313" width="34.85546875" style="561" customWidth="1"/>
    <col min="13314" max="13314" width="13.42578125" style="561" customWidth="1"/>
    <col min="13315" max="13315" width="13.5703125" style="561" customWidth="1"/>
    <col min="13316" max="13316" width="13.140625" style="561" customWidth="1"/>
    <col min="13317" max="13317" width="12.7109375" style="561" customWidth="1"/>
    <col min="13318" max="13318" width="12.42578125" style="561" customWidth="1"/>
    <col min="13319" max="13319" width="35.42578125" style="561" customWidth="1"/>
    <col min="13320" max="13320" width="8.5703125" style="561" customWidth="1"/>
    <col min="13321" max="13321" width="9.85546875" style="561" customWidth="1"/>
    <col min="13322" max="13568" width="9.140625" style="561"/>
    <col min="13569" max="13569" width="34.85546875" style="561" customWidth="1"/>
    <col min="13570" max="13570" width="13.42578125" style="561" customWidth="1"/>
    <col min="13571" max="13571" width="13.5703125" style="561" customWidth="1"/>
    <col min="13572" max="13572" width="13.140625" style="561" customWidth="1"/>
    <col min="13573" max="13573" width="12.7109375" style="561" customWidth="1"/>
    <col min="13574" max="13574" width="12.42578125" style="561" customWidth="1"/>
    <col min="13575" max="13575" width="35.42578125" style="561" customWidth="1"/>
    <col min="13576" max="13576" width="8.5703125" style="561" customWidth="1"/>
    <col min="13577" max="13577" width="9.85546875" style="561" customWidth="1"/>
    <col min="13578" max="13824" width="9.140625" style="561"/>
    <col min="13825" max="13825" width="34.85546875" style="561" customWidth="1"/>
    <col min="13826" max="13826" width="13.42578125" style="561" customWidth="1"/>
    <col min="13827" max="13827" width="13.5703125" style="561" customWidth="1"/>
    <col min="13828" max="13828" width="13.140625" style="561" customWidth="1"/>
    <col min="13829" max="13829" width="12.7109375" style="561" customWidth="1"/>
    <col min="13830" max="13830" width="12.42578125" style="561" customWidth="1"/>
    <col min="13831" max="13831" width="35.42578125" style="561" customWidth="1"/>
    <col min="13832" max="13832" width="8.5703125" style="561" customWidth="1"/>
    <col min="13833" max="13833" width="9.85546875" style="561" customWidth="1"/>
    <col min="13834" max="14080" width="9.140625" style="561"/>
    <col min="14081" max="14081" width="34.85546875" style="561" customWidth="1"/>
    <col min="14082" max="14082" width="13.42578125" style="561" customWidth="1"/>
    <col min="14083" max="14083" width="13.5703125" style="561" customWidth="1"/>
    <col min="14084" max="14084" width="13.140625" style="561" customWidth="1"/>
    <col min="14085" max="14085" width="12.7109375" style="561" customWidth="1"/>
    <col min="14086" max="14086" width="12.42578125" style="561" customWidth="1"/>
    <col min="14087" max="14087" width="35.42578125" style="561" customWidth="1"/>
    <col min="14088" max="14088" width="8.5703125" style="561" customWidth="1"/>
    <col min="14089" max="14089" width="9.85546875" style="561" customWidth="1"/>
    <col min="14090" max="14336" width="9.140625" style="561"/>
    <col min="14337" max="14337" width="34.85546875" style="561" customWidth="1"/>
    <col min="14338" max="14338" width="13.42578125" style="561" customWidth="1"/>
    <col min="14339" max="14339" width="13.5703125" style="561" customWidth="1"/>
    <col min="14340" max="14340" width="13.140625" style="561" customWidth="1"/>
    <col min="14341" max="14341" width="12.7109375" style="561" customWidth="1"/>
    <col min="14342" max="14342" width="12.42578125" style="561" customWidth="1"/>
    <col min="14343" max="14343" width="35.42578125" style="561" customWidth="1"/>
    <col min="14344" max="14344" width="8.5703125" style="561" customWidth="1"/>
    <col min="14345" max="14345" width="9.85546875" style="561" customWidth="1"/>
    <col min="14346" max="14592" width="9.140625" style="561"/>
    <col min="14593" max="14593" width="34.85546875" style="561" customWidth="1"/>
    <col min="14594" max="14594" width="13.42578125" style="561" customWidth="1"/>
    <col min="14595" max="14595" width="13.5703125" style="561" customWidth="1"/>
    <col min="14596" max="14596" width="13.140625" style="561" customWidth="1"/>
    <col min="14597" max="14597" width="12.7109375" style="561" customWidth="1"/>
    <col min="14598" max="14598" width="12.42578125" style="561" customWidth="1"/>
    <col min="14599" max="14599" width="35.42578125" style="561" customWidth="1"/>
    <col min="14600" max="14600" width="8.5703125" style="561" customWidth="1"/>
    <col min="14601" max="14601" width="9.85546875" style="561" customWidth="1"/>
    <col min="14602" max="14848" width="9.140625" style="561"/>
    <col min="14849" max="14849" width="34.85546875" style="561" customWidth="1"/>
    <col min="14850" max="14850" width="13.42578125" style="561" customWidth="1"/>
    <col min="14851" max="14851" width="13.5703125" style="561" customWidth="1"/>
    <col min="14852" max="14852" width="13.140625" style="561" customWidth="1"/>
    <col min="14853" max="14853" width="12.7109375" style="561" customWidth="1"/>
    <col min="14854" max="14854" width="12.42578125" style="561" customWidth="1"/>
    <col min="14855" max="14855" width="35.42578125" style="561" customWidth="1"/>
    <col min="14856" max="14856" width="8.5703125" style="561" customWidth="1"/>
    <col min="14857" max="14857" width="9.85546875" style="561" customWidth="1"/>
    <col min="14858" max="15104" width="9.140625" style="561"/>
    <col min="15105" max="15105" width="34.85546875" style="561" customWidth="1"/>
    <col min="15106" max="15106" width="13.42578125" style="561" customWidth="1"/>
    <col min="15107" max="15107" width="13.5703125" style="561" customWidth="1"/>
    <col min="15108" max="15108" width="13.140625" style="561" customWidth="1"/>
    <col min="15109" max="15109" width="12.7109375" style="561" customWidth="1"/>
    <col min="15110" max="15110" width="12.42578125" style="561" customWidth="1"/>
    <col min="15111" max="15111" width="35.42578125" style="561" customWidth="1"/>
    <col min="15112" max="15112" width="8.5703125" style="561" customWidth="1"/>
    <col min="15113" max="15113" width="9.85546875" style="561" customWidth="1"/>
    <col min="15114" max="15360" width="9.140625" style="561"/>
    <col min="15361" max="15361" width="34.85546875" style="561" customWidth="1"/>
    <col min="15362" max="15362" width="13.42578125" style="561" customWidth="1"/>
    <col min="15363" max="15363" width="13.5703125" style="561" customWidth="1"/>
    <col min="15364" max="15364" width="13.140625" style="561" customWidth="1"/>
    <col min="15365" max="15365" width="12.7109375" style="561" customWidth="1"/>
    <col min="15366" max="15366" width="12.42578125" style="561" customWidth="1"/>
    <col min="15367" max="15367" width="35.42578125" style="561" customWidth="1"/>
    <col min="15368" max="15368" width="8.5703125" style="561" customWidth="1"/>
    <col min="15369" max="15369" width="9.85546875" style="561" customWidth="1"/>
    <col min="15370" max="15616" width="9.140625" style="561"/>
    <col min="15617" max="15617" width="34.85546875" style="561" customWidth="1"/>
    <col min="15618" max="15618" width="13.42578125" style="561" customWidth="1"/>
    <col min="15619" max="15619" width="13.5703125" style="561" customWidth="1"/>
    <col min="15620" max="15620" width="13.140625" style="561" customWidth="1"/>
    <col min="15621" max="15621" width="12.7109375" style="561" customWidth="1"/>
    <col min="15622" max="15622" width="12.42578125" style="561" customWidth="1"/>
    <col min="15623" max="15623" width="35.42578125" style="561" customWidth="1"/>
    <col min="15624" max="15624" width="8.5703125" style="561" customWidth="1"/>
    <col min="15625" max="15625" width="9.85546875" style="561" customWidth="1"/>
    <col min="15626" max="15872" width="9.140625" style="561"/>
    <col min="15873" max="15873" width="34.85546875" style="561" customWidth="1"/>
    <col min="15874" max="15874" width="13.42578125" style="561" customWidth="1"/>
    <col min="15875" max="15875" width="13.5703125" style="561" customWidth="1"/>
    <col min="15876" max="15876" width="13.140625" style="561" customWidth="1"/>
    <col min="15877" max="15877" width="12.7109375" style="561" customWidth="1"/>
    <col min="15878" max="15878" width="12.42578125" style="561" customWidth="1"/>
    <col min="15879" max="15879" width="35.42578125" style="561" customWidth="1"/>
    <col min="15880" max="15880" width="8.5703125" style="561" customWidth="1"/>
    <col min="15881" max="15881" width="9.85546875" style="561" customWidth="1"/>
    <col min="15882" max="16128" width="9.140625" style="561"/>
    <col min="16129" max="16129" width="34.85546875" style="561" customWidth="1"/>
    <col min="16130" max="16130" width="13.42578125" style="561" customWidth="1"/>
    <col min="16131" max="16131" width="13.5703125" style="561" customWidth="1"/>
    <col min="16132" max="16132" width="13.140625" style="561" customWidth="1"/>
    <col min="16133" max="16133" width="12.7109375" style="561" customWidth="1"/>
    <col min="16134" max="16134" width="12.42578125" style="561" customWidth="1"/>
    <col min="16135" max="16135" width="35.42578125" style="561" customWidth="1"/>
    <col min="16136" max="16136" width="8.5703125" style="561" customWidth="1"/>
    <col min="16137" max="16137" width="9.85546875" style="561" customWidth="1"/>
    <col min="16138" max="16384" width="9.140625" style="561"/>
  </cols>
  <sheetData>
    <row r="1" spans="1:10" ht="15.75">
      <c r="A1" s="1682" t="s">
        <v>2135</v>
      </c>
      <c r="B1" s="1682"/>
      <c r="C1" s="1682"/>
      <c r="D1" s="1682"/>
      <c r="E1" s="1682"/>
      <c r="F1" s="1682"/>
      <c r="G1" s="1682"/>
      <c r="H1" s="1169"/>
    </row>
    <row r="2" spans="1:10" ht="15.75">
      <c r="A2" s="1682" t="s">
        <v>2136</v>
      </c>
      <c r="B2" s="1682"/>
      <c r="C2" s="1682"/>
      <c r="D2" s="1682"/>
      <c r="E2" s="1682"/>
      <c r="F2" s="1682"/>
      <c r="G2" s="1682"/>
      <c r="H2" s="1169"/>
    </row>
    <row r="3" spans="1:10" ht="12.75" customHeight="1">
      <c r="A3" s="1683"/>
      <c r="B3" s="1683"/>
      <c r="C3" s="1683"/>
      <c r="D3" s="1683"/>
      <c r="E3" s="1683"/>
      <c r="F3" s="1683"/>
      <c r="G3" s="1683"/>
    </row>
    <row r="4" spans="1:10" ht="27" customHeight="1">
      <c r="A4" s="1684" t="s">
        <v>2660</v>
      </c>
      <c r="B4" s="1685"/>
      <c r="C4" s="1685"/>
      <c r="D4" s="1685"/>
      <c r="E4" s="1685"/>
      <c r="F4" s="1685"/>
      <c r="G4" s="1685"/>
    </row>
    <row r="5" spans="1:10">
      <c r="A5" s="1686" t="s">
        <v>2137</v>
      </c>
      <c r="B5" s="1686"/>
      <c r="C5" s="1686"/>
      <c r="D5" s="1686"/>
      <c r="E5" s="1686"/>
      <c r="F5" s="1686"/>
      <c r="G5" s="1686"/>
    </row>
    <row r="6" spans="1:10" ht="30" customHeight="1">
      <c r="A6" s="1687" t="s">
        <v>2138</v>
      </c>
      <c r="B6" s="1678" t="s">
        <v>2139</v>
      </c>
      <c r="C6" s="1679" t="s">
        <v>2140</v>
      </c>
      <c r="D6" s="1679" t="s">
        <v>2141</v>
      </c>
      <c r="E6" s="1680"/>
      <c r="F6" s="1681"/>
      <c r="G6" s="1691"/>
    </row>
    <row r="7" spans="1:10" ht="30.75" customHeight="1">
      <c r="A7" s="1688"/>
      <c r="B7" s="1678"/>
      <c r="C7" s="1679"/>
      <c r="D7" s="1170" t="s">
        <v>2142</v>
      </c>
      <c r="E7" s="1170" t="s">
        <v>2143</v>
      </c>
      <c r="F7" s="1171" t="s">
        <v>2144</v>
      </c>
      <c r="G7" s="1692"/>
    </row>
    <row r="8" spans="1:10" ht="30" customHeight="1">
      <c r="A8" s="1689"/>
      <c r="B8" s="1678" t="s">
        <v>2145</v>
      </c>
      <c r="C8" s="1679" t="s">
        <v>2146</v>
      </c>
      <c r="D8" s="1679" t="s">
        <v>2147</v>
      </c>
      <c r="E8" s="1680"/>
      <c r="F8" s="1681"/>
      <c r="G8" s="1693"/>
    </row>
    <row r="9" spans="1:10" ht="30.75" customHeight="1">
      <c r="A9" s="1690"/>
      <c r="B9" s="1678"/>
      <c r="C9" s="1679"/>
      <c r="D9" s="1170" t="s">
        <v>2148</v>
      </c>
      <c r="E9" s="1170" t="s">
        <v>2149</v>
      </c>
      <c r="F9" s="1171" t="s">
        <v>2150</v>
      </c>
      <c r="G9" s="1694"/>
    </row>
    <row r="10" spans="1:10" s="666" customFormat="1" ht="41.25" customHeight="1">
      <c r="A10" s="665" t="s">
        <v>2661</v>
      </c>
      <c r="B10" s="692" t="s">
        <v>2151</v>
      </c>
      <c r="C10" s="1172">
        <v>699390016</v>
      </c>
      <c r="D10" s="1172">
        <v>580878498</v>
      </c>
      <c r="E10" s="1172">
        <v>83261279</v>
      </c>
      <c r="F10" s="1172">
        <v>35250239</v>
      </c>
      <c r="G10" s="665" t="s">
        <v>2152</v>
      </c>
      <c r="H10" s="561"/>
      <c r="I10" s="561"/>
      <c r="J10" s="561"/>
    </row>
    <row r="11" spans="1:10" s="666" customFormat="1" ht="27.75" customHeight="1">
      <c r="A11" s="665" t="s">
        <v>2662</v>
      </c>
      <c r="B11" s="692" t="s">
        <v>2153</v>
      </c>
      <c r="C11" s="1172">
        <v>690548243</v>
      </c>
      <c r="D11" s="1172">
        <v>579376938</v>
      </c>
      <c r="E11" s="1172">
        <v>77985548</v>
      </c>
      <c r="F11" s="1172">
        <v>33185757</v>
      </c>
      <c r="G11" s="665" t="s">
        <v>2154</v>
      </c>
      <c r="H11" s="561"/>
      <c r="I11" s="561"/>
      <c r="J11" s="561"/>
    </row>
    <row r="12" spans="1:10" s="694" customFormat="1" ht="27.75" customHeight="1">
      <c r="A12" s="665" t="s">
        <v>2155</v>
      </c>
      <c r="B12" s="692" t="s">
        <v>2156</v>
      </c>
      <c r="C12" s="1172">
        <v>651242929</v>
      </c>
      <c r="D12" s="1172">
        <v>540903977</v>
      </c>
      <c r="E12" s="1172">
        <v>77487571</v>
      </c>
      <c r="F12" s="1210">
        <v>32851381</v>
      </c>
      <c r="G12" s="693" t="s">
        <v>2157</v>
      </c>
    </row>
    <row r="13" spans="1:10" ht="15.75" customHeight="1">
      <c r="A13" s="669" t="s">
        <v>2158</v>
      </c>
      <c r="B13" s="695" t="s">
        <v>2159</v>
      </c>
      <c r="C13" s="1173">
        <v>401138394</v>
      </c>
      <c r="D13" s="1173">
        <v>368691721</v>
      </c>
      <c r="E13" s="1173">
        <v>24829960</v>
      </c>
      <c r="F13" s="1211">
        <v>7616713</v>
      </c>
      <c r="G13" s="696" t="s">
        <v>2160</v>
      </c>
    </row>
    <row r="14" spans="1:10" ht="24">
      <c r="A14" s="669" t="s">
        <v>2161</v>
      </c>
      <c r="B14" s="695" t="s">
        <v>2162</v>
      </c>
      <c r="C14" s="1173">
        <v>101031452</v>
      </c>
      <c r="D14" s="1173">
        <v>75855025</v>
      </c>
      <c r="E14" s="1173">
        <v>13844912</v>
      </c>
      <c r="F14" s="1211">
        <v>11331515</v>
      </c>
      <c r="G14" s="696" t="s">
        <v>2163</v>
      </c>
    </row>
    <row r="15" spans="1:10" ht="24">
      <c r="A15" s="669" t="s">
        <v>2164</v>
      </c>
      <c r="B15" s="695" t="s">
        <v>2165</v>
      </c>
      <c r="C15" s="1173">
        <v>40398401</v>
      </c>
      <c r="D15" s="1173">
        <v>31715988</v>
      </c>
      <c r="E15" s="1173">
        <v>5387070</v>
      </c>
      <c r="F15" s="1211">
        <v>3295343</v>
      </c>
      <c r="G15" s="696" t="s">
        <v>2166</v>
      </c>
    </row>
    <row r="16" spans="1:10" ht="19.5" customHeight="1">
      <c r="A16" s="669" t="s">
        <v>2167</v>
      </c>
      <c r="B16" s="695" t="s">
        <v>2168</v>
      </c>
      <c r="C16" s="1173">
        <v>14875418</v>
      </c>
      <c r="D16" s="1173">
        <v>4249174</v>
      </c>
      <c r="E16" s="1173">
        <v>8811555</v>
      </c>
      <c r="F16" s="1211">
        <v>1814689</v>
      </c>
      <c r="G16" s="696" t="s">
        <v>2169</v>
      </c>
    </row>
    <row r="17" spans="1:10" ht="24">
      <c r="A17" s="669" t="s">
        <v>2170</v>
      </c>
      <c r="B17" s="695" t="s">
        <v>2171</v>
      </c>
      <c r="C17" s="1173">
        <v>93799264</v>
      </c>
      <c r="D17" s="1173">
        <v>60392069</v>
      </c>
      <c r="E17" s="1173">
        <v>24614074</v>
      </c>
      <c r="F17" s="1211">
        <v>8793121</v>
      </c>
      <c r="G17" s="696" t="s">
        <v>2172</v>
      </c>
    </row>
    <row r="18" spans="1:10" s="694" customFormat="1" ht="24">
      <c r="A18" s="665" t="s">
        <v>2173</v>
      </c>
      <c r="B18" s="692" t="s">
        <v>2174</v>
      </c>
      <c r="C18" s="1172">
        <v>35591585</v>
      </c>
      <c r="D18" s="1172">
        <v>34995010</v>
      </c>
      <c r="E18" s="1172">
        <v>415572</v>
      </c>
      <c r="F18" s="1172">
        <v>181003</v>
      </c>
      <c r="G18" s="693" t="s">
        <v>2175</v>
      </c>
    </row>
    <row r="19" spans="1:10" ht="24">
      <c r="A19" s="669" t="s">
        <v>2176</v>
      </c>
      <c r="B19" s="695" t="s">
        <v>2177</v>
      </c>
      <c r="C19" s="1173">
        <v>586763</v>
      </c>
      <c r="D19" s="1173">
        <v>583746</v>
      </c>
      <c r="E19" s="1173">
        <v>634</v>
      </c>
      <c r="F19" s="1173">
        <v>2383</v>
      </c>
      <c r="G19" s="696" t="s">
        <v>2178</v>
      </c>
    </row>
    <row r="20" spans="1:10" ht="60">
      <c r="A20" s="669" t="s">
        <v>2179</v>
      </c>
      <c r="B20" s="695" t="s">
        <v>2180</v>
      </c>
      <c r="C20" s="1173">
        <v>13569457</v>
      </c>
      <c r="D20" s="1173">
        <v>13466916</v>
      </c>
      <c r="E20" s="1173">
        <v>66262</v>
      </c>
      <c r="F20" s="1173">
        <v>36279</v>
      </c>
      <c r="G20" s="696" t="s">
        <v>2181</v>
      </c>
    </row>
    <row r="21" spans="1:10" ht="27.75" customHeight="1">
      <c r="A21" s="669" t="s">
        <v>2182</v>
      </c>
      <c r="B21" s="695" t="s">
        <v>2183</v>
      </c>
      <c r="C21" s="1173">
        <v>7614662</v>
      </c>
      <c r="D21" s="1173">
        <v>7472041</v>
      </c>
      <c r="E21" s="1173">
        <v>142223</v>
      </c>
      <c r="F21" s="1173">
        <v>398</v>
      </c>
      <c r="G21" s="696" t="s">
        <v>2184</v>
      </c>
    </row>
    <row r="22" spans="1:10" ht="24.75" customHeight="1">
      <c r="A22" s="669" t="s">
        <v>2185</v>
      </c>
      <c r="B22" s="695" t="s">
        <v>2186</v>
      </c>
      <c r="C22" s="1173">
        <v>13820703</v>
      </c>
      <c r="D22" s="1173">
        <v>13472307</v>
      </c>
      <c r="E22" s="1173">
        <v>206453</v>
      </c>
      <c r="F22" s="1173">
        <v>141943</v>
      </c>
      <c r="G22" s="696" t="s">
        <v>2187</v>
      </c>
    </row>
    <row r="23" spans="1:10" s="694" customFormat="1" ht="24">
      <c r="A23" s="665" t="s">
        <v>2188</v>
      </c>
      <c r="B23" s="692" t="s">
        <v>2189</v>
      </c>
      <c r="C23" s="1172">
        <v>3713729</v>
      </c>
      <c r="D23" s="1172">
        <v>3477951</v>
      </c>
      <c r="E23" s="1172">
        <v>82405</v>
      </c>
      <c r="F23" s="1172">
        <v>153373</v>
      </c>
      <c r="G23" s="693" t="s">
        <v>2190</v>
      </c>
    </row>
    <row r="24" spans="1:10" ht="36">
      <c r="A24" s="669" t="s">
        <v>2191</v>
      </c>
      <c r="B24" s="695" t="s">
        <v>2192</v>
      </c>
      <c r="C24" s="1173">
        <v>1138938</v>
      </c>
      <c r="D24" s="1173">
        <v>1016127</v>
      </c>
      <c r="E24" s="1173">
        <v>15974</v>
      </c>
      <c r="F24" s="1173">
        <v>106837</v>
      </c>
      <c r="G24" s="696" t="s">
        <v>2193</v>
      </c>
    </row>
    <row r="25" spans="1:10" ht="24">
      <c r="A25" s="669" t="s">
        <v>2194</v>
      </c>
      <c r="B25" s="695" t="s">
        <v>2195</v>
      </c>
      <c r="C25" s="1173">
        <v>535025</v>
      </c>
      <c r="D25" s="1173">
        <v>498620</v>
      </c>
      <c r="E25" s="1173">
        <v>30955</v>
      </c>
      <c r="F25" s="1173">
        <v>5450</v>
      </c>
      <c r="G25" s="696" t="s">
        <v>2196</v>
      </c>
    </row>
    <row r="26" spans="1:10" ht="36">
      <c r="A26" s="669" t="s">
        <v>2197</v>
      </c>
      <c r="B26" s="695" t="s">
        <v>2198</v>
      </c>
      <c r="C26" s="1173">
        <v>2039766</v>
      </c>
      <c r="D26" s="1173">
        <v>1963204</v>
      </c>
      <c r="E26" s="1173">
        <v>35476</v>
      </c>
      <c r="F26" s="1173">
        <v>41086</v>
      </c>
      <c r="G26" s="696" t="s">
        <v>2199</v>
      </c>
    </row>
    <row r="27" spans="1:10" s="666" customFormat="1" ht="27.75" customHeight="1">
      <c r="A27" s="665" t="s">
        <v>2663</v>
      </c>
      <c r="B27" s="692" t="s">
        <v>2200</v>
      </c>
      <c r="C27" s="1172">
        <v>8841773</v>
      </c>
      <c r="D27" s="1172">
        <v>1501560</v>
      </c>
      <c r="E27" s="1172">
        <v>5275731</v>
      </c>
      <c r="F27" s="1172">
        <v>2064482</v>
      </c>
      <c r="G27" s="665" t="s">
        <v>2664</v>
      </c>
      <c r="H27" s="561"/>
      <c r="I27" s="561"/>
      <c r="J27" s="561"/>
    </row>
    <row r="28" spans="1:10" ht="15" customHeight="1">
      <c r="A28" s="669" t="s">
        <v>2665</v>
      </c>
      <c r="B28" s="695" t="s">
        <v>2666</v>
      </c>
      <c r="C28" s="1173">
        <v>10499</v>
      </c>
      <c r="D28" s="1174" t="s">
        <v>8</v>
      </c>
      <c r="E28" s="1173">
        <v>10499</v>
      </c>
      <c r="F28" s="1174" t="s">
        <v>8</v>
      </c>
      <c r="G28" s="696" t="s">
        <v>2667</v>
      </c>
    </row>
    <row r="29" spans="1:10" ht="15" customHeight="1">
      <c r="A29" s="669" t="s">
        <v>2201</v>
      </c>
      <c r="B29" s="695" t="s">
        <v>1048</v>
      </c>
      <c r="C29" s="1173">
        <v>74322</v>
      </c>
      <c r="D29" s="1174" t="s">
        <v>8</v>
      </c>
      <c r="E29" s="1174" t="s">
        <v>8</v>
      </c>
      <c r="F29" s="1173">
        <v>74322</v>
      </c>
      <c r="G29" s="696" t="s">
        <v>2202</v>
      </c>
    </row>
    <row r="30" spans="1:10" ht="15" customHeight="1">
      <c r="A30" s="669" t="s">
        <v>2203</v>
      </c>
      <c r="B30" s="695" t="s">
        <v>1049</v>
      </c>
      <c r="C30" s="1173">
        <v>261428</v>
      </c>
      <c r="D30" s="1174" t="s">
        <v>8</v>
      </c>
      <c r="E30" s="1173">
        <v>14001</v>
      </c>
      <c r="F30" s="1173">
        <v>247427</v>
      </c>
      <c r="G30" s="696" t="s">
        <v>2204</v>
      </c>
    </row>
    <row r="31" spans="1:10" ht="15" customHeight="1">
      <c r="A31" s="669" t="s">
        <v>2668</v>
      </c>
      <c r="B31" s="695" t="s">
        <v>2669</v>
      </c>
      <c r="C31" s="1173">
        <v>20713</v>
      </c>
      <c r="D31" s="1174" t="s">
        <v>8</v>
      </c>
      <c r="E31" s="1174" t="s">
        <v>8</v>
      </c>
      <c r="F31" s="1173">
        <v>20713</v>
      </c>
      <c r="G31" s="696" t="s">
        <v>2670</v>
      </c>
    </row>
    <row r="32" spans="1:10" ht="24">
      <c r="A32" s="669" t="s">
        <v>2671</v>
      </c>
      <c r="B32" s="695" t="s">
        <v>2672</v>
      </c>
      <c r="C32" s="1173">
        <v>9247</v>
      </c>
      <c r="D32" s="1174" t="s">
        <v>8</v>
      </c>
      <c r="E32" s="1173">
        <v>561</v>
      </c>
      <c r="F32" s="1173">
        <v>8686</v>
      </c>
      <c r="G32" s="696" t="s">
        <v>2673</v>
      </c>
    </row>
    <row r="33" spans="1:7" ht="36">
      <c r="A33" s="669" t="s">
        <v>2674</v>
      </c>
      <c r="B33" s="695" t="s">
        <v>2675</v>
      </c>
      <c r="C33" s="1173">
        <v>976748</v>
      </c>
      <c r="D33" s="1174" t="s">
        <v>8</v>
      </c>
      <c r="E33" s="1173">
        <v>975306</v>
      </c>
      <c r="F33" s="1173">
        <v>1442</v>
      </c>
      <c r="G33" s="696" t="s">
        <v>2676</v>
      </c>
    </row>
    <row r="34" spans="1:7" ht="15" customHeight="1">
      <c r="A34" s="669" t="s">
        <v>2677</v>
      </c>
      <c r="B34" s="695" t="s">
        <v>2678</v>
      </c>
      <c r="C34" s="1173">
        <v>4324</v>
      </c>
      <c r="D34" s="1174" t="s">
        <v>8</v>
      </c>
      <c r="E34" s="1174" t="s">
        <v>8</v>
      </c>
      <c r="F34" s="1173">
        <v>4324</v>
      </c>
      <c r="G34" s="696" t="s">
        <v>2679</v>
      </c>
    </row>
    <row r="35" spans="1:7" ht="15" customHeight="1">
      <c r="A35" s="669" t="s">
        <v>2205</v>
      </c>
      <c r="B35" s="695" t="s">
        <v>2206</v>
      </c>
      <c r="C35" s="1173">
        <v>54208</v>
      </c>
      <c r="D35" s="1174" t="s">
        <v>8</v>
      </c>
      <c r="E35" s="1174" t="s">
        <v>8</v>
      </c>
      <c r="F35" s="1173">
        <v>54208</v>
      </c>
      <c r="G35" s="696" t="s">
        <v>2207</v>
      </c>
    </row>
    <row r="36" spans="1:7" ht="15" customHeight="1">
      <c r="A36" s="669" t="s">
        <v>2208</v>
      </c>
      <c r="B36" s="695" t="s">
        <v>2209</v>
      </c>
      <c r="C36" s="1173">
        <v>6558</v>
      </c>
      <c r="D36" s="1174" t="s">
        <v>8</v>
      </c>
      <c r="E36" s="1174" t="s">
        <v>8</v>
      </c>
      <c r="F36" s="1173">
        <v>6558</v>
      </c>
      <c r="G36" s="696" t="s">
        <v>2210</v>
      </c>
    </row>
    <row r="37" spans="1:7" ht="24">
      <c r="A37" s="669" t="s">
        <v>2680</v>
      </c>
      <c r="B37" s="695" t="s">
        <v>2681</v>
      </c>
      <c r="C37" s="1173">
        <v>1003</v>
      </c>
      <c r="D37" s="1174" t="s">
        <v>8</v>
      </c>
      <c r="E37" s="1174" t="s">
        <v>8</v>
      </c>
      <c r="F37" s="1173">
        <v>1003</v>
      </c>
      <c r="G37" s="696" t="s">
        <v>2682</v>
      </c>
    </row>
    <row r="38" spans="1:7" ht="36">
      <c r="A38" s="669" t="s">
        <v>2211</v>
      </c>
      <c r="B38" s="695" t="s">
        <v>2212</v>
      </c>
      <c r="C38" s="1173">
        <v>134</v>
      </c>
      <c r="D38" s="1174" t="s">
        <v>8</v>
      </c>
      <c r="E38" s="1174" t="s">
        <v>8</v>
      </c>
      <c r="F38" s="1173">
        <v>134</v>
      </c>
      <c r="G38" s="696" t="s">
        <v>2213</v>
      </c>
    </row>
    <row r="39" spans="1:7" ht="48">
      <c r="A39" s="669" t="s">
        <v>2214</v>
      </c>
      <c r="B39" s="695" t="s">
        <v>2215</v>
      </c>
      <c r="C39" s="1173">
        <v>12250</v>
      </c>
      <c r="D39" s="1174" t="s">
        <v>8</v>
      </c>
      <c r="E39" s="1173">
        <v>1495</v>
      </c>
      <c r="F39" s="1173">
        <v>10755</v>
      </c>
      <c r="G39" s="696" t="s">
        <v>2216</v>
      </c>
    </row>
    <row r="40" spans="1:7" ht="36">
      <c r="A40" s="669" t="s">
        <v>2217</v>
      </c>
      <c r="B40" s="695" t="s">
        <v>2218</v>
      </c>
      <c r="C40" s="1173">
        <v>1013546</v>
      </c>
      <c r="D40" s="1174" t="s">
        <v>8</v>
      </c>
      <c r="E40" s="1173">
        <v>18524</v>
      </c>
      <c r="F40" s="1173">
        <v>995022</v>
      </c>
      <c r="G40" s="696" t="s">
        <v>2219</v>
      </c>
    </row>
    <row r="41" spans="1:7" ht="36">
      <c r="A41" s="669" t="s">
        <v>2220</v>
      </c>
      <c r="B41" s="695" t="s">
        <v>2221</v>
      </c>
      <c r="C41" s="1173">
        <v>4458536</v>
      </c>
      <c r="D41" s="1173">
        <v>1177219</v>
      </c>
      <c r="E41" s="1173">
        <v>3101519</v>
      </c>
      <c r="F41" s="1173">
        <v>179798</v>
      </c>
      <c r="G41" s="696" t="s">
        <v>2222</v>
      </c>
    </row>
    <row r="42" spans="1:7" ht="30" customHeight="1">
      <c r="A42" s="669" t="s">
        <v>2223</v>
      </c>
      <c r="B42" s="695" t="s">
        <v>2224</v>
      </c>
      <c r="C42" s="1173">
        <v>1731</v>
      </c>
      <c r="D42" s="1174" t="s">
        <v>8</v>
      </c>
      <c r="E42" s="1174" t="s">
        <v>8</v>
      </c>
      <c r="F42" s="1173">
        <v>1731</v>
      </c>
      <c r="G42" s="696" t="s">
        <v>2225</v>
      </c>
    </row>
    <row r="43" spans="1:7" ht="27" customHeight="1">
      <c r="A43" s="669" t="s">
        <v>2226</v>
      </c>
      <c r="B43" s="695" t="s">
        <v>2227</v>
      </c>
      <c r="C43" s="1173">
        <v>5789</v>
      </c>
      <c r="D43" s="1174" t="s">
        <v>8</v>
      </c>
      <c r="E43" s="1173">
        <v>5789</v>
      </c>
      <c r="F43" s="1174" t="s">
        <v>8</v>
      </c>
      <c r="G43" s="696" t="s">
        <v>2228</v>
      </c>
    </row>
    <row r="44" spans="1:7" ht="17.25" customHeight="1">
      <c r="A44" s="669" t="s">
        <v>2683</v>
      </c>
      <c r="B44" s="695" t="s">
        <v>2684</v>
      </c>
      <c r="C44" s="1173">
        <v>296</v>
      </c>
      <c r="D44" s="1174" t="s">
        <v>8</v>
      </c>
      <c r="E44" s="1174" t="s">
        <v>8</v>
      </c>
      <c r="F44" s="1173">
        <v>296</v>
      </c>
      <c r="G44" s="696" t="s">
        <v>2685</v>
      </c>
    </row>
    <row r="45" spans="1:7" ht="24">
      <c r="A45" s="669" t="s">
        <v>2229</v>
      </c>
      <c r="B45" s="695" t="s">
        <v>2230</v>
      </c>
      <c r="C45" s="1173">
        <v>152804</v>
      </c>
      <c r="D45" s="1173">
        <v>144</v>
      </c>
      <c r="E45" s="1173">
        <v>5506</v>
      </c>
      <c r="F45" s="1173">
        <v>147154</v>
      </c>
      <c r="G45" s="696" t="s">
        <v>2231</v>
      </c>
    </row>
    <row r="46" spans="1:7" ht="39" customHeight="1">
      <c r="A46" s="669" t="s">
        <v>2232</v>
      </c>
      <c r="B46" s="695" t="s">
        <v>2233</v>
      </c>
      <c r="C46" s="1173">
        <v>29121</v>
      </c>
      <c r="D46" s="1174" t="s">
        <v>8</v>
      </c>
      <c r="E46" s="1174" t="s">
        <v>8</v>
      </c>
      <c r="F46" s="1173">
        <v>29121</v>
      </c>
      <c r="G46" s="696" t="s">
        <v>2234</v>
      </c>
    </row>
    <row r="47" spans="1:7" ht="16.5" customHeight="1">
      <c r="A47" s="669" t="s">
        <v>2235</v>
      </c>
      <c r="B47" s="695" t="s">
        <v>2236</v>
      </c>
      <c r="C47" s="1173">
        <v>265154</v>
      </c>
      <c r="D47" s="1174" t="s">
        <v>8</v>
      </c>
      <c r="E47" s="1173">
        <v>34651</v>
      </c>
      <c r="F47" s="1173">
        <v>230503</v>
      </c>
      <c r="G47" s="696" t="s">
        <v>2237</v>
      </c>
    </row>
    <row r="48" spans="1:7" ht="17.25" customHeight="1">
      <c r="A48" s="669" t="s">
        <v>2238</v>
      </c>
      <c r="B48" s="695" t="s">
        <v>2239</v>
      </c>
      <c r="C48" s="1173">
        <v>384076</v>
      </c>
      <c r="D48" s="1173">
        <v>299423</v>
      </c>
      <c r="E48" s="1173">
        <v>56698</v>
      </c>
      <c r="F48" s="1173">
        <v>27955</v>
      </c>
      <c r="G48" s="696" t="s">
        <v>2240</v>
      </c>
    </row>
    <row r="49" spans="1:7" ht="27.75" customHeight="1">
      <c r="A49" s="669" t="s">
        <v>2241</v>
      </c>
      <c r="B49" s="695" t="s">
        <v>2242</v>
      </c>
      <c r="C49" s="1173">
        <v>1081</v>
      </c>
      <c r="D49" s="1174" t="s">
        <v>8</v>
      </c>
      <c r="E49" s="1173">
        <v>1081</v>
      </c>
      <c r="F49" s="1174" t="s">
        <v>8</v>
      </c>
      <c r="G49" s="696" t="s">
        <v>2243</v>
      </c>
    </row>
    <row r="50" spans="1:7" ht="19.5" customHeight="1">
      <c r="A50" s="675" t="s">
        <v>2244</v>
      </c>
      <c r="B50" s="697" t="s">
        <v>2245</v>
      </c>
      <c r="C50" s="1175">
        <v>1098205</v>
      </c>
      <c r="D50" s="1175">
        <v>24774</v>
      </c>
      <c r="E50" s="1175">
        <v>1050101</v>
      </c>
      <c r="F50" s="1175">
        <v>23330</v>
      </c>
      <c r="G50" s="675" t="s">
        <v>2246</v>
      </c>
    </row>
  </sheetData>
  <mergeCells count="13">
    <mergeCell ref="B8:B9"/>
    <mergeCell ref="C8:C9"/>
    <mergeCell ref="D8:F8"/>
    <mergeCell ref="A1:G1"/>
    <mergeCell ref="A2:G2"/>
    <mergeCell ref="A3:G3"/>
    <mergeCell ref="A4:G4"/>
    <mergeCell ref="A5:G5"/>
    <mergeCell ref="A6:A9"/>
    <mergeCell ref="B6:B7"/>
    <mergeCell ref="C6:C7"/>
    <mergeCell ref="D6:F6"/>
    <mergeCell ref="G6:G9"/>
  </mergeCells>
  <printOptions horizontalCentered="1"/>
  <pageMargins left="0.59055118110236227" right="0.59055118110236227" top="0.78740157480314965" bottom="0.78740157480314965" header="0.19685039370078741" footer="0.51181102362204722"/>
  <pageSetup paperSize="9" firstPageNumber="112" orientation="landscape" useFirstPageNumber="1" r:id="rId1"/>
  <headerFooter alignWithMargins="0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38</vt:i4>
      </vt:variant>
      <vt:variant>
        <vt:lpstr>Именованные диапазоны</vt:lpstr>
      </vt:variant>
      <vt:variant>
        <vt:i4>20</vt:i4>
      </vt:variant>
    </vt:vector>
  </HeadingPairs>
  <TitlesOfParts>
    <vt:vector size="58" baseType="lpstr">
      <vt:lpstr>FS-HF</vt:lpstr>
      <vt:lpstr>FS-HF2</vt:lpstr>
      <vt:lpstr>HF-HP</vt:lpstr>
      <vt:lpstr>HF-HP2</vt:lpstr>
      <vt:lpstr>HF-HC</vt:lpstr>
      <vt:lpstr>HF-HC </vt:lpstr>
      <vt:lpstr>HC-HP</vt:lpstr>
      <vt:lpstr>HP-HC2</vt:lpstr>
      <vt:lpstr>Соцфин 9.1</vt:lpstr>
      <vt:lpstr>Соцфин 3.1</vt:lpstr>
      <vt:lpstr>Отчет</vt:lpstr>
      <vt:lpstr>Дэф</vt:lpstr>
      <vt:lpstr>Pivot_Donor</vt:lpstr>
      <vt:lpstr>036 гобм</vt:lpstr>
      <vt:lpstr>Соцфин 2.5</vt:lpstr>
      <vt:lpstr>ДХ_расходы</vt:lpstr>
      <vt:lpstr>ДХ_здрав_структ</vt:lpstr>
      <vt:lpstr>ДХ_расх</vt:lpstr>
      <vt:lpstr>HP</vt:lpstr>
      <vt:lpstr>FS-HF </vt:lpstr>
      <vt:lpstr>ввп</vt:lpstr>
      <vt:lpstr>Лист1</vt:lpstr>
      <vt:lpstr>Лист2</vt:lpstr>
      <vt:lpstr>009</vt:lpstr>
      <vt:lpstr>HP-HC2 (3)</vt:lpstr>
      <vt:lpstr>Соцфин 3.5</vt:lpstr>
      <vt:lpstr>Соцфин 3.4</vt:lpstr>
      <vt:lpstr>Соцфин 2.4</vt:lpstr>
      <vt:lpstr>АФН страх</vt:lpstr>
      <vt:lpstr>Афн премии</vt:lpstr>
      <vt:lpstr>HP-HC2 (2)</vt:lpstr>
      <vt:lpstr>Лист4</vt:lpstr>
      <vt:lpstr>СВОД</vt:lpstr>
      <vt:lpstr>ОУ2012</vt:lpstr>
      <vt:lpstr>Домохоз</vt:lpstr>
      <vt:lpstr>Розница ЛС</vt:lpstr>
      <vt:lpstr>Соцфин 2.1</vt:lpstr>
      <vt:lpstr>ОДХ</vt:lpstr>
      <vt:lpstr>'АФН страх'!_HEADER_</vt:lpstr>
      <vt:lpstr>'Соцфин 9.1'!TABLE_2</vt:lpstr>
      <vt:lpstr>'036 гобм'!Заголовки_для_печати</vt:lpstr>
      <vt:lpstr>Отчет!Заголовки_для_печати</vt:lpstr>
      <vt:lpstr>СВОД!Заголовки_для_печати</vt:lpstr>
      <vt:lpstr>'Соцфин 9.1'!Заголовки_для_печати</vt:lpstr>
      <vt:lpstr>'036 гобм'!Область_печати</vt:lpstr>
      <vt:lpstr>'FS-HF'!Область_печати</vt:lpstr>
      <vt:lpstr>'FS-HF '!Область_печати</vt:lpstr>
      <vt:lpstr>'FS-HF2'!Область_печати</vt:lpstr>
      <vt:lpstr>'HC-HP'!Область_печати</vt:lpstr>
      <vt:lpstr>'HF-HC'!Область_печати</vt:lpstr>
      <vt:lpstr>'HF-HC '!Область_печати</vt:lpstr>
      <vt:lpstr>'HF-HP'!Область_печати</vt:lpstr>
      <vt:lpstr>'HF-HP2'!Область_печати</vt:lpstr>
      <vt:lpstr>'HP-HC2'!Область_печати</vt:lpstr>
      <vt:lpstr>'HP-HC2 (2)'!Область_печати</vt:lpstr>
      <vt:lpstr>'HP-HC2 (3)'!Область_печати</vt:lpstr>
      <vt:lpstr>'АФН страх'!Область_печати</vt:lpstr>
      <vt:lpstr>СВОД!Область_печати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2018-01-20T10:23:08Z</dcterms:modified>
</cp:coreProperties>
</file>